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tables/table13.xml" ContentType="application/vnd.openxmlformats-officedocument.spreadsheetml.tab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eamweaver\jtta\"/>
    </mc:Choice>
  </mc:AlternateContent>
  <xr:revisionPtr revIDLastSave="0" documentId="13_ncr:1_{C960237A-A0D1-4B6F-9324-6690108F919A}" xr6:coauthVersionLast="46" xr6:coauthVersionMax="46" xr10:uidLastSave="{00000000-0000-0000-0000-000000000000}"/>
  <workbookProtection workbookAlgorithmName="SHA-512" workbookHashValue="srvf0LbtBU+jOUHZUJY/7R/eiS5AjqqzIV8s7LajkMvLf8md+svU+NjQv1UsOwwbortIEGzbM/8746ERtsmqAA==" workbookSaltValue="zdmrObHza2QH8cvI/Z6TAw==" workbookSpinCount="100000" lockStructure="1"/>
  <bookViews>
    <workbookView xWindow="-110" yWindow="-110" windowWidth="25820" windowHeight="13900" xr2:uid="{00000000-000D-0000-FFFF-FFFF00000000}"/>
  </bookViews>
  <sheets>
    <sheet name="All Rankings" sheetId="26" r:id="rId1"/>
    <sheet name="Tournaments" sheetId="41" r:id="rId2"/>
    <sheet name="Men" sheetId="16" r:id="rId3"/>
    <sheet name="Women" sheetId="30" r:id="rId4"/>
    <sheet name="Sheet2" sheetId="43" state="hidden" r:id="rId5"/>
    <sheet name="u19 boys" sheetId="20" r:id="rId6"/>
    <sheet name="u19 girls" sheetId="29" r:id="rId7"/>
    <sheet name="u15 boys" sheetId="22" r:id="rId8"/>
    <sheet name="u15 girls" sheetId="23" r:id="rId9"/>
    <sheet name="u13 boys" sheetId="24" r:id="rId10"/>
    <sheet name="u13 girls" sheetId="25" r:id="rId11"/>
    <sheet name="u11 boys" sheetId="39" r:id="rId12"/>
    <sheet name="u11 girls" sheetId="38" r:id="rId13"/>
    <sheet name="Male Players" sheetId="28" r:id="rId14"/>
    <sheet name="Female Players" sheetId="27" r:id="rId15"/>
    <sheet name="Rules" sheetId="1" r:id="rId16"/>
    <sheet name="Point Allocation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4" hidden="1">'Female Players'!$A$4:$H$3017</definedName>
    <definedName name="_xlnm._FilterDatabase" localSheetId="13" hidden="1">'Male Players'!$A$4:$H$6020</definedName>
    <definedName name="_xlnm._FilterDatabase" localSheetId="2" hidden="1">Men!$A$3:$AL$3</definedName>
    <definedName name="_xlnm._FilterDatabase" localSheetId="11" hidden="1">'u11 boys'!$A$4:$AL$146</definedName>
    <definedName name="_xlnm._FilterDatabase" localSheetId="12" hidden="1">'u11 girls'!$A$4:$K$120</definedName>
    <definedName name="_xlnm._FilterDatabase" localSheetId="9" hidden="1">'u13 boys'!$A$4:$AM$281</definedName>
    <definedName name="_xlnm._FilterDatabase" localSheetId="10" hidden="1">'u13 girls'!$A$4:$K$207</definedName>
    <definedName name="_xlnm._FilterDatabase" localSheetId="7" hidden="1">'u15 boys'!$A$4:$AO$60</definedName>
    <definedName name="_xlnm._FilterDatabase" localSheetId="8" hidden="1">'u15 girls'!$A$4:$AN$193</definedName>
    <definedName name="_xlnm._FilterDatabase" localSheetId="5" hidden="1">'u19 boys'!$A$4:$A$221</definedName>
    <definedName name="_xlnm._FilterDatabase" localSheetId="6" hidden="1">'u19 girls'!$A$4:$AN$187</definedName>
    <definedName name="_xlnm._FilterDatabase" localSheetId="3" hidden="1">Women!$A$4:$AK$275</definedName>
    <definedName name="_xlcn.LinkedTable_Table31" hidden="1">Table3[]</definedName>
    <definedName name="_xlnm.Database" localSheetId="5">'u19 boys'!$B$4:$AO$352</definedName>
    <definedName name="Events">[1]EVENTS!$A$1:$A$4</definedName>
    <definedName name="_xlnm.Print_Area" localSheetId="0">'All Rankings'!$A$1:$K$285</definedName>
    <definedName name="_xlnm.Print_Area" localSheetId="2">Men!$A$1:$F$440</definedName>
    <definedName name="_xlnm.Print_Area" localSheetId="11">'u11 boys'!$A$1:$AL$17</definedName>
    <definedName name="_xlnm.Print_Area" localSheetId="12">'u11 girls'!$A$1:$AH$19</definedName>
    <definedName name="_xlnm.Print_Area" localSheetId="9">'u13 boys'!$A$1:$AM$38</definedName>
    <definedName name="_xlnm.Print_Area" localSheetId="10">'u13 girls'!$A$1:$AO$37</definedName>
    <definedName name="_xlnm.Print_Area" localSheetId="7">'u15 boys'!$A$1:$AO$105</definedName>
    <definedName name="_xlnm.Print_Area" localSheetId="8">'u15 girls'!$A$1:$AN$34</definedName>
    <definedName name="_xlnm.Print_Area" localSheetId="5">'u19 boys'!$B$1:$AO$57</definedName>
    <definedName name="_xlnm.Print_Area" localSheetId="6">'u19 girls'!$A$1:$AN$14</definedName>
    <definedName name="_xlnm.Print_Area" localSheetId="3">Women!$A$1:$AK$22</definedName>
    <definedName name="_xlnm.Print_Titles" localSheetId="0">'All Rankings'!$1:$3</definedName>
    <definedName name="_xlnm.Print_Titles" localSheetId="2">Men!$1:$4</definedName>
    <definedName name="_xlnm.Print_Titles" localSheetId="7">'u15 boys'!$1:$4</definedName>
    <definedName name="_xlnm.Print_Titles" localSheetId="5">'u19 boys'!$1:$4</definedName>
    <definedName name="_xlnm.Print_Titles" localSheetId="6">'u19 girls'!$1:$4</definedName>
    <definedName name="_xlnm.Print_Titles" localSheetId="3">Women!$1:$4</definedName>
  </definedNames>
  <calcPr calcId="181029"/>
  <fileRecoveryPr autoRecover="0"/>
  <extLst>
    <ext xmlns:x15="http://schemas.microsoft.com/office/spreadsheetml/2010/11/main" uri="{FCE2AD5D-F65C-4FA6-A056-5C36A1767C68}">
      <x15:dataModel>
        <x15:modelTables>
          <x15:modelTable id="Table3" name="Table3" connection="LinkedTable_Table3"/>
        </x15:modelTables>
      </x15:dataModel>
    </ext>
  </extLst>
</workbook>
</file>

<file path=xl/calcChain.xml><?xml version="1.0" encoding="utf-8"?>
<calcChain xmlns="http://schemas.openxmlformats.org/spreadsheetml/2006/main">
  <c r="G5" i="25" l="1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E4216" i="28" l="1"/>
  <c r="E4215" i="28"/>
  <c r="E4214" i="28"/>
  <c r="E4213" i="28"/>
  <c r="E4212" i="28"/>
  <c r="E4211" i="28"/>
  <c r="E4210" i="28"/>
  <c r="E4209" i="28"/>
  <c r="E4208" i="28"/>
  <c r="E4207" i="28"/>
  <c r="E4206" i="28"/>
  <c r="E4205" i="28"/>
  <c r="E4204" i="28"/>
  <c r="E4203" i="28"/>
  <c r="E4202" i="28"/>
  <c r="E4201" i="28"/>
  <c r="E4200" i="28"/>
  <c r="E4199" i="28"/>
  <c r="E4198" i="28"/>
  <c r="E4197" i="28"/>
  <c r="E4196" i="28"/>
  <c r="E4195" i="28"/>
  <c r="E4194" i="28"/>
  <c r="E4193" i="28"/>
  <c r="E4192" i="28"/>
  <c r="E4191" i="28"/>
  <c r="E4190" i="28"/>
  <c r="E4189" i="28"/>
  <c r="E4188" i="28"/>
  <c r="E4187" i="28"/>
  <c r="E4186" i="28"/>
  <c r="E4185" i="28"/>
  <c r="E4184" i="28"/>
  <c r="E4183" i="28"/>
  <c r="E4182" i="28"/>
  <c r="E4181" i="28"/>
  <c r="E4180" i="28"/>
  <c r="E4179" i="28"/>
  <c r="E4178" i="28"/>
  <c r="E4177" i="28"/>
  <c r="E4176" i="28"/>
  <c r="E4175" i="28"/>
  <c r="E4174" i="28"/>
  <c r="E4173" i="28"/>
  <c r="E4172" i="28"/>
  <c r="E4171" i="28"/>
  <c r="E4170" i="28"/>
  <c r="E4169" i="28"/>
  <c r="E4168" i="28"/>
  <c r="E4167" i="28"/>
  <c r="E4166" i="28"/>
  <c r="E4165" i="28"/>
  <c r="E4164" i="28"/>
  <c r="E4163" i="28"/>
  <c r="E4162" i="28"/>
  <c r="E4161" i="28"/>
  <c r="E4160" i="28"/>
  <c r="E4159" i="28"/>
  <c r="E4158" i="28"/>
  <c r="E4157" i="28"/>
  <c r="E4156" i="28"/>
  <c r="E4155" i="28"/>
  <c r="E4154" i="28"/>
  <c r="E4153" i="28"/>
  <c r="E4152" i="28"/>
  <c r="E4151" i="28"/>
  <c r="E4150" i="28"/>
  <c r="E4149" i="28"/>
  <c r="E4148" i="28"/>
  <c r="E4147" i="28"/>
  <c r="E4146" i="28"/>
  <c r="E4145" i="28"/>
  <c r="E4144" i="28"/>
  <c r="E4143" i="28"/>
  <c r="E4142" i="28"/>
  <c r="E4141" i="28"/>
  <c r="E4140" i="28"/>
  <c r="E4139" i="28"/>
  <c r="E4138" i="28"/>
  <c r="E4137" i="28"/>
  <c r="E4136" i="28"/>
  <c r="E4135" i="28"/>
  <c r="E4134" i="28"/>
  <c r="E4133" i="28"/>
  <c r="E4132" i="28"/>
  <c r="E4131" i="28"/>
  <c r="E4130" i="28"/>
  <c r="E4129" i="28"/>
  <c r="E4128" i="28"/>
  <c r="E4127" i="28"/>
  <c r="E4126" i="28"/>
  <c r="E4125" i="28"/>
  <c r="E4124" i="28"/>
  <c r="E4123" i="28"/>
  <c r="E4122" i="28"/>
  <c r="E4121" i="28"/>
  <c r="E4120" i="28"/>
  <c r="E4119" i="28"/>
  <c r="E4118" i="28"/>
  <c r="E4117" i="28"/>
  <c r="E4116" i="28"/>
  <c r="E4115" i="28"/>
  <c r="E4114" i="28"/>
  <c r="E4113" i="28"/>
  <c r="E4112" i="28"/>
  <c r="E4111" i="28"/>
  <c r="E4110" i="28"/>
  <c r="E4109" i="28"/>
  <c r="E4108" i="28"/>
  <c r="E4107" i="28"/>
  <c r="E4106" i="28"/>
  <c r="E4105" i="28"/>
  <c r="E4104" i="28"/>
  <c r="E4103" i="28"/>
  <c r="E4102" i="28"/>
  <c r="E4101" i="28"/>
  <c r="E4100" i="28"/>
  <c r="E4099" i="28"/>
  <c r="E4098" i="28"/>
  <c r="E4097" i="28"/>
  <c r="E4096" i="28"/>
  <c r="E4095" i="28"/>
  <c r="E4094" i="28"/>
  <c r="E4093" i="28"/>
  <c r="E4092" i="28"/>
  <c r="E4091" i="28"/>
  <c r="E4090" i="28"/>
  <c r="E4089" i="28"/>
  <c r="E4088" i="28"/>
  <c r="E4087" i="28"/>
  <c r="E4086" i="28"/>
  <c r="E4085" i="28"/>
  <c r="E4084" i="28"/>
  <c r="E4083" i="28"/>
  <c r="E4082" i="28"/>
  <c r="E4081" i="28"/>
  <c r="E4080" i="28"/>
  <c r="E4079" i="28"/>
  <c r="E4078" i="28"/>
  <c r="E4077" i="28"/>
  <c r="E4076" i="28"/>
  <c r="E4075" i="28"/>
  <c r="E4074" i="28"/>
  <c r="E4073" i="28"/>
  <c r="E4072" i="28"/>
  <c r="E4071" i="28"/>
  <c r="E4070" i="28"/>
  <c r="E4069" i="28"/>
  <c r="E4068" i="28"/>
  <c r="E4067" i="28"/>
  <c r="E4066" i="28"/>
  <c r="E4065" i="28"/>
  <c r="E4064" i="28"/>
  <c r="E4063" i="28"/>
  <c r="E4062" i="28"/>
  <c r="E4061" i="28"/>
  <c r="E4060" i="28"/>
  <c r="E4059" i="28"/>
  <c r="E4058" i="28"/>
  <c r="E4057" i="28"/>
  <c r="E4056" i="28"/>
  <c r="E4055" i="28"/>
  <c r="E4054" i="28"/>
  <c r="E4053" i="28"/>
  <c r="E4052" i="28"/>
  <c r="E4051" i="28"/>
  <c r="E4050" i="28"/>
  <c r="E4049" i="28"/>
  <c r="E4048" i="28"/>
  <c r="E4047" i="28"/>
  <c r="E4046" i="28"/>
  <c r="E4045" i="28"/>
  <c r="E4044" i="28"/>
  <c r="E4043" i="28"/>
  <c r="E4042" i="28"/>
  <c r="E4041" i="28"/>
  <c r="E4040" i="28"/>
  <c r="E4039" i="28"/>
  <c r="E4038" i="28"/>
  <c r="E4037" i="28"/>
  <c r="E4036" i="28"/>
  <c r="E4035" i="28"/>
  <c r="E4034" i="28"/>
  <c r="E4033" i="28"/>
  <c r="E4032" i="28"/>
  <c r="E4031" i="28"/>
  <c r="E4030" i="28"/>
  <c r="E4029" i="28"/>
  <c r="E4028" i="28"/>
  <c r="E4027" i="28"/>
  <c r="E4026" i="28"/>
  <c r="E4025" i="28"/>
  <c r="E4024" i="28"/>
  <c r="E4023" i="28"/>
  <c r="E4022" i="28"/>
  <c r="E4021" i="28"/>
  <c r="E4020" i="28"/>
  <c r="E4019" i="28"/>
  <c r="E4018" i="28"/>
  <c r="E4017" i="28"/>
  <c r="E4016" i="28"/>
  <c r="E4015" i="28"/>
  <c r="E4014" i="28"/>
  <c r="E4013" i="28"/>
  <c r="E4012" i="28"/>
  <c r="E4011" i="28"/>
  <c r="E4010" i="28"/>
  <c r="E4009" i="28"/>
  <c r="E4008" i="28"/>
  <c r="E4007" i="28"/>
  <c r="E4006" i="28"/>
  <c r="E4005" i="28"/>
  <c r="E4004" i="28"/>
  <c r="E4003" i="28"/>
  <c r="E4002" i="28"/>
  <c r="E4001" i="28"/>
  <c r="E4000" i="28"/>
  <c r="E3999" i="28"/>
  <c r="E3998" i="28"/>
  <c r="E3997" i="28"/>
  <c r="E3996" i="28"/>
  <c r="E3995" i="28"/>
  <c r="E3994" i="28"/>
  <c r="E3993" i="28"/>
  <c r="E3992" i="28"/>
  <c r="E3991" i="28"/>
  <c r="E3990" i="28"/>
  <c r="E3989" i="28"/>
  <c r="E3988" i="28"/>
  <c r="E3987" i="28"/>
  <c r="E3986" i="28"/>
  <c r="E3985" i="28"/>
  <c r="E3984" i="28"/>
  <c r="E3983" i="28"/>
  <c r="E3982" i="28"/>
  <c r="E3981" i="28"/>
  <c r="E3980" i="28"/>
  <c r="E3979" i="28"/>
  <c r="E3978" i="28"/>
  <c r="E3977" i="28"/>
  <c r="E3976" i="28"/>
  <c r="E3975" i="28"/>
  <c r="E3974" i="28"/>
  <c r="E3973" i="28"/>
  <c r="E3972" i="28"/>
  <c r="E3971" i="28"/>
  <c r="E3970" i="28"/>
  <c r="E3969" i="28"/>
  <c r="E3968" i="28"/>
  <c r="E3967" i="28"/>
  <c r="E3966" i="28"/>
  <c r="E3965" i="28"/>
  <c r="E3964" i="28"/>
  <c r="E3963" i="28"/>
  <c r="E3962" i="28"/>
  <c r="E3961" i="28"/>
  <c r="E3960" i="28"/>
  <c r="E3959" i="28"/>
  <c r="E3958" i="28"/>
  <c r="E3957" i="28"/>
  <c r="E3956" i="28"/>
  <c r="E3955" i="28"/>
  <c r="E3954" i="28"/>
  <c r="E3953" i="28"/>
  <c r="E3952" i="28"/>
  <c r="E3951" i="28"/>
  <c r="E3950" i="28"/>
  <c r="E3949" i="28"/>
  <c r="E3948" i="28"/>
  <c r="E3947" i="28"/>
  <c r="E3946" i="28"/>
  <c r="E3945" i="28"/>
  <c r="E3944" i="28"/>
  <c r="E3943" i="28"/>
  <c r="E3942" i="28"/>
  <c r="E3941" i="28"/>
  <c r="E3940" i="28"/>
  <c r="E3939" i="28"/>
  <c r="E3938" i="28"/>
  <c r="E3937" i="28"/>
  <c r="E3936" i="28"/>
  <c r="E3935" i="28"/>
  <c r="E3934" i="28"/>
  <c r="E3933" i="28"/>
  <c r="E3932" i="28"/>
  <c r="E3931" i="28"/>
  <c r="E3930" i="28"/>
  <c r="E3929" i="28"/>
  <c r="E3928" i="28"/>
  <c r="E3927" i="28"/>
  <c r="E3926" i="28"/>
  <c r="E3925" i="28"/>
  <c r="E3924" i="28"/>
  <c r="E3923" i="28"/>
  <c r="E3922" i="28"/>
  <c r="E3921" i="28"/>
  <c r="E3920" i="28"/>
  <c r="E3919" i="28"/>
  <c r="E3918" i="28"/>
  <c r="E3917" i="28"/>
  <c r="E3916" i="28"/>
  <c r="E3915" i="28"/>
  <c r="E3914" i="28"/>
  <c r="E3913" i="28"/>
  <c r="E3912" i="28"/>
  <c r="E3911" i="28"/>
  <c r="E3910" i="28"/>
  <c r="E3909" i="28"/>
  <c r="E3908" i="28"/>
  <c r="E3907" i="28"/>
  <c r="E3906" i="28"/>
  <c r="E3905" i="28"/>
  <c r="E3904" i="28"/>
  <c r="E3903" i="28"/>
  <c r="E3902" i="28"/>
  <c r="E3901" i="28"/>
  <c r="E3900" i="28"/>
  <c r="E3899" i="28"/>
  <c r="E3898" i="28"/>
  <c r="E3897" i="28"/>
  <c r="E3896" i="28"/>
  <c r="E3895" i="28"/>
  <c r="E3894" i="28"/>
  <c r="E3893" i="28"/>
  <c r="E3892" i="28"/>
  <c r="E3891" i="28"/>
  <c r="E3890" i="28"/>
  <c r="E3889" i="28"/>
  <c r="E3888" i="28"/>
  <c r="E3887" i="28"/>
  <c r="E3886" i="28"/>
  <c r="E3885" i="28"/>
  <c r="E3884" i="28"/>
  <c r="E3883" i="28"/>
  <c r="E3882" i="28"/>
  <c r="E3881" i="28"/>
  <c r="E3880" i="28"/>
  <c r="E3879" i="28"/>
  <c r="E3878" i="28"/>
  <c r="E3877" i="28"/>
  <c r="E3876" i="28"/>
  <c r="E3875" i="28"/>
  <c r="E3874" i="28"/>
  <c r="E3873" i="28"/>
  <c r="E3872" i="28"/>
  <c r="E3871" i="28"/>
  <c r="E3870" i="28"/>
  <c r="E3869" i="28"/>
  <c r="E3868" i="28"/>
  <c r="E3867" i="28"/>
  <c r="E3866" i="28"/>
  <c r="E3865" i="28"/>
  <c r="E3864" i="28"/>
  <c r="E3863" i="28"/>
  <c r="E3862" i="28"/>
  <c r="E3861" i="28"/>
  <c r="E3860" i="28"/>
  <c r="E3859" i="28"/>
  <c r="E3858" i="28"/>
  <c r="E3857" i="28"/>
  <c r="E3856" i="28"/>
  <c r="E3855" i="28"/>
  <c r="E3854" i="28"/>
  <c r="E3853" i="28"/>
  <c r="E3852" i="28"/>
  <c r="E3851" i="28"/>
  <c r="E3850" i="28"/>
  <c r="E3849" i="28"/>
  <c r="E3848" i="28"/>
  <c r="E3847" i="28"/>
  <c r="E3846" i="28"/>
  <c r="E3845" i="28"/>
  <c r="E3844" i="28"/>
  <c r="E3843" i="28"/>
  <c r="E3842" i="28"/>
  <c r="E3841" i="28"/>
  <c r="E3840" i="28"/>
  <c r="E3839" i="28"/>
  <c r="E3838" i="28"/>
  <c r="E3837" i="28"/>
  <c r="E3836" i="28"/>
  <c r="E3835" i="28"/>
  <c r="E3834" i="28"/>
  <c r="E3833" i="28"/>
  <c r="E3832" i="28"/>
  <c r="E3831" i="28"/>
  <c r="E3830" i="28"/>
  <c r="E3829" i="28"/>
  <c r="E3828" i="28"/>
  <c r="E3827" i="28"/>
  <c r="E3826" i="28"/>
  <c r="E3825" i="28"/>
  <c r="E3824" i="28"/>
  <c r="E3823" i="28"/>
  <c r="E3822" i="28"/>
  <c r="E3821" i="28"/>
  <c r="E3820" i="28"/>
  <c r="E3819" i="28"/>
  <c r="E3818" i="28"/>
  <c r="E3817" i="28"/>
  <c r="E3816" i="28"/>
  <c r="E3815" i="28"/>
  <c r="E3814" i="28"/>
  <c r="E3813" i="28"/>
  <c r="E3812" i="28"/>
  <c r="E3811" i="28"/>
  <c r="E3810" i="28"/>
  <c r="E3809" i="28"/>
  <c r="E3808" i="28"/>
  <c r="E3807" i="28"/>
  <c r="E3806" i="28"/>
  <c r="E3805" i="28"/>
  <c r="E3804" i="28"/>
  <c r="E3803" i="28"/>
  <c r="E3802" i="28"/>
  <c r="E3801" i="28"/>
  <c r="E3800" i="28"/>
  <c r="E3799" i="28"/>
  <c r="E3798" i="28"/>
  <c r="E3797" i="28"/>
  <c r="E3796" i="28"/>
  <c r="E3795" i="28"/>
  <c r="E3794" i="28"/>
  <c r="E3793" i="28"/>
  <c r="E3792" i="28"/>
  <c r="E3791" i="28"/>
  <c r="E3790" i="28"/>
  <c r="E3789" i="28"/>
  <c r="E3788" i="28"/>
  <c r="E3787" i="28"/>
  <c r="E3786" i="28"/>
  <c r="E3785" i="28"/>
  <c r="E3784" i="28"/>
  <c r="E3783" i="28"/>
  <c r="E3782" i="28"/>
  <c r="E3781" i="28"/>
  <c r="E3780" i="28"/>
  <c r="E3779" i="28"/>
  <c r="E3778" i="28"/>
  <c r="E3777" i="28"/>
  <c r="E3776" i="28"/>
  <c r="E3775" i="28"/>
  <c r="E3774" i="28"/>
  <c r="E3773" i="28"/>
  <c r="E3772" i="28"/>
  <c r="E3771" i="28"/>
  <c r="E3770" i="28"/>
  <c r="E3769" i="28"/>
  <c r="E3768" i="28"/>
  <c r="E3767" i="28"/>
  <c r="E3766" i="28"/>
  <c r="E3765" i="28"/>
  <c r="E3764" i="28"/>
  <c r="E3763" i="28"/>
  <c r="E3762" i="28"/>
  <c r="E3761" i="28"/>
  <c r="E3760" i="28"/>
  <c r="E3759" i="28"/>
  <c r="E3758" i="28"/>
  <c r="E3757" i="28"/>
  <c r="E3756" i="28"/>
  <c r="E3755" i="28"/>
  <c r="E3754" i="28"/>
  <c r="E3753" i="28"/>
  <c r="E3752" i="28"/>
  <c r="E3751" i="28"/>
  <c r="E3750" i="28"/>
  <c r="E3749" i="28"/>
  <c r="E3748" i="28"/>
  <c r="E3747" i="28"/>
  <c r="E3746" i="28"/>
  <c r="E3745" i="28"/>
  <c r="E3744" i="28"/>
  <c r="E3743" i="28"/>
  <c r="E3742" i="28"/>
  <c r="E3741" i="28"/>
  <c r="E3740" i="28"/>
  <c r="E3739" i="28"/>
  <c r="E3738" i="28"/>
  <c r="E3737" i="28"/>
  <c r="E3736" i="28"/>
  <c r="E3735" i="28"/>
  <c r="E3734" i="28"/>
  <c r="E3733" i="28"/>
  <c r="E3732" i="28"/>
  <c r="E3731" i="28"/>
  <c r="E3730" i="28"/>
  <c r="E3729" i="28"/>
  <c r="E3728" i="28"/>
  <c r="E3727" i="28"/>
  <c r="E3726" i="28"/>
  <c r="E3725" i="28"/>
  <c r="E3724" i="28"/>
  <c r="E3723" i="28"/>
  <c r="E3722" i="28"/>
  <c r="E3721" i="28"/>
  <c r="E3720" i="28"/>
  <c r="E3719" i="28"/>
  <c r="E3718" i="28"/>
  <c r="E3717" i="28"/>
  <c r="E3716" i="28"/>
  <c r="E3715" i="28"/>
  <c r="E3714" i="28"/>
  <c r="E3713" i="28"/>
  <c r="E3712" i="28"/>
  <c r="E3711" i="28"/>
  <c r="E3710" i="28"/>
  <c r="E3709" i="28"/>
  <c r="E3708" i="28"/>
  <c r="E3707" i="28"/>
  <c r="E3706" i="28"/>
  <c r="E3705" i="28"/>
  <c r="E3704" i="28"/>
  <c r="E3703" i="28"/>
  <c r="E3702" i="28"/>
  <c r="E3701" i="28"/>
  <c r="E3700" i="28"/>
  <c r="E3699" i="28"/>
  <c r="E3698" i="28"/>
  <c r="E3697" i="28"/>
  <c r="E3696" i="28"/>
  <c r="E3695" i="28"/>
  <c r="E3694" i="28"/>
  <c r="E3693" i="28"/>
  <c r="E3692" i="28"/>
  <c r="E3691" i="28"/>
  <c r="E3690" i="28"/>
  <c r="E3689" i="28"/>
  <c r="E3688" i="28"/>
  <c r="E3687" i="28"/>
  <c r="E3686" i="28"/>
  <c r="E3685" i="28"/>
  <c r="E3684" i="28"/>
  <c r="E3683" i="28"/>
  <c r="E3682" i="28"/>
  <c r="E3681" i="28"/>
  <c r="E3680" i="28"/>
  <c r="E3679" i="28"/>
  <c r="E3678" i="28"/>
  <c r="E3677" i="28"/>
  <c r="E3676" i="28"/>
  <c r="E3675" i="28"/>
  <c r="E3674" i="28"/>
  <c r="E3673" i="28"/>
  <c r="E3672" i="28"/>
  <c r="E3671" i="28"/>
  <c r="E3670" i="28"/>
  <c r="E3669" i="28"/>
  <c r="E3668" i="28"/>
  <c r="E3667" i="28"/>
  <c r="E3666" i="28"/>
  <c r="E3665" i="28"/>
  <c r="E3664" i="28"/>
  <c r="E3663" i="28"/>
  <c r="E3662" i="28"/>
  <c r="E3661" i="28"/>
  <c r="E3660" i="28"/>
  <c r="E3659" i="28"/>
  <c r="E3658" i="28"/>
  <c r="E3657" i="28"/>
  <c r="E3656" i="28"/>
  <c r="E3655" i="28"/>
  <c r="E3654" i="28"/>
  <c r="E3653" i="28"/>
  <c r="E3652" i="28"/>
  <c r="E3651" i="28"/>
  <c r="E3650" i="28"/>
  <c r="E3649" i="28"/>
  <c r="E3648" i="28"/>
  <c r="E3647" i="28"/>
  <c r="E3646" i="28"/>
  <c r="E3645" i="28"/>
  <c r="E3644" i="28"/>
  <c r="E3643" i="28"/>
  <c r="E3642" i="28"/>
  <c r="E3641" i="28"/>
  <c r="E3640" i="28"/>
  <c r="E3639" i="28"/>
  <c r="E3638" i="28"/>
  <c r="E3637" i="28"/>
  <c r="E3636" i="28"/>
  <c r="E3635" i="28"/>
  <c r="E3634" i="28"/>
  <c r="E3633" i="28"/>
  <c r="E3632" i="28"/>
  <c r="E3631" i="28"/>
  <c r="E3630" i="28"/>
  <c r="E3629" i="28"/>
  <c r="E3628" i="28"/>
  <c r="E3627" i="28"/>
  <c r="E3626" i="28"/>
  <c r="E3625" i="28"/>
  <c r="E3624" i="28"/>
  <c r="E3623" i="28"/>
  <c r="E3622" i="28"/>
  <c r="E3621" i="28"/>
  <c r="E3620" i="28"/>
  <c r="E3619" i="28"/>
  <c r="E3618" i="28"/>
  <c r="E3617" i="28"/>
  <c r="E3616" i="28"/>
  <c r="E3615" i="28"/>
  <c r="E3614" i="28"/>
  <c r="E3613" i="28"/>
  <c r="E3612" i="28"/>
  <c r="E3611" i="28"/>
  <c r="E3610" i="28"/>
  <c r="E3609" i="28"/>
  <c r="E3608" i="28"/>
  <c r="E3607" i="28"/>
  <c r="E3606" i="28"/>
  <c r="E3605" i="28"/>
  <c r="E3604" i="28"/>
  <c r="E3603" i="28"/>
  <c r="E3602" i="28"/>
  <c r="E3601" i="28"/>
  <c r="E3600" i="28"/>
  <c r="E3599" i="28"/>
  <c r="E3598" i="28"/>
  <c r="E3597" i="28"/>
  <c r="E3596" i="28"/>
  <c r="E3595" i="28"/>
  <c r="E3594" i="28"/>
  <c r="E3593" i="28"/>
  <c r="E3592" i="28"/>
  <c r="E3591" i="28"/>
  <c r="E3590" i="28"/>
  <c r="E3589" i="28"/>
  <c r="E3588" i="28"/>
  <c r="E3587" i="28"/>
  <c r="E3586" i="28"/>
  <c r="E3585" i="28"/>
  <c r="E3584" i="28"/>
  <c r="E3583" i="28"/>
  <c r="E3582" i="28"/>
  <c r="E3581" i="28"/>
  <c r="E3580" i="28"/>
  <c r="E3579" i="28"/>
  <c r="E3578" i="28"/>
  <c r="E3577" i="28"/>
  <c r="E3576" i="28"/>
  <c r="E3575" i="28"/>
  <c r="E3574" i="28"/>
  <c r="E3573" i="28"/>
  <c r="E3572" i="28"/>
  <c r="E3571" i="28"/>
  <c r="E3570" i="28"/>
  <c r="E3569" i="28"/>
  <c r="E3568" i="28"/>
  <c r="E3567" i="28"/>
  <c r="E3566" i="28"/>
  <c r="E3565" i="28"/>
  <c r="E3564" i="28"/>
  <c r="E3563" i="28"/>
  <c r="E3562" i="28"/>
  <c r="E3561" i="28"/>
  <c r="E3560" i="28"/>
  <c r="E3559" i="28"/>
  <c r="E3558" i="28"/>
  <c r="E3557" i="28"/>
  <c r="E3556" i="28"/>
  <c r="E3555" i="28"/>
  <c r="E3554" i="28"/>
  <c r="E3553" i="28"/>
  <c r="E3552" i="28"/>
  <c r="E3551" i="28"/>
  <c r="E3550" i="28"/>
  <c r="E3549" i="28"/>
  <c r="E3548" i="28"/>
  <c r="E3547" i="28"/>
  <c r="E3546" i="28"/>
  <c r="E3545" i="28"/>
  <c r="E3544" i="28"/>
  <c r="E3543" i="28"/>
  <c r="E3542" i="28"/>
  <c r="E3541" i="28"/>
  <c r="E3540" i="28"/>
  <c r="E3539" i="28"/>
  <c r="E3538" i="28"/>
  <c r="E3537" i="28"/>
  <c r="E3536" i="28"/>
  <c r="E3535" i="28"/>
  <c r="E3534" i="28"/>
  <c r="E3533" i="28"/>
  <c r="E3532" i="28"/>
  <c r="E3531" i="28"/>
  <c r="E3530" i="28"/>
  <c r="E3529" i="28"/>
  <c r="E3528" i="28"/>
  <c r="E3527" i="28"/>
  <c r="E3526" i="28"/>
  <c r="E3525" i="28"/>
  <c r="E3524" i="28"/>
  <c r="E3523" i="28"/>
  <c r="E3522" i="28"/>
  <c r="E3521" i="28"/>
  <c r="E3520" i="28"/>
  <c r="E3519" i="28"/>
  <c r="E3518" i="28"/>
  <c r="E3517" i="28"/>
  <c r="E3516" i="28"/>
  <c r="E3515" i="28"/>
  <c r="E3514" i="28"/>
  <c r="E3513" i="28"/>
  <c r="E3512" i="28"/>
  <c r="E3511" i="28"/>
  <c r="E3510" i="28"/>
  <c r="E3509" i="28"/>
  <c r="E3508" i="28"/>
  <c r="E3507" i="28"/>
  <c r="E3506" i="28"/>
  <c r="E3505" i="28"/>
  <c r="E3504" i="28"/>
  <c r="E3503" i="28"/>
  <c r="E3502" i="28"/>
  <c r="E3501" i="28"/>
  <c r="E3500" i="28"/>
  <c r="E3499" i="28"/>
  <c r="E3498" i="28"/>
  <c r="E3497" i="28"/>
  <c r="E3496" i="28"/>
  <c r="E3495" i="28"/>
  <c r="E3494" i="28"/>
  <c r="E3493" i="28"/>
  <c r="E3492" i="28"/>
  <c r="E3491" i="28"/>
  <c r="E3490" i="28"/>
  <c r="E3489" i="28"/>
  <c r="E3488" i="28"/>
  <c r="E3487" i="28"/>
  <c r="E3486" i="28"/>
  <c r="E3485" i="28"/>
  <c r="E3484" i="28"/>
  <c r="E3483" i="28"/>
  <c r="E3482" i="28"/>
  <c r="E3481" i="28"/>
  <c r="E3480" i="28"/>
  <c r="E3479" i="28"/>
  <c r="E3478" i="28"/>
  <c r="E3477" i="28"/>
  <c r="E3476" i="28"/>
  <c r="E3475" i="28"/>
  <c r="E3474" i="28"/>
  <c r="E3473" i="28"/>
  <c r="E3472" i="28"/>
  <c r="E3471" i="28"/>
  <c r="E3470" i="28"/>
  <c r="E3469" i="28"/>
  <c r="E3468" i="28"/>
  <c r="E3467" i="28"/>
  <c r="E3466" i="28"/>
  <c r="E3465" i="28"/>
  <c r="E3464" i="28"/>
  <c r="E3463" i="28"/>
  <c r="E3462" i="28"/>
  <c r="E3461" i="28"/>
  <c r="E3460" i="28"/>
  <c r="E3459" i="28"/>
  <c r="E3458" i="28"/>
  <c r="E3457" i="28"/>
  <c r="E3456" i="28"/>
  <c r="E3455" i="28"/>
  <c r="E3454" i="28"/>
  <c r="E3453" i="28"/>
  <c r="E3452" i="28"/>
  <c r="E3451" i="28"/>
  <c r="E3450" i="28"/>
  <c r="E3449" i="28"/>
  <c r="E3448" i="28"/>
  <c r="E3447" i="28"/>
  <c r="E3446" i="28"/>
  <c r="E3445" i="28"/>
  <c r="E3444" i="28"/>
  <c r="E3443" i="28"/>
  <c r="E3442" i="28"/>
  <c r="E3441" i="28"/>
  <c r="E3440" i="28"/>
  <c r="E3439" i="28"/>
  <c r="E3438" i="28"/>
  <c r="E3437" i="28"/>
  <c r="E3436" i="28"/>
  <c r="E3435" i="28"/>
  <c r="E3434" i="28"/>
  <c r="E3433" i="28"/>
  <c r="E3432" i="28"/>
  <c r="E3431" i="28"/>
  <c r="E3430" i="28"/>
  <c r="E3429" i="28"/>
  <c r="E3428" i="28"/>
  <c r="E3427" i="28"/>
  <c r="E3426" i="28"/>
  <c r="E3425" i="28"/>
  <c r="E3424" i="28"/>
  <c r="E3423" i="28"/>
  <c r="E3422" i="28"/>
  <c r="E3421" i="28"/>
  <c r="E3420" i="28"/>
  <c r="E3419" i="28"/>
  <c r="E3418" i="28"/>
  <c r="E3417" i="28"/>
  <c r="E3416" i="28"/>
  <c r="E3415" i="28"/>
  <c r="E3414" i="28"/>
  <c r="E3413" i="28"/>
  <c r="E3412" i="28"/>
  <c r="E3411" i="28"/>
  <c r="E3410" i="28"/>
  <c r="E3409" i="28"/>
  <c r="E3408" i="28"/>
  <c r="E3407" i="28"/>
  <c r="E3406" i="28"/>
  <c r="E3405" i="28"/>
  <c r="E3404" i="28"/>
  <c r="E3403" i="28"/>
  <c r="E3402" i="28"/>
  <c r="E3401" i="28"/>
  <c r="E3400" i="28"/>
  <c r="E3399" i="28"/>
  <c r="E3398" i="28"/>
  <c r="E3397" i="28"/>
  <c r="E3396" i="28"/>
  <c r="E3395" i="28"/>
  <c r="E3394" i="28"/>
  <c r="E3393" i="28"/>
  <c r="E3392" i="28"/>
  <c r="E3391" i="28"/>
  <c r="E3390" i="28"/>
  <c r="E3389" i="28"/>
  <c r="E3388" i="28"/>
  <c r="E3387" i="28"/>
  <c r="E3386" i="28"/>
  <c r="E3385" i="28"/>
  <c r="E3384" i="28"/>
  <c r="E3383" i="28"/>
  <c r="E3382" i="28"/>
  <c r="E3381" i="28"/>
  <c r="E3380" i="28"/>
  <c r="E3379" i="28"/>
  <c r="E3378" i="28"/>
  <c r="E3377" i="28"/>
  <c r="E3376" i="28"/>
  <c r="E3375" i="28"/>
  <c r="E3374" i="28"/>
  <c r="E3373" i="28"/>
  <c r="E3372" i="28"/>
  <c r="E3371" i="28"/>
  <c r="E3370" i="28"/>
  <c r="E3369" i="28"/>
  <c r="E3368" i="28"/>
  <c r="E3367" i="28"/>
  <c r="E3366" i="28"/>
  <c r="E3365" i="28"/>
  <c r="E3364" i="28"/>
  <c r="E3363" i="28"/>
  <c r="E3362" i="28"/>
  <c r="E3361" i="28"/>
  <c r="E3360" i="28"/>
  <c r="E3359" i="28"/>
  <c r="E3358" i="28"/>
  <c r="E3357" i="28"/>
  <c r="E3356" i="28"/>
  <c r="E3355" i="28"/>
  <c r="E3354" i="28"/>
  <c r="E3353" i="28"/>
  <c r="E3352" i="28"/>
  <c r="E3351" i="28"/>
  <c r="E3350" i="28"/>
  <c r="E3349" i="28"/>
  <c r="E3348" i="28"/>
  <c r="E3347" i="28"/>
  <c r="E3346" i="28"/>
  <c r="E3345" i="28"/>
  <c r="E3344" i="28"/>
  <c r="E3343" i="28"/>
  <c r="E3342" i="28"/>
  <c r="E3341" i="28"/>
  <c r="E3340" i="28"/>
  <c r="E3339" i="28"/>
  <c r="E3338" i="28"/>
  <c r="E3337" i="28"/>
  <c r="E3336" i="28"/>
  <c r="E3335" i="28"/>
  <c r="E3334" i="28"/>
  <c r="E3333" i="28"/>
  <c r="E3332" i="28"/>
  <c r="E3331" i="28"/>
  <c r="E3330" i="28"/>
  <c r="E3329" i="28"/>
  <c r="E3328" i="28"/>
  <c r="E3327" i="28"/>
  <c r="E3326" i="28"/>
  <c r="E3325" i="28"/>
  <c r="E3324" i="28"/>
  <c r="E3323" i="28"/>
  <c r="E3322" i="28"/>
  <c r="E3321" i="28"/>
  <c r="E3320" i="28"/>
  <c r="E3319" i="28"/>
  <c r="E3318" i="28"/>
  <c r="E3317" i="28"/>
  <c r="E3316" i="28"/>
  <c r="E3315" i="28"/>
  <c r="E3314" i="28"/>
  <c r="E3313" i="28"/>
  <c r="E3312" i="28"/>
  <c r="E3311" i="28"/>
  <c r="E3310" i="28"/>
  <c r="E3309" i="28"/>
  <c r="E3308" i="28"/>
  <c r="E3307" i="28"/>
  <c r="E3306" i="28"/>
  <c r="E3305" i="28"/>
  <c r="E3304" i="28"/>
  <c r="E3303" i="28"/>
  <c r="E3302" i="28"/>
  <c r="E3301" i="28"/>
  <c r="E3300" i="28"/>
  <c r="E3299" i="28"/>
  <c r="E3298" i="28"/>
  <c r="E3297" i="28"/>
  <c r="E3296" i="28"/>
  <c r="E3295" i="28"/>
  <c r="E3294" i="28"/>
  <c r="E3293" i="28"/>
  <c r="E3292" i="28"/>
  <c r="E3291" i="28"/>
  <c r="E3290" i="28"/>
  <c r="E3289" i="28"/>
  <c r="E3288" i="28"/>
  <c r="E3287" i="28"/>
  <c r="E3286" i="28"/>
  <c r="E3285" i="28"/>
  <c r="E3284" i="28"/>
  <c r="E3283" i="28"/>
  <c r="E3282" i="28"/>
  <c r="E3281" i="28"/>
  <c r="E3280" i="28"/>
  <c r="E3279" i="28"/>
  <c r="E3278" i="28"/>
  <c r="E3277" i="28"/>
  <c r="E3276" i="28"/>
  <c r="E3275" i="28"/>
  <c r="E3274" i="28"/>
  <c r="E3273" i="28"/>
  <c r="E3272" i="28"/>
  <c r="E3271" i="28"/>
  <c r="E3270" i="28"/>
  <c r="E3269" i="28"/>
  <c r="E3268" i="28"/>
  <c r="E3267" i="28"/>
  <c r="E3266" i="28"/>
  <c r="E3265" i="28"/>
  <c r="E3264" i="28"/>
  <c r="E3263" i="28"/>
  <c r="E3262" i="28"/>
  <c r="E3261" i="28"/>
  <c r="E3260" i="28"/>
  <c r="E3259" i="28"/>
  <c r="E3258" i="28"/>
  <c r="E3257" i="28"/>
  <c r="E3256" i="28"/>
  <c r="E3255" i="28"/>
  <c r="E3254" i="28"/>
  <c r="E3253" i="28"/>
  <c r="E3252" i="28"/>
  <c r="E3251" i="28"/>
  <c r="E3250" i="28"/>
  <c r="E3249" i="28"/>
  <c r="E3248" i="28"/>
  <c r="E3247" i="28"/>
  <c r="E3246" i="28"/>
  <c r="E3245" i="28"/>
  <c r="E3244" i="28"/>
  <c r="E3243" i="28"/>
  <c r="E3242" i="28"/>
  <c r="E3241" i="28"/>
  <c r="E3240" i="28"/>
  <c r="E3239" i="28"/>
  <c r="E3238" i="28"/>
  <c r="E3237" i="28"/>
  <c r="E3236" i="28"/>
  <c r="E3235" i="28"/>
  <c r="E3234" i="28"/>
  <c r="E3233" i="28"/>
  <c r="E3232" i="28"/>
  <c r="E3231" i="28"/>
  <c r="E3230" i="28"/>
  <c r="E3229" i="28"/>
  <c r="E3228" i="28"/>
  <c r="E3227" i="28"/>
  <c r="E3226" i="28"/>
  <c r="E3225" i="28"/>
  <c r="E3224" i="28"/>
  <c r="E3223" i="28"/>
  <c r="E3222" i="28"/>
  <c r="E3221" i="28"/>
  <c r="E3220" i="28"/>
  <c r="E3219" i="28"/>
  <c r="E3218" i="28"/>
  <c r="E3217" i="28"/>
  <c r="E3216" i="28"/>
  <c r="E3215" i="28"/>
  <c r="E3214" i="28"/>
  <c r="E3213" i="28"/>
  <c r="E3212" i="28"/>
  <c r="E3211" i="28"/>
  <c r="E3210" i="28"/>
  <c r="E3209" i="28"/>
  <c r="E3208" i="28"/>
  <c r="E3207" i="28"/>
  <c r="E3206" i="28"/>
  <c r="E3205" i="28"/>
  <c r="E3204" i="28"/>
  <c r="E3203" i="28"/>
  <c r="E3202" i="28"/>
  <c r="E3201" i="28"/>
  <c r="E3200" i="28"/>
  <c r="E3199" i="28"/>
  <c r="E3198" i="28"/>
  <c r="E3197" i="28"/>
  <c r="E3196" i="28"/>
  <c r="E3195" i="28"/>
  <c r="E3194" i="28"/>
  <c r="E3193" i="28"/>
  <c r="E3192" i="28"/>
  <c r="E3191" i="28"/>
  <c r="E3190" i="28"/>
  <c r="E3189" i="28"/>
  <c r="E3188" i="28"/>
  <c r="E3187" i="28"/>
  <c r="E3186" i="28"/>
  <c r="E3185" i="28"/>
  <c r="E3184" i="28"/>
  <c r="E3183" i="28"/>
  <c r="E3182" i="28"/>
  <c r="E3181" i="28"/>
  <c r="E3180" i="28"/>
  <c r="E3179" i="28"/>
  <c r="E3178" i="28"/>
  <c r="E3177" i="28"/>
  <c r="E3176" i="28"/>
  <c r="E3175" i="28"/>
  <c r="E3174" i="28"/>
  <c r="E3173" i="28"/>
  <c r="E3172" i="28"/>
  <c r="E3171" i="28"/>
  <c r="E3170" i="28"/>
  <c r="E3169" i="28"/>
  <c r="E3168" i="28"/>
  <c r="E3167" i="28"/>
  <c r="E3166" i="28"/>
  <c r="E3165" i="28"/>
  <c r="E3164" i="28"/>
  <c r="E3163" i="28"/>
  <c r="E3162" i="28"/>
  <c r="E3161" i="28"/>
  <c r="E3160" i="28"/>
  <c r="E3159" i="28"/>
  <c r="E3158" i="28"/>
  <c r="E3157" i="28"/>
  <c r="E3156" i="28"/>
  <c r="E3155" i="28"/>
  <c r="E3154" i="28"/>
  <c r="E3153" i="28"/>
  <c r="E3152" i="28"/>
  <c r="E3151" i="28"/>
  <c r="E3150" i="28"/>
  <c r="E3149" i="28"/>
  <c r="E3148" i="28"/>
  <c r="E3147" i="28"/>
  <c r="E3146" i="28"/>
  <c r="E3145" i="28"/>
  <c r="E3144" i="28"/>
  <c r="E3143" i="28"/>
  <c r="E3142" i="28"/>
  <c r="E3141" i="28"/>
  <c r="E3140" i="28"/>
  <c r="E3139" i="28"/>
  <c r="E3138" i="28"/>
  <c r="E3137" i="28"/>
  <c r="E3136" i="28"/>
  <c r="E3135" i="28"/>
  <c r="E3134" i="28"/>
  <c r="E3133" i="28"/>
  <c r="E3132" i="28"/>
  <c r="E3131" i="28"/>
  <c r="E3130" i="28"/>
  <c r="E3129" i="28"/>
  <c r="E3128" i="28"/>
  <c r="E3127" i="28"/>
  <c r="E3126" i="28"/>
  <c r="E3125" i="28"/>
  <c r="E3124" i="28"/>
  <c r="E3123" i="28"/>
  <c r="E3122" i="28"/>
  <c r="E3121" i="28"/>
  <c r="E3120" i="28"/>
  <c r="E3119" i="28"/>
  <c r="E3118" i="28"/>
  <c r="E3117" i="28"/>
  <c r="E3116" i="28"/>
  <c r="E3115" i="28"/>
  <c r="E3114" i="28"/>
  <c r="E3113" i="28"/>
  <c r="E3112" i="28"/>
  <c r="E3111" i="28"/>
  <c r="E3110" i="28"/>
  <c r="E3109" i="28"/>
  <c r="E3108" i="28"/>
  <c r="E3107" i="28"/>
  <c r="E3106" i="28"/>
  <c r="E3105" i="28"/>
  <c r="E3104" i="28"/>
  <c r="E3103" i="28"/>
  <c r="E3102" i="28"/>
  <c r="E3101" i="28"/>
  <c r="E3100" i="28"/>
  <c r="E3099" i="28"/>
  <c r="E3098" i="28"/>
  <c r="E3097" i="28"/>
  <c r="E3096" i="28"/>
  <c r="E3095" i="28"/>
  <c r="E3094" i="28"/>
  <c r="E3093" i="28"/>
  <c r="E3092" i="28"/>
  <c r="E3091" i="28"/>
  <c r="E3090" i="28"/>
  <c r="E3089" i="28"/>
  <c r="E3088" i="28"/>
  <c r="E3087" i="28"/>
  <c r="E3086" i="28"/>
  <c r="E3085" i="28"/>
  <c r="E3084" i="28"/>
  <c r="E3083" i="28"/>
  <c r="E3082" i="28"/>
  <c r="E3081" i="28"/>
  <c r="E3080" i="28"/>
  <c r="E3079" i="28"/>
  <c r="E3078" i="28"/>
  <c r="E3077" i="28"/>
  <c r="E3076" i="28"/>
  <c r="E3075" i="28"/>
  <c r="E3074" i="28"/>
  <c r="E3073" i="28"/>
  <c r="E3072" i="28"/>
  <c r="E3071" i="28"/>
  <c r="E3070" i="28"/>
  <c r="E3069" i="28"/>
  <c r="E3068" i="28"/>
  <c r="E3067" i="28"/>
  <c r="E3066" i="28"/>
  <c r="E3065" i="28"/>
  <c r="E3064" i="28"/>
  <c r="E3063" i="28"/>
  <c r="E3062" i="28"/>
  <c r="E3061" i="28"/>
  <c r="E3060" i="28"/>
  <c r="E3059" i="28"/>
  <c r="E3058" i="28"/>
  <c r="E3057" i="28"/>
  <c r="E3056" i="28"/>
  <c r="E3055" i="28"/>
  <c r="E3054" i="28"/>
  <c r="E3053" i="28"/>
  <c r="E3052" i="28"/>
  <c r="E3051" i="28"/>
  <c r="E3050" i="28"/>
  <c r="E3049" i="28"/>
  <c r="E3048" i="28"/>
  <c r="E3047" i="28"/>
  <c r="E3046" i="28"/>
  <c r="E3045" i="28"/>
  <c r="E3044" i="28"/>
  <c r="E3043" i="28"/>
  <c r="E3042" i="28"/>
  <c r="E3041" i="28"/>
  <c r="E3040" i="28"/>
  <c r="E3039" i="28"/>
  <c r="E3038" i="28"/>
  <c r="E3037" i="28"/>
  <c r="E3036" i="28"/>
  <c r="E3035" i="28"/>
  <c r="E3034" i="28"/>
  <c r="E3033" i="28"/>
  <c r="E3032" i="28"/>
  <c r="E3031" i="28"/>
  <c r="E3030" i="28"/>
  <c r="E3029" i="28"/>
  <c r="E3028" i="28"/>
  <c r="D3028" i="28" s="1"/>
  <c r="E3027" i="28"/>
  <c r="E3026" i="28"/>
  <c r="E3025" i="28"/>
  <c r="E3024" i="28"/>
  <c r="E3023" i="28"/>
  <c r="E3022" i="28"/>
  <c r="E3021" i="28"/>
  <c r="E3020" i="28"/>
  <c r="E3019" i="28"/>
  <c r="E3018" i="28"/>
  <c r="E3017" i="28"/>
  <c r="E3016" i="28"/>
  <c r="E3015" i="28"/>
  <c r="E3014" i="28"/>
  <c r="E3013" i="28"/>
  <c r="E3012" i="28"/>
  <c r="E3011" i="28"/>
  <c r="E3010" i="28"/>
  <c r="E3009" i="28"/>
  <c r="E3008" i="28"/>
  <c r="E3007" i="28"/>
  <c r="E3006" i="28"/>
  <c r="E3005" i="28"/>
  <c r="E3004" i="28"/>
  <c r="E3003" i="28"/>
  <c r="E3002" i="28"/>
  <c r="E3001" i="28"/>
  <c r="E3000" i="28"/>
  <c r="E2999" i="28"/>
  <c r="E2998" i="28"/>
  <c r="E2997" i="28"/>
  <c r="E2996" i="28"/>
  <c r="E2995" i="28"/>
  <c r="E2994" i="28"/>
  <c r="E2993" i="28"/>
  <c r="E2992" i="28"/>
  <c r="E2991" i="28"/>
  <c r="E2990" i="28"/>
  <c r="E2989" i="28"/>
  <c r="E2988" i="28"/>
  <c r="E2987" i="28"/>
  <c r="E2986" i="28"/>
  <c r="E2985" i="28"/>
  <c r="E2984" i="28"/>
  <c r="E2983" i="28"/>
  <c r="E2982" i="28"/>
  <c r="E2981" i="28"/>
  <c r="E2980" i="28"/>
  <c r="E2979" i="28"/>
  <c r="E2978" i="28"/>
  <c r="E2977" i="28"/>
  <c r="E2976" i="28"/>
  <c r="E2975" i="28"/>
  <c r="E2974" i="28"/>
  <c r="E2973" i="28"/>
  <c r="E2972" i="28"/>
  <c r="E2971" i="28"/>
  <c r="E2970" i="28"/>
  <c r="E2969" i="28"/>
  <c r="E2968" i="28"/>
  <c r="E2967" i="28"/>
  <c r="E2966" i="28"/>
  <c r="E2965" i="28"/>
  <c r="E2964" i="28"/>
  <c r="E2963" i="28"/>
  <c r="E2962" i="28"/>
  <c r="E2961" i="28"/>
  <c r="E2960" i="28"/>
  <c r="E2959" i="28"/>
  <c r="E2958" i="28"/>
  <c r="E2957" i="28"/>
  <c r="E2956" i="28"/>
  <c r="E2955" i="28"/>
  <c r="E2954" i="28"/>
  <c r="E2953" i="28"/>
  <c r="E2952" i="28"/>
  <c r="E2951" i="28"/>
  <c r="E2950" i="28"/>
  <c r="E2949" i="28"/>
  <c r="E2948" i="28"/>
  <c r="E2947" i="28"/>
  <c r="E2946" i="28"/>
  <c r="E2945" i="28"/>
  <c r="E2944" i="28"/>
  <c r="E2943" i="28"/>
  <c r="E2942" i="28"/>
  <c r="E2941" i="28"/>
  <c r="E2940" i="28"/>
  <c r="E2939" i="28"/>
  <c r="E2938" i="28"/>
  <c r="E2937" i="28"/>
  <c r="E2936" i="28"/>
  <c r="E2935" i="28"/>
  <c r="E2934" i="28"/>
  <c r="E2933" i="28"/>
  <c r="E2932" i="28"/>
  <c r="E2931" i="28"/>
  <c r="E2930" i="28"/>
  <c r="E2929" i="28"/>
  <c r="E2928" i="28"/>
  <c r="E2927" i="28"/>
  <c r="E2926" i="28"/>
  <c r="E2925" i="28"/>
  <c r="E2924" i="28"/>
  <c r="E2923" i="28"/>
  <c r="E2922" i="28"/>
  <c r="E2921" i="28"/>
  <c r="E2920" i="28"/>
  <c r="E2919" i="28"/>
  <c r="E2918" i="28"/>
  <c r="E2917" i="28"/>
  <c r="E2916" i="28"/>
  <c r="E2915" i="28"/>
  <c r="E2914" i="28"/>
  <c r="E2913" i="28"/>
  <c r="E2912" i="28"/>
  <c r="E2911" i="28"/>
  <c r="E2910" i="28"/>
  <c r="E2909" i="28"/>
  <c r="E2908" i="28"/>
  <c r="E2907" i="28"/>
  <c r="E2906" i="28"/>
  <c r="E2905" i="28"/>
  <c r="E2904" i="28"/>
  <c r="E2903" i="28"/>
  <c r="E2902" i="28"/>
  <c r="E2901" i="28"/>
  <c r="E2900" i="28"/>
  <c r="E2899" i="28"/>
  <c r="E2898" i="28"/>
  <c r="E2897" i="28"/>
  <c r="E2896" i="28"/>
  <c r="E2895" i="28"/>
  <c r="E2894" i="28"/>
  <c r="E2893" i="28"/>
  <c r="E2892" i="28"/>
  <c r="E2891" i="28"/>
  <c r="E2890" i="28"/>
  <c r="E2889" i="28"/>
  <c r="E2888" i="28"/>
  <c r="E2887" i="28"/>
  <c r="E2886" i="28"/>
  <c r="E2885" i="28"/>
  <c r="E2884" i="28"/>
  <c r="E2883" i="28"/>
  <c r="E2882" i="28"/>
  <c r="E2881" i="28"/>
  <c r="E2880" i="28"/>
  <c r="E2879" i="28"/>
  <c r="E2878" i="28"/>
  <c r="E2877" i="28"/>
  <c r="E2876" i="28"/>
  <c r="E2875" i="28"/>
  <c r="E2874" i="28"/>
  <c r="E2873" i="28"/>
  <c r="E2872" i="28"/>
  <c r="E2871" i="28"/>
  <c r="E2870" i="28"/>
  <c r="E2869" i="28"/>
  <c r="E2868" i="28"/>
  <c r="E2867" i="28"/>
  <c r="E2866" i="28"/>
  <c r="E2865" i="28"/>
  <c r="E2864" i="28"/>
  <c r="E2863" i="28"/>
  <c r="E2862" i="28"/>
  <c r="E2861" i="28"/>
  <c r="E2860" i="28"/>
  <c r="E2859" i="28"/>
  <c r="E2858" i="28"/>
  <c r="E2857" i="28"/>
  <c r="E2856" i="28"/>
  <c r="E2855" i="28"/>
  <c r="E2854" i="28"/>
  <c r="E2853" i="28"/>
  <c r="E2852" i="28"/>
  <c r="E2851" i="28"/>
  <c r="E2850" i="28"/>
  <c r="E2849" i="28"/>
  <c r="E2848" i="28"/>
  <c r="E2847" i="28"/>
  <c r="E2846" i="28"/>
  <c r="E2845" i="28"/>
  <c r="E2844" i="28"/>
  <c r="E2843" i="28"/>
  <c r="E2842" i="28"/>
  <c r="D2842" i="28"/>
  <c r="E2841" i="28"/>
  <c r="E2840" i="28"/>
  <c r="E2839" i="28"/>
  <c r="E2838" i="28"/>
  <c r="E2837" i="28"/>
  <c r="E2836" i="28"/>
  <c r="E2835" i="28"/>
  <c r="E2834" i="28"/>
  <c r="E2833" i="28"/>
  <c r="E2832" i="28"/>
  <c r="E2831" i="28"/>
  <c r="E2830" i="28"/>
  <c r="E2829" i="28"/>
  <c r="E2828" i="28"/>
  <c r="E2827" i="28"/>
  <c r="E2826" i="28"/>
  <c r="E2825" i="28"/>
  <c r="E2824" i="28"/>
  <c r="E2823" i="28"/>
  <c r="E2822" i="28"/>
  <c r="E2821" i="28"/>
  <c r="E2820" i="28"/>
  <c r="E2819" i="28"/>
  <c r="E2818" i="28"/>
  <c r="E2817" i="28"/>
  <c r="E2816" i="28"/>
  <c r="E2815" i="28"/>
  <c r="E2814" i="28"/>
  <c r="E2813" i="28"/>
  <c r="E2812" i="28"/>
  <c r="E2811" i="28"/>
  <c r="E2810" i="28"/>
  <c r="E2809" i="28"/>
  <c r="E2808" i="28"/>
  <c r="E2807" i="28"/>
  <c r="E2806" i="28"/>
  <c r="E2805" i="28"/>
  <c r="E2804" i="28"/>
  <c r="E2803" i="28"/>
  <c r="E2802" i="28"/>
  <c r="E2801" i="28"/>
  <c r="E2800" i="28"/>
  <c r="E2799" i="28"/>
  <c r="E2798" i="28"/>
  <c r="E2797" i="28"/>
  <c r="E2796" i="28"/>
  <c r="E2795" i="28"/>
  <c r="E2794" i="28"/>
  <c r="E2793" i="28"/>
  <c r="E2792" i="28"/>
  <c r="E2791" i="28"/>
  <c r="E2790" i="28"/>
  <c r="E2789" i="28"/>
  <c r="E2788" i="28"/>
  <c r="E2787" i="28"/>
  <c r="E2786" i="28"/>
  <c r="E2785" i="28"/>
  <c r="E2784" i="28"/>
  <c r="E2783" i="28"/>
  <c r="E2782" i="28"/>
  <c r="E2781" i="28"/>
  <c r="E2780" i="28"/>
  <c r="E2779" i="28"/>
  <c r="E2778" i="28"/>
  <c r="E2777" i="28"/>
  <c r="E2776" i="28"/>
  <c r="E2775" i="28"/>
  <c r="E2774" i="28"/>
  <c r="E2773" i="28"/>
  <c r="E2772" i="28"/>
  <c r="E2771" i="28"/>
  <c r="E2770" i="28"/>
  <c r="E2769" i="28"/>
  <c r="E2768" i="28"/>
  <c r="E2767" i="28"/>
  <c r="E2766" i="28"/>
  <c r="E2765" i="28"/>
  <c r="E2764" i="28"/>
  <c r="E2763" i="28"/>
  <c r="E2762" i="28"/>
  <c r="E2761" i="28"/>
  <c r="E2760" i="28"/>
  <c r="E2759" i="28"/>
  <c r="E2758" i="28"/>
  <c r="E2757" i="28"/>
  <c r="E2756" i="28"/>
  <c r="E2755" i="28"/>
  <c r="E2754" i="28"/>
  <c r="E2753" i="28"/>
  <c r="E2752" i="28"/>
  <c r="E2751" i="28"/>
  <c r="E2750" i="28"/>
  <c r="E2749" i="28"/>
  <c r="E2748" i="28"/>
  <c r="E2747" i="28"/>
  <c r="E2746" i="28"/>
  <c r="E2745" i="28"/>
  <c r="E2744" i="28"/>
  <c r="E2743" i="28"/>
  <c r="E2742" i="28"/>
  <c r="E2741" i="28"/>
  <c r="E2740" i="28"/>
  <c r="E2739" i="28"/>
  <c r="E2738" i="28"/>
  <c r="E2737" i="28"/>
  <c r="E2736" i="28"/>
  <c r="E2735" i="28"/>
  <c r="E2734" i="28"/>
  <c r="E2733" i="28"/>
  <c r="E2732" i="28"/>
  <c r="E2731" i="28"/>
  <c r="E2730" i="28"/>
  <c r="E2729" i="28"/>
  <c r="E2728" i="28"/>
  <c r="E2727" i="28"/>
  <c r="E2726" i="28"/>
  <c r="E2725" i="28"/>
  <c r="E2724" i="28"/>
  <c r="E2723" i="28"/>
  <c r="E2722" i="28"/>
  <c r="E2721" i="28"/>
  <c r="E2720" i="28"/>
  <c r="E2719" i="28"/>
  <c r="E2718" i="28"/>
  <c r="E2717" i="28"/>
  <c r="E2716" i="28"/>
  <c r="E2715" i="28"/>
  <c r="E2714" i="28"/>
  <c r="E2713" i="28"/>
  <c r="E2712" i="28"/>
  <c r="E2711" i="28"/>
  <c r="E2710" i="28"/>
  <c r="E2709" i="28"/>
  <c r="E2708" i="28"/>
  <c r="E2707" i="28"/>
  <c r="E2706" i="28"/>
  <c r="E2705" i="28"/>
  <c r="E2704" i="28"/>
  <c r="E2703" i="28"/>
  <c r="E2702" i="28"/>
  <c r="E2701" i="28"/>
  <c r="E2700" i="28"/>
  <c r="E2699" i="28"/>
  <c r="E2698" i="28"/>
  <c r="E2697" i="28"/>
  <c r="E2696" i="28"/>
  <c r="E2695" i="28"/>
  <c r="E2694" i="28"/>
  <c r="E2693" i="28"/>
  <c r="E2692" i="28"/>
  <c r="E2691" i="28"/>
  <c r="E2690" i="28"/>
  <c r="E2689" i="28"/>
  <c r="E2688" i="28"/>
  <c r="E2687" i="28"/>
  <c r="E2686" i="28"/>
  <c r="E2685" i="28"/>
  <c r="E2684" i="28"/>
  <c r="E2683" i="28"/>
  <c r="E2682" i="28"/>
  <c r="E2681" i="28"/>
  <c r="E2680" i="28"/>
  <c r="E2679" i="28"/>
  <c r="E2678" i="28"/>
  <c r="E2677" i="28"/>
  <c r="E2676" i="28"/>
  <c r="E2675" i="28"/>
  <c r="E2674" i="28"/>
  <c r="E2673" i="28"/>
  <c r="E2672" i="28"/>
  <c r="E2671" i="28"/>
  <c r="E2670" i="28"/>
  <c r="E2669" i="28"/>
  <c r="E2668" i="28"/>
  <c r="E2667" i="28"/>
  <c r="E2666" i="28"/>
  <c r="E2665" i="28"/>
  <c r="E2664" i="28"/>
  <c r="E2663" i="28"/>
  <c r="E2662" i="28"/>
  <c r="E2661" i="28"/>
  <c r="E2660" i="28"/>
  <c r="E2659" i="28"/>
  <c r="E2658" i="28"/>
  <c r="E2657" i="28"/>
  <c r="E2656" i="28"/>
  <c r="E2655" i="28"/>
  <c r="E2654" i="28"/>
  <c r="E2653" i="28"/>
  <c r="E2652" i="28"/>
  <c r="E2651" i="28"/>
  <c r="E2650" i="28"/>
  <c r="E2649" i="28"/>
  <c r="E2648" i="28"/>
  <c r="E2647" i="28"/>
  <c r="E2646" i="28"/>
  <c r="E2645" i="28"/>
  <c r="E2644" i="28"/>
  <c r="E2643" i="28"/>
  <c r="E2642" i="28"/>
  <c r="E2641" i="28"/>
  <c r="E2640" i="28"/>
  <c r="E2639" i="28"/>
  <c r="E2638" i="28"/>
  <c r="E2637" i="28"/>
  <c r="E2636" i="28"/>
  <c r="E2635" i="28"/>
  <c r="E2634" i="28"/>
  <c r="E2633" i="28"/>
  <c r="E2632" i="28"/>
  <c r="E2631" i="28"/>
  <c r="E2630" i="28"/>
  <c r="E2629" i="28"/>
  <c r="E2628" i="28"/>
  <c r="E2627" i="28"/>
  <c r="E2626" i="28"/>
  <c r="E2625" i="28"/>
  <c r="E2624" i="28"/>
  <c r="E2623" i="28"/>
  <c r="E2622" i="28"/>
  <c r="E2621" i="28"/>
  <c r="E2620" i="28"/>
  <c r="E2619" i="28"/>
  <c r="E2618" i="28"/>
  <c r="E2617" i="28"/>
  <c r="E2616" i="28"/>
  <c r="E2615" i="28"/>
  <c r="E2614" i="28"/>
  <c r="E2613" i="28"/>
  <c r="E2612" i="28"/>
  <c r="E2611" i="28"/>
  <c r="E2610" i="28"/>
  <c r="E2609" i="28"/>
  <c r="E2608" i="28"/>
  <c r="E2607" i="28"/>
  <c r="E2606" i="28"/>
  <c r="E2605" i="28"/>
  <c r="E2604" i="28"/>
  <c r="E2603" i="28"/>
  <c r="E2602" i="28"/>
  <c r="E2601" i="28"/>
  <c r="E2600" i="28"/>
  <c r="E2599" i="28"/>
  <c r="E2598" i="28"/>
  <c r="E2597" i="28"/>
  <c r="E2596" i="28"/>
  <c r="E2595" i="28"/>
  <c r="E2594" i="28"/>
  <c r="E2593" i="28"/>
  <c r="E2592" i="28"/>
  <c r="E2591" i="28"/>
  <c r="E2590" i="28"/>
  <c r="E2589" i="28"/>
  <c r="E2588" i="28"/>
  <c r="E2587" i="28"/>
  <c r="E2586" i="28"/>
  <c r="E2585" i="28"/>
  <c r="E2584" i="28"/>
  <c r="E2583" i="28"/>
  <c r="E2582" i="28"/>
  <c r="E2581" i="28"/>
  <c r="E2580" i="28"/>
  <c r="E2579" i="28"/>
  <c r="E2578" i="28"/>
  <c r="E2577" i="28"/>
  <c r="E2576" i="28"/>
  <c r="E2575" i="28"/>
  <c r="E2574" i="28"/>
  <c r="E2573" i="28"/>
  <c r="E2572" i="28"/>
  <c r="E2571" i="28"/>
  <c r="E2570" i="28"/>
  <c r="E2569" i="28"/>
  <c r="E2568" i="28"/>
  <c r="E2567" i="28"/>
  <c r="E2566" i="28"/>
  <c r="E2565" i="28"/>
  <c r="E2564" i="28"/>
  <c r="E2563" i="28"/>
  <c r="E2562" i="28"/>
  <c r="E2561" i="28"/>
  <c r="E2560" i="28"/>
  <c r="E2559" i="28"/>
  <c r="E2558" i="28"/>
  <c r="E2557" i="28"/>
  <c r="E2556" i="28"/>
  <c r="E2555" i="28"/>
  <c r="E2554" i="28"/>
  <c r="E2553" i="28"/>
  <c r="E2552" i="28"/>
  <c r="E2551" i="28"/>
  <c r="E2550" i="28"/>
  <c r="E2549" i="28"/>
  <c r="E2548" i="28"/>
  <c r="E2547" i="28"/>
  <c r="E2546" i="28"/>
  <c r="E2545" i="28"/>
  <c r="E2544" i="28"/>
  <c r="E2543" i="28"/>
  <c r="E2542" i="28"/>
  <c r="E2541" i="28"/>
  <c r="E2540" i="28"/>
  <c r="E2539" i="28"/>
  <c r="E2538" i="28"/>
  <c r="E2537" i="28"/>
  <c r="E2536" i="28"/>
  <c r="E2535" i="28"/>
  <c r="E2534" i="28"/>
  <c r="E2533" i="28"/>
  <c r="E2532" i="28"/>
  <c r="E2531" i="28"/>
  <c r="E2530" i="28"/>
  <c r="E2529" i="28"/>
  <c r="E2528" i="28"/>
  <c r="E2527" i="28"/>
  <c r="E2526" i="28"/>
  <c r="E2525" i="28"/>
  <c r="E2524" i="28"/>
  <c r="E2523" i="28"/>
  <c r="E2522" i="28"/>
  <c r="E2521" i="28"/>
  <c r="E2520" i="28"/>
  <c r="E2519" i="28"/>
  <c r="E2518" i="28"/>
  <c r="E2517" i="28"/>
  <c r="E2516" i="28"/>
  <c r="E2515" i="28"/>
  <c r="E2514" i="28"/>
  <c r="E2513" i="28"/>
  <c r="E2512" i="28"/>
  <c r="E2511" i="28"/>
  <c r="E2510" i="28"/>
  <c r="E2509" i="28"/>
  <c r="E2508" i="28"/>
  <c r="E2507" i="28"/>
  <c r="E2506" i="28"/>
  <c r="E2505" i="28"/>
  <c r="E2504" i="28"/>
  <c r="E2503" i="28"/>
  <c r="E2502" i="28"/>
  <c r="E2501" i="28"/>
  <c r="E2500" i="28"/>
  <c r="E2499" i="28"/>
  <c r="E2498" i="28"/>
  <c r="E2497" i="28"/>
  <c r="E2496" i="28"/>
  <c r="E2495" i="28"/>
  <c r="E2494" i="28"/>
  <c r="E2493" i="28"/>
  <c r="E2492" i="28"/>
  <c r="E2491" i="28"/>
  <c r="E2490" i="28"/>
  <c r="E2489" i="28"/>
  <c r="E2488" i="28"/>
  <c r="E2487" i="28"/>
  <c r="E2486" i="28"/>
  <c r="E2485" i="28"/>
  <c r="E2484" i="28"/>
  <c r="E2483" i="28"/>
  <c r="E2482" i="28"/>
  <c r="E2481" i="28"/>
  <c r="E2480" i="28"/>
  <c r="E2479" i="28"/>
  <c r="E2478" i="28"/>
  <c r="E2477" i="28"/>
  <c r="E2476" i="28"/>
  <c r="E2475" i="28"/>
  <c r="E2474" i="28"/>
  <c r="E2473" i="28"/>
  <c r="E2472" i="28"/>
  <c r="E2471" i="28"/>
  <c r="E2470" i="28"/>
  <c r="E2469" i="28"/>
  <c r="E2468" i="28"/>
  <c r="E2467" i="28"/>
  <c r="E2466" i="28"/>
  <c r="E2465" i="28"/>
  <c r="E2464" i="28"/>
  <c r="E2463" i="28"/>
  <c r="E2462" i="28"/>
  <c r="E2461" i="28"/>
  <c r="E2460" i="28"/>
  <c r="E2459" i="28"/>
  <c r="E2458" i="28"/>
  <c r="E2457" i="28"/>
  <c r="E2456" i="28"/>
  <c r="E2455" i="28"/>
  <c r="E2454" i="28"/>
  <c r="E2453" i="28"/>
  <c r="E2452" i="28"/>
  <c r="E2451" i="28"/>
  <c r="E2450" i="28"/>
  <c r="E2449" i="28"/>
  <c r="E2448" i="28"/>
  <c r="E2447" i="28"/>
  <c r="E2446" i="28"/>
  <c r="E2445" i="28"/>
  <c r="E2444" i="28"/>
  <c r="E2443" i="28"/>
  <c r="E2442" i="28"/>
  <c r="E2441" i="28"/>
  <c r="E2440" i="28"/>
  <c r="E2439" i="28"/>
  <c r="E2438" i="28"/>
  <c r="E2437" i="28"/>
  <c r="E2436" i="28"/>
  <c r="E2435" i="28"/>
  <c r="E2434" i="28"/>
  <c r="E2433" i="28"/>
  <c r="E2432" i="28"/>
  <c r="E2431" i="28"/>
  <c r="E2430" i="28"/>
  <c r="E2429" i="28"/>
  <c r="E2428" i="28"/>
  <c r="E2427" i="28"/>
  <c r="E2426" i="28"/>
  <c r="E2425" i="28"/>
  <c r="E2424" i="28"/>
  <c r="E2423" i="28"/>
  <c r="E2422" i="28"/>
  <c r="D2422" i="28" s="1"/>
  <c r="E2421" i="28"/>
  <c r="E2420" i="28"/>
  <c r="E2419" i="28"/>
  <c r="E2418" i="28"/>
  <c r="E2417" i="28"/>
  <c r="E2416" i="28"/>
  <c r="E2415" i="28"/>
  <c r="E2414" i="28"/>
  <c r="E2413" i="28"/>
  <c r="E2412" i="28"/>
  <c r="E2411" i="28"/>
  <c r="E2410" i="28"/>
  <c r="E2409" i="28"/>
  <c r="E2408" i="28"/>
  <c r="E2407" i="28"/>
  <c r="E2406" i="28"/>
  <c r="E2405" i="28"/>
  <c r="E2404" i="28"/>
  <c r="E2403" i="28"/>
  <c r="E2402" i="28"/>
  <c r="E2401" i="28"/>
  <c r="E2400" i="28"/>
  <c r="E2399" i="28"/>
  <c r="E2398" i="28"/>
  <c r="E2397" i="28"/>
  <c r="E2396" i="28"/>
  <c r="E2395" i="28"/>
  <c r="E2394" i="28"/>
  <c r="E2393" i="28"/>
  <c r="E2392" i="28"/>
  <c r="E2391" i="28"/>
  <c r="E2390" i="28"/>
  <c r="E2389" i="28"/>
  <c r="E2388" i="28"/>
  <c r="E2387" i="28"/>
  <c r="E2386" i="28"/>
  <c r="E2385" i="28"/>
  <c r="E2384" i="28"/>
  <c r="E2383" i="28"/>
  <c r="E2382" i="28"/>
  <c r="E2381" i="28"/>
  <c r="E2380" i="28"/>
  <c r="E2379" i="28"/>
  <c r="E2378" i="28"/>
  <c r="E2377" i="28"/>
  <c r="E2376" i="28"/>
  <c r="E2375" i="28"/>
  <c r="E2374" i="28"/>
  <c r="E2373" i="28"/>
  <c r="E2372" i="28"/>
  <c r="E2371" i="28"/>
  <c r="E2370" i="28"/>
  <c r="E2369" i="28"/>
  <c r="E2368" i="28"/>
  <c r="E2367" i="28"/>
  <c r="E2366" i="28"/>
  <c r="E2365" i="28"/>
  <c r="E2364" i="28"/>
  <c r="E2363" i="28"/>
  <c r="E2362" i="28"/>
  <c r="E2361" i="28"/>
  <c r="E2360" i="28"/>
  <c r="E2359" i="28"/>
  <c r="E2358" i="28"/>
  <c r="E2357" i="28"/>
  <c r="E2356" i="28"/>
  <c r="E2355" i="28"/>
  <c r="E2354" i="28"/>
  <c r="E2353" i="28"/>
  <c r="E2352" i="28"/>
  <c r="E2351" i="28"/>
  <c r="E2350" i="28"/>
  <c r="E2349" i="28"/>
  <c r="E2348" i="28"/>
  <c r="E2347" i="28"/>
  <c r="E2346" i="28"/>
  <c r="E2345" i="28"/>
  <c r="E2344" i="28"/>
  <c r="E2343" i="28"/>
  <c r="E2342" i="28"/>
  <c r="E2341" i="28"/>
  <c r="E2340" i="28"/>
  <c r="E2339" i="28"/>
  <c r="E2338" i="28"/>
  <c r="E2337" i="28"/>
  <c r="E2336" i="28"/>
  <c r="E2335" i="28"/>
  <c r="E2334" i="28"/>
  <c r="E2333" i="28"/>
  <c r="E2332" i="28"/>
  <c r="E2331" i="28"/>
  <c r="E2330" i="28"/>
  <c r="E2329" i="28"/>
  <c r="E2328" i="28"/>
  <c r="E2327" i="28"/>
  <c r="E2326" i="28"/>
  <c r="E2325" i="28"/>
  <c r="E2324" i="28"/>
  <c r="E2323" i="28"/>
  <c r="E2322" i="28"/>
  <c r="E2321" i="28"/>
  <c r="E2320" i="28"/>
  <c r="E2319" i="28"/>
  <c r="E2318" i="28"/>
  <c r="E2317" i="28"/>
  <c r="E2316" i="28"/>
  <c r="E2315" i="28"/>
  <c r="E2314" i="28"/>
  <c r="E2313" i="28"/>
  <c r="E2312" i="28"/>
  <c r="E2311" i="28"/>
  <c r="E2310" i="28"/>
  <c r="E2309" i="28"/>
  <c r="E2308" i="28"/>
  <c r="E2307" i="28"/>
  <c r="E2306" i="28"/>
  <c r="E2305" i="28"/>
  <c r="E2304" i="28"/>
  <c r="E2303" i="28"/>
  <c r="E2302" i="28"/>
  <c r="E2301" i="28"/>
  <c r="E2300" i="28"/>
  <c r="E2299" i="28"/>
  <c r="E2298" i="28"/>
  <c r="E2297" i="28"/>
  <c r="E2296" i="28"/>
  <c r="E2295" i="28"/>
  <c r="E2294" i="28"/>
  <c r="D2294" i="28" s="1"/>
  <c r="E2293" i="28"/>
  <c r="E2292" i="28"/>
  <c r="E2291" i="28"/>
  <c r="E2290" i="28"/>
  <c r="E2289" i="28"/>
  <c r="E2288" i="28"/>
  <c r="E2287" i="28"/>
  <c r="E2286" i="28"/>
  <c r="E2285" i="28"/>
  <c r="E2284" i="28"/>
  <c r="E2283" i="28"/>
  <c r="E2282" i="28"/>
  <c r="E2281" i="28"/>
  <c r="E2280" i="28"/>
  <c r="E2279" i="28"/>
  <c r="E2278" i="28"/>
  <c r="E2277" i="28"/>
  <c r="E2276" i="28"/>
  <c r="E2275" i="28"/>
  <c r="E2274" i="28"/>
  <c r="E2273" i="28"/>
  <c r="E2272" i="28"/>
  <c r="E2271" i="28"/>
  <c r="E2270" i="28"/>
  <c r="E2269" i="28"/>
  <c r="E2268" i="28"/>
  <c r="E2267" i="28"/>
  <c r="E2266" i="28"/>
  <c r="E2265" i="28"/>
  <c r="E2264" i="28"/>
  <c r="E2263" i="28"/>
  <c r="E2262" i="28"/>
  <c r="E2261" i="28"/>
  <c r="E2260" i="28"/>
  <c r="E2259" i="28"/>
  <c r="E2258" i="28"/>
  <c r="E2257" i="28"/>
  <c r="E2256" i="28"/>
  <c r="E2255" i="28"/>
  <c r="E2254" i="28"/>
  <c r="E2253" i="28"/>
  <c r="E2252" i="28"/>
  <c r="E2251" i="28"/>
  <c r="E2250" i="28"/>
  <c r="E2249" i="28"/>
  <c r="E2248" i="28"/>
  <c r="E2247" i="28"/>
  <c r="E2246" i="28"/>
  <c r="E2245" i="28"/>
  <c r="E2244" i="28"/>
  <c r="E2243" i="28"/>
  <c r="E2242" i="28"/>
  <c r="E2241" i="28"/>
  <c r="E2240" i="28"/>
  <c r="E2239" i="28"/>
  <c r="E2238" i="28"/>
  <c r="E2237" i="28"/>
  <c r="E2236" i="28"/>
  <c r="E2235" i="28"/>
  <c r="E2234" i="28"/>
  <c r="E2233" i="28"/>
  <c r="E2232" i="28"/>
  <c r="E2231" i="28"/>
  <c r="E2230" i="28"/>
  <c r="E2229" i="28"/>
  <c r="E2228" i="28"/>
  <c r="E2227" i="28"/>
  <c r="E2226" i="28"/>
  <c r="E2225" i="28"/>
  <c r="E2224" i="28"/>
  <c r="E2223" i="28"/>
  <c r="E2222" i="28"/>
  <c r="E2221" i="28"/>
  <c r="E2220" i="28"/>
  <c r="E2219" i="28"/>
  <c r="E2218" i="28"/>
  <c r="E2217" i="28"/>
  <c r="E2216" i="28"/>
  <c r="E2215" i="28"/>
  <c r="E2214" i="28"/>
  <c r="E2213" i="28"/>
  <c r="E2212" i="28"/>
  <c r="E2211" i="28"/>
  <c r="E2210" i="28"/>
  <c r="E2209" i="28"/>
  <c r="E2208" i="28"/>
  <c r="E2207" i="28"/>
  <c r="E2206" i="28"/>
  <c r="E2205" i="28"/>
  <c r="E2204" i="28"/>
  <c r="E2203" i="28"/>
  <c r="E2202" i="28"/>
  <c r="E2201" i="28"/>
  <c r="E2200" i="28"/>
  <c r="E2199" i="28"/>
  <c r="E2198" i="28"/>
  <c r="E2197" i="28"/>
  <c r="E2196" i="28"/>
  <c r="E2195" i="28"/>
  <c r="E2194" i="28"/>
  <c r="E2193" i="28"/>
  <c r="E2192" i="28"/>
  <c r="E2191" i="28"/>
  <c r="E2190" i="28"/>
  <c r="E2189" i="28"/>
  <c r="E2188" i="28"/>
  <c r="E2187" i="28"/>
  <c r="E2186" i="28"/>
  <c r="E2185" i="28"/>
  <c r="E2184" i="28"/>
  <c r="E2183" i="28"/>
  <c r="E2182" i="28"/>
  <c r="E2181" i="28"/>
  <c r="E2180" i="28"/>
  <c r="E2179" i="28"/>
  <c r="E2178" i="28"/>
  <c r="E2177" i="28"/>
  <c r="E2176" i="28"/>
  <c r="E2175" i="28"/>
  <c r="E2174" i="28"/>
  <c r="E2173" i="28"/>
  <c r="E2172" i="28"/>
  <c r="E2171" i="28"/>
  <c r="E2170" i="28"/>
  <c r="E2169" i="28"/>
  <c r="E2168" i="28"/>
  <c r="E2167" i="28"/>
  <c r="E2166" i="28"/>
  <c r="E2165" i="28"/>
  <c r="E2164" i="28"/>
  <c r="E2163" i="28"/>
  <c r="E2162" i="28"/>
  <c r="E2161" i="28"/>
  <c r="E2160" i="28"/>
  <c r="E2159" i="28"/>
  <c r="E2158" i="28"/>
  <c r="E2157" i="28"/>
  <c r="E2156" i="28"/>
  <c r="E2155" i="28"/>
  <c r="E2154" i="28"/>
  <c r="E2153" i="28"/>
  <c r="E2152" i="28"/>
  <c r="E2151" i="28"/>
  <c r="E2150" i="28"/>
  <c r="E2149" i="28"/>
  <c r="E2148" i="28"/>
  <c r="E2147" i="28"/>
  <c r="E2146" i="28"/>
  <c r="E2145" i="28"/>
  <c r="E2144" i="28"/>
  <c r="E2143" i="28"/>
  <c r="E2142" i="28"/>
  <c r="E2141" i="28"/>
  <c r="E2140" i="28"/>
  <c r="E2139" i="28"/>
  <c r="E2138" i="28"/>
  <c r="E2137" i="28"/>
  <c r="E2136" i="28"/>
  <c r="E2135" i="28"/>
  <c r="E2134" i="28"/>
  <c r="E2133" i="28"/>
  <c r="E2132" i="28"/>
  <c r="E2131" i="28"/>
  <c r="E2130" i="28"/>
  <c r="E2129" i="28"/>
  <c r="E2128" i="28"/>
  <c r="E2127" i="28"/>
  <c r="E2126" i="28"/>
  <c r="E2125" i="28"/>
  <c r="E2124" i="28"/>
  <c r="E2123" i="28"/>
  <c r="E2122" i="28"/>
  <c r="E2121" i="28"/>
  <c r="E2120" i="28"/>
  <c r="E2119" i="28"/>
  <c r="E2118" i="28"/>
  <c r="E2117" i="28"/>
  <c r="E2116" i="28"/>
  <c r="D2116" i="28"/>
  <c r="E2115" i="28"/>
  <c r="E2114" i="28"/>
  <c r="E2113" i="28"/>
  <c r="E2112" i="28"/>
  <c r="E2111" i="28"/>
  <c r="E2110" i="28"/>
  <c r="E2109" i="28"/>
  <c r="E2108" i="28"/>
  <c r="E2107" i="28"/>
  <c r="E2106" i="28"/>
  <c r="E2105" i="28"/>
  <c r="E2104" i="28"/>
  <c r="E2103" i="28"/>
  <c r="E2102" i="28"/>
  <c r="E2101" i="28"/>
  <c r="E2100" i="28"/>
  <c r="E2099" i="28"/>
  <c r="E2098" i="28"/>
  <c r="E2097" i="28"/>
  <c r="E2096" i="28"/>
  <c r="E2095" i="28"/>
  <c r="E2094" i="28"/>
  <c r="E2093" i="28"/>
  <c r="E2092" i="28"/>
  <c r="E2091" i="28"/>
  <c r="E2090" i="28"/>
  <c r="E2089" i="28"/>
  <c r="E2088" i="28"/>
  <c r="E2087" i="28"/>
  <c r="E2086" i="28"/>
  <c r="E2085" i="28"/>
  <c r="E2084" i="28"/>
  <c r="E2083" i="28"/>
  <c r="E2082" i="28"/>
  <c r="E2081" i="28"/>
  <c r="E2080" i="28"/>
  <c r="E2079" i="28"/>
  <c r="E2078" i="28"/>
  <c r="E2077" i="28"/>
  <c r="E2076" i="28"/>
  <c r="E2075" i="28"/>
  <c r="E2074" i="28"/>
  <c r="D2074" i="28" s="1"/>
  <c r="E2073" i="28"/>
  <c r="E2072" i="28"/>
  <c r="E2071" i="28"/>
  <c r="E2070" i="28"/>
  <c r="E2069" i="28"/>
  <c r="E2068" i="28"/>
  <c r="E2067" i="28"/>
  <c r="E2066" i="28"/>
  <c r="E2065" i="28"/>
  <c r="E2064" i="28"/>
  <c r="E2063" i="28"/>
  <c r="E2062" i="28"/>
  <c r="E2061" i="28"/>
  <c r="E2060" i="28"/>
  <c r="E2059" i="28"/>
  <c r="E2058" i="28"/>
  <c r="E2057" i="28"/>
  <c r="E2056" i="28"/>
  <c r="E2055" i="28"/>
  <c r="E2054" i="28"/>
  <c r="E2053" i="28"/>
  <c r="E2052" i="28"/>
  <c r="E2051" i="28"/>
  <c r="E2050" i="28"/>
  <c r="E2049" i="28"/>
  <c r="E2048" i="28"/>
  <c r="E2047" i="28"/>
  <c r="E2046" i="28"/>
  <c r="E2045" i="28"/>
  <c r="E2044" i="28"/>
  <c r="E2043" i="28"/>
  <c r="E2042" i="28"/>
  <c r="E2041" i="28"/>
  <c r="E2040" i="28"/>
  <c r="E2039" i="28"/>
  <c r="E2038" i="28"/>
  <c r="E2037" i="28"/>
  <c r="E2036" i="28"/>
  <c r="E2035" i="28"/>
  <c r="E2034" i="28"/>
  <c r="E2033" i="28"/>
  <c r="E2032" i="28"/>
  <c r="E2031" i="28"/>
  <c r="E2030" i="28"/>
  <c r="E2029" i="28"/>
  <c r="E2028" i="28"/>
  <c r="E2027" i="28"/>
  <c r="E2026" i="28"/>
  <c r="E2025" i="28"/>
  <c r="E2024" i="28"/>
  <c r="D2024" i="28" s="1"/>
  <c r="E2023" i="28"/>
  <c r="E2022" i="28"/>
  <c r="E2021" i="28"/>
  <c r="E2020" i="28"/>
  <c r="E2019" i="28"/>
  <c r="E2018" i="28"/>
  <c r="E2017" i="28"/>
  <c r="E2016" i="28"/>
  <c r="E2015" i="28"/>
  <c r="E2014" i="28"/>
  <c r="E2013" i="28"/>
  <c r="E2012" i="28"/>
  <c r="E2011" i="28"/>
  <c r="E2010" i="28"/>
  <c r="E2009" i="28"/>
  <c r="E2008" i="28"/>
  <c r="E2007" i="28"/>
  <c r="E2006" i="28"/>
  <c r="E2005" i="28"/>
  <c r="E2004" i="28"/>
  <c r="D2004" i="28" s="1"/>
  <c r="E2003" i="28"/>
  <c r="E2002" i="28"/>
  <c r="E2001" i="28"/>
  <c r="E2000" i="28"/>
  <c r="E1999" i="28"/>
  <c r="E1998" i="28"/>
  <c r="E1997" i="28"/>
  <c r="E1996" i="28"/>
  <c r="E1995" i="28"/>
  <c r="E1994" i="28"/>
  <c r="E1993" i="28"/>
  <c r="E1992" i="28"/>
  <c r="E1991" i="28"/>
  <c r="E1990" i="28"/>
  <c r="E1989" i="28"/>
  <c r="E1988" i="28"/>
  <c r="E1987" i="28"/>
  <c r="E1986" i="28"/>
  <c r="E1985" i="28"/>
  <c r="E1984" i="28"/>
  <c r="E1983" i="28"/>
  <c r="E1982" i="28"/>
  <c r="E1981" i="28"/>
  <c r="E1980" i="28"/>
  <c r="E1979" i="28"/>
  <c r="E1978" i="28"/>
  <c r="E1977" i="28"/>
  <c r="E1976" i="28"/>
  <c r="E1975" i="28"/>
  <c r="E1974" i="28"/>
  <c r="E1973" i="28"/>
  <c r="E1972" i="28"/>
  <c r="E1971" i="28"/>
  <c r="E1970" i="28"/>
  <c r="E1969" i="28"/>
  <c r="E1968" i="28"/>
  <c r="E1967" i="28"/>
  <c r="E1966" i="28"/>
  <c r="E1965" i="28"/>
  <c r="E1964" i="28"/>
  <c r="E1963" i="28"/>
  <c r="E1962" i="28"/>
  <c r="E1961" i="28"/>
  <c r="E1960" i="28"/>
  <c r="E1959" i="28"/>
  <c r="E1958" i="28"/>
  <c r="E1957" i="28"/>
  <c r="E1956" i="28"/>
  <c r="E1955" i="28"/>
  <c r="E1954" i="28"/>
  <c r="E1953" i="28"/>
  <c r="E1952" i="28"/>
  <c r="E1951" i="28"/>
  <c r="E1950" i="28"/>
  <c r="E1949" i="28"/>
  <c r="E1948" i="28"/>
  <c r="E1947" i="28"/>
  <c r="E1946" i="28"/>
  <c r="D1946" i="28"/>
  <c r="E1945" i="28"/>
  <c r="E1944" i="28"/>
  <c r="E1943" i="28"/>
  <c r="E1942" i="28"/>
  <c r="E1941" i="28"/>
  <c r="E1940" i="28"/>
  <c r="E1939" i="28"/>
  <c r="E1938" i="28"/>
  <c r="E1937" i="28"/>
  <c r="E1936" i="28"/>
  <c r="E1935" i="28"/>
  <c r="E1934" i="28"/>
  <c r="E1933" i="28"/>
  <c r="E1932" i="28"/>
  <c r="E1931" i="28"/>
  <c r="E1930" i="28"/>
  <c r="E1929" i="28"/>
  <c r="E1928" i="28"/>
  <c r="E1927" i="28"/>
  <c r="E1926" i="28"/>
  <c r="E1925" i="28"/>
  <c r="E1924" i="28"/>
  <c r="E1923" i="28"/>
  <c r="E1922" i="28"/>
  <c r="E1921" i="28"/>
  <c r="E1920" i="28"/>
  <c r="E1919" i="28"/>
  <c r="E1918" i="28"/>
  <c r="E1917" i="28"/>
  <c r="E1916" i="28"/>
  <c r="E1915" i="28"/>
  <c r="E1914" i="28"/>
  <c r="E1913" i="28"/>
  <c r="E1912" i="28"/>
  <c r="E1911" i="28"/>
  <c r="E1910" i="28"/>
  <c r="E1909" i="28"/>
  <c r="E1908" i="28"/>
  <c r="E1907" i="28"/>
  <c r="E1906" i="28"/>
  <c r="E1905" i="28"/>
  <c r="E1904" i="28"/>
  <c r="E1903" i="28"/>
  <c r="E1902" i="28"/>
  <c r="E1901" i="28"/>
  <c r="E1900" i="28"/>
  <c r="E1899" i="28"/>
  <c r="E1898" i="28"/>
  <c r="E1897" i="28"/>
  <c r="E1896" i="28"/>
  <c r="E1895" i="28"/>
  <c r="E1894" i="28"/>
  <c r="E1893" i="28"/>
  <c r="E1892" i="28"/>
  <c r="E1891" i="28"/>
  <c r="E1890" i="28"/>
  <c r="E1889" i="28"/>
  <c r="E1888" i="28"/>
  <c r="D1888" i="28"/>
  <c r="E1887" i="28"/>
  <c r="E1886" i="28"/>
  <c r="E1885" i="28"/>
  <c r="E1884" i="28"/>
  <c r="E1883" i="28"/>
  <c r="E1882" i="28"/>
  <c r="E1881" i="28"/>
  <c r="E1880" i="28"/>
  <c r="E1879" i="28"/>
  <c r="E1878" i="28"/>
  <c r="E1877" i="28"/>
  <c r="E1876" i="28"/>
  <c r="E1875" i="28"/>
  <c r="E1874" i="28"/>
  <c r="E1873" i="28"/>
  <c r="E1872" i="28"/>
  <c r="E1871" i="28"/>
  <c r="E1870" i="28"/>
  <c r="E1869" i="28"/>
  <c r="E1868" i="28"/>
  <c r="D1868" i="28" s="1"/>
  <c r="E1867" i="28"/>
  <c r="E1866" i="28"/>
  <c r="E1865" i="28"/>
  <c r="E1864" i="28"/>
  <c r="E1863" i="28"/>
  <c r="E1862" i="28"/>
  <c r="E1861" i="28"/>
  <c r="E1860" i="28"/>
  <c r="E1859" i="28"/>
  <c r="E1858" i="28"/>
  <c r="E1857" i="28"/>
  <c r="E1856" i="28"/>
  <c r="E1855" i="28"/>
  <c r="E1854" i="28"/>
  <c r="E1853" i="28"/>
  <c r="E1852" i="28"/>
  <c r="E1851" i="28"/>
  <c r="E1850" i="28"/>
  <c r="D1850" i="28"/>
  <c r="E1849" i="28"/>
  <c r="E1848" i="28"/>
  <c r="E1847" i="28"/>
  <c r="E1846" i="28"/>
  <c r="E1845" i="28"/>
  <c r="E1844" i="28"/>
  <c r="E1843" i="28"/>
  <c r="E1842" i="28"/>
  <c r="E1841" i="28"/>
  <c r="E1840" i="28"/>
  <c r="E1839" i="28"/>
  <c r="E1838" i="28"/>
  <c r="E1837" i="28"/>
  <c r="E1836" i="28"/>
  <c r="E1835" i="28"/>
  <c r="E1834" i="28"/>
  <c r="E1833" i="28"/>
  <c r="E1832" i="28"/>
  <c r="E1831" i="28"/>
  <c r="E1830" i="28"/>
  <c r="E1829" i="28"/>
  <c r="E1828" i="28"/>
  <c r="E1827" i="28"/>
  <c r="E1826" i="28"/>
  <c r="E1825" i="28"/>
  <c r="E1824" i="28"/>
  <c r="E1823" i="28"/>
  <c r="E1822" i="28"/>
  <c r="E1821" i="28"/>
  <c r="E1820" i="28"/>
  <c r="E1819" i="28"/>
  <c r="E1818" i="28"/>
  <c r="E1817" i="28"/>
  <c r="E1816" i="28"/>
  <c r="E1815" i="28"/>
  <c r="E1814" i="28"/>
  <c r="E1813" i="28"/>
  <c r="E1812" i="28"/>
  <c r="E1811" i="28"/>
  <c r="E1810" i="28"/>
  <c r="E1809" i="28"/>
  <c r="E1808" i="28"/>
  <c r="E1807" i="28"/>
  <c r="E1806" i="28"/>
  <c r="E1805" i="28"/>
  <c r="E1804" i="28"/>
  <c r="E1803" i="28"/>
  <c r="E1802" i="28"/>
  <c r="E1801" i="28"/>
  <c r="E1800" i="28"/>
  <c r="E1799" i="28"/>
  <c r="E1798" i="28"/>
  <c r="E1797" i="28"/>
  <c r="E1796" i="28"/>
  <c r="E1795" i="28"/>
  <c r="E1794" i="28"/>
  <c r="E1793" i="28"/>
  <c r="E1792" i="28"/>
  <c r="E1791" i="28"/>
  <c r="E1790" i="28"/>
  <c r="E1789" i="28"/>
  <c r="E1788" i="28"/>
  <c r="E1787" i="28"/>
  <c r="E1786" i="28"/>
  <c r="E1785" i="28"/>
  <c r="E1784" i="28"/>
  <c r="E1783" i="28"/>
  <c r="E1782" i="28"/>
  <c r="E1781" i="28"/>
  <c r="E1780" i="28"/>
  <c r="E1779" i="28"/>
  <c r="E1778" i="28"/>
  <c r="E1777" i="28"/>
  <c r="E1776" i="28"/>
  <c r="E1775" i="28"/>
  <c r="E1774" i="28"/>
  <c r="E1773" i="28"/>
  <c r="E1772" i="28"/>
  <c r="E1771" i="28"/>
  <c r="E1770" i="28"/>
  <c r="E1769" i="28"/>
  <c r="E1768" i="28"/>
  <c r="E1767" i="28"/>
  <c r="E1766" i="28"/>
  <c r="E1765" i="28"/>
  <c r="E1764" i="28"/>
  <c r="E1763" i="28"/>
  <c r="E1762" i="28"/>
  <c r="E1761" i="28"/>
  <c r="E1760" i="28"/>
  <c r="E1759" i="28"/>
  <c r="E1758" i="28"/>
  <c r="E1757" i="28"/>
  <c r="E1756" i="28"/>
  <c r="E1755" i="28"/>
  <c r="E1754" i="28"/>
  <c r="E1753" i="28"/>
  <c r="E1752" i="28"/>
  <c r="E1751" i="28"/>
  <c r="E1750" i="28"/>
  <c r="E1749" i="28"/>
  <c r="E1748" i="28"/>
  <c r="E1747" i="28"/>
  <c r="E1746" i="28"/>
  <c r="E1745" i="28"/>
  <c r="E1744" i="28"/>
  <c r="E1743" i="28"/>
  <c r="E1742" i="28"/>
  <c r="E1741" i="28"/>
  <c r="E1740" i="28"/>
  <c r="E1739" i="28"/>
  <c r="E1738" i="28"/>
  <c r="E1737" i="28"/>
  <c r="E1736" i="28"/>
  <c r="E1735" i="28"/>
  <c r="E1734" i="28"/>
  <c r="E1733" i="28"/>
  <c r="E1732" i="28"/>
  <c r="E1731" i="28"/>
  <c r="E1730" i="28"/>
  <c r="E1729" i="28"/>
  <c r="E1728" i="28"/>
  <c r="E1727" i="28"/>
  <c r="E1726" i="28"/>
  <c r="E1725" i="28"/>
  <c r="E1724" i="28"/>
  <c r="E1723" i="28"/>
  <c r="E1722" i="28"/>
  <c r="E1721" i="28"/>
  <c r="E1720" i="28"/>
  <c r="E1719" i="28"/>
  <c r="E1718" i="28"/>
  <c r="E1717" i="28"/>
  <c r="E1716" i="28"/>
  <c r="E1715" i="28"/>
  <c r="E1714" i="28"/>
  <c r="E1713" i="28"/>
  <c r="E1712" i="28"/>
  <c r="E1711" i="28"/>
  <c r="E1710" i="28"/>
  <c r="E1709" i="28"/>
  <c r="E1708" i="28"/>
  <c r="E1707" i="28"/>
  <c r="E1706" i="28"/>
  <c r="E1705" i="28"/>
  <c r="E1704" i="28"/>
  <c r="E1703" i="28"/>
  <c r="E1702" i="28"/>
  <c r="E1701" i="28"/>
  <c r="E1700" i="28"/>
  <c r="E1699" i="28"/>
  <c r="E1698" i="28"/>
  <c r="E1697" i="28"/>
  <c r="E1696" i="28"/>
  <c r="E1695" i="28"/>
  <c r="E1694" i="28"/>
  <c r="E1693" i="28"/>
  <c r="E1692" i="28"/>
  <c r="E1691" i="28"/>
  <c r="E1690" i="28"/>
  <c r="E1689" i="28"/>
  <c r="E1688" i="28"/>
  <c r="E1687" i="28"/>
  <c r="E1686" i="28"/>
  <c r="E1685" i="28"/>
  <c r="E1684" i="28"/>
  <c r="E1683" i="28"/>
  <c r="E1682" i="28"/>
  <c r="E1681" i="28"/>
  <c r="E1680" i="28"/>
  <c r="E1679" i="28"/>
  <c r="E1678" i="28"/>
  <c r="E1677" i="28"/>
  <c r="E1676" i="28"/>
  <c r="E1675" i="28"/>
  <c r="E1674" i="28"/>
  <c r="E1673" i="28"/>
  <c r="E1672" i="28"/>
  <c r="E1671" i="28"/>
  <c r="E1670" i="28"/>
  <c r="E1669" i="28"/>
  <c r="E1668" i="28"/>
  <c r="E1667" i="28"/>
  <c r="E1666" i="28"/>
  <c r="E1665" i="28"/>
  <c r="E1664" i="28"/>
  <c r="E1663" i="28"/>
  <c r="E1662" i="28"/>
  <c r="E1661" i="28"/>
  <c r="E1660" i="28"/>
  <c r="E1659" i="28"/>
  <c r="E1658" i="28"/>
  <c r="E1657" i="28"/>
  <c r="E1656" i="28"/>
  <c r="E1655" i="28"/>
  <c r="E1654" i="28"/>
  <c r="E1653" i="28"/>
  <c r="E1652" i="28"/>
  <c r="E1651" i="28"/>
  <c r="E1650" i="28"/>
  <c r="E1649" i="28"/>
  <c r="E1648" i="28"/>
  <c r="E1647" i="28"/>
  <c r="E1646" i="28"/>
  <c r="D1646" i="28"/>
  <c r="E1645" i="28"/>
  <c r="E1644" i="28"/>
  <c r="E1643" i="28"/>
  <c r="E1642" i="28"/>
  <c r="E1641" i="28"/>
  <c r="E1640" i="28"/>
  <c r="E1639" i="28"/>
  <c r="E1638" i="28"/>
  <c r="E1637" i="28"/>
  <c r="E1636" i="28"/>
  <c r="E1635" i="28"/>
  <c r="E1634" i="28"/>
  <c r="E1633" i="28"/>
  <c r="E1632" i="28"/>
  <c r="E1631" i="28"/>
  <c r="E1630" i="28"/>
  <c r="E1629" i="28"/>
  <c r="E1628" i="28"/>
  <c r="E1627" i="28"/>
  <c r="E1626" i="28"/>
  <c r="E1625" i="28"/>
  <c r="E1624" i="28"/>
  <c r="E1623" i="28"/>
  <c r="E1622" i="28"/>
  <c r="E1621" i="28"/>
  <c r="E1620" i="28"/>
  <c r="E1619" i="28"/>
  <c r="E1618" i="28"/>
  <c r="E1617" i="28"/>
  <c r="E1616" i="28"/>
  <c r="E1615" i="28"/>
  <c r="E1614" i="28"/>
  <c r="E1613" i="28"/>
  <c r="E1612" i="28"/>
  <c r="E1611" i="28"/>
  <c r="E1610" i="28"/>
  <c r="E1609" i="28"/>
  <c r="E1608" i="28"/>
  <c r="E1607" i="28"/>
  <c r="E1606" i="28"/>
  <c r="E1605" i="28"/>
  <c r="E1604" i="28"/>
  <c r="E1603" i="28"/>
  <c r="E1602" i="28"/>
  <c r="E1601" i="28"/>
  <c r="E1600" i="28"/>
  <c r="E1599" i="28"/>
  <c r="E1598" i="28"/>
  <c r="E1597" i="28"/>
  <c r="E1596" i="28"/>
  <c r="E1595" i="28"/>
  <c r="E1594" i="28"/>
  <c r="E1593" i="28"/>
  <c r="E1592" i="28"/>
  <c r="E1591" i="28"/>
  <c r="E1590" i="28"/>
  <c r="E1589" i="28"/>
  <c r="E1588" i="28"/>
  <c r="E1587" i="28"/>
  <c r="E1586" i="28"/>
  <c r="E1585" i="28"/>
  <c r="E1584" i="28"/>
  <c r="E1583" i="28"/>
  <c r="E1582" i="28"/>
  <c r="E1581" i="28"/>
  <c r="E1580" i="28"/>
  <c r="E1579" i="28"/>
  <c r="E1578" i="28"/>
  <c r="E1577" i="28"/>
  <c r="E1576" i="28"/>
  <c r="E1575" i="28"/>
  <c r="E1574" i="28"/>
  <c r="E1573" i="28"/>
  <c r="E1572" i="28"/>
  <c r="E1571" i="28"/>
  <c r="E1570" i="28"/>
  <c r="E1569" i="28"/>
  <c r="E1568" i="28"/>
  <c r="E1567" i="28"/>
  <c r="E1566" i="28"/>
  <c r="E1565" i="28"/>
  <c r="E1564" i="28"/>
  <c r="E1563" i="28"/>
  <c r="E1562" i="28"/>
  <c r="E1561" i="28"/>
  <c r="E1560" i="28"/>
  <c r="E1559" i="28"/>
  <c r="E1558" i="28"/>
  <c r="E1557" i="28"/>
  <c r="E1556" i="28"/>
  <c r="E1555" i="28"/>
  <c r="E1554" i="28"/>
  <c r="E1553" i="28"/>
  <c r="E1552" i="28"/>
  <c r="E1551" i="28"/>
  <c r="E1550" i="28"/>
  <c r="E1549" i="28"/>
  <c r="E1548" i="28"/>
  <c r="E1547" i="28"/>
  <c r="E1546" i="28"/>
  <c r="E1545" i="28"/>
  <c r="E1544" i="28"/>
  <c r="E1543" i="28"/>
  <c r="E1542" i="28"/>
  <c r="E1541" i="28"/>
  <c r="E1540" i="28"/>
  <c r="E1539" i="28"/>
  <c r="E1538" i="28"/>
  <c r="E1537" i="28"/>
  <c r="E1536" i="28"/>
  <c r="E1535" i="28"/>
  <c r="E1534" i="28"/>
  <c r="E1533" i="28"/>
  <c r="E1532" i="28"/>
  <c r="E1531" i="28"/>
  <c r="E1530" i="28"/>
  <c r="E1529" i="28"/>
  <c r="E1528" i="28"/>
  <c r="E1527" i="28"/>
  <c r="E1526" i="28"/>
  <c r="E1525" i="28"/>
  <c r="E1524" i="28"/>
  <c r="E1523" i="28"/>
  <c r="E1522" i="28"/>
  <c r="E1521" i="28"/>
  <c r="E1520" i="28"/>
  <c r="E1519" i="28"/>
  <c r="E1518" i="28"/>
  <c r="D1518" i="28" s="1"/>
  <c r="E1517" i="28"/>
  <c r="E1516" i="28"/>
  <c r="E1515" i="28"/>
  <c r="E1514" i="28"/>
  <c r="E1513" i="28"/>
  <c r="E1512" i="28"/>
  <c r="E1511" i="28"/>
  <c r="E1510" i="28"/>
  <c r="E1509" i="28"/>
  <c r="E1508" i="28"/>
  <c r="E1507" i="28"/>
  <c r="E1506" i="28"/>
  <c r="E1505" i="28"/>
  <c r="E1504" i="28"/>
  <c r="E1503" i="28"/>
  <c r="E1502" i="28"/>
  <c r="E1501" i="28"/>
  <c r="E1500" i="28"/>
  <c r="E1499" i="28"/>
  <c r="E1498" i="28"/>
  <c r="E1497" i="28"/>
  <c r="E1496" i="28"/>
  <c r="E1495" i="28"/>
  <c r="E1494" i="28"/>
  <c r="E1493" i="28"/>
  <c r="E1492" i="28"/>
  <c r="E1491" i="28"/>
  <c r="E1490" i="28"/>
  <c r="E1489" i="28"/>
  <c r="E1488" i="28"/>
  <c r="E1487" i="28"/>
  <c r="E1486" i="28"/>
  <c r="D1486" i="28"/>
  <c r="E1485" i="28"/>
  <c r="E1484" i="28"/>
  <c r="E1483" i="28"/>
  <c r="E1482" i="28"/>
  <c r="E1481" i="28"/>
  <c r="E1480" i="28"/>
  <c r="E1479" i="28"/>
  <c r="E1478" i="28"/>
  <c r="E1477" i="28"/>
  <c r="E1476" i="28"/>
  <c r="E1475" i="28"/>
  <c r="E1474" i="28"/>
  <c r="E1473" i="28"/>
  <c r="E1472" i="28"/>
  <c r="E1471" i="28"/>
  <c r="E1470" i="28"/>
  <c r="E1469" i="28"/>
  <c r="E1468" i="28"/>
  <c r="E1467" i="28"/>
  <c r="E1466" i="28"/>
  <c r="E1465" i="28"/>
  <c r="E1464" i="28"/>
  <c r="E1463" i="28"/>
  <c r="E1462" i="28"/>
  <c r="E1461" i="28"/>
  <c r="E1460" i="28"/>
  <c r="E1459" i="28"/>
  <c r="E1458" i="28"/>
  <c r="E1457" i="28"/>
  <c r="E1456" i="28"/>
  <c r="E1455" i="28"/>
  <c r="E1454" i="28"/>
  <c r="E1453" i="28"/>
  <c r="E1452" i="28"/>
  <c r="E1451" i="28"/>
  <c r="E1450" i="28"/>
  <c r="E1449" i="28"/>
  <c r="E1448" i="28"/>
  <c r="E1447" i="28"/>
  <c r="E1446" i="28"/>
  <c r="E1445" i="28"/>
  <c r="E1444" i="28"/>
  <c r="E1443" i="28"/>
  <c r="E1442" i="28"/>
  <c r="E1441" i="28"/>
  <c r="E1440" i="28"/>
  <c r="E1439" i="28"/>
  <c r="E1438" i="28"/>
  <c r="E1437" i="28"/>
  <c r="E1436" i="28"/>
  <c r="E1435" i="28"/>
  <c r="E1434" i="28"/>
  <c r="E1433" i="28"/>
  <c r="E1432" i="28"/>
  <c r="E1431" i="28"/>
  <c r="E1430" i="28"/>
  <c r="E1429" i="28"/>
  <c r="E1428" i="28"/>
  <c r="E1427" i="28"/>
  <c r="E1426" i="28"/>
  <c r="E1425" i="28"/>
  <c r="E1424" i="28"/>
  <c r="E1423" i="28"/>
  <c r="E1422" i="28"/>
  <c r="E1421" i="28"/>
  <c r="E1420" i="28"/>
  <c r="E1419" i="28"/>
  <c r="E1418" i="28"/>
  <c r="E1417" i="28"/>
  <c r="E1416" i="28"/>
  <c r="E1415" i="28"/>
  <c r="E1414" i="28"/>
  <c r="E1413" i="28"/>
  <c r="E1412" i="28"/>
  <c r="E1411" i="28"/>
  <c r="E1410" i="28"/>
  <c r="E1409" i="28"/>
  <c r="E1408" i="28"/>
  <c r="E1407" i="28"/>
  <c r="E1406" i="28"/>
  <c r="E1405" i="28"/>
  <c r="E1404" i="28"/>
  <c r="E1403" i="28"/>
  <c r="E1402" i="28"/>
  <c r="E1401" i="28"/>
  <c r="E1400" i="28"/>
  <c r="E1399" i="28"/>
  <c r="E1398" i="28"/>
  <c r="E1397" i="28"/>
  <c r="E1396" i="28"/>
  <c r="E1395" i="28"/>
  <c r="E1394" i="28"/>
  <c r="E1393" i="28"/>
  <c r="E1392" i="28"/>
  <c r="E1391" i="28"/>
  <c r="E1390" i="28"/>
  <c r="D1390" i="28"/>
  <c r="E1389" i="28"/>
  <c r="E1388" i="28"/>
  <c r="E1387" i="28"/>
  <c r="E1386" i="28"/>
  <c r="E1385" i="28"/>
  <c r="E1384" i="28"/>
  <c r="E1383" i="28"/>
  <c r="E1382" i="28"/>
  <c r="E1381" i="28"/>
  <c r="E1380" i="28"/>
  <c r="E1379" i="28"/>
  <c r="E1378" i="28"/>
  <c r="E1377" i="28"/>
  <c r="E1376" i="28"/>
  <c r="E1375" i="28"/>
  <c r="E1374" i="28"/>
  <c r="E1373" i="28"/>
  <c r="E1372" i="28"/>
  <c r="E1371" i="28"/>
  <c r="E1370" i="28"/>
  <c r="E1369" i="28"/>
  <c r="E1368" i="28"/>
  <c r="E1367" i="28"/>
  <c r="E1366" i="28"/>
  <c r="E1365" i="28"/>
  <c r="E1364" i="28"/>
  <c r="E1363" i="28"/>
  <c r="E1362" i="28"/>
  <c r="E1361" i="28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D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D1062" i="28" s="1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D647" i="28" s="1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D635" i="28" s="1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D587" i="28" s="1"/>
  <c r="E586" i="28"/>
  <c r="E585" i="28"/>
  <c r="E584" i="28"/>
  <c r="E583" i="28"/>
  <c r="E582" i="28"/>
  <c r="E581" i="28"/>
  <c r="E580" i="28"/>
  <c r="E579" i="28"/>
  <c r="D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D509" i="28" s="1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D493" i="28" s="1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D449" i="28" s="1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D433" i="28" s="1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D393" i="28" s="1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D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D345" i="28" s="1"/>
  <c r="E344" i="28"/>
  <c r="E343" i="28"/>
  <c r="E342" i="28"/>
  <c r="E341" i="28"/>
  <c r="E340" i="28"/>
  <c r="E339" i="28"/>
  <c r="E338" i="28"/>
  <c r="E337" i="28"/>
  <c r="D337" i="28" s="1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D313" i="28" s="1"/>
  <c r="E312" i="28"/>
  <c r="E311" i="28"/>
  <c r="E310" i="28"/>
  <c r="E309" i="28"/>
  <c r="E308" i="28"/>
  <c r="E307" i="28"/>
  <c r="E306" i="28"/>
  <c r="E305" i="28"/>
  <c r="D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D281" i="28" s="1"/>
  <c r="E280" i="28"/>
  <c r="E279" i="28"/>
  <c r="E278" i="28"/>
  <c r="E277" i="28"/>
  <c r="E276" i="28"/>
  <c r="E275" i="28"/>
  <c r="E274" i="28"/>
  <c r="E273" i="28"/>
  <c r="D273" i="28" s="1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D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D235" i="28" s="1"/>
  <c r="E234" i="28"/>
  <c r="E233" i="28"/>
  <c r="E232" i="28"/>
  <c r="E231" i="28"/>
  <c r="E230" i="28"/>
  <c r="E229" i="28"/>
  <c r="E228" i="28"/>
  <c r="E227" i="28"/>
  <c r="D227" i="28"/>
  <c r="E226" i="28"/>
  <c r="E225" i="28"/>
  <c r="E224" i="28"/>
  <c r="E223" i="28"/>
  <c r="E222" i="28"/>
  <c r="E221" i="28"/>
  <c r="E220" i="28"/>
  <c r="E219" i="28"/>
  <c r="D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D203" i="28" s="1"/>
  <c r="E202" i="28"/>
  <c r="E201" i="28"/>
  <c r="E200" i="28"/>
  <c r="E199" i="28"/>
  <c r="E198" i="28"/>
  <c r="E197" i="28"/>
  <c r="E196" i="28"/>
  <c r="E195" i="28"/>
  <c r="D195" i="28" s="1"/>
  <c r="E194" i="28"/>
  <c r="E193" i="28"/>
  <c r="E192" i="28"/>
  <c r="E191" i="28"/>
  <c r="E190" i="28"/>
  <c r="E189" i="28"/>
  <c r="E188" i="28"/>
  <c r="E187" i="28"/>
  <c r="D187" i="28" s="1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D171" i="28" s="1"/>
  <c r="E170" i="28"/>
  <c r="E169" i="28"/>
  <c r="E168" i="28"/>
  <c r="E167" i="28"/>
  <c r="E166" i="28"/>
  <c r="E165" i="28"/>
  <c r="E164" i="28"/>
  <c r="E163" i="28"/>
  <c r="D163" i="28" s="1"/>
  <c r="E162" i="28"/>
  <c r="E161" i="28"/>
  <c r="E160" i="28"/>
  <c r="E159" i="28"/>
  <c r="E158" i="28"/>
  <c r="E157" i="28"/>
  <c r="E156" i="28"/>
  <c r="E155" i="28"/>
  <c r="D155" i="28" s="1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D139" i="28"/>
  <c r="E138" i="28"/>
  <c r="E137" i="28"/>
  <c r="E136" i="28"/>
  <c r="E135" i="28"/>
  <c r="E134" i="28"/>
  <c r="E133" i="28"/>
  <c r="E132" i="28"/>
  <c r="E131" i="28"/>
  <c r="D131" i="28"/>
  <c r="E130" i="28"/>
  <c r="E129" i="28"/>
  <c r="E128" i="28"/>
  <c r="E127" i="28"/>
  <c r="E126" i="28"/>
  <c r="E125" i="28"/>
  <c r="E124" i="28"/>
  <c r="E123" i="28"/>
  <c r="D123" i="28" s="1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I7" i="16"/>
  <c r="D265" i="28" l="1"/>
  <c r="D297" i="28"/>
  <c r="D329" i="28"/>
  <c r="D361" i="28"/>
  <c r="D417" i="28"/>
  <c r="D477" i="28"/>
  <c r="D529" i="28"/>
  <c r="D567" i="28"/>
  <c r="D619" i="28"/>
  <c r="D679" i="28"/>
  <c r="D1318" i="28"/>
  <c r="D1454" i="28"/>
  <c r="D1614" i="28"/>
  <c r="D1692" i="28"/>
  <c r="D1774" i="28"/>
  <c r="D2334" i="28"/>
  <c r="D147" i="28"/>
  <c r="D179" i="28"/>
  <c r="D211" i="28"/>
  <c r="D243" i="28"/>
  <c r="D257" i="28"/>
  <c r="D289" i="28"/>
  <c r="D321" i="28"/>
  <c r="D353" i="28"/>
  <c r="D401" i="28"/>
  <c r="D461" i="28"/>
  <c r="D521" i="28"/>
  <c r="D551" i="28"/>
  <c r="D603" i="28"/>
  <c r="D663" i="28"/>
  <c r="D697" i="28"/>
  <c r="D1298" i="28"/>
  <c r="D1372" i="28"/>
  <c r="D1422" i="28"/>
  <c r="D1550" i="28"/>
  <c r="D1742" i="28"/>
  <c r="D1820" i="28"/>
  <c r="D2010" i="28"/>
  <c r="D2068" i="28"/>
  <c r="D2518" i="28"/>
  <c r="D2900" i="28"/>
  <c r="D3110" i="28"/>
  <c r="D3481" i="28"/>
  <c r="D18" i="28"/>
  <c r="D34" i="28"/>
  <c r="D46" i="28"/>
  <c r="D66" i="28"/>
  <c r="D78" i="28"/>
  <c r="D94" i="28"/>
  <c r="D110" i="28"/>
  <c r="D121" i="28"/>
  <c r="D134" i="28"/>
  <c r="D156" i="28"/>
  <c r="D172" i="28"/>
  <c r="D198" i="28"/>
  <c r="D204" i="28"/>
  <c r="D217" i="28"/>
  <c r="D246" i="28"/>
  <c r="D262" i="28"/>
  <c r="D294" i="28"/>
  <c r="D306" i="28"/>
  <c r="D322" i="28"/>
  <c r="D338" i="28"/>
  <c r="D342" i="28"/>
  <c r="D348" i="28"/>
  <c r="D358" i="28"/>
  <c r="D364" i="28"/>
  <c r="D367" i="28"/>
  <c r="D371" i="28"/>
  <c r="D375" i="28"/>
  <c r="D379" i="28"/>
  <c r="D382" i="28"/>
  <c r="D389" i="28"/>
  <c r="D396" i="28"/>
  <c r="D399" i="28"/>
  <c r="D402" i="28"/>
  <c r="D406" i="28"/>
  <c r="D410" i="28"/>
  <c r="D420" i="28"/>
  <c r="D424" i="28"/>
  <c r="D428" i="28"/>
  <c r="D431" i="28"/>
  <c r="D434" i="28"/>
  <c r="D438" i="28"/>
  <c r="D442" i="28"/>
  <c r="D452" i="28"/>
  <c r="D456" i="28"/>
  <c r="D459" i="28"/>
  <c r="D462" i="28"/>
  <c r="D469" i="28"/>
  <c r="D473" i="28"/>
  <c r="D480" i="28"/>
  <c r="D483" i="28"/>
  <c r="D487" i="28"/>
  <c r="D491" i="28"/>
  <c r="D494" i="28"/>
  <c r="D501" i="28"/>
  <c r="D505" i="28"/>
  <c r="D512" i="28"/>
  <c r="D515" i="28"/>
  <c r="D519" i="28"/>
  <c r="D522" i="28"/>
  <c r="D532" i="28"/>
  <c r="D536" i="28"/>
  <c r="D543" i="28"/>
  <c r="D547" i="28"/>
  <c r="D554" i="28"/>
  <c r="D557" i="28"/>
  <c r="D561" i="28"/>
  <c r="D565" i="28"/>
  <c r="D568" i="28"/>
  <c r="D575" i="28"/>
  <c r="D582" i="28"/>
  <c r="D585" i="28"/>
  <c r="D588" i="28"/>
  <c r="D592" i="28"/>
  <c r="D596" i="28"/>
  <c r="D606" i="28"/>
  <c r="D610" i="28"/>
  <c r="D614" i="28"/>
  <c r="D617" i="28"/>
  <c r="D620" i="28"/>
  <c r="D624" i="28"/>
  <c r="D628" i="28"/>
  <c r="D638" i="28"/>
  <c r="D642" i="28"/>
  <c r="D645" i="28"/>
  <c r="D648" i="28"/>
  <c r="D655" i="28"/>
  <c r="D659" i="28"/>
  <c r="D666" i="28"/>
  <c r="D669" i="28"/>
  <c r="D673" i="28"/>
  <c r="D677" i="28"/>
  <c r="D680" i="28"/>
  <c r="D687" i="28"/>
  <c r="D691" i="28"/>
  <c r="D695" i="28"/>
  <c r="D698" i="28"/>
  <c r="D702" i="28"/>
  <c r="D706" i="28"/>
  <c r="D710" i="28"/>
  <c r="D714" i="28"/>
  <c r="D718" i="28"/>
  <c r="D722" i="28"/>
  <c r="D726" i="28"/>
  <c r="D730" i="28"/>
  <c r="D734" i="28"/>
  <c r="D738" i="28"/>
  <c r="D742" i="28"/>
  <c r="D746" i="28"/>
  <c r="D750" i="28"/>
  <c r="D754" i="28"/>
  <c r="D758" i="28"/>
  <c r="D762" i="28"/>
  <c r="D766" i="28"/>
  <c r="D770" i="28"/>
  <c r="D774" i="28"/>
  <c r="D778" i="28"/>
  <c r="D782" i="28"/>
  <c r="D786" i="28"/>
  <c r="D790" i="28"/>
  <c r="D794" i="28"/>
  <c r="D798" i="28"/>
  <c r="D802" i="28"/>
  <c r="D806" i="28"/>
  <c r="D810" i="28"/>
  <c r="D814" i="28"/>
  <c r="D818" i="28"/>
  <c r="D822" i="28"/>
  <c r="D826" i="28"/>
  <c r="D830" i="28"/>
  <c r="D834" i="28"/>
  <c r="D838" i="28"/>
  <c r="D842" i="28"/>
  <c r="D846" i="28"/>
  <c r="D850" i="28"/>
  <c r="D854" i="28"/>
  <c r="D858" i="28"/>
  <c r="D862" i="28"/>
  <c r="D866" i="28"/>
  <c r="D870" i="28"/>
  <c r="D874" i="28"/>
  <c r="D878" i="28"/>
  <c r="D882" i="28"/>
  <c r="D886" i="28"/>
  <c r="D890" i="28"/>
  <c r="D894" i="28"/>
  <c r="D898" i="28"/>
  <c r="D902" i="28"/>
  <c r="D906" i="28"/>
  <c r="D910" i="28"/>
  <c r="D914" i="28"/>
  <c r="D918" i="28"/>
  <c r="D922" i="28"/>
  <c r="D926" i="28"/>
  <c r="D930" i="28"/>
  <c r="D934" i="28"/>
  <c r="D938" i="28"/>
  <c r="D942" i="28"/>
  <c r="D946" i="28"/>
  <c r="D950" i="28"/>
  <c r="D954" i="28"/>
  <c r="D958" i="28"/>
  <c r="D962" i="28"/>
  <c r="D966" i="28"/>
  <c r="D970" i="28"/>
  <c r="D974" i="28"/>
  <c r="D978" i="28"/>
  <c r="D982" i="28"/>
  <c r="D986" i="28"/>
  <c r="D990" i="28"/>
  <c r="D994" i="28"/>
  <c r="D998" i="28"/>
  <c r="D1002" i="28"/>
  <c r="D1006" i="28"/>
  <c r="D1010" i="28"/>
  <c r="D1014" i="28"/>
  <c r="D1018" i="28"/>
  <c r="D1022" i="28"/>
  <c r="D1026" i="28"/>
  <c r="D1030" i="28"/>
  <c r="D1034" i="28"/>
  <c r="D1038" i="28"/>
  <c r="D1042" i="28"/>
  <c r="D1046" i="28"/>
  <c r="D1050" i="28"/>
  <c r="D1054" i="28"/>
  <c r="D1058" i="28"/>
  <c r="D1065" i="28"/>
  <c r="D1069" i="28"/>
  <c r="D1073" i="28"/>
  <c r="D1077" i="28"/>
  <c r="D1081" i="28"/>
  <c r="D1085" i="28"/>
  <c r="D1089" i="28"/>
  <c r="D1093" i="28"/>
  <c r="D1097" i="28"/>
  <c r="D1101" i="28"/>
  <c r="D1105" i="28"/>
  <c r="D1109" i="28"/>
  <c r="D1113" i="28"/>
  <c r="D1117" i="28"/>
  <c r="D1121" i="28"/>
  <c r="D1125" i="28"/>
  <c r="D1128" i="28"/>
  <c r="D1132" i="28"/>
  <c r="D1136" i="28"/>
  <c r="D1140" i="28"/>
  <c r="D1144" i="28"/>
  <c r="D1148" i="28"/>
  <c r="D1151" i="28"/>
  <c r="D1155" i="28"/>
  <c r="D1159" i="28"/>
  <c r="D1163" i="28"/>
  <c r="D1167" i="28"/>
  <c r="D1171" i="28"/>
  <c r="D1175" i="28"/>
  <c r="D1179" i="28"/>
  <c r="D1183" i="28"/>
  <c r="D1187" i="28"/>
  <c r="D1191" i="28"/>
  <c r="D1195" i="28"/>
  <c r="D1199" i="28"/>
  <c r="D1203" i="28"/>
  <c r="D1384" i="28"/>
  <c r="D1388" i="28"/>
  <c r="D1391" i="28"/>
  <c r="D1395" i="28"/>
  <c r="D1399" i="28"/>
  <c r="D1403" i="28"/>
  <c r="D1407" i="28"/>
  <c r="D1411" i="28"/>
  <c r="D1512" i="28"/>
  <c r="D1516" i="28"/>
  <c r="D1519" i="28"/>
  <c r="D1523" i="28"/>
  <c r="D1527" i="28"/>
  <c r="D1531" i="28"/>
  <c r="D1535" i="28"/>
  <c r="D1539" i="28"/>
  <c r="D1660" i="28"/>
  <c r="D1664" i="28"/>
  <c r="D1668" i="28"/>
  <c r="D1672" i="28"/>
  <c r="D1676" i="28"/>
  <c r="D1680" i="28"/>
  <c r="D1684" i="28"/>
  <c r="D1688" i="28"/>
  <c r="D1695" i="28"/>
  <c r="D1699" i="28"/>
  <c r="D1703" i="28"/>
  <c r="D1707" i="28"/>
  <c r="D1711" i="28"/>
  <c r="D1715" i="28"/>
  <c r="D1719" i="28"/>
  <c r="D1723" i="28"/>
  <c r="D10" i="28"/>
  <c r="D26" i="28"/>
  <c r="D38" i="28"/>
  <c r="D54" i="28"/>
  <c r="D74" i="28"/>
  <c r="D90" i="28"/>
  <c r="D106" i="28"/>
  <c r="D118" i="28"/>
  <c r="D140" i="28"/>
  <c r="D169" i="28"/>
  <c r="D188" i="28"/>
  <c r="D201" i="28"/>
  <c r="D233" i="28"/>
  <c r="D274" i="28"/>
  <c r="D284" i="28"/>
  <c r="D354" i="28"/>
  <c r="D7" i="28"/>
  <c r="D11" i="28"/>
  <c r="D15" i="28"/>
  <c r="D19" i="28"/>
  <c r="D23" i="28"/>
  <c r="D27" i="28"/>
  <c r="D31" i="28"/>
  <c r="D35" i="28"/>
  <c r="D39" i="28"/>
  <c r="D43" i="28"/>
  <c r="D47" i="28"/>
  <c r="D51" i="28"/>
  <c r="D55" i="28"/>
  <c r="D59" i="28"/>
  <c r="D63" i="28"/>
  <c r="D67" i="28"/>
  <c r="D71" i="28"/>
  <c r="D75" i="28"/>
  <c r="D79" i="28"/>
  <c r="D83" i="28"/>
  <c r="D87" i="28"/>
  <c r="D91" i="28"/>
  <c r="D95" i="28"/>
  <c r="D99" i="28"/>
  <c r="D103" i="28"/>
  <c r="D107" i="28"/>
  <c r="D111" i="28"/>
  <c r="D115" i="28"/>
  <c r="D119" i="28"/>
  <c r="D122" i="28"/>
  <c r="D125" i="28"/>
  <c r="D128" i="28"/>
  <c r="D135" i="28"/>
  <c r="D138" i="28"/>
  <c r="D141" i="28"/>
  <c r="D144" i="28"/>
  <c r="D151" i="28"/>
  <c r="D154" i="28"/>
  <c r="D157" i="28"/>
  <c r="D160" i="28"/>
  <c r="D167" i="28"/>
  <c r="D170" i="28"/>
  <c r="D173" i="28"/>
  <c r="D176" i="28"/>
  <c r="D183" i="28"/>
  <c r="D186" i="28"/>
  <c r="D189" i="28"/>
  <c r="D192" i="28"/>
  <c r="D199" i="28"/>
  <c r="D202" i="28"/>
  <c r="D205" i="28"/>
  <c r="D208" i="28"/>
  <c r="D215" i="28"/>
  <c r="D218" i="28"/>
  <c r="D221" i="28"/>
  <c r="D224" i="28"/>
  <c r="D231" i="28"/>
  <c r="D234" i="28"/>
  <c r="D237" i="28"/>
  <c r="D240" i="28"/>
  <c r="D247" i="28"/>
  <c r="D250" i="28"/>
  <c r="D253" i="28"/>
  <c r="D256" i="28"/>
  <c r="D259" i="28"/>
  <c r="D263" i="28"/>
  <c r="D269" i="28"/>
  <c r="D272" i="28"/>
  <c r="D275" i="28"/>
  <c r="D279" i="28"/>
  <c r="D285" i="28"/>
  <c r="D288" i="28"/>
  <c r="D291" i="28"/>
  <c r="D295" i="28"/>
  <c r="D301" i="28"/>
  <c r="D304" i="28"/>
  <c r="D307" i="28"/>
  <c r="D311" i="28"/>
  <c r="D317" i="28"/>
  <c r="D320" i="28"/>
  <c r="D323" i="28"/>
  <c r="D327" i="28"/>
  <c r="D333" i="28"/>
  <c r="D336" i="28"/>
  <c r="D339" i="28"/>
  <c r="D343" i="28"/>
  <c r="D349" i="28"/>
  <c r="D352" i="28"/>
  <c r="D355" i="28"/>
  <c r="D359" i="28"/>
  <c r="D365" i="28"/>
  <c r="D368" i="28"/>
  <c r="D372" i="28"/>
  <c r="D376" i="28"/>
  <c r="D380" i="28"/>
  <c r="D383" i="28"/>
  <c r="D386" i="28"/>
  <c r="D390" i="28"/>
  <c r="D397" i="28"/>
  <c r="D400" i="28"/>
  <c r="D403" i="28"/>
  <c r="D407" i="28"/>
  <c r="D411" i="28"/>
  <c r="D414" i="28"/>
  <c r="D421" i="28"/>
  <c r="D425" i="28"/>
  <c r="D429" i="28"/>
  <c r="D432" i="28"/>
  <c r="D435" i="28"/>
  <c r="D439" i="28"/>
  <c r="D443" i="28"/>
  <c r="D446" i="28"/>
  <c r="D453" i="28"/>
  <c r="D457" i="28"/>
  <c r="D460" i="28"/>
  <c r="D463" i="28"/>
  <c r="D466" i="28"/>
  <c r="D470" i="28"/>
  <c r="D474" i="28"/>
  <c r="D481" i="28"/>
  <c r="D484" i="28"/>
  <c r="D488" i="28"/>
  <c r="D492" i="28"/>
  <c r="D495" i="28"/>
  <c r="D498" i="28"/>
  <c r="D502" i="28"/>
  <c r="D506" i="28"/>
  <c r="D513" i="28"/>
  <c r="D516" i="28"/>
  <c r="D520" i="28"/>
  <c r="D523" i="28"/>
  <c r="D526" i="28"/>
  <c r="D533" i="28"/>
  <c r="D537" i="28"/>
  <c r="D540" i="28"/>
  <c r="D544" i="28"/>
  <c r="D548" i="28"/>
  <c r="D555" i="28"/>
  <c r="D558" i="28"/>
  <c r="D562" i="28"/>
  <c r="D566" i="28"/>
  <c r="D569" i="28"/>
  <c r="D572" i="28"/>
  <c r="D576" i="28"/>
  <c r="D583" i="28"/>
  <c r="D586" i="28"/>
  <c r="D589" i="28"/>
  <c r="D593" i="28"/>
  <c r="D597" i="28"/>
  <c r="D600" i="28"/>
  <c r="D607" i="28"/>
  <c r="D611" i="28"/>
  <c r="D615" i="28"/>
  <c r="D618" i="28"/>
  <c r="D621" i="28"/>
  <c r="D625" i="28"/>
  <c r="D629" i="28"/>
  <c r="D632" i="28"/>
  <c r="D639" i="28"/>
  <c r="D643" i="28"/>
  <c r="D646" i="28"/>
  <c r="D649" i="28"/>
  <c r="D652" i="28"/>
  <c r="D656" i="28"/>
  <c r="D660" i="28"/>
  <c r="D667" i="28"/>
  <c r="D670" i="28"/>
  <c r="D674" i="28"/>
  <c r="D678" i="28"/>
  <c r="D681" i="28"/>
  <c r="D684" i="28"/>
  <c r="D688" i="28"/>
  <c r="D692" i="28"/>
  <c r="D696" i="28"/>
  <c r="D699" i="28"/>
  <c r="D703" i="28"/>
  <c r="D707" i="28"/>
  <c r="D711" i="28"/>
  <c r="D715" i="28"/>
  <c r="D719" i="28"/>
  <c r="D723" i="28"/>
  <c r="D727" i="28"/>
  <c r="D731" i="28"/>
  <c r="D735" i="28"/>
  <c r="D739" i="28"/>
  <c r="D743" i="28"/>
  <c r="D747" i="28"/>
  <c r="D751" i="28"/>
  <c r="D755" i="28"/>
  <c r="D759" i="28"/>
  <c r="D763" i="28"/>
  <c r="D767" i="28"/>
  <c r="D771" i="28"/>
  <c r="D775" i="28"/>
  <c r="D779" i="28"/>
  <c r="D783" i="28"/>
  <c r="D787" i="28"/>
  <c r="D791" i="28"/>
  <c r="D795" i="28"/>
  <c r="D799" i="28"/>
  <c r="D803" i="28"/>
  <c r="D807" i="28"/>
  <c r="D811" i="28"/>
  <c r="D815" i="28"/>
  <c r="D819" i="28"/>
  <c r="D823" i="28"/>
  <c r="D827" i="28"/>
  <c r="D831" i="28"/>
  <c r="D835" i="28"/>
  <c r="D839" i="28"/>
  <c r="D843" i="28"/>
  <c r="D847" i="28"/>
  <c r="D851" i="28"/>
  <c r="D855" i="28"/>
  <c r="D859" i="28"/>
  <c r="D863" i="28"/>
  <c r="D867" i="28"/>
  <c r="D871" i="28"/>
  <c r="D875" i="28"/>
  <c r="D879" i="28"/>
  <c r="D883" i="28"/>
  <c r="D887" i="28"/>
  <c r="D891" i="28"/>
  <c r="D895" i="28"/>
  <c r="D899" i="28"/>
  <c r="D903" i="28"/>
  <c r="D907" i="28"/>
  <c r="D911" i="28"/>
  <c r="D915" i="28"/>
  <c r="D919" i="28"/>
  <c r="D923" i="28"/>
  <c r="D927" i="28"/>
  <c r="D931" i="28"/>
  <c r="D935" i="28"/>
  <c r="D939" i="28"/>
  <c r="D943" i="28"/>
  <c r="D947" i="28"/>
  <c r="D951" i="28"/>
  <c r="D955" i="28"/>
  <c r="D959" i="28"/>
  <c r="D963" i="28"/>
  <c r="D967" i="28"/>
  <c r="D971" i="28"/>
  <c r="D975" i="28"/>
  <c r="D979" i="28"/>
  <c r="D983" i="28"/>
  <c r="D987" i="28"/>
  <c r="D991" i="28"/>
  <c r="D995" i="28"/>
  <c r="D999" i="28"/>
  <c r="D1003" i="28"/>
  <c r="D1007" i="28"/>
  <c r="D1011" i="28"/>
  <c r="D1015" i="28"/>
  <c r="D1019" i="28"/>
  <c r="D1023" i="28"/>
  <c r="D1027" i="28"/>
  <c r="D1031" i="28"/>
  <c r="D1035" i="28"/>
  <c r="D1039" i="28"/>
  <c r="D1043" i="28"/>
  <c r="D1047" i="28"/>
  <c r="D1051" i="28"/>
  <c r="D1055" i="28"/>
  <c r="D1059" i="28"/>
  <c r="D1066" i="28"/>
  <c r="D1070" i="28"/>
  <c r="D1074" i="28"/>
  <c r="D1078" i="28"/>
  <c r="D1082" i="28"/>
  <c r="D1086" i="28"/>
  <c r="D1090" i="28"/>
  <c r="D1094" i="28"/>
  <c r="D1098" i="28"/>
  <c r="D1102" i="28"/>
  <c r="D1106" i="28"/>
  <c r="D1110" i="28"/>
  <c r="D1114" i="28"/>
  <c r="D1118" i="28"/>
  <c r="D1122" i="28"/>
  <c r="D1126" i="28"/>
  <c r="D1129" i="28"/>
  <c r="D1362" i="28"/>
  <c r="D1366" i="28"/>
  <c r="D1370" i="28"/>
  <c r="D1373" i="28"/>
  <c r="D1377" i="28"/>
  <c r="D1381" i="28"/>
  <c r="D1478" i="28"/>
  <c r="D1482" i="28"/>
  <c r="D1489" i="28"/>
  <c r="D1493" i="28"/>
  <c r="D1497" i="28"/>
  <c r="D1501" i="28"/>
  <c r="D1505" i="28"/>
  <c r="D1509" i="28"/>
  <c r="D1630" i="28"/>
  <c r="D1634" i="28"/>
  <c r="D1638" i="28"/>
  <c r="D1642" i="28"/>
  <c r="D1649" i="28"/>
  <c r="D1653" i="28"/>
  <c r="D1657" i="28"/>
  <c r="D14" i="28"/>
  <c r="D30" i="28"/>
  <c r="D50" i="28"/>
  <c r="D62" i="28"/>
  <c r="D82" i="28"/>
  <c r="D98" i="28"/>
  <c r="D114" i="28"/>
  <c r="D124" i="28"/>
  <c r="D153" i="28"/>
  <c r="D166" i="28"/>
  <c r="D182" i="28"/>
  <c r="D220" i="28"/>
  <c r="D230" i="28"/>
  <c r="D252" i="28"/>
  <c r="D258" i="28"/>
  <c r="D268" i="28"/>
  <c r="D278" i="28"/>
  <c r="D326" i="28"/>
  <c r="D8" i="28"/>
  <c r="D16" i="28"/>
  <c r="D24" i="28"/>
  <c r="D32" i="28"/>
  <c r="D40" i="28"/>
  <c r="D48" i="28"/>
  <c r="D52" i="28"/>
  <c r="D56" i="28"/>
  <c r="D60" i="28"/>
  <c r="D64" i="28"/>
  <c r="D68" i="28"/>
  <c r="D72" i="28"/>
  <c r="D76" i="28"/>
  <c r="D80" i="28"/>
  <c r="D84" i="28"/>
  <c r="D88" i="28"/>
  <c r="D92" i="28"/>
  <c r="D96" i="28"/>
  <c r="D100" i="28"/>
  <c r="D104" i="28"/>
  <c r="D108" i="28"/>
  <c r="D112" i="28"/>
  <c r="D116" i="28"/>
  <c r="D126" i="28"/>
  <c r="D129" i="28"/>
  <c r="D132" i="28"/>
  <c r="D142" i="28"/>
  <c r="D145" i="28"/>
  <c r="D148" i="28"/>
  <c r="D158" i="28"/>
  <c r="D161" i="28"/>
  <c r="D164" i="28"/>
  <c r="D174" i="28"/>
  <c r="D177" i="28"/>
  <c r="D180" i="28"/>
  <c r="D190" i="28"/>
  <c r="D193" i="28"/>
  <c r="D196" i="28"/>
  <c r="D206" i="28"/>
  <c r="D209" i="28"/>
  <c r="D212" i="28"/>
  <c r="D222" i="28"/>
  <c r="D225" i="28"/>
  <c r="D228" i="28"/>
  <c r="D238" i="28"/>
  <c r="D241" i="28"/>
  <c r="D244" i="28"/>
  <c r="D254" i="28"/>
  <c r="D260" i="28"/>
  <c r="D266" i="28"/>
  <c r="D270" i="28"/>
  <c r="D276" i="28"/>
  <c r="D282" i="28"/>
  <c r="D286" i="28"/>
  <c r="D292" i="28"/>
  <c r="D298" i="28"/>
  <c r="D302" i="28"/>
  <c r="D308" i="28"/>
  <c r="D314" i="28"/>
  <c r="D318" i="28"/>
  <c r="D324" i="28"/>
  <c r="D330" i="28"/>
  <c r="D334" i="28"/>
  <c r="D340" i="28"/>
  <c r="D346" i="28"/>
  <c r="D350" i="28"/>
  <c r="D356" i="28"/>
  <c r="D362" i="28"/>
  <c r="D369" i="28"/>
  <c r="D373" i="28"/>
  <c r="D377" i="28"/>
  <c r="D384" i="28"/>
  <c r="D387" i="28"/>
  <c r="D391" i="28"/>
  <c r="D394" i="28"/>
  <c r="D404" i="28"/>
  <c r="D408" i="28"/>
  <c r="D412" i="28"/>
  <c r="D415" i="28"/>
  <c r="D418" i="28"/>
  <c r="D422" i="28"/>
  <c r="D426" i="28"/>
  <c r="D436" i="28"/>
  <c r="D440" i="28"/>
  <c r="D444" i="28"/>
  <c r="D447" i="28"/>
  <c r="D450" i="28"/>
  <c r="D454" i="28"/>
  <c r="D464" i="28"/>
  <c r="D467" i="28"/>
  <c r="D471" i="28"/>
  <c r="D475" i="28"/>
  <c r="D478" i="28"/>
  <c r="D485" i="28"/>
  <c r="D489" i="28"/>
  <c r="D496" i="28"/>
  <c r="D499" i="28"/>
  <c r="D503" i="28"/>
  <c r="D507" i="28"/>
  <c r="D510" i="28"/>
  <c r="D517" i="28"/>
  <c r="D524" i="28"/>
  <c r="D527" i="28"/>
  <c r="D530" i="28"/>
  <c r="D534" i="28"/>
  <c r="D538" i="28"/>
  <c r="D541" i="28"/>
  <c r="D545" i="28"/>
  <c r="D549" i="28"/>
  <c r="D552" i="28"/>
  <c r="D559" i="28"/>
  <c r="D563" i="28"/>
  <c r="D570" i="28"/>
  <c r="D573" i="28"/>
  <c r="D577" i="28"/>
  <c r="D580" i="28"/>
  <c r="D590" i="28"/>
  <c r="D594" i="28"/>
  <c r="D598" i="28"/>
  <c r="D601" i="28"/>
  <c r="D604" i="28"/>
  <c r="D608" i="28"/>
  <c r="D612" i="28"/>
  <c r="D622" i="28"/>
  <c r="D626" i="28"/>
  <c r="D630" i="28"/>
  <c r="D633" i="28"/>
  <c r="D636" i="28"/>
  <c r="D640" i="28"/>
  <c r="D650" i="28"/>
  <c r="D653" i="28"/>
  <c r="D657" i="28"/>
  <c r="D661" i="28"/>
  <c r="D664" i="28"/>
  <c r="D671" i="28"/>
  <c r="D675" i="28"/>
  <c r="D682" i="28"/>
  <c r="D685" i="28"/>
  <c r="D689" i="28"/>
  <c r="D693" i="28"/>
  <c r="D700" i="28"/>
  <c r="D704" i="28"/>
  <c r="D708" i="28"/>
  <c r="D712" i="28"/>
  <c r="D716" i="28"/>
  <c r="D720" i="28"/>
  <c r="D724" i="28"/>
  <c r="D728" i="28"/>
  <c r="D732" i="28"/>
  <c r="D736" i="28"/>
  <c r="D740" i="28"/>
  <c r="D744" i="28"/>
  <c r="D748" i="28"/>
  <c r="D752" i="28"/>
  <c r="D756" i="28"/>
  <c r="D760" i="28"/>
  <c r="D764" i="28"/>
  <c r="D768" i="28"/>
  <c r="D772" i="28"/>
  <c r="D776" i="28"/>
  <c r="D780" i="28"/>
  <c r="D784" i="28"/>
  <c r="D788" i="28"/>
  <c r="D792" i="28"/>
  <c r="D796" i="28"/>
  <c r="D800" i="28"/>
  <c r="D804" i="28"/>
  <c r="D808" i="28"/>
  <c r="D812" i="28"/>
  <c r="D816" i="28"/>
  <c r="D820" i="28"/>
  <c r="D824" i="28"/>
  <c r="D828" i="28"/>
  <c r="D832" i="28"/>
  <c r="D836" i="28"/>
  <c r="D840" i="28"/>
  <c r="D844" i="28"/>
  <c r="D848" i="28"/>
  <c r="D852" i="28"/>
  <c r="D856" i="28"/>
  <c r="D860" i="28"/>
  <c r="D864" i="28"/>
  <c r="D868" i="28"/>
  <c r="D872" i="28"/>
  <c r="D876" i="28"/>
  <c r="D880" i="28"/>
  <c r="D884" i="28"/>
  <c r="D888" i="28"/>
  <c r="D892" i="28"/>
  <c r="D896" i="28"/>
  <c r="D900" i="28"/>
  <c r="D904" i="28"/>
  <c r="D908" i="28"/>
  <c r="D912" i="28"/>
  <c r="D916" i="28"/>
  <c r="D920" i="28"/>
  <c r="D924" i="28"/>
  <c r="D928" i="28"/>
  <c r="D932" i="28"/>
  <c r="D936" i="28"/>
  <c r="D940" i="28"/>
  <c r="D944" i="28"/>
  <c r="D948" i="28"/>
  <c r="D952" i="28"/>
  <c r="D956" i="28"/>
  <c r="D960" i="28"/>
  <c r="D964" i="28"/>
  <c r="D968" i="28"/>
  <c r="D972" i="28"/>
  <c r="D976" i="28"/>
  <c r="D980" i="28"/>
  <c r="D984" i="28"/>
  <c r="D988" i="28"/>
  <c r="D992" i="28"/>
  <c r="D996" i="28"/>
  <c r="D1000" i="28"/>
  <c r="D1004" i="28"/>
  <c r="D1008" i="28"/>
  <c r="D1012" i="28"/>
  <c r="D1016" i="28"/>
  <c r="D1020" i="28"/>
  <c r="D1024" i="28"/>
  <c r="D1028" i="28"/>
  <c r="D1032" i="28"/>
  <c r="D1036" i="28"/>
  <c r="D1040" i="28"/>
  <c r="D1044" i="28"/>
  <c r="D1048" i="28"/>
  <c r="D1052" i="28"/>
  <c r="D1056" i="28"/>
  <c r="D1060" i="28"/>
  <c r="D1063" i="28"/>
  <c r="D1067" i="28"/>
  <c r="D1071" i="28"/>
  <c r="D1075" i="28"/>
  <c r="D1079" i="28"/>
  <c r="D1083" i="28"/>
  <c r="D1087" i="28"/>
  <c r="D1091" i="28"/>
  <c r="D1095" i="28"/>
  <c r="D1099" i="28"/>
  <c r="D1103" i="28"/>
  <c r="D1107" i="28"/>
  <c r="D1111" i="28"/>
  <c r="D1115" i="28"/>
  <c r="D1119" i="28"/>
  <c r="D1123" i="28"/>
  <c r="D1130" i="28"/>
  <c r="D1134" i="28"/>
  <c r="D1138" i="28"/>
  <c r="D1142" i="28"/>
  <c r="D1146" i="28"/>
  <c r="D1153" i="28"/>
  <c r="D1157" i="28"/>
  <c r="D1161" i="28"/>
  <c r="D1165" i="28"/>
  <c r="D1169" i="28"/>
  <c r="D1173" i="28"/>
  <c r="D1308" i="28"/>
  <c r="D1312" i="28"/>
  <c r="D1316" i="28"/>
  <c r="D1319" i="28"/>
  <c r="D1323" i="28"/>
  <c r="D1327" i="28"/>
  <c r="D1331" i="28"/>
  <c r="D1335" i="28"/>
  <c r="D1339" i="28"/>
  <c r="D1343" i="28"/>
  <c r="D1347" i="28"/>
  <c r="D1351" i="28"/>
  <c r="D1355" i="28"/>
  <c r="D1359" i="28"/>
  <c r="D1448" i="28"/>
  <c r="D1452" i="28"/>
  <c r="D1455" i="28"/>
  <c r="D1459" i="28"/>
  <c r="D1463" i="28"/>
  <c r="D1467" i="28"/>
  <c r="D1471" i="28"/>
  <c r="D1475" i="28"/>
  <c r="D1596" i="28"/>
  <c r="D1600" i="28"/>
  <c r="D1604" i="28"/>
  <c r="D1608" i="28"/>
  <c r="D1612" i="28"/>
  <c r="D1615" i="28"/>
  <c r="D1619" i="28"/>
  <c r="D1623" i="28"/>
  <c r="D1627" i="28"/>
  <c r="D1756" i="28"/>
  <c r="D1760" i="28"/>
  <c r="D1764" i="28"/>
  <c r="D6" i="28"/>
  <c r="D22" i="28"/>
  <c r="D42" i="28"/>
  <c r="D58" i="28"/>
  <c r="D70" i="28"/>
  <c r="D86" i="28"/>
  <c r="D102" i="28"/>
  <c r="D137" i="28"/>
  <c r="D150" i="28"/>
  <c r="D185" i="28"/>
  <c r="D214" i="28"/>
  <c r="D236" i="28"/>
  <c r="D249" i="28"/>
  <c r="D290" i="28"/>
  <c r="D300" i="28"/>
  <c r="D310" i="28"/>
  <c r="D316" i="28"/>
  <c r="D332" i="28"/>
  <c r="D12" i="28"/>
  <c r="D20" i="28"/>
  <c r="D28" i="28"/>
  <c r="D36" i="28"/>
  <c r="D44" i="28"/>
  <c r="D9" i="28"/>
  <c r="D13" i="28"/>
  <c r="D17" i="28"/>
  <c r="D21" i="28"/>
  <c r="D25" i="28"/>
  <c r="D29" i="28"/>
  <c r="D33" i="28"/>
  <c r="D37" i="28"/>
  <c r="D41" i="28"/>
  <c r="D45" i="28"/>
  <c r="D49" i="28"/>
  <c r="D53" i="28"/>
  <c r="D57" i="28"/>
  <c r="D61" i="28"/>
  <c r="D65" i="28"/>
  <c r="D69" i="28"/>
  <c r="D73" i="28"/>
  <c r="D77" i="28"/>
  <c r="D81" i="28"/>
  <c r="D85" i="28"/>
  <c r="D89" i="28"/>
  <c r="D93" i="28"/>
  <c r="D97" i="28"/>
  <c r="D101" i="28"/>
  <c r="D105" i="28"/>
  <c r="D109" i="28"/>
  <c r="D113" i="28"/>
  <c r="D117" i="28"/>
  <c r="D120" i="28"/>
  <c r="D127" i="28"/>
  <c r="D130" i="28"/>
  <c r="D133" i="28"/>
  <c r="D136" i="28"/>
  <c r="D143" i="28"/>
  <c r="D146" i="28"/>
  <c r="D149" i="28"/>
  <c r="D152" i="28"/>
  <c r="D159" i="28"/>
  <c r="D162" i="28"/>
  <c r="D165" i="28"/>
  <c r="D168" i="28"/>
  <c r="D175" i="28"/>
  <c r="D178" i="28"/>
  <c r="D181" i="28"/>
  <c r="D184" i="28"/>
  <c r="D191" i="28"/>
  <c r="D194" i="28"/>
  <c r="D197" i="28"/>
  <c r="D200" i="28"/>
  <c r="D207" i="28"/>
  <c r="D210" i="28"/>
  <c r="D213" i="28"/>
  <c r="D216" i="28"/>
  <c r="D223" i="28"/>
  <c r="D226" i="28"/>
  <c r="D229" i="28"/>
  <c r="D232" i="28"/>
  <c r="D239" i="28"/>
  <c r="D242" i="28"/>
  <c r="D245" i="28"/>
  <c r="D248" i="28"/>
  <c r="D255" i="28"/>
  <c r="D261" i="28"/>
  <c r="D264" i="28"/>
  <c r="D267" i="28"/>
  <c r="D271" i="28"/>
  <c r="D277" i="28"/>
  <c r="D280" i="28"/>
  <c r="D283" i="28"/>
  <c r="D287" i="28"/>
  <c r="D293" i="28"/>
  <c r="D296" i="28"/>
  <c r="D299" i="28"/>
  <c r="D303" i="28"/>
  <c r="D309" i="28"/>
  <c r="D312" i="28"/>
  <c r="D315" i="28"/>
  <c r="D319" i="28"/>
  <c r="D325" i="28"/>
  <c r="D328" i="28"/>
  <c r="D331" i="28"/>
  <c r="D335" i="28"/>
  <c r="D341" i="28"/>
  <c r="D344" i="28"/>
  <c r="D347" i="28"/>
  <c r="D351" i="28"/>
  <c r="D357" i="28"/>
  <c r="D360" i="28"/>
  <c r="D363" i="28"/>
  <c r="D366" i="28"/>
  <c r="D370" i="28"/>
  <c r="D374" i="28"/>
  <c r="D378" i="28"/>
  <c r="D385" i="28"/>
  <c r="D388" i="28"/>
  <c r="D392" i="28"/>
  <c r="D395" i="28"/>
  <c r="D398" i="28"/>
  <c r="D405" i="28"/>
  <c r="D409" i="28"/>
  <c r="D413" i="28"/>
  <c r="D416" i="28"/>
  <c r="D419" i="28"/>
  <c r="D423" i="28"/>
  <c r="D427" i="28"/>
  <c r="D430" i="28"/>
  <c r="D437" i="28"/>
  <c r="D441" i="28"/>
  <c r="D445" i="28"/>
  <c r="D448" i="28"/>
  <c r="D451" i="28"/>
  <c r="D455" i="28"/>
  <c r="D458" i="28"/>
  <c r="D465" i="28"/>
  <c r="D468" i="28"/>
  <c r="D472" i="28"/>
  <c r="D476" i="28"/>
  <c r="D479" i="28"/>
  <c r="D482" i="28"/>
  <c r="D486" i="28"/>
  <c r="D490" i="28"/>
  <c r="D497" i="28"/>
  <c r="D500" i="28"/>
  <c r="D504" i="28"/>
  <c r="D508" i="28"/>
  <c r="D511" i="28"/>
  <c r="D514" i="28"/>
  <c r="D518" i="28"/>
  <c r="D525" i="28"/>
  <c r="D528" i="28"/>
  <c r="D531" i="28"/>
  <c r="D535" i="28"/>
  <c r="D539" i="28"/>
  <c r="D542" i="28"/>
  <c r="D546" i="28"/>
  <c r="D550" i="28"/>
  <c r="D553" i="28"/>
  <c r="D556" i="28"/>
  <c r="D560" i="28"/>
  <c r="D564" i="28"/>
  <c r="D571" i="28"/>
  <c r="D574" i="28"/>
  <c r="D578" i="28"/>
  <c r="D581" i="28"/>
  <c r="D584" i="28"/>
  <c r="D591" i="28"/>
  <c r="D595" i="28"/>
  <c r="D599" i="28"/>
  <c r="D602" i="28"/>
  <c r="D605" i="28"/>
  <c r="D609" i="28"/>
  <c r="D613" i="28"/>
  <c r="D616" i="28"/>
  <c r="D623" i="28"/>
  <c r="D627" i="28"/>
  <c r="D631" i="28"/>
  <c r="D634" i="28"/>
  <c r="D637" i="28"/>
  <c r="D641" i="28"/>
  <c r="D644" i="28"/>
  <c r="D651" i="28"/>
  <c r="D654" i="28"/>
  <c r="D658" i="28"/>
  <c r="D662" i="28"/>
  <c r="D665" i="28"/>
  <c r="D668" i="28"/>
  <c r="D672" i="28"/>
  <c r="D676" i="28"/>
  <c r="D683" i="28"/>
  <c r="D686" i="28"/>
  <c r="D690" i="28"/>
  <c r="D694" i="28"/>
  <c r="D701" i="28"/>
  <c r="D705" i="28"/>
  <c r="D709" i="28"/>
  <c r="D713" i="28"/>
  <c r="D717" i="28"/>
  <c r="D721" i="28"/>
  <c r="D725" i="28"/>
  <c r="D729" i="28"/>
  <c r="D733" i="28"/>
  <c r="D737" i="28"/>
  <c r="D741" i="28"/>
  <c r="D745" i="28"/>
  <c r="D749" i="28"/>
  <c r="D753" i="28"/>
  <c r="D757" i="28"/>
  <c r="D761" i="28"/>
  <c r="D765" i="28"/>
  <c r="D769" i="28"/>
  <c r="D773" i="28"/>
  <c r="D777" i="28"/>
  <c r="D781" i="28"/>
  <c r="D785" i="28"/>
  <c r="D789" i="28"/>
  <c r="D793" i="28"/>
  <c r="D797" i="28"/>
  <c r="D801" i="28"/>
  <c r="D805" i="28"/>
  <c r="D809" i="28"/>
  <c r="D813" i="28"/>
  <c r="D817" i="28"/>
  <c r="D821" i="28"/>
  <c r="D825" i="28"/>
  <c r="D829" i="28"/>
  <c r="D833" i="28"/>
  <c r="D837" i="28"/>
  <c r="D841" i="28"/>
  <c r="D845" i="28"/>
  <c r="D849" i="28"/>
  <c r="D853" i="28"/>
  <c r="D857" i="28"/>
  <c r="D861" i="28"/>
  <c r="D865" i="28"/>
  <c r="D869" i="28"/>
  <c r="D873" i="28"/>
  <c r="D877" i="28"/>
  <c r="D881" i="28"/>
  <c r="D885" i="28"/>
  <c r="D889" i="28"/>
  <c r="D893" i="28"/>
  <c r="D897" i="28"/>
  <c r="D901" i="28"/>
  <c r="D905" i="28"/>
  <c r="D909" i="28"/>
  <c r="D913" i="28"/>
  <c r="D917" i="28"/>
  <c r="D921" i="28"/>
  <c r="D925" i="28"/>
  <c r="D929" i="28"/>
  <c r="D933" i="28"/>
  <c r="D937" i="28"/>
  <c r="D941" i="28"/>
  <c r="D945" i="28"/>
  <c r="D949" i="28"/>
  <c r="D953" i="28"/>
  <c r="D957" i="28"/>
  <c r="D961" i="28"/>
  <c r="D965" i="28"/>
  <c r="D969" i="28"/>
  <c r="D973" i="28"/>
  <c r="D977" i="28"/>
  <c r="D981" i="28"/>
  <c r="D985" i="28"/>
  <c r="D989" i="28"/>
  <c r="D993" i="28"/>
  <c r="D997" i="28"/>
  <c r="D1001" i="28"/>
  <c r="D1005" i="28"/>
  <c r="D1009" i="28"/>
  <c r="D1013" i="28"/>
  <c r="D1017" i="28"/>
  <c r="D1021" i="28"/>
  <c r="D1025" i="28"/>
  <c r="D1029" i="28"/>
  <c r="D1033" i="28"/>
  <c r="D1037" i="28"/>
  <c r="D1041" i="28"/>
  <c r="D1045" i="28"/>
  <c r="D1049" i="28"/>
  <c r="D1053" i="28"/>
  <c r="D1057" i="28"/>
  <c r="D1061" i="28"/>
  <c r="D1064" i="28"/>
  <c r="D1068" i="28"/>
  <c r="D1072" i="28"/>
  <c r="D1076" i="28"/>
  <c r="D1080" i="28"/>
  <c r="D1084" i="28"/>
  <c r="D1088" i="28"/>
  <c r="D1092" i="28"/>
  <c r="D1096" i="28"/>
  <c r="D1100" i="28"/>
  <c r="D1104" i="28"/>
  <c r="D1108" i="28"/>
  <c r="D1112" i="28"/>
  <c r="D1116" i="28"/>
  <c r="D1120" i="28"/>
  <c r="D1124" i="28"/>
  <c r="D1127" i="28"/>
  <c r="D1206" i="28"/>
  <c r="D1210" i="28"/>
  <c r="D1214" i="28"/>
  <c r="D1218" i="28"/>
  <c r="D1222" i="28"/>
  <c r="D1226" i="28"/>
  <c r="D1230" i="28"/>
  <c r="D1234" i="28"/>
  <c r="D1238" i="28"/>
  <c r="D1242" i="28"/>
  <c r="D1246" i="28"/>
  <c r="D1250" i="28"/>
  <c r="D1254" i="28"/>
  <c r="D1258" i="28"/>
  <c r="D1262" i="28"/>
  <c r="D1266" i="28"/>
  <c r="D1270" i="28"/>
  <c r="D1274" i="28"/>
  <c r="D1278" i="28"/>
  <c r="D1282" i="28"/>
  <c r="D1286" i="28"/>
  <c r="D1290" i="28"/>
  <c r="D1294" i="28"/>
  <c r="D1301" i="28"/>
  <c r="D1305" i="28"/>
  <c r="D1414" i="28"/>
  <c r="D1418" i="28"/>
  <c r="D1425" i="28"/>
  <c r="D1429" i="28"/>
  <c r="D1433" i="28"/>
  <c r="D1437" i="28"/>
  <c r="D1441" i="28"/>
  <c r="D1445" i="28"/>
  <c r="D1542" i="28"/>
  <c r="D1546" i="28"/>
  <c r="D1553" i="28"/>
  <c r="D1557" i="28"/>
  <c r="D1561" i="28"/>
  <c r="D1565" i="28"/>
  <c r="D1569" i="28"/>
  <c r="D1573" i="28"/>
  <c r="D1577" i="28"/>
  <c r="D1581" i="28"/>
  <c r="D1585" i="28"/>
  <c r="D1589" i="28"/>
  <c r="D1593" i="28"/>
  <c r="D1726" i="28"/>
  <c r="D1730" i="28"/>
  <c r="D1734" i="28"/>
  <c r="D1738" i="28"/>
  <c r="D1745" i="28"/>
  <c r="D1749" i="28"/>
  <c r="D1753" i="28"/>
  <c r="D1133" i="28"/>
  <c r="D1137" i="28"/>
  <c r="D1141" i="28"/>
  <c r="D1145" i="28"/>
  <c r="D1149" i="28"/>
  <c r="D1152" i="28"/>
  <c r="D1156" i="28"/>
  <c r="D1160" i="28"/>
  <c r="D1164" i="28"/>
  <c r="D1168" i="28"/>
  <c r="D1172" i="28"/>
  <c r="D1176" i="28"/>
  <c r="D1180" i="28"/>
  <c r="D1184" i="28"/>
  <c r="D1188" i="28"/>
  <c r="D1192" i="28"/>
  <c r="D1196" i="28"/>
  <c r="D1200" i="28"/>
  <c r="D1204" i="28"/>
  <c r="D1207" i="28"/>
  <c r="D1211" i="28"/>
  <c r="D1215" i="28"/>
  <c r="D1219" i="28"/>
  <c r="D1223" i="28"/>
  <c r="D1227" i="28"/>
  <c r="D1231" i="28"/>
  <c r="D1235" i="28"/>
  <c r="D1239" i="28"/>
  <c r="D1243" i="28"/>
  <c r="D1247" i="28"/>
  <c r="D1251" i="28"/>
  <c r="D1255" i="28"/>
  <c r="D1259" i="28"/>
  <c r="D1263" i="28"/>
  <c r="D1267" i="28"/>
  <c r="D1271" i="28"/>
  <c r="D1275" i="28"/>
  <c r="D1279" i="28"/>
  <c r="D1283" i="28"/>
  <c r="D1287" i="28"/>
  <c r="D1291" i="28"/>
  <c r="D1295" i="28"/>
  <c r="D1302" i="28"/>
  <c r="D1306" i="28"/>
  <c r="D1309" i="28"/>
  <c r="D1313" i="28"/>
  <c r="D1317" i="28"/>
  <c r="D1320" i="28"/>
  <c r="D1324" i="28"/>
  <c r="D1328" i="28"/>
  <c r="D1332" i="28"/>
  <c r="D1336" i="28"/>
  <c r="D1340" i="28"/>
  <c r="D1344" i="28"/>
  <c r="D1348" i="28"/>
  <c r="D1352" i="28"/>
  <c r="D1356" i="28"/>
  <c r="D1360" i="28"/>
  <c r="D1363" i="28"/>
  <c r="D1367" i="28"/>
  <c r="D1371" i="28"/>
  <c r="D1374" i="28"/>
  <c r="D1378" i="28"/>
  <c r="D1382" i="28"/>
  <c r="D1385" i="28"/>
  <c r="D1389" i="28"/>
  <c r="D1392" i="28"/>
  <c r="D1396" i="28"/>
  <c r="D1400" i="28"/>
  <c r="D1404" i="28"/>
  <c r="D1408" i="28"/>
  <c r="D1412" i="28"/>
  <c r="D1415" i="28"/>
  <c r="D1419" i="28"/>
  <c r="D1426" i="28"/>
  <c r="D1430" i="28"/>
  <c r="D1434" i="28"/>
  <c r="D1438" i="28"/>
  <c r="D1442" i="28"/>
  <c r="D1446" i="28"/>
  <c r="D1449" i="28"/>
  <c r="D1453" i="28"/>
  <c r="D1456" i="28"/>
  <c r="D1460" i="28"/>
  <c r="D1464" i="28"/>
  <c r="D1468" i="28"/>
  <c r="D1472" i="28"/>
  <c r="D1476" i="28"/>
  <c r="D1479" i="28"/>
  <c r="D1483" i="28"/>
  <c r="D1490" i="28"/>
  <c r="D1494" i="28"/>
  <c r="D1498" i="28"/>
  <c r="D1502" i="28"/>
  <c r="D1506" i="28"/>
  <c r="D1510" i="28"/>
  <c r="D1513" i="28"/>
  <c r="D1517" i="28"/>
  <c r="D1520" i="28"/>
  <c r="D1524" i="28"/>
  <c r="D1528" i="28"/>
  <c r="D1532" i="28"/>
  <c r="D1536" i="28"/>
  <c r="D1540" i="28"/>
  <c r="D1543" i="28"/>
  <c r="D1547" i="28"/>
  <c r="D1554" i="28"/>
  <c r="D1558" i="28"/>
  <c r="D1562" i="28"/>
  <c r="D1566" i="28"/>
  <c r="D1570" i="28"/>
  <c r="D1574" i="28"/>
  <c r="D1578" i="28"/>
  <c r="D1582" i="28"/>
  <c r="D1586" i="28"/>
  <c r="D1590" i="28"/>
  <c r="D1594" i="28"/>
  <c r="D1597" i="28"/>
  <c r="D1601" i="28"/>
  <c r="D1605" i="28"/>
  <c r="D1609" i="28"/>
  <c r="D1613" i="28"/>
  <c r="D1616" i="28"/>
  <c r="D1620" i="28"/>
  <c r="D1624" i="28"/>
  <c r="D1628" i="28"/>
  <c r="D1631" i="28"/>
  <c r="D1635" i="28"/>
  <c r="D1639" i="28"/>
  <c r="D1643" i="28"/>
  <c r="D1650" i="28"/>
  <c r="D1654" i="28"/>
  <c r="D1658" i="28"/>
  <c r="D1661" i="28"/>
  <c r="D1665" i="28"/>
  <c r="D1669" i="28"/>
  <c r="D1673" i="28"/>
  <c r="D1677" i="28"/>
  <c r="D1681" i="28"/>
  <c r="D1685" i="28"/>
  <c r="D1689" i="28"/>
  <c r="D1696" i="28"/>
  <c r="D1700" i="28"/>
  <c r="D1704" i="28"/>
  <c r="D1708" i="28"/>
  <c r="D1712" i="28"/>
  <c r="D1716" i="28"/>
  <c r="D1720" i="28"/>
  <c r="D1724" i="28"/>
  <c r="D1727" i="28"/>
  <c r="D1731" i="28"/>
  <c r="D1735" i="28"/>
  <c r="D1739" i="28"/>
  <c r="D1746" i="28"/>
  <c r="D1750" i="28"/>
  <c r="D1754" i="28"/>
  <c r="D1757" i="28"/>
  <c r="D1761" i="28"/>
  <c r="D1765" i="28"/>
  <c r="D1769" i="28"/>
  <c r="D1773" i="28"/>
  <c r="D1776" i="28"/>
  <c r="D1780" i="28"/>
  <c r="D1784" i="28"/>
  <c r="D1788" i="28"/>
  <c r="D1791" i="28"/>
  <c r="D1795" i="28"/>
  <c r="D1799" i="28"/>
  <c r="D1803" i="28"/>
  <c r="D1807" i="28"/>
  <c r="D1811" i="28"/>
  <c r="D1815" i="28"/>
  <c r="D1819" i="28"/>
  <c r="D1822" i="28"/>
  <c r="D1826" i="28"/>
  <c r="D1830" i="28"/>
  <c r="D1834" i="28"/>
  <c r="D1838" i="28"/>
  <c r="D1841" i="28"/>
  <c r="D1845" i="28"/>
  <c r="D1849" i="28"/>
  <c r="D1852" i="28"/>
  <c r="D1856" i="28"/>
  <c r="D1860" i="28"/>
  <c r="D1863" i="28"/>
  <c r="D1867" i="28"/>
  <c r="D1870" i="28"/>
  <c r="D1874" i="28"/>
  <c r="D1877" i="28"/>
  <c r="D1881" i="28"/>
  <c r="D1885" i="28"/>
  <c r="D1892" i="28"/>
  <c r="D1896" i="28"/>
  <c r="D1900" i="28"/>
  <c r="D1904" i="28"/>
  <c r="D1908" i="28"/>
  <c r="D1912" i="28"/>
  <c r="D1916" i="28"/>
  <c r="D1920" i="28"/>
  <c r="D1924" i="28"/>
  <c r="D1928" i="28"/>
  <c r="D1932" i="28"/>
  <c r="D1936" i="28"/>
  <c r="D1940" i="28"/>
  <c r="D1943" i="28"/>
  <c r="D1950" i="28"/>
  <c r="D1954" i="28"/>
  <c r="D1958" i="28"/>
  <c r="D1961" i="28"/>
  <c r="D1965" i="28"/>
  <c r="D1969" i="28"/>
  <c r="D1973" i="28"/>
  <c r="D1977" i="28"/>
  <c r="D1981" i="28"/>
  <c r="D1985" i="28"/>
  <c r="D1992" i="28"/>
  <c r="D1996" i="28"/>
  <c r="D2000" i="28"/>
  <c r="D2007" i="28"/>
  <c r="D2014" i="28"/>
  <c r="D2018" i="28"/>
  <c r="D2022" i="28"/>
  <c r="D2025" i="28"/>
  <c r="D2029" i="28"/>
  <c r="D2033" i="28"/>
  <c r="D2037" i="28"/>
  <c r="D2041" i="28"/>
  <c r="D2045" i="28"/>
  <c r="D2049" i="28"/>
  <c r="D2053" i="28"/>
  <c r="D2057" i="28"/>
  <c r="D2061" i="28"/>
  <c r="D2065" i="28"/>
  <c r="D2072" i="28"/>
  <c r="D2075" i="28"/>
  <c r="D2079" i="28"/>
  <c r="D2083" i="28"/>
  <c r="D2087" i="28"/>
  <c r="D2090" i="28"/>
  <c r="D2094" i="28"/>
  <c r="D2098" i="28"/>
  <c r="D2102" i="28"/>
  <c r="D2106" i="28"/>
  <c r="D2110" i="28"/>
  <c r="D2114" i="28"/>
  <c r="D2117" i="28"/>
  <c r="D2121" i="28"/>
  <c r="D2125" i="28"/>
  <c r="D2129" i="28"/>
  <c r="D2133" i="28"/>
  <c r="D2137" i="28"/>
  <c r="D2141" i="28"/>
  <c r="D2145" i="28"/>
  <c r="D2149" i="28"/>
  <c r="D2153" i="28"/>
  <c r="D2157" i="28"/>
  <c r="D2160" i="28"/>
  <c r="D2164" i="28"/>
  <c r="D2168" i="28"/>
  <c r="D2172" i="28"/>
  <c r="D2176" i="28"/>
  <c r="D2180" i="28"/>
  <c r="D2184" i="28"/>
  <c r="D2188" i="28"/>
  <c r="D2192" i="28"/>
  <c r="D2196" i="28"/>
  <c r="D2200" i="28"/>
  <c r="D2204" i="28"/>
  <c r="D2208" i="28"/>
  <c r="D2212" i="28"/>
  <c r="D2216" i="28"/>
  <c r="D2220" i="28"/>
  <c r="D2224" i="28"/>
  <c r="D2228" i="28"/>
  <c r="D2232" i="28"/>
  <c r="D2236" i="28"/>
  <c r="D2240" i="28"/>
  <c r="D2244" i="28"/>
  <c r="D2248" i="28"/>
  <c r="D2252" i="28"/>
  <c r="D2256" i="28"/>
  <c r="D2260" i="28"/>
  <c r="D2264" i="28"/>
  <c r="D2268" i="28"/>
  <c r="D2272" i="28"/>
  <c r="D2276" i="28"/>
  <c r="D2280" i="28"/>
  <c r="D2284" i="28"/>
  <c r="D2288" i="28"/>
  <c r="D2292" i="28"/>
  <c r="D2295" i="28"/>
  <c r="D2299" i="28"/>
  <c r="D2303" i="28"/>
  <c r="D2307" i="28"/>
  <c r="D2311" i="28"/>
  <c r="D2314" i="28"/>
  <c r="D2318" i="28"/>
  <c r="D2322" i="28"/>
  <c r="D2326" i="28"/>
  <c r="D2330" i="28"/>
  <c r="D2337" i="28"/>
  <c r="D2341" i="28"/>
  <c r="D2345" i="28"/>
  <c r="D2349" i="28"/>
  <c r="D2353" i="28"/>
  <c r="D2357" i="28"/>
  <c r="D2361" i="28"/>
  <c r="D2365" i="28"/>
  <c r="D2369" i="28"/>
  <c r="D2373" i="28"/>
  <c r="D2377" i="28"/>
  <c r="D2381" i="28"/>
  <c r="D2385" i="28"/>
  <c r="D2389" i="28"/>
  <c r="D2392" i="28"/>
  <c r="D2396" i="28"/>
  <c r="D2400" i="28"/>
  <c r="D2404" i="28"/>
  <c r="D2408" i="28"/>
  <c r="D2412" i="28"/>
  <c r="D2416" i="28"/>
  <c r="D2420" i="28"/>
  <c r="D2423" i="28"/>
  <c r="D2427" i="28"/>
  <c r="D2431" i="28"/>
  <c r="D2435" i="28"/>
  <c r="D2439" i="28"/>
  <c r="D2443" i="28"/>
  <c r="D2447" i="28"/>
  <c r="D2450" i="28"/>
  <c r="D2454" i="28"/>
  <c r="D2458" i="28"/>
  <c r="D2462" i="28"/>
  <c r="D2466" i="28"/>
  <c r="D2470" i="28"/>
  <c r="D2474" i="28"/>
  <c r="D2478" i="28"/>
  <c r="D2482" i="28"/>
  <c r="D2486" i="28"/>
  <c r="D2490" i="28"/>
  <c r="D2494" i="28"/>
  <c r="D2498" i="28"/>
  <c r="D2502" i="28"/>
  <c r="D2506" i="28"/>
  <c r="D2510" i="28"/>
  <c r="D2514" i="28"/>
  <c r="D2521" i="28"/>
  <c r="D2525" i="28"/>
  <c r="D2529" i="28"/>
  <c r="D2533" i="28"/>
  <c r="D2537" i="28"/>
  <c r="D2541" i="28"/>
  <c r="D2545" i="28"/>
  <c r="D2549" i="28"/>
  <c r="D2553" i="28"/>
  <c r="D2557" i="28"/>
  <c r="D2561" i="28"/>
  <c r="D2565" i="28"/>
  <c r="D2569" i="28"/>
  <c r="D2573" i="28"/>
  <c r="D2577" i="28"/>
  <c r="D2581" i="28"/>
  <c r="D2585" i="28"/>
  <c r="D2589" i="28"/>
  <c r="D2593" i="28"/>
  <c r="D2597" i="28"/>
  <c r="D2601" i="28"/>
  <c r="D2605" i="28"/>
  <c r="D2609" i="28"/>
  <c r="D2613" i="28"/>
  <c r="D2617" i="28"/>
  <c r="D2621" i="28"/>
  <c r="D2625" i="28"/>
  <c r="D2629" i="28"/>
  <c r="D2633" i="28"/>
  <c r="D2637" i="28"/>
  <c r="D2641" i="28"/>
  <c r="D2645" i="28"/>
  <c r="D2649" i="28"/>
  <c r="D2653" i="28"/>
  <c r="D2657" i="28"/>
  <c r="D2661" i="28"/>
  <c r="D2665" i="28"/>
  <c r="D2669" i="28"/>
  <c r="D2673" i="28"/>
  <c r="D2677" i="28"/>
  <c r="D2681" i="28"/>
  <c r="D2685" i="28"/>
  <c r="D2689" i="28"/>
  <c r="D2693" i="28"/>
  <c r="D2697" i="28"/>
  <c r="D2701" i="28"/>
  <c r="D2705" i="28"/>
  <c r="D2709" i="28"/>
  <c r="D2713" i="28"/>
  <c r="D2717" i="28"/>
  <c r="D2721" i="28"/>
  <c r="D2725" i="28"/>
  <c r="D2729" i="28"/>
  <c r="D2733" i="28"/>
  <c r="D2737" i="28"/>
  <c r="D2741" i="28"/>
  <c r="D2745" i="28"/>
  <c r="D2749" i="28"/>
  <c r="D2756" i="28"/>
  <c r="D2760" i="28"/>
  <c r="D2764" i="28"/>
  <c r="D2768" i="28"/>
  <c r="D2772" i="28"/>
  <c r="D2776" i="28"/>
  <c r="D2780" i="28"/>
  <c r="D2784" i="28"/>
  <c r="D2788" i="28"/>
  <c r="D2792" i="28"/>
  <c r="D2796" i="28"/>
  <c r="D2800" i="28"/>
  <c r="D2804" i="28"/>
  <c r="D2808" i="28"/>
  <c r="D2812" i="28"/>
  <c r="D2816" i="28"/>
  <c r="D2820" i="28"/>
  <c r="D2824" i="28"/>
  <c r="D2828" i="28"/>
  <c r="D2832" i="28"/>
  <c r="D2836" i="28"/>
  <c r="D2840" i="28"/>
  <c r="D2843" i="28"/>
  <c r="D2847" i="28"/>
  <c r="D2851" i="28"/>
  <c r="D2855" i="28"/>
  <c r="D2859" i="28"/>
  <c r="D2863" i="28"/>
  <c r="D2867" i="28"/>
  <c r="D2871" i="28"/>
  <c r="D2875" i="28"/>
  <c r="D2879" i="28"/>
  <c r="D2882" i="28"/>
  <c r="D2886" i="28"/>
  <c r="D2890" i="28"/>
  <c r="D2894" i="28"/>
  <c r="D2898" i="28"/>
  <c r="D2901" i="28"/>
  <c r="D2905" i="28"/>
  <c r="D2909" i="28"/>
  <c r="D2913" i="28"/>
  <c r="D2917" i="28"/>
  <c r="D2921" i="28"/>
  <c r="D2925" i="28"/>
  <c r="D2929" i="28"/>
  <c r="D2933" i="28"/>
  <c r="D2937" i="28"/>
  <c r="D2941" i="28"/>
  <c r="D2945" i="28"/>
  <c r="D2949" i="28"/>
  <c r="D2953" i="28"/>
  <c r="D2957" i="28"/>
  <c r="D2961" i="28"/>
  <c r="D2965" i="28"/>
  <c r="D2969" i="28"/>
  <c r="D2972" i="28"/>
  <c r="D2976" i="28"/>
  <c r="D2980" i="28"/>
  <c r="D2984" i="28"/>
  <c r="D2988" i="28"/>
  <c r="D2992" i="28"/>
  <c r="D2996" i="28"/>
  <c r="D3000" i="28"/>
  <c r="D3004" i="28"/>
  <c r="D3008" i="28"/>
  <c r="D3012" i="28"/>
  <c r="D3016" i="28"/>
  <c r="D3020" i="28"/>
  <c r="D3024" i="28"/>
  <c r="D3031" i="28"/>
  <c r="D3035" i="28"/>
  <c r="D3039" i="28"/>
  <c r="D3043" i="28"/>
  <c r="D3047" i="28"/>
  <c r="D3051" i="28"/>
  <c r="D3055" i="28"/>
  <c r="D3059" i="28"/>
  <c r="D3063" i="28"/>
  <c r="D3067" i="28"/>
  <c r="D3071" i="28"/>
  <c r="D3075" i="28"/>
  <c r="D3079" i="28"/>
  <c r="D3083" i="28"/>
  <c r="D3087" i="28"/>
  <c r="D3091" i="28"/>
  <c r="D3095" i="28"/>
  <c r="D3099" i="28"/>
  <c r="D3103" i="28"/>
  <c r="D1177" i="28"/>
  <c r="D1181" i="28"/>
  <c r="D1185" i="28"/>
  <c r="D1189" i="28"/>
  <c r="D1193" i="28"/>
  <c r="D1197" i="28"/>
  <c r="D1201" i="28"/>
  <c r="D1205" i="28"/>
  <c r="D1208" i="28"/>
  <c r="D1212" i="28"/>
  <c r="D1216" i="28"/>
  <c r="D1220" i="28"/>
  <c r="D1224" i="28"/>
  <c r="D1228" i="28"/>
  <c r="D1232" i="28"/>
  <c r="D1236" i="28"/>
  <c r="D1240" i="28"/>
  <c r="D1244" i="28"/>
  <c r="D1248" i="28"/>
  <c r="D1252" i="28"/>
  <c r="D1256" i="28"/>
  <c r="D1260" i="28"/>
  <c r="D1264" i="28"/>
  <c r="D1268" i="28"/>
  <c r="D1272" i="28"/>
  <c r="D1276" i="28"/>
  <c r="D1280" i="28"/>
  <c r="D1284" i="28"/>
  <c r="D1288" i="28"/>
  <c r="D1292" i="28"/>
  <c r="D1296" i="28"/>
  <c r="D1299" i="28"/>
  <c r="D1303" i="28"/>
  <c r="D1307" i="28"/>
  <c r="D1310" i="28"/>
  <c r="D1314" i="28"/>
  <c r="D1321" i="28"/>
  <c r="D1325" i="28"/>
  <c r="D1329" i="28"/>
  <c r="D1333" i="28"/>
  <c r="D1337" i="28"/>
  <c r="D1341" i="28"/>
  <c r="D1345" i="28"/>
  <c r="D1349" i="28"/>
  <c r="D1353" i="28"/>
  <c r="D1357" i="28"/>
  <c r="D1361" i="28"/>
  <c r="D1364" i="28"/>
  <c r="D1368" i="28"/>
  <c r="D1375" i="28"/>
  <c r="D1379" i="28"/>
  <c r="D1386" i="28"/>
  <c r="D1393" i="28"/>
  <c r="D1397" i="28"/>
  <c r="D1401" i="28"/>
  <c r="D1405" i="28"/>
  <c r="D1409" i="28"/>
  <c r="D1413" i="28"/>
  <c r="D1416" i="28"/>
  <c r="D1420" i="28"/>
  <c r="D1423" i="28"/>
  <c r="D1427" i="28"/>
  <c r="D1431" i="28"/>
  <c r="D1435" i="28"/>
  <c r="D1439" i="28"/>
  <c r="D1443" i="28"/>
  <c r="D1450" i="28"/>
  <c r="D1457" i="28"/>
  <c r="D1461" i="28"/>
  <c r="D1465" i="28"/>
  <c r="D1469" i="28"/>
  <c r="D1473" i="28"/>
  <c r="D1477" i="28"/>
  <c r="D1480" i="28"/>
  <c r="D1484" i="28"/>
  <c r="D1487" i="28"/>
  <c r="D1491" i="28"/>
  <c r="D1495" i="28"/>
  <c r="D1499" i="28"/>
  <c r="D1503" i="28"/>
  <c r="D1507" i="28"/>
  <c r="D1514" i="28"/>
  <c r="D1521" i="28"/>
  <c r="D1525" i="28"/>
  <c r="D1529" i="28"/>
  <c r="D1533" i="28"/>
  <c r="D1537" i="28"/>
  <c r="D1541" i="28"/>
  <c r="D1544" i="28"/>
  <c r="D1548" i="28"/>
  <c r="D1551" i="28"/>
  <c r="D1555" i="28"/>
  <c r="D1559" i="28"/>
  <c r="D1563" i="28"/>
  <c r="D1567" i="28"/>
  <c r="D1571" i="28"/>
  <c r="D1575" i="28"/>
  <c r="D1579" i="28"/>
  <c r="D1583" i="28"/>
  <c r="D1587" i="28"/>
  <c r="D1591" i="28"/>
  <c r="D1595" i="28"/>
  <c r="D1598" i="28"/>
  <c r="D1602" i="28"/>
  <c r="D1606" i="28"/>
  <c r="D1610" i="28"/>
  <c r="D1617" i="28"/>
  <c r="D1621" i="28"/>
  <c r="D1625" i="28"/>
  <c r="D1632" i="28"/>
  <c r="D1636" i="28"/>
  <c r="D1640" i="28"/>
  <c r="D1644" i="28"/>
  <c r="D1647" i="28"/>
  <c r="D1651" i="28"/>
  <c r="D1655" i="28"/>
  <c r="D1659" i="28"/>
  <c r="D1662" i="28"/>
  <c r="D1666" i="28"/>
  <c r="D1670" i="28"/>
  <c r="D1674" i="28"/>
  <c r="D1678" i="28"/>
  <c r="D1682" i="28"/>
  <c r="D1686" i="28"/>
  <c r="D1690" i="28"/>
  <c r="D1693" i="28"/>
  <c r="D1697" i="28"/>
  <c r="D1701" i="28"/>
  <c r="D1705" i="28"/>
  <c r="D1709" i="28"/>
  <c r="D1713" i="28"/>
  <c r="D1717" i="28"/>
  <c r="D1721" i="28"/>
  <c r="D1728" i="28"/>
  <c r="D1732" i="28"/>
  <c r="D1736" i="28"/>
  <c r="D1740" i="28"/>
  <c r="D1743" i="28"/>
  <c r="D1747" i="28"/>
  <c r="D1751" i="28"/>
  <c r="D1755" i="28"/>
  <c r="D1758" i="28"/>
  <c r="D1762" i="28"/>
  <c r="D1766" i="28"/>
  <c r="D1770" i="28"/>
  <c r="D1777" i="28"/>
  <c r="D1781" i="28"/>
  <c r="D1785" i="28"/>
  <c r="D1792" i="28"/>
  <c r="D1796" i="28"/>
  <c r="D1800" i="28"/>
  <c r="D1804" i="28"/>
  <c r="D1808" i="28"/>
  <c r="D1812" i="28"/>
  <c r="D1816" i="28"/>
  <c r="D1823" i="28"/>
  <c r="D1827" i="28"/>
  <c r="D1831" i="28"/>
  <c r="D1835" i="28"/>
  <c r="D1842" i="28"/>
  <c r="D1846" i="28"/>
  <c r="D1853" i="28"/>
  <c r="D1857" i="28"/>
  <c r="D1861" i="28"/>
  <c r="D1864" i="28"/>
  <c r="D1871" i="28"/>
  <c r="D1878" i="28"/>
  <c r="D1882" i="28"/>
  <c r="D1886" i="28"/>
  <c r="D1889" i="28"/>
  <c r="D1893" i="28"/>
  <c r="D1897" i="28"/>
  <c r="D1901" i="28"/>
  <c r="D1905" i="28"/>
  <c r="D1909" i="28"/>
  <c r="D1913" i="28"/>
  <c r="D1917" i="28"/>
  <c r="D1921" i="28"/>
  <c r="D1925" i="28"/>
  <c r="D1929" i="28"/>
  <c r="D1933" i="28"/>
  <c r="D1937" i="28"/>
  <c r="D1944" i="28"/>
  <c r="D1947" i="28"/>
  <c r="D1951" i="28"/>
  <c r="D1955" i="28"/>
  <c r="D1959" i="28"/>
  <c r="D1962" i="28"/>
  <c r="D1966" i="28"/>
  <c r="D1970" i="28"/>
  <c r="D1974" i="28"/>
  <c r="D1978" i="28"/>
  <c r="D1982" i="28"/>
  <c r="D1986" i="28"/>
  <c r="D1989" i="28"/>
  <c r="D1993" i="28"/>
  <c r="D1997" i="28"/>
  <c r="D2001" i="28"/>
  <c r="D2008" i="28"/>
  <c r="D2011" i="28"/>
  <c r="D2015" i="28"/>
  <c r="D2019" i="28"/>
  <c r="D2023" i="28"/>
  <c r="D2026" i="28"/>
  <c r="D2030" i="28"/>
  <c r="D2034" i="28"/>
  <c r="D2038" i="28"/>
  <c r="D2042" i="28"/>
  <c r="D2046" i="28"/>
  <c r="D2050" i="28"/>
  <c r="D2054" i="28"/>
  <c r="D2058" i="28"/>
  <c r="D2062" i="28"/>
  <c r="D2066" i="28"/>
  <c r="D2069" i="28"/>
  <c r="D2073" i="28"/>
  <c r="D2076" i="28"/>
  <c r="D2080" i="28"/>
  <c r="D2084" i="28"/>
  <c r="D2088" i="28"/>
  <c r="D2091" i="28"/>
  <c r="D2095" i="28"/>
  <c r="D2099" i="28"/>
  <c r="D2103" i="28"/>
  <c r="D2107" i="28"/>
  <c r="D2111" i="28"/>
  <c r="D2115" i="28"/>
  <c r="D2118" i="28"/>
  <c r="D2122" i="28"/>
  <c r="D2126" i="28"/>
  <c r="D2130" i="28"/>
  <c r="D2134" i="28"/>
  <c r="D2138" i="28"/>
  <c r="D2142" i="28"/>
  <c r="D2146" i="28"/>
  <c r="D2150" i="28"/>
  <c r="D2154" i="28"/>
  <c r="D2158" i="28"/>
  <c r="D2161" i="28"/>
  <c r="D2165" i="28"/>
  <c r="D2169" i="28"/>
  <c r="D2173" i="28"/>
  <c r="D2177" i="28"/>
  <c r="D2181" i="28"/>
  <c r="D2185" i="28"/>
  <c r="D2189" i="28"/>
  <c r="D2193" i="28"/>
  <c r="D2197" i="28"/>
  <c r="D2201" i="28"/>
  <c r="D2205" i="28"/>
  <c r="D2209" i="28"/>
  <c r="D2213" i="28"/>
  <c r="D2217" i="28"/>
  <c r="D2221" i="28"/>
  <c r="D2225" i="28"/>
  <c r="D2229" i="28"/>
  <c r="D2233" i="28"/>
  <c r="D2237" i="28"/>
  <c r="D2241" i="28"/>
  <c r="D2245" i="28"/>
  <c r="D2249" i="28"/>
  <c r="D2253" i="28"/>
  <c r="D2257" i="28"/>
  <c r="D2261" i="28"/>
  <c r="D2265" i="28"/>
  <c r="D2269" i="28"/>
  <c r="D2273" i="28"/>
  <c r="D2277" i="28"/>
  <c r="D2281" i="28"/>
  <c r="D2285" i="28"/>
  <c r="D2289" i="28"/>
  <c r="D2293" i="28"/>
  <c r="D2296" i="28"/>
  <c r="D2300" i="28"/>
  <c r="D2304" i="28"/>
  <c r="D2308" i="28"/>
  <c r="D2312" i="28"/>
  <c r="D2315" i="28"/>
  <c r="D2319" i="28"/>
  <c r="D2323" i="28"/>
  <c r="D2327" i="28"/>
  <c r="D2331" i="28"/>
  <c r="D2338" i="28"/>
  <c r="D2342" i="28"/>
  <c r="D2346" i="28"/>
  <c r="D2350" i="28"/>
  <c r="D2354" i="28"/>
  <c r="D2358" i="28"/>
  <c r="D2362" i="28"/>
  <c r="D2366" i="28"/>
  <c r="D2370" i="28"/>
  <c r="D2374" i="28"/>
  <c r="D2378" i="28"/>
  <c r="D2382" i="28"/>
  <c r="D2386" i="28"/>
  <c r="D2390" i="28"/>
  <c r="D2393" i="28"/>
  <c r="D2397" i="28"/>
  <c r="D2401" i="28"/>
  <c r="D2405" i="28"/>
  <c r="D2409" i="28"/>
  <c r="D2413" i="28"/>
  <c r="D2417" i="28"/>
  <c r="D2421" i="28"/>
  <c r="D2424" i="28"/>
  <c r="D2428" i="28"/>
  <c r="D2432" i="28"/>
  <c r="D2436" i="28"/>
  <c r="D2440" i="28"/>
  <c r="D2444" i="28"/>
  <c r="D2448" i="28"/>
  <c r="D2451" i="28"/>
  <c r="D2455" i="28"/>
  <c r="D2459" i="28"/>
  <c r="D2463" i="28"/>
  <c r="D2467" i="28"/>
  <c r="D2471" i="28"/>
  <c r="D2475" i="28"/>
  <c r="D2479" i="28"/>
  <c r="D2483" i="28"/>
  <c r="D2487" i="28"/>
  <c r="D2491" i="28"/>
  <c r="D2495" i="28"/>
  <c r="D2499" i="28"/>
  <c r="D2503" i="28"/>
  <c r="D2507" i="28"/>
  <c r="D2511" i="28"/>
  <c r="D2515" i="28"/>
  <c r="D2522" i="28"/>
  <c r="D2526" i="28"/>
  <c r="D2530" i="28"/>
  <c r="D2534" i="28"/>
  <c r="D2538" i="28"/>
  <c r="D2542" i="28"/>
  <c r="D2546" i="28"/>
  <c r="D2550" i="28"/>
  <c r="D2554" i="28"/>
  <c r="D2558" i="28"/>
  <c r="D2562" i="28"/>
  <c r="D2566" i="28"/>
  <c r="D2570" i="28"/>
  <c r="D2574" i="28"/>
  <c r="D2578" i="28"/>
  <c r="D2582" i="28"/>
  <c r="D2586" i="28"/>
  <c r="D2590" i="28"/>
  <c r="D2594" i="28"/>
  <c r="D2598" i="28"/>
  <c r="D2602" i="28"/>
  <c r="D2606" i="28"/>
  <c r="D2610" i="28"/>
  <c r="D2614" i="28"/>
  <c r="D2618" i="28"/>
  <c r="D2622" i="28"/>
  <c r="D2626" i="28"/>
  <c r="D2630" i="28"/>
  <c r="D2634" i="28"/>
  <c r="D2638" i="28"/>
  <c r="D2642" i="28"/>
  <c r="D2646" i="28"/>
  <c r="D2650" i="28"/>
  <c r="D2654" i="28"/>
  <c r="D2658" i="28"/>
  <c r="D2662" i="28"/>
  <c r="D2666" i="28"/>
  <c r="D2670" i="28"/>
  <c r="D2674" i="28"/>
  <c r="D2678" i="28"/>
  <c r="D2682" i="28"/>
  <c r="D2686" i="28"/>
  <c r="D2690" i="28"/>
  <c r="D2694" i="28"/>
  <c r="D2698" i="28"/>
  <c r="D2702" i="28"/>
  <c r="D2706" i="28"/>
  <c r="D2710" i="28"/>
  <c r="D2714" i="28"/>
  <c r="D2718" i="28"/>
  <c r="D2722" i="28"/>
  <c r="D2726" i="28"/>
  <c r="D2730" i="28"/>
  <c r="D2734" i="28"/>
  <c r="D2738" i="28"/>
  <c r="D2742" i="28"/>
  <c r="D2746" i="28"/>
  <c r="D2750" i="28"/>
  <c r="D2753" i="28"/>
  <c r="D2757" i="28"/>
  <c r="D2761" i="28"/>
  <c r="D2765" i="28"/>
  <c r="D2769" i="28"/>
  <c r="D2773" i="28"/>
  <c r="D2777" i="28"/>
  <c r="D2781" i="28"/>
  <c r="D2785" i="28"/>
  <c r="D2789" i="28"/>
  <c r="D2793" i="28"/>
  <c r="D2797" i="28"/>
  <c r="D2801" i="28"/>
  <c r="D2805" i="28"/>
  <c r="D2809" i="28"/>
  <c r="D2813" i="28"/>
  <c r="D2817" i="28"/>
  <c r="D2821" i="28"/>
  <c r="D2825" i="28"/>
  <c r="D2829" i="28"/>
  <c r="D2833" i="28"/>
  <c r="D2837" i="28"/>
  <c r="D2841" i="28"/>
  <c r="D2844" i="28"/>
  <c r="D2848" i="28"/>
  <c r="D2852" i="28"/>
  <c r="D2856" i="28"/>
  <c r="D2860" i="28"/>
  <c r="D2864" i="28"/>
  <c r="D2868" i="28"/>
  <c r="D2872" i="28"/>
  <c r="D2876" i="28"/>
  <c r="D2880" i="28"/>
  <c r="D2883" i="28"/>
  <c r="D2887" i="28"/>
  <c r="D2891" i="28"/>
  <c r="D2895" i="28"/>
  <c r="D2899" i="28"/>
  <c r="D2902" i="28"/>
  <c r="D2906" i="28"/>
  <c r="D2910" i="28"/>
  <c r="D2914" i="28"/>
  <c r="D2918" i="28"/>
  <c r="D2922" i="28"/>
  <c r="D2926" i="28"/>
  <c r="D2930" i="28"/>
  <c r="D2934" i="28"/>
  <c r="D2938" i="28"/>
  <c r="D2942" i="28"/>
  <c r="D2946" i="28"/>
  <c r="D2950" i="28"/>
  <c r="D2954" i="28"/>
  <c r="D2958" i="28"/>
  <c r="D2962" i="28"/>
  <c r="D2966" i="28"/>
  <c r="D2970" i="28"/>
  <c r="D2973" i="28"/>
  <c r="D2977" i="28"/>
  <c r="D2981" i="28"/>
  <c r="D2985" i="28"/>
  <c r="D2989" i="28"/>
  <c r="D2993" i="28"/>
  <c r="D2997" i="28"/>
  <c r="D3001" i="28"/>
  <c r="D3005" i="28"/>
  <c r="D3009" i="28"/>
  <c r="D3013" i="28"/>
  <c r="D3017" i="28"/>
  <c r="D3021" i="28"/>
  <c r="D3025" i="28"/>
  <c r="D3108" i="28"/>
  <c r="D3111" i="28"/>
  <c r="D3115" i="28"/>
  <c r="D3119" i="28"/>
  <c r="D3123" i="28"/>
  <c r="D1131" i="28"/>
  <c r="D1135" i="28"/>
  <c r="D1139" i="28"/>
  <c r="D1143" i="28"/>
  <c r="D1147" i="28"/>
  <c r="D1154" i="28"/>
  <c r="D1158" i="28"/>
  <c r="D1162" i="28"/>
  <c r="D1166" i="28"/>
  <c r="D1170" i="28"/>
  <c r="D1174" i="28"/>
  <c r="D1178" i="28"/>
  <c r="D1182" i="28"/>
  <c r="D1186" i="28"/>
  <c r="D1190" i="28"/>
  <c r="D1194" i="28"/>
  <c r="D1198" i="28"/>
  <c r="D1202" i="28"/>
  <c r="D1209" i="28"/>
  <c r="D1213" i="28"/>
  <c r="D1217" i="28"/>
  <c r="D1221" i="28"/>
  <c r="D1225" i="28"/>
  <c r="D1229" i="28"/>
  <c r="D1233" i="28"/>
  <c r="D1237" i="28"/>
  <c r="D1241" i="28"/>
  <c r="D1245" i="28"/>
  <c r="D1249" i="28"/>
  <c r="D1253" i="28"/>
  <c r="D1257" i="28"/>
  <c r="D1261" i="28"/>
  <c r="D1265" i="28"/>
  <c r="D1269" i="28"/>
  <c r="D1273" i="28"/>
  <c r="D1277" i="28"/>
  <c r="D1281" i="28"/>
  <c r="D1285" i="28"/>
  <c r="D1289" i="28"/>
  <c r="D1293" i="28"/>
  <c r="D1297" i="28"/>
  <c r="D1300" i="28"/>
  <c r="D1304" i="28"/>
  <c r="D1311" i="28"/>
  <c r="D1315" i="28"/>
  <c r="D1322" i="28"/>
  <c r="D1326" i="28"/>
  <c r="D1330" i="28"/>
  <c r="D1334" i="28"/>
  <c r="D1338" i="28"/>
  <c r="D1342" i="28"/>
  <c r="D1346" i="28"/>
  <c r="D1350" i="28"/>
  <c r="D1354" i="28"/>
  <c r="D1358" i="28"/>
  <c r="D1365" i="28"/>
  <c r="D1369" i="28"/>
  <c r="D1376" i="28"/>
  <c r="D1380" i="28"/>
  <c r="D1383" i="28"/>
  <c r="D1387" i="28"/>
  <c r="D1394" i="28"/>
  <c r="D1398" i="28"/>
  <c r="D1402" i="28"/>
  <c r="D1406" i="28"/>
  <c r="D1410" i="28"/>
  <c r="D1417" i="28"/>
  <c r="D1421" i="28"/>
  <c r="D1424" i="28"/>
  <c r="D1428" i="28"/>
  <c r="D1432" i="28"/>
  <c r="D1436" i="28"/>
  <c r="D1440" i="28"/>
  <c r="D1444" i="28"/>
  <c r="D1447" i="28"/>
  <c r="D1451" i="28"/>
  <c r="D1458" i="28"/>
  <c r="D1462" i="28"/>
  <c r="D1466" i="28"/>
  <c r="D1470" i="28"/>
  <c r="D1474" i="28"/>
  <c r="D1481" i="28"/>
  <c r="D1485" i="28"/>
  <c r="D1488" i="28"/>
  <c r="D1492" i="28"/>
  <c r="D1496" i="28"/>
  <c r="D1500" i="28"/>
  <c r="D1504" i="28"/>
  <c r="D1508" i="28"/>
  <c r="D1511" i="28"/>
  <c r="D1515" i="28"/>
  <c r="D1522" i="28"/>
  <c r="D1526" i="28"/>
  <c r="D1530" i="28"/>
  <c r="D1534" i="28"/>
  <c r="D1538" i="28"/>
  <c r="D1545" i="28"/>
  <c r="D1549" i="28"/>
  <c r="D1552" i="28"/>
  <c r="D1556" i="28"/>
  <c r="D1560" i="28"/>
  <c r="D1564" i="28"/>
  <c r="D1568" i="28"/>
  <c r="D1572" i="28"/>
  <c r="D1576" i="28"/>
  <c r="D1580" i="28"/>
  <c r="D1584" i="28"/>
  <c r="D1588" i="28"/>
  <c r="D1592" i="28"/>
  <c r="D1599" i="28"/>
  <c r="D1603" i="28"/>
  <c r="D1607" i="28"/>
  <c r="D1611" i="28"/>
  <c r="D1618" i="28"/>
  <c r="D1622" i="28"/>
  <c r="D1626" i="28"/>
  <c r="D1629" i="28"/>
  <c r="D1633" i="28"/>
  <c r="D1637" i="28"/>
  <c r="D1641" i="28"/>
  <c r="D1645" i="28"/>
  <c r="D1648" i="28"/>
  <c r="D1652" i="28"/>
  <c r="D1656" i="28"/>
  <c r="D1663" i="28"/>
  <c r="D1667" i="28"/>
  <c r="D1671" i="28"/>
  <c r="D1675" i="28"/>
  <c r="D1679" i="28"/>
  <c r="D1683" i="28"/>
  <c r="D1687" i="28"/>
  <c r="D1691" i="28"/>
  <c r="D1694" i="28"/>
  <c r="D1698" i="28"/>
  <c r="D1702" i="28"/>
  <c r="D1706" i="28"/>
  <c r="D1710" i="28"/>
  <c r="D1714" i="28"/>
  <c r="D1718" i="28"/>
  <c r="D1722" i="28"/>
  <c r="D1725" i="28"/>
  <c r="D1729" i="28"/>
  <c r="D1733" i="28"/>
  <c r="D1737" i="28"/>
  <c r="D1741" i="28"/>
  <c r="D1744" i="28"/>
  <c r="D1748" i="28"/>
  <c r="D1752" i="28"/>
  <c r="D1759" i="28"/>
  <c r="D1763" i="28"/>
  <c r="D1767" i="28"/>
  <c r="D1771" i="28"/>
  <c r="D1778" i="28"/>
  <c r="D1782" i="28"/>
  <c r="D1786" i="28"/>
  <c r="D1789" i="28"/>
  <c r="D1793" i="28"/>
  <c r="D1797" i="28"/>
  <c r="D1801" i="28"/>
  <c r="D1805" i="28"/>
  <c r="D1809" i="28"/>
  <c r="D1813" i="28"/>
  <c r="D1817" i="28"/>
  <c r="D1824" i="28"/>
  <c r="D1828" i="28"/>
  <c r="D1832" i="28"/>
  <c r="D1836" i="28"/>
  <c r="D1839" i="28"/>
  <c r="D1843" i="28"/>
  <c r="D1847" i="28"/>
  <c r="D1854" i="28"/>
  <c r="D1858" i="28"/>
  <c r="D1862" i="28"/>
  <c r="D1865" i="28"/>
  <c r="D1872" i="28"/>
  <c r="D1875" i="28"/>
  <c r="D1879" i="28"/>
  <c r="D1883" i="28"/>
  <c r="D1887" i="28"/>
  <c r="D1890" i="28"/>
  <c r="D1894" i="28"/>
  <c r="D1898" i="28"/>
  <c r="D1902" i="28"/>
  <c r="D1906" i="28"/>
  <c r="D1910" i="28"/>
  <c r="D1914" i="28"/>
  <c r="D1918" i="28"/>
  <c r="D1922" i="28"/>
  <c r="D1926" i="28"/>
  <c r="D1930" i="28"/>
  <c r="D1934" i="28"/>
  <c r="D1938" i="28"/>
  <c r="D1941" i="28"/>
  <c r="D1945" i="28"/>
  <c r="D1948" i="28"/>
  <c r="D1952" i="28"/>
  <c r="D1956" i="28"/>
  <c r="D1960" i="28"/>
  <c r="D1963" i="28"/>
  <c r="D1967" i="28"/>
  <c r="D1971" i="28"/>
  <c r="D1975" i="28"/>
  <c r="D1979" i="28"/>
  <c r="D1983" i="28"/>
  <c r="D1987" i="28"/>
  <c r="D1990" i="28"/>
  <c r="D1994" i="28"/>
  <c r="D1998" i="28"/>
  <c r="D2002" i="28"/>
  <c r="D2005" i="28"/>
  <c r="D2009" i="28"/>
  <c r="D2012" i="28"/>
  <c r="D2016" i="28"/>
  <c r="D2020" i="28"/>
  <c r="D2027" i="28"/>
  <c r="D2031" i="28"/>
  <c r="D2035" i="28"/>
  <c r="D2039" i="28"/>
  <c r="D2043" i="28"/>
  <c r="D2047" i="28"/>
  <c r="D2051" i="28"/>
  <c r="D2055" i="28"/>
  <c r="D2059" i="28"/>
  <c r="D2063" i="28"/>
  <c r="D2067" i="28"/>
  <c r="D2070" i="28"/>
  <c r="D2077" i="28"/>
  <c r="D2081" i="28"/>
  <c r="D2085" i="28"/>
  <c r="D2092" i="28"/>
  <c r="D2096" i="28"/>
  <c r="D2100" i="28"/>
  <c r="D2104" i="28"/>
  <c r="D2108" i="28"/>
  <c r="D2112" i="28"/>
  <c r="D2119" i="28"/>
  <c r="D2123" i="28"/>
  <c r="D2127" i="28"/>
  <c r="D2131" i="28"/>
  <c r="D2135" i="28"/>
  <c r="D2139" i="28"/>
  <c r="D2143" i="28"/>
  <c r="D2147" i="28"/>
  <c r="D2151" i="28"/>
  <c r="D2155" i="28"/>
  <c r="D2162" i="28"/>
  <c r="D2166" i="28"/>
  <c r="D2170" i="28"/>
  <c r="D2174" i="28"/>
  <c r="D2178" i="28"/>
  <c r="D2182" i="28"/>
  <c r="D2186" i="28"/>
  <c r="D2190" i="28"/>
  <c r="D2194" i="28"/>
  <c r="D2198" i="28"/>
  <c r="D2202" i="28"/>
  <c r="D2206" i="28"/>
  <c r="D2210" i="28"/>
  <c r="D2214" i="28"/>
  <c r="D2218" i="28"/>
  <c r="D2222" i="28"/>
  <c r="D2226" i="28"/>
  <c r="D2230" i="28"/>
  <c r="D2234" i="28"/>
  <c r="D2238" i="28"/>
  <c r="D2242" i="28"/>
  <c r="D2246" i="28"/>
  <c r="D2250" i="28"/>
  <c r="D2254" i="28"/>
  <c r="D2258" i="28"/>
  <c r="D2262" i="28"/>
  <c r="D2266" i="28"/>
  <c r="D2270" i="28"/>
  <c r="D2274" i="28"/>
  <c r="D2278" i="28"/>
  <c r="D2282" i="28"/>
  <c r="D2286" i="28"/>
  <c r="D2290" i="28"/>
  <c r="D2297" i="28"/>
  <c r="D2301" i="28"/>
  <c r="D2305" i="28"/>
  <c r="D2309" i="28"/>
  <c r="D2316" i="28"/>
  <c r="D2320" i="28"/>
  <c r="D2324" i="28"/>
  <c r="D2328" i="28"/>
  <c r="D2332" i="28"/>
  <c r="D2335" i="28"/>
  <c r="D2339" i="28"/>
  <c r="D2343" i="28"/>
  <c r="D2347" i="28"/>
  <c r="D2351" i="28"/>
  <c r="D2355" i="28"/>
  <c r="D2359" i="28"/>
  <c r="D2363" i="28"/>
  <c r="D2367" i="28"/>
  <c r="D2371" i="28"/>
  <c r="D2375" i="28"/>
  <c r="D2379" i="28"/>
  <c r="D2383" i="28"/>
  <c r="D2387" i="28"/>
  <c r="D2394" i="28"/>
  <c r="D2398" i="28"/>
  <c r="D2402" i="28"/>
  <c r="D2406" i="28"/>
  <c r="D2410" i="28"/>
  <c r="D2414" i="28"/>
  <c r="D2418" i="28"/>
  <c r="D2425" i="28"/>
  <c r="D2429" i="28"/>
  <c r="D2433" i="28"/>
  <c r="D2437" i="28"/>
  <c r="D2441" i="28"/>
  <c r="D2445" i="28"/>
  <c r="D2452" i="28"/>
  <c r="D2456" i="28"/>
  <c r="D2460" i="28"/>
  <c r="D2464" i="28"/>
  <c r="D2468" i="28"/>
  <c r="D2472" i="28"/>
  <c r="D2476" i="28"/>
  <c r="D2480" i="28"/>
  <c r="D2484" i="28"/>
  <c r="D2488" i="28"/>
  <c r="D2492" i="28"/>
  <c r="D2496" i="28"/>
  <c r="D2500" i="28"/>
  <c r="D2504" i="28"/>
  <c r="D2508" i="28"/>
  <c r="D2512" i="28"/>
  <c r="D2516" i="28"/>
  <c r="D2519" i="28"/>
  <c r="D2523" i="28"/>
  <c r="D2527" i="28"/>
  <c r="D2531" i="28"/>
  <c r="D2535" i="28"/>
  <c r="D2539" i="28"/>
  <c r="D2543" i="28"/>
  <c r="D2547" i="28"/>
  <c r="D2551" i="28"/>
  <c r="D2555" i="28"/>
  <c r="D2559" i="28"/>
  <c r="D2563" i="28"/>
  <c r="D2567" i="28"/>
  <c r="D2571" i="28"/>
  <c r="D2575" i="28"/>
  <c r="D2579" i="28"/>
  <c r="D2583" i="28"/>
  <c r="D2587" i="28"/>
  <c r="D2591" i="28"/>
  <c r="D2595" i="28"/>
  <c r="D2599" i="28"/>
  <c r="D2603" i="28"/>
  <c r="D2607" i="28"/>
  <c r="D2611" i="28"/>
  <c r="D2615" i="28"/>
  <c r="D2619" i="28"/>
  <c r="D2623" i="28"/>
  <c r="D2627" i="28"/>
  <c r="D2631" i="28"/>
  <c r="D2635" i="28"/>
  <c r="D2639" i="28"/>
  <c r="D2643" i="28"/>
  <c r="D2647" i="28"/>
  <c r="D2651" i="28"/>
  <c r="D2655" i="28"/>
  <c r="D2659" i="28"/>
  <c r="D2663" i="28"/>
  <c r="D2667" i="28"/>
  <c r="D2671" i="28"/>
  <c r="D2675" i="28"/>
  <c r="D2679" i="28"/>
  <c r="D2683" i="28"/>
  <c r="D2687" i="28"/>
  <c r="D2691" i="28"/>
  <c r="D2695" i="28"/>
  <c r="D2699" i="28"/>
  <c r="D2703" i="28"/>
  <c r="D2707" i="28"/>
  <c r="D2711" i="28"/>
  <c r="D2715" i="28"/>
  <c r="D2719" i="28"/>
  <c r="D2723" i="28"/>
  <c r="D2727" i="28"/>
  <c r="D2731" i="28"/>
  <c r="D2735" i="28"/>
  <c r="D2739" i="28"/>
  <c r="D2743" i="28"/>
  <c r="D2747" i="28"/>
  <c r="D2751" i="28"/>
  <c r="D2754" i="28"/>
  <c r="D2758" i="28"/>
  <c r="D2762" i="28"/>
  <c r="D2766" i="28"/>
  <c r="D2770" i="28"/>
  <c r="D2774" i="28"/>
  <c r="D2778" i="28"/>
  <c r="D2782" i="28"/>
  <c r="D2786" i="28"/>
  <c r="D2790" i="28"/>
  <c r="D2794" i="28"/>
  <c r="D2798" i="28"/>
  <c r="D2802" i="28"/>
  <c r="D2806" i="28"/>
  <c r="D2810" i="28"/>
  <c r="D2814" i="28"/>
  <c r="D2818" i="28"/>
  <c r="D2822" i="28"/>
  <c r="D2826" i="28"/>
  <c r="D2830" i="28"/>
  <c r="D2834" i="28"/>
  <c r="D2838" i="28"/>
  <c r="D2845" i="28"/>
  <c r="D2849" i="28"/>
  <c r="D2853" i="28"/>
  <c r="D2857" i="28"/>
  <c r="D2861" i="28"/>
  <c r="D2865" i="28"/>
  <c r="D2869" i="28"/>
  <c r="D2873" i="28"/>
  <c r="D2877" i="28"/>
  <c r="D2884" i="28"/>
  <c r="D2888" i="28"/>
  <c r="D2892" i="28"/>
  <c r="D2896" i="28"/>
  <c r="D2903" i="28"/>
  <c r="D2907" i="28"/>
  <c r="D2911" i="28"/>
  <c r="D2915" i="28"/>
  <c r="D2919" i="28"/>
  <c r="D2923" i="28"/>
  <c r="D2927" i="28"/>
  <c r="D2931" i="28"/>
  <c r="D2935" i="28"/>
  <c r="D2939" i="28"/>
  <c r="D2943" i="28"/>
  <c r="D2947" i="28"/>
  <c r="D2951" i="28"/>
  <c r="D2955" i="28"/>
  <c r="D2959" i="28"/>
  <c r="D2963" i="28"/>
  <c r="D2967" i="28"/>
  <c r="D2974" i="28"/>
  <c r="D2978" i="28"/>
  <c r="D2982" i="28"/>
  <c r="D2986" i="28"/>
  <c r="D2990" i="28"/>
  <c r="D2994" i="28"/>
  <c r="D2998" i="28"/>
  <c r="D3002" i="28"/>
  <c r="D3006" i="28"/>
  <c r="D3010" i="28"/>
  <c r="D3014" i="28"/>
  <c r="D3018" i="28"/>
  <c r="D3022" i="28"/>
  <c r="D3026" i="28"/>
  <c r="D3029" i="28"/>
  <c r="D3033" i="28"/>
  <c r="D3037" i="28"/>
  <c r="D3041" i="28"/>
  <c r="D3045" i="28"/>
  <c r="D3049" i="28"/>
  <c r="D3053" i="28"/>
  <c r="D3057" i="28"/>
  <c r="D3061" i="28"/>
  <c r="D3065" i="28"/>
  <c r="D3069" i="28"/>
  <c r="D3073" i="28"/>
  <c r="D3077" i="28"/>
  <c r="D3081" i="28"/>
  <c r="D3085" i="28"/>
  <c r="D3089" i="28"/>
  <c r="D3093" i="28"/>
  <c r="D3097" i="28"/>
  <c r="D3101" i="28"/>
  <c r="D3105" i="28"/>
  <c r="D3160" i="28"/>
  <c r="D3164" i="28"/>
  <c r="D3168" i="28"/>
  <c r="D3172" i="28"/>
  <c r="D3176" i="28"/>
  <c r="D3180" i="28"/>
  <c r="D3184" i="28"/>
  <c r="D3188" i="28"/>
  <c r="D3192" i="28"/>
  <c r="D3196" i="28"/>
  <c r="D1768" i="28"/>
  <c r="D1772" i="28"/>
  <c r="D1775" i="28"/>
  <c r="D1779" i="28"/>
  <c r="D1783" i="28"/>
  <c r="D1787" i="28"/>
  <c r="D1790" i="28"/>
  <c r="D1794" i="28"/>
  <c r="D1798" i="28"/>
  <c r="D1802" i="28"/>
  <c r="D1806" i="28"/>
  <c r="D1810" i="28"/>
  <c r="D1814" i="28"/>
  <c r="D1818" i="28"/>
  <c r="D1821" i="28"/>
  <c r="D1825" i="28"/>
  <c r="D1829" i="28"/>
  <c r="D1833" i="28"/>
  <c r="D1837" i="28"/>
  <c r="D1840" i="28"/>
  <c r="D1844" i="28"/>
  <c r="D1848" i="28"/>
  <c r="D1851" i="28"/>
  <c r="D1855" i="28"/>
  <c r="D1859" i="28"/>
  <c r="D1866" i="28"/>
  <c r="D1869" i="28"/>
  <c r="D1873" i="28"/>
  <c r="D1876" i="28"/>
  <c r="D1880" i="28"/>
  <c r="D1884" i="28"/>
  <c r="D1891" i="28"/>
  <c r="D1895" i="28"/>
  <c r="D1899" i="28"/>
  <c r="D1903" i="28"/>
  <c r="D1907" i="28"/>
  <c r="D1911" i="28"/>
  <c r="D1915" i="28"/>
  <c r="D1919" i="28"/>
  <c r="D1923" i="28"/>
  <c r="D1927" i="28"/>
  <c r="D1931" i="28"/>
  <c r="D1935" i="28"/>
  <c r="D1939" i="28"/>
  <c r="D1942" i="28"/>
  <c r="D1949" i="28"/>
  <c r="D1953" i="28"/>
  <c r="D1957" i="28"/>
  <c r="D1964" i="28"/>
  <c r="D1968" i="28"/>
  <c r="D1972" i="28"/>
  <c r="D1976" i="28"/>
  <c r="D1980" i="28"/>
  <c r="D1984" i="28"/>
  <c r="D1988" i="28"/>
  <c r="D1991" i="28"/>
  <c r="D1995" i="28"/>
  <c r="D1999" i="28"/>
  <c r="D2003" i="28"/>
  <c r="D2006" i="28"/>
  <c r="D2013" i="28"/>
  <c r="D2017" i="28"/>
  <c r="D2021" i="28"/>
  <c r="D2028" i="28"/>
  <c r="D2032" i="28"/>
  <c r="D2036" i="28"/>
  <c r="D2040" i="28"/>
  <c r="D2044" i="28"/>
  <c r="D2048" i="28"/>
  <c r="D2052" i="28"/>
  <c r="D2056" i="28"/>
  <c r="D2060" i="28"/>
  <c r="D2064" i="28"/>
  <c r="D2071" i="28"/>
  <c r="D2078" i="28"/>
  <c r="D2082" i="28"/>
  <c r="D2086" i="28"/>
  <c r="D2089" i="28"/>
  <c r="D2093" i="28"/>
  <c r="D2097" i="28"/>
  <c r="D2101" i="28"/>
  <c r="D2105" i="28"/>
  <c r="D2109" i="28"/>
  <c r="D2113" i="28"/>
  <c r="D2120" i="28"/>
  <c r="D2124" i="28"/>
  <c r="D2128" i="28"/>
  <c r="D2132" i="28"/>
  <c r="D2136" i="28"/>
  <c r="D2140" i="28"/>
  <c r="D2144" i="28"/>
  <c r="D2148" i="28"/>
  <c r="D2152" i="28"/>
  <c r="D2156" i="28"/>
  <c r="D2159" i="28"/>
  <c r="D2163" i="28"/>
  <c r="D2167" i="28"/>
  <c r="D2171" i="28"/>
  <c r="D2175" i="28"/>
  <c r="D2179" i="28"/>
  <c r="D2183" i="28"/>
  <c r="D2187" i="28"/>
  <c r="D2191" i="28"/>
  <c r="D2195" i="28"/>
  <c r="D2199" i="28"/>
  <c r="D2203" i="28"/>
  <c r="D2207" i="28"/>
  <c r="D2211" i="28"/>
  <c r="D2215" i="28"/>
  <c r="D2219" i="28"/>
  <c r="D2223" i="28"/>
  <c r="D2227" i="28"/>
  <c r="D2231" i="28"/>
  <c r="D2235" i="28"/>
  <c r="D2239" i="28"/>
  <c r="D2243" i="28"/>
  <c r="D2247" i="28"/>
  <c r="D2251" i="28"/>
  <c r="D2255" i="28"/>
  <c r="D2259" i="28"/>
  <c r="D2263" i="28"/>
  <c r="D2267" i="28"/>
  <c r="D2271" i="28"/>
  <c r="D2275" i="28"/>
  <c r="D2279" i="28"/>
  <c r="D2283" i="28"/>
  <c r="D2287" i="28"/>
  <c r="D2291" i="28"/>
  <c r="D2298" i="28"/>
  <c r="D2302" i="28"/>
  <c r="D2306" i="28"/>
  <c r="D2310" i="28"/>
  <c r="D2313" i="28"/>
  <c r="D2317" i="28"/>
  <c r="D2321" i="28"/>
  <c r="D2325" i="28"/>
  <c r="D2329" i="28"/>
  <c r="D2333" i="28"/>
  <c r="D2336" i="28"/>
  <c r="D2340" i="28"/>
  <c r="D2344" i="28"/>
  <c r="D2348" i="28"/>
  <c r="D2352" i="28"/>
  <c r="D2356" i="28"/>
  <c r="D2360" i="28"/>
  <c r="D2364" i="28"/>
  <c r="D2368" i="28"/>
  <c r="D2372" i="28"/>
  <c r="D2376" i="28"/>
  <c r="D2380" i="28"/>
  <c r="D2384" i="28"/>
  <c r="D2388" i="28"/>
  <c r="D2391" i="28"/>
  <c r="D2395" i="28"/>
  <c r="D2399" i="28"/>
  <c r="D2403" i="28"/>
  <c r="D2407" i="28"/>
  <c r="D2411" i="28"/>
  <c r="D2415" i="28"/>
  <c r="D2419" i="28"/>
  <c r="D2426" i="28"/>
  <c r="D2430" i="28"/>
  <c r="D2434" i="28"/>
  <c r="D2438" i="28"/>
  <c r="D2442" i="28"/>
  <c r="D2446" i="28"/>
  <c r="D2449" i="28"/>
  <c r="D2453" i="28"/>
  <c r="D2457" i="28"/>
  <c r="D2461" i="28"/>
  <c r="D2465" i="28"/>
  <c r="D2469" i="28"/>
  <c r="D2473" i="28"/>
  <c r="D2477" i="28"/>
  <c r="D2481" i="28"/>
  <c r="D2485" i="28"/>
  <c r="D2489" i="28"/>
  <c r="D2493" i="28"/>
  <c r="D2497" i="28"/>
  <c r="D2501" i="28"/>
  <c r="D2505" i="28"/>
  <c r="D2509" i="28"/>
  <c r="D2513" i="28"/>
  <c r="D2517" i="28"/>
  <c r="D2520" i="28"/>
  <c r="D2524" i="28"/>
  <c r="D2528" i="28"/>
  <c r="D2532" i="28"/>
  <c r="D2536" i="28"/>
  <c r="D2540" i="28"/>
  <c r="D2544" i="28"/>
  <c r="D2548" i="28"/>
  <c r="D2552" i="28"/>
  <c r="D2556" i="28"/>
  <c r="D2560" i="28"/>
  <c r="D2564" i="28"/>
  <c r="D2568" i="28"/>
  <c r="D2572" i="28"/>
  <c r="D2576" i="28"/>
  <c r="D2580" i="28"/>
  <c r="D2584" i="28"/>
  <c r="D2588" i="28"/>
  <c r="D2592" i="28"/>
  <c r="D2596" i="28"/>
  <c r="D2600" i="28"/>
  <c r="D2604" i="28"/>
  <c r="D2608" i="28"/>
  <c r="D2612" i="28"/>
  <c r="D2616" i="28"/>
  <c r="D2620" i="28"/>
  <c r="D2624" i="28"/>
  <c r="D2628" i="28"/>
  <c r="D2632" i="28"/>
  <c r="D2636" i="28"/>
  <c r="D2640" i="28"/>
  <c r="D2644" i="28"/>
  <c r="D2648" i="28"/>
  <c r="D2652" i="28"/>
  <c r="D2656" i="28"/>
  <c r="D2660" i="28"/>
  <c r="D2664" i="28"/>
  <c r="D2668" i="28"/>
  <c r="D2672" i="28"/>
  <c r="D2676" i="28"/>
  <c r="D2680" i="28"/>
  <c r="D2684" i="28"/>
  <c r="D2688" i="28"/>
  <c r="D2692" i="28"/>
  <c r="D2696" i="28"/>
  <c r="D2700" i="28"/>
  <c r="D2704" i="28"/>
  <c r="D2708" i="28"/>
  <c r="D2712" i="28"/>
  <c r="D2716" i="28"/>
  <c r="D2720" i="28"/>
  <c r="D2724" i="28"/>
  <c r="D2728" i="28"/>
  <c r="D2732" i="28"/>
  <c r="D2736" i="28"/>
  <c r="D2740" i="28"/>
  <c r="D2744" i="28"/>
  <c r="D2748" i="28"/>
  <c r="D2752" i="28"/>
  <c r="D2755" i="28"/>
  <c r="D2759" i="28"/>
  <c r="D2763" i="28"/>
  <c r="D2767" i="28"/>
  <c r="D2771" i="28"/>
  <c r="D2775" i="28"/>
  <c r="D2779" i="28"/>
  <c r="D2783" i="28"/>
  <c r="D2787" i="28"/>
  <c r="D2791" i="28"/>
  <c r="D2795" i="28"/>
  <c r="D2799" i="28"/>
  <c r="D2803" i="28"/>
  <c r="D2807" i="28"/>
  <c r="D2811" i="28"/>
  <c r="D2815" i="28"/>
  <c r="D2819" i="28"/>
  <c r="D2823" i="28"/>
  <c r="D2827" i="28"/>
  <c r="D2831" i="28"/>
  <c r="D2835" i="28"/>
  <c r="D2839" i="28"/>
  <c r="D2846" i="28"/>
  <c r="D2850" i="28"/>
  <c r="D2854" i="28"/>
  <c r="D2858" i="28"/>
  <c r="D2862" i="28"/>
  <c r="D2866" i="28"/>
  <c r="D2870" i="28"/>
  <c r="D2874" i="28"/>
  <c r="D2878" i="28"/>
  <c r="D2881" i="28"/>
  <c r="D2885" i="28"/>
  <c r="D2889" i="28"/>
  <c r="D2893" i="28"/>
  <c r="D2897" i="28"/>
  <c r="D2904" i="28"/>
  <c r="D2908" i="28"/>
  <c r="D2912" i="28"/>
  <c r="D2916" i="28"/>
  <c r="D2920" i="28"/>
  <c r="D2924" i="28"/>
  <c r="D2928" i="28"/>
  <c r="D2932" i="28"/>
  <c r="D2936" i="28"/>
  <c r="D2940" i="28"/>
  <c r="D2944" i="28"/>
  <c r="D2948" i="28"/>
  <c r="D2952" i="28"/>
  <c r="D2956" i="28"/>
  <c r="D2960" i="28"/>
  <c r="D2964" i="28"/>
  <c r="D2968" i="28"/>
  <c r="D2971" i="28"/>
  <c r="D2975" i="28"/>
  <c r="D2979" i="28"/>
  <c r="D2983" i="28"/>
  <c r="D2987" i="28"/>
  <c r="D2991" i="28"/>
  <c r="D2995" i="28"/>
  <c r="D2999" i="28"/>
  <c r="D3003" i="28"/>
  <c r="D3007" i="28"/>
  <c r="D3011" i="28"/>
  <c r="D3015" i="28"/>
  <c r="D3106" i="28"/>
  <c r="D3113" i="28"/>
  <c r="D3117" i="28"/>
  <c r="D3121" i="28"/>
  <c r="D3125" i="28"/>
  <c r="D3129" i="28"/>
  <c r="D3133" i="28"/>
  <c r="D3137" i="28"/>
  <c r="D3141" i="28"/>
  <c r="D3145" i="28"/>
  <c r="D3149" i="28"/>
  <c r="D3153" i="28"/>
  <c r="D3157" i="28"/>
  <c r="D3200" i="28"/>
  <c r="D3204" i="28"/>
  <c r="D3208" i="28"/>
  <c r="D3212" i="28"/>
  <c r="D3216" i="28"/>
  <c r="D3220" i="28"/>
  <c r="D3224" i="28"/>
  <c r="D3228" i="28"/>
  <c r="D3232" i="28"/>
  <c r="D3236" i="28"/>
  <c r="D3240" i="28"/>
  <c r="D3244" i="28"/>
  <c r="D3248" i="28"/>
  <c r="D3252" i="28"/>
  <c r="D3256" i="28"/>
  <c r="D3260" i="28"/>
  <c r="D3264" i="28"/>
  <c r="D3268" i="28"/>
  <c r="D3272" i="28"/>
  <c r="D3276" i="28"/>
  <c r="D3280" i="28"/>
  <c r="D3284" i="28"/>
  <c r="D3288" i="28"/>
  <c r="D3292" i="28"/>
  <c r="D3296" i="28"/>
  <c r="D3300" i="28"/>
  <c r="D3304" i="28"/>
  <c r="D3308" i="28"/>
  <c r="D3312" i="28"/>
  <c r="D3316" i="28"/>
  <c r="D3320" i="28"/>
  <c r="D3324" i="28"/>
  <c r="D3328" i="28"/>
  <c r="D3332" i="28"/>
  <c r="D3336" i="28"/>
  <c r="D3340" i="28"/>
  <c r="D3344" i="28"/>
  <c r="D3348" i="28"/>
  <c r="D3352" i="28"/>
  <c r="D3356" i="28"/>
  <c r="D3360" i="28"/>
  <c r="D3367" i="28"/>
  <c r="D3371" i="28"/>
  <c r="D3375" i="28"/>
  <c r="D3379" i="28"/>
  <c r="D3383" i="28"/>
  <c r="D3387" i="28"/>
  <c r="D3391" i="28"/>
  <c r="D3395" i="28"/>
  <c r="D3399" i="28"/>
  <c r="D3403" i="28"/>
  <c r="D3407" i="28"/>
  <c r="D3411" i="28"/>
  <c r="D3415" i="28"/>
  <c r="D3419" i="28"/>
  <c r="D3423" i="28"/>
  <c r="D3427" i="28"/>
  <c r="D3431" i="28"/>
  <c r="D3435" i="28"/>
  <c r="D3439" i="28"/>
  <c r="D3443" i="28"/>
  <c r="D3447" i="28"/>
  <c r="D3451" i="28"/>
  <c r="D3455" i="28"/>
  <c r="D3459" i="28"/>
  <c r="D3463" i="28"/>
  <c r="D3467" i="28"/>
  <c r="D3471" i="28"/>
  <c r="D3475" i="28"/>
  <c r="D3479" i="28"/>
  <c r="D3482" i="28"/>
  <c r="D3486" i="28"/>
  <c r="D3490" i="28"/>
  <c r="D3494" i="28"/>
  <c r="D3498" i="28"/>
  <c r="D3502" i="28"/>
  <c r="D3506" i="28"/>
  <c r="D3510" i="28"/>
  <c r="D3514" i="28"/>
  <c r="D3518" i="28"/>
  <c r="D3522" i="28"/>
  <c r="D3526" i="28"/>
  <c r="D3530" i="28"/>
  <c r="D3534" i="28"/>
  <c r="D3538" i="28"/>
  <c r="D3542" i="28"/>
  <c r="D3546" i="28"/>
  <c r="D3550" i="28"/>
  <c r="D3554" i="28"/>
  <c r="D3558" i="28"/>
  <c r="D3562" i="28"/>
  <c r="D3566" i="28"/>
  <c r="D3570" i="28"/>
  <c r="D3574" i="28"/>
  <c r="D3578" i="28"/>
  <c r="D3582" i="28"/>
  <c r="D3586" i="28"/>
  <c r="D3590" i="28"/>
  <c r="D3594" i="28"/>
  <c r="D3598" i="28"/>
  <c r="D3602" i="28"/>
  <c r="D3606" i="28"/>
  <c r="D3610" i="28"/>
  <c r="D3614" i="28"/>
  <c r="D3618" i="28"/>
  <c r="D3622" i="28"/>
  <c r="D3626" i="28"/>
  <c r="D3630" i="28"/>
  <c r="D3634" i="28"/>
  <c r="D3638" i="28"/>
  <c r="D3642" i="28"/>
  <c r="D3646" i="28"/>
  <c r="D3650" i="28"/>
  <c r="D3654" i="28"/>
  <c r="D3658" i="28"/>
  <c r="D3662" i="28"/>
  <c r="D3666" i="28"/>
  <c r="D3670" i="28"/>
  <c r="D3674" i="28"/>
  <c r="D3678" i="28"/>
  <c r="D3682" i="28"/>
  <c r="D3686" i="28"/>
  <c r="D3690" i="28"/>
  <c r="D3694" i="28"/>
  <c r="D3698" i="28"/>
  <c r="D3702" i="28"/>
  <c r="D3706" i="28"/>
  <c r="D3710" i="28"/>
  <c r="D3714" i="28"/>
  <c r="D3718" i="28"/>
  <c r="D3722" i="28"/>
  <c r="D3726" i="28"/>
  <c r="D3730" i="28"/>
  <c r="D3734" i="28"/>
  <c r="D3738" i="28"/>
  <c r="D3742" i="28"/>
  <c r="D3746" i="28"/>
  <c r="D3750" i="28"/>
  <c r="D3754" i="28"/>
  <c r="D3758" i="28"/>
  <c r="D3762" i="28"/>
  <c r="D3766" i="28"/>
  <c r="D3770" i="28"/>
  <c r="D3774" i="28"/>
  <c r="D3778" i="28"/>
  <c r="D3782" i="28"/>
  <c r="D3786" i="28"/>
  <c r="D3790" i="28"/>
  <c r="D3794" i="28"/>
  <c r="D3798" i="28"/>
  <c r="D3802" i="28"/>
  <c r="D3806" i="28"/>
  <c r="D3810" i="28"/>
  <c r="D3814" i="28"/>
  <c r="D3818" i="28"/>
  <c r="D3822" i="28"/>
  <c r="D3826" i="28"/>
  <c r="D3830" i="28"/>
  <c r="D3834" i="28"/>
  <c r="D3838" i="28"/>
  <c r="D3842" i="28"/>
  <c r="D3846" i="28"/>
  <c r="D3850" i="28"/>
  <c r="D3854" i="28"/>
  <c r="D3858" i="28"/>
  <c r="D3862" i="28"/>
  <c r="D3866" i="28"/>
  <c r="D3870" i="28"/>
  <c r="D3874" i="28"/>
  <c r="D3878" i="28"/>
  <c r="D3882" i="28"/>
  <c r="D3886" i="28"/>
  <c r="D3890" i="28"/>
  <c r="D3894" i="28"/>
  <c r="D3898" i="28"/>
  <c r="D3902" i="28"/>
  <c r="D3906" i="28"/>
  <c r="D3910" i="28"/>
  <c r="D3914" i="28"/>
  <c r="D3917" i="28"/>
  <c r="D3921" i="28"/>
  <c r="D3925" i="28"/>
  <c r="D3929" i="28"/>
  <c r="D3933" i="28"/>
  <c r="D3937" i="28"/>
  <c r="D3941" i="28"/>
  <c r="D3945" i="28"/>
  <c r="D3949" i="28"/>
  <c r="D3953" i="28"/>
  <c r="D3957" i="28"/>
  <c r="D3961" i="28"/>
  <c r="D3965" i="28"/>
  <c r="D3969" i="28"/>
  <c r="D3973" i="28"/>
  <c r="D3977" i="28"/>
  <c r="D3981" i="28"/>
  <c r="D3985" i="28"/>
  <c r="D3989" i="28"/>
  <c r="D3993" i="28"/>
  <c r="D3997" i="28"/>
  <c r="D4001" i="28"/>
  <c r="D4005" i="28"/>
  <c r="D4009" i="28"/>
  <c r="D4013" i="28"/>
  <c r="D4017" i="28"/>
  <c r="D4021" i="28"/>
  <c r="D4025" i="28"/>
  <c r="D4029" i="28"/>
  <c r="D4033" i="28"/>
  <c r="D4037" i="28"/>
  <c r="D4041" i="28"/>
  <c r="D4045" i="28"/>
  <c r="D4049" i="28"/>
  <c r="D4053" i="28"/>
  <c r="D4057" i="28"/>
  <c r="D4061" i="28"/>
  <c r="D4065" i="28"/>
  <c r="D4069" i="28"/>
  <c r="D4073" i="28"/>
  <c r="D4077" i="28"/>
  <c r="D4081" i="28"/>
  <c r="D4085" i="28"/>
  <c r="D4089" i="28"/>
  <c r="D4093" i="28"/>
  <c r="D4097" i="28"/>
  <c r="D4101" i="28"/>
  <c r="D4105" i="28"/>
  <c r="D4109" i="28"/>
  <c r="D4113" i="28"/>
  <c r="D4117" i="28"/>
  <c r="D4121" i="28"/>
  <c r="D4125" i="28"/>
  <c r="D4129" i="28"/>
  <c r="D4133" i="28"/>
  <c r="D4137" i="28"/>
  <c r="D4141" i="28"/>
  <c r="D4145" i="28"/>
  <c r="D4149" i="28"/>
  <c r="D4153" i="28"/>
  <c r="D4157" i="28"/>
  <c r="D4161" i="28"/>
  <c r="D4165" i="28"/>
  <c r="D4169" i="28"/>
  <c r="D4173" i="28"/>
  <c r="D4177" i="28"/>
  <c r="D4181" i="28"/>
  <c r="D4185" i="28"/>
  <c r="D4189" i="28"/>
  <c r="D4193" i="28"/>
  <c r="D4197" i="28"/>
  <c r="D4201" i="28"/>
  <c r="D4205" i="28"/>
  <c r="D4209" i="28"/>
  <c r="D4213" i="28"/>
  <c r="D3032" i="28"/>
  <c r="D3036" i="28"/>
  <c r="D3040" i="28"/>
  <c r="D3044" i="28"/>
  <c r="D3048" i="28"/>
  <c r="D3052" i="28"/>
  <c r="D3056" i="28"/>
  <c r="D3060" i="28"/>
  <c r="D3064" i="28"/>
  <c r="D3068" i="28"/>
  <c r="D3072" i="28"/>
  <c r="D3076" i="28"/>
  <c r="D3080" i="28"/>
  <c r="D3084" i="28"/>
  <c r="D3088" i="28"/>
  <c r="D3092" i="28"/>
  <c r="D3096" i="28"/>
  <c r="D3100" i="28"/>
  <c r="D3104" i="28"/>
  <c r="D3107" i="28"/>
  <c r="D3114" i="28"/>
  <c r="D3118" i="28"/>
  <c r="D3122" i="28"/>
  <c r="D3126" i="28"/>
  <c r="D3130" i="28"/>
  <c r="D3134" i="28"/>
  <c r="D3138" i="28"/>
  <c r="D3142" i="28"/>
  <c r="D3146" i="28"/>
  <c r="D3150" i="28"/>
  <c r="D3154" i="28"/>
  <c r="D3158" i="28"/>
  <c r="D3161" i="28"/>
  <c r="D3165" i="28"/>
  <c r="D3169" i="28"/>
  <c r="D3173" i="28"/>
  <c r="D3177" i="28"/>
  <c r="D3181" i="28"/>
  <c r="D3185" i="28"/>
  <c r="D3189" i="28"/>
  <c r="D3193" i="28"/>
  <c r="D3197" i="28"/>
  <c r="D3201" i="28"/>
  <c r="D3205" i="28"/>
  <c r="D3209" i="28"/>
  <c r="D3213" i="28"/>
  <c r="D3217" i="28"/>
  <c r="D3221" i="28"/>
  <c r="D3225" i="28"/>
  <c r="D3229" i="28"/>
  <c r="D3233" i="28"/>
  <c r="D3237" i="28"/>
  <c r="D3241" i="28"/>
  <c r="D3245" i="28"/>
  <c r="D3249" i="28"/>
  <c r="D3253" i="28"/>
  <c r="D3257" i="28"/>
  <c r="D3261" i="28"/>
  <c r="D3265" i="28"/>
  <c r="D3269" i="28"/>
  <c r="D3273" i="28"/>
  <c r="D3277" i="28"/>
  <c r="D3281" i="28"/>
  <c r="D3285" i="28"/>
  <c r="D3289" i="28"/>
  <c r="D3293" i="28"/>
  <c r="D3297" i="28"/>
  <c r="D3301" i="28"/>
  <c r="D3305" i="28"/>
  <c r="D3309" i="28"/>
  <c r="D3313" i="28"/>
  <c r="D3317" i="28"/>
  <c r="D3321" i="28"/>
  <c r="D3325" i="28"/>
  <c r="D3329" i="28"/>
  <c r="D3333" i="28"/>
  <c r="D3337" i="28"/>
  <c r="D3341" i="28"/>
  <c r="D3345" i="28"/>
  <c r="D3349" i="28"/>
  <c r="D3353" i="28"/>
  <c r="D3357" i="28"/>
  <c r="D3361" i="28"/>
  <c r="D3364" i="28"/>
  <c r="D3368" i="28"/>
  <c r="D3372" i="28"/>
  <c r="D3376" i="28"/>
  <c r="D3380" i="28"/>
  <c r="D3384" i="28"/>
  <c r="D3388" i="28"/>
  <c r="D3392" i="28"/>
  <c r="D3396" i="28"/>
  <c r="D3400" i="28"/>
  <c r="D3404" i="28"/>
  <c r="D3408" i="28"/>
  <c r="D3412" i="28"/>
  <c r="D3416" i="28"/>
  <c r="D3420" i="28"/>
  <c r="D3424" i="28"/>
  <c r="D3428" i="28"/>
  <c r="D3432" i="28"/>
  <c r="D3436" i="28"/>
  <c r="D3440" i="28"/>
  <c r="D3444" i="28"/>
  <c r="D3448" i="28"/>
  <c r="D3452" i="28"/>
  <c r="D3456" i="28"/>
  <c r="D3460" i="28"/>
  <c r="D3464" i="28"/>
  <c r="D3468" i="28"/>
  <c r="D3472" i="28"/>
  <c r="D3476" i="28"/>
  <c r="D3480" i="28"/>
  <c r="D3483" i="28"/>
  <c r="D3487" i="28"/>
  <c r="D3491" i="28"/>
  <c r="D3495" i="28"/>
  <c r="D3499" i="28"/>
  <c r="D3503" i="28"/>
  <c r="D3507" i="28"/>
  <c r="D3511" i="28"/>
  <c r="D3515" i="28"/>
  <c r="D3519" i="28"/>
  <c r="D3523" i="28"/>
  <c r="D3527" i="28"/>
  <c r="D3531" i="28"/>
  <c r="D3535" i="28"/>
  <c r="D3539" i="28"/>
  <c r="D3543" i="28"/>
  <c r="D3547" i="28"/>
  <c r="D3551" i="28"/>
  <c r="D3555" i="28"/>
  <c r="D3559" i="28"/>
  <c r="D3563" i="28"/>
  <c r="D3567" i="28"/>
  <c r="D3571" i="28"/>
  <c r="D3575" i="28"/>
  <c r="D3579" i="28"/>
  <c r="D3583" i="28"/>
  <c r="D3587" i="28"/>
  <c r="D3591" i="28"/>
  <c r="D3595" i="28"/>
  <c r="D3599" i="28"/>
  <c r="D3603" i="28"/>
  <c r="D3607" i="28"/>
  <c r="D3611" i="28"/>
  <c r="D3615" i="28"/>
  <c r="D3619" i="28"/>
  <c r="D3623" i="28"/>
  <c r="D3627" i="28"/>
  <c r="D3631" i="28"/>
  <c r="D3635" i="28"/>
  <c r="D3639" i="28"/>
  <c r="D3643" i="28"/>
  <c r="D3647" i="28"/>
  <c r="D3651" i="28"/>
  <c r="D3655" i="28"/>
  <c r="D3659" i="28"/>
  <c r="D3663" i="28"/>
  <c r="D3667" i="28"/>
  <c r="D3671" i="28"/>
  <c r="D3675" i="28"/>
  <c r="D3679" i="28"/>
  <c r="D3683" i="28"/>
  <c r="D3687" i="28"/>
  <c r="D3691" i="28"/>
  <c r="D3695" i="28"/>
  <c r="D3699" i="28"/>
  <c r="D3703" i="28"/>
  <c r="D3707" i="28"/>
  <c r="D3711" i="28"/>
  <c r="D3715" i="28"/>
  <c r="D3719" i="28"/>
  <c r="D3723" i="28"/>
  <c r="D3727" i="28"/>
  <c r="D3731" i="28"/>
  <c r="D3735" i="28"/>
  <c r="D3739" i="28"/>
  <c r="D3743" i="28"/>
  <c r="D3747" i="28"/>
  <c r="D3751" i="28"/>
  <c r="D3755" i="28"/>
  <c r="D3759" i="28"/>
  <c r="D3763" i="28"/>
  <c r="D3767" i="28"/>
  <c r="D3771" i="28"/>
  <c r="D3775" i="28"/>
  <c r="D3779" i="28"/>
  <c r="D3783" i="28"/>
  <c r="D3787" i="28"/>
  <c r="D3791" i="28"/>
  <c r="D3795" i="28"/>
  <c r="D3799" i="28"/>
  <c r="D3803" i="28"/>
  <c r="D3807" i="28"/>
  <c r="D3811" i="28"/>
  <c r="D3815" i="28"/>
  <c r="D3819" i="28"/>
  <c r="D3823" i="28"/>
  <c r="D3827" i="28"/>
  <c r="D3831" i="28"/>
  <c r="D3835" i="28"/>
  <c r="D3839" i="28"/>
  <c r="D3843" i="28"/>
  <c r="D3847" i="28"/>
  <c r="D3851" i="28"/>
  <c r="D3855" i="28"/>
  <c r="D3859" i="28"/>
  <c r="D3863" i="28"/>
  <c r="D3867" i="28"/>
  <c r="D3871" i="28"/>
  <c r="D3875" i="28"/>
  <c r="D3879" i="28"/>
  <c r="D3883" i="28"/>
  <c r="D3887" i="28"/>
  <c r="D3891" i="28"/>
  <c r="D3895" i="28"/>
  <c r="D3899" i="28"/>
  <c r="D3903" i="28"/>
  <c r="D3907" i="28"/>
  <c r="D3911" i="28"/>
  <c r="D3915" i="28"/>
  <c r="D3918" i="28"/>
  <c r="D3922" i="28"/>
  <c r="D3926" i="28"/>
  <c r="D3930" i="28"/>
  <c r="D3934" i="28"/>
  <c r="D3938" i="28"/>
  <c r="D3942" i="28"/>
  <c r="D3946" i="28"/>
  <c r="D3950" i="28"/>
  <c r="D3954" i="28"/>
  <c r="D3958" i="28"/>
  <c r="D3962" i="28"/>
  <c r="D3966" i="28"/>
  <c r="D3970" i="28"/>
  <c r="D3974" i="28"/>
  <c r="D3978" i="28"/>
  <c r="D3982" i="28"/>
  <c r="D3986" i="28"/>
  <c r="D3990" i="28"/>
  <c r="D3994" i="28"/>
  <c r="D3998" i="28"/>
  <c r="D4002" i="28"/>
  <c r="D4006" i="28"/>
  <c r="D4010" i="28"/>
  <c r="D4014" i="28"/>
  <c r="D4018" i="28"/>
  <c r="D4022" i="28"/>
  <c r="D4026" i="28"/>
  <c r="D4030" i="28"/>
  <c r="D4034" i="28"/>
  <c r="D4038" i="28"/>
  <c r="D4042" i="28"/>
  <c r="D4046" i="28"/>
  <c r="D4050" i="28"/>
  <c r="D4054" i="28"/>
  <c r="D4058" i="28"/>
  <c r="D4062" i="28"/>
  <c r="D4066" i="28"/>
  <c r="D4070" i="28"/>
  <c r="D4074" i="28"/>
  <c r="D4078" i="28"/>
  <c r="D4082" i="28"/>
  <c r="D4086" i="28"/>
  <c r="D4090" i="28"/>
  <c r="D4094" i="28"/>
  <c r="D4098" i="28"/>
  <c r="D4102" i="28"/>
  <c r="D4106" i="28"/>
  <c r="D4110" i="28"/>
  <c r="D4114" i="28"/>
  <c r="D4118" i="28"/>
  <c r="D4122" i="28"/>
  <c r="D4126" i="28"/>
  <c r="D4130" i="28"/>
  <c r="D4134" i="28"/>
  <c r="D4138" i="28"/>
  <c r="D4142" i="28"/>
  <c r="D4146" i="28"/>
  <c r="D4150" i="28"/>
  <c r="D4154" i="28"/>
  <c r="D4158" i="28"/>
  <c r="D4162" i="28"/>
  <c r="D4166" i="28"/>
  <c r="D4170" i="28"/>
  <c r="D4174" i="28"/>
  <c r="D4178" i="28"/>
  <c r="D4182" i="28"/>
  <c r="D4186" i="28"/>
  <c r="D4190" i="28"/>
  <c r="D4194" i="28"/>
  <c r="D4198" i="28"/>
  <c r="D4202" i="28"/>
  <c r="D4206" i="28"/>
  <c r="D4210" i="28"/>
  <c r="D4214" i="28"/>
  <c r="D3127" i="28"/>
  <c r="D3131" i="28"/>
  <c r="D3135" i="28"/>
  <c r="D3139" i="28"/>
  <c r="D3143" i="28"/>
  <c r="D3147" i="28"/>
  <c r="D3151" i="28"/>
  <c r="D3155" i="28"/>
  <c r="D3162" i="28"/>
  <c r="D3166" i="28"/>
  <c r="D3170" i="28"/>
  <c r="D3174" i="28"/>
  <c r="D3178" i="28"/>
  <c r="D3182" i="28"/>
  <c r="D3186" i="28"/>
  <c r="D3190" i="28"/>
  <c r="D3194" i="28"/>
  <c r="D3198" i="28"/>
  <c r="D3202" i="28"/>
  <c r="D3206" i="28"/>
  <c r="D3210" i="28"/>
  <c r="D3214" i="28"/>
  <c r="D3218" i="28"/>
  <c r="D3222" i="28"/>
  <c r="D3226" i="28"/>
  <c r="D3230" i="28"/>
  <c r="D3234" i="28"/>
  <c r="D3238" i="28"/>
  <c r="D3242" i="28"/>
  <c r="D3246" i="28"/>
  <c r="D3250" i="28"/>
  <c r="D3254" i="28"/>
  <c r="D3258" i="28"/>
  <c r="D3262" i="28"/>
  <c r="D3266" i="28"/>
  <c r="D3270" i="28"/>
  <c r="D3274" i="28"/>
  <c r="D3278" i="28"/>
  <c r="D3282" i="28"/>
  <c r="D3286" i="28"/>
  <c r="D3290" i="28"/>
  <c r="D3294" i="28"/>
  <c r="D3298" i="28"/>
  <c r="D3302" i="28"/>
  <c r="D3306" i="28"/>
  <c r="D3310" i="28"/>
  <c r="D3314" i="28"/>
  <c r="D3318" i="28"/>
  <c r="D3322" i="28"/>
  <c r="D3326" i="28"/>
  <c r="D3330" i="28"/>
  <c r="D3334" i="28"/>
  <c r="D3338" i="28"/>
  <c r="D3342" i="28"/>
  <c r="D3346" i="28"/>
  <c r="D3350" i="28"/>
  <c r="D3354" i="28"/>
  <c r="D3358" i="28"/>
  <c r="D3362" i="28"/>
  <c r="D3365" i="28"/>
  <c r="D3369" i="28"/>
  <c r="D3373" i="28"/>
  <c r="D3377" i="28"/>
  <c r="D3381" i="28"/>
  <c r="D3385" i="28"/>
  <c r="D3389" i="28"/>
  <c r="D3393" i="28"/>
  <c r="D3397" i="28"/>
  <c r="D3401" i="28"/>
  <c r="D3405" i="28"/>
  <c r="D3409" i="28"/>
  <c r="D3413" i="28"/>
  <c r="D3417" i="28"/>
  <c r="D3421" i="28"/>
  <c r="D3425" i="28"/>
  <c r="D3429" i="28"/>
  <c r="D3433" i="28"/>
  <c r="D3437" i="28"/>
  <c r="D3441" i="28"/>
  <c r="D3445" i="28"/>
  <c r="D3449" i="28"/>
  <c r="D3453" i="28"/>
  <c r="D3457" i="28"/>
  <c r="D3461" i="28"/>
  <c r="D3465" i="28"/>
  <c r="D3469" i="28"/>
  <c r="D3473" i="28"/>
  <c r="D3477" i="28"/>
  <c r="D3484" i="28"/>
  <c r="D3488" i="28"/>
  <c r="D3492" i="28"/>
  <c r="D3496" i="28"/>
  <c r="D3500" i="28"/>
  <c r="D3504" i="28"/>
  <c r="D3508" i="28"/>
  <c r="D3512" i="28"/>
  <c r="D3516" i="28"/>
  <c r="D3520" i="28"/>
  <c r="D3524" i="28"/>
  <c r="D3528" i="28"/>
  <c r="D3532" i="28"/>
  <c r="D3536" i="28"/>
  <c r="D3540" i="28"/>
  <c r="D3544" i="28"/>
  <c r="D3548" i="28"/>
  <c r="D3552" i="28"/>
  <c r="D3556" i="28"/>
  <c r="D3560" i="28"/>
  <c r="D3564" i="28"/>
  <c r="D3568" i="28"/>
  <c r="D3572" i="28"/>
  <c r="D3576" i="28"/>
  <c r="D3580" i="28"/>
  <c r="D3584" i="28"/>
  <c r="D3588" i="28"/>
  <c r="D3592" i="28"/>
  <c r="D3596" i="28"/>
  <c r="D3600" i="28"/>
  <c r="D3604" i="28"/>
  <c r="D3608" i="28"/>
  <c r="D3612" i="28"/>
  <c r="D3616" i="28"/>
  <c r="D3620" i="28"/>
  <c r="D3624" i="28"/>
  <c r="D3628" i="28"/>
  <c r="D3632" i="28"/>
  <c r="D3636" i="28"/>
  <c r="D3640" i="28"/>
  <c r="D3644" i="28"/>
  <c r="D3648" i="28"/>
  <c r="D3652" i="28"/>
  <c r="D3656" i="28"/>
  <c r="D3660" i="28"/>
  <c r="D3664" i="28"/>
  <c r="D3668" i="28"/>
  <c r="D3672" i="28"/>
  <c r="D3676" i="28"/>
  <c r="D3680" i="28"/>
  <c r="D3684" i="28"/>
  <c r="D3688" i="28"/>
  <c r="D3692" i="28"/>
  <c r="D3696" i="28"/>
  <c r="D3700" i="28"/>
  <c r="D3704" i="28"/>
  <c r="D3708" i="28"/>
  <c r="D3712" i="28"/>
  <c r="D3716" i="28"/>
  <c r="D3720" i="28"/>
  <c r="D3724" i="28"/>
  <c r="D3728" i="28"/>
  <c r="D3732" i="28"/>
  <c r="D3736" i="28"/>
  <c r="D3740" i="28"/>
  <c r="D3744" i="28"/>
  <c r="D3748" i="28"/>
  <c r="D3752" i="28"/>
  <c r="D3756" i="28"/>
  <c r="D3760" i="28"/>
  <c r="D3764" i="28"/>
  <c r="D3768" i="28"/>
  <c r="D3772" i="28"/>
  <c r="D3776" i="28"/>
  <c r="D3780" i="28"/>
  <c r="D3784" i="28"/>
  <c r="D3788" i="28"/>
  <c r="D3792" i="28"/>
  <c r="D3796" i="28"/>
  <c r="D3800" i="28"/>
  <c r="D3804" i="28"/>
  <c r="D3808" i="28"/>
  <c r="D3812" i="28"/>
  <c r="D3816" i="28"/>
  <c r="D3820" i="28"/>
  <c r="D3824" i="28"/>
  <c r="D3828" i="28"/>
  <c r="D3832" i="28"/>
  <c r="D3836" i="28"/>
  <c r="D3840" i="28"/>
  <c r="D3844" i="28"/>
  <c r="D3848" i="28"/>
  <c r="D3852" i="28"/>
  <c r="D3856" i="28"/>
  <c r="D3860" i="28"/>
  <c r="D3864" i="28"/>
  <c r="D3868" i="28"/>
  <c r="D3872" i="28"/>
  <c r="D3876" i="28"/>
  <c r="D3880" i="28"/>
  <c r="D3884" i="28"/>
  <c r="D3888" i="28"/>
  <c r="D3892" i="28"/>
  <c r="D3896" i="28"/>
  <c r="D3900" i="28"/>
  <c r="D3904" i="28"/>
  <c r="D3908" i="28"/>
  <c r="D3912" i="28"/>
  <c r="D3919" i="28"/>
  <c r="D3923" i="28"/>
  <c r="D3927" i="28"/>
  <c r="D3931" i="28"/>
  <c r="D3935" i="28"/>
  <c r="D3939" i="28"/>
  <c r="D3943" i="28"/>
  <c r="D3947" i="28"/>
  <c r="D3951" i="28"/>
  <c r="D3955" i="28"/>
  <c r="D3959" i="28"/>
  <c r="D3963" i="28"/>
  <c r="D3967" i="28"/>
  <c r="D3971" i="28"/>
  <c r="D3975" i="28"/>
  <c r="D3979" i="28"/>
  <c r="D3983" i="28"/>
  <c r="D3987" i="28"/>
  <c r="D3991" i="28"/>
  <c r="D3995" i="28"/>
  <c r="D3999" i="28"/>
  <c r="D4003" i="28"/>
  <c r="D4007" i="28"/>
  <c r="D4011" i="28"/>
  <c r="D4015" i="28"/>
  <c r="D4019" i="28"/>
  <c r="D4023" i="28"/>
  <c r="D4027" i="28"/>
  <c r="D4031" i="28"/>
  <c r="D4035" i="28"/>
  <c r="D4039" i="28"/>
  <c r="D4043" i="28"/>
  <c r="D4047" i="28"/>
  <c r="D4051" i="28"/>
  <c r="D4055" i="28"/>
  <c r="D4059" i="28"/>
  <c r="D4063" i="28"/>
  <c r="D4067" i="28"/>
  <c r="D4071" i="28"/>
  <c r="D4075" i="28"/>
  <c r="D4079" i="28"/>
  <c r="D4083" i="28"/>
  <c r="D4087" i="28"/>
  <c r="D4091" i="28"/>
  <c r="D4095" i="28"/>
  <c r="D4099" i="28"/>
  <c r="D4103" i="28"/>
  <c r="D4107" i="28"/>
  <c r="D4111" i="28"/>
  <c r="D4115" i="28"/>
  <c r="D4119" i="28"/>
  <c r="D4123" i="28"/>
  <c r="D4127" i="28"/>
  <c r="D4131" i="28"/>
  <c r="D4135" i="28"/>
  <c r="D4139" i="28"/>
  <c r="D4143" i="28"/>
  <c r="D4147" i="28"/>
  <c r="D4151" i="28"/>
  <c r="D4155" i="28"/>
  <c r="D4159" i="28"/>
  <c r="D4163" i="28"/>
  <c r="D4167" i="28"/>
  <c r="D4171" i="28"/>
  <c r="D4175" i="28"/>
  <c r="D4179" i="28"/>
  <c r="D4183" i="28"/>
  <c r="D4187" i="28"/>
  <c r="D4191" i="28"/>
  <c r="D4195" i="28"/>
  <c r="D4199" i="28"/>
  <c r="D4203" i="28"/>
  <c r="D4207" i="28"/>
  <c r="D4211" i="28"/>
  <c r="D4215" i="28"/>
  <c r="D3019" i="28"/>
  <c r="D3023" i="28"/>
  <c r="D3027" i="28"/>
  <c r="D3030" i="28"/>
  <c r="D3034" i="28"/>
  <c r="D3038" i="28"/>
  <c r="D3042" i="28"/>
  <c r="D3046" i="28"/>
  <c r="D3050" i="28"/>
  <c r="D3054" i="28"/>
  <c r="D3058" i="28"/>
  <c r="D3062" i="28"/>
  <c r="D3066" i="28"/>
  <c r="D3070" i="28"/>
  <c r="D3074" i="28"/>
  <c r="D3078" i="28"/>
  <c r="D3082" i="28"/>
  <c r="D3086" i="28"/>
  <c r="D3090" i="28"/>
  <c r="D3094" i="28"/>
  <c r="D3098" i="28"/>
  <c r="D3102" i="28"/>
  <c r="D3109" i="28"/>
  <c r="D3112" i="28"/>
  <c r="D3116" i="28"/>
  <c r="D3120" i="28"/>
  <c r="D3124" i="28"/>
  <c r="D3128" i="28"/>
  <c r="D3132" i="28"/>
  <c r="D3136" i="28"/>
  <c r="D3140" i="28"/>
  <c r="D3144" i="28"/>
  <c r="D3148" i="28"/>
  <c r="D3152" i="28"/>
  <c r="D3156" i="28"/>
  <c r="D3159" i="28"/>
  <c r="D3163" i="28"/>
  <c r="D3167" i="28"/>
  <c r="D3171" i="28"/>
  <c r="D3175" i="28"/>
  <c r="D3179" i="28"/>
  <c r="D3183" i="28"/>
  <c r="D3187" i="28"/>
  <c r="D3191" i="28"/>
  <c r="D3195" i="28"/>
  <c r="D3199" i="28"/>
  <c r="D3203" i="28"/>
  <c r="D3207" i="28"/>
  <c r="D3211" i="28"/>
  <c r="D3215" i="28"/>
  <c r="D3219" i="28"/>
  <c r="D3223" i="28"/>
  <c r="D3227" i="28"/>
  <c r="D3231" i="28"/>
  <c r="D3235" i="28"/>
  <c r="D3239" i="28"/>
  <c r="D3243" i="28"/>
  <c r="D3247" i="28"/>
  <c r="D3251" i="28"/>
  <c r="D3255" i="28"/>
  <c r="D3259" i="28"/>
  <c r="D3263" i="28"/>
  <c r="D3267" i="28"/>
  <c r="D3271" i="28"/>
  <c r="D3275" i="28"/>
  <c r="D3279" i="28"/>
  <c r="D3283" i="28"/>
  <c r="D3287" i="28"/>
  <c r="D3291" i="28"/>
  <c r="D3295" i="28"/>
  <c r="D3299" i="28"/>
  <c r="D3303" i="28"/>
  <c r="D3307" i="28"/>
  <c r="D3311" i="28"/>
  <c r="D3315" i="28"/>
  <c r="D3319" i="28"/>
  <c r="D3323" i="28"/>
  <c r="D3327" i="28"/>
  <c r="D3331" i="28"/>
  <c r="D3335" i="28"/>
  <c r="D3339" i="28"/>
  <c r="D3343" i="28"/>
  <c r="D3347" i="28"/>
  <c r="D3351" i="28"/>
  <c r="D3355" i="28"/>
  <c r="D3359" i="28"/>
  <c r="D3363" i="28"/>
  <c r="D3366" i="28"/>
  <c r="D3370" i="28"/>
  <c r="D3374" i="28"/>
  <c r="D3378" i="28"/>
  <c r="D3382" i="28"/>
  <c r="D3386" i="28"/>
  <c r="D3390" i="28"/>
  <c r="D3394" i="28"/>
  <c r="D3398" i="28"/>
  <c r="D3402" i="28"/>
  <c r="D3406" i="28"/>
  <c r="D3410" i="28"/>
  <c r="D3414" i="28"/>
  <c r="D3418" i="28"/>
  <c r="D3422" i="28"/>
  <c r="D3426" i="28"/>
  <c r="D3430" i="28"/>
  <c r="D3434" i="28"/>
  <c r="D3438" i="28"/>
  <c r="D3442" i="28"/>
  <c r="D3446" i="28"/>
  <c r="D3450" i="28"/>
  <c r="D3454" i="28"/>
  <c r="D3458" i="28"/>
  <c r="D3462" i="28"/>
  <c r="D3466" i="28"/>
  <c r="D3470" i="28"/>
  <c r="D3474" i="28"/>
  <c r="D3478" i="28"/>
  <c r="D3485" i="28"/>
  <c r="D3489" i="28"/>
  <c r="D3493" i="28"/>
  <c r="D3497" i="28"/>
  <c r="D3501" i="28"/>
  <c r="D3505" i="28"/>
  <c r="D3509" i="28"/>
  <c r="D3513" i="28"/>
  <c r="D3517" i="28"/>
  <c r="D3521" i="28"/>
  <c r="D3525" i="28"/>
  <c r="D3529" i="28"/>
  <c r="D3533" i="28"/>
  <c r="D3537" i="28"/>
  <c r="D3541" i="28"/>
  <c r="D3545" i="28"/>
  <c r="D3549" i="28"/>
  <c r="D3553" i="28"/>
  <c r="D3557" i="28"/>
  <c r="D3561" i="28"/>
  <c r="D3565" i="28"/>
  <c r="D3569" i="28"/>
  <c r="D3573" i="28"/>
  <c r="D3577" i="28"/>
  <c r="D3581" i="28"/>
  <c r="D3585" i="28"/>
  <c r="D3589" i="28"/>
  <c r="D3593" i="28"/>
  <c r="D3597" i="28"/>
  <c r="D3601" i="28"/>
  <c r="D3605" i="28"/>
  <c r="D3609" i="28"/>
  <c r="D3613" i="28"/>
  <c r="D3617" i="28"/>
  <c r="D3621" i="28"/>
  <c r="D3625" i="28"/>
  <c r="D3629" i="28"/>
  <c r="D3633" i="28"/>
  <c r="D3637" i="28"/>
  <c r="D3641" i="28"/>
  <c r="D3645" i="28"/>
  <c r="D3649" i="28"/>
  <c r="D3653" i="28"/>
  <c r="D3657" i="28"/>
  <c r="D3661" i="28"/>
  <c r="D3665" i="28"/>
  <c r="D3669" i="28"/>
  <c r="D3673" i="28"/>
  <c r="D3677" i="28"/>
  <c r="D3681" i="28"/>
  <c r="D3685" i="28"/>
  <c r="D3689" i="28"/>
  <c r="D3693" i="28"/>
  <c r="D3697" i="28"/>
  <c r="D3701" i="28"/>
  <c r="D3705" i="28"/>
  <c r="D3709" i="28"/>
  <c r="D3713" i="28"/>
  <c r="D3717" i="28"/>
  <c r="D3721" i="28"/>
  <c r="D3725" i="28"/>
  <c r="D3729" i="28"/>
  <c r="D3733" i="28"/>
  <c r="D3737" i="28"/>
  <c r="D3741" i="28"/>
  <c r="D3745" i="28"/>
  <c r="D3749" i="28"/>
  <c r="D3753" i="28"/>
  <c r="D3757" i="28"/>
  <c r="D3761" i="28"/>
  <c r="D3765" i="28"/>
  <c r="D3769" i="28"/>
  <c r="D3773" i="28"/>
  <c r="D3777" i="28"/>
  <c r="D3781" i="28"/>
  <c r="D3785" i="28"/>
  <c r="D3789" i="28"/>
  <c r="D3793" i="28"/>
  <c r="D3797" i="28"/>
  <c r="D3801" i="28"/>
  <c r="D3805" i="28"/>
  <c r="D3809" i="28"/>
  <c r="D3813" i="28"/>
  <c r="D3817" i="28"/>
  <c r="D3821" i="28"/>
  <c r="D3825" i="28"/>
  <c r="D3829" i="28"/>
  <c r="D3833" i="28"/>
  <c r="D3837" i="28"/>
  <c r="D3841" i="28"/>
  <c r="D3845" i="28"/>
  <c r="D3849" i="28"/>
  <c r="D3853" i="28"/>
  <c r="D3857" i="28"/>
  <c r="D3861" i="28"/>
  <c r="D3865" i="28"/>
  <c r="D3869" i="28"/>
  <c r="D3873" i="28"/>
  <c r="D3877" i="28"/>
  <c r="D3881" i="28"/>
  <c r="D3885" i="28"/>
  <c r="D3889" i="28"/>
  <c r="D3893" i="28"/>
  <c r="D3897" i="28"/>
  <c r="D3901" i="28"/>
  <c r="D3905" i="28"/>
  <c r="D3909" i="28"/>
  <c r="D3913" i="28"/>
  <c r="D3916" i="28"/>
  <c r="D3920" i="28"/>
  <c r="D3924" i="28"/>
  <c r="D3928" i="28"/>
  <c r="D3932" i="28"/>
  <c r="D3936" i="28"/>
  <c r="D3940" i="28"/>
  <c r="D3944" i="28"/>
  <c r="D3948" i="28"/>
  <c r="D3952" i="28"/>
  <c r="D3956" i="28"/>
  <c r="D3960" i="28"/>
  <c r="D3964" i="28"/>
  <c r="D3968" i="28"/>
  <c r="D3972" i="28"/>
  <c r="D3976" i="28"/>
  <c r="D3980" i="28"/>
  <c r="D3984" i="28"/>
  <c r="D3988" i="28"/>
  <c r="D3992" i="28"/>
  <c r="D3996" i="28"/>
  <c r="D4000" i="28"/>
  <c r="D4004" i="28"/>
  <c r="D4008" i="28"/>
  <c r="D4012" i="28"/>
  <c r="D4016" i="28"/>
  <c r="D4020" i="28"/>
  <c r="D4024" i="28"/>
  <c r="D4028" i="28"/>
  <c r="D4032" i="28"/>
  <c r="D4036" i="28"/>
  <c r="D4040" i="28"/>
  <c r="D4044" i="28"/>
  <c r="D4048" i="28"/>
  <c r="D4052" i="28"/>
  <c r="D4056" i="28"/>
  <c r="D4060" i="28"/>
  <c r="D4064" i="28"/>
  <c r="D4068" i="28"/>
  <c r="D4072" i="28"/>
  <c r="D4076" i="28"/>
  <c r="D4080" i="28"/>
  <c r="D4084" i="28"/>
  <c r="D4088" i="28"/>
  <c r="D4092" i="28"/>
  <c r="D4096" i="28"/>
  <c r="D4100" i="28"/>
  <c r="D4104" i="28"/>
  <c r="D4108" i="28"/>
  <c r="D4112" i="28"/>
  <c r="D4116" i="28"/>
  <c r="D4120" i="28"/>
  <c r="D4124" i="28"/>
  <c r="D4128" i="28"/>
  <c r="D4132" i="28"/>
  <c r="D4136" i="28"/>
  <c r="D4140" i="28"/>
  <c r="D4144" i="28"/>
  <c r="D4148" i="28"/>
  <c r="D4152" i="28"/>
  <c r="D4156" i="28"/>
  <c r="D4160" i="28"/>
  <c r="D4164" i="28"/>
  <c r="D4168" i="28"/>
  <c r="D4172" i="28"/>
  <c r="D4176" i="28"/>
  <c r="D4180" i="28"/>
  <c r="D4184" i="28"/>
  <c r="D4188" i="28"/>
  <c r="D4192" i="28"/>
  <c r="D4196" i="28"/>
  <c r="D4200" i="28"/>
  <c r="D4204" i="28"/>
  <c r="D4208" i="28"/>
  <c r="D4212" i="28"/>
  <c r="D4216" i="28"/>
  <c r="G103" i="38"/>
  <c r="I120" i="38"/>
  <c r="J120" i="38"/>
  <c r="K120" i="38"/>
  <c r="B275" i="30"/>
  <c r="H275" i="30"/>
  <c r="I275" i="30"/>
  <c r="J275" i="30"/>
  <c r="H274" i="30"/>
  <c r="I274" i="30"/>
  <c r="J274" i="30"/>
  <c r="E756" i="16"/>
  <c r="F8" i="20" l="1"/>
  <c r="J5" i="38" l="1"/>
  <c r="J6" i="38"/>
  <c r="J7" i="38"/>
  <c r="J9" i="38"/>
  <c r="J8" i="38"/>
  <c r="J12" i="38"/>
  <c r="J10" i="38"/>
  <c r="J11" i="38"/>
  <c r="J13" i="38"/>
  <c r="J14" i="38"/>
  <c r="J15" i="38"/>
  <c r="J16" i="38"/>
  <c r="J17" i="38"/>
  <c r="J18" i="38"/>
  <c r="J19" i="38"/>
  <c r="J20" i="38"/>
  <c r="J21" i="38"/>
  <c r="J23" i="38"/>
  <c r="J22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6" i="38"/>
  <c r="J77" i="38"/>
  <c r="J78" i="38"/>
  <c r="J79" i="38"/>
  <c r="J75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4" i="38"/>
  <c r="J95" i="38"/>
  <c r="J96" i="38"/>
  <c r="J97" i="38"/>
  <c r="J98" i="38"/>
  <c r="J99" i="38"/>
  <c r="J100" i="38"/>
  <c r="J101" i="38"/>
  <c r="J102" i="38"/>
  <c r="J103" i="38"/>
  <c r="J9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J5" i="25"/>
  <c r="J6" i="25"/>
  <c r="J7" i="25"/>
  <c r="J10" i="25"/>
  <c r="J8" i="25"/>
  <c r="J9" i="25"/>
  <c r="J13" i="25"/>
  <c r="J14" i="25"/>
  <c r="J12" i="25"/>
  <c r="J11" i="25"/>
  <c r="J16" i="25"/>
  <c r="J17" i="25"/>
  <c r="J20" i="25"/>
  <c r="J19" i="25"/>
  <c r="J22" i="25"/>
  <c r="J23" i="25"/>
  <c r="J18" i="25"/>
  <c r="J21" i="25"/>
  <c r="J15" i="25"/>
  <c r="J25" i="25"/>
  <c r="J26" i="25"/>
  <c r="J27" i="25"/>
  <c r="J28" i="25"/>
  <c r="J29" i="25"/>
  <c r="J30" i="25"/>
  <c r="J31" i="25"/>
  <c r="J32" i="25"/>
  <c r="J24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45" i="25"/>
  <c r="J76" i="25"/>
  <c r="J77" i="25"/>
  <c r="J78" i="25"/>
  <c r="J80" i="25"/>
  <c r="J79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38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5" i="24"/>
  <c r="J6" i="24"/>
  <c r="J7" i="24"/>
  <c r="J8" i="24"/>
  <c r="J9" i="24"/>
  <c r="J10" i="24"/>
  <c r="J11" i="24"/>
  <c r="J12" i="24"/>
  <c r="J14" i="24"/>
  <c r="J17" i="24"/>
  <c r="J13" i="24"/>
  <c r="J18" i="24"/>
  <c r="J15" i="24"/>
  <c r="J16" i="24"/>
  <c r="J21" i="24"/>
  <c r="J20" i="24"/>
  <c r="J22" i="24"/>
  <c r="J19" i="24"/>
  <c r="J24" i="24"/>
  <c r="J26" i="24"/>
  <c r="J27" i="24"/>
  <c r="J23" i="24"/>
  <c r="J28" i="24"/>
  <c r="J29" i="24"/>
  <c r="J30" i="24"/>
  <c r="J33" i="24"/>
  <c r="J34" i="24"/>
  <c r="J35" i="24"/>
  <c r="J36" i="24"/>
  <c r="J25" i="24"/>
  <c r="J37" i="24"/>
  <c r="J38" i="24"/>
  <c r="J39" i="24"/>
  <c r="J41" i="24"/>
  <c r="J42" i="24"/>
  <c r="J43" i="24"/>
  <c r="J44" i="24"/>
  <c r="J31" i="24"/>
  <c r="J45" i="24"/>
  <c r="J32" i="24"/>
  <c r="J46" i="24"/>
  <c r="J47" i="24"/>
  <c r="J48" i="24"/>
  <c r="J49" i="24"/>
  <c r="J50" i="24"/>
  <c r="J51" i="24"/>
  <c r="J54" i="24"/>
  <c r="J53" i="24"/>
  <c r="J55" i="24"/>
  <c r="J56" i="24"/>
  <c r="J40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64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31" i="24"/>
  <c r="J164" i="24"/>
  <c r="J165" i="24"/>
  <c r="J166" i="24"/>
  <c r="J167" i="24"/>
  <c r="J168" i="24"/>
  <c r="J169" i="24"/>
  <c r="J170" i="24"/>
  <c r="J154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01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250" i="24"/>
  <c r="J251" i="24"/>
  <c r="J252" i="24"/>
  <c r="J253" i="24"/>
  <c r="J254" i="24"/>
  <c r="J255" i="24"/>
  <c r="J256" i="24"/>
  <c r="J257" i="24"/>
  <c r="J258" i="24"/>
  <c r="J259" i="24"/>
  <c r="J260" i="24"/>
  <c r="J261" i="24"/>
  <c r="J262" i="24"/>
  <c r="J263" i="24"/>
  <c r="J264" i="24"/>
  <c r="J265" i="24"/>
  <c r="J266" i="24"/>
  <c r="J267" i="24"/>
  <c r="J268" i="24"/>
  <c r="J269" i="24"/>
  <c r="J270" i="24"/>
  <c r="J271" i="24"/>
  <c r="J272" i="24"/>
  <c r="J273" i="24"/>
  <c r="J274" i="24"/>
  <c r="J275" i="24"/>
  <c r="J276" i="24"/>
  <c r="J277" i="24"/>
  <c r="J278" i="24"/>
  <c r="J279" i="24"/>
  <c r="J280" i="24"/>
  <c r="J171" i="24"/>
  <c r="J52" i="24"/>
  <c r="J236" i="24"/>
  <c r="J237" i="24"/>
  <c r="J281" i="24"/>
  <c r="K5" i="23"/>
  <c r="K6" i="23"/>
  <c r="K7" i="23"/>
  <c r="K8" i="23"/>
  <c r="K9" i="23"/>
  <c r="K11" i="23"/>
  <c r="K12" i="23"/>
  <c r="K13" i="23"/>
  <c r="K10" i="23"/>
  <c r="K14" i="23"/>
  <c r="K15" i="23"/>
  <c r="K17" i="23"/>
  <c r="K18" i="23"/>
  <c r="K16" i="23"/>
  <c r="K19" i="23"/>
  <c r="K21" i="23"/>
  <c r="K22" i="23"/>
  <c r="K23" i="23"/>
  <c r="K20" i="23"/>
  <c r="K25" i="23"/>
  <c r="K27" i="23"/>
  <c r="K29" i="23"/>
  <c r="K30" i="23"/>
  <c r="K31" i="23"/>
  <c r="K26" i="23"/>
  <c r="K32" i="23"/>
  <c r="K33" i="23"/>
  <c r="K35" i="23"/>
  <c r="K34" i="23"/>
  <c r="K38" i="23"/>
  <c r="K39" i="23"/>
  <c r="K40" i="23"/>
  <c r="K41" i="23"/>
  <c r="K43" i="23"/>
  <c r="K44" i="23"/>
  <c r="K24" i="23"/>
  <c r="K36" i="23"/>
  <c r="K37" i="23"/>
  <c r="K28" i="23"/>
  <c r="K47" i="23"/>
  <c r="K48" i="23"/>
  <c r="K49" i="23"/>
  <c r="K50" i="23"/>
  <c r="K51" i="23"/>
  <c r="K52" i="23"/>
  <c r="K53" i="23"/>
  <c r="K54" i="23"/>
  <c r="K55" i="23"/>
  <c r="K56" i="23"/>
  <c r="K57" i="23"/>
  <c r="K42" i="23"/>
  <c r="K58" i="23"/>
  <c r="K59" i="23"/>
  <c r="K45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46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9" i="23"/>
  <c r="K90" i="23"/>
  <c r="K91" i="23"/>
  <c r="K92" i="23"/>
  <c r="K93" i="23"/>
  <c r="K94" i="23"/>
  <c r="K95" i="23"/>
  <c r="K96" i="23"/>
  <c r="K87" i="23"/>
  <c r="K88" i="23"/>
  <c r="K97" i="23"/>
  <c r="K98" i="23"/>
  <c r="K99" i="23"/>
  <c r="K100" i="23"/>
  <c r="K101" i="23"/>
  <c r="K102" i="23"/>
  <c r="K103" i="23"/>
  <c r="K104" i="23"/>
  <c r="K105" i="23"/>
  <c r="K107" i="23"/>
  <c r="K108" i="23"/>
  <c r="K106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27" i="23"/>
  <c r="K128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54" i="23"/>
  <c r="K155" i="23"/>
  <c r="K156" i="23"/>
  <c r="K5" i="22"/>
  <c r="K6" i="22"/>
  <c r="K7" i="22"/>
  <c r="K8" i="22"/>
  <c r="K9" i="22"/>
  <c r="K10" i="22"/>
  <c r="K13" i="22"/>
  <c r="K14" i="22"/>
  <c r="K11" i="22"/>
  <c r="K15" i="22"/>
  <c r="K16" i="22"/>
  <c r="K12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2" i="22"/>
  <c r="K34" i="22"/>
  <c r="K35" i="22"/>
  <c r="K36" i="22"/>
  <c r="K37" i="22"/>
  <c r="K39" i="22"/>
  <c r="K41" i="22"/>
  <c r="K33" i="22"/>
  <c r="K42" i="22"/>
  <c r="K31" i="22"/>
  <c r="K46" i="22"/>
  <c r="K44" i="22"/>
  <c r="K47" i="22"/>
  <c r="K48" i="22"/>
  <c r="K49" i="22"/>
  <c r="K50" i="22"/>
  <c r="K51" i="22"/>
  <c r="K38" i="22"/>
  <c r="K53" i="22"/>
  <c r="K54" i="22"/>
  <c r="K55" i="22"/>
  <c r="K40" i="22"/>
  <c r="K56" i="22"/>
  <c r="K57" i="22"/>
  <c r="K58" i="22"/>
  <c r="K59" i="22"/>
  <c r="K61" i="22"/>
  <c r="K45" i="22"/>
  <c r="K62" i="22"/>
  <c r="K63" i="22"/>
  <c r="K64" i="22"/>
  <c r="K65" i="22"/>
  <c r="K66" i="22"/>
  <c r="K67" i="22"/>
  <c r="K52" i="22"/>
  <c r="K68" i="22"/>
  <c r="K69" i="22"/>
  <c r="K70" i="22"/>
  <c r="K72" i="22"/>
  <c r="K74" i="22"/>
  <c r="K75" i="22"/>
  <c r="K43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9" i="22"/>
  <c r="K100" i="22"/>
  <c r="K101" i="22"/>
  <c r="K102" i="22"/>
  <c r="K97" i="22"/>
  <c r="K98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71" i="22"/>
  <c r="K135" i="22"/>
  <c r="K136" i="22"/>
  <c r="K137" i="22"/>
  <c r="K138" i="22"/>
  <c r="K139" i="22"/>
  <c r="K140" i="22"/>
  <c r="K141" i="22"/>
  <c r="K142" i="22"/>
  <c r="K143" i="22"/>
  <c r="K144" i="22"/>
  <c r="K145" i="22"/>
  <c r="K73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67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181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K241" i="22"/>
  <c r="K242" i="22"/>
  <c r="K243" i="22"/>
  <c r="K244" i="22"/>
  <c r="K245" i="22"/>
  <c r="K246" i="22"/>
  <c r="K247" i="22"/>
  <c r="K248" i="22"/>
  <c r="K249" i="22"/>
  <c r="K250" i="22"/>
  <c r="K251" i="22"/>
  <c r="K252" i="22"/>
  <c r="K253" i="22"/>
  <c r="K207" i="22"/>
  <c r="K256" i="22"/>
  <c r="K257" i="22"/>
  <c r="K258" i="22"/>
  <c r="K259" i="22"/>
  <c r="K260" i="22"/>
  <c r="K261" i="22"/>
  <c r="K262" i="22"/>
  <c r="K263" i="22"/>
  <c r="K264" i="22"/>
  <c r="K265" i="22"/>
  <c r="K266" i="22"/>
  <c r="K267" i="22"/>
  <c r="K268" i="22"/>
  <c r="K269" i="22"/>
  <c r="K270" i="22"/>
  <c r="K271" i="22"/>
  <c r="K272" i="22"/>
  <c r="K273" i="22"/>
  <c r="K274" i="22"/>
  <c r="K275" i="22"/>
  <c r="K276" i="22"/>
  <c r="K277" i="22"/>
  <c r="K278" i="22"/>
  <c r="K279" i="22"/>
  <c r="K280" i="22"/>
  <c r="K281" i="22"/>
  <c r="K282" i="22"/>
  <c r="K283" i="22"/>
  <c r="K284" i="22"/>
  <c r="K285" i="22"/>
  <c r="K286" i="22"/>
  <c r="K287" i="22"/>
  <c r="K288" i="22"/>
  <c r="K289" i="22"/>
  <c r="K290" i="22"/>
  <c r="K291" i="22"/>
  <c r="K292" i="22"/>
  <c r="K293" i="22"/>
  <c r="K294" i="22"/>
  <c r="K295" i="22"/>
  <c r="K296" i="22"/>
  <c r="K297" i="22"/>
  <c r="K298" i="22"/>
  <c r="K299" i="22"/>
  <c r="K300" i="22"/>
  <c r="K301" i="22"/>
  <c r="K302" i="22"/>
  <c r="K303" i="22"/>
  <c r="K304" i="22"/>
  <c r="K305" i="22"/>
  <c r="K306" i="22"/>
  <c r="K307" i="22"/>
  <c r="K308" i="22"/>
  <c r="K309" i="22"/>
  <c r="K310" i="22"/>
  <c r="K311" i="22"/>
  <c r="K312" i="22"/>
  <c r="K313" i="22"/>
  <c r="K314" i="22"/>
  <c r="K315" i="22"/>
  <c r="K316" i="22"/>
  <c r="K317" i="22"/>
  <c r="K318" i="22"/>
  <c r="K319" i="22"/>
  <c r="K320" i="22"/>
  <c r="K321" i="22"/>
  <c r="K322" i="22"/>
  <c r="K323" i="22"/>
  <c r="K324" i="22"/>
  <c r="K325" i="22"/>
  <c r="K326" i="22"/>
  <c r="K327" i="22"/>
  <c r="K328" i="22"/>
  <c r="K329" i="22"/>
  <c r="K330" i="22"/>
  <c r="K331" i="22"/>
  <c r="K332" i="22"/>
  <c r="K333" i="22"/>
  <c r="K334" i="22"/>
  <c r="K335" i="22"/>
  <c r="K336" i="22"/>
  <c r="K337" i="22"/>
  <c r="K338" i="22"/>
  <c r="K339" i="22"/>
  <c r="K340" i="22"/>
  <c r="K341" i="22"/>
  <c r="K342" i="22"/>
  <c r="K343" i="22"/>
  <c r="K344" i="22"/>
  <c r="K345" i="22"/>
  <c r="K60" i="22"/>
  <c r="K254" i="22"/>
  <c r="K255" i="22"/>
  <c r="K5" i="29"/>
  <c r="K6" i="29"/>
  <c r="K8" i="29"/>
  <c r="K7" i="29"/>
  <c r="K9" i="29"/>
  <c r="K10" i="29"/>
  <c r="K11" i="29"/>
  <c r="K13" i="29"/>
  <c r="K12" i="29"/>
  <c r="K14" i="29"/>
  <c r="K17" i="29"/>
  <c r="K19" i="29"/>
  <c r="K15" i="29"/>
  <c r="K18" i="29"/>
  <c r="K16" i="29"/>
  <c r="K21" i="29"/>
  <c r="K23" i="29"/>
  <c r="K20" i="29"/>
  <c r="K22" i="29"/>
  <c r="K24" i="29"/>
  <c r="K25" i="29"/>
  <c r="K27" i="29"/>
  <c r="K26" i="29"/>
  <c r="K29" i="29"/>
  <c r="K30" i="29"/>
  <c r="K28" i="29"/>
  <c r="K32" i="29"/>
  <c r="K33" i="29"/>
  <c r="K34" i="29"/>
  <c r="K35" i="29"/>
  <c r="K36" i="29"/>
  <c r="K38" i="29"/>
  <c r="K31" i="29"/>
  <c r="K41" i="29"/>
  <c r="K42" i="29"/>
  <c r="K43" i="29"/>
  <c r="K44" i="29"/>
  <c r="K45" i="29"/>
  <c r="K37" i="29"/>
  <c r="K48" i="29"/>
  <c r="K46" i="29"/>
  <c r="K39" i="29"/>
  <c r="K49" i="29"/>
  <c r="K50" i="29"/>
  <c r="K51" i="29"/>
  <c r="K52" i="29"/>
  <c r="K53" i="29"/>
  <c r="K54" i="29"/>
  <c r="K55" i="29"/>
  <c r="K47" i="29"/>
  <c r="K56" i="29"/>
  <c r="K57" i="29"/>
  <c r="K58" i="29"/>
  <c r="K60" i="29"/>
  <c r="K61" i="29"/>
  <c r="K62" i="29"/>
  <c r="K63" i="29"/>
  <c r="K64" i="29"/>
  <c r="K66" i="29"/>
  <c r="K65" i="29"/>
  <c r="K67" i="29"/>
  <c r="K68" i="29"/>
  <c r="K69" i="29"/>
  <c r="K40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9" i="29"/>
  <c r="K101" i="29"/>
  <c r="K102" i="29"/>
  <c r="K103" i="29"/>
  <c r="K104" i="29"/>
  <c r="K105" i="29"/>
  <c r="K106" i="29"/>
  <c r="K100" i="29"/>
  <c r="K107" i="29"/>
  <c r="K108" i="29"/>
  <c r="K109" i="29"/>
  <c r="K98" i="29"/>
  <c r="K110" i="29"/>
  <c r="K111" i="29"/>
  <c r="K112" i="29"/>
  <c r="K113" i="29"/>
  <c r="K114" i="29"/>
  <c r="K115" i="29"/>
  <c r="K116" i="29"/>
  <c r="K117" i="29"/>
  <c r="K118" i="29"/>
  <c r="K119" i="29"/>
  <c r="K120" i="29"/>
  <c r="K125" i="29"/>
  <c r="K126" i="29"/>
  <c r="K127" i="29"/>
  <c r="K121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22" i="29"/>
  <c r="K145" i="29"/>
  <c r="K123" i="29"/>
  <c r="K124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46" i="29"/>
  <c r="K147" i="29"/>
  <c r="K59" i="29"/>
  <c r="K148" i="29"/>
  <c r="K149" i="29"/>
  <c r="K150" i="29"/>
  <c r="K5" i="20"/>
  <c r="K7" i="20"/>
  <c r="K6" i="20"/>
  <c r="K8" i="20"/>
  <c r="K10" i="20"/>
  <c r="K9" i="20"/>
  <c r="K12" i="20"/>
  <c r="K13" i="20"/>
  <c r="K11" i="20"/>
  <c r="K16" i="20"/>
  <c r="K14" i="20"/>
  <c r="K15" i="20"/>
  <c r="K17" i="20"/>
  <c r="K19" i="20"/>
  <c r="K22" i="20"/>
  <c r="K18" i="20"/>
  <c r="K23" i="20"/>
  <c r="K26" i="20"/>
  <c r="K20" i="20"/>
  <c r="K27" i="20"/>
  <c r="K21" i="20"/>
  <c r="K29" i="20"/>
  <c r="K30" i="20"/>
  <c r="K31" i="20"/>
  <c r="K32" i="20"/>
  <c r="K33" i="20"/>
  <c r="K34" i="20"/>
  <c r="K24" i="20"/>
  <c r="K25" i="20"/>
  <c r="K37" i="20"/>
  <c r="K28" i="20"/>
  <c r="K38" i="20"/>
  <c r="K40" i="20"/>
  <c r="K41" i="20"/>
  <c r="K42" i="20"/>
  <c r="K43" i="20"/>
  <c r="K44" i="20"/>
  <c r="K46" i="20"/>
  <c r="K47" i="20"/>
  <c r="K48" i="20"/>
  <c r="K35" i="20"/>
  <c r="K50" i="20"/>
  <c r="K51" i="20"/>
  <c r="K36" i="20"/>
  <c r="K45" i="20"/>
  <c r="K53" i="20"/>
  <c r="K54" i="20"/>
  <c r="K55" i="20"/>
  <c r="K56" i="20"/>
  <c r="K39" i="20"/>
  <c r="K57" i="20"/>
  <c r="K58" i="20"/>
  <c r="K59" i="20"/>
  <c r="K49" i="20"/>
  <c r="K62" i="20"/>
  <c r="K63" i="20"/>
  <c r="K64" i="20"/>
  <c r="K65" i="20"/>
  <c r="K66" i="20"/>
  <c r="K68" i="20"/>
  <c r="K52" i="20"/>
  <c r="K71" i="20"/>
  <c r="K72" i="20"/>
  <c r="K73" i="20"/>
  <c r="K74" i="20"/>
  <c r="K76" i="20"/>
  <c r="K60" i="20"/>
  <c r="K61" i="20"/>
  <c r="K78" i="20"/>
  <c r="K79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69" i="20"/>
  <c r="K70" i="20"/>
  <c r="K100" i="20"/>
  <c r="K101" i="20"/>
  <c r="K67" i="20"/>
  <c r="K95" i="20"/>
  <c r="K103" i="20"/>
  <c r="K104" i="20"/>
  <c r="K105" i="20"/>
  <c r="K106" i="20"/>
  <c r="K75" i="20"/>
  <c r="K107" i="20"/>
  <c r="K108" i="20"/>
  <c r="K109" i="20"/>
  <c r="K77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4" i="20"/>
  <c r="K135" i="20"/>
  <c r="K136" i="20"/>
  <c r="K137" i="20"/>
  <c r="K138" i="20"/>
  <c r="K139" i="20"/>
  <c r="K133" i="20"/>
  <c r="K140" i="20"/>
  <c r="K141" i="20"/>
  <c r="K142" i="20"/>
  <c r="K144" i="20"/>
  <c r="K145" i="20"/>
  <c r="K146" i="20"/>
  <c r="K147" i="20"/>
  <c r="K148" i="20"/>
  <c r="K150" i="20"/>
  <c r="K151" i="20"/>
  <c r="K152" i="20"/>
  <c r="K153" i="20"/>
  <c r="K154" i="20"/>
  <c r="K143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49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200" i="20"/>
  <c r="K201" i="20"/>
  <c r="K202" i="20"/>
  <c r="K203" i="20"/>
  <c r="K204" i="20"/>
  <c r="K208" i="20"/>
  <c r="K209" i="20"/>
  <c r="K210" i="20"/>
  <c r="K211" i="20"/>
  <c r="K212" i="20"/>
  <c r="K213" i="20"/>
  <c r="K214" i="20"/>
  <c r="K199" i="20"/>
  <c r="K215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5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05" i="20"/>
  <c r="K261" i="20"/>
  <c r="K206" i="20"/>
  <c r="K262" i="20"/>
  <c r="K263" i="20"/>
  <c r="K207" i="20"/>
  <c r="K273" i="20"/>
  <c r="K274" i="20"/>
  <c r="K96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K299" i="20"/>
  <c r="K300" i="20"/>
  <c r="K301" i="20"/>
  <c r="K302" i="20"/>
  <c r="K303" i="20"/>
  <c r="K97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98" i="20"/>
  <c r="K321" i="20"/>
  <c r="K322" i="20"/>
  <c r="K323" i="20"/>
  <c r="K324" i="20"/>
  <c r="K325" i="20"/>
  <c r="K326" i="20"/>
  <c r="K327" i="20"/>
  <c r="K99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K343" i="20"/>
  <c r="K344" i="20"/>
  <c r="K345" i="20"/>
  <c r="K346" i="20"/>
  <c r="K347" i="20"/>
  <c r="K348" i="20"/>
  <c r="K349" i="20"/>
  <c r="K350" i="20"/>
  <c r="K351" i="20"/>
  <c r="I5" i="30"/>
  <c r="I6" i="30"/>
  <c r="I9" i="30"/>
  <c r="I8" i="30"/>
  <c r="I10" i="30"/>
  <c r="I11" i="30"/>
  <c r="I7" i="30"/>
  <c r="I12" i="30"/>
  <c r="I13" i="30"/>
  <c r="I14" i="30"/>
  <c r="I16" i="30"/>
  <c r="I15" i="30"/>
  <c r="I17" i="30"/>
  <c r="I18" i="30"/>
  <c r="I19" i="30"/>
  <c r="I25" i="30"/>
  <c r="I26" i="30"/>
  <c r="I23" i="30"/>
  <c r="I24" i="30"/>
  <c r="I27" i="30"/>
  <c r="I21" i="30"/>
  <c r="I29" i="30"/>
  <c r="I22" i="30"/>
  <c r="I30" i="30"/>
  <c r="I20" i="30"/>
  <c r="I28" i="30"/>
  <c r="I32" i="30"/>
  <c r="I33" i="30"/>
  <c r="I34" i="30"/>
  <c r="I31" i="30"/>
  <c r="I36" i="30"/>
  <c r="I37" i="30"/>
  <c r="I38" i="30"/>
  <c r="I40" i="30"/>
  <c r="I41" i="30"/>
  <c r="I42" i="30"/>
  <c r="I43" i="30"/>
  <c r="I45" i="30"/>
  <c r="I46" i="30"/>
  <c r="I47" i="30"/>
  <c r="I39" i="30"/>
  <c r="I48" i="30"/>
  <c r="I49" i="30"/>
  <c r="I35" i="30"/>
  <c r="I50" i="30"/>
  <c r="I51" i="30"/>
  <c r="I52" i="30"/>
  <c r="I53" i="30"/>
  <c r="I55" i="30"/>
  <c r="I58" i="30"/>
  <c r="I60" i="30"/>
  <c r="I61" i="30"/>
  <c r="I62" i="30"/>
  <c r="I63" i="30"/>
  <c r="I64" i="30"/>
  <c r="I65" i="30"/>
  <c r="I66" i="30"/>
  <c r="I68" i="30"/>
  <c r="I69" i="30"/>
  <c r="I67" i="30"/>
  <c r="I70" i="30"/>
  <c r="I71" i="30"/>
  <c r="I73" i="30"/>
  <c r="I72" i="30"/>
  <c r="I74" i="30"/>
  <c r="I75" i="30"/>
  <c r="I76" i="30"/>
  <c r="I77" i="30"/>
  <c r="I78" i="30"/>
  <c r="I44" i="30"/>
  <c r="I79" i="30"/>
  <c r="I80" i="30"/>
  <c r="I81" i="30"/>
  <c r="I82" i="30"/>
  <c r="I59" i="30"/>
  <c r="I54" i="30"/>
  <c r="I83" i="30"/>
  <c r="I84" i="30"/>
  <c r="I85" i="30"/>
  <c r="I87" i="30"/>
  <c r="I88" i="30"/>
  <c r="I56" i="30"/>
  <c r="I86" i="30"/>
  <c r="I91" i="30"/>
  <c r="I92" i="30"/>
  <c r="I93" i="30"/>
  <c r="I94" i="30"/>
  <c r="I95" i="30"/>
  <c r="I96" i="30"/>
  <c r="I57" i="30"/>
  <c r="I98" i="30"/>
  <c r="I99" i="30"/>
  <c r="I89" i="30"/>
  <c r="I100" i="30"/>
  <c r="I102" i="30"/>
  <c r="I103" i="30"/>
  <c r="I104" i="30"/>
  <c r="I106" i="30"/>
  <c r="I107" i="30"/>
  <c r="I108" i="30"/>
  <c r="I110" i="30"/>
  <c r="I105" i="30"/>
  <c r="I111" i="30"/>
  <c r="I109" i="30"/>
  <c r="I112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8" i="30"/>
  <c r="I129" i="30"/>
  <c r="I130" i="30"/>
  <c r="I132" i="30"/>
  <c r="I133" i="30"/>
  <c r="I134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31" i="30"/>
  <c r="I90" i="30"/>
  <c r="I97" i="30"/>
  <c r="I163" i="30"/>
  <c r="I164" i="30"/>
  <c r="I135" i="30"/>
  <c r="I136" i="30"/>
  <c r="I14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01" i="30"/>
  <c r="I16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165" i="30"/>
  <c r="I166" i="30"/>
  <c r="I167" i="30"/>
  <c r="I16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169" i="30"/>
  <c r="I208" i="30"/>
  <c r="C281" i="24"/>
  <c r="F281" i="24"/>
  <c r="G281" i="24"/>
  <c r="K281" i="24"/>
  <c r="I8" i="24"/>
  <c r="I9" i="24"/>
  <c r="I10" i="24"/>
  <c r="I11" i="24"/>
  <c r="I12" i="24"/>
  <c r="I20" i="24"/>
  <c r="I26" i="24"/>
  <c r="I27" i="24"/>
  <c r="I23" i="24"/>
  <c r="I28" i="24"/>
  <c r="I29" i="24"/>
  <c r="I38" i="24"/>
  <c r="I43" i="24"/>
  <c r="I44" i="24"/>
  <c r="I31" i="24"/>
  <c r="I45" i="24"/>
  <c r="I32" i="24"/>
  <c r="I53" i="24"/>
  <c r="I57" i="24"/>
  <c r="I58" i="24"/>
  <c r="I59" i="24"/>
  <c r="I60" i="24"/>
  <c r="I61" i="24"/>
  <c r="I70" i="24"/>
  <c r="I74" i="24"/>
  <c r="I75" i="24"/>
  <c r="I76" i="24"/>
  <c r="I77" i="24"/>
  <c r="I78" i="24"/>
  <c r="I85" i="24"/>
  <c r="I89" i="24"/>
  <c r="I90" i="24"/>
  <c r="I91" i="24"/>
  <c r="I92" i="24"/>
  <c r="I93" i="24"/>
  <c r="I101" i="24"/>
  <c r="I105" i="24"/>
  <c r="I106" i="24"/>
  <c r="I107" i="24"/>
  <c r="I108" i="24"/>
  <c r="I109" i="24"/>
  <c r="I117" i="24"/>
  <c r="I121" i="24"/>
  <c r="I122" i="24"/>
  <c r="I123" i="24"/>
  <c r="I124" i="24"/>
  <c r="I125" i="24"/>
  <c r="I134" i="24"/>
  <c r="I138" i="24"/>
  <c r="I139" i="24"/>
  <c r="I140" i="24"/>
  <c r="I141" i="24"/>
  <c r="I142" i="24"/>
  <c r="I150" i="24"/>
  <c r="I155" i="24"/>
  <c r="I156" i="24"/>
  <c r="I157" i="24"/>
  <c r="I158" i="24"/>
  <c r="I159" i="24"/>
  <c r="I166" i="24"/>
  <c r="I170" i="24"/>
  <c r="I154" i="24"/>
  <c r="I172" i="24"/>
  <c r="I173" i="24"/>
  <c r="I174" i="24"/>
  <c r="I182" i="24"/>
  <c r="I186" i="24"/>
  <c r="I187" i="24"/>
  <c r="I188" i="24"/>
  <c r="I189" i="24"/>
  <c r="I190" i="24"/>
  <c r="I198" i="24"/>
  <c r="I203" i="24"/>
  <c r="I204" i="24"/>
  <c r="I205" i="24"/>
  <c r="I206" i="24"/>
  <c r="I207" i="24"/>
  <c r="I215" i="24"/>
  <c r="I218" i="24"/>
  <c r="I219" i="24"/>
  <c r="I220" i="24"/>
  <c r="I221" i="24"/>
  <c r="I222" i="24"/>
  <c r="I230" i="24"/>
  <c r="I234" i="24"/>
  <c r="I235" i="24"/>
  <c r="I238" i="24"/>
  <c r="I239" i="24"/>
  <c r="I240" i="24"/>
  <c r="I248" i="24"/>
  <c r="I252" i="24"/>
  <c r="I253" i="24"/>
  <c r="I254" i="24"/>
  <c r="I255" i="24"/>
  <c r="I256" i="24"/>
  <c r="I264" i="24"/>
  <c r="I268" i="24"/>
  <c r="I269" i="24"/>
  <c r="I270" i="24"/>
  <c r="I271" i="24"/>
  <c r="I272" i="24"/>
  <c r="I280" i="24"/>
  <c r="I237" i="24"/>
  <c r="C198" i="25"/>
  <c r="C199" i="25"/>
  <c r="C200" i="25"/>
  <c r="C201" i="25"/>
  <c r="C202" i="25"/>
  <c r="C203" i="25"/>
  <c r="C204" i="25"/>
  <c r="C205" i="25"/>
  <c r="C206" i="25"/>
  <c r="C207" i="25"/>
  <c r="I198" i="25"/>
  <c r="I199" i="25"/>
  <c r="I200" i="25"/>
  <c r="I201" i="25"/>
  <c r="I202" i="25"/>
  <c r="I203" i="25"/>
  <c r="I204" i="25"/>
  <c r="I205" i="25"/>
  <c r="I206" i="25"/>
  <c r="I207" i="25"/>
  <c r="K198" i="25"/>
  <c r="K199" i="25"/>
  <c r="K200" i="25"/>
  <c r="K201" i="25"/>
  <c r="K202" i="25"/>
  <c r="K203" i="25"/>
  <c r="K204" i="25"/>
  <c r="K205" i="25"/>
  <c r="K206" i="25"/>
  <c r="K207" i="25"/>
  <c r="I191" i="25"/>
  <c r="I192" i="25"/>
  <c r="I193" i="25"/>
  <c r="I194" i="25"/>
  <c r="I195" i="25"/>
  <c r="I196" i="25"/>
  <c r="C189" i="25"/>
  <c r="C190" i="25"/>
  <c r="C191" i="25"/>
  <c r="C192" i="25"/>
  <c r="C193" i="25"/>
  <c r="C194" i="25"/>
  <c r="C195" i="25"/>
  <c r="C196" i="25"/>
  <c r="C197" i="25"/>
  <c r="K189" i="25"/>
  <c r="K190" i="25"/>
  <c r="K191" i="25"/>
  <c r="K192" i="25"/>
  <c r="K193" i="25"/>
  <c r="K194" i="25"/>
  <c r="K195" i="25"/>
  <c r="K196" i="25"/>
  <c r="K197" i="25"/>
  <c r="I189" i="25"/>
  <c r="I190" i="25"/>
  <c r="I197" i="25"/>
  <c r="I5" i="38"/>
  <c r="I6" i="38"/>
  <c r="I7" i="38"/>
  <c r="I9" i="38"/>
  <c r="I8" i="38"/>
  <c r="I12" i="38"/>
  <c r="I10" i="38"/>
  <c r="I11" i="38"/>
  <c r="I13" i="38"/>
  <c r="I14" i="38"/>
  <c r="I15" i="38"/>
  <c r="I16" i="38"/>
  <c r="I17" i="38"/>
  <c r="I18" i="38"/>
  <c r="I19" i="38"/>
  <c r="I20" i="38"/>
  <c r="I21" i="38"/>
  <c r="I23" i="38"/>
  <c r="I22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6" i="38"/>
  <c r="I77" i="38"/>
  <c r="I78" i="38"/>
  <c r="I79" i="38"/>
  <c r="I75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4" i="38"/>
  <c r="I95" i="38"/>
  <c r="I96" i="38"/>
  <c r="I97" i="38"/>
  <c r="I98" i="38"/>
  <c r="I99" i="38"/>
  <c r="I100" i="38"/>
  <c r="I101" i="38"/>
  <c r="I102" i="38"/>
  <c r="I103" i="38"/>
  <c r="I9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J5" i="39"/>
  <c r="J6" i="39"/>
  <c r="J7" i="39"/>
  <c r="J8" i="39"/>
  <c r="J9" i="39"/>
  <c r="J10" i="39"/>
  <c r="J11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I5" i="24"/>
  <c r="I6" i="24"/>
  <c r="I7" i="24"/>
  <c r="I14" i="24"/>
  <c r="I17" i="24"/>
  <c r="I13" i="24"/>
  <c r="I18" i="24"/>
  <c r="I15" i="24"/>
  <c r="I16" i="24"/>
  <c r="I21" i="24"/>
  <c r="I22" i="24"/>
  <c r="I19" i="24"/>
  <c r="I24" i="24"/>
  <c r="I30" i="24"/>
  <c r="I33" i="24"/>
  <c r="I34" i="24"/>
  <c r="I35" i="24"/>
  <c r="I36" i="24"/>
  <c r="I25" i="24"/>
  <c r="I37" i="24"/>
  <c r="I39" i="24"/>
  <c r="I41" i="24"/>
  <c r="I42" i="24"/>
  <c r="I46" i="24"/>
  <c r="I47" i="24"/>
  <c r="I48" i="24"/>
  <c r="I49" i="24"/>
  <c r="I50" i="24"/>
  <c r="I51" i="24"/>
  <c r="I54" i="24"/>
  <c r="I55" i="24"/>
  <c r="I56" i="24"/>
  <c r="I40" i="24"/>
  <c r="I62" i="24"/>
  <c r="I63" i="24"/>
  <c r="I65" i="24"/>
  <c r="I66" i="24"/>
  <c r="I67" i="24"/>
  <c r="I68" i="24"/>
  <c r="I69" i="24"/>
  <c r="I71" i="24"/>
  <c r="I72" i="24"/>
  <c r="I73" i="24"/>
  <c r="I79" i="24"/>
  <c r="I80" i="24"/>
  <c r="I81" i="24"/>
  <c r="I82" i="24"/>
  <c r="I64" i="24"/>
  <c r="I83" i="24"/>
  <c r="I84" i="24"/>
  <c r="I86" i="24"/>
  <c r="I87" i="24"/>
  <c r="I88" i="24"/>
  <c r="I94" i="24"/>
  <c r="I95" i="24"/>
  <c r="I96" i="24"/>
  <c r="I97" i="24"/>
  <c r="I98" i="24"/>
  <c r="I99" i="24"/>
  <c r="I100" i="24"/>
  <c r="I102" i="24"/>
  <c r="I103" i="24"/>
  <c r="I104" i="24"/>
  <c r="I110" i="24"/>
  <c r="I111" i="24"/>
  <c r="I112" i="24"/>
  <c r="I113" i="24"/>
  <c r="I114" i="24"/>
  <c r="I115" i="24"/>
  <c r="I116" i="24"/>
  <c r="I118" i="24"/>
  <c r="I119" i="24"/>
  <c r="I120" i="24"/>
  <c r="I126" i="24"/>
  <c r="I127" i="24"/>
  <c r="I128" i="24"/>
  <c r="I129" i="24"/>
  <c r="I130" i="24"/>
  <c r="I132" i="24"/>
  <c r="I133" i="24"/>
  <c r="I135" i="24"/>
  <c r="I136" i="24"/>
  <c r="I137" i="24"/>
  <c r="I143" i="24"/>
  <c r="I144" i="24"/>
  <c r="I145" i="24"/>
  <c r="I146" i="24"/>
  <c r="I147" i="24"/>
  <c r="I148" i="24"/>
  <c r="I149" i="24"/>
  <c r="I151" i="24"/>
  <c r="I152" i="24"/>
  <c r="I153" i="24"/>
  <c r="I160" i="24"/>
  <c r="I161" i="24"/>
  <c r="I162" i="24"/>
  <c r="I163" i="24"/>
  <c r="I131" i="24"/>
  <c r="I164" i="24"/>
  <c r="I165" i="24"/>
  <c r="I167" i="24"/>
  <c r="I168" i="24"/>
  <c r="I169" i="24"/>
  <c r="I175" i="24"/>
  <c r="I176" i="24"/>
  <c r="I177" i="24"/>
  <c r="I178" i="24"/>
  <c r="I179" i="24"/>
  <c r="I180" i="24"/>
  <c r="I181" i="24"/>
  <c r="I183" i="24"/>
  <c r="I184" i="24"/>
  <c r="I185" i="24"/>
  <c r="I191" i="24"/>
  <c r="I192" i="24"/>
  <c r="I193" i="24"/>
  <c r="I194" i="24"/>
  <c r="I195" i="24"/>
  <c r="I196" i="24"/>
  <c r="I197" i="24"/>
  <c r="I199" i="24"/>
  <c r="I200" i="24"/>
  <c r="I202" i="24"/>
  <c r="I208" i="24"/>
  <c r="I209" i="24"/>
  <c r="I210" i="24"/>
  <c r="I211" i="24"/>
  <c r="I212" i="24"/>
  <c r="I213" i="24"/>
  <c r="I214" i="24"/>
  <c r="I216" i="24"/>
  <c r="I217" i="24"/>
  <c r="I201" i="24"/>
  <c r="I223" i="24"/>
  <c r="I224" i="24"/>
  <c r="I225" i="24"/>
  <c r="I226" i="24"/>
  <c r="I227" i="24"/>
  <c r="I228" i="24"/>
  <c r="I229" i="24"/>
  <c r="I231" i="24"/>
  <c r="I232" i="24"/>
  <c r="I233" i="24"/>
  <c r="I241" i="24"/>
  <c r="I242" i="24"/>
  <c r="I243" i="24"/>
  <c r="I244" i="24"/>
  <c r="I245" i="24"/>
  <c r="I246" i="24"/>
  <c r="I247" i="24"/>
  <c r="I249" i="24"/>
  <c r="I250" i="24"/>
  <c r="I251" i="24"/>
  <c r="I257" i="24"/>
  <c r="I258" i="24"/>
  <c r="I259" i="24"/>
  <c r="I260" i="24"/>
  <c r="I261" i="24"/>
  <c r="I262" i="24"/>
  <c r="I263" i="24"/>
  <c r="I265" i="24"/>
  <c r="I266" i="24"/>
  <c r="I267" i="24"/>
  <c r="I273" i="24"/>
  <c r="I274" i="24"/>
  <c r="I275" i="24"/>
  <c r="I276" i="24"/>
  <c r="I277" i="24"/>
  <c r="I278" i="24"/>
  <c r="I279" i="24"/>
  <c r="I171" i="24"/>
  <c r="I52" i="24"/>
  <c r="I236" i="24"/>
  <c r="J5" i="23"/>
  <c r="J6" i="23"/>
  <c r="J7" i="23"/>
  <c r="J8" i="23"/>
  <c r="J9" i="23"/>
  <c r="J11" i="23"/>
  <c r="J12" i="23"/>
  <c r="J13" i="23"/>
  <c r="J10" i="23"/>
  <c r="J14" i="23"/>
  <c r="J15" i="23"/>
  <c r="J17" i="23"/>
  <c r="J18" i="23"/>
  <c r="J16" i="23"/>
  <c r="J19" i="23"/>
  <c r="J21" i="23"/>
  <c r="J22" i="23"/>
  <c r="J23" i="23"/>
  <c r="J20" i="23"/>
  <c r="J25" i="23"/>
  <c r="J27" i="23"/>
  <c r="J29" i="23"/>
  <c r="J30" i="23"/>
  <c r="J31" i="23"/>
  <c r="J26" i="23"/>
  <c r="J32" i="23"/>
  <c r="J33" i="23"/>
  <c r="J35" i="23"/>
  <c r="J34" i="23"/>
  <c r="J38" i="23"/>
  <c r="J39" i="23"/>
  <c r="J40" i="23"/>
  <c r="J41" i="23"/>
  <c r="J43" i="23"/>
  <c r="J44" i="23"/>
  <c r="J24" i="23"/>
  <c r="J36" i="23"/>
  <c r="J37" i="23"/>
  <c r="J28" i="23"/>
  <c r="J47" i="23"/>
  <c r="J48" i="23"/>
  <c r="J49" i="23"/>
  <c r="J50" i="23"/>
  <c r="J51" i="23"/>
  <c r="J52" i="23"/>
  <c r="J53" i="23"/>
  <c r="J54" i="23"/>
  <c r="J55" i="23"/>
  <c r="J56" i="23"/>
  <c r="J57" i="23"/>
  <c r="J42" i="23"/>
  <c r="J58" i="23"/>
  <c r="J59" i="23"/>
  <c r="J45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46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9" i="23"/>
  <c r="J90" i="23"/>
  <c r="J91" i="23"/>
  <c r="J92" i="23"/>
  <c r="J93" i="23"/>
  <c r="J94" i="23"/>
  <c r="J95" i="23"/>
  <c r="J96" i="23"/>
  <c r="J87" i="23"/>
  <c r="J88" i="23"/>
  <c r="J97" i="23"/>
  <c r="J98" i="23"/>
  <c r="J99" i="23"/>
  <c r="J100" i="23"/>
  <c r="J101" i="23"/>
  <c r="J102" i="23"/>
  <c r="J103" i="23"/>
  <c r="J104" i="23"/>
  <c r="J105" i="23"/>
  <c r="J107" i="23"/>
  <c r="J108" i="23"/>
  <c r="J106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27" i="23"/>
  <c r="J128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54" i="23"/>
  <c r="J155" i="23"/>
  <c r="J156" i="23"/>
  <c r="J5" i="22"/>
  <c r="J6" i="22"/>
  <c r="J7" i="22"/>
  <c r="J8" i="22"/>
  <c r="J9" i="22"/>
  <c r="J10" i="22"/>
  <c r="J13" i="22"/>
  <c r="J14" i="22"/>
  <c r="J11" i="22"/>
  <c r="J15" i="22"/>
  <c r="J16" i="22"/>
  <c r="J12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2" i="22"/>
  <c r="J34" i="22"/>
  <c r="J35" i="22"/>
  <c r="J36" i="22"/>
  <c r="J37" i="22"/>
  <c r="J39" i="22"/>
  <c r="J41" i="22"/>
  <c r="J33" i="22"/>
  <c r="J42" i="22"/>
  <c r="J31" i="22"/>
  <c r="J46" i="22"/>
  <c r="J44" i="22"/>
  <c r="J47" i="22"/>
  <c r="J48" i="22"/>
  <c r="J49" i="22"/>
  <c r="J50" i="22"/>
  <c r="J51" i="22"/>
  <c r="J38" i="22"/>
  <c r="J53" i="22"/>
  <c r="J54" i="22"/>
  <c r="J55" i="22"/>
  <c r="J40" i="22"/>
  <c r="J56" i="22"/>
  <c r="J57" i="22"/>
  <c r="J58" i="22"/>
  <c r="J59" i="22"/>
  <c r="J61" i="22"/>
  <c r="J45" i="22"/>
  <c r="J62" i="22"/>
  <c r="J63" i="22"/>
  <c r="J64" i="22"/>
  <c r="J65" i="22"/>
  <c r="J66" i="22"/>
  <c r="J67" i="22"/>
  <c r="J52" i="22"/>
  <c r="J68" i="22"/>
  <c r="J69" i="22"/>
  <c r="J70" i="22"/>
  <c r="J72" i="22"/>
  <c r="J74" i="22"/>
  <c r="J75" i="22"/>
  <c r="J43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9" i="22"/>
  <c r="J100" i="22"/>
  <c r="J101" i="22"/>
  <c r="J102" i="22"/>
  <c r="J97" i="22"/>
  <c r="J98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71" i="22"/>
  <c r="J135" i="22"/>
  <c r="J136" i="22"/>
  <c r="J137" i="22"/>
  <c r="J138" i="22"/>
  <c r="J139" i="22"/>
  <c r="J140" i="22"/>
  <c r="J141" i="22"/>
  <c r="J142" i="22"/>
  <c r="J143" i="22"/>
  <c r="J144" i="22"/>
  <c r="J145" i="22"/>
  <c r="J73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8" i="22"/>
  <c r="J169" i="22"/>
  <c r="J170" i="22"/>
  <c r="J171" i="22"/>
  <c r="J172" i="22"/>
  <c r="J173" i="22"/>
  <c r="J174" i="22"/>
  <c r="J175" i="22"/>
  <c r="J176" i="22"/>
  <c r="J177" i="22"/>
  <c r="J178" i="22"/>
  <c r="J179" i="22"/>
  <c r="J180" i="22"/>
  <c r="J167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181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241" i="22"/>
  <c r="J242" i="22"/>
  <c r="J243" i="22"/>
  <c r="J244" i="22"/>
  <c r="J245" i="22"/>
  <c r="J246" i="22"/>
  <c r="J247" i="22"/>
  <c r="J248" i="22"/>
  <c r="J249" i="22"/>
  <c r="J250" i="22"/>
  <c r="J251" i="22"/>
  <c r="J252" i="22"/>
  <c r="J253" i="22"/>
  <c r="J207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J303" i="22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J319" i="22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J335" i="22"/>
  <c r="J336" i="22"/>
  <c r="J337" i="22"/>
  <c r="J338" i="22"/>
  <c r="J339" i="22"/>
  <c r="J340" i="22"/>
  <c r="J341" i="22"/>
  <c r="J342" i="22"/>
  <c r="J343" i="22"/>
  <c r="J344" i="22"/>
  <c r="J345" i="22"/>
  <c r="J60" i="22"/>
  <c r="J254" i="22"/>
  <c r="J255" i="22"/>
  <c r="J5" i="29"/>
  <c r="J6" i="29"/>
  <c r="J8" i="29"/>
  <c r="J7" i="29"/>
  <c r="J9" i="29"/>
  <c r="J10" i="29"/>
  <c r="J11" i="29"/>
  <c r="J13" i="29"/>
  <c r="J12" i="29"/>
  <c r="J14" i="29"/>
  <c r="J17" i="29"/>
  <c r="J19" i="29"/>
  <c r="J15" i="29"/>
  <c r="J18" i="29"/>
  <c r="J16" i="29"/>
  <c r="J21" i="29"/>
  <c r="J23" i="29"/>
  <c r="J20" i="29"/>
  <c r="J22" i="29"/>
  <c r="J24" i="29"/>
  <c r="J25" i="29"/>
  <c r="J27" i="29"/>
  <c r="J26" i="29"/>
  <c r="J29" i="29"/>
  <c r="J30" i="29"/>
  <c r="J28" i="29"/>
  <c r="J32" i="29"/>
  <c r="J33" i="29"/>
  <c r="J34" i="29"/>
  <c r="J35" i="29"/>
  <c r="J36" i="29"/>
  <c r="J38" i="29"/>
  <c r="J31" i="29"/>
  <c r="J41" i="29"/>
  <c r="J42" i="29"/>
  <c r="J43" i="29"/>
  <c r="J44" i="29"/>
  <c r="J45" i="29"/>
  <c r="J37" i="29"/>
  <c r="J48" i="29"/>
  <c r="J46" i="29"/>
  <c r="J39" i="29"/>
  <c r="J49" i="29"/>
  <c r="J50" i="29"/>
  <c r="J51" i="29"/>
  <c r="J52" i="29"/>
  <c r="J53" i="29"/>
  <c r="J54" i="29"/>
  <c r="J55" i="29"/>
  <c r="J47" i="29"/>
  <c r="J56" i="29"/>
  <c r="J57" i="29"/>
  <c r="J58" i="29"/>
  <c r="J60" i="29"/>
  <c r="J61" i="29"/>
  <c r="J62" i="29"/>
  <c r="J63" i="29"/>
  <c r="J64" i="29"/>
  <c r="J66" i="29"/>
  <c r="J65" i="29"/>
  <c r="J67" i="29"/>
  <c r="J68" i="29"/>
  <c r="J69" i="29"/>
  <c r="J40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9" i="29"/>
  <c r="J101" i="29"/>
  <c r="J102" i="29"/>
  <c r="J103" i="29"/>
  <c r="J104" i="29"/>
  <c r="J105" i="29"/>
  <c r="J106" i="29"/>
  <c r="J100" i="29"/>
  <c r="J107" i="29"/>
  <c r="J108" i="29"/>
  <c r="J109" i="29"/>
  <c r="J98" i="29"/>
  <c r="J110" i="29"/>
  <c r="J111" i="29"/>
  <c r="J112" i="29"/>
  <c r="J113" i="29"/>
  <c r="J114" i="29"/>
  <c r="J115" i="29"/>
  <c r="J116" i="29"/>
  <c r="J117" i="29"/>
  <c r="J118" i="29"/>
  <c r="J119" i="29"/>
  <c r="J120" i="29"/>
  <c r="J125" i="29"/>
  <c r="J126" i="29"/>
  <c r="J127" i="29"/>
  <c r="J121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22" i="29"/>
  <c r="J145" i="29"/>
  <c r="J123" i="29"/>
  <c r="J124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46" i="29"/>
  <c r="J147" i="29"/>
  <c r="J59" i="29"/>
  <c r="J148" i="29"/>
  <c r="J149" i="29"/>
  <c r="J150" i="29"/>
  <c r="J5" i="20"/>
  <c r="J7" i="20"/>
  <c r="J6" i="20"/>
  <c r="J8" i="20"/>
  <c r="J10" i="20"/>
  <c r="J9" i="20"/>
  <c r="J12" i="20"/>
  <c r="J13" i="20"/>
  <c r="J11" i="20"/>
  <c r="J16" i="20"/>
  <c r="J14" i="20"/>
  <c r="J15" i="20"/>
  <c r="J17" i="20"/>
  <c r="J19" i="20"/>
  <c r="J22" i="20"/>
  <c r="J18" i="20"/>
  <c r="J23" i="20"/>
  <c r="J26" i="20"/>
  <c r="J20" i="20"/>
  <c r="J27" i="20"/>
  <c r="J21" i="20"/>
  <c r="J29" i="20"/>
  <c r="J30" i="20"/>
  <c r="J31" i="20"/>
  <c r="J32" i="20"/>
  <c r="J33" i="20"/>
  <c r="J34" i="20"/>
  <c r="J24" i="20"/>
  <c r="J25" i="20"/>
  <c r="J37" i="20"/>
  <c r="J28" i="20"/>
  <c r="J38" i="20"/>
  <c r="J40" i="20"/>
  <c r="J41" i="20"/>
  <c r="J42" i="20"/>
  <c r="J43" i="20"/>
  <c r="J44" i="20"/>
  <c r="J46" i="20"/>
  <c r="J47" i="20"/>
  <c r="J48" i="20"/>
  <c r="J35" i="20"/>
  <c r="J50" i="20"/>
  <c r="J51" i="20"/>
  <c r="J36" i="20"/>
  <c r="J45" i="20"/>
  <c r="J53" i="20"/>
  <c r="J54" i="20"/>
  <c r="J55" i="20"/>
  <c r="J56" i="20"/>
  <c r="J39" i="20"/>
  <c r="J57" i="20"/>
  <c r="J58" i="20"/>
  <c r="J59" i="20"/>
  <c r="J49" i="20"/>
  <c r="J62" i="20"/>
  <c r="J63" i="20"/>
  <c r="J64" i="20"/>
  <c r="J65" i="20"/>
  <c r="J66" i="20"/>
  <c r="J68" i="20"/>
  <c r="J52" i="20"/>
  <c r="J71" i="20"/>
  <c r="J72" i="20"/>
  <c r="J73" i="20"/>
  <c r="J74" i="20"/>
  <c r="J76" i="20"/>
  <c r="J60" i="20"/>
  <c r="J61" i="20"/>
  <c r="J78" i="20"/>
  <c r="J79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69" i="20"/>
  <c r="J70" i="20"/>
  <c r="J100" i="20"/>
  <c r="J101" i="20"/>
  <c r="J67" i="20"/>
  <c r="J95" i="20"/>
  <c r="J103" i="20"/>
  <c r="J104" i="20"/>
  <c r="J105" i="20"/>
  <c r="J106" i="20"/>
  <c r="J75" i="20"/>
  <c r="J107" i="20"/>
  <c r="J108" i="20"/>
  <c r="J109" i="20"/>
  <c r="J77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4" i="20"/>
  <c r="J135" i="20"/>
  <c r="J136" i="20"/>
  <c r="J137" i="20"/>
  <c r="J138" i="20"/>
  <c r="J139" i="20"/>
  <c r="J133" i="20"/>
  <c r="J140" i="20"/>
  <c r="J141" i="20"/>
  <c r="J142" i="20"/>
  <c r="J144" i="20"/>
  <c r="J145" i="20"/>
  <c r="J146" i="20"/>
  <c r="J147" i="20"/>
  <c r="J148" i="20"/>
  <c r="J150" i="20"/>
  <c r="J151" i="20"/>
  <c r="J152" i="20"/>
  <c r="J153" i="20"/>
  <c r="J154" i="20"/>
  <c r="J143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49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200" i="20"/>
  <c r="J201" i="20"/>
  <c r="J202" i="20"/>
  <c r="J203" i="20"/>
  <c r="J204" i="20"/>
  <c r="J208" i="20"/>
  <c r="J209" i="20"/>
  <c r="J210" i="20"/>
  <c r="J211" i="20"/>
  <c r="J212" i="20"/>
  <c r="J213" i="20"/>
  <c r="J214" i="20"/>
  <c r="J199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05" i="20"/>
  <c r="J261" i="20"/>
  <c r="J206" i="20"/>
  <c r="J262" i="20"/>
  <c r="J263" i="20"/>
  <c r="J207" i="20"/>
  <c r="J273" i="20"/>
  <c r="J274" i="20"/>
  <c r="J96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97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98" i="20"/>
  <c r="J321" i="20"/>
  <c r="J322" i="20"/>
  <c r="J323" i="20"/>
  <c r="J324" i="20"/>
  <c r="J325" i="20"/>
  <c r="J326" i="20"/>
  <c r="J327" i="20"/>
  <c r="J99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H208" i="30"/>
  <c r="H169" i="30"/>
  <c r="H273" i="30"/>
  <c r="H272" i="30"/>
  <c r="H271" i="30"/>
  <c r="H270" i="30"/>
  <c r="H269" i="30"/>
  <c r="H268" i="30"/>
  <c r="H267" i="30"/>
  <c r="H266" i="30"/>
  <c r="H265" i="30"/>
  <c r="H264" i="30"/>
  <c r="H263" i="30"/>
  <c r="H262" i="30"/>
  <c r="H261" i="30"/>
  <c r="H260" i="30"/>
  <c r="H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5" i="30"/>
  <c r="H244" i="30"/>
  <c r="H243" i="30"/>
  <c r="H242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H226" i="30"/>
  <c r="H225" i="30"/>
  <c r="H224" i="30"/>
  <c r="H223" i="30"/>
  <c r="H222" i="30"/>
  <c r="H221" i="30"/>
  <c r="H220" i="30"/>
  <c r="H219" i="30"/>
  <c r="H218" i="30"/>
  <c r="H217" i="30"/>
  <c r="H216" i="30"/>
  <c r="H215" i="30"/>
  <c r="H214" i="30"/>
  <c r="H213" i="30"/>
  <c r="H212" i="30"/>
  <c r="H211" i="30"/>
  <c r="H210" i="30"/>
  <c r="H209" i="30"/>
  <c r="H168" i="30"/>
  <c r="H167" i="30"/>
  <c r="H166" i="30"/>
  <c r="H165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5" i="30"/>
  <c r="H184" i="30"/>
  <c r="H183" i="30"/>
  <c r="H162" i="30"/>
  <c r="H101" i="30"/>
  <c r="H182" i="30"/>
  <c r="H181" i="30"/>
  <c r="H180" i="30"/>
  <c r="H179" i="30"/>
  <c r="H178" i="30"/>
  <c r="H177" i="30"/>
  <c r="H176" i="30"/>
  <c r="H175" i="30"/>
  <c r="H174" i="30"/>
  <c r="H173" i="30"/>
  <c r="H172" i="30"/>
  <c r="H171" i="30"/>
  <c r="H170" i="30"/>
  <c r="H149" i="30"/>
  <c r="H136" i="30"/>
  <c r="H135" i="30"/>
  <c r="H164" i="30"/>
  <c r="H163" i="30"/>
  <c r="H97" i="30"/>
  <c r="H90" i="30"/>
  <c r="H131" i="30"/>
  <c r="H161" i="30"/>
  <c r="H160" i="30"/>
  <c r="H159" i="30"/>
  <c r="H158" i="30"/>
  <c r="H157" i="30"/>
  <c r="H156" i="30"/>
  <c r="H155" i="30"/>
  <c r="H154" i="30"/>
  <c r="H153" i="30"/>
  <c r="H152" i="30"/>
  <c r="H151" i="30"/>
  <c r="H150" i="30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4" i="30"/>
  <c r="H133" i="30"/>
  <c r="H132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H116" i="30"/>
  <c r="H115" i="30"/>
  <c r="H114" i="30"/>
  <c r="H113" i="30"/>
  <c r="H112" i="30"/>
  <c r="H109" i="30"/>
  <c r="H111" i="30"/>
  <c r="H105" i="30"/>
  <c r="H110" i="30"/>
  <c r="H108" i="30"/>
  <c r="H107" i="30"/>
  <c r="H106" i="30"/>
  <c r="H104" i="30"/>
  <c r="H103" i="30"/>
  <c r="H102" i="30"/>
  <c r="H100" i="30"/>
  <c r="H89" i="30"/>
  <c r="H99" i="30"/>
  <c r="H98" i="30"/>
  <c r="H57" i="30"/>
  <c r="H96" i="30"/>
  <c r="H95" i="30"/>
  <c r="H94" i="30"/>
  <c r="H93" i="30"/>
  <c r="H92" i="30"/>
  <c r="H91" i="30"/>
  <c r="H86" i="30"/>
  <c r="H56" i="30"/>
  <c r="H88" i="30"/>
  <c r="H87" i="30"/>
  <c r="H85" i="30"/>
  <c r="H84" i="30"/>
  <c r="H83" i="30"/>
  <c r="H54" i="30"/>
  <c r="H59" i="30"/>
  <c r="H82" i="30"/>
  <c r="H81" i="30"/>
  <c r="H80" i="30"/>
  <c r="H79" i="30"/>
  <c r="H44" i="30"/>
  <c r="H78" i="30"/>
  <c r="H77" i="30"/>
  <c r="H76" i="30"/>
  <c r="H75" i="30"/>
  <c r="H74" i="30"/>
  <c r="H72" i="30"/>
  <c r="H73" i="30"/>
  <c r="H71" i="30"/>
  <c r="H70" i="30"/>
  <c r="H67" i="30"/>
  <c r="H69" i="30"/>
  <c r="H68" i="30"/>
  <c r="H66" i="30"/>
  <c r="H65" i="30"/>
  <c r="H64" i="30"/>
  <c r="H63" i="30"/>
  <c r="H62" i="30"/>
  <c r="H61" i="30"/>
  <c r="H60" i="30"/>
  <c r="H58" i="30"/>
  <c r="H55" i="30"/>
  <c r="H53" i="30"/>
  <c r="H52" i="30"/>
  <c r="H51" i="30"/>
  <c r="H50" i="30"/>
  <c r="H35" i="30"/>
  <c r="H49" i="30"/>
  <c r="H48" i="30"/>
  <c r="H39" i="30"/>
  <c r="H47" i="30"/>
  <c r="H46" i="30"/>
  <c r="H45" i="30"/>
  <c r="H43" i="30"/>
  <c r="H42" i="30"/>
  <c r="H41" i="30"/>
  <c r="H40" i="30"/>
  <c r="H38" i="30"/>
  <c r="H37" i="30"/>
  <c r="H36" i="30"/>
  <c r="H31" i="30"/>
  <c r="H34" i="30"/>
  <c r="H33" i="30"/>
  <c r="H32" i="30"/>
  <c r="H28" i="30"/>
  <c r="H20" i="30"/>
  <c r="H30" i="30"/>
  <c r="H22" i="30"/>
  <c r="H29" i="30"/>
  <c r="H21" i="30"/>
  <c r="H27" i="30"/>
  <c r="H24" i="30"/>
  <c r="H23" i="30"/>
  <c r="H26" i="30"/>
  <c r="H25" i="30"/>
  <c r="H19" i="30"/>
  <c r="H18" i="30"/>
  <c r="H17" i="30"/>
  <c r="H15" i="30"/>
  <c r="H16" i="30"/>
  <c r="H14" i="30"/>
  <c r="H13" i="30"/>
  <c r="H12" i="30"/>
  <c r="H7" i="30"/>
  <c r="H11" i="30"/>
  <c r="H10" i="30"/>
  <c r="H8" i="30"/>
  <c r="H9" i="30"/>
  <c r="H6" i="30"/>
  <c r="H5" i="30"/>
  <c r="I5" i="16"/>
  <c r="I6" i="16"/>
  <c r="I8" i="16"/>
  <c r="I10" i="16"/>
  <c r="I9" i="16"/>
  <c r="I12" i="16"/>
  <c r="I13" i="16"/>
  <c r="I11" i="16"/>
  <c r="I14" i="16"/>
  <c r="I17" i="16"/>
  <c r="I15" i="16"/>
  <c r="I19" i="16"/>
  <c r="I22" i="16"/>
  <c r="I16" i="16"/>
  <c r="I20" i="16"/>
  <c r="I21" i="16"/>
  <c r="I18" i="16"/>
  <c r="I23" i="16"/>
  <c r="I24" i="16"/>
  <c r="I26" i="16"/>
  <c r="I27" i="16"/>
  <c r="I28" i="16"/>
  <c r="I25" i="16"/>
  <c r="I29" i="16"/>
  <c r="I31" i="16"/>
  <c r="I33" i="16"/>
  <c r="I30" i="16"/>
  <c r="I34" i="16"/>
  <c r="I32" i="16"/>
  <c r="I36" i="16"/>
  <c r="I35" i="16"/>
  <c r="I37" i="16"/>
  <c r="I38" i="16"/>
  <c r="I39" i="16"/>
  <c r="I40" i="16"/>
  <c r="I42" i="16"/>
  <c r="I44" i="16"/>
  <c r="I47" i="16"/>
  <c r="I48" i="16"/>
  <c r="I49" i="16"/>
  <c r="I50" i="16"/>
  <c r="I41" i="16"/>
  <c r="I51" i="16"/>
  <c r="I53" i="16"/>
  <c r="I54" i="16"/>
  <c r="I46" i="16"/>
  <c r="I56" i="16"/>
  <c r="I58" i="16"/>
  <c r="I59" i="16"/>
  <c r="I61" i="16"/>
  <c r="I62" i="16"/>
  <c r="I63" i="16"/>
  <c r="I64" i="16"/>
  <c r="I66" i="16"/>
  <c r="I67" i="16"/>
  <c r="I68" i="16"/>
  <c r="I69" i="16"/>
  <c r="I45" i="16"/>
  <c r="I70" i="16"/>
  <c r="I71" i="16"/>
  <c r="I72" i="16"/>
  <c r="I76" i="16"/>
  <c r="I52" i="16"/>
  <c r="I77" i="16"/>
  <c r="I78" i="16"/>
  <c r="I79" i="16"/>
  <c r="I80" i="16"/>
  <c r="I82" i="16"/>
  <c r="I55" i="16"/>
  <c r="I83" i="16"/>
  <c r="I57" i="16"/>
  <c r="I84" i="16"/>
  <c r="I85" i="16"/>
  <c r="I81" i="16"/>
  <c r="I86" i="16"/>
  <c r="I87" i="16"/>
  <c r="I89" i="16"/>
  <c r="I90" i="16"/>
  <c r="I65" i="16"/>
  <c r="I91" i="16"/>
  <c r="I92" i="16"/>
  <c r="I88" i="16"/>
  <c r="I94" i="16"/>
  <c r="I95" i="16"/>
  <c r="I96" i="16"/>
  <c r="I73" i="16"/>
  <c r="I98" i="16"/>
  <c r="I99" i="16"/>
  <c r="I101" i="16"/>
  <c r="I60" i="16"/>
  <c r="I102" i="16"/>
  <c r="I97" i="16"/>
  <c r="I104" i="16"/>
  <c r="I107" i="16"/>
  <c r="I74" i="16"/>
  <c r="I109" i="16"/>
  <c r="I103" i="16"/>
  <c r="I111" i="16"/>
  <c r="I112" i="16"/>
  <c r="I105" i="16"/>
  <c r="I113" i="16"/>
  <c r="I114" i="16"/>
  <c r="I108" i="16"/>
  <c r="I116" i="16"/>
  <c r="I117" i="16"/>
  <c r="I118" i="16"/>
  <c r="I119" i="16"/>
  <c r="I121" i="16"/>
  <c r="I75" i="16"/>
  <c r="I122" i="16"/>
  <c r="I123" i="16"/>
  <c r="I124" i="16"/>
  <c r="I43" i="16"/>
  <c r="I115" i="16"/>
  <c r="I125" i="16"/>
  <c r="I126" i="16"/>
  <c r="I128" i="16"/>
  <c r="I129" i="16"/>
  <c r="I130" i="16"/>
  <c r="I93" i="16"/>
  <c r="I131" i="16"/>
  <c r="I132" i="16"/>
  <c r="I127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7" i="16"/>
  <c r="I148" i="16"/>
  <c r="I150" i="16"/>
  <c r="I151" i="16"/>
  <c r="I152" i="16"/>
  <c r="I153" i="16"/>
  <c r="I146" i="16"/>
  <c r="I154" i="16"/>
  <c r="I155" i="16"/>
  <c r="I156" i="16"/>
  <c r="I157" i="16"/>
  <c r="I158" i="16"/>
  <c r="I159" i="16"/>
  <c r="I106" i="16"/>
  <c r="I160" i="16"/>
  <c r="I163" i="16"/>
  <c r="I164" i="16"/>
  <c r="I165" i="16"/>
  <c r="I166" i="16"/>
  <c r="I167" i="16"/>
  <c r="I110" i="16"/>
  <c r="I149" i="16"/>
  <c r="I168" i="16"/>
  <c r="I169" i="16"/>
  <c r="I170" i="16"/>
  <c r="I172" i="16"/>
  <c r="I173" i="16"/>
  <c r="I174" i="16"/>
  <c r="I176" i="16"/>
  <c r="I177" i="16"/>
  <c r="I178" i="16"/>
  <c r="I180" i="16"/>
  <c r="I181" i="16"/>
  <c r="I182" i="16"/>
  <c r="I183" i="16"/>
  <c r="I184" i="16"/>
  <c r="I185" i="16"/>
  <c r="I161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162" i="16"/>
  <c r="I200" i="16"/>
  <c r="I201" i="16"/>
  <c r="I205" i="16"/>
  <c r="I206" i="16"/>
  <c r="I207" i="16"/>
  <c r="I208" i="16"/>
  <c r="I209" i="16"/>
  <c r="I211" i="16"/>
  <c r="I212" i="16"/>
  <c r="I213" i="16"/>
  <c r="I214" i="16"/>
  <c r="I215" i="16"/>
  <c r="I216" i="16"/>
  <c r="I218" i="16"/>
  <c r="I219" i="16"/>
  <c r="I220" i="16"/>
  <c r="I221" i="16"/>
  <c r="I120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40" i="16"/>
  <c r="I241" i="16"/>
  <c r="I175" i="16"/>
  <c r="I202" i="16"/>
  <c r="I100" i="16"/>
  <c r="I242" i="16"/>
  <c r="I243" i="16"/>
  <c r="I179" i="16"/>
  <c r="I244" i="16"/>
  <c r="I245" i="16"/>
  <c r="I248" i="16"/>
  <c r="I249" i="16"/>
  <c r="I250" i="16"/>
  <c r="I251" i="16"/>
  <c r="I252" i="16"/>
  <c r="I253" i="16"/>
  <c r="I210" i="16"/>
  <c r="I254" i="16"/>
  <c r="I255" i="16"/>
  <c r="I257" i="16"/>
  <c r="I258" i="16"/>
  <c r="I259" i="16"/>
  <c r="I260" i="16"/>
  <c r="I261" i="16"/>
  <c r="I217" i="16"/>
  <c r="I262" i="16"/>
  <c r="I266" i="16"/>
  <c r="I267" i="16"/>
  <c r="I268" i="16"/>
  <c r="I269" i="16"/>
  <c r="I270" i="16"/>
  <c r="I271" i="16"/>
  <c r="I272" i="16"/>
  <c r="I238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03" i="16"/>
  <c r="I290" i="16"/>
  <c r="I291" i="16"/>
  <c r="I292" i="16"/>
  <c r="I293" i="16"/>
  <c r="I294" i="16"/>
  <c r="I295" i="16"/>
  <c r="I296" i="16"/>
  <c r="I297" i="16"/>
  <c r="I204" i="16"/>
  <c r="I298" i="16"/>
  <c r="I299" i="16"/>
  <c r="I300" i="16"/>
  <c r="I301" i="16"/>
  <c r="I302" i="16"/>
  <c r="I303" i="16"/>
  <c r="I304" i="16"/>
  <c r="I305" i="16"/>
  <c r="I246" i="16"/>
  <c r="I306" i="16"/>
  <c r="I307" i="16"/>
  <c r="I308" i="16"/>
  <c r="I309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263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239" i="16"/>
  <c r="I346" i="16"/>
  <c r="I273" i="16"/>
  <c r="I347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247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5" i="16"/>
  <c r="I256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264" i="16"/>
  <c r="I425" i="16"/>
  <c r="I426" i="16"/>
  <c r="I427" i="16"/>
  <c r="I428" i="16"/>
  <c r="I429" i="16"/>
  <c r="I430" i="16"/>
  <c r="I431" i="16"/>
  <c r="I432" i="16"/>
  <c r="I265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348" i="16"/>
  <c r="I349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31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404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404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310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349" i="16"/>
  <c r="H348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265" i="16"/>
  <c r="H432" i="16"/>
  <c r="H431" i="16"/>
  <c r="H430" i="16"/>
  <c r="H429" i="16"/>
  <c r="H428" i="16"/>
  <c r="H427" i="16"/>
  <c r="H426" i="16"/>
  <c r="H425" i="16"/>
  <c r="H264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256" i="16"/>
  <c r="H405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247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7" i="16"/>
  <c r="H273" i="16"/>
  <c r="H346" i="16"/>
  <c r="H239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263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09" i="16"/>
  <c r="H308" i="16"/>
  <c r="H307" i="16"/>
  <c r="H306" i="16"/>
  <c r="H246" i="16"/>
  <c r="H305" i="16"/>
  <c r="H304" i="16"/>
  <c r="H303" i="16"/>
  <c r="H302" i="16"/>
  <c r="H301" i="16"/>
  <c r="H300" i="16"/>
  <c r="H299" i="16"/>
  <c r="H298" i="16"/>
  <c r="H204" i="16"/>
  <c r="H297" i="16"/>
  <c r="H296" i="16"/>
  <c r="H295" i="16"/>
  <c r="H294" i="16"/>
  <c r="H293" i="16"/>
  <c r="H292" i="16"/>
  <c r="H291" i="16"/>
  <c r="H290" i="16"/>
  <c r="H203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38" i="16"/>
  <c r="H272" i="16"/>
  <c r="H271" i="16"/>
  <c r="H270" i="16"/>
  <c r="H269" i="16"/>
  <c r="H268" i="16"/>
  <c r="H267" i="16"/>
  <c r="H266" i="16"/>
  <c r="H262" i="16"/>
  <c r="H217" i="16"/>
  <c r="H261" i="16"/>
  <c r="H260" i="16"/>
  <c r="H259" i="16"/>
  <c r="H258" i="16"/>
  <c r="H257" i="16"/>
  <c r="H255" i="16"/>
  <c r="H254" i="16"/>
  <c r="H210" i="16"/>
  <c r="H253" i="16"/>
  <c r="H252" i="16"/>
  <c r="H251" i="16"/>
  <c r="H250" i="16"/>
  <c r="H249" i="16"/>
  <c r="H248" i="16"/>
  <c r="H245" i="16"/>
  <c r="H244" i="16"/>
  <c r="H179" i="16"/>
  <c r="H243" i="16"/>
  <c r="H242" i="16"/>
  <c r="H100" i="16"/>
  <c r="H202" i="16"/>
  <c r="H175" i="16"/>
  <c r="H241" i="16"/>
  <c r="H240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120" i="16"/>
  <c r="H221" i="16"/>
  <c r="H220" i="16"/>
  <c r="H219" i="16"/>
  <c r="H218" i="16"/>
  <c r="H216" i="16"/>
  <c r="H215" i="16"/>
  <c r="H214" i="16"/>
  <c r="H213" i="16"/>
  <c r="H212" i="16"/>
  <c r="H211" i="16"/>
  <c r="H209" i="16"/>
  <c r="H208" i="16"/>
  <c r="H207" i="16"/>
  <c r="H206" i="16"/>
  <c r="H205" i="16"/>
  <c r="H201" i="16"/>
  <c r="H200" i="16"/>
  <c r="H162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61" i="16"/>
  <c r="H185" i="16"/>
  <c r="H184" i="16"/>
  <c r="H183" i="16"/>
  <c r="H182" i="16"/>
  <c r="H181" i="16"/>
  <c r="H180" i="16"/>
  <c r="H178" i="16"/>
  <c r="H177" i="16"/>
  <c r="H176" i="16"/>
  <c r="H174" i="16"/>
  <c r="H173" i="16"/>
  <c r="H172" i="16"/>
  <c r="H170" i="16"/>
  <c r="H169" i="16"/>
  <c r="H168" i="16"/>
  <c r="H149" i="16"/>
  <c r="H110" i="16"/>
  <c r="H167" i="16"/>
  <c r="H166" i="16"/>
  <c r="H165" i="16"/>
  <c r="H164" i="16"/>
  <c r="H163" i="16"/>
  <c r="H160" i="16"/>
  <c r="H106" i="16"/>
  <c r="H159" i="16"/>
  <c r="H158" i="16"/>
  <c r="H157" i="16"/>
  <c r="H156" i="16"/>
  <c r="H155" i="16"/>
  <c r="H154" i="16"/>
  <c r="H146" i="16"/>
  <c r="H153" i="16"/>
  <c r="H152" i="16"/>
  <c r="H151" i="16"/>
  <c r="H150" i="16"/>
  <c r="H148" i="16"/>
  <c r="H147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27" i="16"/>
  <c r="H132" i="16"/>
  <c r="H131" i="16"/>
  <c r="H93" i="16"/>
  <c r="H130" i="16"/>
  <c r="H129" i="16"/>
  <c r="H128" i="16"/>
  <c r="H126" i="16"/>
  <c r="H125" i="16"/>
  <c r="H115" i="16"/>
  <c r="H43" i="16"/>
  <c r="H124" i="16"/>
  <c r="H123" i="16"/>
  <c r="H122" i="16"/>
  <c r="H75" i="16"/>
  <c r="H121" i="16"/>
  <c r="H119" i="16"/>
  <c r="H118" i="16"/>
  <c r="H117" i="16"/>
  <c r="H116" i="16"/>
  <c r="H108" i="16"/>
  <c r="H114" i="16"/>
  <c r="H113" i="16"/>
  <c r="H105" i="16"/>
  <c r="H112" i="16"/>
  <c r="H111" i="16"/>
  <c r="H103" i="16"/>
  <c r="H109" i="16"/>
  <c r="H74" i="16"/>
  <c r="H107" i="16"/>
  <c r="H104" i="16"/>
  <c r="H97" i="16"/>
  <c r="H102" i="16"/>
  <c r="H60" i="16"/>
  <c r="H101" i="16"/>
  <c r="H99" i="16"/>
  <c r="H98" i="16"/>
  <c r="H73" i="16"/>
  <c r="H96" i="16"/>
  <c r="H95" i="16"/>
  <c r="H94" i="16"/>
  <c r="H88" i="16"/>
  <c r="H92" i="16"/>
  <c r="H91" i="16"/>
  <c r="H65" i="16"/>
  <c r="H90" i="16"/>
  <c r="H89" i="16"/>
  <c r="H87" i="16"/>
  <c r="H86" i="16"/>
  <c r="H81" i="16"/>
  <c r="H85" i="16"/>
  <c r="H84" i="16"/>
  <c r="H57" i="16"/>
  <c r="H83" i="16"/>
  <c r="H55" i="16"/>
  <c r="H82" i="16"/>
  <c r="H80" i="16"/>
  <c r="H79" i="16"/>
  <c r="H78" i="16"/>
  <c r="H77" i="16"/>
  <c r="H52" i="16"/>
  <c r="H76" i="16"/>
  <c r="H72" i="16"/>
  <c r="H71" i="16"/>
  <c r="H70" i="16"/>
  <c r="H45" i="16"/>
  <c r="H69" i="16"/>
  <c r="H68" i="16"/>
  <c r="H67" i="16"/>
  <c r="H66" i="16"/>
  <c r="H64" i="16"/>
  <c r="H63" i="16"/>
  <c r="H62" i="16"/>
  <c r="H61" i="16"/>
  <c r="H59" i="16"/>
  <c r="H58" i="16"/>
  <c r="H56" i="16"/>
  <c r="H46" i="16"/>
  <c r="H54" i="16"/>
  <c r="H53" i="16"/>
  <c r="H51" i="16"/>
  <c r="H41" i="16"/>
  <c r="H50" i="16"/>
  <c r="H49" i="16"/>
  <c r="H48" i="16"/>
  <c r="H47" i="16"/>
  <c r="H44" i="16"/>
  <c r="H42" i="16"/>
  <c r="H40" i="16"/>
  <c r="H39" i="16"/>
  <c r="H38" i="16"/>
  <c r="H37" i="16"/>
  <c r="H35" i="16"/>
  <c r="H36" i="16"/>
  <c r="H32" i="16"/>
  <c r="H34" i="16"/>
  <c r="H30" i="16"/>
  <c r="H33" i="16"/>
  <c r="H31" i="16"/>
  <c r="H29" i="16"/>
  <c r="H25" i="16"/>
  <c r="H28" i="16"/>
  <c r="H27" i="16"/>
  <c r="H26" i="16"/>
  <c r="H24" i="16"/>
  <c r="H23" i="16"/>
  <c r="H18" i="16"/>
  <c r="H21" i="16"/>
  <c r="H20" i="16"/>
  <c r="H16" i="16"/>
  <c r="H22" i="16"/>
  <c r="H19" i="16"/>
  <c r="H15" i="16"/>
  <c r="H17" i="16"/>
  <c r="H14" i="16"/>
  <c r="H11" i="16"/>
  <c r="H13" i="16"/>
  <c r="H12" i="16"/>
  <c r="H9" i="16"/>
  <c r="H10" i="16"/>
  <c r="H7" i="16"/>
  <c r="H8" i="16"/>
  <c r="H6" i="16"/>
  <c r="H5" i="16"/>
  <c r="F208" i="30"/>
  <c r="E208" i="30"/>
  <c r="J208" i="30"/>
  <c r="E465" i="16"/>
  <c r="F465" i="16"/>
  <c r="J465" i="16"/>
  <c r="K465" i="16"/>
  <c r="L465" i="16"/>
  <c r="M465" i="16"/>
  <c r="E464" i="16"/>
  <c r="F464" i="16"/>
  <c r="J464" i="16"/>
  <c r="K464" i="16"/>
  <c r="L464" i="16"/>
  <c r="M464" i="16"/>
  <c r="E463" i="16"/>
  <c r="F463" i="16"/>
  <c r="J463" i="16"/>
  <c r="K463" i="16"/>
  <c r="L463" i="16"/>
  <c r="M463" i="16"/>
  <c r="E462" i="16"/>
  <c r="F462" i="16"/>
  <c r="J462" i="16"/>
  <c r="K462" i="16"/>
  <c r="L462" i="16"/>
  <c r="M462" i="16"/>
  <c r="E461" i="16"/>
  <c r="F461" i="16"/>
  <c r="J461" i="16"/>
  <c r="K461" i="16"/>
  <c r="L461" i="16"/>
  <c r="M461" i="16"/>
  <c r="E460" i="16"/>
  <c r="F460" i="16"/>
  <c r="J460" i="16"/>
  <c r="K460" i="16"/>
  <c r="L460" i="16"/>
  <c r="M460" i="16"/>
  <c r="E459" i="16"/>
  <c r="F459" i="16"/>
  <c r="J459" i="16"/>
  <c r="K459" i="16"/>
  <c r="L459" i="16"/>
  <c r="M459" i="16"/>
  <c r="E458" i="16"/>
  <c r="F458" i="16"/>
  <c r="J458" i="16"/>
  <c r="K458" i="16"/>
  <c r="L458" i="16"/>
  <c r="M458" i="16"/>
  <c r="E328" i="16"/>
  <c r="F328" i="16"/>
  <c r="J328" i="16"/>
  <c r="K328" i="16"/>
  <c r="L328" i="16"/>
  <c r="M328" i="16"/>
  <c r="E327" i="16"/>
  <c r="F327" i="16"/>
  <c r="J327" i="16"/>
  <c r="K327" i="16"/>
  <c r="L327" i="16"/>
  <c r="M327" i="16"/>
  <c r="E326" i="16"/>
  <c r="F326" i="16"/>
  <c r="J326" i="16"/>
  <c r="K326" i="16"/>
  <c r="L326" i="16"/>
  <c r="M326" i="16"/>
  <c r="E325" i="16"/>
  <c r="F325" i="16"/>
  <c r="J325" i="16"/>
  <c r="K325" i="16"/>
  <c r="L325" i="16"/>
  <c r="M325" i="16"/>
  <c r="E324" i="16"/>
  <c r="F324" i="16"/>
  <c r="J324" i="16"/>
  <c r="K324" i="16"/>
  <c r="L324" i="16"/>
  <c r="M324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452" i="16"/>
  <c r="K453" i="16"/>
  <c r="K454" i="16"/>
  <c r="K455" i="16"/>
  <c r="K456" i="16"/>
  <c r="K457" i="16"/>
  <c r="G272" i="20"/>
  <c r="F272" i="20"/>
  <c r="G271" i="20"/>
  <c r="F271" i="20"/>
  <c r="G270" i="20"/>
  <c r="F270" i="20"/>
  <c r="O272" i="20"/>
  <c r="J272" i="20" s="1"/>
  <c r="O271" i="20"/>
  <c r="J271" i="20" s="1"/>
  <c r="O270" i="20"/>
  <c r="K270" i="20" s="1"/>
  <c r="G80" i="20"/>
  <c r="F80" i="20"/>
  <c r="O80" i="20"/>
  <c r="K80" i="20" s="1"/>
  <c r="G269" i="20"/>
  <c r="G268" i="20"/>
  <c r="G267" i="20"/>
  <c r="G266" i="20"/>
  <c r="G265" i="20"/>
  <c r="G264" i="20"/>
  <c r="G102" i="20"/>
  <c r="F269" i="20"/>
  <c r="F268" i="20"/>
  <c r="F267" i="20"/>
  <c r="F266" i="20"/>
  <c r="F265" i="20"/>
  <c r="F264" i="20"/>
  <c r="F102" i="20"/>
  <c r="O269" i="20"/>
  <c r="K269" i="20" s="1"/>
  <c r="O268" i="20"/>
  <c r="K268" i="20" s="1"/>
  <c r="O267" i="20"/>
  <c r="K267" i="20" s="1"/>
  <c r="O266" i="20"/>
  <c r="J266" i="20" s="1"/>
  <c r="O265" i="20"/>
  <c r="J265" i="20" s="1"/>
  <c r="O264" i="20"/>
  <c r="J264" i="20" s="1"/>
  <c r="O102" i="20"/>
  <c r="K102" i="20" s="1"/>
  <c r="G148" i="29"/>
  <c r="G149" i="29"/>
  <c r="G150" i="29"/>
  <c r="F148" i="29"/>
  <c r="F149" i="29"/>
  <c r="F150" i="29"/>
  <c r="H150" i="29"/>
  <c r="L150" i="29"/>
  <c r="H149" i="29"/>
  <c r="L149" i="29"/>
  <c r="H148" i="29"/>
  <c r="G59" i="29"/>
  <c r="F59" i="29"/>
  <c r="H59" i="29"/>
  <c r="F237" i="24"/>
  <c r="G237" i="24"/>
  <c r="F236" i="24"/>
  <c r="G236" i="24"/>
  <c r="F52" i="24"/>
  <c r="G52" i="24"/>
  <c r="H328" i="16" l="1"/>
  <c r="H459" i="16"/>
  <c r="I465" i="16"/>
  <c r="I326" i="16"/>
  <c r="H458" i="16"/>
  <c r="H463" i="16"/>
  <c r="I458" i="16"/>
  <c r="J270" i="20"/>
  <c r="J80" i="20"/>
  <c r="J269" i="20"/>
  <c r="J268" i="20"/>
  <c r="K266" i="20"/>
  <c r="J267" i="20"/>
  <c r="K265" i="20"/>
  <c r="K264" i="20"/>
  <c r="I328" i="16"/>
  <c r="I327" i="16"/>
  <c r="H464" i="16"/>
  <c r="I325" i="16"/>
  <c r="H462" i="16"/>
  <c r="H460" i="16"/>
  <c r="H465" i="16"/>
  <c r="I324" i="16"/>
  <c r="I463" i="16"/>
  <c r="I459" i="16"/>
  <c r="H461" i="16"/>
  <c r="J102" i="20"/>
  <c r="K272" i="20"/>
  <c r="K271" i="20"/>
  <c r="H324" i="16"/>
  <c r="H325" i="16"/>
  <c r="I461" i="16"/>
  <c r="I464" i="16"/>
  <c r="I462" i="16"/>
  <c r="H326" i="16"/>
  <c r="I460" i="16"/>
  <c r="H327" i="16"/>
  <c r="L272" i="20"/>
  <c r="L271" i="20"/>
  <c r="L270" i="20"/>
  <c r="L80" i="20"/>
  <c r="L269" i="20"/>
  <c r="L268" i="20"/>
  <c r="L267" i="20"/>
  <c r="L266" i="20"/>
  <c r="L265" i="20"/>
  <c r="L264" i="20"/>
  <c r="L102" i="20"/>
  <c r="L148" i="29"/>
  <c r="L59" i="29"/>
  <c r="K237" i="24"/>
  <c r="K236" i="24"/>
  <c r="K52" i="24"/>
  <c r="I5" i="25" l="1"/>
  <c r="I6" i="25"/>
  <c r="I7" i="25"/>
  <c r="I10" i="25"/>
  <c r="I8" i="25"/>
  <c r="I9" i="25"/>
  <c r="I13" i="25"/>
  <c r="I14" i="25"/>
  <c r="I12" i="25"/>
  <c r="I11" i="25"/>
  <c r="I16" i="25"/>
  <c r="I17" i="25"/>
  <c r="I20" i="25"/>
  <c r="I19" i="25"/>
  <c r="I22" i="25"/>
  <c r="I23" i="25"/>
  <c r="I18" i="25"/>
  <c r="I21" i="25"/>
  <c r="I15" i="25"/>
  <c r="I25" i="25"/>
  <c r="I26" i="25"/>
  <c r="I27" i="25"/>
  <c r="I28" i="25"/>
  <c r="I29" i="25"/>
  <c r="I30" i="25"/>
  <c r="I31" i="25"/>
  <c r="I32" i="25"/>
  <c r="I24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45" i="25"/>
  <c r="I76" i="25"/>
  <c r="I77" i="25"/>
  <c r="I78" i="25"/>
  <c r="I80" i="25"/>
  <c r="I79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38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F171" i="24" l="1"/>
  <c r="G171" i="24"/>
  <c r="K171" i="24" l="1"/>
  <c r="B156" i="23"/>
  <c r="F156" i="23"/>
  <c r="G156" i="23"/>
  <c r="L156" i="23" l="1"/>
  <c r="B155" i="23" l="1"/>
  <c r="F155" i="23"/>
  <c r="G155" i="23"/>
  <c r="B154" i="23"/>
  <c r="F154" i="23"/>
  <c r="G154" i="23"/>
  <c r="F255" i="22"/>
  <c r="G255" i="22"/>
  <c r="H255" i="22"/>
  <c r="L255" i="22"/>
  <c r="G254" i="22"/>
  <c r="F254" i="22"/>
  <c r="H254" i="22"/>
  <c r="L254" i="22"/>
  <c r="G60" i="22"/>
  <c r="F60" i="22"/>
  <c r="H60" i="22"/>
  <c r="L60" i="22"/>
  <c r="L154" i="23" l="1"/>
  <c r="L155" i="23"/>
  <c r="G147" i="29" l="1"/>
  <c r="F147" i="29"/>
  <c r="H147" i="29"/>
  <c r="G146" i="29"/>
  <c r="F146" i="29"/>
  <c r="H146" i="29"/>
  <c r="L147" i="29" l="1"/>
  <c r="L146" i="29"/>
  <c r="F169" i="30" l="1"/>
  <c r="E169" i="30"/>
  <c r="J169" i="30"/>
  <c r="E457" i="16" l="1"/>
  <c r="F457" i="16"/>
  <c r="J457" i="16"/>
  <c r="L457" i="16"/>
  <c r="M457" i="16"/>
  <c r="E456" i="16"/>
  <c r="F456" i="16"/>
  <c r="J456" i="16"/>
  <c r="L456" i="16"/>
  <c r="M456" i="16"/>
  <c r="E455" i="16"/>
  <c r="F455" i="16"/>
  <c r="J455" i="16"/>
  <c r="L455" i="16"/>
  <c r="M455" i="16"/>
  <c r="E454" i="16"/>
  <c r="F454" i="16"/>
  <c r="J454" i="16"/>
  <c r="L454" i="16"/>
  <c r="M454" i="16"/>
  <c r="E453" i="16"/>
  <c r="F453" i="16"/>
  <c r="J453" i="16"/>
  <c r="L453" i="16"/>
  <c r="M453" i="16"/>
  <c r="E452" i="16"/>
  <c r="F452" i="16"/>
  <c r="J452" i="16"/>
  <c r="L452" i="16"/>
  <c r="M452" i="16"/>
  <c r="I453" i="16" l="1"/>
  <c r="H453" i="16"/>
  <c r="H456" i="16"/>
  <c r="I456" i="16"/>
  <c r="I452" i="16"/>
  <c r="H452" i="16"/>
  <c r="I454" i="16"/>
  <c r="H454" i="16"/>
  <c r="H457" i="16"/>
  <c r="I457" i="16"/>
  <c r="H455" i="16"/>
  <c r="I4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I871" i="16" l="1"/>
  <c r="H871" i="16"/>
  <c r="I934" i="16"/>
  <c r="H934" i="16"/>
  <c r="I790" i="16"/>
  <c r="H790" i="16"/>
  <c r="I805" i="16"/>
  <c r="H805" i="16"/>
  <c r="I964" i="16"/>
  <c r="H964" i="16"/>
  <c r="I932" i="16"/>
  <c r="H932" i="16"/>
  <c r="H900" i="16"/>
  <c r="I900" i="16"/>
  <c r="H868" i="16"/>
  <c r="I868" i="16"/>
  <c r="H836" i="16"/>
  <c r="I836" i="16"/>
  <c r="I804" i="16"/>
  <c r="H804" i="16"/>
  <c r="I756" i="16"/>
  <c r="H756" i="16"/>
  <c r="I995" i="16"/>
  <c r="H995" i="16"/>
  <c r="H963" i="16"/>
  <c r="I963" i="16"/>
  <c r="I947" i="16"/>
  <c r="H947" i="16"/>
  <c r="H931" i="16"/>
  <c r="I931" i="16"/>
  <c r="H915" i="16"/>
  <c r="I915" i="16"/>
  <c r="H899" i="16"/>
  <c r="I899" i="16"/>
  <c r="H883" i="16"/>
  <c r="I883" i="16"/>
  <c r="I867" i="16"/>
  <c r="H867" i="16"/>
  <c r="H851" i="16"/>
  <c r="I851" i="16"/>
  <c r="I835" i="16"/>
  <c r="H835" i="16"/>
  <c r="H819" i="16"/>
  <c r="I819" i="16"/>
  <c r="I803" i="16"/>
  <c r="H803" i="16"/>
  <c r="I787" i="16"/>
  <c r="H787" i="16"/>
  <c r="H771" i="16"/>
  <c r="I771" i="16"/>
  <c r="I919" i="16"/>
  <c r="H919" i="16"/>
  <c r="I887" i="16"/>
  <c r="H887" i="16"/>
  <c r="I918" i="16"/>
  <c r="H918" i="16"/>
  <c r="I758" i="16"/>
  <c r="H758" i="16"/>
  <c r="I901" i="16"/>
  <c r="H901" i="16"/>
  <c r="I996" i="16"/>
  <c r="H996" i="16"/>
  <c r="H948" i="16"/>
  <c r="I948" i="16"/>
  <c r="I916" i="16"/>
  <c r="H916" i="16"/>
  <c r="I884" i="16"/>
  <c r="H884" i="16"/>
  <c r="H852" i="16"/>
  <c r="I852" i="16"/>
  <c r="H820" i="16"/>
  <c r="I820" i="16"/>
  <c r="I788" i="16"/>
  <c r="H788" i="16"/>
  <c r="H772" i="16"/>
  <c r="I772" i="16"/>
  <c r="I1011" i="16"/>
  <c r="H1011" i="16"/>
  <c r="I979" i="16"/>
  <c r="H979" i="16"/>
  <c r="I1010" i="16"/>
  <c r="H1010" i="16"/>
  <c r="H994" i="16"/>
  <c r="I994" i="16"/>
  <c r="H978" i="16"/>
  <c r="I978" i="16"/>
  <c r="H962" i="16"/>
  <c r="I962" i="16"/>
  <c r="I946" i="16"/>
  <c r="H946" i="16"/>
  <c r="H930" i="16"/>
  <c r="I930" i="16"/>
  <c r="I914" i="16"/>
  <c r="H914" i="16"/>
  <c r="H898" i="16"/>
  <c r="I898" i="16"/>
  <c r="I882" i="16"/>
  <c r="H882" i="16"/>
  <c r="H866" i="16"/>
  <c r="I866" i="16"/>
  <c r="I850" i="16"/>
  <c r="H850" i="16"/>
  <c r="H834" i="16"/>
  <c r="I834" i="16"/>
  <c r="H818" i="16"/>
  <c r="I818" i="16"/>
  <c r="H802" i="16"/>
  <c r="I802" i="16"/>
  <c r="H786" i="16"/>
  <c r="I786" i="16"/>
  <c r="I770" i="16"/>
  <c r="H770" i="16"/>
  <c r="I951" i="16"/>
  <c r="H951" i="16"/>
  <c r="H855" i="16"/>
  <c r="I855" i="16"/>
  <c r="I870" i="16"/>
  <c r="H870" i="16"/>
  <c r="I981" i="16"/>
  <c r="H981" i="16"/>
  <c r="I837" i="16"/>
  <c r="H837" i="16"/>
  <c r="H929" i="16"/>
  <c r="I929" i="16"/>
  <c r="I897" i="16"/>
  <c r="H897" i="16"/>
  <c r="I881" i="16"/>
  <c r="H881" i="16"/>
  <c r="I865" i="16"/>
  <c r="H865" i="16"/>
  <c r="H849" i="16"/>
  <c r="I849" i="16"/>
  <c r="H833" i="16"/>
  <c r="I833" i="16"/>
  <c r="H817" i="16"/>
  <c r="I817" i="16"/>
  <c r="I801" i="16"/>
  <c r="H801" i="16"/>
  <c r="I785" i="16"/>
  <c r="H785" i="16"/>
  <c r="I769" i="16"/>
  <c r="H769" i="16"/>
  <c r="I983" i="16"/>
  <c r="H983" i="16"/>
  <c r="H775" i="16"/>
  <c r="I775" i="16"/>
  <c r="I854" i="16"/>
  <c r="H854" i="16"/>
  <c r="I933" i="16"/>
  <c r="H933" i="16"/>
  <c r="I885" i="16"/>
  <c r="H885" i="16"/>
  <c r="I1012" i="16"/>
  <c r="H1012" i="16"/>
  <c r="I992" i="16"/>
  <c r="H992" i="16"/>
  <c r="I864" i="16"/>
  <c r="H864" i="16"/>
  <c r="I800" i="16"/>
  <c r="H800" i="16"/>
  <c r="I784" i="16"/>
  <c r="H784" i="16"/>
  <c r="I768" i="16"/>
  <c r="H768" i="16"/>
  <c r="H967" i="16"/>
  <c r="I967" i="16"/>
  <c r="I759" i="16"/>
  <c r="H759" i="16"/>
  <c r="I982" i="16"/>
  <c r="H982" i="16"/>
  <c r="I965" i="16"/>
  <c r="H965" i="16"/>
  <c r="I757" i="16"/>
  <c r="H757" i="16"/>
  <c r="H1009" i="16"/>
  <c r="I1009" i="16"/>
  <c r="I1008" i="16"/>
  <c r="H1008" i="16"/>
  <c r="I816" i="16"/>
  <c r="H816" i="16"/>
  <c r="I943" i="16"/>
  <c r="H943" i="16"/>
  <c r="I847" i="16"/>
  <c r="H847" i="16"/>
  <c r="I942" i="16"/>
  <c r="H942" i="16"/>
  <c r="I846" i="16"/>
  <c r="H846" i="16"/>
  <c r="I830" i="16"/>
  <c r="H830" i="16"/>
  <c r="I1005" i="16"/>
  <c r="H1005" i="16"/>
  <c r="I989" i="16"/>
  <c r="H989" i="16"/>
  <c r="I973" i="16"/>
  <c r="H973" i="16"/>
  <c r="H957" i="16"/>
  <c r="I957" i="16"/>
  <c r="H941" i="16"/>
  <c r="I941" i="16"/>
  <c r="I925" i="16"/>
  <c r="H925" i="16"/>
  <c r="H909" i="16"/>
  <c r="I909" i="16"/>
  <c r="H893" i="16"/>
  <c r="I893" i="16"/>
  <c r="H877" i="16"/>
  <c r="I877" i="16"/>
  <c r="H861" i="16"/>
  <c r="I861" i="16"/>
  <c r="H845" i="16"/>
  <c r="I845" i="16"/>
  <c r="I829" i="16"/>
  <c r="H829" i="16"/>
  <c r="H813" i="16"/>
  <c r="I813" i="16"/>
  <c r="I797" i="16"/>
  <c r="H797" i="16"/>
  <c r="H781" i="16"/>
  <c r="I781" i="16"/>
  <c r="I765" i="16"/>
  <c r="H765" i="16"/>
  <c r="I823" i="16"/>
  <c r="H823" i="16"/>
  <c r="I902" i="16"/>
  <c r="H902" i="16"/>
  <c r="I806" i="16"/>
  <c r="H806" i="16"/>
  <c r="I789" i="16"/>
  <c r="H789" i="16"/>
  <c r="H961" i="16"/>
  <c r="I961" i="16"/>
  <c r="I944" i="16"/>
  <c r="H944" i="16"/>
  <c r="I880" i="16"/>
  <c r="H880" i="16"/>
  <c r="I975" i="16"/>
  <c r="H975" i="16"/>
  <c r="I863" i="16"/>
  <c r="H863" i="16"/>
  <c r="H799" i="16"/>
  <c r="I799" i="16"/>
  <c r="I974" i="16"/>
  <c r="H974" i="16"/>
  <c r="I894" i="16"/>
  <c r="H894" i="16"/>
  <c r="I766" i="16"/>
  <c r="H766" i="16"/>
  <c r="H1004" i="16"/>
  <c r="I1004" i="16"/>
  <c r="H988" i="16"/>
  <c r="I988" i="16"/>
  <c r="H972" i="16"/>
  <c r="I972" i="16"/>
  <c r="H956" i="16"/>
  <c r="I956" i="16"/>
  <c r="I940" i="16"/>
  <c r="H940" i="16"/>
  <c r="I924" i="16"/>
  <c r="H924" i="16"/>
  <c r="I908" i="16"/>
  <c r="H908" i="16"/>
  <c r="I892" i="16"/>
  <c r="H892" i="16"/>
  <c r="I876" i="16"/>
  <c r="H876" i="16"/>
  <c r="I860" i="16"/>
  <c r="H860" i="16"/>
  <c r="H844" i="16"/>
  <c r="I844" i="16"/>
  <c r="I828" i="16"/>
  <c r="H828" i="16"/>
  <c r="H812" i="16"/>
  <c r="I812" i="16"/>
  <c r="H796" i="16"/>
  <c r="I796" i="16"/>
  <c r="H780" i="16"/>
  <c r="I780" i="16"/>
  <c r="H764" i="16"/>
  <c r="I764" i="16"/>
  <c r="H935" i="16"/>
  <c r="I935" i="16"/>
  <c r="I807" i="16"/>
  <c r="H807" i="16"/>
  <c r="I886" i="16"/>
  <c r="H886" i="16"/>
  <c r="I822" i="16"/>
  <c r="H822" i="16"/>
  <c r="I917" i="16"/>
  <c r="H917" i="16"/>
  <c r="I853" i="16"/>
  <c r="H853" i="16"/>
  <c r="I977" i="16"/>
  <c r="H977" i="16"/>
  <c r="I913" i="16"/>
  <c r="H913" i="16"/>
  <c r="I912" i="16"/>
  <c r="H912" i="16"/>
  <c r="I1007" i="16"/>
  <c r="H1007" i="16"/>
  <c r="H911" i="16"/>
  <c r="I911" i="16"/>
  <c r="I815" i="16"/>
  <c r="H815" i="16"/>
  <c r="I1006" i="16"/>
  <c r="H1006" i="16"/>
  <c r="I910" i="16"/>
  <c r="H910" i="16"/>
  <c r="H1003" i="16"/>
  <c r="I1003" i="16"/>
  <c r="H987" i="16"/>
  <c r="I987" i="16"/>
  <c r="H971" i="16"/>
  <c r="I971" i="16"/>
  <c r="I955" i="16"/>
  <c r="H955" i="16"/>
  <c r="I939" i="16"/>
  <c r="H939" i="16"/>
  <c r="I923" i="16"/>
  <c r="H923" i="16"/>
  <c r="I907" i="16"/>
  <c r="H907" i="16"/>
  <c r="I891" i="16"/>
  <c r="H891" i="16"/>
  <c r="I875" i="16"/>
  <c r="H875" i="16"/>
  <c r="I859" i="16"/>
  <c r="H859" i="16"/>
  <c r="H843" i="16"/>
  <c r="I843" i="16"/>
  <c r="H827" i="16"/>
  <c r="I827" i="16"/>
  <c r="H811" i="16"/>
  <c r="I811" i="16"/>
  <c r="H795" i="16"/>
  <c r="I795" i="16"/>
  <c r="H779" i="16"/>
  <c r="I779" i="16"/>
  <c r="H763" i="16"/>
  <c r="I763" i="16"/>
  <c r="I791" i="16"/>
  <c r="H791" i="16"/>
  <c r="I998" i="16"/>
  <c r="H998" i="16"/>
  <c r="I949" i="16"/>
  <c r="H949" i="16"/>
  <c r="I821" i="16"/>
  <c r="H821" i="16"/>
  <c r="H993" i="16"/>
  <c r="I993" i="16"/>
  <c r="I960" i="16"/>
  <c r="H960" i="16"/>
  <c r="I896" i="16"/>
  <c r="H896" i="16"/>
  <c r="H991" i="16"/>
  <c r="I991" i="16"/>
  <c r="H895" i="16"/>
  <c r="I895" i="16"/>
  <c r="I767" i="16"/>
  <c r="H767" i="16"/>
  <c r="I926" i="16"/>
  <c r="H926" i="16"/>
  <c r="I782" i="16"/>
  <c r="H782" i="16"/>
  <c r="H1002" i="16"/>
  <c r="I1002" i="16"/>
  <c r="H986" i="16"/>
  <c r="I986" i="16"/>
  <c r="H970" i="16"/>
  <c r="I970" i="16"/>
  <c r="H954" i="16"/>
  <c r="I954" i="16"/>
  <c r="H938" i="16"/>
  <c r="I938" i="16"/>
  <c r="H922" i="16"/>
  <c r="I922" i="16"/>
  <c r="H906" i="16"/>
  <c r="I906" i="16"/>
  <c r="H890" i="16"/>
  <c r="I890" i="16"/>
  <c r="H874" i="16"/>
  <c r="I874" i="16"/>
  <c r="H858" i="16"/>
  <c r="I858" i="16"/>
  <c r="H842" i="16"/>
  <c r="I842" i="16"/>
  <c r="H826" i="16"/>
  <c r="I826" i="16"/>
  <c r="H810" i="16"/>
  <c r="I810" i="16"/>
  <c r="H794" i="16"/>
  <c r="I794" i="16"/>
  <c r="H778" i="16"/>
  <c r="I778" i="16"/>
  <c r="H762" i="16"/>
  <c r="I762" i="16"/>
  <c r="H999" i="16"/>
  <c r="I999" i="16"/>
  <c r="H839" i="16"/>
  <c r="I839" i="16"/>
  <c r="I966" i="16"/>
  <c r="H966" i="16"/>
  <c r="I838" i="16"/>
  <c r="H838" i="16"/>
  <c r="I997" i="16"/>
  <c r="H997" i="16"/>
  <c r="I773" i="16"/>
  <c r="H773" i="16"/>
  <c r="H945" i="16"/>
  <c r="I945" i="16"/>
  <c r="I928" i="16"/>
  <c r="H928" i="16"/>
  <c r="I848" i="16"/>
  <c r="H848" i="16"/>
  <c r="I959" i="16"/>
  <c r="H959" i="16"/>
  <c r="H879" i="16"/>
  <c r="I879" i="16"/>
  <c r="I783" i="16"/>
  <c r="H783" i="16"/>
  <c r="I958" i="16"/>
  <c r="H958" i="16"/>
  <c r="I862" i="16"/>
  <c r="H862" i="16"/>
  <c r="I798" i="16"/>
  <c r="H798" i="16"/>
  <c r="H1001" i="16"/>
  <c r="I1001" i="16"/>
  <c r="H985" i="16"/>
  <c r="I985" i="16"/>
  <c r="H969" i="16"/>
  <c r="I969" i="16"/>
  <c r="H953" i="16"/>
  <c r="I953" i="16"/>
  <c r="H937" i="16"/>
  <c r="I937" i="16"/>
  <c r="H921" i="16"/>
  <c r="I921" i="16"/>
  <c r="H905" i="16"/>
  <c r="I905" i="16"/>
  <c r="H889" i="16"/>
  <c r="I889" i="16"/>
  <c r="H873" i="16"/>
  <c r="I873" i="16"/>
  <c r="H857" i="16"/>
  <c r="I857" i="16"/>
  <c r="H841" i="16"/>
  <c r="I841" i="16"/>
  <c r="H825" i="16"/>
  <c r="I825" i="16"/>
  <c r="H809" i="16"/>
  <c r="I809" i="16"/>
  <c r="H793" i="16"/>
  <c r="I793" i="16"/>
  <c r="H777" i="16"/>
  <c r="I777" i="16"/>
  <c r="H761" i="16"/>
  <c r="I761" i="16"/>
  <c r="H903" i="16"/>
  <c r="I903" i="16"/>
  <c r="I950" i="16"/>
  <c r="H950" i="16"/>
  <c r="I774" i="16"/>
  <c r="H774" i="16"/>
  <c r="I869" i="16"/>
  <c r="H869" i="16"/>
  <c r="H980" i="16"/>
  <c r="I980" i="16"/>
  <c r="I976" i="16"/>
  <c r="H976" i="16"/>
  <c r="I832" i="16"/>
  <c r="H832" i="16"/>
  <c r="I927" i="16"/>
  <c r="H927" i="16"/>
  <c r="I831" i="16"/>
  <c r="H831" i="16"/>
  <c r="I990" i="16"/>
  <c r="H990" i="16"/>
  <c r="I878" i="16"/>
  <c r="H878" i="16"/>
  <c r="I814" i="16"/>
  <c r="H814" i="16"/>
  <c r="H1000" i="16"/>
  <c r="I1000" i="16"/>
  <c r="I984" i="16"/>
  <c r="H984" i="16"/>
  <c r="H968" i="16"/>
  <c r="I968" i="16"/>
  <c r="H952" i="16"/>
  <c r="I952" i="16"/>
  <c r="I936" i="16"/>
  <c r="H936" i="16"/>
  <c r="H920" i="16"/>
  <c r="I920" i="16"/>
  <c r="I904" i="16"/>
  <c r="H904" i="16"/>
  <c r="H888" i="16"/>
  <c r="I888" i="16"/>
  <c r="I872" i="16"/>
  <c r="H872" i="16"/>
  <c r="H856" i="16"/>
  <c r="I856" i="16"/>
  <c r="H840" i="16"/>
  <c r="I840" i="16"/>
  <c r="I824" i="16"/>
  <c r="H824" i="16"/>
  <c r="H808" i="16"/>
  <c r="I808" i="16"/>
  <c r="H792" i="16"/>
  <c r="I792" i="16"/>
  <c r="H776" i="16"/>
  <c r="I776" i="16"/>
  <c r="I760" i="16"/>
  <c r="H760" i="16"/>
  <c r="K119" i="26"/>
  <c r="K120" i="26"/>
  <c r="K121" i="26"/>
  <c r="K122" i="26"/>
  <c r="K123" i="26"/>
  <c r="K124" i="26"/>
  <c r="F143" i="39"/>
  <c r="F144" i="39"/>
  <c r="F145" i="39"/>
  <c r="J121" i="26"/>
  <c r="J147" i="26"/>
  <c r="J148" i="26"/>
  <c r="J149" i="26"/>
  <c r="J150" i="26"/>
  <c r="J151" i="26"/>
  <c r="B128" i="23"/>
  <c r="F128" i="23"/>
  <c r="G128" i="23"/>
  <c r="L128" i="23"/>
  <c r="B127" i="23"/>
  <c r="F127" i="23"/>
  <c r="G127" i="23"/>
  <c r="L127" i="23"/>
  <c r="B153" i="23"/>
  <c r="F153" i="23"/>
  <c r="G153" i="23"/>
  <c r="L153" i="23"/>
  <c r="B36" i="23"/>
  <c r="F36" i="23"/>
  <c r="G36" i="23"/>
  <c r="L36" i="23"/>
  <c r="B24" i="23"/>
  <c r="F24" i="23"/>
  <c r="G24" i="23"/>
  <c r="L24" i="23"/>
  <c r="L43" i="22"/>
  <c r="L98" i="22"/>
  <c r="L103" i="22"/>
  <c r="L253" i="22"/>
  <c r="L207" i="22"/>
  <c r="F43" i="22"/>
  <c r="G43" i="22"/>
  <c r="F98" i="22"/>
  <c r="G98" i="22"/>
  <c r="F103" i="22"/>
  <c r="G103" i="22"/>
  <c r="F253" i="22"/>
  <c r="G253" i="22"/>
  <c r="F207" i="22"/>
  <c r="G207" i="22"/>
  <c r="H207" i="22"/>
  <c r="F65" i="29"/>
  <c r="G65" i="29"/>
  <c r="F122" i="29"/>
  <c r="G122" i="29"/>
  <c r="F145" i="29"/>
  <c r="G145" i="29"/>
  <c r="F123" i="29"/>
  <c r="G123" i="29"/>
  <c r="F124" i="29"/>
  <c r="G124" i="29"/>
  <c r="H124" i="29"/>
  <c r="L124" i="29"/>
  <c r="H123" i="29"/>
  <c r="L123" i="29"/>
  <c r="H145" i="29"/>
  <c r="L145" i="29"/>
  <c r="H122" i="29"/>
  <c r="L122" i="29"/>
  <c r="H65" i="29"/>
  <c r="L65" i="29"/>
  <c r="F67" i="20"/>
  <c r="G67" i="20"/>
  <c r="F95" i="20"/>
  <c r="G95" i="20"/>
  <c r="F261" i="20"/>
  <c r="G261" i="20"/>
  <c r="F206" i="20"/>
  <c r="G206" i="20"/>
  <c r="F262" i="20"/>
  <c r="G262" i="20"/>
  <c r="F263" i="20"/>
  <c r="G263" i="20"/>
  <c r="F207" i="20"/>
  <c r="G207" i="20"/>
  <c r="L207" i="20"/>
  <c r="E165" i="30"/>
  <c r="F165" i="30"/>
  <c r="E166" i="30"/>
  <c r="F166" i="30"/>
  <c r="E167" i="30"/>
  <c r="F167" i="30"/>
  <c r="E168" i="30"/>
  <c r="F168" i="30"/>
  <c r="J168" i="30"/>
  <c r="J167" i="30"/>
  <c r="J166" i="30"/>
  <c r="J165" i="30"/>
  <c r="E263" i="16"/>
  <c r="E449" i="16"/>
  <c r="E450" i="16"/>
  <c r="E451" i="16"/>
  <c r="E448" i="16"/>
  <c r="G205" i="20"/>
  <c r="F205" i="20"/>
  <c r="L97" i="22"/>
  <c r="G75" i="22"/>
  <c r="G97" i="22"/>
  <c r="F75" i="22"/>
  <c r="F97" i="22"/>
  <c r="F200" i="24"/>
  <c r="G200" i="24"/>
  <c r="F61" i="24"/>
  <c r="G61" i="24"/>
  <c r="K61" i="24"/>
  <c r="F138" i="25"/>
  <c r="C138" i="25"/>
  <c r="K138" i="25"/>
  <c r="F103" i="38"/>
  <c r="F93" i="38"/>
  <c r="G93" i="38"/>
  <c r="K93" i="38"/>
  <c r="O352" i="20"/>
  <c r="M171" i="16"/>
  <c r="K352" i="20" l="1"/>
  <c r="J352" i="20"/>
  <c r="I171" i="16"/>
  <c r="H171" i="16"/>
  <c r="K102" i="26"/>
  <c r="L263" i="20"/>
  <c r="L262" i="20"/>
  <c r="L206" i="20"/>
  <c r="L95" i="20"/>
  <c r="L261" i="20"/>
  <c r="L67" i="20"/>
  <c r="L205" i="20"/>
  <c r="K200" i="24"/>
  <c r="K12" i="38"/>
  <c r="K8" i="38"/>
  <c r="K14" i="38"/>
  <c r="K15" i="38"/>
  <c r="K16" i="38"/>
  <c r="K17" i="38"/>
  <c r="K19" i="38"/>
  <c r="K20" i="38"/>
  <c r="K23" i="38"/>
  <c r="K24" i="38"/>
  <c r="K25" i="38"/>
  <c r="K26" i="38"/>
  <c r="K27" i="38"/>
  <c r="K28" i="38"/>
  <c r="K29" i="38"/>
  <c r="K22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6" i="38"/>
  <c r="K77" i="38"/>
  <c r="K78" i="38"/>
  <c r="K79" i="38"/>
  <c r="K80" i="38"/>
  <c r="K81" i="38"/>
  <c r="K82" i="38"/>
  <c r="K83" i="38"/>
  <c r="K84" i="38"/>
  <c r="K85" i="38"/>
  <c r="K86" i="38"/>
  <c r="K88" i="38"/>
  <c r="K75" i="38"/>
  <c r="K89" i="38"/>
  <c r="K90" i="38"/>
  <c r="K91" i="38"/>
  <c r="K92" i="38"/>
  <c r="K94" i="38"/>
  <c r="K96" i="38"/>
  <c r="K97" i="38"/>
  <c r="K98" i="38"/>
  <c r="K99" i="38"/>
  <c r="K100" i="38"/>
  <c r="K101" i="38"/>
  <c r="K102" i="38"/>
  <c r="K104" i="38"/>
  <c r="K105" i="38"/>
  <c r="K106" i="38"/>
  <c r="K107" i="38"/>
  <c r="K108" i="38"/>
  <c r="K109" i="38"/>
  <c r="K110" i="38"/>
  <c r="K95" i="38"/>
  <c r="K111" i="38"/>
  <c r="K112" i="38"/>
  <c r="K115" i="38"/>
  <c r="K116" i="38"/>
  <c r="K117" i="38"/>
  <c r="K118" i="38"/>
  <c r="K119" i="38"/>
  <c r="K5" i="38"/>
  <c r="L6" i="39"/>
  <c r="L11" i="39"/>
  <c r="L12" i="39"/>
  <c r="L13" i="39"/>
  <c r="L14" i="39"/>
  <c r="L17" i="39"/>
  <c r="L16" i="39"/>
  <c r="L18" i="39"/>
  <c r="L19" i="39"/>
  <c r="L20" i="39"/>
  <c r="L24" i="39"/>
  <c r="L25" i="39"/>
  <c r="L26" i="39"/>
  <c r="L27" i="39"/>
  <c r="L28" i="39"/>
  <c r="L30" i="39"/>
  <c r="L32" i="39"/>
  <c r="L33" i="39"/>
  <c r="L35" i="39"/>
  <c r="L36" i="39"/>
  <c r="L37" i="39"/>
  <c r="L38" i="39"/>
  <c r="L40" i="39"/>
  <c r="L39" i="39"/>
  <c r="L41" i="39"/>
  <c r="L42" i="39"/>
  <c r="L43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7" i="39"/>
  <c r="L72" i="39"/>
  <c r="L73" i="39"/>
  <c r="L74" i="39"/>
  <c r="L75" i="39"/>
  <c r="L76" i="39"/>
  <c r="L77" i="39"/>
  <c r="L68" i="39"/>
  <c r="L78" i="39"/>
  <c r="L70" i="39"/>
  <c r="L80" i="39"/>
  <c r="L81" i="39"/>
  <c r="L69" i="39"/>
  <c r="L7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9" i="39"/>
  <c r="L100" i="39"/>
  <c r="L101" i="39"/>
  <c r="L102" i="39"/>
  <c r="L103" i="39"/>
  <c r="L104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29" i="39"/>
  <c r="L34" i="39"/>
  <c r="L127" i="39"/>
  <c r="L128" i="39"/>
  <c r="L129" i="39"/>
  <c r="L130" i="39"/>
  <c r="L131" i="39"/>
  <c r="L132" i="39"/>
  <c r="L133" i="39"/>
  <c r="L134" i="39"/>
  <c r="L135" i="39"/>
  <c r="L138" i="39"/>
  <c r="L139" i="39"/>
  <c r="L140" i="39"/>
  <c r="L141" i="39"/>
  <c r="L144" i="39"/>
  <c r="L145" i="39"/>
  <c r="L146" i="39"/>
  <c r="L142" i="39"/>
  <c r="L143" i="39"/>
  <c r="L5" i="39"/>
  <c r="K6" i="25" l="1"/>
  <c r="K7" i="25"/>
  <c r="K8" i="25"/>
  <c r="K14" i="25"/>
  <c r="K11" i="25"/>
  <c r="K16" i="25"/>
  <c r="K17" i="25"/>
  <c r="K20" i="25"/>
  <c r="K12" i="25"/>
  <c r="K23" i="25"/>
  <c r="K18" i="25"/>
  <c r="K25" i="25"/>
  <c r="K26" i="25"/>
  <c r="K22" i="25"/>
  <c r="K27" i="25"/>
  <c r="K28" i="25"/>
  <c r="K29" i="25"/>
  <c r="K30" i="25"/>
  <c r="K31" i="25"/>
  <c r="K32" i="25"/>
  <c r="K24" i="25"/>
  <c r="K33" i="25"/>
  <c r="K35" i="25"/>
  <c r="K36" i="25"/>
  <c r="K37" i="25"/>
  <c r="K38" i="25"/>
  <c r="K40" i="25"/>
  <c r="K41" i="25"/>
  <c r="K42" i="25"/>
  <c r="K43" i="25"/>
  <c r="K44" i="25"/>
  <c r="K46" i="25"/>
  <c r="K47" i="25"/>
  <c r="K48" i="25"/>
  <c r="K49" i="25"/>
  <c r="K50" i="25"/>
  <c r="K51" i="25"/>
  <c r="K52" i="25"/>
  <c r="K15" i="25"/>
  <c r="K53" i="25"/>
  <c r="K54" i="25"/>
  <c r="K55" i="25"/>
  <c r="K56" i="25"/>
  <c r="K57" i="25"/>
  <c r="K58" i="25"/>
  <c r="K59" i="25"/>
  <c r="K3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5" i="25"/>
  <c r="K76" i="25"/>
  <c r="K77" i="25"/>
  <c r="K78" i="25"/>
  <c r="K45" i="25"/>
  <c r="K80" i="25"/>
  <c r="K81" i="25"/>
  <c r="K82" i="25"/>
  <c r="K83" i="25"/>
  <c r="K84" i="25"/>
  <c r="K85" i="25"/>
  <c r="K86" i="25"/>
  <c r="K87" i="25"/>
  <c r="K88" i="25"/>
  <c r="K89" i="25"/>
  <c r="K90" i="25"/>
  <c r="K79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9" i="25"/>
  <c r="K140" i="25"/>
  <c r="K141" i="25"/>
  <c r="K142" i="25"/>
  <c r="K143" i="25"/>
  <c r="K144" i="25"/>
  <c r="K145" i="25"/>
  <c r="K146" i="25"/>
  <c r="K147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48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2" i="24"/>
  <c r="K5" i="24"/>
  <c r="K7" i="24"/>
  <c r="K8" i="24"/>
  <c r="K9" i="24"/>
  <c r="K10" i="24"/>
  <c r="K11" i="24"/>
  <c r="K6" i="24"/>
  <c r="K17" i="24"/>
  <c r="K18" i="24"/>
  <c r="K15" i="24"/>
  <c r="K21" i="24"/>
  <c r="K13" i="24"/>
  <c r="K20" i="24"/>
  <c r="K22" i="24"/>
  <c r="K19" i="24"/>
  <c r="K24" i="24"/>
  <c r="K27" i="24"/>
  <c r="K16" i="24"/>
  <c r="K23" i="24"/>
  <c r="K28" i="24"/>
  <c r="K29" i="24"/>
  <c r="K30" i="24"/>
  <c r="K33" i="24"/>
  <c r="K34" i="24"/>
  <c r="K35" i="24"/>
  <c r="K36" i="24"/>
  <c r="K37" i="24"/>
  <c r="K38" i="24"/>
  <c r="K39" i="24"/>
  <c r="K41" i="24"/>
  <c r="K42" i="24"/>
  <c r="K43" i="24"/>
  <c r="K44" i="24"/>
  <c r="K31" i="24"/>
  <c r="K45" i="24"/>
  <c r="K46" i="24"/>
  <c r="K47" i="24"/>
  <c r="K48" i="24"/>
  <c r="K49" i="24"/>
  <c r="K50" i="24"/>
  <c r="K51" i="24"/>
  <c r="K54" i="24"/>
  <c r="K55" i="24"/>
  <c r="K56" i="24"/>
  <c r="K57" i="24"/>
  <c r="K58" i="24"/>
  <c r="K59" i="24"/>
  <c r="K60" i="24"/>
  <c r="K62" i="24"/>
  <c r="K63" i="24"/>
  <c r="K65" i="24"/>
  <c r="K66" i="24"/>
  <c r="K67" i="24"/>
  <c r="K68" i="24"/>
  <c r="K69" i="24"/>
  <c r="K70" i="24"/>
  <c r="K71" i="24"/>
  <c r="K72" i="24"/>
  <c r="K73" i="24"/>
  <c r="K25" i="24"/>
  <c r="K74" i="24"/>
  <c r="K75" i="24"/>
  <c r="K76" i="24"/>
  <c r="K77" i="24"/>
  <c r="K78" i="24"/>
  <c r="K79" i="24"/>
  <c r="K80" i="24"/>
  <c r="K81" i="24"/>
  <c r="K82" i="24"/>
  <c r="K64" i="24"/>
  <c r="K83" i="24"/>
  <c r="K84" i="24"/>
  <c r="K85" i="24"/>
  <c r="K86" i="24"/>
  <c r="K87" i="24"/>
  <c r="K88" i="24"/>
  <c r="K89" i="24"/>
  <c r="K32" i="24"/>
  <c r="K90" i="24"/>
  <c r="K91" i="24"/>
  <c r="K92" i="24"/>
  <c r="K93" i="24"/>
  <c r="K94" i="24"/>
  <c r="K96" i="24"/>
  <c r="K97" i="24"/>
  <c r="K98" i="24"/>
  <c r="K99" i="24"/>
  <c r="K100" i="24"/>
  <c r="K101" i="24"/>
  <c r="K102" i="24"/>
  <c r="K103" i="24"/>
  <c r="K104" i="24"/>
  <c r="K105" i="24"/>
  <c r="K106" i="24"/>
  <c r="K95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2" i="24"/>
  <c r="K173" i="24"/>
  <c r="K174" i="24"/>
  <c r="K175" i="24"/>
  <c r="K176" i="24"/>
  <c r="K131" i="24"/>
  <c r="K177" i="24"/>
  <c r="K178" i="24"/>
  <c r="K179" i="24"/>
  <c r="K180" i="24"/>
  <c r="K181" i="24"/>
  <c r="K182" i="24"/>
  <c r="K183" i="24"/>
  <c r="K184" i="24"/>
  <c r="K185" i="24"/>
  <c r="K186" i="24"/>
  <c r="K187" i="24"/>
  <c r="K53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154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01" i="24"/>
  <c r="K218" i="24"/>
  <c r="K219" i="24"/>
  <c r="K220" i="24"/>
  <c r="K221" i="24"/>
  <c r="K222" i="24"/>
  <c r="K223" i="24"/>
  <c r="K224" i="24"/>
  <c r="K40" i="24"/>
  <c r="K225" i="24"/>
  <c r="K226" i="24"/>
  <c r="K227" i="24"/>
  <c r="K228" i="24"/>
  <c r="K229" i="24"/>
  <c r="K230" i="24"/>
  <c r="K231" i="24"/>
  <c r="K232" i="24"/>
  <c r="K233" i="24"/>
  <c r="K234" i="24"/>
  <c r="K235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L7" i="23" l="1"/>
  <c r="L6" i="23"/>
  <c r="L8" i="23"/>
  <c r="L9" i="23"/>
  <c r="L11" i="23"/>
  <c r="L12" i="23"/>
  <c r="L13" i="23"/>
  <c r="L14" i="23"/>
  <c r="L15" i="23"/>
  <c r="L10" i="23"/>
  <c r="L17" i="23"/>
  <c r="L19" i="23"/>
  <c r="L16" i="23"/>
  <c r="L21" i="23"/>
  <c r="L22" i="23"/>
  <c r="L23" i="23"/>
  <c r="L25" i="23"/>
  <c r="L20" i="23"/>
  <c r="L27" i="23"/>
  <c r="L29" i="23"/>
  <c r="L30" i="23"/>
  <c r="L31" i="23"/>
  <c r="L32" i="23"/>
  <c r="L33" i="23"/>
  <c r="L35" i="23"/>
  <c r="L38" i="23"/>
  <c r="L39" i="23"/>
  <c r="L40" i="23"/>
  <c r="L26" i="23"/>
  <c r="L43" i="23"/>
  <c r="L44" i="23"/>
  <c r="L34" i="23"/>
  <c r="L47" i="23"/>
  <c r="L48" i="23"/>
  <c r="L41" i="23"/>
  <c r="L49" i="23"/>
  <c r="L50" i="23"/>
  <c r="L51" i="23"/>
  <c r="L52" i="23"/>
  <c r="L53" i="23"/>
  <c r="L54" i="23"/>
  <c r="L55" i="23"/>
  <c r="L56" i="23"/>
  <c r="L57" i="23"/>
  <c r="L58" i="23"/>
  <c r="L37" i="23"/>
  <c r="L59" i="23"/>
  <c r="L61" i="23"/>
  <c r="L45" i="23"/>
  <c r="L62" i="23"/>
  <c r="L63" i="23"/>
  <c r="L64" i="23"/>
  <c r="L65" i="23"/>
  <c r="L66" i="23"/>
  <c r="L67" i="23"/>
  <c r="L68" i="23"/>
  <c r="L69" i="23"/>
  <c r="L70" i="23"/>
  <c r="L71" i="23"/>
  <c r="L46" i="23"/>
  <c r="L72" i="23"/>
  <c r="L73" i="23"/>
  <c r="L75" i="23"/>
  <c r="L76" i="23"/>
  <c r="L77" i="23"/>
  <c r="L78" i="23"/>
  <c r="L79" i="23"/>
  <c r="L80" i="23"/>
  <c r="L81" i="23"/>
  <c r="L82" i="23"/>
  <c r="L83" i="23"/>
  <c r="L84" i="23"/>
  <c r="L85" i="23"/>
  <c r="L28" i="23"/>
  <c r="L86" i="23"/>
  <c r="L89" i="23"/>
  <c r="L91" i="23"/>
  <c r="L92" i="23"/>
  <c r="L93" i="23"/>
  <c r="L94" i="23"/>
  <c r="L95" i="23"/>
  <c r="L96" i="23"/>
  <c r="L87" i="23"/>
  <c r="L97" i="23"/>
  <c r="L98" i="23"/>
  <c r="L99" i="23"/>
  <c r="L88" i="23"/>
  <c r="L100" i="23"/>
  <c r="L101" i="23"/>
  <c r="L102" i="23"/>
  <c r="L103" i="23"/>
  <c r="L104" i="23"/>
  <c r="L105" i="23"/>
  <c r="L107" i="23"/>
  <c r="L108" i="23"/>
  <c r="L109" i="23"/>
  <c r="L110" i="23"/>
  <c r="L112" i="23"/>
  <c r="L113" i="23"/>
  <c r="L114" i="23"/>
  <c r="L115" i="23"/>
  <c r="L116" i="23"/>
  <c r="L106" i="23"/>
  <c r="L117" i="23"/>
  <c r="L118" i="23"/>
  <c r="L119" i="23"/>
  <c r="L120" i="23"/>
  <c r="L121" i="23"/>
  <c r="L122" i="23"/>
  <c r="L123" i="23"/>
  <c r="L124" i="23"/>
  <c r="L125" i="23"/>
  <c r="L126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5" i="23"/>
  <c r="L6" i="22"/>
  <c r="L345" i="22"/>
  <c r="L344" i="22"/>
  <c r="L343" i="22"/>
  <c r="L342" i="22"/>
  <c r="L341" i="22"/>
  <c r="L340" i="22"/>
  <c r="L339" i="22"/>
  <c r="L338" i="22"/>
  <c r="L337" i="22"/>
  <c r="L336" i="22"/>
  <c r="L335" i="22"/>
  <c r="L334" i="22"/>
  <c r="L333" i="22"/>
  <c r="L332" i="22"/>
  <c r="L331" i="22"/>
  <c r="L330" i="22"/>
  <c r="L329" i="22"/>
  <c r="L328" i="22"/>
  <c r="L327" i="22"/>
  <c r="L326" i="22"/>
  <c r="L325" i="22"/>
  <c r="L324" i="22"/>
  <c r="L323" i="22"/>
  <c r="L322" i="22"/>
  <c r="L321" i="22"/>
  <c r="L320" i="22"/>
  <c r="L319" i="22"/>
  <c r="L318" i="22"/>
  <c r="L317" i="22"/>
  <c r="L316" i="22"/>
  <c r="L315" i="22"/>
  <c r="L314" i="22"/>
  <c r="L313" i="22"/>
  <c r="L312" i="22"/>
  <c r="L311" i="22"/>
  <c r="L310" i="22"/>
  <c r="L309" i="22"/>
  <c r="L308" i="22"/>
  <c r="L307" i="22"/>
  <c r="L306" i="22"/>
  <c r="L305" i="22"/>
  <c r="L304" i="22"/>
  <c r="L303" i="22"/>
  <c r="L302" i="22"/>
  <c r="L301" i="22"/>
  <c r="L300" i="22"/>
  <c r="L299" i="22"/>
  <c r="L298" i="22"/>
  <c r="L297" i="22"/>
  <c r="L296" i="22"/>
  <c r="L295" i="22"/>
  <c r="L294" i="22"/>
  <c r="L293" i="22"/>
  <c r="L292" i="22"/>
  <c r="L291" i="22"/>
  <c r="L290" i="22"/>
  <c r="L289" i="22"/>
  <c r="L288" i="22"/>
  <c r="L287" i="22"/>
  <c r="L286" i="22"/>
  <c r="L285" i="22"/>
  <c r="L284" i="22"/>
  <c r="L283" i="22"/>
  <c r="L282" i="22"/>
  <c r="L217" i="22"/>
  <c r="L281" i="22"/>
  <c r="L280" i="22"/>
  <c r="L279" i="22"/>
  <c r="L278" i="22"/>
  <c r="L277" i="22"/>
  <c r="L276" i="22"/>
  <c r="L275" i="22"/>
  <c r="L274" i="22"/>
  <c r="L273" i="22"/>
  <c r="L272" i="22"/>
  <c r="L271" i="22"/>
  <c r="L270" i="22"/>
  <c r="L269" i="22"/>
  <c r="L268" i="22"/>
  <c r="L267" i="22"/>
  <c r="L266" i="22"/>
  <c r="L265" i="22"/>
  <c r="L264" i="22"/>
  <c r="L263" i="22"/>
  <c r="L40" i="22"/>
  <c r="L262" i="22"/>
  <c r="L261" i="22"/>
  <c r="L260" i="22"/>
  <c r="L259" i="22"/>
  <c r="L258" i="22"/>
  <c r="L257" i="22"/>
  <c r="L256" i="22"/>
  <c r="L252" i="22"/>
  <c r="L251" i="22"/>
  <c r="L250" i="22"/>
  <c r="L249" i="22"/>
  <c r="L248" i="22"/>
  <c r="L247" i="22"/>
  <c r="L246" i="22"/>
  <c r="L181" i="22"/>
  <c r="L245" i="22"/>
  <c r="L244" i="22"/>
  <c r="L243" i="22"/>
  <c r="L242" i="22"/>
  <c r="L241" i="22"/>
  <c r="L240" i="22"/>
  <c r="L239" i="22"/>
  <c r="L238" i="22"/>
  <c r="L237" i="22"/>
  <c r="L236" i="22"/>
  <c r="L235" i="22"/>
  <c r="L234" i="22"/>
  <c r="L233" i="22"/>
  <c r="L232" i="22"/>
  <c r="L231" i="22"/>
  <c r="L230" i="22"/>
  <c r="L229" i="22"/>
  <c r="L228" i="22"/>
  <c r="L227" i="22"/>
  <c r="L226" i="22"/>
  <c r="L225" i="22"/>
  <c r="L224" i="22"/>
  <c r="L223" i="22"/>
  <c r="L222" i="22"/>
  <c r="L221" i="22"/>
  <c r="L220" i="22"/>
  <c r="L219" i="22"/>
  <c r="L218" i="22"/>
  <c r="L216" i="22"/>
  <c r="L215" i="22"/>
  <c r="L214" i="22"/>
  <c r="L213" i="22"/>
  <c r="L212" i="22"/>
  <c r="L211" i="22"/>
  <c r="L210" i="22"/>
  <c r="L209" i="22"/>
  <c r="L167" i="22"/>
  <c r="L208" i="22"/>
  <c r="L206" i="22"/>
  <c r="L205" i="22"/>
  <c r="L204" i="22"/>
  <c r="L203" i="22"/>
  <c r="L202" i="22"/>
  <c r="L201" i="22"/>
  <c r="L200" i="22"/>
  <c r="L199" i="22"/>
  <c r="L198" i="22"/>
  <c r="L197" i="22"/>
  <c r="L196" i="22"/>
  <c r="L195" i="22"/>
  <c r="L194" i="22"/>
  <c r="L68" i="22"/>
  <c r="L193" i="22"/>
  <c r="L192" i="22"/>
  <c r="L191" i="22"/>
  <c r="L190" i="22"/>
  <c r="L189" i="22"/>
  <c r="L188" i="22"/>
  <c r="L187" i="22"/>
  <c r="L186" i="22"/>
  <c r="L185" i="22"/>
  <c r="L184" i="22"/>
  <c r="L183" i="22"/>
  <c r="L182" i="22"/>
  <c r="L165" i="22"/>
  <c r="L180" i="22"/>
  <c r="L179" i="22"/>
  <c r="L178" i="22"/>
  <c r="L177" i="22"/>
  <c r="L176" i="22"/>
  <c r="L175" i="22"/>
  <c r="L174" i="22"/>
  <c r="L173" i="22"/>
  <c r="L172" i="22"/>
  <c r="L171" i="22"/>
  <c r="L170" i="22"/>
  <c r="L169" i="22"/>
  <c r="L168" i="22"/>
  <c r="L166" i="22"/>
  <c r="L164" i="22"/>
  <c r="L163" i="22"/>
  <c r="L162" i="22"/>
  <c r="L161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73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71" i="22"/>
  <c r="L134" i="22"/>
  <c r="L133" i="22"/>
  <c r="L132" i="22"/>
  <c r="L131" i="22"/>
  <c r="L130" i="22"/>
  <c r="L129" i="22"/>
  <c r="L128" i="22"/>
  <c r="L125" i="22"/>
  <c r="L124" i="22"/>
  <c r="L123" i="22"/>
  <c r="L52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45" i="22"/>
  <c r="L106" i="22"/>
  <c r="L105" i="22"/>
  <c r="L104" i="22"/>
  <c r="L102" i="22"/>
  <c r="L101" i="22"/>
  <c r="L100" i="22"/>
  <c r="L99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4" i="22"/>
  <c r="L72" i="22"/>
  <c r="L70" i="22"/>
  <c r="L69" i="22"/>
  <c r="L67" i="22"/>
  <c r="L66" i="22"/>
  <c r="L65" i="22"/>
  <c r="L64" i="22"/>
  <c r="L63" i="22"/>
  <c r="L62" i="22"/>
  <c r="L38" i="22"/>
  <c r="L61" i="22"/>
  <c r="L59" i="22"/>
  <c r="L58" i="22"/>
  <c r="L31" i="22"/>
  <c r="L57" i="22"/>
  <c r="L56" i="22"/>
  <c r="L55" i="22"/>
  <c r="L54" i="22"/>
  <c r="L44" i="22"/>
  <c r="L53" i="22"/>
  <c r="L51" i="22"/>
  <c r="L50" i="22"/>
  <c r="L49" i="22"/>
  <c r="L48" i="22"/>
  <c r="L47" i="22"/>
  <c r="L46" i="22"/>
  <c r="L42" i="22"/>
  <c r="L33" i="22"/>
  <c r="L41" i="22"/>
  <c r="L39" i="22"/>
  <c r="L37" i="22"/>
  <c r="L36" i="22"/>
  <c r="L35" i="22"/>
  <c r="L34" i="22"/>
  <c r="L32" i="22"/>
  <c r="L29" i="22"/>
  <c r="L28" i="22"/>
  <c r="L27" i="22"/>
  <c r="L26" i="22"/>
  <c r="L25" i="22"/>
  <c r="L24" i="22"/>
  <c r="L23" i="22"/>
  <c r="L22" i="22"/>
  <c r="L12" i="22"/>
  <c r="L11" i="22"/>
  <c r="L21" i="22"/>
  <c r="L20" i="22"/>
  <c r="L19" i="22"/>
  <c r="L18" i="22"/>
  <c r="L17" i="22"/>
  <c r="L16" i="22"/>
  <c r="L15" i="22"/>
  <c r="L14" i="22"/>
  <c r="L13" i="22"/>
  <c r="L10" i="22"/>
  <c r="L8" i="22"/>
  <c r="L7" i="22"/>
  <c r="L8" i="29"/>
  <c r="L7" i="29"/>
  <c r="L11" i="29"/>
  <c r="L10" i="29"/>
  <c r="L13" i="29"/>
  <c r="L12" i="29"/>
  <c r="L14" i="29"/>
  <c r="L17" i="29"/>
  <c r="L19" i="29"/>
  <c r="L16" i="29"/>
  <c r="L15" i="29"/>
  <c r="L18" i="29"/>
  <c r="L20" i="29"/>
  <c r="L24" i="29"/>
  <c r="L26" i="29"/>
  <c r="L25" i="29"/>
  <c r="L30" i="29"/>
  <c r="L28" i="29"/>
  <c r="L22" i="29"/>
  <c r="L27" i="29"/>
  <c r="L33" i="29"/>
  <c r="L34" i="29"/>
  <c r="L35" i="29"/>
  <c r="L36" i="29"/>
  <c r="L32" i="29"/>
  <c r="L38" i="29"/>
  <c r="L41" i="29"/>
  <c r="L43" i="29"/>
  <c r="L44" i="29"/>
  <c r="L42" i="29"/>
  <c r="L45" i="29"/>
  <c r="L48" i="29"/>
  <c r="L37" i="29"/>
  <c r="L49" i="29"/>
  <c r="L50" i="29"/>
  <c r="L51" i="29"/>
  <c r="L52" i="29"/>
  <c r="L53" i="29"/>
  <c r="L31" i="29"/>
  <c r="L54" i="29"/>
  <c r="L55" i="29"/>
  <c r="L56" i="29"/>
  <c r="L57" i="29"/>
  <c r="L46" i="29"/>
  <c r="L58" i="29"/>
  <c r="L39" i="29"/>
  <c r="L60" i="29"/>
  <c r="L61" i="29"/>
  <c r="L62" i="29"/>
  <c r="L63" i="29"/>
  <c r="L64" i="29"/>
  <c r="L66" i="29"/>
  <c r="L47" i="29"/>
  <c r="L68" i="29"/>
  <c r="L69" i="29"/>
  <c r="L40" i="29"/>
  <c r="L70" i="29"/>
  <c r="L71" i="29"/>
  <c r="L72" i="29"/>
  <c r="L73" i="29"/>
  <c r="L75" i="29"/>
  <c r="L76" i="29"/>
  <c r="L77" i="29"/>
  <c r="L79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9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00" i="29"/>
  <c r="L120" i="29"/>
  <c r="L98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21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6" i="29"/>
  <c r="L187" i="29"/>
  <c r="L7" i="20" l="1"/>
  <c r="L8" i="20"/>
  <c r="L9" i="20"/>
  <c r="L10" i="20"/>
  <c r="L12" i="20"/>
  <c r="L13" i="20"/>
  <c r="L16" i="20"/>
  <c r="L11" i="20"/>
  <c r="L17" i="20"/>
  <c r="L15" i="20"/>
  <c r="L19" i="20"/>
  <c r="L22" i="20"/>
  <c r="L26" i="20"/>
  <c r="L20" i="20"/>
  <c r="L21" i="20"/>
  <c r="L29" i="20"/>
  <c r="L30" i="20"/>
  <c r="L31" i="20"/>
  <c r="L23" i="20"/>
  <c r="L18" i="20"/>
  <c r="L32" i="20"/>
  <c r="L33" i="20"/>
  <c r="L34" i="20"/>
  <c r="L24" i="20"/>
  <c r="L37" i="20"/>
  <c r="L38" i="20"/>
  <c r="L40" i="20"/>
  <c r="L41" i="20"/>
  <c r="L42" i="20"/>
  <c r="L43" i="20"/>
  <c r="L28" i="20"/>
  <c r="L25" i="20"/>
  <c r="L46" i="20"/>
  <c r="L47" i="20"/>
  <c r="L48" i="20"/>
  <c r="L35" i="20"/>
  <c r="L50" i="20"/>
  <c r="L51" i="20"/>
  <c r="L44" i="20"/>
  <c r="L36" i="20"/>
  <c r="L53" i="20"/>
  <c r="L54" i="20"/>
  <c r="L55" i="20"/>
  <c r="L56" i="20"/>
  <c r="L39" i="20"/>
  <c r="L57" i="20"/>
  <c r="L58" i="20"/>
  <c r="L59" i="20"/>
  <c r="L49" i="20"/>
  <c r="L62" i="20"/>
  <c r="L63" i="20"/>
  <c r="L64" i="20"/>
  <c r="L65" i="20"/>
  <c r="L66" i="20"/>
  <c r="L68" i="20"/>
  <c r="L45" i="20"/>
  <c r="L52" i="20"/>
  <c r="L71" i="20"/>
  <c r="L72" i="20"/>
  <c r="L74" i="20"/>
  <c r="L76" i="20"/>
  <c r="L78" i="20"/>
  <c r="L79" i="20"/>
  <c r="L81" i="20"/>
  <c r="L6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69" i="20"/>
  <c r="L70" i="20"/>
  <c r="L100" i="20"/>
  <c r="L101" i="20"/>
  <c r="L73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7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60" i="20"/>
  <c r="L132" i="20"/>
  <c r="L77" i="20"/>
  <c r="L134" i="20"/>
  <c r="L135" i="20"/>
  <c r="L136" i="20"/>
  <c r="L137" i="20"/>
  <c r="L138" i="20"/>
  <c r="L139" i="20"/>
  <c r="L133" i="20"/>
  <c r="L140" i="20"/>
  <c r="L141" i="20"/>
  <c r="L142" i="20"/>
  <c r="L144" i="20"/>
  <c r="L145" i="20"/>
  <c r="L146" i="20"/>
  <c r="L147" i="20"/>
  <c r="L148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43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200" i="20"/>
  <c r="L201" i="20"/>
  <c r="L202" i="20"/>
  <c r="L203" i="20"/>
  <c r="L204" i="20"/>
  <c r="L208" i="20"/>
  <c r="L209" i="20"/>
  <c r="L210" i="20"/>
  <c r="L211" i="20"/>
  <c r="L212" i="20"/>
  <c r="L213" i="20"/>
  <c r="L214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149" i="20"/>
  <c r="L251" i="20"/>
  <c r="L252" i="20"/>
  <c r="L253" i="20"/>
  <c r="L254" i="20"/>
  <c r="L255" i="20"/>
  <c r="L256" i="20"/>
  <c r="L257" i="20"/>
  <c r="L258" i="20"/>
  <c r="L259" i="20"/>
  <c r="L260" i="20"/>
  <c r="L273" i="20"/>
  <c r="L274" i="20"/>
  <c r="L96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199" i="20"/>
  <c r="L292" i="20"/>
  <c r="L293" i="20"/>
  <c r="L294" i="20"/>
  <c r="L215" i="20"/>
  <c r="L295" i="20"/>
  <c r="L296" i="20"/>
  <c r="L297" i="20"/>
  <c r="L298" i="20"/>
  <c r="L299" i="20"/>
  <c r="L216" i="20"/>
  <c r="L300" i="20"/>
  <c r="L301" i="20"/>
  <c r="L302" i="20"/>
  <c r="L303" i="20"/>
  <c r="L97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98" i="20"/>
  <c r="L321" i="20"/>
  <c r="L322" i="20"/>
  <c r="L323" i="20"/>
  <c r="L324" i="20"/>
  <c r="L325" i="20"/>
  <c r="L326" i="20"/>
  <c r="L327" i="20"/>
  <c r="L99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5" i="20"/>
  <c r="J5" i="30" l="1"/>
  <c r="J9" i="30"/>
  <c r="J10" i="30"/>
  <c r="J11" i="30"/>
  <c r="J13" i="30"/>
  <c r="J14" i="30"/>
  <c r="J17" i="30"/>
  <c r="J15" i="30"/>
  <c r="J18" i="30"/>
  <c r="J25" i="30"/>
  <c r="J26" i="30"/>
  <c r="J27" i="30"/>
  <c r="J21" i="30"/>
  <c r="J29" i="30"/>
  <c r="J23" i="30"/>
  <c r="J24" i="30"/>
  <c r="J22" i="30"/>
  <c r="J32" i="30"/>
  <c r="J33" i="30"/>
  <c r="J34" i="30"/>
  <c r="J28" i="30"/>
  <c r="J31" i="30"/>
  <c r="J36" i="30"/>
  <c r="J37" i="30"/>
  <c r="J38" i="30"/>
  <c r="J40" i="30"/>
  <c r="J41" i="30"/>
  <c r="J42" i="30"/>
  <c r="J30" i="30"/>
  <c r="J20" i="30"/>
  <c r="J45" i="30"/>
  <c r="J46" i="30"/>
  <c r="J47" i="30"/>
  <c r="J49" i="30"/>
  <c r="J35" i="30"/>
  <c r="J48" i="30"/>
  <c r="J50" i="30"/>
  <c r="J51" i="30"/>
  <c r="J52" i="30"/>
  <c r="J53" i="30"/>
  <c r="J39" i="30"/>
  <c r="J55" i="30"/>
  <c r="J58" i="30"/>
  <c r="J60" i="30"/>
  <c r="J61" i="30"/>
  <c r="J62" i="30"/>
  <c r="J63" i="30"/>
  <c r="J64" i="30"/>
  <c r="J65" i="30"/>
  <c r="J68" i="30"/>
  <c r="J69" i="30"/>
  <c r="J70" i="30"/>
  <c r="J71" i="30"/>
  <c r="J73" i="30"/>
  <c r="J74" i="30"/>
  <c r="J75" i="30"/>
  <c r="J76" i="30"/>
  <c r="J77" i="30"/>
  <c r="J78" i="30"/>
  <c r="J72" i="30"/>
  <c r="J44" i="30"/>
  <c r="J79" i="30"/>
  <c r="J80" i="30"/>
  <c r="J81" i="30"/>
  <c r="J82" i="30"/>
  <c r="J83" i="30"/>
  <c r="J54" i="30"/>
  <c r="J59" i="30"/>
  <c r="J84" i="30"/>
  <c r="J85" i="30"/>
  <c r="J87" i="30"/>
  <c r="J88" i="30"/>
  <c r="J56" i="30"/>
  <c r="J86" i="30"/>
  <c r="J91" i="30"/>
  <c r="J92" i="30"/>
  <c r="J66" i="30"/>
  <c r="J93" i="30"/>
  <c r="J94" i="30"/>
  <c r="J95" i="30"/>
  <c r="J96" i="30"/>
  <c r="J57" i="30"/>
  <c r="J98" i="30"/>
  <c r="J99" i="30"/>
  <c r="J67" i="30"/>
  <c r="J100" i="30"/>
  <c r="J103" i="30"/>
  <c r="J104" i="30"/>
  <c r="J106" i="30"/>
  <c r="J107" i="30"/>
  <c r="J108" i="30"/>
  <c r="J110" i="30"/>
  <c r="J111" i="30"/>
  <c r="J109" i="30"/>
  <c r="J112" i="30"/>
  <c r="J105" i="30"/>
  <c r="J113" i="30"/>
  <c r="J114" i="30"/>
  <c r="J115" i="30"/>
  <c r="J116" i="30"/>
  <c r="J118" i="30"/>
  <c r="J119" i="30"/>
  <c r="J120" i="30"/>
  <c r="J121" i="30"/>
  <c r="J122" i="30"/>
  <c r="J123" i="30"/>
  <c r="J124" i="30"/>
  <c r="J117" i="30"/>
  <c r="J125" i="30"/>
  <c r="J126" i="30"/>
  <c r="J127" i="30"/>
  <c r="J128" i="30"/>
  <c r="J129" i="30"/>
  <c r="J130" i="30"/>
  <c r="J132" i="30"/>
  <c r="J133" i="30"/>
  <c r="J134" i="30"/>
  <c r="J137" i="30"/>
  <c r="J138" i="30"/>
  <c r="J139" i="30"/>
  <c r="J140" i="30"/>
  <c r="J141" i="30"/>
  <c r="J142" i="30"/>
  <c r="J143" i="30"/>
  <c r="J144" i="30"/>
  <c r="J145" i="30"/>
  <c r="J146" i="30"/>
  <c r="J147" i="30"/>
  <c r="J148" i="30"/>
  <c r="J150" i="30"/>
  <c r="J151" i="30"/>
  <c r="J152" i="30"/>
  <c r="J153" i="30"/>
  <c r="J154" i="30"/>
  <c r="J155" i="30"/>
  <c r="J156" i="30"/>
  <c r="J157" i="30"/>
  <c r="J158" i="30"/>
  <c r="J159" i="30"/>
  <c r="J160" i="30"/>
  <c r="J161" i="30"/>
  <c r="J163" i="30"/>
  <c r="J164" i="30"/>
  <c r="J170" i="30"/>
  <c r="J171" i="30"/>
  <c r="J172" i="30"/>
  <c r="J173" i="30"/>
  <c r="J174" i="30"/>
  <c r="J175" i="30"/>
  <c r="J89" i="30"/>
  <c r="J176" i="30"/>
  <c r="J177" i="30"/>
  <c r="J178" i="30"/>
  <c r="J179" i="30"/>
  <c r="J180" i="30"/>
  <c r="J181" i="30"/>
  <c r="J182" i="30"/>
  <c r="J162" i="30"/>
  <c r="J183" i="30"/>
  <c r="J184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135" i="30"/>
  <c r="J200" i="30"/>
  <c r="J201" i="30"/>
  <c r="J202" i="30"/>
  <c r="J203" i="30"/>
  <c r="J204" i="30"/>
  <c r="J136" i="30"/>
  <c r="J149" i="30"/>
  <c r="J205" i="30"/>
  <c r="J206" i="30"/>
  <c r="J207" i="30"/>
  <c r="J209" i="30"/>
  <c r="J210" i="30"/>
  <c r="J211" i="30"/>
  <c r="J212" i="30"/>
  <c r="J213" i="30"/>
  <c r="J214" i="30"/>
  <c r="J215" i="30"/>
  <c r="J216" i="30"/>
  <c r="J217" i="30"/>
  <c r="J218" i="30"/>
  <c r="J219" i="30"/>
  <c r="J220" i="30"/>
  <c r="J221" i="30"/>
  <c r="J222" i="30"/>
  <c r="J102" i="30"/>
  <c r="J223" i="30"/>
  <c r="J224" i="30"/>
  <c r="J225" i="30"/>
  <c r="J226" i="30"/>
  <c r="J131" i="30"/>
  <c r="J227" i="30"/>
  <c r="J228" i="30"/>
  <c r="J90" i="30"/>
  <c r="J229" i="30"/>
  <c r="J230" i="30"/>
  <c r="J97" i="30"/>
  <c r="J231" i="30"/>
  <c r="J101" i="30"/>
  <c r="J232" i="30"/>
  <c r="J233" i="30"/>
  <c r="J234" i="30"/>
  <c r="J235" i="30"/>
  <c r="J236" i="30"/>
  <c r="J237" i="30"/>
  <c r="J238" i="30"/>
  <c r="J239" i="30"/>
  <c r="J240" i="30"/>
  <c r="J241" i="30"/>
  <c r="J242" i="30"/>
  <c r="J243" i="30"/>
  <c r="J244" i="30"/>
  <c r="J245" i="30"/>
  <c r="J246" i="30"/>
  <c r="J247" i="30"/>
  <c r="J248" i="30"/>
  <c r="J249" i="30"/>
  <c r="J250" i="30"/>
  <c r="J251" i="30"/>
  <c r="J252" i="30"/>
  <c r="J253" i="30"/>
  <c r="J254" i="30"/>
  <c r="J255" i="30"/>
  <c r="J256" i="30"/>
  <c r="J257" i="30"/>
  <c r="J258" i="30"/>
  <c r="J259" i="30"/>
  <c r="J260" i="30"/>
  <c r="J261" i="30"/>
  <c r="J262" i="30"/>
  <c r="J263" i="30"/>
  <c r="J264" i="30"/>
  <c r="J265" i="30"/>
  <c r="J266" i="30"/>
  <c r="J267" i="30"/>
  <c r="J268" i="30"/>
  <c r="J269" i="30"/>
  <c r="J270" i="30"/>
  <c r="J271" i="30"/>
  <c r="J272" i="30"/>
  <c r="J273" i="30"/>
  <c r="J5" i="16"/>
  <c r="E1751" i="27" l="1"/>
  <c r="E832" i="27"/>
  <c r="D832" i="27" s="1"/>
  <c r="J10" i="16" l="1"/>
  <c r="E85" i="16"/>
  <c r="E436" i="16"/>
  <c r="E434" i="16"/>
  <c r="E439" i="16"/>
  <c r="E430" i="16"/>
  <c r="E433" i="16"/>
  <c r="D6" i="38" l="1"/>
  <c r="E755" i="16" l="1"/>
  <c r="E751" i="16"/>
  <c r="E424" i="16"/>
  <c r="E447" i="16"/>
  <c r="E437" i="16"/>
  <c r="E435" i="16"/>
  <c r="E419" i="16"/>
  <c r="E126" i="16"/>
  <c r="E204" i="30"/>
  <c r="E202" i="30"/>
  <c r="E200" i="30"/>
  <c r="F204" i="30"/>
  <c r="F202" i="30"/>
  <c r="F200" i="30"/>
  <c r="E61" i="30"/>
  <c r="F61" i="30"/>
  <c r="E206" i="30"/>
  <c r="F206" i="30"/>
  <c r="F153" i="29" l="1"/>
  <c r="G153" i="29"/>
  <c r="G172" i="29"/>
  <c r="F172" i="29"/>
  <c r="F14" i="29"/>
  <c r="G14" i="29"/>
  <c r="F104" i="29"/>
  <c r="G104" i="29"/>
  <c r="F9" i="29"/>
  <c r="G9" i="29"/>
  <c r="AL9" i="29"/>
  <c r="L9" i="29" s="1"/>
  <c r="F126" i="29"/>
  <c r="G126" i="29"/>
  <c r="F25" i="29"/>
  <c r="G25" i="29"/>
  <c r="F45" i="29"/>
  <c r="G45" i="29"/>
  <c r="F111" i="29"/>
  <c r="G111" i="29"/>
  <c r="F112" i="29"/>
  <c r="G112" i="29"/>
  <c r="F77" i="29"/>
  <c r="G77" i="29"/>
  <c r="F78" i="29"/>
  <c r="G78" i="29"/>
  <c r="AH78" i="29"/>
  <c r="L78" i="29" s="1"/>
  <c r="F35" i="29"/>
  <c r="G35" i="29"/>
  <c r="F41" i="29"/>
  <c r="G41" i="29"/>
  <c r="F34" i="29"/>
  <c r="G34" i="29"/>
  <c r="C5" i="29"/>
  <c r="F5" i="29"/>
  <c r="G5" i="29"/>
  <c r="AL5" i="29"/>
  <c r="L5" i="29" s="1"/>
  <c r="F12" i="29"/>
  <c r="G12" i="29"/>
  <c r="F76" i="29"/>
  <c r="G76" i="29"/>
  <c r="F161" i="29"/>
  <c r="G161" i="29"/>
  <c r="F58" i="29"/>
  <c r="G58" i="29"/>
  <c r="G57" i="29"/>
  <c r="F16" i="29"/>
  <c r="G16" i="29"/>
  <c r="F154" i="29"/>
  <c r="G154" i="29"/>
  <c r="F127" i="29"/>
  <c r="G127" i="29"/>
  <c r="F19" i="29"/>
  <c r="G19" i="29"/>
  <c r="F13" i="29"/>
  <c r="G13" i="29"/>
  <c r="F23" i="29"/>
  <c r="G23" i="29"/>
  <c r="AH23" i="29"/>
  <c r="L23" i="29" s="1"/>
  <c r="F10" i="29"/>
  <c r="G10" i="29"/>
  <c r="F155" i="29"/>
  <c r="G155" i="29"/>
  <c r="F156" i="29"/>
  <c r="G156" i="29"/>
  <c r="F79" i="29"/>
  <c r="G79" i="29"/>
  <c r="F8" i="29"/>
  <c r="G8" i="29"/>
  <c r="F62" i="29"/>
  <c r="G62" i="29"/>
  <c r="F56" i="29"/>
  <c r="G56" i="29"/>
  <c r="D6" i="29"/>
  <c r="F6" i="29"/>
  <c r="G6" i="29"/>
  <c r="AL6" i="29"/>
  <c r="L6" i="29" s="1"/>
  <c r="F101" i="29"/>
  <c r="G101" i="29"/>
  <c r="F142" i="29"/>
  <c r="G142" i="29"/>
  <c r="F20" i="29"/>
  <c r="G20" i="29"/>
  <c r="F182" i="29"/>
  <c r="G182" i="29"/>
  <c r="F125" i="29"/>
  <c r="G125" i="29"/>
  <c r="F174" i="29"/>
  <c r="G174" i="29"/>
  <c r="F61" i="29"/>
  <c r="G61" i="29"/>
  <c r="F183" i="29"/>
  <c r="G183" i="29"/>
  <c r="F68" i="29"/>
  <c r="G68" i="29"/>
  <c r="F67" i="29"/>
  <c r="G67" i="29"/>
  <c r="AH67" i="29"/>
  <c r="L67" i="29" s="1"/>
  <c r="F72" i="29"/>
  <c r="G72" i="29"/>
  <c r="F30" i="29"/>
  <c r="G30" i="29"/>
  <c r="F129" i="29"/>
  <c r="G129" i="29"/>
  <c r="F54" i="29"/>
  <c r="G54" i="29"/>
  <c r="F36" i="29"/>
  <c r="G36" i="29"/>
  <c r="F11" i="29"/>
  <c r="G11" i="29"/>
  <c r="F86" i="29"/>
  <c r="G86" i="29"/>
  <c r="F99" i="29"/>
  <c r="G99" i="29"/>
  <c r="F151" i="29"/>
  <c r="G151" i="29"/>
  <c r="F48" i="29"/>
  <c r="G48" i="29"/>
  <c r="F33" i="29"/>
  <c r="G33" i="29"/>
  <c r="F43" i="29"/>
  <c r="G43" i="29"/>
  <c r="F44" i="29"/>
  <c r="G44" i="29"/>
  <c r="F110" i="29"/>
  <c r="G110" i="29"/>
  <c r="F7" i="29"/>
  <c r="G7" i="29"/>
  <c r="F31" i="29"/>
  <c r="G31" i="29"/>
  <c r="F80" i="29"/>
  <c r="G80" i="29"/>
  <c r="AH80" i="29"/>
  <c r="L80" i="29" s="1"/>
  <c r="F21" i="29"/>
  <c r="G21" i="29"/>
  <c r="AH21" i="29"/>
  <c r="L21" i="29" s="1"/>
  <c r="F175" i="29"/>
  <c r="G175" i="29"/>
  <c r="F15" i="29"/>
  <c r="G15" i="29"/>
  <c r="F17" i="29"/>
  <c r="G17" i="29"/>
  <c r="F162" i="29"/>
  <c r="G162" i="29"/>
  <c r="F176" i="29"/>
  <c r="G176" i="29"/>
  <c r="F177" i="29"/>
  <c r="G177" i="29"/>
  <c r="F178" i="29"/>
  <c r="G178" i="29"/>
  <c r="F179" i="29"/>
  <c r="G179" i="29"/>
  <c r="F51" i="29"/>
  <c r="G51" i="29"/>
  <c r="F24" i="29"/>
  <c r="G24" i="29"/>
  <c r="F27" i="29"/>
  <c r="G27" i="29"/>
  <c r="F121" i="29"/>
  <c r="G121" i="29"/>
  <c r="F38" i="29"/>
  <c r="G38" i="29"/>
  <c r="F37" i="29"/>
  <c r="G37" i="29"/>
  <c r="F180" i="29"/>
  <c r="G180" i="29"/>
  <c r="F128" i="29"/>
  <c r="G128" i="29"/>
  <c r="F181" i="29"/>
  <c r="G181" i="29"/>
  <c r="F60" i="29"/>
  <c r="G60" i="29"/>
  <c r="F108" i="29"/>
  <c r="G108" i="29"/>
  <c r="F50" i="29"/>
  <c r="G50" i="29"/>
  <c r="F91" i="29"/>
  <c r="G91" i="29"/>
  <c r="F107" i="29"/>
  <c r="G107" i="29"/>
  <c r="F92" i="29"/>
  <c r="G92" i="29"/>
  <c r="F47" i="29"/>
  <c r="G47" i="29"/>
  <c r="F26" i="29"/>
  <c r="G26" i="29"/>
  <c r="F113" i="29"/>
  <c r="G113" i="29"/>
  <c r="F75" i="29"/>
  <c r="G75" i="29"/>
  <c r="F130" i="29"/>
  <c r="G130" i="29"/>
  <c r="F157" i="29"/>
  <c r="G157" i="29"/>
  <c r="F29" i="29"/>
  <c r="G29" i="29"/>
  <c r="AH29" i="29"/>
  <c r="L29" i="29" s="1"/>
  <c r="F114" i="29"/>
  <c r="G114" i="29"/>
  <c r="F115" i="29"/>
  <c r="G115" i="29"/>
  <c r="F116" i="29"/>
  <c r="G116" i="29"/>
  <c r="F158" i="29"/>
  <c r="G158" i="29"/>
  <c r="F49" i="29"/>
  <c r="G49" i="29"/>
  <c r="F102" i="29"/>
  <c r="G102" i="29"/>
  <c r="F28" i="29"/>
  <c r="G28" i="29"/>
  <c r="F159" i="29"/>
  <c r="G159" i="29"/>
  <c r="F160" i="29"/>
  <c r="G160" i="29"/>
  <c r="F69" i="29"/>
  <c r="G69" i="29"/>
  <c r="F131" i="29"/>
  <c r="G131" i="29"/>
  <c r="F87" i="29"/>
  <c r="G87" i="29"/>
  <c r="F32" i="29"/>
  <c r="G32" i="29"/>
  <c r="F163" i="29"/>
  <c r="G163" i="29"/>
  <c r="F117" i="29"/>
  <c r="G117" i="29"/>
  <c r="F42" i="29"/>
  <c r="G42" i="29"/>
  <c r="F164" i="29"/>
  <c r="G164" i="29"/>
  <c r="F18" i="29"/>
  <c r="G18" i="29"/>
  <c r="F22" i="29"/>
  <c r="G22" i="29"/>
  <c r="F93" i="29"/>
  <c r="G93" i="29"/>
  <c r="F70" i="29"/>
  <c r="G70" i="29"/>
  <c r="F71" i="29"/>
  <c r="G71" i="29"/>
  <c r="F73" i="29"/>
  <c r="G73" i="29"/>
  <c r="F143" i="29"/>
  <c r="G143" i="29"/>
  <c r="F152" i="29"/>
  <c r="G152" i="29"/>
  <c r="F132" i="29"/>
  <c r="G132" i="29"/>
  <c r="F133" i="29"/>
  <c r="G133" i="29"/>
  <c r="F134" i="29"/>
  <c r="G134" i="29"/>
  <c r="F135" i="29"/>
  <c r="G135" i="29"/>
  <c r="F55" i="29"/>
  <c r="G55" i="29"/>
  <c r="F173" i="29"/>
  <c r="G173" i="29"/>
  <c r="F109" i="29"/>
  <c r="G109" i="29"/>
  <c r="F74" i="29"/>
  <c r="G74" i="29"/>
  <c r="AH74" i="29"/>
  <c r="L74" i="29" s="1"/>
  <c r="F88" i="29"/>
  <c r="G88" i="29"/>
  <c r="F136" i="29"/>
  <c r="G136" i="29"/>
  <c r="F137" i="29"/>
  <c r="G137" i="29"/>
  <c r="F138" i="29"/>
  <c r="G138" i="29"/>
  <c r="F118" i="29"/>
  <c r="G118" i="29"/>
  <c r="F81" i="29"/>
  <c r="G81" i="29"/>
  <c r="F46" i="29"/>
  <c r="G46" i="29"/>
  <c r="F105" i="29"/>
  <c r="G105" i="29"/>
  <c r="F82" i="29"/>
  <c r="G82" i="29"/>
  <c r="F83" i="29"/>
  <c r="G83" i="29"/>
  <c r="F139" i="29"/>
  <c r="G139" i="29"/>
  <c r="F119" i="29"/>
  <c r="G119" i="29"/>
  <c r="F140" i="29"/>
  <c r="G140" i="29"/>
  <c r="F106" i="29"/>
  <c r="G106" i="29"/>
  <c r="F103" i="29"/>
  <c r="G103" i="29"/>
  <c r="F94" i="29"/>
  <c r="G94" i="29"/>
  <c r="F95" i="29"/>
  <c r="G95" i="29"/>
  <c r="F63" i="29"/>
  <c r="G63" i="29"/>
  <c r="F100" i="29"/>
  <c r="G100" i="29"/>
  <c r="F165" i="29"/>
  <c r="G165" i="29"/>
  <c r="F166" i="29"/>
  <c r="G166" i="29"/>
  <c r="F40" i="29"/>
  <c r="G40" i="29"/>
  <c r="F98" i="29"/>
  <c r="G98" i="29"/>
  <c r="F84" i="29"/>
  <c r="G84" i="29"/>
  <c r="F85" i="29"/>
  <c r="G85" i="29"/>
  <c r="F66" i="29"/>
  <c r="G66" i="29"/>
  <c r="F39" i="29"/>
  <c r="G39" i="29"/>
  <c r="F89" i="29"/>
  <c r="G89" i="29"/>
  <c r="F90" i="29"/>
  <c r="G90" i="29"/>
  <c r="F184" i="29"/>
  <c r="G184" i="29"/>
  <c r="F167" i="29"/>
  <c r="G167" i="29"/>
  <c r="F64" i="29"/>
  <c r="G64" i="29"/>
  <c r="F144" i="29"/>
  <c r="G144" i="29"/>
  <c r="F141" i="29"/>
  <c r="G141" i="29"/>
  <c r="F120" i="29"/>
  <c r="G120" i="29"/>
  <c r="F96" i="29"/>
  <c r="G96" i="29"/>
  <c r="F52" i="29"/>
  <c r="G52" i="29"/>
  <c r="F185" i="29"/>
  <c r="G185" i="29"/>
  <c r="F97" i="29"/>
  <c r="G97" i="29"/>
  <c r="F186" i="29"/>
  <c r="G186" i="29"/>
  <c r="F53" i="29"/>
  <c r="G53" i="29"/>
  <c r="F168" i="29"/>
  <c r="G168" i="29"/>
  <c r="F169" i="29"/>
  <c r="G169" i="29"/>
  <c r="F170" i="29"/>
  <c r="G170" i="29"/>
  <c r="F171" i="29"/>
  <c r="G171" i="29"/>
  <c r="F187" i="29"/>
  <c r="G187" i="29"/>
  <c r="F240" i="20"/>
  <c r="G240" i="20"/>
  <c r="F241" i="20"/>
  <c r="G241" i="20"/>
  <c r="F242" i="20"/>
  <c r="G242" i="20"/>
  <c r="F243" i="20"/>
  <c r="G243" i="20"/>
  <c r="F244" i="20"/>
  <c r="G244" i="20"/>
  <c r="F245" i="20"/>
  <c r="G245" i="20"/>
  <c r="F246" i="20"/>
  <c r="G246" i="20"/>
  <c r="F247" i="20"/>
  <c r="G247" i="20"/>
  <c r="F63" i="20"/>
  <c r="G63" i="20"/>
  <c r="F64" i="20"/>
  <c r="G64" i="20"/>
  <c r="F65" i="20"/>
  <c r="G65" i="20"/>
  <c r="F62" i="20"/>
  <c r="G62" i="20"/>
  <c r="F59" i="22"/>
  <c r="G59" i="22"/>
  <c r="F66" i="22"/>
  <c r="G66" i="22"/>
  <c r="F67" i="22"/>
  <c r="G67" i="22"/>
  <c r="C6" i="29" l="1"/>
  <c r="D7" i="29"/>
  <c r="D8" i="29" s="1"/>
  <c r="D9" i="29" s="1"/>
  <c r="D10" i="29" s="1"/>
  <c r="D11" i="29" s="1"/>
  <c r="D12" i="29" s="1"/>
  <c r="D13" i="29" s="1"/>
  <c r="D14" i="29" s="1"/>
  <c r="D15" i="29" s="1"/>
  <c r="D16" i="29" s="1"/>
  <c r="D17" i="29" s="1"/>
  <c r="D18" i="29" s="1"/>
  <c r="D19" i="29" s="1"/>
  <c r="D20" i="29" s="1"/>
  <c r="D21" i="29" s="1"/>
  <c r="D22" i="29" s="1"/>
  <c r="D23" i="29" s="1"/>
  <c r="D24" i="29" s="1"/>
  <c r="D25" i="29" s="1"/>
  <c r="D26" i="29" s="1"/>
  <c r="D27" i="29" s="1"/>
  <c r="D28" i="29" s="1"/>
  <c r="D29" i="29" s="1"/>
  <c r="D30" i="29" s="1"/>
  <c r="D31" i="29" s="1"/>
  <c r="D32" i="29" s="1"/>
  <c r="D33" i="29" s="1"/>
  <c r="D34" i="29" s="1"/>
  <c r="D35" i="29" s="1"/>
  <c r="D36" i="29" s="1"/>
  <c r="D37" i="29" s="1"/>
  <c r="D38" i="29" s="1"/>
  <c r="D39" i="29" s="1"/>
  <c r="D40" i="29" s="1"/>
  <c r="D41" i="29" s="1"/>
  <c r="D42" i="29" s="1"/>
  <c r="D43" i="29" s="1"/>
  <c r="D44" i="29" s="1"/>
  <c r="D45" i="29" s="1"/>
  <c r="D46" i="29" s="1"/>
  <c r="D47" i="29" s="1"/>
  <c r="D48" i="29" s="1"/>
  <c r="D49" i="29" s="1"/>
  <c r="D50" i="29" s="1"/>
  <c r="D51" i="29" s="1"/>
  <c r="D52" i="29" s="1"/>
  <c r="D53" i="29" s="1"/>
  <c r="D54" i="29" s="1"/>
  <c r="D55" i="29" s="1"/>
  <c r="D56" i="29" s="1"/>
  <c r="D57" i="29" s="1"/>
  <c r="D58" i="29" s="1"/>
  <c r="D59" i="29" s="1"/>
  <c r="D60" i="29" l="1"/>
  <c r="D61" i="29" s="1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D80" i="29" s="1"/>
  <c r="D81" i="29" s="1"/>
  <c r="D82" i="29" s="1"/>
  <c r="D83" i="29" s="1"/>
  <c r="D84" i="29" s="1"/>
  <c r="D85" i="29" s="1"/>
  <c r="D86" i="29" s="1"/>
  <c r="D87" i="29" s="1"/>
  <c r="D88" i="29" s="1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6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8" i="29" s="1"/>
  <c r="D129" i="29" s="1"/>
  <c r="D130" i="29" s="1"/>
  <c r="D131" i="29" s="1"/>
  <c r="D132" i="29" s="1"/>
  <c r="D133" i="29" s="1"/>
  <c r="D134" i="29" s="1"/>
  <c r="D135" i="29" s="1"/>
  <c r="D136" i="29" s="1"/>
  <c r="D137" i="29" s="1"/>
  <c r="D138" i="29" s="1"/>
  <c r="D139" i="29" s="1"/>
  <c r="D140" i="29" s="1"/>
  <c r="D141" i="29" s="1"/>
  <c r="D142" i="29" s="1"/>
  <c r="D143" i="29" s="1"/>
  <c r="D144" i="29" s="1"/>
  <c r="D145" i="29" s="1"/>
  <c r="D146" i="29" s="1"/>
  <c r="C59" i="29"/>
  <c r="E286" i="16"/>
  <c r="E192" i="16"/>
  <c r="E194" i="16"/>
  <c r="E746" i="16"/>
  <c r="E104" i="16"/>
  <c r="E288" i="16"/>
  <c r="E203" i="16"/>
  <c r="E295" i="16"/>
  <c r="E204" i="16"/>
  <c r="E197" i="16"/>
  <c r="E198" i="16"/>
  <c r="E244" i="16"/>
  <c r="E199" i="16"/>
  <c r="E245" i="16"/>
  <c r="E53" i="16"/>
  <c r="D147" i="29" l="1"/>
  <c r="C146" i="29"/>
  <c r="E270" i="30"/>
  <c r="F270" i="30"/>
  <c r="E153" i="30"/>
  <c r="F153" i="30"/>
  <c r="E96" i="30"/>
  <c r="F96" i="30"/>
  <c r="E60" i="30"/>
  <c r="F60" i="30"/>
  <c r="E155" i="30"/>
  <c r="F155" i="30"/>
  <c r="D148" i="29" l="1"/>
  <c r="C147" i="29"/>
  <c r="F141" i="20"/>
  <c r="G141" i="20"/>
  <c r="D149" i="29" l="1"/>
  <c r="C148" i="29"/>
  <c r="F136" i="20"/>
  <c r="G136" i="20"/>
  <c r="F346" i="20"/>
  <c r="G346" i="20"/>
  <c r="F177" i="20"/>
  <c r="G177" i="20"/>
  <c r="F179" i="20"/>
  <c r="G179" i="20"/>
  <c r="F183" i="20"/>
  <c r="G183" i="20"/>
  <c r="F139" i="20"/>
  <c r="G139" i="20"/>
  <c r="F190" i="20"/>
  <c r="G190" i="20"/>
  <c r="F89" i="20"/>
  <c r="G89" i="20"/>
  <c r="F192" i="20"/>
  <c r="G192" i="20"/>
  <c r="F196" i="20"/>
  <c r="G196" i="20"/>
  <c r="F68" i="20"/>
  <c r="G68" i="20"/>
  <c r="F197" i="20"/>
  <c r="G197" i="20"/>
  <c r="F198" i="20"/>
  <c r="G198" i="20"/>
  <c r="F200" i="20"/>
  <c r="G200" i="20"/>
  <c r="F181" i="20"/>
  <c r="G181" i="20"/>
  <c r="F182" i="20"/>
  <c r="G182" i="20"/>
  <c r="D150" i="29" l="1"/>
  <c r="C149" i="29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A187" i="29" s="1"/>
  <c r="E2262" i="27"/>
  <c r="D2262" i="27" s="1"/>
  <c r="E2261" i="27"/>
  <c r="D2261" i="27" s="1"/>
  <c r="A171" i="29" s="1"/>
  <c r="E2260" i="27"/>
  <c r="D2260" i="27" s="1"/>
  <c r="A170" i="29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A169" i="29" s="1"/>
  <c r="E2254" i="27"/>
  <c r="D2254" i="27" s="1"/>
  <c r="A168" i="29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E1958" i="27"/>
  <c r="E1956" i="27"/>
  <c r="E1953" i="27"/>
  <c r="D1953" i="27" s="1"/>
  <c r="E1952" i="27"/>
  <c r="D1952" i="27" s="1"/>
  <c r="E1951" i="27"/>
  <c r="D1951" i="27" s="1"/>
  <c r="E1950" i="27"/>
  <c r="D1950" i="27" s="1"/>
  <c r="E1949" i="27"/>
  <c r="D1949" i="27" s="1"/>
  <c r="E1948" i="27"/>
  <c r="D1948" i="27" s="1"/>
  <c r="E1947" i="27"/>
  <c r="D1947" i="27" s="1"/>
  <c r="E1946" i="27"/>
  <c r="D1946" i="27" s="1"/>
  <c r="E1945" i="27"/>
  <c r="D1945" i="27" s="1"/>
  <c r="E1944" i="27"/>
  <c r="D1944" i="27" s="1"/>
  <c r="E1943" i="27"/>
  <c r="D1943" i="27" s="1"/>
  <c r="E1942" i="27"/>
  <c r="D1942" i="27" s="1"/>
  <c r="E1941" i="27"/>
  <c r="D1941" i="27" s="1"/>
  <c r="E1940" i="27"/>
  <c r="D1940" i="27" s="1"/>
  <c r="E1939" i="27"/>
  <c r="D1939" i="27" s="1"/>
  <c r="E1938" i="27"/>
  <c r="D1938" i="27" s="1"/>
  <c r="E1937" i="27"/>
  <c r="D1937" i="27" s="1"/>
  <c r="E1936" i="27"/>
  <c r="D1936" i="27" s="1"/>
  <c r="E1935" i="27"/>
  <c r="D1935" i="27" s="1"/>
  <c r="E1934" i="27"/>
  <c r="D1934" i="27" s="1"/>
  <c r="E1933" i="27"/>
  <c r="D1933" i="27" s="1"/>
  <c r="E1932" i="27"/>
  <c r="D1932" i="27" s="1"/>
  <c r="E1931" i="27"/>
  <c r="D1931" i="27" s="1"/>
  <c r="E1930" i="27"/>
  <c r="D1930" i="27" s="1"/>
  <c r="E1929" i="27"/>
  <c r="D1929" i="27" s="1"/>
  <c r="E1928" i="27"/>
  <c r="D1928" i="27" s="1"/>
  <c r="E1927" i="27"/>
  <c r="D1927" i="27" s="1"/>
  <c r="E1926" i="27"/>
  <c r="D1926" i="27" s="1"/>
  <c r="E1925" i="27"/>
  <c r="D1925" i="27" s="1"/>
  <c r="E1924" i="27"/>
  <c r="D1924" i="27" s="1"/>
  <c r="E1923" i="27"/>
  <c r="D1923" i="27" s="1"/>
  <c r="E1922" i="27"/>
  <c r="D1922" i="27" s="1"/>
  <c r="E1921" i="27"/>
  <c r="D1921" i="27" s="1"/>
  <c r="E1920" i="27"/>
  <c r="D1920" i="27" s="1"/>
  <c r="E1919" i="27"/>
  <c r="D1919" i="27" s="1"/>
  <c r="E1918" i="27"/>
  <c r="D1918" i="27" s="1"/>
  <c r="E1917" i="27"/>
  <c r="D1917" i="27" s="1"/>
  <c r="E1916" i="27"/>
  <c r="D1916" i="27" s="1"/>
  <c r="E1915" i="27"/>
  <c r="D1915" i="27" s="1"/>
  <c r="E1914" i="27"/>
  <c r="D1914" i="27" s="1"/>
  <c r="E1913" i="27"/>
  <c r="D1913" i="27" s="1"/>
  <c r="E1912" i="27"/>
  <c r="D1912" i="27" s="1"/>
  <c r="E1911" i="27"/>
  <c r="D1911" i="27" s="1"/>
  <c r="E1910" i="27"/>
  <c r="D1910" i="27" s="1"/>
  <c r="E1909" i="27"/>
  <c r="D1909" i="27" s="1"/>
  <c r="E1908" i="27"/>
  <c r="D1908" i="27" s="1"/>
  <c r="E1907" i="27"/>
  <c r="D1907" i="27" s="1"/>
  <c r="E1906" i="27"/>
  <c r="D1906" i="27" s="1"/>
  <c r="E1905" i="27"/>
  <c r="D1905" i="27" s="1"/>
  <c r="E1904" i="27"/>
  <c r="D1904" i="27" s="1"/>
  <c r="E1903" i="27"/>
  <c r="D1903" i="27" s="1"/>
  <c r="E1902" i="27"/>
  <c r="D1902" i="27" s="1"/>
  <c r="E1901" i="27"/>
  <c r="D1901" i="27" s="1"/>
  <c r="E1900" i="27"/>
  <c r="D1900" i="27" s="1"/>
  <c r="E1899" i="27"/>
  <c r="D1899" i="27" s="1"/>
  <c r="E1898" i="27"/>
  <c r="D1898" i="27" s="1"/>
  <c r="E1897" i="27"/>
  <c r="D1897" i="27" s="1"/>
  <c r="E1896" i="27"/>
  <c r="D1896" i="27" s="1"/>
  <c r="E1895" i="27"/>
  <c r="D1895" i="27" s="1"/>
  <c r="E1894" i="27"/>
  <c r="D1894" i="27" s="1"/>
  <c r="E1893" i="27"/>
  <c r="D1893" i="27" s="1"/>
  <c r="E1892" i="27"/>
  <c r="D1892" i="27" s="1"/>
  <c r="E1891" i="27"/>
  <c r="D1891" i="27" s="1"/>
  <c r="E1890" i="27"/>
  <c r="D1890" i="27" s="1"/>
  <c r="E1889" i="27"/>
  <c r="D1889" i="27" s="1"/>
  <c r="E1888" i="27"/>
  <c r="D1888" i="27" s="1"/>
  <c r="E1887" i="27"/>
  <c r="D1887" i="27" s="1"/>
  <c r="E1886" i="27"/>
  <c r="D1886" i="27" s="1"/>
  <c r="E1885" i="27"/>
  <c r="D1885" i="27" s="1"/>
  <c r="E1884" i="27"/>
  <c r="D1884" i="27" s="1"/>
  <c r="E1883" i="27"/>
  <c r="D1883" i="27" s="1"/>
  <c r="E1882" i="27"/>
  <c r="D1882" i="27" s="1"/>
  <c r="E1881" i="27"/>
  <c r="D1881" i="27" s="1"/>
  <c r="E1880" i="27"/>
  <c r="D1880" i="27" s="1"/>
  <c r="E1879" i="27"/>
  <c r="D1879" i="27" s="1"/>
  <c r="E1878" i="27"/>
  <c r="D1878" i="27" s="1"/>
  <c r="E1877" i="27"/>
  <c r="D1877" i="27" s="1"/>
  <c r="E1876" i="27"/>
  <c r="D1876" i="27" s="1"/>
  <c r="E1875" i="27"/>
  <c r="D1875" i="27" s="1"/>
  <c r="E1874" i="27"/>
  <c r="D1874" i="27" s="1"/>
  <c r="E1873" i="27"/>
  <c r="D1873" i="27" s="1"/>
  <c r="E1872" i="27"/>
  <c r="D1872" i="27" s="1"/>
  <c r="E1871" i="27"/>
  <c r="D1871" i="27" s="1"/>
  <c r="E1870" i="27"/>
  <c r="D1870" i="27" s="1"/>
  <c r="E1869" i="27"/>
  <c r="D1869" i="27" s="1"/>
  <c r="E1866" i="27"/>
  <c r="D1866" i="27" s="1"/>
  <c r="E1865" i="27"/>
  <c r="D1865" i="27" s="1"/>
  <c r="E1864" i="27"/>
  <c r="D1864" i="27" s="1"/>
  <c r="E1863" i="27"/>
  <c r="D1863" i="27" s="1"/>
  <c r="E1862" i="27"/>
  <c r="D1862" i="27" s="1"/>
  <c r="E1861" i="27"/>
  <c r="D1861" i="27" s="1"/>
  <c r="E1860" i="27"/>
  <c r="D1860" i="27" s="1"/>
  <c r="E1859" i="27"/>
  <c r="D1859" i="27" s="1"/>
  <c r="E1858" i="27"/>
  <c r="D1858" i="27" s="1"/>
  <c r="E1857" i="27"/>
  <c r="D1857" i="27" s="1"/>
  <c r="E1856" i="27"/>
  <c r="D1856" i="27" s="1"/>
  <c r="E1855" i="27"/>
  <c r="D1855" i="27" s="1"/>
  <c r="E1854" i="27"/>
  <c r="D1854" i="27" s="1"/>
  <c r="E1853" i="27"/>
  <c r="D1853" i="27" s="1"/>
  <c r="E1852" i="27"/>
  <c r="D1852" i="27" s="1"/>
  <c r="E1851" i="27"/>
  <c r="D1851" i="27" s="1"/>
  <c r="E1850" i="27"/>
  <c r="D1850" i="27" s="1"/>
  <c r="E1849" i="27"/>
  <c r="D1849" i="27" s="1"/>
  <c r="E1848" i="27"/>
  <c r="D1848" i="27" s="1"/>
  <c r="E1847" i="27"/>
  <c r="D1847" i="27" s="1"/>
  <c r="E1846" i="27"/>
  <c r="D1846" i="27" s="1"/>
  <c r="E1845" i="27"/>
  <c r="D1845" i="27" s="1"/>
  <c r="E1844" i="27"/>
  <c r="D1844" i="27" s="1"/>
  <c r="E1843" i="27"/>
  <c r="D1843" i="27" s="1"/>
  <c r="E1842" i="27"/>
  <c r="D1842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E1824" i="27"/>
  <c r="D1824" i="27" s="1"/>
  <c r="E1823" i="27"/>
  <c r="D1823" i="27" s="1"/>
  <c r="E1822" i="27"/>
  <c r="D1822" i="27" s="1"/>
  <c r="E1821" i="27"/>
  <c r="D1821" i="27" s="1"/>
  <c r="E1819" i="27"/>
  <c r="D1819" i="27" s="1"/>
  <c r="D1818" i="27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0" i="27"/>
  <c r="D1810" i="27" s="1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96" i="27"/>
  <c r="D1796" i="27" s="1"/>
  <c r="E1795" i="27"/>
  <c r="D1795" i="27" s="1"/>
  <c r="E1794" i="27"/>
  <c r="D1794" i="27" s="1"/>
  <c r="E1793" i="27"/>
  <c r="D1793" i="27" s="1"/>
  <c r="E1792" i="27"/>
  <c r="D1792" i="27" s="1"/>
  <c r="E1791" i="27"/>
  <c r="D1791" i="27" s="1"/>
  <c r="E1790" i="27"/>
  <c r="D1790" i="27" s="1"/>
  <c r="E1789" i="27"/>
  <c r="D1789" i="27" s="1"/>
  <c r="E1788" i="27"/>
  <c r="D1788" i="27" s="1"/>
  <c r="E1787" i="27"/>
  <c r="D1787" i="27" s="1"/>
  <c r="E1786" i="27"/>
  <c r="D1786" i="27" s="1"/>
  <c r="E1785" i="27"/>
  <c r="D1785" i="27" s="1"/>
  <c r="E1784" i="27"/>
  <c r="D1784" i="27" s="1"/>
  <c r="E1783" i="27"/>
  <c r="D1783" i="27" s="1"/>
  <c r="E1782" i="27"/>
  <c r="D1782" i="27" s="1"/>
  <c r="E1781" i="27"/>
  <c r="D1781" i="27" s="1"/>
  <c r="E1780" i="27"/>
  <c r="D1780" i="27" s="1"/>
  <c r="E1779" i="27"/>
  <c r="D1779" i="27" s="1"/>
  <c r="E1778" i="27"/>
  <c r="D1778" i="27" s="1"/>
  <c r="E1777" i="27"/>
  <c r="D1777" i="27" s="1"/>
  <c r="E1776" i="27"/>
  <c r="D1776" i="27" s="1"/>
  <c r="E1775" i="27"/>
  <c r="D1775" i="27" s="1"/>
  <c r="E1774" i="27"/>
  <c r="D1774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67" i="27"/>
  <c r="D1767" i="27" s="1"/>
  <c r="E1766" i="27"/>
  <c r="D1766" i="27" s="1"/>
  <c r="E1765" i="27"/>
  <c r="D1765" i="27" s="1"/>
  <c r="E1764" i="27"/>
  <c r="D1764" i="27" s="1"/>
  <c r="E1763" i="27"/>
  <c r="D1763" i="27" s="1"/>
  <c r="E1762" i="27"/>
  <c r="D1762" i="27" s="1"/>
  <c r="E1761" i="27"/>
  <c r="D1761" i="27" s="1"/>
  <c r="E1760" i="27"/>
  <c r="D1760" i="27" s="1"/>
  <c r="E1607" i="27"/>
  <c r="D1607" i="27" s="1"/>
  <c r="E1758" i="27"/>
  <c r="D1758" i="27" s="1"/>
  <c r="E1757" i="27"/>
  <c r="D1757" i="27" s="1"/>
  <c r="E1756" i="27"/>
  <c r="D1756" i="27" s="1"/>
  <c r="E1755" i="27"/>
  <c r="D1755" i="27" s="1"/>
  <c r="E1754" i="27"/>
  <c r="D1754" i="27" s="1"/>
  <c r="E1753" i="27"/>
  <c r="D1753" i="27" s="1"/>
  <c r="E1752" i="27"/>
  <c r="D1752" i="27" s="1"/>
  <c r="D1751" i="27"/>
  <c r="E1750" i="27"/>
  <c r="D1750" i="27" s="1"/>
  <c r="E1749" i="27"/>
  <c r="D1749" i="27" s="1"/>
  <c r="E1748" i="27"/>
  <c r="D1748" i="27" s="1"/>
  <c r="E1747" i="27"/>
  <c r="D1747" i="27" s="1"/>
  <c r="E1746" i="27"/>
  <c r="D1746" i="27" s="1"/>
  <c r="E1745" i="27"/>
  <c r="D1745" i="27" s="1"/>
  <c r="E1744" i="27"/>
  <c r="D1744" i="27" s="1"/>
  <c r="E1743" i="27"/>
  <c r="D1743" i="27" s="1"/>
  <c r="E1742" i="27"/>
  <c r="D1742" i="27" s="1"/>
  <c r="E1741" i="27"/>
  <c r="D1741" i="27" s="1"/>
  <c r="E1740" i="27"/>
  <c r="D1740" i="27" s="1"/>
  <c r="E1739" i="27"/>
  <c r="D1739" i="27" s="1"/>
  <c r="E1738" i="27"/>
  <c r="D1738" i="27" s="1"/>
  <c r="E1737" i="27"/>
  <c r="D1737" i="27" s="1"/>
  <c r="E1736" i="27"/>
  <c r="D1736" i="27" s="1"/>
  <c r="E1735" i="27"/>
  <c r="D1735" i="27" s="1"/>
  <c r="E1734" i="27"/>
  <c r="D1734" i="27" s="1"/>
  <c r="E1733" i="27"/>
  <c r="D1733" i="27" s="1"/>
  <c r="E1732" i="27"/>
  <c r="D1732" i="27" s="1"/>
  <c r="E1731" i="27"/>
  <c r="D1731" i="27" s="1"/>
  <c r="E1730" i="27"/>
  <c r="D1730" i="27" s="1"/>
  <c r="E1729" i="27"/>
  <c r="D1729" i="27" s="1"/>
  <c r="E1728" i="27"/>
  <c r="D1728" i="27" s="1"/>
  <c r="E1727" i="27"/>
  <c r="D1727" i="27" s="1"/>
  <c r="E1726" i="27"/>
  <c r="D1726" i="27" s="1"/>
  <c r="E1725" i="27"/>
  <c r="D1725" i="27" s="1"/>
  <c r="E1724" i="27"/>
  <c r="D1724" i="27" s="1"/>
  <c r="E1723" i="27"/>
  <c r="D1723" i="27" s="1"/>
  <c r="E1722" i="27"/>
  <c r="D1722" i="27" s="1"/>
  <c r="E1721" i="27"/>
  <c r="D1721" i="27" s="1"/>
  <c r="E1720" i="27"/>
  <c r="D1720" i="27" s="1"/>
  <c r="E1719" i="27"/>
  <c r="D1719" i="27" s="1"/>
  <c r="E1718" i="27"/>
  <c r="D1718" i="27" s="1"/>
  <c r="E1717" i="27"/>
  <c r="D1717" i="27" s="1"/>
  <c r="E1716" i="27"/>
  <c r="D1716" i="27" s="1"/>
  <c r="E1715" i="27"/>
  <c r="D1715" i="27" s="1"/>
  <c r="E1714" i="27"/>
  <c r="D1714" i="27" s="1"/>
  <c r="E1713" i="27"/>
  <c r="D1713" i="27" s="1"/>
  <c r="E1712" i="27"/>
  <c r="D1712" i="27" s="1"/>
  <c r="E1711" i="27"/>
  <c r="D1711" i="27" s="1"/>
  <c r="E1710" i="27"/>
  <c r="D1710" i="27" s="1"/>
  <c r="E1709" i="27"/>
  <c r="D1709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A85" i="29" s="1"/>
  <c r="E1614" i="27"/>
  <c r="D1614" i="27" s="1"/>
  <c r="A84" i="29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A83" i="25" s="1"/>
  <c r="A84" i="25" s="1"/>
  <c r="A85" i="25" s="1"/>
  <c r="A86" i="25" s="1"/>
  <c r="E1597" i="27"/>
  <c r="D1597" i="27" s="1"/>
  <c r="A67" i="25" s="1"/>
  <c r="A68" i="25" s="1"/>
  <c r="A69" i="25" s="1"/>
  <c r="A70" i="25" s="1"/>
  <c r="A71" i="25" s="1"/>
  <c r="E1596" i="27"/>
  <c r="D1596" i="27" s="1"/>
  <c r="A66" i="25" s="1"/>
  <c r="E1595" i="27"/>
  <c r="D1595" i="27" s="1"/>
  <c r="A56" i="25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E1580" i="27"/>
  <c r="D1580" i="27" s="1"/>
  <c r="E1579" i="27"/>
  <c r="D1579" i="27" s="1"/>
  <c r="E1578" i="27"/>
  <c r="D1578" i="27" s="1"/>
  <c r="A23" i="38" s="1"/>
  <c r="E1577" i="27"/>
  <c r="D1577" i="27" s="1"/>
  <c r="A164" i="25" s="1"/>
  <c r="E1576" i="27"/>
  <c r="D1576" i="27" s="1"/>
  <c r="A15" i="25" s="1"/>
  <c r="E1575" i="27"/>
  <c r="D1575" i="27" s="1"/>
  <c r="A133" i="25" s="1"/>
  <c r="A134" i="25" s="1"/>
  <c r="A135" i="25" s="1"/>
  <c r="A136" i="25" s="1"/>
  <c r="A137" i="25" s="1"/>
  <c r="E1574" i="27"/>
  <c r="D1574" i="27" s="1"/>
  <c r="A82" i="25" s="1"/>
  <c r="E1573" i="27"/>
  <c r="D1573" i="27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E1545" i="27"/>
  <c r="D1545" i="27" s="1"/>
  <c r="A166" i="29" s="1"/>
  <c r="E1544" i="27"/>
  <c r="D1544" i="27" s="1"/>
  <c r="E1543" i="27"/>
  <c r="D1543" i="27" s="1"/>
  <c r="A165" i="29" s="1"/>
  <c r="E1542" i="27"/>
  <c r="D1542" i="27" s="1"/>
  <c r="A100" i="29" s="1"/>
  <c r="E1541" i="27"/>
  <c r="D1541" i="27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33" i="27"/>
  <c r="D1533" i="27" s="1"/>
  <c r="E1532" i="27"/>
  <c r="D1532" i="27" s="1"/>
  <c r="E1531" i="27"/>
  <c r="D1531" i="27" s="1"/>
  <c r="E1530" i="27"/>
  <c r="D1530" i="27" s="1"/>
  <c r="E1529" i="27"/>
  <c r="D1529" i="27" s="1"/>
  <c r="E1528" i="27"/>
  <c r="D1528" i="27" s="1"/>
  <c r="E1527" i="27"/>
  <c r="D1527" i="27" s="1"/>
  <c r="E1526" i="27"/>
  <c r="D1526" i="27" s="1"/>
  <c r="E1525" i="27"/>
  <c r="D1525" i="27" s="1"/>
  <c r="E1524" i="27"/>
  <c r="D1524" i="27" s="1"/>
  <c r="E1523" i="27"/>
  <c r="D1523" i="27" s="1"/>
  <c r="E1522" i="27"/>
  <c r="D1522" i="27" s="1"/>
  <c r="E1521" i="27"/>
  <c r="D1521" i="27" s="1"/>
  <c r="A95" i="29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A94" i="29" s="1"/>
  <c r="E1513" i="27"/>
  <c r="D1513" i="27" s="1"/>
  <c r="A103" i="29" s="1"/>
  <c r="E1512" i="27"/>
  <c r="D1512" i="27" s="1"/>
  <c r="A106" i="29" s="1"/>
  <c r="E1511" i="27"/>
  <c r="D1511" i="27" s="1"/>
  <c r="E1510" i="27"/>
  <c r="D1510" i="27" s="1"/>
  <c r="E1509" i="27"/>
  <c r="D1509" i="27" s="1"/>
  <c r="A101" i="25" s="1"/>
  <c r="E1508" i="27"/>
  <c r="D1508" i="27" s="1"/>
  <c r="A173" i="25" s="1"/>
  <c r="E1507" i="27"/>
  <c r="D1507" i="27" s="1"/>
  <c r="A104" i="25" s="1"/>
  <c r="E1506" i="27"/>
  <c r="D1506" i="27" s="1"/>
  <c r="E1505" i="27"/>
  <c r="D1505" i="27" s="1"/>
  <c r="E1504" i="27"/>
  <c r="D1504" i="27" s="1"/>
  <c r="A81" i="25" s="1"/>
  <c r="E1503" i="27"/>
  <c r="D1503" i="27" s="1"/>
  <c r="E1502" i="27"/>
  <c r="D1502" i="27" s="1"/>
  <c r="E1501" i="27"/>
  <c r="D1501" i="27" s="1"/>
  <c r="E1500" i="27"/>
  <c r="D1500" i="27" s="1"/>
  <c r="A44" i="38" s="1"/>
  <c r="A45" i="38" s="1"/>
  <c r="A46" i="38" s="1"/>
  <c r="A47" i="38" s="1"/>
  <c r="A48" i="38" s="1"/>
  <c r="A49" i="38" s="1"/>
  <c r="A50" i="38" s="1"/>
  <c r="A51" i="38" s="1"/>
  <c r="E1499" i="27"/>
  <c r="D1499" i="27" s="1"/>
  <c r="A37" i="38" s="1"/>
  <c r="E1498" i="27"/>
  <c r="D1498" i="27" s="1"/>
  <c r="A64" i="25" s="1"/>
  <c r="E1497" i="27"/>
  <c r="D1497" i="27" s="1"/>
  <c r="E1496" i="27"/>
  <c r="D1496" i="27" s="1"/>
  <c r="A102" i="25" s="1"/>
  <c r="E1495" i="27"/>
  <c r="D1495" i="27" s="1"/>
  <c r="E1494" i="27"/>
  <c r="D1494" i="27" s="1"/>
  <c r="E1493" i="27"/>
  <c r="D1493" i="27" s="1"/>
  <c r="A148" i="23" s="1"/>
  <c r="E1492" i="27"/>
  <c r="D1492" i="27" s="1"/>
  <c r="E1491" i="27"/>
  <c r="D1491" i="27" s="1"/>
  <c r="A146" i="23" s="1"/>
  <c r="E1490" i="27"/>
  <c r="D1490" i="27" s="1"/>
  <c r="A139" i="29" s="1"/>
  <c r="E1489" i="27"/>
  <c r="D1489" i="27" s="1"/>
  <c r="A83" i="29" s="1"/>
  <c r="E1488" i="27"/>
  <c r="D1488" i="27" s="1"/>
  <c r="A82" i="29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A52" i="25" s="1"/>
  <c r="E1482" i="27"/>
  <c r="D1482" i="27" s="1"/>
  <c r="E1481" i="27"/>
  <c r="D1481" i="27" s="1"/>
  <c r="A105" i="29" s="1"/>
  <c r="E1480" i="27"/>
  <c r="D1480" i="27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E1474" i="27"/>
  <c r="D1474" i="27" s="1"/>
  <c r="E1473" i="27"/>
  <c r="D1473" i="27" s="1"/>
  <c r="E1472" i="27"/>
  <c r="D1472" i="27" s="1"/>
  <c r="E1471" i="27"/>
  <c r="D1471" i="27" s="1"/>
  <c r="E1470" i="27"/>
  <c r="D1470" i="27" s="1"/>
  <c r="E1469" i="27"/>
  <c r="D1469" i="27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A156" i="25" s="1"/>
  <c r="E1461" i="27"/>
  <c r="D1461" i="27" s="1"/>
  <c r="E1460" i="27"/>
  <c r="D1460" i="27" s="1"/>
  <c r="E1459" i="27"/>
  <c r="D1459" i="27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A155" i="25" s="1"/>
  <c r="E1449" i="27"/>
  <c r="D1449" i="27" s="1"/>
  <c r="E1448" i="27"/>
  <c r="D1448" i="27" s="1"/>
  <c r="A81" i="29" s="1"/>
  <c r="E1447" i="27"/>
  <c r="D1447" i="27" s="1"/>
  <c r="E1446" i="27"/>
  <c r="D1446" i="27" s="1"/>
  <c r="A8" i="38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A100" i="25" s="1"/>
  <c r="E1436" i="27"/>
  <c r="D1436" i="27" s="1"/>
  <c r="E1435" i="27"/>
  <c r="D1435" i="27" s="1"/>
  <c r="A17" i="25" s="1"/>
  <c r="E1434" i="27"/>
  <c r="D1434" i="27" s="1"/>
  <c r="E1433" i="27"/>
  <c r="D1433" i="27" s="1"/>
  <c r="E1432" i="27"/>
  <c r="D1432" i="27" s="1"/>
  <c r="E1431" i="27"/>
  <c r="D1431" i="27" s="1"/>
  <c r="E1430" i="27"/>
  <c r="D1430" i="27" s="1"/>
  <c r="E1429" i="27"/>
  <c r="D1429" i="27" s="1"/>
  <c r="A154" i="25" s="1"/>
  <c r="E1428" i="27"/>
  <c r="D1428" i="27" s="1"/>
  <c r="E1427" i="27"/>
  <c r="D1427" i="27" s="1"/>
  <c r="A64" i="23" s="1"/>
  <c r="E1426" i="27"/>
  <c r="D1426" i="27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A138" i="29" s="1"/>
  <c r="E1418" i="27"/>
  <c r="D1418" i="27" s="1"/>
  <c r="E1417" i="27"/>
  <c r="D1417" i="27" s="1"/>
  <c r="A137" i="29" s="1"/>
  <c r="E1416" i="27"/>
  <c r="D1416" i="27" s="1"/>
  <c r="A136" i="29" s="1"/>
  <c r="E1415" i="27"/>
  <c r="D1415" i="27" s="1"/>
  <c r="E1414" i="27"/>
  <c r="D1414" i="27" s="1"/>
  <c r="E1413" i="27"/>
  <c r="D1413" i="27" s="1"/>
  <c r="A84" i="23" s="1"/>
  <c r="E1412" i="27"/>
  <c r="D1412" i="27" s="1"/>
  <c r="E1411" i="27"/>
  <c r="D1411" i="27" s="1"/>
  <c r="A73" i="25" s="1"/>
  <c r="E1410" i="27"/>
  <c r="D1410" i="27" s="1"/>
  <c r="A83" i="23" s="1"/>
  <c r="E1409" i="27"/>
  <c r="D1409" i="27" s="1"/>
  <c r="E1408" i="27"/>
  <c r="D1408" i="27" s="1"/>
  <c r="E1407" i="27"/>
  <c r="D1407" i="27" s="1"/>
  <c r="E1406" i="27"/>
  <c r="D1406" i="27" s="1"/>
  <c r="E1405" i="27"/>
  <c r="D1405" i="27" s="1"/>
  <c r="E1404" i="27"/>
  <c r="D1404" i="27" s="1"/>
  <c r="E1403" i="27"/>
  <c r="D1403" i="27" s="1"/>
  <c r="E1402" i="27"/>
  <c r="D1402" i="27" s="1"/>
  <c r="E1401" i="27"/>
  <c r="D1401" i="27" s="1"/>
  <c r="A74" i="29" s="1"/>
  <c r="E1400" i="27"/>
  <c r="D1400" i="27" s="1"/>
  <c r="E1399" i="27"/>
  <c r="D1399" i="27" s="1"/>
  <c r="A162" i="25" s="1"/>
  <c r="E1398" i="27"/>
  <c r="D1398" i="27" s="1"/>
  <c r="A166" i="23" s="1"/>
  <c r="E1397" i="27"/>
  <c r="D1397" i="27" s="1"/>
  <c r="A25" i="25" s="1"/>
  <c r="E1396" i="27"/>
  <c r="D1396" i="27" s="1"/>
  <c r="E1395" i="27"/>
  <c r="D1395" i="27" s="1"/>
  <c r="E1394" i="27"/>
  <c r="D1394" i="27" s="1"/>
  <c r="A35" i="25" s="1"/>
  <c r="E1393" i="27"/>
  <c r="D1393" i="27" s="1"/>
  <c r="A5" i="38" s="1"/>
  <c r="E1392" i="27"/>
  <c r="D1392" i="27" s="1"/>
  <c r="A93" i="25" s="1"/>
  <c r="E1391" i="27"/>
  <c r="D1391" i="27" s="1"/>
  <c r="E1390" i="27"/>
  <c r="D1390" i="27" s="1"/>
  <c r="E1389" i="27"/>
  <c r="D1389" i="27" s="1"/>
  <c r="E1759" i="27"/>
  <c r="D1759" i="27" s="1"/>
  <c r="E1386" i="27"/>
  <c r="D1386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79" i="27"/>
  <c r="D1379" i="27" s="1"/>
  <c r="E1378" i="27"/>
  <c r="D1378" i="27" s="1"/>
  <c r="E1377" i="27"/>
  <c r="D1377" i="27" s="1"/>
  <c r="A135" i="29" s="1"/>
  <c r="E1376" i="27"/>
  <c r="D1376" i="27" s="1"/>
  <c r="A134" i="29" s="1"/>
  <c r="E1375" i="27"/>
  <c r="D1375" i="27" s="1"/>
  <c r="A133" i="29" s="1"/>
  <c r="E1374" i="27"/>
  <c r="D1374" i="27" s="1"/>
  <c r="A132" i="29" s="1"/>
  <c r="E1373" i="27"/>
  <c r="D1373" i="27" s="1"/>
  <c r="E1372" i="27"/>
  <c r="D1372" i="27" s="1"/>
  <c r="E1371" i="27"/>
  <c r="D1371" i="27" s="1"/>
  <c r="E1370" i="27"/>
  <c r="D1370" i="27" s="1"/>
  <c r="A153" i="25" s="1"/>
  <c r="E1369" i="27"/>
  <c r="D1369" i="27" s="1"/>
  <c r="A99" i="25" s="1"/>
  <c r="E1368" i="27"/>
  <c r="D1368" i="27" s="1"/>
  <c r="A152" i="25" s="1"/>
  <c r="E1367" i="27"/>
  <c r="D1367" i="27" s="1"/>
  <c r="A42" i="38" s="1"/>
  <c r="A43" i="38" s="1"/>
  <c r="E1366" i="27"/>
  <c r="D1366" i="27" s="1"/>
  <c r="A65" i="38" s="1"/>
  <c r="E1365" i="27"/>
  <c r="D1365" i="27" s="1"/>
  <c r="E1364" i="27"/>
  <c r="D1364" i="27" s="1"/>
  <c r="E1363" i="27"/>
  <c r="D1363" i="27" s="1"/>
  <c r="E1362" i="27"/>
  <c r="D1362" i="27" s="1"/>
  <c r="E1361" i="27"/>
  <c r="D1361" i="27" s="1"/>
  <c r="E1360" i="27"/>
  <c r="D1360" i="27" s="1"/>
  <c r="A152" i="29" s="1"/>
  <c r="E1359" i="27"/>
  <c r="D1359" i="27" s="1"/>
  <c r="A163" i="25" s="1"/>
  <c r="E1358" i="27"/>
  <c r="D1358" i="27" s="1"/>
  <c r="E1357" i="27"/>
  <c r="D1357" i="27" s="1"/>
  <c r="A53" i="25" s="1"/>
  <c r="E1356" i="27"/>
  <c r="D1356" i="27" s="1"/>
  <c r="A60" i="25" s="1"/>
  <c r="E1355" i="27"/>
  <c r="D1355" i="27" s="1"/>
  <c r="A30" i="25" s="1"/>
  <c r="E1354" i="27"/>
  <c r="D1354" i="27" s="1"/>
  <c r="E1353" i="27"/>
  <c r="D1353" i="27" s="1"/>
  <c r="E1352" i="27"/>
  <c r="D1352" i="27" s="1"/>
  <c r="A174" i="23" s="1"/>
  <c r="E1351" i="27"/>
  <c r="D1351" i="27" s="1"/>
  <c r="E1350" i="27"/>
  <c r="D1350" i="27" s="1"/>
  <c r="E1349" i="27"/>
  <c r="D1349" i="27" s="1"/>
  <c r="E1348" i="27"/>
  <c r="D1348" i="27" s="1"/>
  <c r="A71" i="29" s="1"/>
  <c r="E1347" i="27"/>
  <c r="D1347" i="27" s="1"/>
  <c r="E1346" i="27"/>
  <c r="D1346" i="27" s="1"/>
  <c r="A172" i="25" s="1"/>
  <c r="E1345" i="27"/>
  <c r="D1345" i="27" s="1"/>
  <c r="A171" i="25" s="1"/>
  <c r="E1344" i="27"/>
  <c r="D1344" i="27" s="1"/>
  <c r="A98" i="25" s="1"/>
  <c r="E1343" i="27"/>
  <c r="D1343" i="27" s="1"/>
  <c r="A177" i="23" s="1"/>
  <c r="E1342" i="27"/>
  <c r="D1342" i="27" s="1"/>
  <c r="A22" i="29" s="1"/>
  <c r="E1341" i="27"/>
  <c r="D1341" i="27" s="1"/>
  <c r="E1340" i="27"/>
  <c r="D1340" i="27" s="1"/>
  <c r="A18" i="29" s="1"/>
  <c r="E1339" i="27"/>
  <c r="D1339" i="27" s="1"/>
  <c r="E1338" i="27"/>
  <c r="D1338" i="27" s="1"/>
  <c r="E1337" i="27"/>
  <c r="D1337" i="27" s="1"/>
  <c r="E1336" i="27"/>
  <c r="D1336" i="27" s="1"/>
  <c r="E1335" i="27"/>
  <c r="D1335" i="27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E1329" i="27"/>
  <c r="D1329" i="27" s="1"/>
  <c r="A18" i="25" s="1"/>
  <c r="E1328" i="27"/>
  <c r="D1328" i="27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A62" i="23" s="1"/>
  <c r="E1319" i="27"/>
  <c r="D1319" i="27" s="1"/>
  <c r="A162" i="23" s="1"/>
  <c r="E1318" i="27"/>
  <c r="D1318" i="27" s="1"/>
  <c r="A63" i="25" s="1"/>
  <c r="E1317" i="27"/>
  <c r="D1317" i="27" s="1"/>
  <c r="E1316" i="27"/>
  <c r="D1316" i="27" s="1"/>
  <c r="E1315" i="27"/>
  <c r="D1315" i="27" s="1"/>
  <c r="A12" i="25" s="1"/>
  <c r="E1314" i="27"/>
  <c r="D1314" i="27" s="1"/>
  <c r="E1313" i="27"/>
  <c r="D1313" i="27" s="1"/>
  <c r="E1312" i="27"/>
  <c r="D1312" i="27" s="1"/>
  <c r="E1311" i="27"/>
  <c r="D1311" i="27" s="1"/>
  <c r="A38" i="23" s="1"/>
  <c r="E1310" i="27"/>
  <c r="D1310" i="27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A161" i="23" s="1"/>
  <c r="E1303" i="27"/>
  <c r="D1303" i="27" s="1"/>
  <c r="A97" i="25" s="1"/>
  <c r="E1302" i="27"/>
  <c r="D1302" i="27" s="1"/>
  <c r="A124" i="25" s="1"/>
  <c r="E1301" i="27"/>
  <c r="D1301" i="27" s="1"/>
  <c r="E1300" i="27"/>
  <c r="D1300" i="27" s="1"/>
  <c r="E1299" i="27"/>
  <c r="D1299" i="27" s="1"/>
  <c r="A41" i="25" s="1"/>
  <c r="E1298" i="27"/>
  <c r="D1298" i="27" s="1"/>
  <c r="E1297" i="27"/>
  <c r="D1297" i="27" s="1"/>
  <c r="A76" i="23" s="1"/>
  <c r="E1296" i="27"/>
  <c r="D1296" i="27" s="1"/>
  <c r="A96" i="25" s="1"/>
  <c r="E1295" i="27"/>
  <c r="D1295" i="27" s="1"/>
  <c r="A123" i="25" s="1"/>
  <c r="E1294" i="27"/>
  <c r="D1294" i="27" s="1"/>
  <c r="E1293" i="27"/>
  <c r="D1293" i="27" s="1"/>
  <c r="A64" i="38" s="1"/>
  <c r="E1292" i="27"/>
  <c r="D1292" i="27" s="1"/>
  <c r="A63" i="38" s="1"/>
  <c r="E1291" i="27"/>
  <c r="D1291" i="27" s="1"/>
  <c r="A116" i="23" s="1"/>
  <c r="E1290" i="27"/>
  <c r="D1290" i="27" s="1"/>
  <c r="A122" i="25" s="1"/>
  <c r="E1289" i="27"/>
  <c r="D1289" i="27" s="1"/>
  <c r="E1288" i="27"/>
  <c r="D1288" i="27" s="1"/>
  <c r="E1287" i="27"/>
  <c r="D1287" i="27" s="1"/>
  <c r="A87" i="29" s="1"/>
  <c r="E1286" i="27"/>
  <c r="D1286" i="27" s="1"/>
  <c r="E1285" i="27"/>
  <c r="D1285" i="27" s="1"/>
  <c r="E1284" i="27"/>
  <c r="D1284" i="27" s="1"/>
  <c r="A131" i="29" s="1"/>
  <c r="E1283" i="27"/>
  <c r="D1283" i="27" s="1"/>
  <c r="E1282" i="27"/>
  <c r="D1282" i="27" s="1"/>
  <c r="E1281" i="27"/>
  <c r="D1281" i="27" s="1"/>
  <c r="A160" i="29" s="1"/>
  <c r="E1280" i="27"/>
  <c r="D1280" i="27" s="1"/>
  <c r="A159" i="29" s="1"/>
  <c r="E1279" i="27"/>
  <c r="D1279" i="27" s="1"/>
  <c r="A125" i="25" s="1"/>
  <c r="E1278" i="27"/>
  <c r="D1278" i="27" s="1"/>
  <c r="A76" i="25" s="1"/>
  <c r="E1277" i="27"/>
  <c r="D1277" i="27" s="1"/>
  <c r="A151" i="25" s="1"/>
  <c r="E1276" i="27"/>
  <c r="D1276" i="27" s="1"/>
  <c r="A59" i="25" s="1"/>
  <c r="E1275" i="27"/>
  <c r="D1275" i="27" s="1"/>
  <c r="E1274" i="27"/>
  <c r="D1274" i="27" s="1"/>
  <c r="E1273" i="27"/>
  <c r="D1273" i="27" s="1"/>
  <c r="E1272" i="27"/>
  <c r="D1272" i="27" s="1"/>
  <c r="E1271" i="27"/>
  <c r="D1271" i="27" s="1"/>
  <c r="E1270" i="27"/>
  <c r="D1270" i="27" s="1"/>
  <c r="E1269" i="27"/>
  <c r="D1269" i="27" s="1"/>
  <c r="E1268" i="27"/>
  <c r="D1268" i="27" s="1"/>
  <c r="E1267" i="27"/>
  <c r="D1267" i="27" s="1"/>
  <c r="E1266" i="27"/>
  <c r="D1266" i="27" s="1"/>
  <c r="E1265" i="27"/>
  <c r="D1265" i="27" s="1"/>
  <c r="E1264" i="27"/>
  <c r="D1264" i="27" s="1"/>
  <c r="A28" i="29" s="1"/>
  <c r="E1263" i="27"/>
  <c r="D1263" i="27" s="1"/>
  <c r="E1262" i="27"/>
  <c r="D1262" i="27" s="1"/>
  <c r="E1261" i="27"/>
  <c r="D1261" i="27" s="1"/>
  <c r="E1260" i="27"/>
  <c r="D1260" i="27" s="1"/>
  <c r="A49" i="29" s="1"/>
  <c r="E1259" i="27"/>
  <c r="D1259" i="27" s="1"/>
  <c r="A62" i="25" s="1"/>
  <c r="E1258" i="27"/>
  <c r="D1258" i="27" s="1"/>
  <c r="E1257" i="27"/>
  <c r="D1257" i="27" s="1"/>
  <c r="A158" i="29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A43" i="25" s="1"/>
  <c r="E1244" i="27"/>
  <c r="D1244" i="27" s="1"/>
  <c r="E1243" i="27"/>
  <c r="D1243" i="27" s="1"/>
  <c r="A89" i="23" s="1"/>
  <c r="E1242" i="27"/>
  <c r="D1242" i="27" s="1"/>
  <c r="E1241" i="27"/>
  <c r="D1241" i="27" s="1"/>
  <c r="A58" i="23" s="1"/>
  <c r="E1240" i="27"/>
  <c r="D1240" i="27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E1207" i="27"/>
  <c r="D1207" i="27" s="1"/>
  <c r="E1206" i="27"/>
  <c r="D1206" i="27" s="1"/>
  <c r="E1205" i="27"/>
  <c r="D1205" i="27" s="1"/>
  <c r="E1204" i="27"/>
  <c r="D1204" i="27" s="1"/>
  <c r="E1203" i="27"/>
  <c r="D1203" i="27" s="1"/>
  <c r="A157" i="29" s="1"/>
  <c r="E1202" i="27"/>
  <c r="D1202" i="27" s="1"/>
  <c r="E1201" i="27"/>
  <c r="D1201" i="27" s="1"/>
  <c r="E1200" i="27"/>
  <c r="D1200" i="27" s="1"/>
  <c r="E1199" i="27"/>
  <c r="D1199" i="27" s="1"/>
  <c r="E1198" i="27"/>
  <c r="D1198" i="27" s="1"/>
  <c r="E1197" i="27"/>
  <c r="D1197" i="27" s="1"/>
  <c r="A130" i="29" s="1"/>
  <c r="E1196" i="27"/>
  <c r="D1196" i="27" s="1"/>
  <c r="E1195" i="27"/>
  <c r="D1195" i="27" s="1"/>
  <c r="E1194" i="27"/>
  <c r="D1194" i="27" s="1"/>
  <c r="E1193" i="27"/>
  <c r="D1193" i="27" s="1"/>
  <c r="A150" i="25" s="1"/>
  <c r="E1192" i="27"/>
  <c r="D1192" i="27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A75" i="29" s="1"/>
  <c r="E1182" i="27"/>
  <c r="D1182" i="27" s="1"/>
  <c r="A36" i="38" s="1"/>
  <c r="E1181" i="27"/>
  <c r="D1181" i="27" s="1"/>
  <c r="E1180" i="27"/>
  <c r="D1180" i="27" s="1"/>
  <c r="A26" i="29" s="1"/>
  <c r="E1179" i="27"/>
  <c r="D1179" i="27" s="1"/>
  <c r="A37" i="23" s="1"/>
  <c r="E1178" i="27"/>
  <c r="D1178" i="27" s="1"/>
  <c r="A16" i="25" s="1"/>
  <c r="E1177" i="27"/>
  <c r="D1177" i="27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A93" i="23" s="1"/>
  <c r="E1166" i="27"/>
  <c r="D1166" i="27" s="1"/>
  <c r="A146" i="25" s="1"/>
  <c r="A147" i="25" s="1"/>
  <c r="E1165" i="27"/>
  <c r="D1165" i="27" s="1"/>
  <c r="A121" i="25" s="1"/>
  <c r="E1164" i="27"/>
  <c r="D1164" i="27" s="1"/>
  <c r="A80" i="25" s="1"/>
  <c r="E1163" i="27"/>
  <c r="D1163" i="27" s="1"/>
  <c r="A40" i="25" s="1"/>
  <c r="E1162" i="27"/>
  <c r="D1162" i="27" s="1"/>
  <c r="A90" i="25" s="1"/>
  <c r="E1161" i="27"/>
  <c r="D1161" i="27" s="1"/>
  <c r="A118" i="38" s="1"/>
  <c r="E1160" i="27"/>
  <c r="D1160" i="27" s="1"/>
  <c r="A107" i="29" s="1"/>
  <c r="E1159" i="27"/>
  <c r="D1159" i="27" s="1"/>
  <c r="A145" i="25" s="1"/>
  <c r="E1158" i="27"/>
  <c r="D1158" i="27" s="1"/>
  <c r="A120" i="25" s="1"/>
  <c r="E1157" i="27"/>
  <c r="D1157" i="27" s="1"/>
  <c r="A144" i="25" s="1"/>
  <c r="E1156" i="27"/>
  <c r="D1156" i="27" s="1"/>
  <c r="A75" i="25" s="1"/>
  <c r="E1155" i="27"/>
  <c r="D1155" i="27" s="1"/>
  <c r="A117" i="38" s="1"/>
  <c r="E1154" i="27"/>
  <c r="D1154" i="27" s="1"/>
  <c r="E1153" i="27"/>
  <c r="D1153" i="27" s="1"/>
  <c r="E1152" i="27"/>
  <c r="D1152" i="27" s="1"/>
  <c r="E1151" i="27"/>
  <c r="D1151" i="27" s="1"/>
  <c r="A116" i="38" s="1"/>
  <c r="E1150" i="27"/>
  <c r="D1150" i="27" s="1"/>
  <c r="E1149" i="27"/>
  <c r="D1149" i="27" s="1"/>
  <c r="E1148" i="27"/>
  <c r="D1148" i="27" s="1"/>
  <c r="E1147" i="27"/>
  <c r="D1147" i="27" s="1"/>
  <c r="E1146" i="27"/>
  <c r="D1146" i="27" s="1"/>
  <c r="A143" i="25" s="1"/>
  <c r="E1145" i="27"/>
  <c r="D1145" i="27" s="1"/>
  <c r="A187" i="25" s="1"/>
  <c r="E1144" i="27"/>
  <c r="D1144" i="27" s="1"/>
  <c r="A142" i="25" s="1"/>
  <c r="E1143" i="27"/>
  <c r="D1143" i="27" s="1"/>
  <c r="A186" i="25" s="1"/>
  <c r="E1142" i="27"/>
  <c r="D1142" i="27" s="1"/>
  <c r="A185" i="25" s="1"/>
  <c r="E1141" i="27"/>
  <c r="D1141" i="27" s="1"/>
  <c r="A184" i="25" s="1"/>
  <c r="E1140" i="27"/>
  <c r="D1140" i="27" s="1"/>
  <c r="E1139" i="27"/>
  <c r="D1139" i="27" s="1"/>
  <c r="A183" i="25" s="1"/>
  <c r="E1138" i="27"/>
  <c r="D1138" i="27" s="1"/>
  <c r="A50" i="29" s="1"/>
  <c r="E1137" i="27"/>
  <c r="D1137" i="27" s="1"/>
  <c r="A108" i="29" s="1"/>
  <c r="E1136" i="27"/>
  <c r="D1136" i="27" s="1"/>
  <c r="A182" i="25" s="1"/>
  <c r="E1135" i="27"/>
  <c r="D1135" i="27" s="1"/>
  <c r="E1134" i="27"/>
  <c r="D1134" i="27" s="1"/>
  <c r="A6" i="38" s="1"/>
  <c r="E1133" i="27"/>
  <c r="D1133" i="27" s="1"/>
  <c r="A10" i="25" s="1"/>
  <c r="E1132" i="27"/>
  <c r="D1132" i="27" s="1"/>
  <c r="A119" i="25" s="1"/>
  <c r="E1131" i="27"/>
  <c r="D1131" i="27" s="1"/>
  <c r="A118" i="25" s="1"/>
  <c r="E1130" i="27"/>
  <c r="D1130" i="27" s="1"/>
  <c r="A117" i="25" s="1"/>
  <c r="E1129" i="27"/>
  <c r="D1129" i="27" s="1"/>
  <c r="A62" i="38" s="1"/>
  <c r="E1128" i="27"/>
  <c r="D1128" i="27" s="1"/>
  <c r="A45" i="25" s="1"/>
  <c r="E1127" i="27"/>
  <c r="D1127" i="27" s="1"/>
  <c r="A116" i="25" s="1"/>
  <c r="E1126" i="27"/>
  <c r="D1126" i="27" s="1"/>
  <c r="A188" i="23" s="1"/>
  <c r="E1125" i="27"/>
  <c r="D1125" i="27" s="1"/>
  <c r="A111" i="25" s="1"/>
  <c r="E1124" i="27"/>
  <c r="D1124" i="27" s="1"/>
  <c r="A186" i="23" s="1"/>
  <c r="E1123" i="27"/>
  <c r="D1123" i="27" s="1"/>
  <c r="A181" i="29" s="1"/>
  <c r="E1122" i="27"/>
  <c r="D1122" i="27" s="1"/>
  <c r="A128" i="29" s="1"/>
  <c r="E1121" i="27"/>
  <c r="D1121" i="27" s="1"/>
  <c r="E1120" i="27"/>
  <c r="D1120" i="27" s="1"/>
  <c r="A180" i="29" s="1"/>
  <c r="E1119" i="27"/>
  <c r="D1119" i="27" s="1"/>
  <c r="E1118" i="27"/>
  <c r="D1118" i="27" s="1"/>
  <c r="E1117" i="27"/>
  <c r="D1117" i="27" s="1"/>
  <c r="A72" i="25" s="1"/>
  <c r="E1116" i="27"/>
  <c r="D1116" i="27" s="1"/>
  <c r="E1115" i="27"/>
  <c r="D1115" i="27" s="1"/>
  <c r="E1114" i="27"/>
  <c r="D1114" i="27" s="1"/>
  <c r="E1113" i="27"/>
  <c r="D1113" i="27" s="1"/>
  <c r="A115" i="25" s="1"/>
  <c r="E1112" i="27"/>
  <c r="D1112" i="27" s="1"/>
  <c r="E1111" i="27"/>
  <c r="D1111" i="27" s="1"/>
  <c r="A38" i="29" s="1"/>
  <c r="E1110" i="27"/>
  <c r="D1110" i="27" s="1"/>
  <c r="E1109" i="27"/>
  <c r="D1109" i="27" s="1"/>
  <c r="E1108" i="27"/>
  <c r="D1108" i="27" s="1"/>
  <c r="E1107" i="27"/>
  <c r="D1107" i="27" s="1"/>
  <c r="A181" i="25" s="1"/>
  <c r="E1106" i="27"/>
  <c r="D1106" i="27" s="1"/>
  <c r="A180" i="25" s="1"/>
  <c r="E1105" i="27"/>
  <c r="D1105" i="27" s="1"/>
  <c r="E1104" i="27"/>
  <c r="D1104" i="27" s="1"/>
  <c r="A185" i="23" s="1"/>
  <c r="E1103" i="27"/>
  <c r="D1103" i="27" s="1"/>
  <c r="A52" i="38" s="1"/>
  <c r="E1102" i="27"/>
  <c r="D1102" i="27" s="1"/>
  <c r="A51" i="29" s="1"/>
  <c r="E1101" i="27"/>
  <c r="D1101" i="27" s="1"/>
  <c r="A21" i="38" s="1"/>
  <c r="E1100" i="27"/>
  <c r="D1100" i="27" s="1"/>
  <c r="E1099" i="27"/>
  <c r="D1099" i="27" s="1"/>
  <c r="A179" i="29" s="1"/>
  <c r="E1098" i="27"/>
  <c r="D1098" i="27" s="1"/>
  <c r="A178" i="29" s="1"/>
  <c r="E1097" i="27"/>
  <c r="D1097" i="27" s="1"/>
  <c r="A177" i="29" s="1"/>
  <c r="E1096" i="27"/>
  <c r="D1096" i="27" s="1"/>
  <c r="A176" i="29" s="1"/>
  <c r="E1095" i="27"/>
  <c r="D1095" i="27" s="1"/>
  <c r="A162" i="29" s="1"/>
  <c r="E1094" i="27"/>
  <c r="D1094" i="27" s="1"/>
  <c r="E1093" i="27"/>
  <c r="D1093" i="27" s="1"/>
  <c r="E1092" i="27"/>
  <c r="D1092" i="27" s="1"/>
  <c r="A178" i="25" s="1"/>
  <c r="E1091" i="27"/>
  <c r="D1091" i="27" s="1"/>
  <c r="A184" i="23" s="1"/>
  <c r="E1090" i="27"/>
  <c r="D1090" i="27" s="1"/>
  <c r="A17" i="29" s="1"/>
  <c r="E1089" i="27"/>
  <c r="D1089" i="27" s="1"/>
  <c r="E1088" i="27"/>
  <c r="D1088" i="27" s="1"/>
  <c r="A140" i="25" s="1"/>
  <c r="E1087" i="27"/>
  <c r="D1087" i="27" s="1"/>
  <c r="A175" i="29" s="1"/>
  <c r="E1086" i="27"/>
  <c r="D1086" i="27" s="1"/>
  <c r="A58" i="38" s="1"/>
  <c r="E1085" i="27"/>
  <c r="D1085" i="27" s="1"/>
  <c r="E1084" i="27"/>
  <c r="D1084" i="27" s="1"/>
  <c r="E1083" i="27"/>
  <c r="D1083" i="27" s="1"/>
  <c r="E1082" i="27"/>
  <c r="D1082" i="27" s="1"/>
  <c r="E1081" i="27"/>
  <c r="D1081" i="27" s="1"/>
  <c r="E1080" i="27"/>
  <c r="D1080" i="27" s="1"/>
  <c r="A38" i="25" s="1"/>
  <c r="E1079" i="27"/>
  <c r="D1079" i="27" s="1"/>
  <c r="A149" i="25" s="1"/>
  <c r="E1078" i="27"/>
  <c r="D1078" i="27" s="1"/>
  <c r="A21" i="29" s="1"/>
  <c r="E1077" i="27"/>
  <c r="D1077" i="27" s="1"/>
  <c r="E1076" i="27"/>
  <c r="D1076" i="27" s="1"/>
  <c r="A110" i="25" s="1"/>
  <c r="E1075" i="27"/>
  <c r="D1075" i="27" s="1"/>
  <c r="E1074" i="27"/>
  <c r="D1074" i="27" s="1"/>
  <c r="A177" i="25" s="1"/>
  <c r="E1073" i="27"/>
  <c r="D1073" i="27" s="1"/>
  <c r="A27" i="25" s="1"/>
  <c r="E1072" i="27"/>
  <c r="D1072" i="27" s="1"/>
  <c r="A9" i="38" s="1"/>
  <c r="E1071" i="27"/>
  <c r="D1071" i="27" s="1"/>
  <c r="E1070" i="27"/>
  <c r="D1070" i="27" s="1"/>
  <c r="E1069" i="27"/>
  <c r="D1069" i="27" s="1"/>
  <c r="E1068" i="27"/>
  <c r="D1068" i="27" s="1"/>
  <c r="E1067" i="27"/>
  <c r="D1067" i="27" s="1"/>
  <c r="A7" i="29" s="1"/>
  <c r="E1066" i="27"/>
  <c r="D1066" i="27" s="1"/>
  <c r="E1065" i="27"/>
  <c r="D1065" i="27" s="1"/>
  <c r="A110" i="29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A44" i="29" s="1"/>
  <c r="E1047" i="27"/>
  <c r="D1047" i="27" s="1"/>
  <c r="A43" i="23" s="1"/>
  <c r="E1046" i="27"/>
  <c r="D1046" i="27" s="1"/>
  <c r="A43" i="29" s="1"/>
  <c r="E1045" i="27"/>
  <c r="D1045" i="27" s="1"/>
  <c r="E1044" i="27"/>
  <c r="D1044" i="27" s="1"/>
  <c r="A59" i="38" s="1"/>
  <c r="E1043" i="27"/>
  <c r="D1043" i="27" s="1"/>
  <c r="E1042" i="27"/>
  <c r="D1042" i="27" s="1"/>
  <c r="E1041" i="27"/>
  <c r="D1041" i="27" s="1"/>
  <c r="A151" i="29" s="1"/>
  <c r="E1040" i="27"/>
  <c r="D1040" i="27" s="1"/>
  <c r="A16" i="38" s="1"/>
  <c r="E1039" i="27"/>
  <c r="D1039" i="27" s="1"/>
  <c r="A99" i="29" s="1"/>
  <c r="E1038" i="27"/>
  <c r="D1038" i="27" s="1"/>
  <c r="E1037" i="27"/>
  <c r="D1037" i="27" s="1"/>
  <c r="E1036" i="27"/>
  <c r="D1036" i="27" s="1"/>
  <c r="A86" i="29" s="1"/>
  <c r="E1035" i="27"/>
  <c r="D1035" i="27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A54" i="29" s="1"/>
  <c r="E995" i="27"/>
  <c r="D995" i="27" s="1"/>
  <c r="A132" i="23" s="1"/>
  <c r="E994" i="27"/>
  <c r="D994" i="27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A129" i="29" s="1"/>
  <c r="E987" i="27"/>
  <c r="D987" i="27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A136" i="23" s="1"/>
  <c r="E954" i="27"/>
  <c r="D954" i="27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A30" i="29" s="1"/>
  <c r="E947" i="27"/>
  <c r="D947" i="27" s="1"/>
  <c r="A72" i="29" s="1"/>
  <c r="E946" i="27"/>
  <c r="D946" i="27" s="1"/>
  <c r="E945" i="27"/>
  <c r="D945" i="27" s="1"/>
  <c r="E944" i="27"/>
  <c r="D944" i="27" s="1"/>
  <c r="E943" i="27"/>
  <c r="D943" i="27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A175" i="23" s="1"/>
  <c r="E930" i="27"/>
  <c r="D930" i="27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A67" i="29" s="1"/>
  <c r="E880" i="27"/>
  <c r="D880" i="27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A68" i="29" s="1"/>
  <c r="E859" i="27"/>
  <c r="D859" i="27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1" i="27"/>
  <c r="D831" i="27" s="1"/>
  <c r="A61" i="29" s="1"/>
  <c r="E830" i="27"/>
  <c r="D830" i="27" s="1"/>
  <c r="E829" i="27"/>
  <c r="D829" i="27" s="1"/>
  <c r="E828" i="27"/>
  <c r="D828" i="27" s="1"/>
  <c r="E827" i="27"/>
  <c r="D827" i="27" s="1"/>
  <c r="E826" i="27"/>
  <c r="D826" i="27" s="1"/>
  <c r="A134" i="23" s="1"/>
  <c r="E825" i="27"/>
  <c r="D825" i="27" s="1"/>
  <c r="E824" i="27"/>
  <c r="D824" i="27" s="1"/>
  <c r="E823" i="27"/>
  <c r="D823" i="27" s="1"/>
  <c r="A109" i="23" s="1"/>
  <c r="E822" i="27"/>
  <c r="D822" i="27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A174" i="29" s="1"/>
  <c r="E806" i="27"/>
  <c r="D806" i="27" s="1"/>
  <c r="E805" i="27"/>
  <c r="D805" i="27" s="1"/>
  <c r="E804" i="27"/>
  <c r="D804" i="27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A20" i="29" s="1"/>
  <c r="E792" i="27"/>
  <c r="D792" i="27" s="1"/>
  <c r="E791" i="27"/>
  <c r="D791" i="27" s="1"/>
  <c r="A142" i="29" s="1"/>
  <c r="E790" i="27"/>
  <c r="D790" i="27" s="1"/>
  <c r="E789" i="27"/>
  <c r="D789" i="27" s="1"/>
  <c r="E788" i="27"/>
  <c r="D788" i="27" s="1"/>
  <c r="E787" i="27"/>
  <c r="D787" i="27" s="1"/>
  <c r="E786" i="27"/>
  <c r="D786" i="27" s="1"/>
  <c r="A101" i="29" s="1"/>
  <c r="E785" i="27"/>
  <c r="D785" i="27" s="1"/>
  <c r="A6" i="29" s="1"/>
  <c r="E784" i="27"/>
  <c r="D784" i="27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A56" i="29" s="1"/>
  <c r="E766" i="27"/>
  <c r="D766" i="27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6" i="27"/>
  <c r="D746" i="27" s="1"/>
  <c r="E745" i="27"/>
  <c r="D745" i="27" s="1"/>
  <c r="A8" i="29" s="1"/>
  <c r="E744" i="27"/>
  <c r="D744" i="27" s="1"/>
  <c r="A72" i="23" s="1"/>
  <c r="E743" i="27"/>
  <c r="D743" i="27" s="1"/>
  <c r="E742" i="27"/>
  <c r="D742" i="27" s="1"/>
  <c r="E741" i="27"/>
  <c r="D741" i="27" s="1"/>
  <c r="A79" i="29" s="1"/>
  <c r="E740" i="27"/>
  <c r="D740" i="27" s="1"/>
  <c r="A156" i="29" s="1"/>
  <c r="E739" i="27"/>
  <c r="D739" i="27" s="1"/>
  <c r="E738" i="27"/>
  <c r="D738" i="27" s="1"/>
  <c r="E737" i="27"/>
  <c r="D737" i="27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A155" i="29" s="1"/>
  <c r="E726" i="27"/>
  <c r="D726" i="27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2" i="27"/>
  <c r="D652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A10" i="29" s="1"/>
  <c r="E629" i="27"/>
  <c r="D629" i="27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A23" i="29" s="1"/>
  <c r="E616" i="27"/>
  <c r="D616" i="27" s="1"/>
  <c r="E615" i="27"/>
  <c r="D615" i="27" s="1"/>
  <c r="A13" i="29" s="1"/>
  <c r="E614" i="27"/>
  <c r="D614" i="27" s="1"/>
  <c r="E613" i="27"/>
  <c r="D613" i="27" s="1"/>
  <c r="A19" i="29" s="1"/>
  <c r="E612" i="27"/>
  <c r="D612" i="27" s="1"/>
  <c r="A127" i="29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A154" i="29" s="1"/>
  <c r="E595" i="27"/>
  <c r="D595" i="27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A16" i="29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A57" i="29" s="1"/>
  <c r="E521" i="27"/>
  <c r="D521" i="27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E503" i="27"/>
  <c r="D503" i="27" s="1"/>
  <c r="E502" i="27"/>
  <c r="D502" i="27" s="1"/>
  <c r="E501" i="27"/>
  <c r="D501" i="27" s="1"/>
  <c r="E500" i="27"/>
  <c r="D500" i="27" s="1"/>
  <c r="A58" i="29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A161" i="29" s="1"/>
  <c r="E493" i="27"/>
  <c r="D493" i="27" s="1"/>
  <c r="E492" i="27"/>
  <c r="D492" i="27" s="1"/>
  <c r="A76" i="29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A12" i="29" s="1"/>
  <c r="E473" i="27"/>
  <c r="D473" i="27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A5" i="29" s="1"/>
  <c r="E462" i="27"/>
  <c r="D462" i="27" s="1"/>
  <c r="A34" i="29" s="1"/>
  <c r="E461" i="27"/>
  <c r="D461" i="27" s="1"/>
  <c r="A41" i="29" s="1"/>
  <c r="E460" i="27"/>
  <c r="D460" i="27" s="1"/>
  <c r="E459" i="27"/>
  <c r="D459" i="27" s="1"/>
  <c r="E458" i="27"/>
  <c r="D458" i="27" s="1"/>
  <c r="E457" i="27"/>
  <c r="D457" i="27" s="1"/>
  <c r="A35" i="29" s="1"/>
  <c r="E456" i="27"/>
  <c r="D456" i="27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A78" i="29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A133" i="23" s="1"/>
  <c r="E341" i="27"/>
  <c r="D341" i="27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A176" i="25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A45" i="29" s="1"/>
  <c r="E300" i="27"/>
  <c r="D300" i="27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A126" i="29" s="1"/>
  <c r="E284" i="27"/>
  <c r="D284" i="27" s="1"/>
  <c r="E283" i="27"/>
  <c r="D283" i="27" s="1"/>
  <c r="E282" i="27"/>
  <c r="D282" i="27" s="1"/>
  <c r="A9" i="29" s="1"/>
  <c r="E281" i="27"/>
  <c r="D281" i="27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A61" i="25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A104" i="29" s="1"/>
  <c r="E247" i="27"/>
  <c r="D247" i="27" s="1"/>
  <c r="E246" i="27"/>
  <c r="D246" i="27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A14" i="29" s="1"/>
  <c r="E227" i="27"/>
  <c r="D227" i="27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A91" i="25" s="1"/>
  <c r="E46" i="27"/>
  <c r="D46" i="27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D2" i="27"/>
  <c r="H1" i="27"/>
  <c r="G1" i="27"/>
  <c r="F1" i="27"/>
  <c r="A182" i="20"/>
  <c r="A300" i="22"/>
  <c r="A93" i="39"/>
  <c r="A191" i="20"/>
  <c r="A219" i="20"/>
  <c r="A128" i="20"/>
  <c r="A127" i="20"/>
  <c r="A111" i="20"/>
  <c r="A117" i="20"/>
  <c r="A143" i="20"/>
  <c r="A218" i="20"/>
  <c r="A217" i="20"/>
  <c r="A216" i="20"/>
  <c r="A174" i="20"/>
  <c r="A173" i="20"/>
  <c r="A46" i="39"/>
  <c r="A90" i="39"/>
  <c r="A119" i="39"/>
  <c r="A69" i="39"/>
  <c r="A39" i="39"/>
  <c r="A105" i="39"/>
  <c r="A98" i="39"/>
  <c r="A137" i="39"/>
  <c r="A22" i="39"/>
  <c r="A136" i="39"/>
  <c r="A79" i="39"/>
  <c r="A113" i="39"/>
  <c r="A70" i="39"/>
  <c r="A51" i="39"/>
  <c r="A7" i="39"/>
  <c r="A8" i="39"/>
  <c r="A10" i="39"/>
  <c r="A68" i="39"/>
  <c r="A76" i="39"/>
  <c r="A61" i="39"/>
  <c r="A104" i="39"/>
  <c r="A126" i="39"/>
  <c r="A75" i="39"/>
  <c r="A31" i="39"/>
  <c r="A57" i="22"/>
  <c r="A91" i="39"/>
  <c r="A103" i="39"/>
  <c r="A102" i="39"/>
  <c r="A73" i="39"/>
  <c r="A276" i="24"/>
  <c r="A272" i="24"/>
  <c r="A149" i="24"/>
  <c r="A178" i="22"/>
  <c r="A89" i="39"/>
  <c r="A88" i="39"/>
  <c r="A112" i="39"/>
  <c r="A111" i="39"/>
  <c r="A177" i="22"/>
  <c r="A101" i="39"/>
  <c r="A110" i="39"/>
  <c r="A109" i="39"/>
  <c r="A108" i="39"/>
  <c r="A141" i="39"/>
  <c r="A91" i="24"/>
  <c r="A193" i="20"/>
  <c r="A19" i="20"/>
  <c r="E5" i="28"/>
  <c r="D2" i="28"/>
  <c r="H1" i="28"/>
  <c r="G1" i="28"/>
  <c r="F1" i="28"/>
  <c r="G119" i="38"/>
  <c r="F119" i="38"/>
  <c r="G118" i="38"/>
  <c r="F118" i="38"/>
  <c r="G117" i="38"/>
  <c r="F117" i="38"/>
  <c r="G116" i="38"/>
  <c r="F116" i="38"/>
  <c r="G115" i="38"/>
  <c r="F115" i="38"/>
  <c r="AB114" i="38"/>
  <c r="K114" i="38" s="1"/>
  <c r="G114" i="38"/>
  <c r="F114" i="38"/>
  <c r="AB113" i="38"/>
  <c r="K113" i="38" s="1"/>
  <c r="G113" i="38"/>
  <c r="F113" i="38"/>
  <c r="G112" i="38"/>
  <c r="F112" i="38"/>
  <c r="G111" i="38"/>
  <c r="F111" i="38"/>
  <c r="G95" i="38"/>
  <c r="F95" i="38"/>
  <c r="G110" i="38"/>
  <c r="F110" i="38"/>
  <c r="G109" i="38"/>
  <c r="F109" i="38"/>
  <c r="G108" i="38"/>
  <c r="F108" i="38"/>
  <c r="G107" i="38"/>
  <c r="F107" i="38"/>
  <c r="G106" i="38"/>
  <c r="F106" i="38"/>
  <c r="G105" i="38"/>
  <c r="F105" i="38"/>
  <c r="G104" i="38"/>
  <c r="F104" i="38"/>
  <c r="A104" i="38"/>
  <c r="G102" i="38"/>
  <c r="F102" i="38"/>
  <c r="G101" i="38"/>
  <c r="F101" i="38"/>
  <c r="G100" i="38"/>
  <c r="F100" i="38"/>
  <c r="G99" i="38"/>
  <c r="F99" i="38"/>
  <c r="G98" i="38"/>
  <c r="F98" i="38"/>
  <c r="G97" i="38"/>
  <c r="F97" i="38"/>
  <c r="G96" i="38"/>
  <c r="F96" i="38"/>
  <c r="G94" i="38"/>
  <c r="F94" i="38"/>
  <c r="G92" i="38"/>
  <c r="F92" i="38"/>
  <c r="G91" i="38"/>
  <c r="F91" i="38"/>
  <c r="G90" i="38"/>
  <c r="F90" i="38"/>
  <c r="G89" i="38"/>
  <c r="F89" i="38"/>
  <c r="G75" i="38"/>
  <c r="F75" i="38"/>
  <c r="A75" i="38"/>
  <c r="A89" i="38" s="1"/>
  <c r="A90" i="38" s="1"/>
  <c r="A91" i="38" s="1"/>
  <c r="A92" i="38" s="1"/>
  <c r="A93" i="38" s="1"/>
  <c r="G88" i="38"/>
  <c r="F88" i="38"/>
  <c r="AH87" i="38"/>
  <c r="K87" i="38" s="1"/>
  <c r="G87" i="38"/>
  <c r="F87" i="38"/>
  <c r="G86" i="38"/>
  <c r="F86" i="38"/>
  <c r="G85" i="38"/>
  <c r="F85" i="38"/>
  <c r="G84" i="38"/>
  <c r="F84" i="38"/>
  <c r="G83" i="38"/>
  <c r="F83" i="38"/>
  <c r="G82" i="38"/>
  <c r="F82" i="38"/>
  <c r="G81" i="38"/>
  <c r="F81" i="38"/>
  <c r="G80" i="38"/>
  <c r="F80" i="38"/>
  <c r="G79" i="38"/>
  <c r="F79" i="38"/>
  <c r="G78" i="38"/>
  <c r="F78" i="38"/>
  <c r="G77" i="38"/>
  <c r="F77" i="38"/>
  <c r="G76" i="38"/>
  <c r="F76" i="38"/>
  <c r="G74" i="38"/>
  <c r="F74" i="38"/>
  <c r="G73" i="38"/>
  <c r="F73" i="38"/>
  <c r="G72" i="38"/>
  <c r="F72" i="38"/>
  <c r="G71" i="38"/>
  <c r="F71" i="38"/>
  <c r="G70" i="38"/>
  <c r="F70" i="38"/>
  <c r="G69" i="38"/>
  <c r="F69" i="38"/>
  <c r="G68" i="38"/>
  <c r="F68" i="38"/>
  <c r="G67" i="38"/>
  <c r="F67" i="38"/>
  <c r="G66" i="38"/>
  <c r="F66" i="38"/>
  <c r="G65" i="38"/>
  <c r="F65" i="38"/>
  <c r="G64" i="38"/>
  <c r="F64" i="38"/>
  <c r="G63" i="38"/>
  <c r="F63" i="38"/>
  <c r="G62" i="38"/>
  <c r="F62" i="38"/>
  <c r="G61" i="38"/>
  <c r="F61" i="38"/>
  <c r="G60" i="38"/>
  <c r="F60" i="38"/>
  <c r="G59" i="38"/>
  <c r="F59" i="38"/>
  <c r="G58" i="38"/>
  <c r="F58" i="38"/>
  <c r="G57" i="38"/>
  <c r="F57" i="38"/>
  <c r="A57" i="38"/>
  <c r="G56" i="38"/>
  <c r="F56" i="38"/>
  <c r="G55" i="38"/>
  <c r="F55" i="38"/>
  <c r="AD54" i="38"/>
  <c r="K54" i="38" s="1"/>
  <c r="G54" i="38"/>
  <c r="F54" i="38"/>
  <c r="AF53" i="38"/>
  <c r="K53" i="38" s="1"/>
  <c r="G53" i="38"/>
  <c r="F53" i="38"/>
  <c r="G52" i="38"/>
  <c r="F52" i="38"/>
  <c r="G51" i="38"/>
  <c r="F51" i="38"/>
  <c r="G50" i="38"/>
  <c r="F50" i="38"/>
  <c r="G49" i="38"/>
  <c r="F49" i="38"/>
  <c r="G48" i="38"/>
  <c r="F48" i="38"/>
  <c r="G47" i="38"/>
  <c r="F47" i="38"/>
  <c r="G46" i="38"/>
  <c r="F46" i="38"/>
  <c r="G45" i="38"/>
  <c r="F45" i="38"/>
  <c r="G44" i="38"/>
  <c r="F44" i="38"/>
  <c r="G43" i="38"/>
  <c r="F43" i="38"/>
  <c r="G42" i="38"/>
  <c r="F42" i="38"/>
  <c r="G41" i="38"/>
  <c r="F41" i="38"/>
  <c r="G40" i="38"/>
  <c r="F40" i="38"/>
  <c r="G39" i="38"/>
  <c r="F39" i="38"/>
  <c r="G38" i="38"/>
  <c r="F38" i="38"/>
  <c r="G37" i="38"/>
  <c r="F37" i="38"/>
  <c r="G36" i="38"/>
  <c r="F36" i="38"/>
  <c r="G35" i="38"/>
  <c r="F35" i="38"/>
  <c r="G34" i="38"/>
  <c r="F34" i="38"/>
  <c r="G33" i="38"/>
  <c r="F33" i="38"/>
  <c r="G32" i="38"/>
  <c r="F32" i="38"/>
  <c r="G31" i="38"/>
  <c r="F31" i="38"/>
  <c r="A31" i="38"/>
  <c r="A32" i="38" s="1"/>
  <c r="A33" i="38" s="1"/>
  <c r="A34" i="38" s="1"/>
  <c r="A35" i="38" s="1"/>
  <c r="G30" i="38"/>
  <c r="F30" i="38"/>
  <c r="G22" i="38"/>
  <c r="F22" i="38"/>
  <c r="G29" i="38"/>
  <c r="F29" i="38"/>
  <c r="A29" i="38"/>
  <c r="G28" i="38"/>
  <c r="F28" i="38"/>
  <c r="G27" i="38"/>
  <c r="F27" i="38"/>
  <c r="G26" i="38"/>
  <c r="F26" i="38"/>
  <c r="G25" i="38"/>
  <c r="F25" i="38"/>
  <c r="A25" i="38"/>
  <c r="A26" i="38" s="1"/>
  <c r="A27" i="38" s="1"/>
  <c r="G24" i="38"/>
  <c r="F24" i="38"/>
  <c r="G23" i="38"/>
  <c r="F23" i="38"/>
  <c r="AH21" i="38"/>
  <c r="AB21" i="38"/>
  <c r="G21" i="38"/>
  <c r="F21" i="38"/>
  <c r="G20" i="38"/>
  <c r="F20" i="38"/>
  <c r="G19" i="38"/>
  <c r="F19" i="38"/>
  <c r="AH18" i="38"/>
  <c r="AB18" i="38"/>
  <c r="G18" i="38"/>
  <c r="F18" i="38"/>
  <c r="G17" i="38"/>
  <c r="F17" i="38"/>
  <c r="G16" i="38"/>
  <c r="F16" i="38"/>
  <c r="G15" i="38"/>
  <c r="F15" i="38"/>
  <c r="G14" i="38"/>
  <c r="F14" i="38"/>
  <c r="AD13" i="38"/>
  <c r="K13" i="38" s="1"/>
  <c r="G13" i="38"/>
  <c r="F13" i="38"/>
  <c r="G8" i="38"/>
  <c r="F8" i="38"/>
  <c r="AB10" i="38"/>
  <c r="K10" i="38" s="1"/>
  <c r="G10" i="38"/>
  <c r="F10" i="38"/>
  <c r="AH11" i="38"/>
  <c r="AF11" i="38"/>
  <c r="AB11" i="38"/>
  <c r="G11" i="38"/>
  <c r="F11" i="38"/>
  <c r="G12" i="38"/>
  <c r="F12" i="38"/>
  <c r="AG9" i="38"/>
  <c r="K9" i="38" s="1"/>
  <c r="G9" i="38"/>
  <c r="F9" i="38"/>
  <c r="AH7" i="38"/>
  <c r="AF7" i="38"/>
  <c r="AB7" i="38"/>
  <c r="G7" i="38"/>
  <c r="F7" i="38"/>
  <c r="D7" i="38"/>
  <c r="C7" i="38" s="1"/>
  <c r="AH6" i="38"/>
  <c r="AB6" i="38"/>
  <c r="G6" i="38"/>
  <c r="F6" i="38"/>
  <c r="C6" i="38"/>
  <c r="G5" i="38"/>
  <c r="F5" i="38"/>
  <c r="C2" i="38"/>
  <c r="G143" i="39"/>
  <c r="J143" i="26" s="1"/>
  <c r="G142" i="39"/>
  <c r="F142" i="39"/>
  <c r="G146" i="39"/>
  <c r="J146" i="26" s="1"/>
  <c r="G145" i="39"/>
  <c r="G144" i="39"/>
  <c r="J144" i="26" s="1"/>
  <c r="G141" i="39"/>
  <c r="F141" i="39"/>
  <c r="G140" i="39"/>
  <c r="F140" i="39"/>
  <c r="G139" i="39"/>
  <c r="F139" i="39"/>
  <c r="G138" i="39"/>
  <c r="F138" i="39"/>
  <c r="A138" i="39"/>
  <c r="AF137" i="39"/>
  <c r="L137" i="39" s="1"/>
  <c r="G137" i="39"/>
  <c r="F137" i="39"/>
  <c r="AF136" i="39"/>
  <c r="L136" i="39" s="1"/>
  <c r="G136" i="39"/>
  <c r="F136" i="39"/>
  <c r="G135" i="39"/>
  <c r="F135" i="39"/>
  <c r="G134" i="39"/>
  <c r="F134" i="39"/>
  <c r="G133" i="39"/>
  <c r="F133" i="39"/>
  <c r="G132" i="39"/>
  <c r="F132" i="39"/>
  <c r="G131" i="39"/>
  <c r="F131" i="39"/>
  <c r="G130" i="39"/>
  <c r="F130" i="39"/>
  <c r="G129" i="39"/>
  <c r="F129" i="39"/>
  <c r="G128" i="39"/>
  <c r="F128" i="39"/>
  <c r="G127" i="39"/>
  <c r="F127" i="39"/>
  <c r="G34" i="39"/>
  <c r="F34" i="39"/>
  <c r="G29" i="39"/>
  <c r="F29" i="39"/>
  <c r="G126" i="39"/>
  <c r="F126" i="39"/>
  <c r="G125" i="39"/>
  <c r="F125" i="39"/>
  <c r="G124" i="39"/>
  <c r="F124" i="39"/>
  <c r="G123" i="39"/>
  <c r="F123" i="39"/>
  <c r="G122" i="39"/>
  <c r="F122" i="39"/>
  <c r="G120" i="39"/>
  <c r="F120" i="39"/>
  <c r="G119" i="39"/>
  <c r="F119" i="39"/>
  <c r="G118" i="39"/>
  <c r="F118" i="39"/>
  <c r="G117" i="39"/>
  <c r="F117" i="39"/>
  <c r="G116" i="39"/>
  <c r="F116" i="39"/>
  <c r="G115" i="39"/>
  <c r="F115" i="39"/>
  <c r="G114" i="39"/>
  <c r="F114" i="39"/>
  <c r="G113" i="39"/>
  <c r="F113" i="39"/>
  <c r="G112" i="39"/>
  <c r="F112" i="39"/>
  <c r="G111" i="39"/>
  <c r="F111" i="39"/>
  <c r="G110" i="39"/>
  <c r="F110" i="39"/>
  <c r="G109" i="39"/>
  <c r="F109" i="39"/>
  <c r="G108" i="39"/>
  <c r="F108" i="39"/>
  <c r="G107" i="39"/>
  <c r="F107" i="39"/>
  <c r="G106" i="39"/>
  <c r="F106" i="39"/>
  <c r="AJ105" i="39"/>
  <c r="L105" i="39" s="1"/>
  <c r="G105" i="39"/>
  <c r="F105" i="39"/>
  <c r="G104" i="39"/>
  <c r="F104" i="39"/>
  <c r="G103" i="39"/>
  <c r="F103" i="39"/>
  <c r="G102" i="39"/>
  <c r="F102" i="39"/>
  <c r="G101" i="39"/>
  <c r="F101" i="39"/>
  <c r="G100" i="39"/>
  <c r="F100" i="39"/>
  <c r="G99" i="39"/>
  <c r="F99" i="39"/>
  <c r="AJ98" i="39"/>
  <c r="L98" i="39" s="1"/>
  <c r="G98" i="39"/>
  <c r="F98" i="39"/>
  <c r="G97" i="39"/>
  <c r="F97" i="39"/>
  <c r="A97" i="39"/>
  <c r="G96" i="39"/>
  <c r="F96" i="39"/>
  <c r="G95" i="39"/>
  <c r="F95" i="39"/>
  <c r="G94" i="39"/>
  <c r="F94" i="39"/>
  <c r="G93" i="39"/>
  <c r="F93" i="39"/>
  <c r="G92" i="39"/>
  <c r="F92" i="39"/>
  <c r="G91" i="39"/>
  <c r="F91" i="39"/>
  <c r="G90" i="39"/>
  <c r="F90" i="39"/>
  <c r="G89" i="39"/>
  <c r="F89" i="39"/>
  <c r="G88" i="39"/>
  <c r="F88" i="39"/>
  <c r="G87" i="39"/>
  <c r="F87" i="39"/>
  <c r="G86" i="39"/>
  <c r="F86" i="39"/>
  <c r="G85" i="39"/>
  <c r="F85" i="39"/>
  <c r="G84" i="39"/>
  <c r="F84" i="39"/>
  <c r="G83" i="39"/>
  <c r="F83" i="39"/>
  <c r="G82" i="39"/>
  <c r="F82" i="39"/>
  <c r="G71" i="39"/>
  <c r="F71" i="39"/>
  <c r="G69" i="39"/>
  <c r="F69" i="39"/>
  <c r="G81" i="39"/>
  <c r="F81" i="39"/>
  <c r="G80" i="39"/>
  <c r="F80" i="39"/>
  <c r="AF79" i="39"/>
  <c r="L79" i="39" s="1"/>
  <c r="G79" i="39"/>
  <c r="F79" i="39"/>
  <c r="G70" i="39"/>
  <c r="F70" i="39"/>
  <c r="G78" i="39"/>
  <c r="F78" i="39"/>
  <c r="A78" i="39"/>
  <c r="G68" i="39"/>
  <c r="F68" i="39"/>
  <c r="G77" i="39"/>
  <c r="F77" i="39"/>
  <c r="A77" i="39"/>
  <c r="G76" i="39"/>
  <c r="F76" i="39"/>
  <c r="G75" i="39"/>
  <c r="F75" i="39"/>
  <c r="G74" i="39"/>
  <c r="F74" i="39"/>
  <c r="A74" i="39"/>
  <c r="G73" i="39"/>
  <c r="F73" i="39"/>
  <c r="G72" i="39"/>
  <c r="F72" i="39"/>
  <c r="A72" i="39"/>
  <c r="G67" i="39"/>
  <c r="F67" i="39"/>
  <c r="AL66" i="39"/>
  <c r="L66" i="39" s="1"/>
  <c r="G66" i="39"/>
  <c r="F66" i="39"/>
  <c r="A66" i="39"/>
  <c r="G65" i="39"/>
  <c r="F65" i="39"/>
  <c r="G64" i="39"/>
  <c r="F64" i="39"/>
  <c r="G63" i="39"/>
  <c r="F63" i="39"/>
  <c r="G62" i="39"/>
  <c r="F62" i="39"/>
  <c r="A62" i="39"/>
  <c r="G61" i="39"/>
  <c r="F61" i="39"/>
  <c r="G60" i="39"/>
  <c r="F60" i="39"/>
  <c r="A60" i="39"/>
  <c r="G59" i="39"/>
  <c r="F59" i="39"/>
  <c r="A59" i="39"/>
  <c r="G58" i="39"/>
  <c r="F58" i="39"/>
  <c r="G57" i="39"/>
  <c r="F57" i="39"/>
  <c r="G56" i="39"/>
  <c r="F56" i="39"/>
  <c r="G55" i="39"/>
  <c r="F55" i="39"/>
  <c r="G54" i="39"/>
  <c r="F54" i="39"/>
  <c r="G53" i="39"/>
  <c r="F53" i="39"/>
  <c r="G52" i="39"/>
  <c r="F52" i="39"/>
  <c r="G51" i="39"/>
  <c r="F51" i="39"/>
  <c r="G50" i="39"/>
  <c r="F50" i="39"/>
  <c r="G49" i="39"/>
  <c r="F49" i="39"/>
  <c r="G48" i="39"/>
  <c r="F48" i="39"/>
  <c r="A48" i="39"/>
  <c r="G47" i="39"/>
  <c r="F47" i="39"/>
  <c r="G46" i="39"/>
  <c r="F46" i="39"/>
  <c r="G45" i="39"/>
  <c r="F45" i="39"/>
  <c r="AH44" i="39"/>
  <c r="L44" i="39" s="1"/>
  <c r="G44" i="39"/>
  <c r="F44" i="39"/>
  <c r="A44" i="39"/>
  <c r="G43" i="39"/>
  <c r="F43" i="39"/>
  <c r="G42" i="39"/>
  <c r="F42" i="39"/>
  <c r="A42" i="39"/>
  <c r="G41" i="39"/>
  <c r="F41" i="39"/>
  <c r="G39" i="39"/>
  <c r="F39" i="39"/>
  <c r="G40" i="39"/>
  <c r="F40" i="39"/>
  <c r="G38" i="39"/>
  <c r="F38" i="39"/>
  <c r="G37" i="39"/>
  <c r="F37" i="39"/>
  <c r="G36" i="39"/>
  <c r="F36" i="39"/>
  <c r="G35" i="39"/>
  <c r="F35" i="39"/>
  <c r="G33" i="39"/>
  <c r="F33" i="39"/>
  <c r="G32" i="39"/>
  <c r="F32" i="39"/>
  <c r="AF31" i="39"/>
  <c r="L31" i="39" s="1"/>
  <c r="G31" i="39"/>
  <c r="F31" i="39"/>
  <c r="G30" i="39"/>
  <c r="F30" i="39"/>
  <c r="G28" i="39"/>
  <c r="F28" i="39"/>
  <c r="G27" i="39"/>
  <c r="F27" i="39"/>
  <c r="G26" i="39"/>
  <c r="F26" i="39"/>
  <c r="G25" i="39"/>
  <c r="F25" i="39"/>
  <c r="G24" i="39"/>
  <c r="F24" i="39"/>
  <c r="AL23" i="39"/>
  <c r="L23" i="39" s="1"/>
  <c r="G23" i="39"/>
  <c r="F23" i="39"/>
  <c r="A23" i="39"/>
  <c r="AF22" i="39"/>
  <c r="L22" i="39" s="1"/>
  <c r="G22" i="39"/>
  <c r="F22" i="39"/>
  <c r="AF21" i="39"/>
  <c r="L21" i="39" s="1"/>
  <c r="G21" i="39"/>
  <c r="F21" i="39"/>
  <c r="A21" i="39"/>
  <c r="G20" i="39"/>
  <c r="F20" i="39"/>
  <c r="G19" i="39"/>
  <c r="F19" i="39"/>
  <c r="G18" i="39"/>
  <c r="F18" i="39"/>
  <c r="G16" i="39"/>
  <c r="F16" i="39"/>
  <c r="G17" i="39"/>
  <c r="F17" i="39"/>
  <c r="AF15" i="39"/>
  <c r="L15" i="39" s="1"/>
  <c r="G15" i="39"/>
  <c r="F15" i="39"/>
  <c r="A15" i="39"/>
  <c r="G14" i="39"/>
  <c r="F14" i="39"/>
  <c r="A14" i="39"/>
  <c r="G13" i="39"/>
  <c r="F13" i="39"/>
  <c r="A13" i="39"/>
  <c r="G12" i="39"/>
  <c r="F12" i="39"/>
  <c r="G11" i="39"/>
  <c r="F11" i="39"/>
  <c r="A11" i="39"/>
  <c r="AF10" i="39"/>
  <c r="L10" i="39" s="1"/>
  <c r="G10" i="39"/>
  <c r="F10" i="39"/>
  <c r="AH9" i="39"/>
  <c r="L9" i="39" s="1"/>
  <c r="G9" i="39"/>
  <c r="F9" i="39"/>
  <c r="A9" i="39"/>
  <c r="AL8" i="39"/>
  <c r="AJ8" i="39"/>
  <c r="G8" i="39"/>
  <c r="F8" i="39"/>
  <c r="AJ7" i="39"/>
  <c r="L7" i="39" s="1"/>
  <c r="G7" i="39"/>
  <c r="F7" i="39"/>
  <c r="G6" i="39"/>
  <c r="F6" i="39"/>
  <c r="G5" i="39"/>
  <c r="F5" i="39"/>
  <c r="C5" i="39"/>
  <c r="C2" i="39"/>
  <c r="F107" i="25"/>
  <c r="C107" i="25"/>
  <c r="F137" i="25"/>
  <c r="C137" i="25"/>
  <c r="F71" i="25"/>
  <c r="C71" i="25"/>
  <c r="F50" i="25"/>
  <c r="C50" i="25"/>
  <c r="F136" i="25"/>
  <c r="C136" i="25"/>
  <c r="F49" i="25"/>
  <c r="C49" i="25"/>
  <c r="F48" i="25"/>
  <c r="C48" i="25"/>
  <c r="F135" i="25"/>
  <c r="C135" i="25"/>
  <c r="F160" i="25"/>
  <c r="C160" i="25"/>
  <c r="F147" i="25"/>
  <c r="C147" i="25"/>
  <c r="F134" i="25"/>
  <c r="C134" i="25"/>
  <c r="F106" i="25"/>
  <c r="C106" i="25"/>
  <c r="F175" i="25"/>
  <c r="C175" i="25"/>
  <c r="F148" i="25"/>
  <c r="C148" i="25"/>
  <c r="F128" i="25"/>
  <c r="C128" i="25"/>
  <c r="F174" i="25"/>
  <c r="C174" i="25"/>
  <c r="F157" i="25"/>
  <c r="C157" i="25"/>
  <c r="F113" i="25"/>
  <c r="C113" i="25"/>
  <c r="F70" i="25"/>
  <c r="C70" i="25"/>
  <c r="F89" i="25"/>
  <c r="C89" i="25"/>
  <c r="F170" i="25"/>
  <c r="C170" i="25"/>
  <c r="F69" i="25"/>
  <c r="C69" i="25"/>
  <c r="F188" i="25"/>
  <c r="C188" i="25"/>
  <c r="F88" i="25"/>
  <c r="C88" i="25"/>
  <c r="F169" i="25"/>
  <c r="C169" i="25"/>
  <c r="F68" i="25"/>
  <c r="C68" i="25"/>
  <c r="F159" i="25"/>
  <c r="C159" i="25"/>
  <c r="F103" i="25"/>
  <c r="C103" i="25"/>
  <c r="F158" i="25"/>
  <c r="C158" i="25"/>
  <c r="A158" i="25"/>
  <c r="A159" i="25" s="1"/>
  <c r="A160" i="25" s="1"/>
  <c r="F23" i="25"/>
  <c r="C23" i="25"/>
  <c r="F36" i="25"/>
  <c r="C36" i="25"/>
  <c r="A36" i="25"/>
  <c r="F87" i="25"/>
  <c r="C87" i="25"/>
  <c r="F42" i="25"/>
  <c r="C42" i="25"/>
  <c r="F127" i="25"/>
  <c r="C127" i="25"/>
  <c r="F168" i="25"/>
  <c r="F167" i="25"/>
  <c r="F166" i="25"/>
  <c r="F165" i="25"/>
  <c r="F86" i="25"/>
  <c r="F85" i="25"/>
  <c r="F84" i="25"/>
  <c r="F83" i="25"/>
  <c r="F67" i="25"/>
  <c r="F66" i="25"/>
  <c r="F56" i="25"/>
  <c r="F79" i="25"/>
  <c r="C79" i="25"/>
  <c r="F164" i="25"/>
  <c r="F15" i="25"/>
  <c r="F133" i="25"/>
  <c r="F82" i="25"/>
  <c r="F132" i="25"/>
  <c r="C132" i="25"/>
  <c r="F131" i="25"/>
  <c r="C131" i="25"/>
  <c r="F108" i="25"/>
  <c r="C108" i="25"/>
  <c r="A108" i="25"/>
  <c r="F26" i="25"/>
  <c r="C26" i="25"/>
  <c r="A26" i="25"/>
  <c r="F32" i="25"/>
  <c r="C32" i="25"/>
  <c r="F101" i="25"/>
  <c r="F173" i="25"/>
  <c r="F104" i="25"/>
  <c r="F81" i="25"/>
  <c r="F47" i="25"/>
  <c r="C47" i="25"/>
  <c r="F64" i="25"/>
  <c r="F102" i="25"/>
  <c r="F52" i="25"/>
  <c r="F126" i="25"/>
  <c r="C126" i="25"/>
  <c r="F156" i="25"/>
  <c r="F155" i="25"/>
  <c r="F39" i="25"/>
  <c r="F100" i="25"/>
  <c r="F17" i="25"/>
  <c r="F154" i="25"/>
  <c r="F73" i="25"/>
  <c r="F55" i="25"/>
  <c r="C55" i="25"/>
  <c r="F24" i="25"/>
  <c r="C24" i="25"/>
  <c r="F162" i="25"/>
  <c r="F139" i="25"/>
  <c r="F25" i="25"/>
  <c r="F35" i="25"/>
  <c r="F8" i="25"/>
  <c r="F93" i="25"/>
  <c r="F65" i="25"/>
  <c r="C65" i="25"/>
  <c r="F153" i="25"/>
  <c r="F99" i="25"/>
  <c r="F152" i="25"/>
  <c r="F130" i="25"/>
  <c r="C130" i="25"/>
  <c r="F129" i="25"/>
  <c r="C129" i="25"/>
  <c r="F163" i="25"/>
  <c r="F92" i="25"/>
  <c r="F53" i="25"/>
  <c r="F60" i="25"/>
  <c r="F30" i="25"/>
  <c r="F22" i="25"/>
  <c r="AO74" i="25"/>
  <c r="AK74" i="25"/>
  <c r="F74" i="25"/>
  <c r="AO21" i="25"/>
  <c r="AM21" i="25"/>
  <c r="AK21" i="25"/>
  <c r="F21" i="25"/>
  <c r="AO9" i="25"/>
  <c r="AK9" i="25"/>
  <c r="F9" i="25"/>
  <c r="F172" i="25"/>
  <c r="F171" i="25"/>
  <c r="F98" i="25"/>
  <c r="F112" i="25"/>
  <c r="F11" i="25"/>
  <c r="C11" i="25"/>
  <c r="F18" i="25"/>
  <c r="F63" i="25"/>
  <c r="F12" i="25"/>
  <c r="AO109" i="25"/>
  <c r="K109" i="25" s="1"/>
  <c r="F109" i="25"/>
  <c r="F37" i="25"/>
  <c r="F97" i="25"/>
  <c r="F124" i="25"/>
  <c r="F77" i="25"/>
  <c r="F41" i="25"/>
  <c r="F96" i="25"/>
  <c r="F123" i="25"/>
  <c r="F44" i="25"/>
  <c r="F122" i="25"/>
  <c r="AO34" i="25"/>
  <c r="K34" i="25" s="1"/>
  <c r="F34" i="25"/>
  <c r="F125" i="25"/>
  <c r="F76" i="25"/>
  <c r="F151" i="25"/>
  <c r="F59" i="25"/>
  <c r="F62" i="25"/>
  <c r="F161" i="25"/>
  <c r="F43" i="25"/>
  <c r="F51" i="25"/>
  <c r="F150" i="25"/>
  <c r="F33" i="25"/>
  <c r="F16" i="25"/>
  <c r="F146" i="25"/>
  <c r="F121" i="25"/>
  <c r="F80" i="25"/>
  <c r="F40" i="25"/>
  <c r="F90" i="25"/>
  <c r="F145" i="25"/>
  <c r="F120" i="25"/>
  <c r="F144" i="25"/>
  <c r="F75" i="25"/>
  <c r="F143" i="25"/>
  <c r="F187" i="25"/>
  <c r="F142" i="25"/>
  <c r="F186" i="25"/>
  <c r="F185" i="25"/>
  <c r="F184" i="25"/>
  <c r="F183" i="25"/>
  <c r="F182" i="25"/>
  <c r="F58" i="25"/>
  <c r="AM19" i="25"/>
  <c r="K19" i="25" s="1"/>
  <c r="F19" i="25"/>
  <c r="AF10" i="25"/>
  <c r="K10" i="25" s="1"/>
  <c r="F10" i="25"/>
  <c r="F119" i="25"/>
  <c r="F118" i="25"/>
  <c r="F117" i="25"/>
  <c r="F28" i="25"/>
  <c r="F45" i="25"/>
  <c r="F116" i="25"/>
  <c r="F111" i="25"/>
  <c r="F72" i="25"/>
  <c r="F141" i="25"/>
  <c r="F115" i="25"/>
  <c r="F20" i="25"/>
  <c r="F29" i="25"/>
  <c r="F95" i="25"/>
  <c r="F181" i="25"/>
  <c r="F180" i="25"/>
  <c r="F179" i="25"/>
  <c r="A179" i="25"/>
  <c r="F14" i="25"/>
  <c r="F6" i="25"/>
  <c r="F178" i="25"/>
  <c r="F31" i="25"/>
  <c r="F140" i="25"/>
  <c r="F46" i="25"/>
  <c r="F38" i="25"/>
  <c r="F149" i="25"/>
  <c r="F110" i="25"/>
  <c r="F177" i="25"/>
  <c r="F27" i="25"/>
  <c r="AM13" i="25"/>
  <c r="K13" i="25" s="1"/>
  <c r="F13" i="25"/>
  <c r="F114" i="25"/>
  <c r="F78" i="25"/>
  <c r="F57" i="25"/>
  <c r="F7" i="25"/>
  <c r="AM5" i="25"/>
  <c r="K5" i="25" s="1"/>
  <c r="F5" i="25"/>
  <c r="C5" i="25"/>
  <c r="F54" i="25"/>
  <c r="F105" i="25"/>
  <c r="C105" i="25"/>
  <c r="F94" i="25"/>
  <c r="F176" i="25"/>
  <c r="F61" i="25"/>
  <c r="F91" i="25"/>
  <c r="C2" i="25"/>
  <c r="G278" i="24"/>
  <c r="F278" i="24"/>
  <c r="G277" i="24"/>
  <c r="F277" i="24"/>
  <c r="A277" i="24"/>
  <c r="G276" i="24"/>
  <c r="F276" i="24"/>
  <c r="G275" i="24"/>
  <c r="F275" i="24"/>
  <c r="A275" i="24"/>
  <c r="G274" i="24"/>
  <c r="F274" i="24"/>
  <c r="A274" i="24"/>
  <c r="G273" i="24"/>
  <c r="F273" i="24"/>
  <c r="A273" i="24"/>
  <c r="G272" i="24"/>
  <c r="F272" i="24"/>
  <c r="G271" i="24"/>
  <c r="F271" i="24"/>
  <c r="A271" i="24"/>
  <c r="G270" i="24"/>
  <c r="F270" i="24"/>
  <c r="A270" i="24"/>
  <c r="G269" i="24"/>
  <c r="F269" i="24"/>
  <c r="A269" i="24"/>
  <c r="G268" i="24"/>
  <c r="F268" i="24"/>
  <c r="A268" i="24"/>
  <c r="G267" i="24"/>
  <c r="F267" i="24"/>
  <c r="A267" i="24"/>
  <c r="G266" i="24"/>
  <c r="F266" i="24"/>
  <c r="A266" i="24"/>
  <c r="G265" i="24"/>
  <c r="F265" i="24"/>
  <c r="A265" i="24"/>
  <c r="G264" i="24"/>
  <c r="F264" i="24"/>
  <c r="G263" i="24"/>
  <c r="F263" i="24"/>
  <c r="G262" i="24"/>
  <c r="F262" i="24"/>
  <c r="G261" i="24"/>
  <c r="F261" i="24"/>
  <c r="G260" i="24"/>
  <c r="F260" i="24"/>
  <c r="A260" i="24"/>
  <c r="G259" i="24"/>
  <c r="F259" i="24"/>
  <c r="A259" i="24"/>
  <c r="G258" i="24"/>
  <c r="F258" i="24"/>
  <c r="A258" i="24"/>
  <c r="G257" i="24"/>
  <c r="F257" i="24"/>
  <c r="A257" i="24"/>
  <c r="G256" i="24"/>
  <c r="F256" i="24"/>
  <c r="A256" i="24"/>
  <c r="G255" i="24"/>
  <c r="F255" i="24"/>
  <c r="A255" i="24"/>
  <c r="G254" i="24"/>
  <c r="F254" i="24"/>
  <c r="A254" i="24"/>
  <c r="G253" i="24"/>
  <c r="F253" i="24"/>
  <c r="A253" i="24"/>
  <c r="G252" i="24"/>
  <c r="F252" i="24"/>
  <c r="A252" i="24"/>
  <c r="G251" i="24"/>
  <c r="F251" i="24"/>
  <c r="A251" i="24"/>
  <c r="G250" i="24"/>
  <c r="F250" i="24"/>
  <c r="A250" i="24"/>
  <c r="G249" i="24"/>
  <c r="F249" i="24"/>
  <c r="G248" i="24"/>
  <c r="F248" i="24"/>
  <c r="G247" i="24"/>
  <c r="F247" i="24"/>
  <c r="G246" i="24"/>
  <c r="F246" i="24"/>
  <c r="G245" i="24"/>
  <c r="F245" i="24"/>
  <c r="G244" i="24"/>
  <c r="F244" i="24"/>
  <c r="G243" i="24"/>
  <c r="F243" i="24"/>
  <c r="G242" i="24"/>
  <c r="F242" i="24"/>
  <c r="G241" i="24"/>
  <c r="F241" i="24"/>
  <c r="G240" i="24"/>
  <c r="F240" i="24"/>
  <c r="G239" i="24"/>
  <c r="F239" i="24"/>
  <c r="G238" i="24"/>
  <c r="F238" i="24"/>
  <c r="G235" i="24"/>
  <c r="F235" i="24"/>
  <c r="G234" i="24"/>
  <c r="F234" i="24"/>
  <c r="G233" i="24"/>
  <c r="F233" i="24"/>
  <c r="G232" i="24"/>
  <c r="F232" i="24"/>
  <c r="G231" i="24"/>
  <c r="F231" i="24"/>
  <c r="G230" i="24"/>
  <c r="F230" i="24"/>
  <c r="G229" i="24"/>
  <c r="F229" i="24"/>
  <c r="G228" i="24"/>
  <c r="F228" i="24"/>
  <c r="A228" i="24"/>
  <c r="G227" i="24"/>
  <c r="F227" i="24"/>
  <c r="A227" i="24"/>
  <c r="G226" i="24"/>
  <c r="F226" i="24"/>
  <c r="A226" i="24"/>
  <c r="G225" i="24"/>
  <c r="F225" i="24"/>
  <c r="A225" i="24"/>
  <c r="G40" i="24"/>
  <c r="F40" i="24"/>
  <c r="G224" i="24"/>
  <c r="F224" i="24"/>
  <c r="A224" i="24"/>
  <c r="G223" i="24"/>
  <c r="F223" i="24"/>
  <c r="A223" i="24"/>
  <c r="G222" i="24"/>
  <c r="F222" i="24"/>
  <c r="A222" i="24"/>
  <c r="G221" i="24"/>
  <c r="F221" i="24"/>
  <c r="A221" i="24"/>
  <c r="G220" i="24"/>
  <c r="F220" i="24"/>
  <c r="A220" i="24"/>
  <c r="G219" i="24"/>
  <c r="F219" i="24"/>
  <c r="G218" i="24"/>
  <c r="F218" i="24"/>
  <c r="G201" i="24"/>
  <c r="F201" i="24"/>
  <c r="G217" i="24"/>
  <c r="F217" i="24"/>
  <c r="A217" i="24"/>
  <c r="G216" i="24"/>
  <c r="F216" i="24"/>
  <c r="A216" i="24"/>
  <c r="G215" i="24"/>
  <c r="F215" i="24"/>
  <c r="A215" i="24"/>
  <c r="G214" i="24"/>
  <c r="F214" i="24"/>
  <c r="A214" i="24"/>
  <c r="G213" i="24"/>
  <c r="F213" i="24"/>
  <c r="A213" i="24"/>
  <c r="G212" i="24"/>
  <c r="F212" i="24"/>
  <c r="G211" i="24"/>
  <c r="F211" i="24"/>
  <c r="G210" i="24"/>
  <c r="F210" i="24"/>
  <c r="G209" i="24"/>
  <c r="F209" i="24"/>
  <c r="G208" i="24"/>
  <c r="F208" i="24"/>
  <c r="G207" i="24"/>
  <c r="F207" i="24"/>
  <c r="G206" i="24"/>
  <c r="F206" i="24"/>
  <c r="G205" i="24"/>
  <c r="F205" i="24"/>
  <c r="G204" i="24"/>
  <c r="F204" i="24"/>
  <c r="G202" i="24"/>
  <c r="F202" i="24"/>
  <c r="G154" i="24"/>
  <c r="F154" i="24"/>
  <c r="G199" i="24"/>
  <c r="F199" i="24"/>
  <c r="G198" i="24"/>
  <c r="F198" i="24"/>
  <c r="G197" i="24"/>
  <c r="F197" i="24"/>
  <c r="A197" i="24"/>
  <c r="G196" i="24"/>
  <c r="F196" i="24"/>
  <c r="G195" i="24"/>
  <c r="F195" i="24"/>
  <c r="G194" i="24"/>
  <c r="F194" i="24"/>
  <c r="A194" i="24"/>
  <c r="G193" i="24"/>
  <c r="F193" i="24"/>
  <c r="G192" i="24"/>
  <c r="F192" i="24"/>
  <c r="A192" i="24"/>
  <c r="G191" i="24"/>
  <c r="F191" i="24"/>
  <c r="A191" i="24"/>
  <c r="G190" i="24"/>
  <c r="F190" i="24"/>
  <c r="A190" i="24"/>
  <c r="G189" i="24"/>
  <c r="F189" i="24"/>
  <c r="A189" i="24"/>
  <c r="G188" i="24"/>
  <c r="F188" i="24"/>
  <c r="G53" i="24"/>
  <c r="F53" i="24"/>
  <c r="G187" i="24"/>
  <c r="F187" i="24"/>
  <c r="A187" i="24"/>
  <c r="G186" i="24"/>
  <c r="F186" i="24"/>
  <c r="A186" i="24"/>
  <c r="G185" i="24"/>
  <c r="F185" i="24"/>
  <c r="A185" i="24"/>
  <c r="G184" i="24"/>
  <c r="F184" i="24"/>
  <c r="A184" i="24"/>
  <c r="G183" i="24"/>
  <c r="F183" i="24"/>
  <c r="A183" i="24"/>
  <c r="G182" i="24"/>
  <c r="F182" i="24"/>
  <c r="A182" i="24"/>
  <c r="G181" i="24"/>
  <c r="F181" i="24"/>
  <c r="A181" i="24"/>
  <c r="G180" i="24"/>
  <c r="F180" i="24"/>
  <c r="A180" i="24"/>
  <c r="G179" i="24"/>
  <c r="F179" i="24"/>
  <c r="G178" i="24"/>
  <c r="F178" i="24"/>
  <c r="A178" i="24"/>
  <c r="G177" i="24"/>
  <c r="F177" i="24"/>
  <c r="A177" i="24"/>
  <c r="G131" i="24"/>
  <c r="F131" i="24"/>
  <c r="A131" i="24"/>
  <c r="G176" i="24"/>
  <c r="F176" i="24"/>
  <c r="G175" i="24"/>
  <c r="F175" i="24"/>
  <c r="A175" i="24"/>
  <c r="G174" i="24"/>
  <c r="F174" i="24"/>
  <c r="G173" i="24"/>
  <c r="F173" i="24"/>
  <c r="G172" i="24"/>
  <c r="F172" i="24"/>
  <c r="G170" i="24"/>
  <c r="F170" i="24"/>
  <c r="G169" i="24"/>
  <c r="F169" i="24"/>
  <c r="G168" i="24"/>
  <c r="F168" i="24"/>
  <c r="G167" i="24"/>
  <c r="F167" i="24"/>
  <c r="G166" i="24"/>
  <c r="F166" i="24"/>
  <c r="G165" i="24"/>
  <c r="F165" i="24"/>
  <c r="G164" i="24"/>
  <c r="F164" i="24"/>
  <c r="G163" i="24"/>
  <c r="F163" i="24"/>
  <c r="G162" i="24"/>
  <c r="F162" i="24"/>
  <c r="G161" i="24"/>
  <c r="F161" i="24"/>
  <c r="A161" i="24"/>
  <c r="G160" i="24"/>
  <c r="F160" i="24"/>
  <c r="G159" i="24"/>
  <c r="F159" i="24"/>
  <c r="A159" i="24"/>
  <c r="G158" i="24"/>
  <c r="F158" i="24"/>
  <c r="A158" i="24"/>
  <c r="G157" i="24"/>
  <c r="F157" i="24"/>
  <c r="A157" i="24"/>
  <c r="G156" i="24"/>
  <c r="F156" i="24"/>
  <c r="A156" i="24"/>
  <c r="G155" i="24"/>
  <c r="F155" i="24"/>
  <c r="A155" i="24"/>
  <c r="G153" i="24"/>
  <c r="F153" i="24"/>
  <c r="A153" i="24"/>
  <c r="G152" i="24"/>
  <c r="F152" i="24"/>
  <c r="A152" i="24"/>
  <c r="G151" i="24"/>
  <c r="F151" i="24"/>
  <c r="A151" i="24"/>
  <c r="G150" i="24"/>
  <c r="F150" i="24"/>
  <c r="A150" i="24"/>
  <c r="G149" i="24"/>
  <c r="F149" i="24"/>
  <c r="G148" i="24"/>
  <c r="F148" i="24"/>
  <c r="A148" i="24"/>
  <c r="G147" i="24"/>
  <c r="F147" i="24"/>
  <c r="A147" i="24"/>
  <c r="G146" i="24"/>
  <c r="F146" i="24"/>
  <c r="A146" i="24"/>
  <c r="G145" i="24"/>
  <c r="F145" i="24"/>
  <c r="A145" i="24"/>
  <c r="G144" i="24"/>
  <c r="F144" i="24"/>
  <c r="A144" i="24"/>
  <c r="G143" i="24"/>
  <c r="F143" i="24"/>
  <c r="G142" i="24"/>
  <c r="F142" i="24"/>
  <c r="G141" i="24"/>
  <c r="F141" i="24"/>
  <c r="A141" i="24"/>
  <c r="G140" i="24"/>
  <c r="F140" i="24"/>
  <c r="A140" i="24"/>
  <c r="G139" i="24"/>
  <c r="F139" i="24"/>
  <c r="A139" i="24"/>
  <c r="G138" i="24"/>
  <c r="F138" i="24"/>
  <c r="A138" i="24"/>
  <c r="G137" i="24"/>
  <c r="F137" i="24"/>
  <c r="A137" i="24"/>
  <c r="G136" i="24"/>
  <c r="F136" i="24"/>
  <c r="A136" i="24"/>
  <c r="G128" i="24"/>
  <c r="F128" i="24"/>
  <c r="G127" i="24"/>
  <c r="F127" i="24"/>
  <c r="G126" i="24"/>
  <c r="F126" i="24"/>
  <c r="G125" i="24"/>
  <c r="F125" i="24"/>
  <c r="G124" i="24"/>
  <c r="F124" i="24"/>
  <c r="A124" i="24"/>
  <c r="G123" i="24"/>
  <c r="F123" i="24"/>
  <c r="A123" i="24"/>
  <c r="G122" i="24"/>
  <c r="F122" i="24"/>
  <c r="A122" i="24"/>
  <c r="G121" i="24"/>
  <c r="F121" i="24"/>
  <c r="A121" i="24"/>
  <c r="G120" i="24"/>
  <c r="F120" i="24"/>
  <c r="A120" i="24"/>
  <c r="G119" i="24"/>
  <c r="F119" i="24"/>
  <c r="A119" i="24"/>
  <c r="G118" i="24"/>
  <c r="F118" i="24"/>
  <c r="A118" i="24"/>
  <c r="G117" i="24"/>
  <c r="F117" i="24"/>
  <c r="A117" i="24"/>
  <c r="G116" i="24"/>
  <c r="F116" i="24"/>
  <c r="A116" i="24"/>
  <c r="G115" i="24"/>
  <c r="F115" i="24"/>
  <c r="A115" i="24"/>
  <c r="G114" i="24"/>
  <c r="F114" i="24"/>
  <c r="A114" i="24"/>
  <c r="G113" i="24"/>
  <c r="F113" i="24"/>
  <c r="A113" i="24"/>
  <c r="G112" i="24"/>
  <c r="F112" i="24"/>
  <c r="A112" i="24"/>
  <c r="G111" i="24"/>
  <c r="F111" i="24"/>
  <c r="A111" i="24"/>
  <c r="G110" i="24"/>
  <c r="F110" i="24"/>
  <c r="G109" i="24"/>
  <c r="F109" i="24"/>
  <c r="G108" i="24"/>
  <c r="F108" i="24"/>
  <c r="G107" i="24"/>
  <c r="F107" i="24"/>
  <c r="G95" i="24"/>
  <c r="F95" i="24"/>
  <c r="G106" i="24"/>
  <c r="F106" i="24"/>
  <c r="G105" i="24"/>
  <c r="F105" i="24"/>
  <c r="G104" i="24"/>
  <c r="F104" i="24"/>
  <c r="G103" i="24"/>
  <c r="F103" i="24"/>
  <c r="G102" i="24"/>
  <c r="F102" i="24"/>
  <c r="G101" i="24"/>
  <c r="F101" i="24"/>
  <c r="G100" i="24"/>
  <c r="F100" i="24"/>
  <c r="A100" i="24"/>
  <c r="G99" i="24"/>
  <c r="F99" i="24"/>
  <c r="G98" i="24"/>
  <c r="F98" i="24"/>
  <c r="G97" i="24"/>
  <c r="F97" i="24"/>
  <c r="G96" i="24"/>
  <c r="F96" i="24"/>
  <c r="A96" i="24"/>
  <c r="G94" i="24"/>
  <c r="F94" i="24"/>
  <c r="G93" i="24"/>
  <c r="F93" i="24"/>
  <c r="A93" i="24"/>
  <c r="G92" i="24"/>
  <c r="F92" i="24"/>
  <c r="A92" i="24"/>
  <c r="G91" i="24"/>
  <c r="F91" i="24"/>
  <c r="G90" i="24"/>
  <c r="F90" i="24"/>
  <c r="G32" i="24"/>
  <c r="F32" i="24"/>
  <c r="A32" i="24"/>
  <c r="G89" i="24"/>
  <c r="F89" i="24"/>
  <c r="G88" i="24"/>
  <c r="F88" i="24"/>
  <c r="G87" i="24"/>
  <c r="F87" i="24"/>
  <c r="A87" i="24"/>
  <c r="G86" i="24"/>
  <c r="F86" i="24"/>
  <c r="G85" i="24"/>
  <c r="F85" i="24"/>
  <c r="A85" i="24"/>
  <c r="G84" i="24"/>
  <c r="F84" i="24"/>
  <c r="A84" i="24"/>
  <c r="G83" i="24"/>
  <c r="F83" i="24"/>
  <c r="A83" i="24"/>
  <c r="G64" i="24"/>
  <c r="F64" i="24"/>
  <c r="A64" i="24"/>
  <c r="G82" i="24"/>
  <c r="F82" i="24"/>
  <c r="G81" i="24"/>
  <c r="F81" i="24"/>
  <c r="G80" i="24"/>
  <c r="F80" i="24"/>
  <c r="G79" i="24"/>
  <c r="F79" i="24"/>
  <c r="G78" i="24"/>
  <c r="F78" i="24"/>
  <c r="G77" i="24"/>
  <c r="F77" i="24"/>
  <c r="G76" i="24"/>
  <c r="F76" i="24"/>
  <c r="G75" i="24"/>
  <c r="F75" i="24"/>
  <c r="G74" i="24"/>
  <c r="F74" i="24"/>
  <c r="G25" i="24"/>
  <c r="F25" i="24"/>
  <c r="G69" i="24"/>
  <c r="F69" i="24"/>
  <c r="A69" i="24"/>
  <c r="G68" i="24"/>
  <c r="F68" i="24"/>
  <c r="A68" i="24"/>
  <c r="G67" i="24"/>
  <c r="F67" i="24"/>
  <c r="A67" i="24"/>
  <c r="G66" i="24"/>
  <c r="F66" i="24"/>
  <c r="A66" i="24"/>
  <c r="G65" i="24"/>
  <c r="F65" i="24"/>
  <c r="G63" i="24"/>
  <c r="F63" i="24"/>
  <c r="G62" i="24"/>
  <c r="F62" i="24"/>
  <c r="A62" i="24"/>
  <c r="G60" i="24"/>
  <c r="F60" i="24"/>
  <c r="G59" i="24"/>
  <c r="F59" i="24"/>
  <c r="G58" i="24"/>
  <c r="F58" i="24"/>
  <c r="G57" i="24"/>
  <c r="F57" i="24"/>
  <c r="A57" i="24"/>
  <c r="G56" i="24"/>
  <c r="F56" i="24"/>
  <c r="A56" i="24"/>
  <c r="G55" i="24"/>
  <c r="F55" i="24"/>
  <c r="A55" i="24"/>
  <c r="G54" i="24"/>
  <c r="F54" i="24"/>
  <c r="A54" i="24"/>
  <c r="G51" i="24"/>
  <c r="F51" i="24"/>
  <c r="G50" i="24"/>
  <c r="F50" i="24"/>
  <c r="A50" i="24"/>
  <c r="G49" i="24"/>
  <c r="F49" i="24"/>
  <c r="A49" i="24"/>
  <c r="G48" i="24"/>
  <c r="F48" i="24"/>
  <c r="G47" i="24"/>
  <c r="F47" i="24"/>
  <c r="A47" i="24"/>
  <c r="G46" i="24"/>
  <c r="F46" i="24"/>
  <c r="G45" i="24"/>
  <c r="F45" i="24"/>
  <c r="A45" i="24"/>
  <c r="G31" i="24"/>
  <c r="F31" i="24"/>
  <c r="G44" i="24"/>
  <c r="F44" i="24"/>
  <c r="A44" i="24"/>
  <c r="G41" i="24"/>
  <c r="F41" i="24"/>
  <c r="A41" i="24"/>
  <c r="G39" i="24"/>
  <c r="F39" i="24"/>
  <c r="G38" i="24"/>
  <c r="F38" i="24"/>
  <c r="A38" i="24"/>
  <c r="G37" i="24"/>
  <c r="F37" i="24"/>
  <c r="A37" i="24"/>
  <c r="G36" i="24"/>
  <c r="F36" i="24"/>
  <c r="G35" i="24"/>
  <c r="F35" i="24"/>
  <c r="A35" i="24"/>
  <c r="G34" i="24"/>
  <c r="F34" i="24"/>
  <c r="G33" i="24"/>
  <c r="F33" i="24"/>
  <c r="A33" i="24"/>
  <c r="G30" i="24"/>
  <c r="F30" i="24"/>
  <c r="A30" i="24"/>
  <c r="G29" i="24"/>
  <c r="F29" i="24"/>
  <c r="A29" i="24"/>
  <c r="G28" i="24"/>
  <c r="F28" i="24"/>
  <c r="A28" i="24"/>
  <c r="G23" i="24"/>
  <c r="F23" i="24"/>
  <c r="A23" i="24"/>
  <c r="G16" i="24"/>
  <c r="F16" i="24"/>
  <c r="G27" i="24"/>
  <c r="F27" i="24"/>
  <c r="AK26" i="24"/>
  <c r="K26" i="24" s="1"/>
  <c r="G26" i="24"/>
  <c r="F26" i="24"/>
  <c r="A26" i="24"/>
  <c r="G24" i="24"/>
  <c r="F24" i="24"/>
  <c r="A24" i="24"/>
  <c r="G19" i="24"/>
  <c r="F19" i="24"/>
  <c r="A19" i="24"/>
  <c r="G22" i="24"/>
  <c r="F22" i="24"/>
  <c r="A22" i="24"/>
  <c r="G20" i="24"/>
  <c r="F20" i="24"/>
  <c r="A20" i="24"/>
  <c r="G13" i="24"/>
  <c r="F13" i="24"/>
  <c r="A13" i="24"/>
  <c r="G21" i="24"/>
  <c r="F21" i="24"/>
  <c r="A21" i="24"/>
  <c r="G15" i="24"/>
  <c r="F15" i="24"/>
  <c r="A15" i="24"/>
  <c r="G18" i="24"/>
  <c r="F18" i="24"/>
  <c r="G17" i="24"/>
  <c r="F17" i="24"/>
  <c r="AK14" i="24"/>
  <c r="K14" i="24" s="1"/>
  <c r="G14" i="24"/>
  <c r="F14" i="24"/>
  <c r="A14" i="24"/>
  <c r="G6" i="24"/>
  <c r="F6" i="24"/>
  <c r="A6" i="24"/>
  <c r="G12" i="24"/>
  <c r="F12" i="24"/>
  <c r="A12" i="24"/>
  <c r="G11" i="24"/>
  <c r="F11" i="24"/>
  <c r="A11" i="24"/>
  <c r="G10" i="24"/>
  <c r="F10" i="24"/>
  <c r="A10" i="24"/>
  <c r="G9" i="24"/>
  <c r="F9" i="24"/>
  <c r="A9" i="24"/>
  <c r="G8" i="24"/>
  <c r="F8" i="24"/>
  <c r="G7" i="24"/>
  <c r="F7" i="24"/>
  <c r="A7" i="24"/>
  <c r="G5" i="24"/>
  <c r="F5" i="24"/>
  <c r="C5" i="24"/>
  <c r="G280" i="24"/>
  <c r="F280" i="24"/>
  <c r="G279" i="24"/>
  <c r="F279" i="24"/>
  <c r="G135" i="24"/>
  <c r="F135" i="24"/>
  <c r="G134" i="24"/>
  <c r="F134" i="24"/>
  <c r="G133" i="24"/>
  <c r="F133" i="24"/>
  <c r="G132" i="24"/>
  <c r="F132" i="24"/>
  <c r="G130" i="24"/>
  <c r="F130" i="24"/>
  <c r="G129" i="24"/>
  <c r="F129" i="24"/>
  <c r="G73" i="24"/>
  <c r="F73" i="24"/>
  <c r="G72" i="24"/>
  <c r="F72" i="24"/>
  <c r="G71" i="24"/>
  <c r="F71" i="24"/>
  <c r="G70" i="24"/>
  <c r="F70" i="24"/>
  <c r="G43" i="24"/>
  <c r="F43" i="24"/>
  <c r="G42" i="24"/>
  <c r="F42" i="24"/>
  <c r="C2" i="24"/>
  <c r="G126" i="23"/>
  <c r="F126" i="23"/>
  <c r="B126" i="23"/>
  <c r="G193" i="23"/>
  <c r="F193" i="23"/>
  <c r="B193" i="23"/>
  <c r="G125" i="23"/>
  <c r="F125" i="23"/>
  <c r="B125" i="23"/>
  <c r="G124" i="23"/>
  <c r="F124" i="23"/>
  <c r="B124" i="23"/>
  <c r="G123" i="23"/>
  <c r="F123" i="23"/>
  <c r="B123" i="23"/>
  <c r="G105" i="23"/>
  <c r="F105" i="23"/>
  <c r="B105" i="23"/>
  <c r="G104" i="23"/>
  <c r="F104" i="23"/>
  <c r="B104" i="23"/>
  <c r="G103" i="23"/>
  <c r="F103" i="23"/>
  <c r="B103" i="23"/>
  <c r="G122" i="23"/>
  <c r="F122" i="23"/>
  <c r="B122" i="23"/>
  <c r="G121" i="23"/>
  <c r="F121" i="23"/>
  <c r="B121" i="23"/>
  <c r="G120" i="23"/>
  <c r="F120" i="23"/>
  <c r="B120" i="23"/>
  <c r="G71" i="23"/>
  <c r="F71" i="23"/>
  <c r="B71" i="23"/>
  <c r="G102" i="23"/>
  <c r="F102" i="23"/>
  <c r="B102" i="23"/>
  <c r="G119" i="23"/>
  <c r="F119" i="23"/>
  <c r="B119" i="23"/>
  <c r="G118" i="23"/>
  <c r="F118" i="23"/>
  <c r="B118" i="23"/>
  <c r="G70" i="23"/>
  <c r="F70" i="23"/>
  <c r="B70" i="23"/>
  <c r="G101" i="23"/>
  <c r="F101" i="23"/>
  <c r="B101" i="23"/>
  <c r="G100" i="23"/>
  <c r="F100" i="23"/>
  <c r="B100" i="23"/>
  <c r="G69" i="23"/>
  <c r="F69" i="23"/>
  <c r="B69" i="23"/>
  <c r="G192" i="23"/>
  <c r="F192" i="23"/>
  <c r="B192" i="23"/>
  <c r="G152" i="23"/>
  <c r="F152" i="23"/>
  <c r="B152" i="23"/>
  <c r="G151" i="23"/>
  <c r="F151" i="23"/>
  <c r="B151" i="23"/>
  <c r="G181" i="23"/>
  <c r="F181" i="23"/>
  <c r="G191" i="23"/>
  <c r="F191" i="23"/>
  <c r="G173" i="23"/>
  <c r="F173" i="23"/>
  <c r="G112" i="23"/>
  <c r="F112" i="23"/>
  <c r="B112" i="23"/>
  <c r="G79" i="23"/>
  <c r="F79" i="23"/>
  <c r="G190" i="23"/>
  <c r="F190" i="23"/>
  <c r="G180" i="23"/>
  <c r="F180" i="23"/>
  <c r="G172" i="23"/>
  <c r="F172" i="23"/>
  <c r="G68" i="23"/>
  <c r="F68" i="23"/>
  <c r="G67" i="23"/>
  <c r="F67" i="23"/>
  <c r="G91" i="23"/>
  <c r="F91" i="23"/>
  <c r="G108" i="23"/>
  <c r="F108" i="23"/>
  <c r="G106" i="23"/>
  <c r="F106" i="23"/>
  <c r="B106" i="23"/>
  <c r="G85" i="23"/>
  <c r="F85" i="23"/>
  <c r="B85" i="23"/>
  <c r="G34" i="23"/>
  <c r="F34" i="23"/>
  <c r="G171" i="23"/>
  <c r="F171" i="23"/>
  <c r="G170" i="23"/>
  <c r="F170" i="23"/>
  <c r="G169" i="23"/>
  <c r="F169" i="23"/>
  <c r="G168" i="23"/>
  <c r="F168" i="23"/>
  <c r="G66" i="23"/>
  <c r="F66" i="23"/>
  <c r="G65" i="23"/>
  <c r="F65" i="23"/>
  <c r="G179" i="23"/>
  <c r="F179" i="23"/>
  <c r="B179" i="23"/>
  <c r="G88" i="23"/>
  <c r="F88" i="23"/>
  <c r="G30" i="23"/>
  <c r="F30" i="23"/>
  <c r="G32" i="23"/>
  <c r="F32" i="23"/>
  <c r="G138" i="23"/>
  <c r="F138" i="23"/>
  <c r="G149" i="23"/>
  <c r="F149" i="23"/>
  <c r="A149" i="23"/>
  <c r="G148" i="23"/>
  <c r="F148" i="23"/>
  <c r="G147" i="23"/>
  <c r="F147" i="23"/>
  <c r="A147" i="23"/>
  <c r="G146" i="23"/>
  <c r="F146" i="23"/>
  <c r="G167" i="23"/>
  <c r="F167" i="23"/>
  <c r="G96" i="23"/>
  <c r="F96" i="23"/>
  <c r="G16" i="23"/>
  <c r="F16" i="23"/>
  <c r="G145" i="23"/>
  <c r="F145" i="23"/>
  <c r="G33" i="23"/>
  <c r="F33" i="23"/>
  <c r="G95" i="23"/>
  <c r="F95" i="23"/>
  <c r="G55" i="23"/>
  <c r="F55" i="23"/>
  <c r="G144" i="23"/>
  <c r="F144" i="23"/>
  <c r="G143" i="23"/>
  <c r="F143" i="23"/>
  <c r="G64" i="23"/>
  <c r="F64" i="23"/>
  <c r="G78" i="23"/>
  <c r="F78" i="23"/>
  <c r="G84" i="23"/>
  <c r="F84" i="23"/>
  <c r="G47" i="23"/>
  <c r="F47" i="23"/>
  <c r="G83" i="23"/>
  <c r="F83" i="23"/>
  <c r="G178" i="23"/>
  <c r="F178" i="23"/>
  <c r="G44" i="23"/>
  <c r="F44" i="23"/>
  <c r="G130" i="23"/>
  <c r="F130" i="23"/>
  <c r="G59" i="23"/>
  <c r="F59" i="23"/>
  <c r="G166" i="23"/>
  <c r="F166" i="23"/>
  <c r="G27" i="23"/>
  <c r="F27" i="23"/>
  <c r="G39" i="23"/>
  <c r="F39" i="23"/>
  <c r="G142" i="23"/>
  <c r="F142" i="23"/>
  <c r="G158" i="23"/>
  <c r="F158" i="23"/>
  <c r="G165" i="23"/>
  <c r="F165" i="23"/>
  <c r="G56" i="23"/>
  <c r="F56" i="23"/>
  <c r="G28" i="23"/>
  <c r="F28" i="23"/>
  <c r="G164" i="23"/>
  <c r="F164" i="23"/>
  <c r="AJ174" i="23"/>
  <c r="L174" i="23" s="1"/>
  <c r="G174" i="23"/>
  <c r="F174" i="23"/>
  <c r="AN60" i="23"/>
  <c r="AJ60" i="23"/>
  <c r="G60" i="23"/>
  <c r="F60" i="23"/>
  <c r="AN42" i="23"/>
  <c r="AJ42" i="23"/>
  <c r="G42" i="23"/>
  <c r="F42" i="23"/>
  <c r="G177" i="23"/>
  <c r="F177" i="23"/>
  <c r="G50" i="23"/>
  <c r="F50" i="23"/>
  <c r="G87" i="23"/>
  <c r="F87" i="23"/>
  <c r="G163" i="23"/>
  <c r="F163" i="23"/>
  <c r="B163" i="23"/>
  <c r="G63" i="23"/>
  <c r="F63" i="23"/>
  <c r="B63" i="23"/>
  <c r="G82" i="23"/>
  <c r="F82" i="23"/>
  <c r="B82" i="23"/>
  <c r="G62" i="23"/>
  <c r="F62" i="23"/>
  <c r="G162" i="23"/>
  <c r="F162" i="23"/>
  <c r="G26" i="23"/>
  <c r="F26" i="23"/>
  <c r="AN74" i="23"/>
  <c r="L74" i="23" s="1"/>
  <c r="G74" i="23"/>
  <c r="F74" i="23"/>
  <c r="G38" i="23"/>
  <c r="F38" i="23"/>
  <c r="G161" i="23"/>
  <c r="F161" i="23"/>
  <c r="G77" i="23"/>
  <c r="F77" i="23"/>
  <c r="G9" i="23"/>
  <c r="F9" i="23"/>
  <c r="G99" i="23"/>
  <c r="F99" i="23"/>
  <c r="A99" i="23"/>
  <c r="G110" i="23"/>
  <c r="F110" i="23"/>
  <c r="G76" i="23"/>
  <c r="F76" i="23"/>
  <c r="G94" i="23"/>
  <c r="F94" i="23"/>
  <c r="G116" i="23"/>
  <c r="F116" i="23"/>
  <c r="AN90" i="23"/>
  <c r="L90" i="23" s="1"/>
  <c r="G90" i="23"/>
  <c r="F90" i="23"/>
  <c r="AN18" i="23"/>
  <c r="AJ18" i="23"/>
  <c r="G18" i="23"/>
  <c r="F18" i="23"/>
  <c r="A18" i="23"/>
  <c r="AN111" i="23"/>
  <c r="AJ111" i="23"/>
  <c r="G111" i="23"/>
  <c r="F111" i="23"/>
  <c r="G129" i="23"/>
  <c r="F129" i="23"/>
  <c r="G54" i="23"/>
  <c r="F54" i="23"/>
  <c r="G89" i="23"/>
  <c r="F89" i="23"/>
  <c r="G58" i="23"/>
  <c r="F58" i="23"/>
  <c r="G189" i="23"/>
  <c r="F189" i="23"/>
  <c r="G141" i="23"/>
  <c r="F141" i="23"/>
  <c r="G140" i="23"/>
  <c r="F140" i="23"/>
  <c r="G29" i="23"/>
  <c r="F29" i="23"/>
  <c r="G150" i="23"/>
  <c r="F150" i="23"/>
  <c r="B150" i="23"/>
  <c r="G53" i="23"/>
  <c r="F53" i="23"/>
  <c r="G12" i="23"/>
  <c r="F12" i="23"/>
  <c r="G37" i="23"/>
  <c r="F37" i="23"/>
  <c r="G46" i="23"/>
  <c r="F46" i="23"/>
  <c r="G93" i="23"/>
  <c r="F93" i="23"/>
  <c r="G115" i="23"/>
  <c r="F115" i="23"/>
  <c r="A115" i="23"/>
  <c r="G81" i="23"/>
  <c r="F81" i="23"/>
  <c r="G21" i="23"/>
  <c r="F21" i="23"/>
  <c r="A21" i="23"/>
  <c r="G25" i="23"/>
  <c r="F25" i="23"/>
  <c r="G31" i="23"/>
  <c r="F31" i="23"/>
  <c r="G45" i="23"/>
  <c r="F45" i="23"/>
  <c r="G188" i="23"/>
  <c r="F188" i="23"/>
  <c r="G187" i="23"/>
  <c r="F187" i="23"/>
  <c r="G186" i="23"/>
  <c r="F186" i="23"/>
  <c r="G160" i="23"/>
  <c r="F160" i="23"/>
  <c r="G20" i="23"/>
  <c r="F20" i="23"/>
  <c r="G73" i="23"/>
  <c r="F73" i="23"/>
  <c r="G61" i="23"/>
  <c r="F61" i="23"/>
  <c r="G19" i="23"/>
  <c r="F19" i="23"/>
  <c r="A19" i="23"/>
  <c r="G10" i="23"/>
  <c r="F10" i="23"/>
  <c r="A10" i="23"/>
  <c r="G14" i="23"/>
  <c r="F14" i="23"/>
  <c r="G185" i="23"/>
  <c r="F185" i="23"/>
  <c r="G41" i="23"/>
  <c r="F41" i="23"/>
  <c r="G98" i="23"/>
  <c r="F98" i="23"/>
  <c r="A98" i="23"/>
  <c r="G15" i="23"/>
  <c r="F15" i="23"/>
  <c r="G184" i="23"/>
  <c r="F184" i="23"/>
  <c r="G6" i="23"/>
  <c r="F6" i="23"/>
  <c r="G92" i="23"/>
  <c r="F92" i="23"/>
  <c r="G52" i="23"/>
  <c r="F52" i="23"/>
  <c r="G75" i="23"/>
  <c r="F75" i="23"/>
  <c r="G22" i="23"/>
  <c r="F22" i="23"/>
  <c r="A22" i="23"/>
  <c r="G137" i="23"/>
  <c r="F137" i="23"/>
  <c r="G176" i="23"/>
  <c r="F176" i="23"/>
  <c r="G183" i="23"/>
  <c r="F183" i="23"/>
  <c r="G139" i="23"/>
  <c r="F139" i="23"/>
  <c r="G107" i="23"/>
  <c r="F107" i="23"/>
  <c r="G49" i="23"/>
  <c r="F49" i="23"/>
  <c r="G182" i="23"/>
  <c r="F182" i="23"/>
  <c r="A182" i="23"/>
  <c r="G7" i="23"/>
  <c r="F7" i="23"/>
  <c r="G57" i="23"/>
  <c r="F57" i="23"/>
  <c r="A57" i="23"/>
  <c r="G43" i="23"/>
  <c r="F43" i="23"/>
  <c r="G23" i="23"/>
  <c r="F23" i="23"/>
  <c r="A23" i="23"/>
  <c r="G17" i="23"/>
  <c r="F17" i="23"/>
  <c r="G35" i="23"/>
  <c r="F35" i="23"/>
  <c r="A35" i="23"/>
  <c r="G13" i="23"/>
  <c r="F13" i="23"/>
  <c r="A13" i="23"/>
  <c r="G5" i="23"/>
  <c r="F5" i="23"/>
  <c r="C5" i="23"/>
  <c r="G117" i="23"/>
  <c r="F117" i="23"/>
  <c r="G132" i="23"/>
  <c r="F132" i="23"/>
  <c r="G131" i="23"/>
  <c r="F131" i="23"/>
  <c r="A131" i="23"/>
  <c r="G136" i="23"/>
  <c r="F136" i="23"/>
  <c r="G175" i="23"/>
  <c r="F175" i="23"/>
  <c r="G114" i="23"/>
  <c r="F114" i="23"/>
  <c r="A114" i="23"/>
  <c r="G135" i="23"/>
  <c r="F135" i="23"/>
  <c r="A135" i="23"/>
  <c r="G134" i="23"/>
  <c r="F134" i="23"/>
  <c r="G109" i="23"/>
  <c r="F109" i="23"/>
  <c r="G40" i="23"/>
  <c r="F40" i="23"/>
  <c r="A40" i="23"/>
  <c r="G80" i="23"/>
  <c r="F80" i="23"/>
  <c r="A80" i="23"/>
  <c r="G159" i="23"/>
  <c r="F159" i="23"/>
  <c r="G72" i="23"/>
  <c r="F72" i="23"/>
  <c r="G11" i="23"/>
  <c r="F11" i="23"/>
  <c r="A11" i="23"/>
  <c r="G48" i="23"/>
  <c r="F48" i="23"/>
  <c r="G157" i="23"/>
  <c r="F157" i="23"/>
  <c r="A157" i="23"/>
  <c r="G97" i="23"/>
  <c r="F97" i="23"/>
  <c r="G51" i="23"/>
  <c r="F51" i="23"/>
  <c r="G133" i="23"/>
  <c r="F133" i="23"/>
  <c r="G8" i="23"/>
  <c r="F8" i="23"/>
  <c r="G86" i="23"/>
  <c r="F86" i="23"/>
  <c r="G113" i="23"/>
  <c r="F113" i="23"/>
  <c r="A113" i="23"/>
  <c r="C2" i="23"/>
  <c r="G201" i="22"/>
  <c r="F201" i="22"/>
  <c r="G86" i="22"/>
  <c r="F86" i="22"/>
  <c r="G200" i="22"/>
  <c r="F200" i="22"/>
  <c r="G154" i="22"/>
  <c r="F154" i="22"/>
  <c r="G199" i="22"/>
  <c r="F199" i="22"/>
  <c r="G153" i="22"/>
  <c r="F153" i="22"/>
  <c r="G198" i="22"/>
  <c r="F198" i="22"/>
  <c r="G197" i="22"/>
  <c r="F197" i="22"/>
  <c r="G196" i="22"/>
  <c r="F196" i="22"/>
  <c r="G195" i="22"/>
  <c r="F195" i="22"/>
  <c r="G85" i="22"/>
  <c r="F85" i="22"/>
  <c r="G194" i="22"/>
  <c r="F194" i="22"/>
  <c r="G152" i="22"/>
  <c r="F152" i="22"/>
  <c r="G68" i="22"/>
  <c r="F68" i="22"/>
  <c r="G193" i="22"/>
  <c r="F193" i="22"/>
  <c r="G192" i="22"/>
  <c r="F192" i="22"/>
  <c r="G191" i="22"/>
  <c r="F191" i="22"/>
  <c r="G190" i="22"/>
  <c r="F190" i="22"/>
  <c r="G151" i="22"/>
  <c r="F151" i="22"/>
  <c r="G297" i="22"/>
  <c r="F297" i="22"/>
  <c r="G296" i="22"/>
  <c r="F296" i="22"/>
  <c r="G295" i="22"/>
  <c r="F295" i="22"/>
  <c r="G294" i="22"/>
  <c r="F294" i="22"/>
  <c r="G293" i="22"/>
  <c r="F293" i="22"/>
  <c r="G131" i="22"/>
  <c r="F131" i="22"/>
  <c r="G257" i="22"/>
  <c r="F257" i="22"/>
  <c r="G256" i="22"/>
  <c r="F256" i="22"/>
  <c r="G252" i="22"/>
  <c r="F252" i="22"/>
  <c r="G251" i="22"/>
  <c r="F251" i="22"/>
  <c r="G130" i="22"/>
  <c r="F130" i="22"/>
  <c r="G292" i="22"/>
  <c r="F292" i="22"/>
  <c r="G291" i="22"/>
  <c r="F291" i="22"/>
  <c r="G290" i="22"/>
  <c r="F290" i="22"/>
  <c r="G203" i="22"/>
  <c r="F203" i="22"/>
  <c r="G129" i="22"/>
  <c r="F129" i="22"/>
  <c r="G289" i="22"/>
  <c r="F289" i="22"/>
  <c r="G182" i="22"/>
  <c r="F182" i="22"/>
  <c r="G165" i="22"/>
  <c r="F165" i="22"/>
  <c r="G288" i="22"/>
  <c r="F288" i="22"/>
  <c r="G90" i="22"/>
  <c r="F90" i="22"/>
  <c r="G287" i="22"/>
  <c r="F287" i="22"/>
  <c r="G244" i="22"/>
  <c r="F244" i="22"/>
  <c r="G128" i="22"/>
  <c r="F128" i="22"/>
  <c r="G332" i="22"/>
  <c r="F332" i="22"/>
  <c r="G331" i="22"/>
  <c r="F331" i="22"/>
  <c r="L127" i="22"/>
  <c r="G127" i="22"/>
  <c r="F127" i="22"/>
  <c r="G242" i="22"/>
  <c r="F242" i="22"/>
  <c r="G241" i="22"/>
  <c r="F241" i="22"/>
  <c r="G240" i="22"/>
  <c r="F240" i="22"/>
  <c r="G327" i="22"/>
  <c r="F327" i="22"/>
  <c r="G326" i="22"/>
  <c r="F326" i="22"/>
  <c r="G325" i="22"/>
  <c r="F325" i="22"/>
  <c r="G114" i="22"/>
  <c r="F114" i="22"/>
  <c r="A114" i="22"/>
  <c r="G301" i="22"/>
  <c r="F301" i="22"/>
  <c r="A301" i="22"/>
  <c r="G300" i="22"/>
  <c r="F300" i="22"/>
  <c r="G74" i="22"/>
  <c r="F74" i="22"/>
  <c r="G330" i="22"/>
  <c r="F330" i="22"/>
  <c r="G324" i="22"/>
  <c r="F324" i="22"/>
  <c r="L126" i="22"/>
  <c r="G126" i="22"/>
  <c r="F126" i="22"/>
  <c r="G89" i="22"/>
  <c r="F89" i="22"/>
  <c r="G250" i="22"/>
  <c r="F250" i="22"/>
  <c r="G249" i="22"/>
  <c r="F249" i="22"/>
  <c r="G286" i="22"/>
  <c r="F286" i="22"/>
  <c r="G248" i="22"/>
  <c r="F248" i="22"/>
  <c r="G285" i="22"/>
  <c r="F285" i="22"/>
  <c r="G125" i="22"/>
  <c r="F125" i="22"/>
  <c r="G88" i="22"/>
  <c r="F88" i="22"/>
  <c r="G247" i="22"/>
  <c r="F247" i="22"/>
  <c r="G156" i="22"/>
  <c r="F156" i="22"/>
  <c r="G298" i="22"/>
  <c r="F298" i="22"/>
  <c r="G284" i="22"/>
  <c r="F284" i="22"/>
  <c r="G246" i="22"/>
  <c r="F246" i="22"/>
  <c r="G283" i="22"/>
  <c r="F283" i="22"/>
  <c r="G147" i="22"/>
  <c r="F147" i="22"/>
  <c r="G135" i="22"/>
  <c r="F135" i="22"/>
  <c r="G124" i="22"/>
  <c r="F124" i="22"/>
  <c r="G123" i="22"/>
  <c r="F123" i="22"/>
  <c r="G87" i="22"/>
  <c r="F87" i="22"/>
  <c r="G42" i="22"/>
  <c r="F42" i="22"/>
  <c r="G282" i="22"/>
  <c r="F282" i="22"/>
  <c r="A282" i="22"/>
  <c r="G134" i="22"/>
  <c r="F134" i="22"/>
  <c r="G216" i="22"/>
  <c r="F216" i="22"/>
  <c r="G167" i="22"/>
  <c r="F167" i="22"/>
  <c r="G146" i="22"/>
  <c r="F146" i="22"/>
  <c r="G119" i="22"/>
  <c r="F119" i="22"/>
  <c r="G36" i="22"/>
  <c r="F36" i="22"/>
  <c r="G217" i="22"/>
  <c r="F217" i="22"/>
  <c r="G281" i="22"/>
  <c r="F281" i="22"/>
  <c r="G280" i="22"/>
  <c r="F280" i="22"/>
  <c r="G266" i="22"/>
  <c r="F266" i="22"/>
  <c r="G265" i="22"/>
  <c r="F265" i="22"/>
  <c r="G264" i="22"/>
  <c r="F264" i="22"/>
  <c r="G63" i="22"/>
  <c r="F63" i="22"/>
  <c r="G118" i="22"/>
  <c r="F118" i="22"/>
  <c r="G137" i="22"/>
  <c r="F137" i="22"/>
  <c r="G263" i="22"/>
  <c r="F263" i="22"/>
  <c r="G96" i="22"/>
  <c r="F96" i="22"/>
  <c r="G52" i="22"/>
  <c r="F52" i="22"/>
  <c r="G40" i="22"/>
  <c r="F40" i="22"/>
  <c r="G92" i="22"/>
  <c r="F92" i="22"/>
  <c r="G73" i="22"/>
  <c r="F73" i="22"/>
  <c r="G45" i="22"/>
  <c r="F45" i="22"/>
  <c r="G219" i="22"/>
  <c r="F219" i="22"/>
  <c r="G148" i="22"/>
  <c r="F148" i="22"/>
  <c r="G279" i="22"/>
  <c r="F279" i="22"/>
  <c r="G329" i="22"/>
  <c r="F329" i="22"/>
  <c r="G278" i="22"/>
  <c r="F278" i="22"/>
  <c r="G202" i="22"/>
  <c r="F202" i="22"/>
  <c r="G102" i="22"/>
  <c r="F102" i="22"/>
  <c r="G226" i="22"/>
  <c r="F226" i="22"/>
  <c r="A226" i="22"/>
  <c r="G225" i="22"/>
  <c r="F225" i="22"/>
  <c r="A225" i="22"/>
  <c r="G224" i="22"/>
  <c r="F224" i="22"/>
  <c r="A224" i="22"/>
  <c r="G107" i="22"/>
  <c r="F107" i="22"/>
  <c r="A107" i="22"/>
  <c r="G259" i="22"/>
  <c r="F259" i="22"/>
  <c r="A259" i="22"/>
  <c r="G189" i="22"/>
  <c r="F189" i="22"/>
  <c r="A189" i="22"/>
  <c r="G188" i="22"/>
  <c r="F188" i="22"/>
  <c r="A188" i="22"/>
  <c r="G323" i="22"/>
  <c r="F323" i="22"/>
  <c r="A323" i="22"/>
  <c r="G239" i="22"/>
  <c r="F239" i="22"/>
  <c r="A239" i="22"/>
  <c r="G58" i="22"/>
  <c r="F58" i="22"/>
  <c r="G111" i="22"/>
  <c r="F111" i="22"/>
  <c r="A111" i="22"/>
  <c r="G168" i="22"/>
  <c r="F168" i="22"/>
  <c r="A168" i="22"/>
  <c r="G274" i="22"/>
  <c r="F274" i="22"/>
  <c r="A274" i="22"/>
  <c r="G62" i="22"/>
  <c r="F62" i="22"/>
  <c r="G44" i="22"/>
  <c r="F44" i="22"/>
  <c r="G155" i="22"/>
  <c r="F155" i="22"/>
  <c r="G238" i="22"/>
  <c r="F238" i="22"/>
  <c r="A238" i="22"/>
  <c r="G237" i="22"/>
  <c r="F237" i="22"/>
  <c r="A237" i="22"/>
  <c r="G64" i="22"/>
  <c r="F64" i="22"/>
  <c r="A64" i="22"/>
  <c r="G236" i="22"/>
  <c r="F236" i="22"/>
  <c r="A236" i="22"/>
  <c r="G235" i="22"/>
  <c r="F235" i="22"/>
  <c r="A235" i="22"/>
  <c r="G273" i="22"/>
  <c r="F273" i="22"/>
  <c r="A273" i="22"/>
  <c r="G272" i="22"/>
  <c r="F272" i="22"/>
  <c r="A272" i="22"/>
  <c r="G145" i="22"/>
  <c r="F145" i="22"/>
  <c r="A145" i="22"/>
  <c r="G94" i="22"/>
  <c r="F94" i="22"/>
  <c r="A94" i="22"/>
  <c r="G144" i="22"/>
  <c r="F144" i="22"/>
  <c r="A144" i="22"/>
  <c r="G109" i="22"/>
  <c r="F109" i="22"/>
  <c r="A109" i="22"/>
  <c r="G65" i="22"/>
  <c r="F65" i="22"/>
  <c r="A65" i="22"/>
  <c r="G170" i="22"/>
  <c r="F170" i="22"/>
  <c r="G105" i="22"/>
  <c r="F105" i="22"/>
  <c r="A105" i="22"/>
  <c r="G35" i="22"/>
  <c r="F35" i="22"/>
  <c r="A35" i="22"/>
  <c r="G79" i="22"/>
  <c r="F79" i="22"/>
  <c r="A79" i="22"/>
  <c r="G39" i="22"/>
  <c r="F39" i="22"/>
  <c r="A39" i="22"/>
  <c r="G72" i="22"/>
  <c r="F72" i="22"/>
  <c r="G37" i="22"/>
  <c r="F37" i="22"/>
  <c r="A37" i="22"/>
  <c r="G322" i="22"/>
  <c r="F322" i="22"/>
  <c r="A322" i="22"/>
  <c r="G187" i="22"/>
  <c r="F187" i="22"/>
  <c r="A187" i="22"/>
  <c r="G186" i="22"/>
  <c r="F186" i="22"/>
  <c r="A186" i="22"/>
  <c r="G185" i="22"/>
  <c r="F185" i="22"/>
  <c r="A185" i="22"/>
  <c r="G84" i="22"/>
  <c r="F84" i="22"/>
  <c r="A84" i="22"/>
  <c r="G321" i="22"/>
  <c r="F321" i="22"/>
  <c r="A321" i="22"/>
  <c r="G320" i="22"/>
  <c r="F320" i="22"/>
  <c r="A320" i="22"/>
  <c r="G143" i="22"/>
  <c r="F143" i="22"/>
  <c r="A143" i="22"/>
  <c r="G142" i="22"/>
  <c r="F142" i="22"/>
  <c r="A142" i="22"/>
  <c r="G31" i="22"/>
  <c r="F31" i="22"/>
  <c r="G234" i="22"/>
  <c r="F234" i="22"/>
  <c r="A234" i="22"/>
  <c r="G233" i="22"/>
  <c r="F233" i="22"/>
  <c r="A233" i="22"/>
  <c r="G232" i="22"/>
  <c r="F232" i="22"/>
  <c r="A232" i="22"/>
  <c r="G231" i="22"/>
  <c r="F231" i="22"/>
  <c r="A231" i="22"/>
  <c r="G271" i="22"/>
  <c r="F271" i="22"/>
  <c r="A271" i="22"/>
  <c r="G270" i="22"/>
  <c r="F270" i="22"/>
  <c r="A270" i="22"/>
  <c r="G181" i="22"/>
  <c r="F181" i="22"/>
  <c r="G11" i="22"/>
  <c r="F11" i="22"/>
  <c r="A11" i="22"/>
  <c r="G166" i="22"/>
  <c r="F166" i="22"/>
  <c r="A166" i="22"/>
  <c r="G24" i="22"/>
  <c r="F24" i="22"/>
  <c r="A24" i="22"/>
  <c r="G113" i="22"/>
  <c r="F113" i="22"/>
  <c r="A113" i="22"/>
  <c r="G319" i="22"/>
  <c r="F319" i="22"/>
  <c r="A319" i="22"/>
  <c r="G258" i="22"/>
  <c r="F258" i="22"/>
  <c r="A258" i="22"/>
  <c r="G230" i="22"/>
  <c r="F230" i="22"/>
  <c r="A230" i="22"/>
  <c r="G229" i="22"/>
  <c r="F229" i="22"/>
  <c r="A229" i="22"/>
  <c r="G95" i="22"/>
  <c r="F95" i="22"/>
  <c r="A95" i="22"/>
  <c r="G83" i="22"/>
  <c r="F83" i="22"/>
  <c r="A83" i="22"/>
  <c r="G243" i="22"/>
  <c r="F243" i="22"/>
  <c r="A243" i="22"/>
  <c r="G91" i="22"/>
  <c r="F91" i="22"/>
  <c r="G122" i="22"/>
  <c r="F122" i="22"/>
  <c r="G318" i="22"/>
  <c r="F318" i="22"/>
  <c r="A318" i="22"/>
  <c r="G12" i="22"/>
  <c r="F12" i="22"/>
  <c r="A12" i="22"/>
  <c r="G317" i="22"/>
  <c r="F317" i="22"/>
  <c r="A317" i="22"/>
  <c r="G316" i="22"/>
  <c r="F316" i="22"/>
  <c r="A316" i="22"/>
  <c r="G164" i="22"/>
  <c r="F164" i="22"/>
  <c r="A164" i="22"/>
  <c r="G315" i="22"/>
  <c r="F315" i="22"/>
  <c r="A315" i="22"/>
  <c r="G269" i="22"/>
  <c r="F269" i="22"/>
  <c r="A269" i="22"/>
  <c r="G49" i="22"/>
  <c r="F49" i="22"/>
  <c r="G121" i="22"/>
  <c r="F121" i="22"/>
  <c r="G71" i="22"/>
  <c r="F71" i="22"/>
  <c r="G120" i="22"/>
  <c r="F120" i="22"/>
  <c r="G314" i="22"/>
  <c r="F314" i="22"/>
  <c r="A314" i="22"/>
  <c r="G141" i="22"/>
  <c r="F141" i="22"/>
  <c r="A141" i="22"/>
  <c r="G53" i="22"/>
  <c r="F53" i="22"/>
  <c r="A53" i="22"/>
  <c r="G23" i="22"/>
  <c r="F23" i="22"/>
  <c r="A23" i="22"/>
  <c r="G313" i="22"/>
  <c r="F313" i="22"/>
  <c r="A313" i="22"/>
  <c r="G228" i="22"/>
  <c r="F228" i="22"/>
  <c r="A228" i="22"/>
  <c r="G140" i="22"/>
  <c r="F140" i="22"/>
  <c r="A140" i="22"/>
  <c r="G55" i="22"/>
  <c r="F55" i="22"/>
  <c r="A55" i="22"/>
  <c r="G20" i="22"/>
  <c r="F20" i="22"/>
  <c r="A20" i="22"/>
  <c r="G312" i="22"/>
  <c r="F312" i="22"/>
  <c r="A312" i="22"/>
  <c r="G136" i="22"/>
  <c r="F136" i="22"/>
  <c r="A136" i="22"/>
  <c r="G51" i="22"/>
  <c r="F51" i="22"/>
  <c r="A51" i="22"/>
  <c r="G277" i="22"/>
  <c r="F277" i="22"/>
  <c r="G218" i="22"/>
  <c r="F218" i="22"/>
  <c r="A218" i="22"/>
  <c r="G180" i="22"/>
  <c r="F180" i="22"/>
  <c r="A180" i="22"/>
  <c r="G276" i="22"/>
  <c r="F276" i="22"/>
  <c r="G179" i="22"/>
  <c r="F179" i="22"/>
  <c r="G268" i="22"/>
  <c r="F268" i="22"/>
  <c r="A268" i="22"/>
  <c r="G108" i="22"/>
  <c r="F108" i="22"/>
  <c r="A108" i="22"/>
  <c r="G132" i="22"/>
  <c r="F132" i="22"/>
  <c r="A132" i="22"/>
  <c r="G41" i="22"/>
  <c r="F41" i="22"/>
  <c r="A41" i="22"/>
  <c r="G69" i="22"/>
  <c r="F69" i="22"/>
  <c r="A69" i="22"/>
  <c r="G76" i="22"/>
  <c r="F76" i="22"/>
  <c r="A76" i="22"/>
  <c r="G80" i="22"/>
  <c r="F80" i="22"/>
  <c r="G77" i="22"/>
  <c r="F77" i="22"/>
  <c r="G133" i="22"/>
  <c r="F133" i="22"/>
  <c r="G33" i="22"/>
  <c r="F33" i="22"/>
  <c r="G57" i="22"/>
  <c r="F57" i="22"/>
  <c r="G227" i="22"/>
  <c r="F227" i="22"/>
  <c r="A227" i="22"/>
  <c r="G150" i="22"/>
  <c r="F150" i="22"/>
  <c r="A150" i="22"/>
  <c r="G311" i="22"/>
  <c r="F311" i="22"/>
  <c r="A311" i="22"/>
  <c r="G16" i="22"/>
  <c r="F16" i="22"/>
  <c r="G54" i="22"/>
  <c r="F54" i="22"/>
  <c r="A54" i="22"/>
  <c r="G21" i="22"/>
  <c r="F21" i="22"/>
  <c r="A21" i="22"/>
  <c r="G275" i="22"/>
  <c r="F275" i="22"/>
  <c r="G117" i="22"/>
  <c r="F117" i="22"/>
  <c r="G48" i="22"/>
  <c r="F48" i="22"/>
  <c r="A48" i="22"/>
  <c r="G345" i="22"/>
  <c r="F345" i="22"/>
  <c r="A345" i="22"/>
  <c r="G344" i="22"/>
  <c r="F344" i="22"/>
  <c r="A344" i="22"/>
  <c r="G343" i="22"/>
  <c r="F343" i="22"/>
  <c r="A343" i="22"/>
  <c r="G342" i="22"/>
  <c r="F342" i="22"/>
  <c r="A342" i="22"/>
  <c r="G341" i="22"/>
  <c r="F341" i="22"/>
  <c r="A341" i="22"/>
  <c r="G178" i="22"/>
  <c r="F178" i="22"/>
  <c r="G139" i="22"/>
  <c r="F139" i="22"/>
  <c r="A139" i="22"/>
  <c r="G340" i="22"/>
  <c r="F340" i="22"/>
  <c r="A340" i="22"/>
  <c r="G38" i="22"/>
  <c r="F38" i="22"/>
  <c r="G15" i="22"/>
  <c r="F15" i="22"/>
  <c r="A15" i="22"/>
  <c r="G339" i="22"/>
  <c r="F339" i="22"/>
  <c r="A339" i="22"/>
  <c r="G184" i="22"/>
  <c r="F184" i="22"/>
  <c r="A184" i="22"/>
  <c r="G159" i="22"/>
  <c r="F159" i="22"/>
  <c r="A159" i="22"/>
  <c r="G222" i="22"/>
  <c r="F222" i="22"/>
  <c r="A222" i="22"/>
  <c r="G32" i="22"/>
  <c r="F32" i="22"/>
  <c r="A32" i="22"/>
  <c r="G6" i="22"/>
  <c r="F6" i="22"/>
  <c r="A6" i="22"/>
  <c r="G310" i="22"/>
  <c r="F310" i="22"/>
  <c r="A310" i="22"/>
  <c r="G309" i="22"/>
  <c r="F309" i="22"/>
  <c r="A309" i="22"/>
  <c r="G47" i="22"/>
  <c r="F47" i="22"/>
  <c r="A47" i="22"/>
  <c r="G308" i="22"/>
  <c r="F308" i="22"/>
  <c r="A308" i="22"/>
  <c r="G307" i="22"/>
  <c r="F307" i="22"/>
  <c r="A307" i="22"/>
  <c r="G306" i="22"/>
  <c r="F306" i="22"/>
  <c r="A306" i="22"/>
  <c r="G305" i="22"/>
  <c r="F305" i="22"/>
  <c r="A305" i="22"/>
  <c r="G160" i="22"/>
  <c r="F160" i="22"/>
  <c r="A160" i="22"/>
  <c r="G163" i="22"/>
  <c r="F163" i="22"/>
  <c r="A163" i="22"/>
  <c r="G208" i="22"/>
  <c r="F208" i="22"/>
  <c r="A208" i="22"/>
  <c r="G304" i="22"/>
  <c r="F304" i="22"/>
  <c r="A304" i="22"/>
  <c r="G215" i="22"/>
  <c r="F215" i="22"/>
  <c r="A215" i="22"/>
  <c r="G177" i="22"/>
  <c r="F177" i="22"/>
  <c r="G214" i="22"/>
  <c r="F214" i="22"/>
  <c r="A214" i="22"/>
  <c r="G213" i="22"/>
  <c r="F213" i="22"/>
  <c r="A213" i="22"/>
  <c r="G172" i="22"/>
  <c r="F172" i="22"/>
  <c r="A172" i="22"/>
  <c r="G162" i="22"/>
  <c r="F162" i="22"/>
  <c r="A162" i="22"/>
  <c r="G138" i="22"/>
  <c r="F138" i="22"/>
  <c r="A138" i="22"/>
  <c r="G100" i="22"/>
  <c r="F100" i="22"/>
  <c r="A100" i="22"/>
  <c r="G176" i="22"/>
  <c r="F176" i="22"/>
  <c r="A176" i="22"/>
  <c r="G82" i="22"/>
  <c r="F82" i="22"/>
  <c r="A82" i="22"/>
  <c r="G161" i="22"/>
  <c r="F161" i="22"/>
  <c r="A161" i="22"/>
  <c r="G17" i="22"/>
  <c r="F17" i="22"/>
  <c r="G328" i="22"/>
  <c r="F328" i="22"/>
  <c r="G171" i="22"/>
  <c r="F171" i="22"/>
  <c r="A171" i="22"/>
  <c r="G338" i="22"/>
  <c r="F338" i="22"/>
  <c r="A338" i="22"/>
  <c r="G337" i="22"/>
  <c r="F337" i="22"/>
  <c r="A337" i="22"/>
  <c r="G70" i="22"/>
  <c r="F70" i="22"/>
  <c r="A70" i="22"/>
  <c r="G221" i="22"/>
  <c r="F221" i="22"/>
  <c r="A221" i="22"/>
  <c r="G204" i="22"/>
  <c r="F204" i="22"/>
  <c r="A204" i="22"/>
  <c r="G303" i="22"/>
  <c r="F303" i="22"/>
  <c r="A303" i="22"/>
  <c r="G29" i="22"/>
  <c r="F29" i="22"/>
  <c r="A29" i="22"/>
  <c r="G61" i="22"/>
  <c r="F61" i="22"/>
  <c r="A61" i="22"/>
  <c r="G115" i="22"/>
  <c r="F115" i="22"/>
  <c r="A115" i="22"/>
  <c r="G262" i="22"/>
  <c r="F262" i="22"/>
  <c r="A262" i="22"/>
  <c r="G149" i="22"/>
  <c r="F149" i="22"/>
  <c r="A149" i="22"/>
  <c r="G25" i="22"/>
  <c r="F25" i="22"/>
  <c r="A25" i="22"/>
  <c r="G267" i="22"/>
  <c r="F267" i="22"/>
  <c r="A267" i="22"/>
  <c r="AM30" i="22"/>
  <c r="L30" i="22" s="1"/>
  <c r="G30" i="22"/>
  <c r="F30" i="22"/>
  <c r="A30" i="22"/>
  <c r="G220" i="22"/>
  <c r="F220" i="22"/>
  <c r="A220" i="22"/>
  <c r="G93" i="22"/>
  <c r="F93" i="22"/>
  <c r="A93" i="22"/>
  <c r="G27" i="22"/>
  <c r="F27" i="22"/>
  <c r="G26" i="22"/>
  <c r="F26" i="22"/>
  <c r="A26" i="22"/>
  <c r="G333" i="22"/>
  <c r="F333" i="22"/>
  <c r="A333" i="22"/>
  <c r="G223" i="22"/>
  <c r="F223" i="22"/>
  <c r="G336" i="22"/>
  <c r="F336" i="22"/>
  <c r="A336" i="22"/>
  <c r="G101" i="22"/>
  <c r="F101" i="22"/>
  <c r="A101" i="22"/>
  <c r="G116" i="22"/>
  <c r="F116" i="22"/>
  <c r="A116" i="22"/>
  <c r="G28" i="22"/>
  <c r="F28" i="22"/>
  <c r="A75" i="22"/>
  <c r="G19" i="22"/>
  <c r="F19" i="22"/>
  <c r="A19" i="22"/>
  <c r="G56" i="22"/>
  <c r="F56" i="22"/>
  <c r="A56" i="22"/>
  <c r="G104" i="22"/>
  <c r="F104" i="22"/>
  <c r="A104" i="22"/>
  <c r="G212" i="22"/>
  <c r="F212" i="22"/>
  <c r="A212" i="22"/>
  <c r="G211" i="22"/>
  <c r="F211" i="22"/>
  <c r="A211" i="22"/>
  <c r="G13" i="22"/>
  <c r="F13" i="22"/>
  <c r="A13" i="22"/>
  <c r="G245" i="22"/>
  <c r="F245" i="22"/>
  <c r="G78" i="22"/>
  <c r="F78" i="22"/>
  <c r="A78" i="22"/>
  <c r="G302" i="22"/>
  <c r="F302" i="22"/>
  <c r="G10" i="22"/>
  <c r="F10" i="22"/>
  <c r="A10" i="22"/>
  <c r="G210" i="22"/>
  <c r="F210" i="22"/>
  <c r="A210" i="22"/>
  <c r="G261" i="22"/>
  <c r="F261" i="22"/>
  <c r="A261" i="22"/>
  <c r="G183" i="22"/>
  <c r="F183" i="22"/>
  <c r="A183" i="22"/>
  <c r="G173" i="22"/>
  <c r="F173" i="22"/>
  <c r="A173" i="22"/>
  <c r="G205" i="22"/>
  <c r="F205" i="22"/>
  <c r="A205" i="22"/>
  <c r="G7" i="22"/>
  <c r="F7" i="22"/>
  <c r="A7" i="22"/>
  <c r="G106" i="22"/>
  <c r="F106" i="22"/>
  <c r="G335" i="22"/>
  <c r="F335" i="22"/>
  <c r="A335" i="22"/>
  <c r="G299" i="22"/>
  <c r="F299" i="22"/>
  <c r="A299" i="22"/>
  <c r="G50" i="22"/>
  <c r="F50" i="22"/>
  <c r="A50" i="22"/>
  <c r="G175" i="22"/>
  <c r="F175" i="22"/>
  <c r="A175" i="22"/>
  <c r="G112" i="22"/>
  <c r="F112" i="22"/>
  <c r="A112" i="22"/>
  <c r="G206" i="22"/>
  <c r="F206" i="22"/>
  <c r="A206" i="22"/>
  <c r="G46" i="22"/>
  <c r="F46" i="22"/>
  <c r="G34" i="22"/>
  <c r="F34" i="22"/>
  <c r="A34" i="22"/>
  <c r="G334" i="22"/>
  <c r="F334" i="22"/>
  <c r="A334" i="22"/>
  <c r="AM5" i="22"/>
  <c r="L5" i="22" s="1"/>
  <c r="G5" i="22"/>
  <c r="F5" i="22"/>
  <c r="C5" i="22"/>
  <c r="G209" i="22"/>
  <c r="F209" i="22"/>
  <c r="A209" i="22"/>
  <c r="G157" i="22"/>
  <c r="F157" i="22"/>
  <c r="A157" i="22"/>
  <c r="G99" i="22"/>
  <c r="F99" i="22"/>
  <c r="A99" i="22"/>
  <c r="G14" i="22"/>
  <c r="F14" i="22"/>
  <c r="A14" i="22"/>
  <c r="G81" i="22"/>
  <c r="F81" i="22"/>
  <c r="G110" i="22"/>
  <c r="F110" i="22"/>
  <c r="AM9" i="22"/>
  <c r="L9" i="22" s="1"/>
  <c r="G9" i="22"/>
  <c r="F9" i="22"/>
  <c r="A9" i="22"/>
  <c r="G18" i="22"/>
  <c r="F18" i="22"/>
  <c r="G169" i="22"/>
  <c r="A169" i="22"/>
  <c r="G174" i="22"/>
  <c r="F174" i="22"/>
  <c r="G158" i="22"/>
  <c r="F158" i="22"/>
  <c r="A158" i="22"/>
  <c r="G22" i="22"/>
  <c r="F22" i="22"/>
  <c r="A22" i="22"/>
  <c r="G8" i="22"/>
  <c r="F8" i="22"/>
  <c r="G260" i="22"/>
  <c r="F260" i="22"/>
  <c r="C2" i="22"/>
  <c r="C2" i="29"/>
  <c r="G352" i="20"/>
  <c r="F352" i="20"/>
  <c r="G351" i="20"/>
  <c r="F351" i="20"/>
  <c r="G350" i="20"/>
  <c r="F350" i="20"/>
  <c r="G349" i="20"/>
  <c r="F349" i="20"/>
  <c r="G348" i="20"/>
  <c r="F348" i="20"/>
  <c r="G347" i="20"/>
  <c r="F347" i="20"/>
  <c r="G345" i="20"/>
  <c r="F345" i="20"/>
  <c r="G344" i="20"/>
  <c r="F344" i="20"/>
  <c r="G343" i="20"/>
  <c r="F343" i="20"/>
  <c r="G342" i="20"/>
  <c r="F342" i="20"/>
  <c r="G341" i="20"/>
  <c r="F341" i="20"/>
  <c r="G340" i="20"/>
  <c r="F340" i="20"/>
  <c r="G339" i="20"/>
  <c r="F339" i="20"/>
  <c r="G338" i="20"/>
  <c r="F338" i="20"/>
  <c r="G337" i="20"/>
  <c r="F337" i="20"/>
  <c r="G175" i="20"/>
  <c r="F175" i="20"/>
  <c r="G336" i="20"/>
  <c r="F336" i="20"/>
  <c r="G335" i="20"/>
  <c r="F335" i="20"/>
  <c r="G334" i="20"/>
  <c r="F334" i="20"/>
  <c r="G333" i="20"/>
  <c r="F333" i="20"/>
  <c r="G332" i="20"/>
  <c r="F332" i="20"/>
  <c r="G331" i="20"/>
  <c r="F331" i="20"/>
  <c r="G330" i="20"/>
  <c r="F330" i="20"/>
  <c r="G329" i="20"/>
  <c r="F329" i="20"/>
  <c r="G328" i="20"/>
  <c r="F328" i="20"/>
  <c r="G99" i="20"/>
  <c r="F99" i="20"/>
  <c r="G327" i="20"/>
  <c r="F327" i="20"/>
  <c r="G326" i="20"/>
  <c r="F326" i="20"/>
  <c r="G325" i="20"/>
  <c r="F325" i="20"/>
  <c r="G324" i="20"/>
  <c r="F324" i="20"/>
  <c r="G323" i="20"/>
  <c r="F323" i="20"/>
  <c r="G322" i="20"/>
  <c r="F322" i="20"/>
  <c r="G321" i="20"/>
  <c r="F321" i="20"/>
  <c r="G98" i="20"/>
  <c r="F98" i="20"/>
  <c r="G320" i="20"/>
  <c r="F320" i="20"/>
  <c r="G319" i="20"/>
  <c r="F319" i="20"/>
  <c r="G318" i="20"/>
  <c r="F318" i="20"/>
  <c r="G317" i="20"/>
  <c r="F317" i="20"/>
  <c r="G316" i="20"/>
  <c r="F316" i="20"/>
  <c r="G315" i="20"/>
  <c r="F315" i="20"/>
  <c r="G314" i="20"/>
  <c r="F314" i="20"/>
  <c r="G313" i="20"/>
  <c r="F313" i="20"/>
  <c r="G86" i="20"/>
  <c r="F86" i="20"/>
  <c r="G312" i="20"/>
  <c r="F312" i="20"/>
  <c r="G311" i="20"/>
  <c r="F311" i="20"/>
  <c r="G310" i="20"/>
  <c r="F310" i="20"/>
  <c r="G309" i="20"/>
  <c r="F309" i="20"/>
  <c r="G300" i="20"/>
  <c r="F300" i="20"/>
  <c r="G299" i="20"/>
  <c r="F299" i="20"/>
  <c r="G308" i="20"/>
  <c r="F308" i="20"/>
  <c r="G307" i="20"/>
  <c r="F307" i="20"/>
  <c r="G306" i="20"/>
  <c r="F306" i="20"/>
  <c r="F305" i="20"/>
  <c r="G304" i="20"/>
  <c r="F304" i="20"/>
  <c r="G97" i="20"/>
  <c r="F97" i="20"/>
  <c r="G303" i="20"/>
  <c r="F303" i="20"/>
  <c r="G302" i="20"/>
  <c r="F302" i="20"/>
  <c r="B302" i="20"/>
  <c r="G301" i="20"/>
  <c r="F301" i="20"/>
  <c r="B301" i="20"/>
  <c r="G216" i="20"/>
  <c r="F216" i="20"/>
  <c r="G298" i="20"/>
  <c r="F298" i="20"/>
  <c r="B298" i="20"/>
  <c r="G173" i="20"/>
  <c r="F173" i="20"/>
  <c r="G297" i="20"/>
  <c r="F297" i="20"/>
  <c r="B297" i="20"/>
  <c r="G172" i="20"/>
  <c r="F172" i="20"/>
  <c r="B172" i="20"/>
  <c r="G135" i="20"/>
  <c r="F135" i="20"/>
  <c r="B135" i="20"/>
  <c r="G171" i="20"/>
  <c r="F171" i="20"/>
  <c r="B171" i="20"/>
  <c r="G296" i="20"/>
  <c r="F296" i="20"/>
  <c r="G295" i="20"/>
  <c r="F295" i="20"/>
  <c r="G215" i="20"/>
  <c r="F215" i="20"/>
  <c r="G294" i="20"/>
  <c r="F294" i="20"/>
  <c r="G293" i="20"/>
  <c r="F293" i="20"/>
  <c r="G292" i="20"/>
  <c r="F292" i="20"/>
  <c r="G199" i="20"/>
  <c r="F199" i="20"/>
  <c r="G291" i="20"/>
  <c r="F291" i="20"/>
  <c r="G170" i="20"/>
  <c r="F170" i="20"/>
  <c r="B170" i="20"/>
  <c r="G290" i="20"/>
  <c r="F290" i="20"/>
  <c r="G289" i="20"/>
  <c r="F289" i="20"/>
  <c r="G288" i="20"/>
  <c r="F288" i="20"/>
  <c r="G168" i="20"/>
  <c r="F168" i="20"/>
  <c r="G167" i="20"/>
  <c r="F167" i="20"/>
  <c r="G287" i="20"/>
  <c r="F287" i="20"/>
  <c r="G286" i="20"/>
  <c r="F286" i="20"/>
  <c r="G285" i="20"/>
  <c r="F285" i="20"/>
  <c r="G284" i="20"/>
  <c r="F284" i="20"/>
  <c r="G283" i="20"/>
  <c r="F283" i="20"/>
  <c r="A221" i="20"/>
  <c r="G282" i="20"/>
  <c r="F282" i="20"/>
  <c r="A220" i="20"/>
  <c r="G281" i="20"/>
  <c r="F281" i="20"/>
  <c r="G280" i="20"/>
  <c r="F280" i="20"/>
  <c r="G279" i="20"/>
  <c r="F279" i="20"/>
  <c r="G278" i="20"/>
  <c r="F278" i="20"/>
  <c r="G277" i="20"/>
  <c r="F277" i="20"/>
  <c r="A215" i="20"/>
  <c r="G276" i="20"/>
  <c r="F276" i="20"/>
  <c r="A214" i="20"/>
  <c r="G275" i="20"/>
  <c r="F275" i="20"/>
  <c r="A213" i="20"/>
  <c r="G96" i="20"/>
  <c r="F96" i="20"/>
  <c r="A212" i="20"/>
  <c r="G274" i="20"/>
  <c r="F274" i="20"/>
  <c r="A211" i="20"/>
  <c r="G273" i="20"/>
  <c r="F273" i="20"/>
  <c r="A210" i="20"/>
  <c r="G260" i="20"/>
  <c r="F260" i="20"/>
  <c r="A209" i="20"/>
  <c r="G259" i="20"/>
  <c r="F259" i="20"/>
  <c r="A208" i="20"/>
  <c r="G258" i="20"/>
  <c r="F258" i="20"/>
  <c r="A207" i="20"/>
  <c r="G257" i="20"/>
  <c r="F257" i="20"/>
  <c r="A206" i="20"/>
  <c r="G256" i="20"/>
  <c r="F256" i="20"/>
  <c r="A205" i="20"/>
  <c r="G255" i="20"/>
  <c r="F255" i="20"/>
  <c r="A204" i="20"/>
  <c r="G254" i="20"/>
  <c r="F254" i="20"/>
  <c r="A203" i="20"/>
  <c r="G253" i="20"/>
  <c r="F253" i="20"/>
  <c r="A202" i="20"/>
  <c r="G252" i="20"/>
  <c r="F252" i="20"/>
  <c r="A201" i="20"/>
  <c r="G251" i="20"/>
  <c r="F251" i="20"/>
  <c r="A200" i="20"/>
  <c r="G249" i="20"/>
  <c r="F249" i="20"/>
  <c r="A199" i="20"/>
  <c r="G60" i="20"/>
  <c r="F60" i="20"/>
  <c r="A198" i="20"/>
  <c r="G149" i="20"/>
  <c r="F149" i="20"/>
  <c r="A197" i="20"/>
  <c r="G250" i="20"/>
  <c r="F250" i="20"/>
  <c r="A196" i="20"/>
  <c r="G248" i="20"/>
  <c r="F248" i="20"/>
  <c r="A195" i="20"/>
  <c r="G156" i="20"/>
  <c r="F156" i="20"/>
  <c r="A194" i="20"/>
  <c r="G239" i="20"/>
  <c r="F239" i="20"/>
  <c r="G238" i="20"/>
  <c r="F238" i="20"/>
  <c r="A192" i="20"/>
  <c r="G237" i="20"/>
  <c r="F237" i="20"/>
  <c r="G236" i="20"/>
  <c r="F236" i="20"/>
  <c r="A190" i="20"/>
  <c r="G235" i="20"/>
  <c r="F235" i="20"/>
  <c r="A189" i="20"/>
  <c r="G234" i="20"/>
  <c r="F234" i="20"/>
  <c r="A188" i="20"/>
  <c r="G233" i="20"/>
  <c r="F233" i="20"/>
  <c r="A187" i="20"/>
  <c r="G232" i="20"/>
  <c r="F232" i="20"/>
  <c r="A186" i="20"/>
  <c r="G231" i="20"/>
  <c r="F231" i="20"/>
  <c r="A185" i="20"/>
  <c r="G230" i="20"/>
  <c r="F230" i="20"/>
  <c r="A184" i="20"/>
  <c r="G229" i="20"/>
  <c r="F229" i="20"/>
  <c r="A183" i="20"/>
  <c r="G153" i="20"/>
  <c r="F153" i="20"/>
  <c r="G228" i="20"/>
  <c r="F228" i="20"/>
  <c r="A181" i="20"/>
  <c r="G227" i="20"/>
  <c r="F227" i="20"/>
  <c r="A180" i="20"/>
  <c r="G226" i="20"/>
  <c r="F226" i="20"/>
  <c r="A179" i="20"/>
  <c r="G225" i="20"/>
  <c r="F225" i="20"/>
  <c r="A178" i="20"/>
  <c r="G224" i="20"/>
  <c r="F224" i="20"/>
  <c r="A177" i="20"/>
  <c r="G223" i="20"/>
  <c r="F223" i="20"/>
  <c r="A176" i="20"/>
  <c r="G222" i="20"/>
  <c r="F222" i="20"/>
  <c r="A175" i="20"/>
  <c r="G221" i="20"/>
  <c r="F221" i="20"/>
  <c r="G220" i="20"/>
  <c r="F220" i="20"/>
  <c r="G59" i="20"/>
  <c r="F59" i="20"/>
  <c r="A172" i="20"/>
  <c r="G219" i="20"/>
  <c r="F219" i="20"/>
  <c r="A171" i="20"/>
  <c r="G218" i="20"/>
  <c r="F218" i="20"/>
  <c r="A170" i="20"/>
  <c r="G217" i="20"/>
  <c r="F217" i="20"/>
  <c r="A169" i="20"/>
  <c r="G214" i="20"/>
  <c r="F214" i="20"/>
  <c r="A168" i="20"/>
  <c r="G213" i="20"/>
  <c r="F213" i="20"/>
  <c r="A167" i="20"/>
  <c r="G212" i="20"/>
  <c r="F212" i="20"/>
  <c r="A166" i="20"/>
  <c r="G211" i="20"/>
  <c r="F211" i="20"/>
  <c r="A165" i="20"/>
  <c r="G210" i="20"/>
  <c r="F210" i="20"/>
  <c r="A164" i="20"/>
  <c r="G209" i="20"/>
  <c r="F209" i="20"/>
  <c r="A163" i="20"/>
  <c r="G204" i="20"/>
  <c r="F204" i="20"/>
  <c r="A162" i="20"/>
  <c r="G208" i="20"/>
  <c r="F208" i="20"/>
  <c r="A161" i="20"/>
  <c r="G147" i="20"/>
  <c r="F147" i="20"/>
  <c r="A160" i="20"/>
  <c r="G203" i="20"/>
  <c r="F203" i="20"/>
  <c r="A159" i="20"/>
  <c r="G202" i="20"/>
  <c r="F202" i="20"/>
  <c r="A158" i="20"/>
  <c r="G201" i="20"/>
  <c r="F201" i="20"/>
  <c r="A157" i="20"/>
  <c r="G195" i="20"/>
  <c r="F195" i="20"/>
  <c r="A156" i="20"/>
  <c r="G194" i="20"/>
  <c r="F194" i="20"/>
  <c r="B194" i="20"/>
  <c r="A155" i="20"/>
  <c r="G193" i="20"/>
  <c r="F193" i="20"/>
  <c r="A154" i="20"/>
  <c r="G191" i="20"/>
  <c r="F191" i="20"/>
  <c r="A153" i="20"/>
  <c r="G189" i="20"/>
  <c r="F189" i="20"/>
  <c r="A152" i="20"/>
  <c r="G188" i="20"/>
  <c r="F188" i="20"/>
  <c r="B188" i="20"/>
  <c r="A151" i="20"/>
  <c r="G187" i="20"/>
  <c r="F187" i="20"/>
  <c r="G186" i="20"/>
  <c r="F186" i="20"/>
  <c r="A149" i="20"/>
  <c r="G185" i="20"/>
  <c r="F185" i="20"/>
  <c r="A148" i="20"/>
  <c r="G184" i="20"/>
  <c r="F184" i="20"/>
  <c r="A147" i="20"/>
  <c r="G180" i="20"/>
  <c r="F180" i="20"/>
  <c r="A146" i="20"/>
  <c r="G178" i="20"/>
  <c r="F178" i="20"/>
  <c r="A145" i="20"/>
  <c r="G176" i="20"/>
  <c r="F176" i="20"/>
  <c r="A144" i="20"/>
  <c r="G143" i="20"/>
  <c r="F143" i="20"/>
  <c r="G174" i="20"/>
  <c r="A142" i="20"/>
  <c r="G169" i="20"/>
  <c r="F169" i="20"/>
  <c r="A141" i="20"/>
  <c r="G166" i="20"/>
  <c r="F166" i="20"/>
  <c r="A140" i="20"/>
  <c r="G165" i="20"/>
  <c r="F165" i="20"/>
  <c r="A139" i="20"/>
  <c r="G164" i="20"/>
  <c r="F164" i="20"/>
  <c r="A138" i="20"/>
  <c r="G163" i="20"/>
  <c r="F163" i="20"/>
  <c r="A137" i="20"/>
  <c r="G162" i="20"/>
  <c r="F162" i="20"/>
  <c r="A136" i="20"/>
  <c r="G161" i="20"/>
  <c r="F161" i="20"/>
  <c r="A135" i="20"/>
  <c r="G160" i="20"/>
  <c r="F160" i="20"/>
  <c r="A134" i="20"/>
  <c r="G159" i="20"/>
  <c r="F159" i="20"/>
  <c r="A133" i="20"/>
  <c r="G158" i="20"/>
  <c r="F158" i="20"/>
  <c r="A132" i="20"/>
  <c r="G157" i="20"/>
  <c r="F157" i="20"/>
  <c r="B157" i="20"/>
  <c r="A131" i="20"/>
  <c r="G132" i="20"/>
  <c r="F132" i="20"/>
  <c r="A130" i="20"/>
  <c r="G155" i="20"/>
  <c r="F155" i="20"/>
  <c r="A129" i="20"/>
  <c r="G152" i="20"/>
  <c r="F152" i="20"/>
  <c r="G151" i="20"/>
  <c r="F151" i="20"/>
  <c r="G150" i="20"/>
  <c r="F150" i="20"/>
  <c r="A126" i="20"/>
  <c r="G148" i="20"/>
  <c r="F148" i="20"/>
  <c r="A125" i="20"/>
  <c r="G146" i="20"/>
  <c r="F146" i="20"/>
  <c r="A124" i="20"/>
  <c r="G145" i="20"/>
  <c r="F145" i="20"/>
  <c r="A123" i="20"/>
  <c r="G104" i="20"/>
  <c r="F104" i="20"/>
  <c r="A122" i="20"/>
  <c r="G144" i="20"/>
  <c r="F144" i="20"/>
  <c r="A121" i="20"/>
  <c r="G142" i="20"/>
  <c r="F142" i="20"/>
  <c r="A120" i="20"/>
  <c r="G140" i="20"/>
  <c r="F140" i="20"/>
  <c r="B140" i="20"/>
  <c r="A119" i="20"/>
  <c r="G133" i="20"/>
  <c r="F133" i="20"/>
  <c r="B133" i="20"/>
  <c r="A118" i="20"/>
  <c r="G138" i="20"/>
  <c r="F138" i="20"/>
  <c r="G137" i="20"/>
  <c r="F137" i="20"/>
  <c r="B137" i="20"/>
  <c r="A116" i="20"/>
  <c r="G134" i="20"/>
  <c r="F134" i="20"/>
  <c r="A115" i="20"/>
  <c r="G77" i="20"/>
  <c r="F77" i="20"/>
  <c r="A114" i="20"/>
  <c r="G131" i="20"/>
  <c r="F131" i="20"/>
  <c r="A113" i="20"/>
  <c r="G154" i="20"/>
  <c r="F154" i="20"/>
  <c r="A112" i="20"/>
  <c r="G130" i="20"/>
  <c r="F130" i="20"/>
  <c r="G129" i="20"/>
  <c r="F129" i="20"/>
  <c r="A110" i="20"/>
  <c r="G128" i="20"/>
  <c r="F128" i="20"/>
  <c r="A109" i="20"/>
  <c r="G127" i="20"/>
  <c r="F127" i="20"/>
  <c r="A108" i="20"/>
  <c r="G126" i="20"/>
  <c r="F126" i="20"/>
  <c r="A107" i="20"/>
  <c r="G125" i="20"/>
  <c r="F125" i="20"/>
  <c r="B125" i="20"/>
  <c r="A106" i="20"/>
  <c r="G124" i="20"/>
  <c r="F124" i="20"/>
  <c r="B124" i="20"/>
  <c r="A105" i="20"/>
  <c r="G123" i="20"/>
  <c r="F123" i="20"/>
  <c r="A104" i="20"/>
  <c r="G70" i="20"/>
  <c r="F70" i="20"/>
  <c r="A103" i="20"/>
  <c r="G122" i="20"/>
  <c r="F122" i="20"/>
  <c r="A102" i="20"/>
  <c r="G121" i="20"/>
  <c r="F121" i="20"/>
  <c r="A101" i="20"/>
  <c r="G120" i="20"/>
  <c r="F120" i="20"/>
  <c r="A100" i="20"/>
  <c r="G119" i="20"/>
  <c r="F119" i="20"/>
  <c r="A99" i="20"/>
  <c r="G118" i="20"/>
  <c r="F118" i="20"/>
  <c r="G117" i="20"/>
  <c r="F117" i="20"/>
  <c r="A97" i="20"/>
  <c r="G116" i="20"/>
  <c r="F116" i="20"/>
  <c r="A96" i="20"/>
  <c r="G91" i="20"/>
  <c r="F91" i="20"/>
  <c r="A95" i="20"/>
  <c r="G88" i="20"/>
  <c r="F88" i="20"/>
  <c r="A94" i="20"/>
  <c r="G75" i="20"/>
  <c r="F75" i="20"/>
  <c r="A93" i="20"/>
  <c r="G73" i="20"/>
  <c r="F73" i="20"/>
  <c r="B73" i="20"/>
  <c r="A92" i="20"/>
  <c r="G115" i="20"/>
  <c r="F115" i="20"/>
  <c r="A91" i="20"/>
  <c r="G114" i="20"/>
  <c r="F114" i="20"/>
  <c r="A90" i="20"/>
  <c r="G113" i="20"/>
  <c r="F113" i="20"/>
  <c r="A89" i="20"/>
  <c r="G112" i="20"/>
  <c r="F112" i="20"/>
  <c r="A88" i="20"/>
  <c r="G87" i="20"/>
  <c r="F87" i="20"/>
  <c r="A87" i="20"/>
  <c r="G111" i="20"/>
  <c r="F111" i="20"/>
  <c r="A86" i="20"/>
  <c r="G110" i="20"/>
  <c r="F110" i="20"/>
  <c r="A85" i="20"/>
  <c r="G109" i="20"/>
  <c r="F109" i="20"/>
  <c r="A84" i="20"/>
  <c r="G108" i="20"/>
  <c r="F108" i="20"/>
  <c r="A83" i="20"/>
  <c r="G107" i="20"/>
  <c r="F107" i="20"/>
  <c r="B107" i="20"/>
  <c r="A82" i="20"/>
  <c r="G106" i="20"/>
  <c r="F106" i="20"/>
  <c r="A81" i="20"/>
  <c r="G105" i="20"/>
  <c r="F105" i="20"/>
  <c r="G103" i="20"/>
  <c r="F103" i="20"/>
  <c r="A79" i="20"/>
  <c r="G101" i="20"/>
  <c r="F101" i="20"/>
  <c r="G100" i="20"/>
  <c r="F100" i="20"/>
  <c r="A77" i="20"/>
  <c r="G69" i="20"/>
  <c r="F69" i="20"/>
  <c r="A76" i="20"/>
  <c r="G94" i="20"/>
  <c r="F94" i="20"/>
  <c r="A75" i="20"/>
  <c r="G93" i="20"/>
  <c r="F93" i="20"/>
  <c r="A74" i="20"/>
  <c r="G92" i="20"/>
  <c r="F92" i="20"/>
  <c r="A73" i="20"/>
  <c r="G90" i="20"/>
  <c r="F90" i="20"/>
  <c r="A72" i="20"/>
  <c r="G85" i="20"/>
  <c r="F85" i="20"/>
  <c r="B85" i="20"/>
  <c r="A71" i="20"/>
  <c r="G84" i="20"/>
  <c r="F84" i="20"/>
  <c r="A70" i="20"/>
  <c r="G83" i="20"/>
  <c r="F83" i="20"/>
  <c r="A69" i="20"/>
  <c r="G82" i="20"/>
  <c r="F82" i="20"/>
  <c r="A68" i="20"/>
  <c r="G61" i="20"/>
  <c r="F61" i="20"/>
  <c r="A67" i="20"/>
  <c r="G81" i="20"/>
  <c r="F81" i="20"/>
  <c r="A66" i="20"/>
  <c r="G79" i="20"/>
  <c r="F79" i="20"/>
  <c r="B79" i="20"/>
  <c r="G72" i="20"/>
  <c r="F72" i="20"/>
  <c r="A64" i="20"/>
  <c r="G57" i="20"/>
  <c r="F57" i="20"/>
  <c r="A63" i="20"/>
  <c r="G39" i="20"/>
  <c r="F39" i="20"/>
  <c r="A62" i="20"/>
  <c r="G71" i="20"/>
  <c r="F71" i="20"/>
  <c r="A61" i="20"/>
  <c r="G78" i="20"/>
  <c r="F78" i="20"/>
  <c r="A60" i="20"/>
  <c r="G76" i="20"/>
  <c r="F76" i="20"/>
  <c r="G55" i="20"/>
  <c r="F55" i="20"/>
  <c r="A58" i="20"/>
  <c r="G45" i="20"/>
  <c r="F45" i="20"/>
  <c r="A57" i="20"/>
  <c r="G66" i="20"/>
  <c r="F66" i="20"/>
  <c r="G46" i="20"/>
  <c r="F46" i="20"/>
  <c r="A55" i="20"/>
  <c r="G74" i="20"/>
  <c r="F74" i="20"/>
  <c r="A54" i="20"/>
  <c r="G49" i="20"/>
  <c r="F49" i="20"/>
  <c r="A53" i="20"/>
  <c r="G58" i="20"/>
  <c r="F58" i="20"/>
  <c r="B58" i="20"/>
  <c r="A52" i="20"/>
  <c r="G36" i="20"/>
  <c r="F36" i="20"/>
  <c r="A51" i="20"/>
  <c r="G52" i="20"/>
  <c r="F52" i="20"/>
  <c r="A50" i="20"/>
  <c r="G54" i="20"/>
  <c r="F54" i="20"/>
  <c r="A49" i="20"/>
  <c r="G56" i="20"/>
  <c r="F56" i="20"/>
  <c r="A48" i="20"/>
  <c r="G19" i="20"/>
  <c r="F19" i="20"/>
  <c r="A47" i="20"/>
  <c r="G25" i="20"/>
  <c r="F25" i="20"/>
  <c r="A46" i="20"/>
  <c r="G44" i="20"/>
  <c r="F44" i="20"/>
  <c r="A45" i="20"/>
  <c r="G43" i="20"/>
  <c r="F43" i="20"/>
  <c r="A44" i="20"/>
  <c r="G53" i="20"/>
  <c r="F53" i="20"/>
  <c r="A43" i="20"/>
  <c r="G48" i="20"/>
  <c r="F48" i="20"/>
  <c r="G32" i="20"/>
  <c r="F32" i="20"/>
  <c r="G51" i="20"/>
  <c r="F51" i="20"/>
  <c r="A40" i="20"/>
  <c r="G50" i="20"/>
  <c r="F50" i="20"/>
  <c r="A39" i="20"/>
  <c r="G35" i="20"/>
  <c r="F35" i="20"/>
  <c r="G17" i="20"/>
  <c r="F17" i="20"/>
  <c r="A37" i="20"/>
  <c r="G26" i="20"/>
  <c r="F26" i="20"/>
  <c r="A36" i="20"/>
  <c r="G47" i="20"/>
  <c r="F47" i="20"/>
  <c r="A35" i="20"/>
  <c r="G28" i="20"/>
  <c r="F28" i="20"/>
  <c r="A34" i="20"/>
  <c r="G42" i="20"/>
  <c r="F42" i="20"/>
  <c r="A33" i="20"/>
  <c r="G24" i="20"/>
  <c r="F24" i="20"/>
  <c r="B24" i="20"/>
  <c r="G41" i="20"/>
  <c r="F41" i="20"/>
  <c r="A31" i="20"/>
  <c r="G33" i="20"/>
  <c r="F33" i="20"/>
  <c r="G40" i="20"/>
  <c r="F40" i="20"/>
  <c r="A29" i="20"/>
  <c r="AF27" i="20"/>
  <c r="L27" i="20" s="1"/>
  <c r="G27" i="20"/>
  <c r="F27" i="20"/>
  <c r="G18" i="20"/>
  <c r="F18" i="20"/>
  <c r="A27" i="20"/>
  <c r="G37" i="20"/>
  <c r="F37" i="20"/>
  <c r="A26" i="20"/>
  <c r="G38" i="20"/>
  <c r="F38" i="20"/>
  <c r="G34" i="20"/>
  <c r="F34" i="20"/>
  <c r="A24" i="20"/>
  <c r="G21" i="20"/>
  <c r="F21" i="20"/>
  <c r="A23" i="20"/>
  <c r="G20" i="20"/>
  <c r="F20" i="20"/>
  <c r="G23" i="20"/>
  <c r="F23" i="20"/>
  <c r="G22" i="20"/>
  <c r="F22" i="20"/>
  <c r="A20" i="20"/>
  <c r="G30" i="20"/>
  <c r="F30" i="20"/>
  <c r="G31" i="20"/>
  <c r="F31" i="20"/>
  <c r="G29" i="20"/>
  <c r="F29" i="20"/>
  <c r="A17" i="20"/>
  <c r="G15" i="20"/>
  <c r="F15" i="20"/>
  <c r="A16" i="20"/>
  <c r="AM14" i="20"/>
  <c r="L14" i="20" s="1"/>
  <c r="G14" i="20"/>
  <c r="F14" i="20"/>
  <c r="G12" i="20"/>
  <c r="F12" i="20"/>
  <c r="A14" i="20"/>
  <c r="G13" i="20"/>
  <c r="F13" i="20"/>
  <c r="A13" i="20"/>
  <c r="G11" i="20"/>
  <c r="F11" i="20"/>
  <c r="G16" i="20"/>
  <c r="F16" i="20"/>
  <c r="G10" i="20"/>
  <c r="F10" i="20"/>
  <c r="G9" i="20"/>
  <c r="F9" i="20"/>
  <c r="AM6" i="20"/>
  <c r="L6" i="20" s="1"/>
  <c r="G6" i="20"/>
  <c r="F6" i="20"/>
  <c r="A8" i="20"/>
  <c r="G7" i="20"/>
  <c r="F7" i="20"/>
  <c r="A7" i="20"/>
  <c r="G8" i="20"/>
  <c r="G5" i="20"/>
  <c r="F5" i="20"/>
  <c r="C5" i="20"/>
  <c r="C2" i="20"/>
  <c r="F154" i="30"/>
  <c r="E154" i="30"/>
  <c r="F269" i="30"/>
  <c r="E269" i="30"/>
  <c r="F268" i="30"/>
  <c r="E268" i="30"/>
  <c r="F272" i="30"/>
  <c r="E272" i="30"/>
  <c r="F273" i="30"/>
  <c r="E273" i="30"/>
  <c r="F271" i="30"/>
  <c r="E271" i="30"/>
  <c r="F266" i="30"/>
  <c r="E266" i="30"/>
  <c r="F267" i="30"/>
  <c r="E267" i="30"/>
  <c r="F253" i="30"/>
  <c r="E253" i="30"/>
  <c r="F255" i="30"/>
  <c r="E255" i="30"/>
  <c r="F258" i="30"/>
  <c r="E258" i="30"/>
  <c r="F262" i="30"/>
  <c r="E262" i="30"/>
  <c r="F259" i="30"/>
  <c r="E259" i="30"/>
  <c r="F261" i="30"/>
  <c r="E261" i="30"/>
  <c r="F264" i="30"/>
  <c r="E264" i="30"/>
  <c r="F263" i="30"/>
  <c r="E263" i="30"/>
  <c r="F257" i="30"/>
  <c r="E257" i="30"/>
  <c r="F256" i="30"/>
  <c r="E256" i="30"/>
  <c r="F254" i="30"/>
  <c r="E254" i="30"/>
  <c r="F265" i="30"/>
  <c r="E265" i="30"/>
  <c r="F260" i="30"/>
  <c r="E260" i="30"/>
  <c r="F244" i="30"/>
  <c r="E244" i="30"/>
  <c r="F250" i="30"/>
  <c r="E250" i="30"/>
  <c r="F251" i="30"/>
  <c r="E251" i="30"/>
  <c r="F247" i="30"/>
  <c r="E247" i="30"/>
  <c r="F249" i="30"/>
  <c r="E249" i="30"/>
  <c r="F246" i="30"/>
  <c r="E246" i="30"/>
  <c r="F245" i="30"/>
  <c r="E245" i="30"/>
  <c r="F248" i="30"/>
  <c r="E248" i="30"/>
  <c r="F252" i="30"/>
  <c r="E252" i="30"/>
  <c r="F243" i="30"/>
  <c r="E243" i="30"/>
  <c r="F97" i="30"/>
  <c r="E97" i="30"/>
  <c r="F101" i="30"/>
  <c r="E101" i="30"/>
  <c r="F237" i="30"/>
  <c r="E237" i="30"/>
  <c r="F241" i="30"/>
  <c r="E241" i="30"/>
  <c r="F232" i="30"/>
  <c r="E232" i="30"/>
  <c r="F240" i="30"/>
  <c r="E240" i="30"/>
  <c r="F236" i="30"/>
  <c r="E236" i="30"/>
  <c r="F224" i="30"/>
  <c r="E224" i="30"/>
  <c r="F227" i="30"/>
  <c r="E227" i="30"/>
  <c r="F222" i="30"/>
  <c r="E222" i="30"/>
  <c r="F229" i="30"/>
  <c r="E229" i="30"/>
  <c r="F223" i="30"/>
  <c r="E223" i="30"/>
  <c r="F231" i="30"/>
  <c r="E231" i="30"/>
  <c r="F228" i="30"/>
  <c r="E228" i="30"/>
  <c r="F90" i="30"/>
  <c r="E90" i="30"/>
  <c r="F235" i="30"/>
  <c r="E235" i="30"/>
  <c r="F242" i="30"/>
  <c r="E242" i="30"/>
  <c r="F239" i="30"/>
  <c r="E239" i="30"/>
  <c r="F233" i="30"/>
  <c r="E233" i="30"/>
  <c r="F131" i="30"/>
  <c r="E131" i="30"/>
  <c r="F221" i="30"/>
  <c r="E221" i="30"/>
  <c r="F226" i="30"/>
  <c r="E226" i="30"/>
  <c r="F225" i="30"/>
  <c r="E225" i="30"/>
  <c r="F117" i="30"/>
  <c r="E117" i="30"/>
  <c r="F230" i="30"/>
  <c r="E230" i="30"/>
  <c r="F238" i="30"/>
  <c r="E238" i="30"/>
  <c r="F129" i="30"/>
  <c r="E129" i="30"/>
  <c r="F234" i="30"/>
  <c r="E234" i="30"/>
  <c r="F220" i="30"/>
  <c r="E220" i="30"/>
  <c r="F214" i="30"/>
  <c r="E214" i="30"/>
  <c r="F219" i="30"/>
  <c r="E219" i="30"/>
  <c r="F215" i="30"/>
  <c r="E215" i="30"/>
  <c r="F218" i="30"/>
  <c r="E218" i="30"/>
  <c r="F216" i="30"/>
  <c r="E216" i="30"/>
  <c r="F145" i="30"/>
  <c r="E145" i="30"/>
  <c r="F213" i="30"/>
  <c r="E213" i="30"/>
  <c r="F217" i="30"/>
  <c r="E217" i="30"/>
  <c r="F92" i="30"/>
  <c r="E92" i="30"/>
  <c r="F212" i="30"/>
  <c r="E212" i="30"/>
  <c r="F210" i="30"/>
  <c r="E210" i="30"/>
  <c r="F211" i="30"/>
  <c r="E211" i="30"/>
  <c r="F144" i="30"/>
  <c r="E144" i="30"/>
  <c r="F209" i="30"/>
  <c r="E209" i="30"/>
  <c r="F205" i="30"/>
  <c r="E205" i="30"/>
  <c r="F203" i="30"/>
  <c r="E203" i="30"/>
  <c r="F135" i="30"/>
  <c r="E135" i="30"/>
  <c r="F201" i="30"/>
  <c r="E201" i="30"/>
  <c r="F136" i="30"/>
  <c r="E136" i="30"/>
  <c r="F207" i="30"/>
  <c r="E207" i="30"/>
  <c r="F149" i="30"/>
  <c r="E149" i="30"/>
  <c r="F199" i="30"/>
  <c r="E199" i="30"/>
  <c r="F198" i="30"/>
  <c r="E198" i="30"/>
  <c r="F197" i="30"/>
  <c r="E197" i="30"/>
  <c r="F192" i="30"/>
  <c r="E192" i="30"/>
  <c r="F184" i="30"/>
  <c r="E184" i="30"/>
  <c r="F187" i="30"/>
  <c r="E187" i="30"/>
  <c r="F195" i="30"/>
  <c r="E195" i="30"/>
  <c r="F194" i="30"/>
  <c r="E194" i="30"/>
  <c r="F186" i="30"/>
  <c r="E186" i="30"/>
  <c r="F193" i="30"/>
  <c r="E193" i="30"/>
  <c r="F183" i="30"/>
  <c r="E183" i="30"/>
  <c r="F188" i="30"/>
  <c r="E188" i="30"/>
  <c r="F191" i="30"/>
  <c r="E191" i="30"/>
  <c r="F189" i="30"/>
  <c r="E189" i="30"/>
  <c r="F185" i="30"/>
  <c r="E185" i="30"/>
  <c r="F196" i="30"/>
  <c r="E196" i="30"/>
  <c r="F190" i="30"/>
  <c r="E190" i="30"/>
  <c r="F162" i="30"/>
  <c r="E162" i="30"/>
  <c r="F134" i="30"/>
  <c r="E134" i="30"/>
  <c r="F118" i="30"/>
  <c r="E118" i="30"/>
  <c r="F182" i="30"/>
  <c r="E182" i="30"/>
  <c r="F178" i="30"/>
  <c r="E178" i="30"/>
  <c r="F179" i="30"/>
  <c r="E179" i="30"/>
  <c r="F177" i="30"/>
  <c r="E177" i="30"/>
  <c r="F176" i="30"/>
  <c r="E176" i="30"/>
  <c r="F180" i="30"/>
  <c r="E180" i="30"/>
  <c r="F181" i="30"/>
  <c r="E181" i="30"/>
  <c r="F89" i="30"/>
  <c r="E89" i="30"/>
  <c r="F175" i="30"/>
  <c r="E175" i="30"/>
  <c r="F174" i="30"/>
  <c r="E174" i="30"/>
  <c r="F173" i="30"/>
  <c r="E173" i="30"/>
  <c r="F172" i="30"/>
  <c r="E172" i="30"/>
  <c r="F171" i="30"/>
  <c r="E171" i="30"/>
  <c r="F170" i="30"/>
  <c r="E170" i="30"/>
  <c r="F164" i="30"/>
  <c r="E164" i="30"/>
  <c r="F163" i="30"/>
  <c r="E163" i="30"/>
  <c r="F128" i="30"/>
  <c r="E128" i="30"/>
  <c r="F94" i="30"/>
  <c r="E94" i="30"/>
  <c r="F159" i="30"/>
  <c r="E159" i="30"/>
  <c r="F161" i="30"/>
  <c r="E161" i="30"/>
  <c r="F156" i="30"/>
  <c r="E156" i="30"/>
  <c r="F158" i="30"/>
  <c r="E158" i="30"/>
  <c r="F157" i="30"/>
  <c r="E157" i="30"/>
  <c r="F160" i="30"/>
  <c r="E160" i="30"/>
  <c r="F151" i="30"/>
  <c r="E151" i="30"/>
  <c r="F152" i="30"/>
  <c r="E152" i="30"/>
  <c r="F150" i="30"/>
  <c r="E150" i="30"/>
  <c r="F112" i="30"/>
  <c r="E112" i="30"/>
  <c r="F148" i="30"/>
  <c r="E148" i="30"/>
  <c r="F147" i="30"/>
  <c r="E147" i="30"/>
  <c r="F146" i="30"/>
  <c r="E146" i="30"/>
  <c r="F143" i="30"/>
  <c r="E143" i="30"/>
  <c r="F142" i="30"/>
  <c r="E142" i="30"/>
  <c r="F141" i="30"/>
  <c r="E141" i="30"/>
  <c r="F138" i="30"/>
  <c r="E138" i="30"/>
  <c r="F140" i="30"/>
  <c r="E140" i="30"/>
  <c r="F137" i="30"/>
  <c r="E137" i="30"/>
  <c r="F139" i="30"/>
  <c r="E139" i="30"/>
  <c r="F133" i="30"/>
  <c r="E133" i="30"/>
  <c r="F53" i="30"/>
  <c r="E53" i="30"/>
  <c r="F132" i="30"/>
  <c r="E132" i="30"/>
  <c r="F130" i="30"/>
  <c r="E130" i="30"/>
  <c r="F126" i="30"/>
  <c r="E126" i="30"/>
  <c r="F127" i="30"/>
  <c r="E127" i="30"/>
  <c r="F125" i="30"/>
  <c r="E125" i="30"/>
  <c r="F44" i="30"/>
  <c r="E44" i="30"/>
  <c r="F77" i="30"/>
  <c r="E77" i="30"/>
  <c r="F124" i="30"/>
  <c r="E124" i="30"/>
  <c r="F120" i="30"/>
  <c r="E120" i="30"/>
  <c r="F123" i="30"/>
  <c r="E123" i="30"/>
  <c r="F122" i="30"/>
  <c r="E122" i="30"/>
  <c r="F121" i="30"/>
  <c r="E121" i="30"/>
  <c r="F76" i="30"/>
  <c r="E76" i="30"/>
  <c r="F119" i="30"/>
  <c r="E119" i="30"/>
  <c r="F51" i="30"/>
  <c r="E51" i="30"/>
  <c r="F99" i="30"/>
  <c r="E99" i="30"/>
  <c r="F107" i="30"/>
  <c r="E107" i="30"/>
  <c r="F75" i="30"/>
  <c r="E75" i="30"/>
  <c r="F103" i="30"/>
  <c r="E103" i="30"/>
  <c r="F115" i="30"/>
  <c r="E115" i="30"/>
  <c r="F114" i="30"/>
  <c r="E114" i="30"/>
  <c r="F116" i="30"/>
  <c r="E116" i="30"/>
  <c r="F104" i="30"/>
  <c r="E104" i="30"/>
  <c r="F113" i="30"/>
  <c r="E113" i="30"/>
  <c r="F105" i="30"/>
  <c r="E105" i="30"/>
  <c r="F109" i="30"/>
  <c r="E109" i="30"/>
  <c r="F111" i="30"/>
  <c r="E111" i="30"/>
  <c r="F86" i="30"/>
  <c r="E86" i="30"/>
  <c r="F110" i="30"/>
  <c r="E110" i="30"/>
  <c r="F108" i="30"/>
  <c r="E108" i="30"/>
  <c r="F98" i="30"/>
  <c r="E98" i="30"/>
  <c r="F57" i="30"/>
  <c r="E57" i="30"/>
  <c r="F30" i="30"/>
  <c r="E30" i="30"/>
  <c r="F69" i="30"/>
  <c r="E69" i="30"/>
  <c r="F48" i="30"/>
  <c r="E48" i="30"/>
  <c r="F66" i="30"/>
  <c r="E66" i="30"/>
  <c r="F65" i="30"/>
  <c r="E65" i="30"/>
  <c r="F95" i="30"/>
  <c r="E95" i="30"/>
  <c r="F63" i="30"/>
  <c r="E63" i="30"/>
  <c r="F100" i="30"/>
  <c r="E100" i="30"/>
  <c r="F38" i="30"/>
  <c r="E38" i="30"/>
  <c r="F84" i="30"/>
  <c r="E84" i="30"/>
  <c r="F79" i="30"/>
  <c r="E79" i="30"/>
  <c r="F102" i="30"/>
  <c r="E102" i="30"/>
  <c r="F49" i="30"/>
  <c r="E49" i="30"/>
  <c r="F93" i="30"/>
  <c r="E93" i="30"/>
  <c r="F91" i="30"/>
  <c r="E91" i="30"/>
  <c r="F56" i="30"/>
  <c r="E56" i="30"/>
  <c r="F88" i="30"/>
  <c r="E88" i="30"/>
  <c r="F54" i="30"/>
  <c r="E54" i="30"/>
  <c r="F106" i="30"/>
  <c r="E106" i="30"/>
  <c r="F59" i="30"/>
  <c r="E59" i="30"/>
  <c r="F85" i="30"/>
  <c r="E85" i="30"/>
  <c r="F83" i="30"/>
  <c r="E83" i="30"/>
  <c r="F74" i="30"/>
  <c r="E74" i="30"/>
  <c r="F82" i="30"/>
  <c r="E82" i="30"/>
  <c r="F81" i="30"/>
  <c r="E81" i="30"/>
  <c r="F80" i="30"/>
  <c r="E80" i="30"/>
  <c r="F24" i="30"/>
  <c r="E24" i="30"/>
  <c r="F78" i="30"/>
  <c r="E78" i="30"/>
  <c r="F64" i="30"/>
  <c r="E64" i="30"/>
  <c r="F73" i="30"/>
  <c r="E73" i="30"/>
  <c r="F71" i="30"/>
  <c r="E71" i="30"/>
  <c r="F70" i="30"/>
  <c r="E70" i="30"/>
  <c r="F32" i="30"/>
  <c r="E32" i="30"/>
  <c r="F67" i="30"/>
  <c r="E67" i="30"/>
  <c r="F20" i="30"/>
  <c r="E20" i="30"/>
  <c r="F37" i="30"/>
  <c r="E37" i="30"/>
  <c r="F62" i="30"/>
  <c r="E62" i="30"/>
  <c r="F58" i="30"/>
  <c r="E58" i="30"/>
  <c r="F55" i="30"/>
  <c r="E55" i="30"/>
  <c r="F52" i="30"/>
  <c r="E52" i="30"/>
  <c r="F34" i="30"/>
  <c r="E34" i="30"/>
  <c r="F26" i="30"/>
  <c r="E26" i="30"/>
  <c r="AI8" i="30"/>
  <c r="J8" i="30" s="1"/>
  <c r="F8" i="30"/>
  <c r="E8" i="30"/>
  <c r="F22" i="30"/>
  <c r="E22" i="30"/>
  <c r="F41" i="30"/>
  <c r="E41" i="30"/>
  <c r="F21" i="30"/>
  <c r="E21" i="30"/>
  <c r="F72" i="30"/>
  <c r="E72" i="30"/>
  <c r="F46" i="30"/>
  <c r="E46" i="30"/>
  <c r="F31" i="30"/>
  <c r="E31" i="30"/>
  <c r="F45" i="30"/>
  <c r="E45" i="30"/>
  <c r="F15" i="30"/>
  <c r="E15" i="30"/>
  <c r="F40" i="30"/>
  <c r="E40" i="30"/>
  <c r="F28" i="30"/>
  <c r="E28" i="30"/>
  <c r="F18" i="30"/>
  <c r="E18" i="30"/>
  <c r="F47" i="30"/>
  <c r="E47" i="30"/>
  <c r="F42" i="30"/>
  <c r="E42" i="30"/>
  <c r="F36" i="30"/>
  <c r="E36" i="30"/>
  <c r="F33" i="30"/>
  <c r="E33" i="30"/>
  <c r="AI7" i="30"/>
  <c r="J7" i="30" s="1"/>
  <c r="F7" i="30"/>
  <c r="E7" i="30"/>
  <c r="F35" i="30"/>
  <c r="E35" i="30"/>
  <c r="F50" i="30"/>
  <c r="E50" i="30"/>
  <c r="F25" i="30"/>
  <c r="E25" i="30"/>
  <c r="F29" i="30"/>
  <c r="E29" i="30"/>
  <c r="AI43" i="30"/>
  <c r="J43" i="30" s="1"/>
  <c r="F43" i="30"/>
  <c r="E43" i="30"/>
  <c r="F27" i="30"/>
  <c r="E27" i="30"/>
  <c r="F17" i="30"/>
  <c r="E17" i="30"/>
  <c r="F87" i="30"/>
  <c r="E87" i="30"/>
  <c r="F39" i="30"/>
  <c r="E39" i="30"/>
  <c r="AI12" i="30"/>
  <c r="J12" i="30" s="1"/>
  <c r="F12" i="30"/>
  <c r="E12" i="30"/>
  <c r="F11" i="30"/>
  <c r="E11" i="30"/>
  <c r="AI16" i="30"/>
  <c r="J16" i="30" s="1"/>
  <c r="F16" i="30"/>
  <c r="E16" i="30"/>
  <c r="AC19" i="30"/>
  <c r="J19" i="30" s="1"/>
  <c r="F19" i="30"/>
  <c r="E19" i="30"/>
  <c r="F10" i="30"/>
  <c r="E10" i="30"/>
  <c r="F23" i="30"/>
  <c r="E23" i="30"/>
  <c r="F14" i="30"/>
  <c r="E14" i="30"/>
  <c r="F68" i="30"/>
  <c r="E68" i="30"/>
  <c r="F9" i="30"/>
  <c r="E9" i="30"/>
  <c r="F13" i="30"/>
  <c r="E13" i="30"/>
  <c r="AI6" i="30"/>
  <c r="J6" i="30" s="1"/>
  <c r="F6" i="30"/>
  <c r="E6" i="30"/>
  <c r="F5" i="30"/>
  <c r="E5" i="30"/>
  <c r="B5" i="30"/>
  <c r="C2" i="30"/>
  <c r="J1012" i="16"/>
  <c r="F1012" i="16"/>
  <c r="B1012" i="16"/>
  <c r="J1011" i="16"/>
  <c r="F1011" i="16"/>
  <c r="B1011" i="16"/>
  <c r="J1010" i="16"/>
  <c r="F1010" i="16"/>
  <c r="B1010" i="16"/>
  <c r="J1009" i="16"/>
  <c r="F1009" i="16"/>
  <c r="B1009" i="16"/>
  <c r="J1008" i="16"/>
  <c r="F1008" i="16"/>
  <c r="B1008" i="16"/>
  <c r="J1007" i="16"/>
  <c r="F1007" i="16"/>
  <c r="B1007" i="16"/>
  <c r="J1006" i="16"/>
  <c r="F1006" i="16"/>
  <c r="B1006" i="16"/>
  <c r="J1005" i="16"/>
  <c r="F1005" i="16"/>
  <c r="B1005" i="16"/>
  <c r="J1004" i="16"/>
  <c r="F1004" i="16"/>
  <c r="B1004" i="16"/>
  <c r="J1003" i="16"/>
  <c r="F1003" i="16"/>
  <c r="B1003" i="16"/>
  <c r="J1002" i="16"/>
  <c r="F1002" i="16"/>
  <c r="B1002" i="16"/>
  <c r="J1001" i="16"/>
  <c r="F1001" i="16"/>
  <c r="B1001" i="16"/>
  <c r="J1000" i="16"/>
  <c r="F1000" i="16"/>
  <c r="B1000" i="16"/>
  <c r="J999" i="16"/>
  <c r="F999" i="16"/>
  <c r="B999" i="16"/>
  <c r="J998" i="16"/>
  <c r="F998" i="16"/>
  <c r="B998" i="16"/>
  <c r="J997" i="16"/>
  <c r="F997" i="16"/>
  <c r="B997" i="16"/>
  <c r="J996" i="16"/>
  <c r="F996" i="16"/>
  <c r="B996" i="16"/>
  <c r="J995" i="16"/>
  <c r="F995" i="16"/>
  <c r="B995" i="16"/>
  <c r="J994" i="16"/>
  <c r="F994" i="16"/>
  <c r="B994" i="16"/>
  <c r="J993" i="16"/>
  <c r="F993" i="16"/>
  <c r="B993" i="16"/>
  <c r="J992" i="16"/>
  <c r="F992" i="16"/>
  <c r="B992" i="16"/>
  <c r="J991" i="16"/>
  <c r="F991" i="16"/>
  <c r="B991" i="16"/>
  <c r="J990" i="16"/>
  <c r="F990" i="16"/>
  <c r="B990" i="16"/>
  <c r="J989" i="16"/>
  <c r="F989" i="16"/>
  <c r="B989" i="16"/>
  <c r="J988" i="16"/>
  <c r="F988" i="16"/>
  <c r="B988" i="16"/>
  <c r="J987" i="16"/>
  <c r="F987" i="16"/>
  <c r="B987" i="16"/>
  <c r="J986" i="16"/>
  <c r="F986" i="16"/>
  <c r="B986" i="16"/>
  <c r="J985" i="16"/>
  <c r="F985" i="16"/>
  <c r="B985" i="16"/>
  <c r="J984" i="16"/>
  <c r="F984" i="16"/>
  <c r="B984" i="16"/>
  <c r="J983" i="16"/>
  <c r="F983" i="16"/>
  <c r="B983" i="16"/>
  <c r="J982" i="16"/>
  <c r="F982" i="16"/>
  <c r="B982" i="16"/>
  <c r="J981" i="16"/>
  <c r="F981" i="16"/>
  <c r="B981" i="16"/>
  <c r="J980" i="16"/>
  <c r="F980" i="16"/>
  <c r="B980" i="16"/>
  <c r="J979" i="16"/>
  <c r="F979" i="16"/>
  <c r="B979" i="16"/>
  <c r="J978" i="16"/>
  <c r="F978" i="16"/>
  <c r="B978" i="16"/>
  <c r="J977" i="16"/>
  <c r="F977" i="16"/>
  <c r="B977" i="16"/>
  <c r="J976" i="16"/>
  <c r="F976" i="16"/>
  <c r="B976" i="16"/>
  <c r="J975" i="16"/>
  <c r="F975" i="16"/>
  <c r="B975" i="16"/>
  <c r="J974" i="16"/>
  <c r="F974" i="16"/>
  <c r="B974" i="16"/>
  <c r="J973" i="16"/>
  <c r="F973" i="16"/>
  <c r="B973" i="16"/>
  <c r="J972" i="16"/>
  <c r="F972" i="16"/>
  <c r="B972" i="16"/>
  <c r="J971" i="16"/>
  <c r="F971" i="16"/>
  <c r="B971" i="16"/>
  <c r="J970" i="16"/>
  <c r="F970" i="16"/>
  <c r="B970" i="16"/>
  <c r="J969" i="16"/>
  <c r="F969" i="16"/>
  <c r="B969" i="16"/>
  <c r="J968" i="16"/>
  <c r="F968" i="16"/>
  <c r="B968" i="16"/>
  <c r="J967" i="16"/>
  <c r="F967" i="16"/>
  <c r="B967" i="16"/>
  <c r="J966" i="16"/>
  <c r="F966" i="16"/>
  <c r="B966" i="16"/>
  <c r="J965" i="16"/>
  <c r="F965" i="16"/>
  <c r="B965" i="16"/>
  <c r="J964" i="16"/>
  <c r="F964" i="16"/>
  <c r="B964" i="16"/>
  <c r="J963" i="16"/>
  <c r="F963" i="16"/>
  <c r="B963" i="16"/>
  <c r="J962" i="16"/>
  <c r="F962" i="16"/>
  <c r="B962" i="16"/>
  <c r="J961" i="16"/>
  <c r="F961" i="16"/>
  <c r="B961" i="16"/>
  <c r="J960" i="16"/>
  <c r="F960" i="16"/>
  <c r="B960" i="16"/>
  <c r="J959" i="16"/>
  <c r="F959" i="16"/>
  <c r="B959" i="16"/>
  <c r="J958" i="16"/>
  <c r="F958" i="16"/>
  <c r="B958" i="16"/>
  <c r="J957" i="16"/>
  <c r="F957" i="16"/>
  <c r="J956" i="16"/>
  <c r="F956" i="16"/>
  <c r="J955" i="16"/>
  <c r="F955" i="16"/>
  <c r="J954" i="16"/>
  <c r="F954" i="16"/>
  <c r="J953" i="16"/>
  <c r="F953" i="16"/>
  <c r="J952" i="16"/>
  <c r="F952" i="16"/>
  <c r="J951" i="16"/>
  <c r="F951" i="16"/>
  <c r="J950" i="16"/>
  <c r="F950" i="16"/>
  <c r="J949" i="16"/>
  <c r="F949" i="16"/>
  <c r="J948" i="16"/>
  <c r="F948" i="16"/>
  <c r="J947" i="16"/>
  <c r="F947" i="16"/>
  <c r="J946" i="16"/>
  <c r="F946" i="16"/>
  <c r="J945" i="16"/>
  <c r="F945" i="16"/>
  <c r="J944" i="16"/>
  <c r="F944" i="16"/>
  <c r="J943" i="16"/>
  <c r="F943" i="16"/>
  <c r="J942" i="16"/>
  <c r="F942" i="16"/>
  <c r="J941" i="16"/>
  <c r="F941" i="16"/>
  <c r="J940" i="16"/>
  <c r="F940" i="16"/>
  <c r="J939" i="16"/>
  <c r="F939" i="16"/>
  <c r="J938" i="16"/>
  <c r="F938" i="16"/>
  <c r="J937" i="16"/>
  <c r="F937" i="16"/>
  <c r="J936" i="16"/>
  <c r="F936" i="16"/>
  <c r="J935" i="16"/>
  <c r="F935" i="16"/>
  <c r="J934" i="16"/>
  <c r="F934" i="16"/>
  <c r="J933" i="16"/>
  <c r="F933" i="16"/>
  <c r="J932" i="16"/>
  <c r="F932" i="16"/>
  <c r="J931" i="16"/>
  <c r="F931" i="16"/>
  <c r="J930" i="16"/>
  <c r="F930" i="16"/>
  <c r="J929" i="16"/>
  <c r="F929" i="16"/>
  <c r="J928" i="16"/>
  <c r="F928" i="16"/>
  <c r="J927" i="16"/>
  <c r="F927" i="16"/>
  <c r="J926" i="16"/>
  <c r="F926" i="16"/>
  <c r="J925" i="16"/>
  <c r="F925" i="16"/>
  <c r="J924" i="16"/>
  <c r="F924" i="16"/>
  <c r="J923" i="16"/>
  <c r="F923" i="16"/>
  <c r="J922" i="16"/>
  <c r="F922" i="16"/>
  <c r="J921" i="16"/>
  <c r="F921" i="16"/>
  <c r="J920" i="16"/>
  <c r="F920" i="16"/>
  <c r="J919" i="16"/>
  <c r="F919" i="16"/>
  <c r="J918" i="16"/>
  <c r="F918" i="16"/>
  <c r="J917" i="16"/>
  <c r="F917" i="16"/>
  <c r="J916" i="16"/>
  <c r="F916" i="16"/>
  <c r="J915" i="16"/>
  <c r="F915" i="16"/>
  <c r="J914" i="16"/>
  <c r="F914" i="16"/>
  <c r="J913" i="16"/>
  <c r="F913" i="16"/>
  <c r="J912" i="16"/>
  <c r="F912" i="16"/>
  <c r="J911" i="16"/>
  <c r="F911" i="16"/>
  <c r="J910" i="16"/>
  <c r="F910" i="16"/>
  <c r="J909" i="16"/>
  <c r="F909" i="16"/>
  <c r="J908" i="16"/>
  <c r="F908" i="16"/>
  <c r="J907" i="16"/>
  <c r="F907" i="16"/>
  <c r="J906" i="16"/>
  <c r="F906" i="16"/>
  <c r="J905" i="16"/>
  <c r="F905" i="16"/>
  <c r="J904" i="16"/>
  <c r="F904" i="16"/>
  <c r="J903" i="16"/>
  <c r="F903" i="16"/>
  <c r="J902" i="16"/>
  <c r="F902" i="16"/>
  <c r="J901" i="16"/>
  <c r="F901" i="16"/>
  <c r="J900" i="16"/>
  <c r="F900" i="16"/>
  <c r="J899" i="16"/>
  <c r="F899" i="16"/>
  <c r="J898" i="16"/>
  <c r="F898" i="16"/>
  <c r="J897" i="16"/>
  <c r="F897" i="16"/>
  <c r="J896" i="16"/>
  <c r="F896" i="16"/>
  <c r="J895" i="16"/>
  <c r="F895" i="16"/>
  <c r="J894" i="16"/>
  <c r="F894" i="16"/>
  <c r="J893" i="16"/>
  <c r="F893" i="16"/>
  <c r="J892" i="16"/>
  <c r="F892" i="16"/>
  <c r="J891" i="16"/>
  <c r="F891" i="16"/>
  <c r="J890" i="16"/>
  <c r="F890" i="16"/>
  <c r="J889" i="16"/>
  <c r="F889" i="16"/>
  <c r="J888" i="16"/>
  <c r="F888" i="16"/>
  <c r="J887" i="16"/>
  <c r="F887" i="16"/>
  <c r="J886" i="16"/>
  <c r="F886" i="16"/>
  <c r="J885" i="16"/>
  <c r="F885" i="16"/>
  <c r="J884" i="16"/>
  <c r="F884" i="16"/>
  <c r="J883" i="16"/>
  <c r="F883" i="16"/>
  <c r="J882" i="16"/>
  <c r="F882" i="16"/>
  <c r="J881" i="16"/>
  <c r="F881" i="16"/>
  <c r="J880" i="16"/>
  <c r="F880" i="16"/>
  <c r="J879" i="16"/>
  <c r="F879" i="16"/>
  <c r="J878" i="16"/>
  <c r="F878" i="16"/>
  <c r="J877" i="16"/>
  <c r="F877" i="16"/>
  <c r="J876" i="16"/>
  <c r="F876" i="16"/>
  <c r="J875" i="16"/>
  <c r="F875" i="16"/>
  <c r="J874" i="16"/>
  <c r="F874" i="16"/>
  <c r="J873" i="16"/>
  <c r="F873" i="16"/>
  <c r="J872" i="16"/>
  <c r="F872" i="16"/>
  <c r="J871" i="16"/>
  <c r="F871" i="16"/>
  <c r="J870" i="16"/>
  <c r="F870" i="16"/>
  <c r="J869" i="16"/>
  <c r="F869" i="16"/>
  <c r="J868" i="16"/>
  <c r="F868" i="16"/>
  <c r="J867" i="16"/>
  <c r="F867" i="16"/>
  <c r="J866" i="16"/>
  <c r="F866" i="16"/>
  <c r="J865" i="16"/>
  <c r="F865" i="16"/>
  <c r="J864" i="16"/>
  <c r="F864" i="16"/>
  <c r="J863" i="16"/>
  <c r="F863" i="16"/>
  <c r="J862" i="16"/>
  <c r="F862" i="16"/>
  <c r="J861" i="16"/>
  <c r="F861" i="16"/>
  <c r="J860" i="16"/>
  <c r="F860" i="16"/>
  <c r="J859" i="16"/>
  <c r="F859" i="16"/>
  <c r="J858" i="16"/>
  <c r="F858" i="16"/>
  <c r="J857" i="16"/>
  <c r="F857" i="16"/>
  <c r="J856" i="16"/>
  <c r="F856" i="16"/>
  <c r="J855" i="16"/>
  <c r="F855" i="16"/>
  <c r="J854" i="16"/>
  <c r="F854" i="16"/>
  <c r="J853" i="16"/>
  <c r="F853" i="16"/>
  <c r="J852" i="16"/>
  <c r="F852" i="16"/>
  <c r="J851" i="16"/>
  <c r="F851" i="16"/>
  <c r="J850" i="16"/>
  <c r="F850" i="16"/>
  <c r="J849" i="16"/>
  <c r="F849" i="16"/>
  <c r="J848" i="16"/>
  <c r="F848" i="16"/>
  <c r="J847" i="16"/>
  <c r="F847" i="16"/>
  <c r="J846" i="16"/>
  <c r="F846" i="16"/>
  <c r="J845" i="16"/>
  <c r="F845" i="16"/>
  <c r="J844" i="16"/>
  <c r="F844" i="16"/>
  <c r="J843" i="16"/>
  <c r="F843" i="16"/>
  <c r="J842" i="16"/>
  <c r="F842" i="16"/>
  <c r="J841" i="16"/>
  <c r="F841" i="16"/>
  <c r="J840" i="16"/>
  <c r="F840" i="16"/>
  <c r="J839" i="16"/>
  <c r="F839" i="16"/>
  <c r="J838" i="16"/>
  <c r="F838" i="16"/>
  <c r="J837" i="16"/>
  <c r="F837" i="16"/>
  <c r="J836" i="16"/>
  <c r="F836" i="16"/>
  <c r="J835" i="16"/>
  <c r="F835" i="16"/>
  <c r="J834" i="16"/>
  <c r="F834" i="16"/>
  <c r="J833" i="16"/>
  <c r="F833" i="16"/>
  <c r="J832" i="16"/>
  <c r="F832" i="16"/>
  <c r="J831" i="16"/>
  <c r="F831" i="16"/>
  <c r="J830" i="16"/>
  <c r="F830" i="16"/>
  <c r="J829" i="16"/>
  <c r="F829" i="16"/>
  <c r="J828" i="16"/>
  <c r="F828" i="16"/>
  <c r="J827" i="16"/>
  <c r="F827" i="16"/>
  <c r="J826" i="16"/>
  <c r="F826" i="16"/>
  <c r="J825" i="16"/>
  <c r="F825" i="16"/>
  <c r="J824" i="16"/>
  <c r="F824" i="16"/>
  <c r="J823" i="16"/>
  <c r="F823" i="16"/>
  <c r="J822" i="16"/>
  <c r="F822" i="16"/>
  <c r="J821" i="16"/>
  <c r="F821" i="16"/>
  <c r="J820" i="16"/>
  <c r="F820" i="16"/>
  <c r="J819" i="16"/>
  <c r="F819" i="16"/>
  <c r="J818" i="16"/>
  <c r="F818" i="16"/>
  <c r="J817" i="16"/>
  <c r="F817" i="16"/>
  <c r="J816" i="16"/>
  <c r="F816" i="16"/>
  <c r="J815" i="16"/>
  <c r="F815" i="16"/>
  <c r="J814" i="16"/>
  <c r="F814" i="16"/>
  <c r="J813" i="16"/>
  <c r="F813" i="16"/>
  <c r="J812" i="16"/>
  <c r="F812" i="16"/>
  <c r="J811" i="16"/>
  <c r="F811" i="16"/>
  <c r="J810" i="16"/>
  <c r="F810" i="16"/>
  <c r="J809" i="16"/>
  <c r="F809" i="16"/>
  <c r="J808" i="16"/>
  <c r="F808" i="16"/>
  <c r="J807" i="16"/>
  <c r="F807" i="16"/>
  <c r="J806" i="16"/>
  <c r="F806" i="16"/>
  <c r="J805" i="16"/>
  <c r="F805" i="16"/>
  <c r="J804" i="16"/>
  <c r="F804" i="16"/>
  <c r="J803" i="16"/>
  <c r="F803" i="16"/>
  <c r="J802" i="16"/>
  <c r="F802" i="16"/>
  <c r="J801" i="16"/>
  <c r="F801" i="16"/>
  <c r="J800" i="16"/>
  <c r="F800" i="16"/>
  <c r="J799" i="16"/>
  <c r="F799" i="16"/>
  <c r="J798" i="16"/>
  <c r="F798" i="16"/>
  <c r="J797" i="16"/>
  <c r="F797" i="16"/>
  <c r="J796" i="16"/>
  <c r="F796" i="16"/>
  <c r="J795" i="16"/>
  <c r="F795" i="16"/>
  <c r="J794" i="16"/>
  <c r="F794" i="16"/>
  <c r="J793" i="16"/>
  <c r="F793" i="16"/>
  <c r="J792" i="16"/>
  <c r="F792" i="16"/>
  <c r="J791" i="16"/>
  <c r="F791" i="16"/>
  <c r="J790" i="16"/>
  <c r="F790" i="16"/>
  <c r="J789" i="16"/>
  <c r="F789" i="16"/>
  <c r="J788" i="16"/>
  <c r="F788" i="16"/>
  <c r="J787" i="16"/>
  <c r="F787" i="16"/>
  <c r="J786" i="16"/>
  <c r="F786" i="16"/>
  <c r="J785" i="16"/>
  <c r="F785" i="16"/>
  <c r="J784" i="16"/>
  <c r="F784" i="16"/>
  <c r="J783" i="16"/>
  <c r="F783" i="16"/>
  <c r="J782" i="16"/>
  <c r="F782" i="16"/>
  <c r="J781" i="16"/>
  <c r="F781" i="16"/>
  <c r="J780" i="16"/>
  <c r="F780" i="16"/>
  <c r="J779" i="16"/>
  <c r="F779" i="16"/>
  <c r="J778" i="16"/>
  <c r="F778" i="16"/>
  <c r="J777" i="16"/>
  <c r="F777" i="16"/>
  <c r="J776" i="16"/>
  <c r="F776" i="16"/>
  <c r="J775" i="16"/>
  <c r="F775" i="16"/>
  <c r="J774" i="16"/>
  <c r="F774" i="16"/>
  <c r="J773" i="16"/>
  <c r="F773" i="16"/>
  <c r="J772" i="16"/>
  <c r="F772" i="16"/>
  <c r="J771" i="16"/>
  <c r="F771" i="16"/>
  <c r="J770" i="16"/>
  <c r="F770" i="16"/>
  <c r="J769" i="16"/>
  <c r="F769" i="16"/>
  <c r="J768" i="16"/>
  <c r="F768" i="16"/>
  <c r="J767" i="16"/>
  <c r="F767" i="16"/>
  <c r="J766" i="16"/>
  <c r="F766" i="16"/>
  <c r="J765" i="16"/>
  <c r="F765" i="16"/>
  <c r="J764" i="16"/>
  <c r="F764" i="16"/>
  <c r="J763" i="16"/>
  <c r="F763" i="16"/>
  <c r="J762" i="16"/>
  <c r="F762" i="16"/>
  <c r="J761" i="16"/>
  <c r="F761" i="16"/>
  <c r="J760" i="16"/>
  <c r="F760" i="16"/>
  <c r="J759" i="16"/>
  <c r="F759" i="16"/>
  <c r="J758" i="16"/>
  <c r="F758" i="16"/>
  <c r="J757" i="16"/>
  <c r="F757" i="16"/>
  <c r="J756" i="16"/>
  <c r="F756" i="16"/>
  <c r="J263" i="16"/>
  <c r="F263" i="16"/>
  <c r="J451" i="16"/>
  <c r="F451" i="16"/>
  <c r="J450" i="16"/>
  <c r="F450" i="16"/>
  <c r="J449" i="16"/>
  <c r="F449" i="16"/>
  <c r="J433" i="16"/>
  <c r="F433" i="16"/>
  <c r="J430" i="16"/>
  <c r="F430" i="16"/>
  <c r="J439" i="16"/>
  <c r="F439" i="16"/>
  <c r="J448" i="16"/>
  <c r="F448" i="16"/>
  <c r="J434" i="16"/>
  <c r="F434" i="16"/>
  <c r="J85" i="16"/>
  <c r="F85" i="16"/>
  <c r="J436" i="16"/>
  <c r="F436" i="16"/>
  <c r="J435" i="16"/>
  <c r="F435" i="16"/>
  <c r="J437" i="16"/>
  <c r="F437" i="16"/>
  <c r="J447" i="16"/>
  <c r="F447" i="16"/>
  <c r="J424" i="16"/>
  <c r="F424" i="16"/>
  <c r="J751" i="16"/>
  <c r="F751" i="16"/>
  <c r="J755" i="16"/>
  <c r="F755" i="16"/>
  <c r="J419" i="16"/>
  <c r="F419" i="16"/>
  <c r="J126" i="16"/>
  <c r="F126" i="16"/>
  <c r="J53" i="16"/>
  <c r="F53" i="16"/>
  <c r="J245" i="16"/>
  <c r="F245" i="16"/>
  <c r="J199" i="16"/>
  <c r="F199" i="16"/>
  <c r="J244" i="16"/>
  <c r="F244" i="16"/>
  <c r="J198" i="16"/>
  <c r="F198" i="16"/>
  <c r="J197" i="16"/>
  <c r="F197" i="16"/>
  <c r="J204" i="16"/>
  <c r="F204" i="16"/>
  <c r="J295" i="16"/>
  <c r="F295" i="16"/>
  <c r="J203" i="16"/>
  <c r="F203" i="16"/>
  <c r="J288" i="16"/>
  <c r="F288" i="16"/>
  <c r="J104" i="16"/>
  <c r="F104" i="16"/>
  <c r="J746" i="16"/>
  <c r="F746" i="16"/>
  <c r="J194" i="16"/>
  <c r="F194" i="16"/>
  <c r="J192" i="16"/>
  <c r="F192" i="16"/>
  <c r="J286" i="16"/>
  <c r="F286" i="16"/>
  <c r="J754" i="16"/>
  <c r="F754" i="16"/>
  <c r="E754" i="16"/>
  <c r="J753" i="16"/>
  <c r="F753" i="16"/>
  <c r="E753" i="16"/>
  <c r="J752" i="16"/>
  <c r="F752" i="16"/>
  <c r="E752" i="16"/>
  <c r="J750" i="16"/>
  <c r="F750" i="16"/>
  <c r="E750" i="16"/>
  <c r="J749" i="16"/>
  <c r="F749" i="16"/>
  <c r="E749" i="16"/>
  <c r="J748" i="16"/>
  <c r="F748" i="16"/>
  <c r="E748" i="16"/>
  <c r="J747" i="16"/>
  <c r="F747" i="16"/>
  <c r="E747" i="16"/>
  <c r="J745" i="16"/>
  <c r="F745" i="16"/>
  <c r="E745" i="16"/>
  <c r="J744" i="16"/>
  <c r="F744" i="16"/>
  <c r="E744" i="16"/>
  <c r="J743" i="16"/>
  <c r="F743" i="16"/>
  <c r="E743" i="16"/>
  <c r="J742" i="16"/>
  <c r="F742" i="16"/>
  <c r="E742" i="16"/>
  <c r="J741" i="16"/>
  <c r="F741" i="16"/>
  <c r="E741" i="16"/>
  <c r="J740" i="16"/>
  <c r="F740" i="16"/>
  <c r="E740" i="16"/>
  <c r="J739" i="16"/>
  <c r="F739" i="16"/>
  <c r="E739" i="16"/>
  <c r="J738" i="16"/>
  <c r="F738" i="16"/>
  <c r="E738" i="16"/>
  <c r="J737" i="16"/>
  <c r="F737" i="16"/>
  <c r="E737" i="16"/>
  <c r="J736" i="16"/>
  <c r="F736" i="16"/>
  <c r="E736" i="16"/>
  <c r="J735" i="16"/>
  <c r="F735" i="16"/>
  <c r="E735" i="16"/>
  <c r="J734" i="16"/>
  <c r="F734" i="16"/>
  <c r="E734" i="16"/>
  <c r="J733" i="16"/>
  <c r="F733" i="16"/>
  <c r="E733" i="16"/>
  <c r="J732" i="16"/>
  <c r="F732" i="16"/>
  <c r="E732" i="16"/>
  <c r="J731" i="16"/>
  <c r="F731" i="16"/>
  <c r="E731" i="16"/>
  <c r="J730" i="16"/>
  <c r="F730" i="16"/>
  <c r="E730" i="16"/>
  <c r="J729" i="16"/>
  <c r="F729" i="16"/>
  <c r="E729" i="16"/>
  <c r="J728" i="16"/>
  <c r="F728" i="16"/>
  <c r="E728" i="16"/>
  <c r="J727" i="16"/>
  <c r="F727" i="16"/>
  <c r="E727" i="16"/>
  <c r="J726" i="16"/>
  <c r="F726" i="16"/>
  <c r="E726" i="16"/>
  <c r="J725" i="16"/>
  <c r="F725" i="16"/>
  <c r="E725" i="16"/>
  <c r="J724" i="16"/>
  <c r="F724" i="16"/>
  <c r="E724" i="16"/>
  <c r="J723" i="16"/>
  <c r="F723" i="16"/>
  <c r="E723" i="16"/>
  <c r="J722" i="16"/>
  <c r="F722" i="16"/>
  <c r="E722" i="16"/>
  <c r="J721" i="16"/>
  <c r="F721" i="16"/>
  <c r="E721" i="16"/>
  <c r="J720" i="16"/>
  <c r="F720" i="16"/>
  <c r="E720" i="16"/>
  <c r="J719" i="16"/>
  <c r="F719" i="16"/>
  <c r="E719" i="16"/>
  <c r="J718" i="16"/>
  <c r="F718" i="16"/>
  <c r="E718" i="16"/>
  <c r="J717" i="16"/>
  <c r="F717" i="16"/>
  <c r="E717" i="16"/>
  <c r="J716" i="16"/>
  <c r="F716" i="16"/>
  <c r="E716" i="16"/>
  <c r="J715" i="16"/>
  <c r="F715" i="16"/>
  <c r="E715" i="16"/>
  <c r="J714" i="16"/>
  <c r="F714" i="16"/>
  <c r="E714" i="16"/>
  <c r="J713" i="16"/>
  <c r="F713" i="16"/>
  <c r="E713" i="16"/>
  <c r="J712" i="16"/>
  <c r="F712" i="16"/>
  <c r="E712" i="16"/>
  <c r="J711" i="16"/>
  <c r="F711" i="16"/>
  <c r="E711" i="16"/>
  <c r="J710" i="16"/>
  <c r="F710" i="16"/>
  <c r="E710" i="16"/>
  <c r="J709" i="16"/>
  <c r="F709" i="16"/>
  <c r="E709" i="16"/>
  <c r="J708" i="16"/>
  <c r="F708" i="16"/>
  <c r="E708" i="16"/>
  <c r="J707" i="16"/>
  <c r="F707" i="16"/>
  <c r="E707" i="16"/>
  <c r="J706" i="16"/>
  <c r="F706" i="16"/>
  <c r="E706" i="16"/>
  <c r="J705" i="16"/>
  <c r="F705" i="16"/>
  <c r="E705" i="16"/>
  <c r="J704" i="16"/>
  <c r="F704" i="16"/>
  <c r="E704" i="16"/>
  <c r="J703" i="16"/>
  <c r="F703" i="16"/>
  <c r="E703" i="16"/>
  <c r="J702" i="16"/>
  <c r="F702" i="16"/>
  <c r="E702" i="16"/>
  <c r="J701" i="16"/>
  <c r="F701" i="16"/>
  <c r="E701" i="16"/>
  <c r="J700" i="16"/>
  <c r="F700" i="16"/>
  <c r="E700" i="16"/>
  <c r="J699" i="16"/>
  <c r="F699" i="16"/>
  <c r="E699" i="16"/>
  <c r="J698" i="16"/>
  <c r="F698" i="16"/>
  <c r="E698" i="16"/>
  <c r="J697" i="16"/>
  <c r="F697" i="16"/>
  <c r="E697" i="16"/>
  <c r="J696" i="16"/>
  <c r="F696" i="16"/>
  <c r="E696" i="16"/>
  <c r="J695" i="16"/>
  <c r="F695" i="16"/>
  <c r="E695" i="16"/>
  <c r="J694" i="16"/>
  <c r="F694" i="16"/>
  <c r="E694" i="16"/>
  <c r="J693" i="16"/>
  <c r="F693" i="16"/>
  <c r="E693" i="16"/>
  <c r="J692" i="16"/>
  <c r="F692" i="16"/>
  <c r="E692" i="16"/>
  <c r="J691" i="16"/>
  <c r="F691" i="16"/>
  <c r="E691" i="16"/>
  <c r="J690" i="16"/>
  <c r="F690" i="16"/>
  <c r="E690" i="16"/>
  <c r="J689" i="16"/>
  <c r="F689" i="16"/>
  <c r="E689" i="16"/>
  <c r="J688" i="16"/>
  <c r="F688" i="16"/>
  <c r="E688" i="16"/>
  <c r="J687" i="16"/>
  <c r="F687" i="16"/>
  <c r="E687" i="16"/>
  <c r="J686" i="16"/>
  <c r="F686" i="16"/>
  <c r="E686" i="16"/>
  <c r="J685" i="16"/>
  <c r="F685" i="16"/>
  <c r="E685" i="16"/>
  <c r="J684" i="16"/>
  <c r="F684" i="16"/>
  <c r="E684" i="16"/>
  <c r="J683" i="16"/>
  <c r="F683" i="16"/>
  <c r="E683" i="16"/>
  <c r="J682" i="16"/>
  <c r="F682" i="16"/>
  <c r="E682" i="16"/>
  <c r="J681" i="16"/>
  <c r="F681" i="16"/>
  <c r="E681" i="16"/>
  <c r="J680" i="16"/>
  <c r="F680" i="16"/>
  <c r="E680" i="16"/>
  <c r="J679" i="16"/>
  <c r="F679" i="16"/>
  <c r="E679" i="16"/>
  <c r="J678" i="16"/>
  <c r="F678" i="16"/>
  <c r="E678" i="16"/>
  <c r="J677" i="16"/>
  <c r="F677" i="16"/>
  <c r="E677" i="16"/>
  <c r="J676" i="16"/>
  <c r="F676" i="16"/>
  <c r="E676" i="16"/>
  <c r="J675" i="16"/>
  <c r="F675" i="16"/>
  <c r="E675" i="16"/>
  <c r="J674" i="16"/>
  <c r="F674" i="16"/>
  <c r="E674" i="16"/>
  <c r="J673" i="16"/>
  <c r="F673" i="16"/>
  <c r="E673" i="16"/>
  <c r="J672" i="16"/>
  <c r="F672" i="16"/>
  <c r="E672" i="16"/>
  <c r="J671" i="16"/>
  <c r="F671" i="16"/>
  <c r="E671" i="16"/>
  <c r="J670" i="16"/>
  <c r="F670" i="16"/>
  <c r="E670" i="16"/>
  <c r="J669" i="16"/>
  <c r="F669" i="16"/>
  <c r="E669" i="16"/>
  <c r="J668" i="16"/>
  <c r="F668" i="16"/>
  <c r="E668" i="16"/>
  <c r="J667" i="16"/>
  <c r="F667" i="16"/>
  <c r="E667" i="16"/>
  <c r="J666" i="16"/>
  <c r="F666" i="16"/>
  <c r="E666" i="16"/>
  <c r="J665" i="16"/>
  <c r="F665" i="16"/>
  <c r="E665" i="16"/>
  <c r="J664" i="16"/>
  <c r="F664" i="16"/>
  <c r="E664" i="16"/>
  <c r="J663" i="16"/>
  <c r="F663" i="16"/>
  <c r="E663" i="16"/>
  <c r="J662" i="16"/>
  <c r="F662" i="16"/>
  <c r="E662" i="16"/>
  <c r="J661" i="16"/>
  <c r="F661" i="16"/>
  <c r="E661" i="16"/>
  <c r="J660" i="16"/>
  <c r="F660" i="16"/>
  <c r="E660" i="16"/>
  <c r="J659" i="16"/>
  <c r="F659" i="16"/>
  <c r="E659" i="16"/>
  <c r="J658" i="16"/>
  <c r="F658" i="16"/>
  <c r="E658" i="16"/>
  <c r="J657" i="16"/>
  <c r="F657" i="16"/>
  <c r="E657" i="16"/>
  <c r="J656" i="16"/>
  <c r="F656" i="16"/>
  <c r="E656" i="16"/>
  <c r="J404" i="16"/>
  <c r="F404" i="16"/>
  <c r="E404" i="16"/>
  <c r="J655" i="16"/>
  <c r="F655" i="16"/>
  <c r="E655" i="16"/>
  <c r="J654" i="16"/>
  <c r="F654" i="16"/>
  <c r="E654" i="16"/>
  <c r="J653" i="16"/>
  <c r="F653" i="16"/>
  <c r="E653" i="16"/>
  <c r="J652" i="16"/>
  <c r="F652" i="16"/>
  <c r="E652" i="16"/>
  <c r="J651" i="16"/>
  <c r="F651" i="16"/>
  <c r="E651" i="16"/>
  <c r="J650" i="16"/>
  <c r="F650" i="16"/>
  <c r="E650" i="16"/>
  <c r="J649" i="16"/>
  <c r="F649" i="16"/>
  <c r="E649" i="16"/>
  <c r="J648" i="16"/>
  <c r="F648" i="16"/>
  <c r="E648" i="16"/>
  <c r="J647" i="16"/>
  <c r="F647" i="16"/>
  <c r="E647" i="16"/>
  <c r="J646" i="16"/>
  <c r="F646" i="16"/>
  <c r="E646" i="16"/>
  <c r="J645" i="16"/>
  <c r="F645" i="16"/>
  <c r="E645" i="16"/>
  <c r="J644" i="16"/>
  <c r="F644" i="16"/>
  <c r="E644" i="16"/>
  <c r="J643" i="16"/>
  <c r="F643" i="16"/>
  <c r="E643" i="16"/>
  <c r="J642" i="16"/>
  <c r="F642" i="16"/>
  <c r="E642" i="16"/>
  <c r="J641" i="16"/>
  <c r="F641" i="16"/>
  <c r="E641" i="16"/>
  <c r="J640" i="16"/>
  <c r="F640" i="16"/>
  <c r="E640" i="16"/>
  <c r="J639" i="16"/>
  <c r="F639" i="16"/>
  <c r="E639" i="16"/>
  <c r="J638" i="16"/>
  <c r="F638" i="16"/>
  <c r="E638" i="16"/>
  <c r="J637" i="16"/>
  <c r="F637" i="16"/>
  <c r="E637" i="16"/>
  <c r="J636" i="16"/>
  <c r="F636" i="16"/>
  <c r="E636" i="16"/>
  <c r="J635" i="16"/>
  <c r="F635" i="16"/>
  <c r="E635" i="16"/>
  <c r="J634" i="16"/>
  <c r="F634" i="16"/>
  <c r="E634" i="16"/>
  <c r="J633" i="16"/>
  <c r="F633" i="16"/>
  <c r="E633" i="16"/>
  <c r="J632" i="16"/>
  <c r="F632" i="16"/>
  <c r="E632" i="16"/>
  <c r="J631" i="16"/>
  <c r="F631" i="16"/>
  <c r="E631" i="16"/>
  <c r="J310" i="16"/>
  <c r="F310" i="16"/>
  <c r="E310" i="16"/>
  <c r="J271" i="16"/>
  <c r="F271" i="16"/>
  <c r="E271" i="16"/>
  <c r="J630" i="16"/>
  <c r="F630" i="16"/>
  <c r="E630" i="16"/>
  <c r="J629" i="16"/>
  <c r="F629" i="16"/>
  <c r="E629" i="16"/>
  <c r="J628" i="16"/>
  <c r="F628" i="16"/>
  <c r="E628" i="16"/>
  <c r="J627" i="16"/>
  <c r="F627" i="16"/>
  <c r="E627" i="16"/>
  <c r="J626" i="16"/>
  <c r="F626" i="16"/>
  <c r="E626" i="16"/>
  <c r="J625" i="16"/>
  <c r="F625" i="16"/>
  <c r="E625" i="16"/>
  <c r="J624" i="16"/>
  <c r="F624" i="16"/>
  <c r="E624" i="16"/>
  <c r="J623" i="16"/>
  <c r="F623" i="16"/>
  <c r="E623" i="16"/>
  <c r="J622" i="16"/>
  <c r="F622" i="16"/>
  <c r="E622" i="16"/>
  <c r="J621" i="16"/>
  <c r="F621" i="16"/>
  <c r="E621" i="16"/>
  <c r="J620" i="16"/>
  <c r="F620" i="16"/>
  <c r="E620" i="16"/>
  <c r="J619" i="16"/>
  <c r="F619" i="16"/>
  <c r="E619" i="16"/>
  <c r="J618" i="16"/>
  <c r="F618" i="16"/>
  <c r="E618" i="16"/>
  <c r="J617" i="16"/>
  <c r="F617" i="16"/>
  <c r="E617" i="16"/>
  <c r="J616" i="16"/>
  <c r="F616" i="16"/>
  <c r="E616" i="16"/>
  <c r="J615" i="16"/>
  <c r="F615" i="16"/>
  <c r="E615" i="16"/>
  <c r="J614" i="16"/>
  <c r="F614" i="16"/>
  <c r="E614" i="16"/>
  <c r="J613" i="16"/>
  <c r="F613" i="16"/>
  <c r="E613" i="16"/>
  <c r="J612" i="16"/>
  <c r="F612" i="16"/>
  <c r="E612" i="16"/>
  <c r="J611" i="16"/>
  <c r="F611" i="16"/>
  <c r="E611" i="16"/>
  <c r="J610" i="16"/>
  <c r="F610" i="16"/>
  <c r="E610" i="16"/>
  <c r="J609" i="16"/>
  <c r="F609" i="16"/>
  <c r="E609" i="16"/>
  <c r="J608" i="16"/>
  <c r="F608" i="16"/>
  <c r="E608" i="16"/>
  <c r="J607" i="16"/>
  <c r="F607" i="16"/>
  <c r="E607" i="16"/>
  <c r="J606" i="16"/>
  <c r="F606" i="16"/>
  <c r="E606" i="16"/>
  <c r="J605" i="16"/>
  <c r="F605" i="16"/>
  <c r="E605" i="16"/>
  <c r="J604" i="16"/>
  <c r="F604" i="16"/>
  <c r="E604" i="16"/>
  <c r="J603" i="16"/>
  <c r="F603" i="16"/>
  <c r="E603" i="16"/>
  <c r="J602" i="16"/>
  <c r="F602" i="16"/>
  <c r="E602" i="16"/>
  <c r="J601" i="16"/>
  <c r="F601" i="16"/>
  <c r="E601" i="16"/>
  <c r="J600" i="16"/>
  <c r="F600" i="16"/>
  <c r="E600" i="16"/>
  <c r="J599" i="16"/>
  <c r="F599" i="16"/>
  <c r="E599" i="16"/>
  <c r="J598" i="16"/>
  <c r="F598" i="16"/>
  <c r="E598" i="16"/>
  <c r="J597" i="16"/>
  <c r="F597" i="16"/>
  <c r="E597" i="16"/>
  <c r="J596" i="16"/>
  <c r="F596" i="16"/>
  <c r="E596" i="16"/>
  <c r="J595" i="16"/>
  <c r="F595" i="16"/>
  <c r="E595" i="16"/>
  <c r="J594" i="16"/>
  <c r="F594" i="16"/>
  <c r="E594" i="16"/>
  <c r="J247" i="16"/>
  <c r="F247" i="16"/>
  <c r="E247" i="16"/>
  <c r="J593" i="16"/>
  <c r="F593" i="16"/>
  <c r="E593" i="16"/>
  <c r="J592" i="16"/>
  <c r="F592" i="16"/>
  <c r="E592" i="16"/>
  <c r="J591" i="16"/>
  <c r="F591" i="16"/>
  <c r="E591" i="16"/>
  <c r="J590" i="16"/>
  <c r="F590" i="16"/>
  <c r="E590" i="16"/>
  <c r="J589" i="16"/>
  <c r="F589" i="16"/>
  <c r="E589" i="16"/>
  <c r="J588" i="16"/>
  <c r="F588" i="16"/>
  <c r="E588" i="16"/>
  <c r="J587" i="16"/>
  <c r="F587" i="16"/>
  <c r="E587" i="16"/>
  <c r="J586" i="16"/>
  <c r="F586" i="16"/>
  <c r="E586" i="16"/>
  <c r="J585" i="16"/>
  <c r="F585" i="16"/>
  <c r="E585" i="16"/>
  <c r="J584" i="16"/>
  <c r="F584" i="16"/>
  <c r="E584" i="16"/>
  <c r="J583" i="16"/>
  <c r="F583" i="16"/>
  <c r="E583" i="16"/>
  <c r="J582" i="16"/>
  <c r="F582" i="16"/>
  <c r="E582" i="16"/>
  <c r="J581" i="16"/>
  <c r="F581" i="16"/>
  <c r="E581" i="16"/>
  <c r="J580" i="16"/>
  <c r="F580" i="16"/>
  <c r="E580" i="16"/>
  <c r="J579" i="16"/>
  <c r="F579" i="16"/>
  <c r="E579" i="16"/>
  <c r="J578" i="16"/>
  <c r="F578" i="16"/>
  <c r="E578" i="16"/>
  <c r="J577" i="16"/>
  <c r="F577" i="16"/>
  <c r="E577" i="16"/>
  <c r="J576" i="16"/>
  <c r="F576" i="16"/>
  <c r="E576" i="16"/>
  <c r="J575" i="16"/>
  <c r="F575" i="16"/>
  <c r="E575" i="16"/>
  <c r="J574" i="16"/>
  <c r="F574" i="16"/>
  <c r="E574" i="16"/>
  <c r="J573" i="16"/>
  <c r="F573" i="16"/>
  <c r="E573" i="16"/>
  <c r="J572" i="16"/>
  <c r="F572" i="16"/>
  <c r="E572" i="16"/>
  <c r="J571" i="16"/>
  <c r="F571" i="16"/>
  <c r="E571" i="16"/>
  <c r="J570" i="16"/>
  <c r="F570" i="16"/>
  <c r="E570" i="16"/>
  <c r="J569" i="16"/>
  <c r="F569" i="16"/>
  <c r="E569" i="16"/>
  <c r="J568" i="16"/>
  <c r="F568" i="16"/>
  <c r="E568" i="16"/>
  <c r="J567" i="16"/>
  <c r="F567" i="16"/>
  <c r="E567" i="16"/>
  <c r="J566" i="16"/>
  <c r="F566" i="16"/>
  <c r="E566" i="16"/>
  <c r="J565" i="16"/>
  <c r="F565" i="16"/>
  <c r="E565" i="16"/>
  <c r="J564" i="16"/>
  <c r="F564" i="16"/>
  <c r="E564" i="16"/>
  <c r="J563" i="16"/>
  <c r="F563" i="16"/>
  <c r="E563" i="16"/>
  <c r="J562" i="16"/>
  <c r="F562" i="16"/>
  <c r="E562" i="16"/>
  <c r="J561" i="16"/>
  <c r="F561" i="16"/>
  <c r="E561" i="16"/>
  <c r="J560" i="16"/>
  <c r="F560" i="16"/>
  <c r="E560" i="16"/>
  <c r="J559" i="16"/>
  <c r="F559" i="16"/>
  <c r="E559" i="16"/>
  <c r="J558" i="16"/>
  <c r="F558" i="16"/>
  <c r="E558" i="16"/>
  <c r="J557" i="16"/>
  <c r="F557" i="16"/>
  <c r="E557" i="16"/>
  <c r="J556" i="16"/>
  <c r="F556" i="16"/>
  <c r="E556" i="16"/>
  <c r="J555" i="16"/>
  <c r="F555" i="16"/>
  <c r="E555" i="16"/>
  <c r="J554" i="16"/>
  <c r="F554" i="16"/>
  <c r="E554" i="16"/>
  <c r="J553" i="16"/>
  <c r="F553" i="16"/>
  <c r="E553" i="16"/>
  <c r="J552" i="16"/>
  <c r="F552" i="16"/>
  <c r="E552" i="16"/>
  <c r="J551" i="16"/>
  <c r="F551" i="16"/>
  <c r="E551" i="16"/>
  <c r="J550" i="16"/>
  <c r="F550" i="16"/>
  <c r="E550" i="16"/>
  <c r="J549" i="16"/>
  <c r="F549" i="16"/>
  <c r="E549" i="16"/>
  <c r="J548" i="16"/>
  <c r="F548" i="16"/>
  <c r="E548" i="16"/>
  <c r="J547" i="16"/>
  <c r="F547" i="16"/>
  <c r="E547" i="16"/>
  <c r="J546" i="16"/>
  <c r="F546" i="16"/>
  <c r="E546" i="16"/>
  <c r="J545" i="16"/>
  <c r="F545" i="16"/>
  <c r="E545" i="16"/>
  <c r="J544" i="16"/>
  <c r="F544" i="16"/>
  <c r="E544" i="16"/>
  <c r="J543" i="16"/>
  <c r="F543" i="16"/>
  <c r="E543" i="16"/>
  <c r="J542" i="16"/>
  <c r="F542" i="16"/>
  <c r="E542" i="16"/>
  <c r="J541" i="16"/>
  <c r="F541" i="16"/>
  <c r="E541" i="16"/>
  <c r="J540" i="16"/>
  <c r="F540" i="16"/>
  <c r="E540" i="16"/>
  <c r="J539" i="16"/>
  <c r="F539" i="16"/>
  <c r="E539" i="16"/>
  <c r="J538" i="16"/>
  <c r="F538" i="16"/>
  <c r="E538" i="16"/>
  <c r="J257" i="16"/>
  <c r="F257" i="16"/>
  <c r="E257" i="16"/>
  <c r="J537" i="16"/>
  <c r="F537" i="16"/>
  <c r="E537" i="16"/>
  <c r="J536" i="16"/>
  <c r="F536" i="16"/>
  <c r="E536" i="16"/>
  <c r="J535" i="16"/>
  <c r="F535" i="16"/>
  <c r="E535" i="16"/>
  <c r="J534" i="16"/>
  <c r="F534" i="16"/>
  <c r="E534" i="16"/>
  <c r="J533" i="16"/>
  <c r="F533" i="16"/>
  <c r="E533" i="16"/>
  <c r="J532" i="16"/>
  <c r="F532" i="16"/>
  <c r="E532" i="16"/>
  <c r="J531" i="16"/>
  <c r="F531" i="16"/>
  <c r="E531" i="16"/>
  <c r="J530" i="16"/>
  <c r="F530" i="16"/>
  <c r="E530" i="16"/>
  <c r="J529" i="16"/>
  <c r="F529" i="16"/>
  <c r="E529" i="16"/>
  <c r="J528" i="16"/>
  <c r="F528" i="16"/>
  <c r="E528" i="16"/>
  <c r="J527" i="16"/>
  <c r="F527" i="16"/>
  <c r="E527" i="16"/>
  <c r="J526" i="16"/>
  <c r="F526" i="16"/>
  <c r="E526" i="16"/>
  <c r="J525" i="16"/>
  <c r="F525" i="16"/>
  <c r="E525" i="16"/>
  <c r="J524" i="16"/>
  <c r="F524" i="16"/>
  <c r="E524" i="16"/>
  <c r="J523" i="16"/>
  <c r="F523" i="16"/>
  <c r="E523" i="16"/>
  <c r="J522" i="16"/>
  <c r="F522" i="16"/>
  <c r="E522" i="16"/>
  <c r="J521" i="16"/>
  <c r="F521" i="16"/>
  <c r="E521" i="16"/>
  <c r="J520" i="16"/>
  <c r="F520" i="16"/>
  <c r="E520" i="16"/>
  <c r="J519" i="16"/>
  <c r="F519" i="16"/>
  <c r="E519" i="16"/>
  <c r="J518" i="16"/>
  <c r="F518" i="16"/>
  <c r="E518" i="16"/>
  <c r="J517" i="16"/>
  <c r="F517" i="16"/>
  <c r="E517" i="16"/>
  <c r="J516" i="16"/>
  <c r="F516" i="16"/>
  <c r="E516" i="16"/>
  <c r="J515" i="16"/>
  <c r="F515" i="16"/>
  <c r="E515" i="16"/>
  <c r="J514" i="16"/>
  <c r="F514" i="16"/>
  <c r="E514" i="16"/>
  <c r="J513" i="16"/>
  <c r="F513" i="16"/>
  <c r="E513" i="16"/>
  <c r="J512" i="16"/>
  <c r="F512" i="16"/>
  <c r="E512" i="16"/>
  <c r="J511" i="16"/>
  <c r="F511" i="16"/>
  <c r="E511" i="16"/>
  <c r="J510" i="16"/>
  <c r="F510" i="16"/>
  <c r="E510" i="16"/>
  <c r="J509" i="16"/>
  <c r="F509" i="16"/>
  <c r="E509" i="16"/>
  <c r="J508" i="16"/>
  <c r="F508" i="16"/>
  <c r="E508" i="16"/>
  <c r="J507" i="16"/>
  <c r="F507" i="16"/>
  <c r="E507" i="16"/>
  <c r="J506" i="16"/>
  <c r="F506" i="16"/>
  <c r="E506" i="16"/>
  <c r="J505" i="16"/>
  <c r="F505" i="16"/>
  <c r="E505" i="16"/>
  <c r="J504" i="16"/>
  <c r="F504" i="16"/>
  <c r="E504" i="16"/>
  <c r="J503" i="16"/>
  <c r="F503" i="16"/>
  <c r="E503" i="16"/>
  <c r="J502" i="16"/>
  <c r="F502" i="16"/>
  <c r="E502" i="16"/>
  <c r="J501" i="16"/>
  <c r="F501" i="16"/>
  <c r="E501" i="16"/>
  <c r="J500" i="16"/>
  <c r="F500" i="16"/>
  <c r="E500" i="16"/>
  <c r="J499" i="16"/>
  <c r="F499" i="16"/>
  <c r="E499" i="16"/>
  <c r="J498" i="16"/>
  <c r="F498" i="16"/>
  <c r="E498" i="16"/>
  <c r="J497" i="16"/>
  <c r="F497" i="16"/>
  <c r="E497" i="16"/>
  <c r="J496" i="16"/>
  <c r="F496" i="16"/>
  <c r="E496" i="16"/>
  <c r="J495" i="16"/>
  <c r="F495" i="16"/>
  <c r="E495" i="16"/>
  <c r="J351" i="16"/>
  <c r="F351" i="16"/>
  <c r="E351" i="16"/>
  <c r="J494" i="16"/>
  <c r="F494" i="16"/>
  <c r="E494" i="16"/>
  <c r="J493" i="16"/>
  <c r="F493" i="16"/>
  <c r="E493" i="16"/>
  <c r="J492" i="16"/>
  <c r="F492" i="16"/>
  <c r="E492" i="16"/>
  <c r="J491" i="16"/>
  <c r="F491" i="16"/>
  <c r="E491" i="16"/>
  <c r="J490" i="16"/>
  <c r="F490" i="16"/>
  <c r="E490" i="16"/>
  <c r="J489" i="16"/>
  <c r="F489" i="16"/>
  <c r="E489" i="16"/>
  <c r="J488" i="16"/>
  <c r="F488" i="16"/>
  <c r="E488" i="16"/>
  <c r="J487" i="16"/>
  <c r="F487" i="16"/>
  <c r="E487" i="16"/>
  <c r="J253" i="16"/>
  <c r="F253" i="16"/>
  <c r="E253" i="16"/>
  <c r="J486" i="16"/>
  <c r="F486" i="16"/>
  <c r="E486" i="16"/>
  <c r="J349" i="16"/>
  <c r="F349" i="16"/>
  <c r="E349" i="16"/>
  <c r="J348" i="16"/>
  <c r="F348" i="16"/>
  <c r="E348" i="16"/>
  <c r="J345" i="16"/>
  <c r="F345" i="16"/>
  <c r="E345" i="16"/>
  <c r="J485" i="16"/>
  <c r="F485" i="16"/>
  <c r="E485" i="16"/>
  <c r="J484" i="16"/>
  <c r="F484" i="16"/>
  <c r="E484" i="16"/>
  <c r="J483" i="16"/>
  <c r="F483" i="16"/>
  <c r="E483" i="16"/>
  <c r="J482" i="16"/>
  <c r="F482" i="16"/>
  <c r="E482" i="16"/>
  <c r="J481" i="16"/>
  <c r="F481" i="16"/>
  <c r="E481" i="16"/>
  <c r="J480" i="16"/>
  <c r="F480" i="16"/>
  <c r="E480" i="16"/>
  <c r="J479" i="16"/>
  <c r="F479" i="16"/>
  <c r="E479" i="16"/>
  <c r="J478" i="16"/>
  <c r="F478" i="16"/>
  <c r="E478" i="16"/>
  <c r="J477" i="16"/>
  <c r="F477" i="16"/>
  <c r="E477" i="16"/>
  <c r="J476" i="16"/>
  <c r="F476" i="16"/>
  <c r="E476" i="16"/>
  <c r="J475" i="16"/>
  <c r="F475" i="16"/>
  <c r="E475" i="16"/>
  <c r="J474" i="16"/>
  <c r="F474" i="16"/>
  <c r="E474" i="16"/>
  <c r="J473" i="16"/>
  <c r="F473" i="16"/>
  <c r="E473" i="16"/>
  <c r="J472" i="16"/>
  <c r="F472" i="16"/>
  <c r="E472" i="16"/>
  <c r="J471" i="16"/>
  <c r="F471" i="16"/>
  <c r="E471" i="16"/>
  <c r="J470" i="16"/>
  <c r="F470" i="16"/>
  <c r="E470" i="16"/>
  <c r="J469" i="16"/>
  <c r="F469" i="16"/>
  <c r="E469" i="16"/>
  <c r="J468" i="16"/>
  <c r="F468" i="16"/>
  <c r="E468" i="16"/>
  <c r="J467" i="16"/>
  <c r="F467" i="16"/>
  <c r="E467" i="16"/>
  <c r="J466" i="16"/>
  <c r="F466" i="16"/>
  <c r="E466" i="16"/>
  <c r="J446" i="16"/>
  <c r="F446" i="16"/>
  <c r="E446" i="16"/>
  <c r="J445" i="16"/>
  <c r="F445" i="16"/>
  <c r="E445" i="16"/>
  <c r="J444" i="16"/>
  <c r="F444" i="16"/>
  <c r="E444" i="16"/>
  <c r="J443" i="16"/>
  <c r="F443" i="16"/>
  <c r="E443" i="16"/>
  <c r="J442" i="16"/>
  <c r="F442" i="16"/>
  <c r="E442" i="16"/>
  <c r="J441" i="16"/>
  <c r="F441" i="16"/>
  <c r="E441" i="16"/>
  <c r="J440" i="16"/>
  <c r="F440" i="16"/>
  <c r="E440" i="16"/>
  <c r="J438" i="16"/>
  <c r="F438" i="16"/>
  <c r="E438" i="16"/>
  <c r="J323" i="16"/>
  <c r="F323" i="16"/>
  <c r="E323" i="16"/>
  <c r="J265" i="16"/>
  <c r="F265" i="16"/>
  <c r="E265" i="16"/>
  <c r="J179" i="16"/>
  <c r="F179" i="16"/>
  <c r="E179" i="16"/>
  <c r="J432" i="16"/>
  <c r="F432" i="16"/>
  <c r="E432" i="16"/>
  <c r="J431" i="16"/>
  <c r="F431" i="16"/>
  <c r="E431" i="16"/>
  <c r="J243" i="16"/>
  <c r="F243" i="16"/>
  <c r="E243" i="16"/>
  <c r="J262" i="16"/>
  <c r="F262" i="16"/>
  <c r="E262" i="16"/>
  <c r="J429" i="16"/>
  <c r="F429" i="16"/>
  <c r="E429" i="16"/>
  <c r="J322" i="16"/>
  <c r="F322" i="16"/>
  <c r="E322" i="16"/>
  <c r="J428" i="16"/>
  <c r="F428" i="16"/>
  <c r="E428" i="16"/>
  <c r="J427" i="16"/>
  <c r="F427" i="16"/>
  <c r="E427" i="16"/>
  <c r="J426" i="16"/>
  <c r="F426" i="16"/>
  <c r="E426" i="16"/>
  <c r="J425" i="16"/>
  <c r="F425" i="16"/>
  <c r="E425" i="16"/>
  <c r="J264" i="16"/>
  <c r="F264" i="16"/>
  <c r="E264" i="16"/>
  <c r="J423" i="16"/>
  <c r="F423" i="16"/>
  <c r="E423" i="16"/>
  <c r="J422" i="16"/>
  <c r="F422" i="16"/>
  <c r="E422" i="16"/>
  <c r="J421" i="16"/>
  <c r="F421" i="16"/>
  <c r="E421" i="16"/>
  <c r="J420" i="16"/>
  <c r="F420" i="16"/>
  <c r="E420" i="16"/>
  <c r="J418" i="16"/>
  <c r="F418" i="16"/>
  <c r="E418" i="16"/>
  <c r="J417" i="16"/>
  <c r="F417" i="16"/>
  <c r="E417" i="16"/>
  <c r="J416" i="16"/>
  <c r="F416" i="16"/>
  <c r="E416" i="16"/>
  <c r="J415" i="16"/>
  <c r="F415" i="16"/>
  <c r="E415" i="16"/>
  <c r="J414" i="16"/>
  <c r="F414" i="16"/>
  <c r="E414" i="16"/>
  <c r="J413" i="16"/>
  <c r="F413" i="16"/>
  <c r="E413" i="16"/>
  <c r="J100" i="16"/>
  <c r="F100" i="16"/>
  <c r="E100" i="16"/>
  <c r="J412" i="16"/>
  <c r="F412" i="16"/>
  <c r="E412" i="16"/>
  <c r="J411" i="16"/>
  <c r="F411" i="16"/>
  <c r="E411" i="16"/>
  <c r="J410" i="16"/>
  <c r="F410" i="16"/>
  <c r="E410" i="16"/>
  <c r="J409" i="16"/>
  <c r="F409" i="16"/>
  <c r="E409" i="16"/>
  <c r="J408" i="16"/>
  <c r="F408" i="16"/>
  <c r="E408" i="16"/>
  <c r="J407" i="16"/>
  <c r="F407" i="16"/>
  <c r="E407" i="16"/>
  <c r="J406" i="16"/>
  <c r="F406" i="16"/>
  <c r="E406" i="16"/>
  <c r="J256" i="16"/>
  <c r="F256" i="16"/>
  <c r="E256" i="16"/>
  <c r="J405" i="16"/>
  <c r="F405" i="16"/>
  <c r="E405" i="16"/>
  <c r="J403" i="16"/>
  <c r="F403" i="16"/>
  <c r="E403" i="16"/>
  <c r="J402" i="16"/>
  <c r="F402" i="16"/>
  <c r="E402" i="16"/>
  <c r="J401" i="16"/>
  <c r="F401" i="16"/>
  <c r="E401" i="16"/>
  <c r="J400" i="16"/>
  <c r="F400" i="16"/>
  <c r="E400" i="16"/>
  <c r="J399" i="16"/>
  <c r="F399" i="16"/>
  <c r="E399" i="16"/>
  <c r="J398" i="16"/>
  <c r="F398" i="16"/>
  <c r="E398" i="16"/>
  <c r="J397" i="16"/>
  <c r="F397" i="16"/>
  <c r="E397" i="16"/>
  <c r="J396" i="16"/>
  <c r="F396" i="16"/>
  <c r="E396" i="16"/>
  <c r="J395" i="16"/>
  <c r="F395" i="16"/>
  <c r="E395" i="16"/>
  <c r="J394" i="16"/>
  <c r="F394" i="16"/>
  <c r="E394" i="16"/>
  <c r="J393" i="16"/>
  <c r="F393" i="16"/>
  <c r="E393" i="16"/>
  <c r="J392" i="16"/>
  <c r="F392" i="16"/>
  <c r="E392" i="16"/>
  <c r="J391" i="16"/>
  <c r="F391" i="16"/>
  <c r="E391" i="16"/>
  <c r="J390" i="16"/>
  <c r="F390" i="16"/>
  <c r="E390" i="16"/>
  <c r="J389" i="16"/>
  <c r="F389" i="16"/>
  <c r="E389" i="16"/>
  <c r="J388" i="16"/>
  <c r="F388" i="16"/>
  <c r="E388" i="16"/>
  <c r="J387" i="16"/>
  <c r="F387" i="16"/>
  <c r="E387" i="16"/>
  <c r="J386" i="16"/>
  <c r="F386" i="16"/>
  <c r="E386" i="16"/>
  <c r="J385" i="16"/>
  <c r="F385" i="16"/>
  <c r="E385" i="16"/>
  <c r="J384" i="16"/>
  <c r="F384" i="16"/>
  <c r="E384" i="16"/>
  <c r="J383" i="16"/>
  <c r="F383" i="16"/>
  <c r="E383" i="16"/>
  <c r="J382" i="16"/>
  <c r="F382" i="16"/>
  <c r="E382" i="16"/>
  <c r="J381" i="16"/>
  <c r="F381" i="16"/>
  <c r="E381" i="16"/>
  <c r="J380" i="16"/>
  <c r="F380" i="16"/>
  <c r="E380" i="16"/>
  <c r="J379" i="16"/>
  <c r="F379" i="16"/>
  <c r="E379" i="16"/>
  <c r="J378" i="16"/>
  <c r="F378" i="16"/>
  <c r="E378" i="16"/>
  <c r="J377" i="16"/>
  <c r="F377" i="16"/>
  <c r="E377" i="16"/>
  <c r="J306" i="16"/>
  <c r="F306" i="16"/>
  <c r="E306" i="16"/>
  <c r="J376" i="16"/>
  <c r="F376" i="16"/>
  <c r="E376" i="16"/>
  <c r="J375" i="16"/>
  <c r="F375" i="16"/>
  <c r="E375" i="16"/>
  <c r="J374" i="16"/>
  <c r="F374" i="16"/>
  <c r="E374" i="16"/>
  <c r="J373" i="16"/>
  <c r="F373" i="16"/>
  <c r="E373" i="16"/>
  <c r="J372" i="16"/>
  <c r="F372" i="16"/>
  <c r="E372" i="16"/>
  <c r="J216" i="16"/>
  <c r="F216" i="16"/>
  <c r="E216" i="16"/>
  <c r="J371" i="16"/>
  <c r="F371" i="16"/>
  <c r="E371" i="16"/>
  <c r="J370" i="16"/>
  <c r="F370" i="16"/>
  <c r="E370" i="16"/>
  <c r="J369" i="16"/>
  <c r="F369" i="16"/>
  <c r="E369" i="16"/>
  <c r="J215" i="16"/>
  <c r="F215" i="16"/>
  <c r="E215" i="16"/>
  <c r="J246" i="16"/>
  <c r="F246" i="16"/>
  <c r="E246" i="16"/>
  <c r="J368" i="16"/>
  <c r="F368" i="16"/>
  <c r="E368" i="16"/>
  <c r="J367" i="16"/>
  <c r="F367" i="16"/>
  <c r="E367" i="16"/>
  <c r="J366" i="16"/>
  <c r="F366" i="16"/>
  <c r="E366" i="16"/>
  <c r="J365" i="16"/>
  <c r="F365" i="16"/>
  <c r="E365" i="16"/>
  <c r="J364" i="16"/>
  <c r="F364" i="16"/>
  <c r="E364" i="16"/>
  <c r="J363" i="16"/>
  <c r="F363" i="16"/>
  <c r="E363" i="16"/>
  <c r="J362" i="16"/>
  <c r="F362" i="16"/>
  <c r="E362" i="16"/>
  <c r="J361" i="16"/>
  <c r="F361" i="16"/>
  <c r="E361" i="16"/>
  <c r="J360" i="16"/>
  <c r="F360" i="16"/>
  <c r="E360" i="16"/>
  <c r="J359" i="16"/>
  <c r="F359" i="16"/>
  <c r="E359" i="16"/>
  <c r="J358" i="16"/>
  <c r="F358" i="16"/>
  <c r="E358" i="16"/>
  <c r="J357" i="16"/>
  <c r="F357" i="16"/>
  <c r="E357" i="16"/>
  <c r="J356" i="16"/>
  <c r="F356" i="16"/>
  <c r="E356" i="16"/>
  <c r="J355" i="16"/>
  <c r="F355" i="16"/>
  <c r="E355" i="16"/>
  <c r="J354" i="16"/>
  <c r="F354" i="16"/>
  <c r="E354" i="16"/>
  <c r="J353" i="16"/>
  <c r="F353" i="16"/>
  <c r="E353" i="16"/>
  <c r="J352" i="16"/>
  <c r="F352" i="16"/>
  <c r="E352" i="16"/>
  <c r="J350" i="16"/>
  <c r="F350" i="16"/>
  <c r="E350" i="16"/>
  <c r="J347" i="16"/>
  <c r="F347" i="16"/>
  <c r="E347" i="16"/>
  <c r="J273" i="16"/>
  <c r="F273" i="16"/>
  <c r="E273" i="16"/>
  <c r="J238" i="16"/>
  <c r="F238" i="16"/>
  <c r="E238" i="16"/>
  <c r="J346" i="16"/>
  <c r="F346" i="16"/>
  <c r="E346" i="16"/>
  <c r="J239" i="16"/>
  <c r="F239" i="16"/>
  <c r="E239" i="16"/>
  <c r="J344" i="16"/>
  <c r="F344" i="16"/>
  <c r="E344" i="16"/>
  <c r="J343" i="16"/>
  <c r="F343" i="16"/>
  <c r="E343" i="16"/>
  <c r="J342" i="16"/>
  <c r="F342" i="16"/>
  <c r="E342" i="16"/>
  <c r="J341" i="16"/>
  <c r="F341" i="16"/>
  <c r="E341" i="16"/>
  <c r="J340" i="16"/>
  <c r="F340" i="16"/>
  <c r="E340" i="16"/>
  <c r="J339" i="16"/>
  <c r="F339" i="16"/>
  <c r="E339" i="16"/>
  <c r="J338" i="16"/>
  <c r="F338" i="16"/>
  <c r="E338" i="16"/>
  <c r="J337" i="16"/>
  <c r="F337" i="16"/>
  <c r="E337" i="16"/>
  <c r="J336" i="16"/>
  <c r="F336" i="16"/>
  <c r="E336" i="16"/>
  <c r="J335" i="16"/>
  <c r="F335" i="16"/>
  <c r="E335" i="16"/>
  <c r="J334" i="16"/>
  <c r="F334" i="16"/>
  <c r="E334" i="16"/>
  <c r="J333" i="16"/>
  <c r="F333" i="16"/>
  <c r="E333" i="16"/>
  <c r="J332" i="16"/>
  <c r="F332" i="16"/>
  <c r="E332" i="16"/>
  <c r="J331" i="16"/>
  <c r="F331" i="16"/>
  <c r="E331" i="16"/>
  <c r="J330" i="16"/>
  <c r="F330" i="16"/>
  <c r="E330" i="16"/>
  <c r="J329" i="16"/>
  <c r="F329" i="16"/>
  <c r="E329" i="16"/>
  <c r="J205" i="16"/>
  <c r="F205" i="16"/>
  <c r="E205" i="16"/>
  <c r="J217" i="16"/>
  <c r="F217" i="16"/>
  <c r="E217" i="16"/>
  <c r="J321" i="16"/>
  <c r="F321" i="16"/>
  <c r="E321" i="16"/>
  <c r="J320" i="16"/>
  <c r="F320" i="16"/>
  <c r="E320" i="16"/>
  <c r="J319" i="16"/>
  <c r="F319" i="16"/>
  <c r="E319" i="16"/>
  <c r="J318" i="16"/>
  <c r="F318" i="16"/>
  <c r="E318" i="16"/>
  <c r="J317" i="16"/>
  <c r="F317" i="16"/>
  <c r="E317" i="16"/>
  <c r="J316" i="16"/>
  <c r="F316" i="16"/>
  <c r="E316" i="16"/>
  <c r="J315" i="16"/>
  <c r="F315" i="16"/>
  <c r="E315" i="16"/>
  <c r="J314" i="16"/>
  <c r="F314" i="16"/>
  <c r="E314" i="16"/>
  <c r="J313" i="16"/>
  <c r="F313" i="16"/>
  <c r="E313" i="16"/>
  <c r="J312" i="16"/>
  <c r="F312" i="16"/>
  <c r="E312" i="16"/>
  <c r="J311" i="16"/>
  <c r="F311" i="16"/>
  <c r="E311" i="16"/>
  <c r="J210" i="16"/>
  <c r="F210" i="16"/>
  <c r="E210" i="16"/>
  <c r="J309" i="16"/>
  <c r="F309" i="16"/>
  <c r="E309" i="16"/>
  <c r="J308" i="16"/>
  <c r="F308" i="16"/>
  <c r="E308" i="16"/>
  <c r="J132" i="16"/>
  <c r="F132" i="16"/>
  <c r="E132" i="16"/>
  <c r="J307" i="16"/>
  <c r="F307" i="16"/>
  <c r="E307" i="16"/>
  <c r="J200" i="16"/>
  <c r="F200" i="16"/>
  <c r="E200" i="16"/>
  <c r="J305" i="16"/>
  <c r="F305" i="16"/>
  <c r="E305" i="16"/>
  <c r="J304" i="16"/>
  <c r="F304" i="16"/>
  <c r="E304" i="16"/>
  <c r="J303" i="16"/>
  <c r="F303" i="16"/>
  <c r="E303" i="16"/>
  <c r="J302" i="16"/>
  <c r="F302" i="16"/>
  <c r="E302" i="16"/>
  <c r="J301" i="16"/>
  <c r="F301" i="16"/>
  <c r="E301" i="16"/>
  <c r="J300" i="16"/>
  <c r="F300" i="16"/>
  <c r="E300" i="16"/>
  <c r="J299" i="16"/>
  <c r="F299" i="16"/>
  <c r="E299" i="16"/>
  <c r="J298" i="16"/>
  <c r="F298" i="16"/>
  <c r="E298" i="16"/>
  <c r="J297" i="16"/>
  <c r="F297" i="16"/>
  <c r="E297" i="16"/>
  <c r="J296" i="16"/>
  <c r="F296" i="16"/>
  <c r="E296" i="16"/>
  <c r="J294" i="16"/>
  <c r="F294" i="16"/>
  <c r="E294" i="16"/>
  <c r="J293" i="16"/>
  <c r="F293" i="16"/>
  <c r="E293" i="16"/>
  <c r="J292" i="16"/>
  <c r="F292" i="16"/>
  <c r="E292" i="16"/>
  <c r="J291" i="16"/>
  <c r="F291" i="16"/>
  <c r="E291" i="16"/>
  <c r="J290" i="16"/>
  <c r="F290" i="16"/>
  <c r="E290" i="16"/>
  <c r="J289" i="16"/>
  <c r="F289" i="16"/>
  <c r="E289" i="16"/>
  <c r="J287" i="16"/>
  <c r="F287" i="16"/>
  <c r="E287" i="16"/>
  <c r="J193" i="16"/>
  <c r="F193" i="16"/>
  <c r="E193" i="16"/>
  <c r="J285" i="16"/>
  <c r="F285" i="16"/>
  <c r="E285" i="16"/>
  <c r="J284" i="16"/>
  <c r="F284" i="16"/>
  <c r="E284" i="16"/>
  <c r="J283" i="16"/>
  <c r="F283" i="16"/>
  <c r="E283" i="16"/>
  <c r="J282" i="16"/>
  <c r="F282" i="16"/>
  <c r="E282" i="16"/>
  <c r="J281" i="16"/>
  <c r="F281" i="16"/>
  <c r="E281" i="16"/>
  <c r="J280" i="16"/>
  <c r="F280" i="16"/>
  <c r="E280" i="16"/>
  <c r="J279" i="16"/>
  <c r="F279" i="16"/>
  <c r="E279" i="16"/>
  <c r="J278" i="16"/>
  <c r="F278" i="16"/>
  <c r="E278" i="16"/>
  <c r="J277" i="16"/>
  <c r="F277" i="16"/>
  <c r="E277" i="16"/>
  <c r="J276" i="16"/>
  <c r="F276" i="16"/>
  <c r="E276" i="16"/>
  <c r="J175" i="16"/>
  <c r="F175" i="16"/>
  <c r="E175" i="16"/>
  <c r="J275" i="16"/>
  <c r="F275" i="16"/>
  <c r="E275" i="16"/>
  <c r="J274" i="16"/>
  <c r="F274" i="16"/>
  <c r="E274" i="16"/>
  <c r="J272" i="16"/>
  <c r="F272" i="16"/>
  <c r="E272" i="16"/>
  <c r="J270" i="16"/>
  <c r="F270" i="16"/>
  <c r="E270" i="16"/>
  <c r="J269" i="16"/>
  <c r="F269" i="16"/>
  <c r="E269" i="16"/>
  <c r="J268" i="16"/>
  <c r="F268" i="16"/>
  <c r="E268" i="16"/>
  <c r="J267" i="16"/>
  <c r="F267" i="16"/>
  <c r="E267" i="16"/>
  <c r="J266" i="16"/>
  <c r="F266" i="16"/>
  <c r="E266" i="16"/>
  <c r="J261" i="16"/>
  <c r="F261" i="16"/>
  <c r="E261" i="16"/>
  <c r="J260" i="16"/>
  <c r="F260" i="16"/>
  <c r="E260" i="16"/>
  <c r="J259" i="16"/>
  <c r="F259" i="16"/>
  <c r="E259" i="16"/>
  <c r="J258" i="16"/>
  <c r="F258" i="16"/>
  <c r="E258" i="16"/>
  <c r="J162" i="16"/>
  <c r="F162" i="16"/>
  <c r="E162" i="16"/>
  <c r="J112" i="16"/>
  <c r="F112" i="16"/>
  <c r="E112" i="16"/>
  <c r="J255" i="16"/>
  <c r="F255" i="16"/>
  <c r="E255" i="16"/>
  <c r="J254" i="16"/>
  <c r="F254" i="16"/>
  <c r="E254" i="16"/>
  <c r="J186" i="16"/>
  <c r="F186" i="16"/>
  <c r="E186" i="16"/>
  <c r="J252" i="16"/>
  <c r="F252" i="16"/>
  <c r="E252" i="16"/>
  <c r="J251" i="16"/>
  <c r="F251" i="16"/>
  <c r="E251" i="16"/>
  <c r="J250" i="16"/>
  <c r="F250" i="16"/>
  <c r="E250" i="16"/>
  <c r="J249" i="16"/>
  <c r="F249" i="16"/>
  <c r="E249" i="16"/>
  <c r="J248" i="16"/>
  <c r="F248" i="16"/>
  <c r="E248" i="16"/>
  <c r="J242" i="16"/>
  <c r="F242" i="16"/>
  <c r="E242" i="16"/>
  <c r="J101" i="16"/>
  <c r="F101" i="16"/>
  <c r="E101" i="16"/>
  <c r="J202" i="16"/>
  <c r="F202" i="16"/>
  <c r="E202" i="16"/>
  <c r="J241" i="16"/>
  <c r="F241" i="16"/>
  <c r="E241" i="16"/>
  <c r="J240" i="16"/>
  <c r="F240" i="16"/>
  <c r="E240" i="16"/>
  <c r="J145" i="16"/>
  <c r="F145" i="16"/>
  <c r="E145" i="16"/>
  <c r="J237" i="16"/>
  <c r="F237" i="16"/>
  <c r="E237" i="16"/>
  <c r="J236" i="16"/>
  <c r="F236" i="16"/>
  <c r="E236" i="16"/>
  <c r="J235" i="16"/>
  <c r="F235" i="16"/>
  <c r="E235" i="16"/>
  <c r="J234" i="16"/>
  <c r="F234" i="16"/>
  <c r="E234" i="16"/>
  <c r="J233" i="16"/>
  <c r="F233" i="16"/>
  <c r="E233" i="16"/>
  <c r="J232" i="16"/>
  <c r="F232" i="16"/>
  <c r="E232" i="16"/>
  <c r="J231" i="16"/>
  <c r="F231" i="16"/>
  <c r="E231" i="16"/>
  <c r="J230" i="16"/>
  <c r="F230" i="16"/>
  <c r="E230" i="16"/>
  <c r="J229" i="16"/>
  <c r="F229" i="16"/>
  <c r="E229" i="16"/>
  <c r="J228" i="16"/>
  <c r="F228" i="16"/>
  <c r="E228" i="16"/>
  <c r="J227" i="16"/>
  <c r="F227" i="16"/>
  <c r="E227" i="16"/>
  <c r="J226" i="16"/>
  <c r="F226" i="16"/>
  <c r="E226" i="16"/>
  <c r="J225" i="16"/>
  <c r="F225" i="16"/>
  <c r="E225" i="16"/>
  <c r="J224" i="16"/>
  <c r="F224" i="16"/>
  <c r="E224" i="16"/>
  <c r="J223" i="16"/>
  <c r="F223" i="16"/>
  <c r="E223" i="16"/>
  <c r="J168" i="16"/>
  <c r="F168" i="16"/>
  <c r="E168" i="16"/>
  <c r="J222" i="16"/>
  <c r="F222" i="16"/>
  <c r="E222" i="16"/>
  <c r="J120" i="16"/>
  <c r="F120" i="16"/>
  <c r="E120" i="16"/>
  <c r="J221" i="16"/>
  <c r="F221" i="16"/>
  <c r="E221" i="16"/>
  <c r="J220" i="16"/>
  <c r="F220" i="16"/>
  <c r="E220" i="16"/>
  <c r="J219" i="16"/>
  <c r="F219" i="16"/>
  <c r="E219" i="16"/>
  <c r="J218" i="16"/>
  <c r="F218" i="16"/>
  <c r="E218" i="16"/>
  <c r="J214" i="16"/>
  <c r="F214" i="16"/>
  <c r="E214" i="16"/>
  <c r="J213" i="16"/>
  <c r="F213" i="16"/>
  <c r="E213" i="16"/>
  <c r="J212" i="16"/>
  <c r="F212" i="16"/>
  <c r="E212" i="16"/>
  <c r="J211" i="16"/>
  <c r="F211" i="16"/>
  <c r="E211" i="16"/>
  <c r="J155" i="16"/>
  <c r="F155" i="16"/>
  <c r="E155" i="16"/>
  <c r="J209" i="16"/>
  <c r="F209" i="16"/>
  <c r="E209" i="16"/>
  <c r="J208" i="16"/>
  <c r="F208" i="16"/>
  <c r="E208" i="16"/>
  <c r="J207" i="16"/>
  <c r="F207" i="16"/>
  <c r="E207" i="16"/>
  <c r="J206" i="16"/>
  <c r="F206" i="16"/>
  <c r="E206" i="16"/>
  <c r="J137" i="16"/>
  <c r="F137" i="16"/>
  <c r="E137" i="16"/>
  <c r="J201" i="16"/>
  <c r="F201" i="16"/>
  <c r="E201" i="16"/>
  <c r="J196" i="16"/>
  <c r="F196" i="16"/>
  <c r="E196" i="16"/>
  <c r="J195" i="16"/>
  <c r="F195" i="16"/>
  <c r="E195" i="16"/>
  <c r="J191" i="16"/>
  <c r="F191" i="16"/>
  <c r="E191" i="16"/>
  <c r="J190" i="16"/>
  <c r="F190" i="16"/>
  <c r="E190" i="16"/>
  <c r="J189" i="16"/>
  <c r="F189" i="16"/>
  <c r="E189" i="16"/>
  <c r="J188" i="16"/>
  <c r="F188" i="16"/>
  <c r="E188" i="16"/>
  <c r="J187" i="16"/>
  <c r="F187" i="16"/>
  <c r="E187" i="16"/>
  <c r="J161" i="16"/>
  <c r="F161" i="16"/>
  <c r="E161" i="16"/>
  <c r="J185" i="16"/>
  <c r="F185" i="16"/>
  <c r="E185" i="16"/>
  <c r="J184" i="16"/>
  <c r="F184" i="16"/>
  <c r="E184" i="16"/>
  <c r="J146" i="16"/>
  <c r="F146" i="16"/>
  <c r="E146" i="16"/>
  <c r="J183" i="16"/>
  <c r="F183" i="16"/>
  <c r="E183" i="16"/>
  <c r="J182" i="16"/>
  <c r="F182" i="16"/>
  <c r="E182" i="16"/>
  <c r="J181" i="16"/>
  <c r="F181" i="16"/>
  <c r="E181" i="16"/>
  <c r="J180" i="16"/>
  <c r="F180" i="16"/>
  <c r="E180" i="16"/>
  <c r="J149" i="16"/>
  <c r="F149" i="16"/>
  <c r="E149" i="16"/>
  <c r="J178" i="16"/>
  <c r="F178" i="16"/>
  <c r="E178" i="16"/>
  <c r="J177" i="16"/>
  <c r="F177" i="16"/>
  <c r="E177" i="16"/>
  <c r="J176" i="16"/>
  <c r="F176" i="16"/>
  <c r="E176" i="16"/>
  <c r="J174" i="16"/>
  <c r="F174" i="16"/>
  <c r="E174" i="16"/>
  <c r="J173" i="16"/>
  <c r="F173" i="16"/>
  <c r="E173" i="16"/>
  <c r="J172" i="16"/>
  <c r="F172" i="16"/>
  <c r="E172" i="16"/>
  <c r="J171" i="16"/>
  <c r="F171" i="16"/>
  <c r="E171" i="16"/>
  <c r="J170" i="16"/>
  <c r="F170" i="16"/>
  <c r="E170" i="16"/>
  <c r="J169" i="16"/>
  <c r="F169" i="16"/>
  <c r="E169" i="16"/>
  <c r="J110" i="16"/>
  <c r="F110" i="16"/>
  <c r="E110" i="16"/>
  <c r="J167" i="16"/>
  <c r="F167" i="16"/>
  <c r="E167" i="16"/>
  <c r="J166" i="16"/>
  <c r="F166" i="16"/>
  <c r="E166" i="16"/>
  <c r="J66" i="16"/>
  <c r="F66" i="16"/>
  <c r="E66" i="16"/>
  <c r="J165" i="16"/>
  <c r="F165" i="16"/>
  <c r="E165" i="16"/>
  <c r="J164" i="16"/>
  <c r="F164" i="16"/>
  <c r="E164" i="16"/>
  <c r="J163" i="16"/>
  <c r="F163" i="16"/>
  <c r="E163" i="16"/>
  <c r="J160" i="16"/>
  <c r="F160" i="16"/>
  <c r="E160" i="16"/>
  <c r="J148" i="16"/>
  <c r="F148" i="16"/>
  <c r="E148" i="16"/>
  <c r="J106" i="16"/>
  <c r="F106" i="16"/>
  <c r="E106" i="16"/>
  <c r="J159" i="16"/>
  <c r="F159" i="16"/>
  <c r="E159" i="16"/>
  <c r="J122" i="16"/>
  <c r="F122" i="16"/>
  <c r="E122" i="16"/>
  <c r="AI158" i="16"/>
  <c r="J158" i="16" s="1"/>
  <c r="F158" i="16"/>
  <c r="E158" i="16"/>
  <c r="J157" i="16"/>
  <c r="F157" i="16"/>
  <c r="E157" i="16"/>
  <c r="J156" i="16"/>
  <c r="F156" i="16"/>
  <c r="E156" i="16"/>
  <c r="J154" i="16"/>
  <c r="F154" i="16"/>
  <c r="E154" i="16"/>
  <c r="J125" i="16"/>
  <c r="F125" i="16"/>
  <c r="E125" i="16"/>
  <c r="J88" i="16"/>
  <c r="F88" i="16"/>
  <c r="E88" i="16"/>
  <c r="J153" i="16"/>
  <c r="F153" i="16"/>
  <c r="E153" i="16"/>
  <c r="J152" i="16"/>
  <c r="F152" i="16"/>
  <c r="E152" i="16"/>
  <c r="J151" i="16"/>
  <c r="F151" i="16"/>
  <c r="E151" i="16"/>
  <c r="J150" i="16"/>
  <c r="F150" i="16"/>
  <c r="E150" i="16"/>
  <c r="J60" i="16"/>
  <c r="F60" i="16"/>
  <c r="E60" i="16"/>
  <c r="J127" i="16"/>
  <c r="F127" i="16"/>
  <c r="E127" i="16"/>
  <c r="J147" i="16"/>
  <c r="F147" i="16"/>
  <c r="E147" i="16"/>
  <c r="J75" i="16"/>
  <c r="F75" i="16"/>
  <c r="E75" i="16"/>
  <c r="J144" i="16"/>
  <c r="F144" i="16"/>
  <c r="E144" i="16"/>
  <c r="J143" i="16"/>
  <c r="F143" i="16"/>
  <c r="E143" i="16"/>
  <c r="J142" i="16"/>
  <c r="F142" i="16"/>
  <c r="E142" i="16"/>
  <c r="J141" i="16"/>
  <c r="F141" i="16"/>
  <c r="E141" i="16"/>
  <c r="J93" i="16"/>
  <c r="F93" i="16"/>
  <c r="E93" i="16"/>
  <c r="J140" i="16"/>
  <c r="F140" i="16"/>
  <c r="E140" i="16"/>
  <c r="J139" i="16"/>
  <c r="F139" i="16"/>
  <c r="E139" i="16"/>
  <c r="J138" i="16"/>
  <c r="F138" i="16"/>
  <c r="E138" i="16"/>
  <c r="J136" i="16"/>
  <c r="F136" i="16"/>
  <c r="E136" i="16"/>
  <c r="J135" i="16"/>
  <c r="F135" i="16"/>
  <c r="E135" i="16"/>
  <c r="J134" i="16"/>
  <c r="F134" i="16"/>
  <c r="E134" i="16"/>
  <c r="J133" i="16"/>
  <c r="F133" i="16"/>
  <c r="E133" i="16"/>
  <c r="J115" i="16"/>
  <c r="F115" i="16"/>
  <c r="E115" i="16"/>
  <c r="J131" i="16"/>
  <c r="F131" i="16"/>
  <c r="E131" i="16"/>
  <c r="J109" i="16"/>
  <c r="F109" i="16"/>
  <c r="E109" i="16"/>
  <c r="J130" i="16"/>
  <c r="F130" i="16"/>
  <c r="E130" i="16"/>
  <c r="J129" i="16"/>
  <c r="F129" i="16"/>
  <c r="E129" i="16"/>
  <c r="J128" i="16"/>
  <c r="F128" i="16"/>
  <c r="E128" i="16"/>
  <c r="J111" i="16"/>
  <c r="F111" i="16"/>
  <c r="E111" i="16"/>
  <c r="J48" i="16"/>
  <c r="F48" i="16"/>
  <c r="E48" i="16"/>
  <c r="J108" i="16"/>
  <c r="F108" i="16"/>
  <c r="E108" i="16"/>
  <c r="J43" i="16"/>
  <c r="F43" i="16"/>
  <c r="E43" i="16"/>
  <c r="J97" i="16"/>
  <c r="F97" i="16"/>
  <c r="E97" i="16"/>
  <c r="J124" i="16"/>
  <c r="F124" i="16"/>
  <c r="E124" i="16"/>
  <c r="J123" i="16"/>
  <c r="F123" i="16"/>
  <c r="E123" i="16"/>
  <c r="J121" i="16"/>
  <c r="F121" i="16"/>
  <c r="E121" i="16"/>
  <c r="J119" i="16"/>
  <c r="F119" i="16"/>
  <c r="E119" i="16"/>
  <c r="J103" i="16"/>
  <c r="F103" i="16"/>
  <c r="E103" i="16"/>
  <c r="J118" i="16"/>
  <c r="F118" i="16"/>
  <c r="E118" i="16"/>
  <c r="J117" i="16"/>
  <c r="F117" i="16"/>
  <c r="E117" i="16"/>
  <c r="J105" i="16"/>
  <c r="F105" i="16"/>
  <c r="E105" i="16"/>
  <c r="J81" i="16"/>
  <c r="F81" i="16"/>
  <c r="E81" i="16"/>
  <c r="J116" i="16"/>
  <c r="F116" i="16"/>
  <c r="E116" i="16"/>
  <c r="J84" i="16"/>
  <c r="F84" i="16"/>
  <c r="E84" i="16"/>
  <c r="J114" i="16"/>
  <c r="F114" i="16"/>
  <c r="E114" i="16"/>
  <c r="J113" i="16"/>
  <c r="F113" i="16"/>
  <c r="E113" i="16"/>
  <c r="J96" i="16"/>
  <c r="F96" i="16"/>
  <c r="E96" i="16"/>
  <c r="J44" i="16"/>
  <c r="F44" i="16"/>
  <c r="E44" i="16"/>
  <c r="J74" i="16"/>
  <c r="F74" i="16"/>
  <c r="E74" i="16"/>
  <c r="J107" i="16"/>
  <c r="F107" i="16"/>
  <c r="E107" i="16"/>
  <c r="J91" i="16"/>
  <c r="F91" i="16"/>
  <c r="E91" i="16"/>
  <c r="J65" i="16"/>
  <c r="F65" i="16"/>
  <c r="E65" i="16"/>
  <c r="J102" i="16"/>
  <c r="F102" i="16"/>
  <c r="E102" i="16"/>
  <c r="J99" i="16"/>
  <c r="F99" i="16"/>
  <c r="E99" i="16"/>
  <c r="J98" i="16"/>
  <c r="F98" i="16"/>
  <c r="E98" i="16"/>
  <c r="J67" i="16"/>
  <c r="F67" i="16"/>
  <c r="E67" i="16"/>
  <c r="J73" i="16"/>
  <c r="F73" i="16"/>
  <c r="E73" i="16"/>
  <c r="J64" i="16"/>
  <c r="F64" i="16"/>
  <c r="E64" i="16"/>
  <c r="J56" i="16"/>
  <c r="F56" i="16"/>
  <c r="E56" i="16"/>
  <c r="J95" i="16"/>
  <c r="F95" i="16"/>
  <c r="E95" i="16"/>
  <c r="J55" i="16"/>
  <c r="F55" i="16"/>
  <c r="E55" i="16"/>
  <c r="J94" i="16"/>
  <c r="F94" i="16"/>
  <c r="E94" i="16"/>
  <c r="J57" i="16"/>
  <c r="F57" i="16"/>
  <c r="E57" i="16"/>
  <c r="J82" i="16"/>
  <c r="F82" i="16"/>
  <c r="E82" i="16"/>
  <c r="J87" i="16"/>
  <c r="F87" i="16"/>
  <c r="E87" i="16"/>
  <c r="AI80" i="16"/>
  <c r="J80" i="16" s="1"/>
  <c r="F80" i="16"/>
  <c r="E80" i="16"/>
  <c r="J92" i="16"/>
  <c r="F92" i="16"/>
  <c r="E92" i="16"/>
  <c r="J35" i="16"/>
  <c r="F35" i="16"/>
  <c r="E35" i="16"/>
  <c r="J90" i="16"/>
  <c r="F90" i="16"/>
  <c r="E90" i="16"/>
  <c r="J89" i="16"/>
  <c r="F89" i="16"/>
  <c r="E89" i="16"/>
  <c r="J70" i="16"/>
  <c r="F70" i="16"/>
  <c r="E70" i="16"/>
  <c r="J86" i="16"/>
  <c r="F86" i="16"/>
  <c r="E86" i="16"/>
  <c r="J41" i="16"/>
  <c r="F41" i="16"/>
  <c r="E41" i="16"/>
  <c r="J52" i="16"/>
  <c r="F52" i="16"/>
  <c r="E52" i="16"/>
  <c r="J83" i="16"/>
  <c r="F83" i="16"/>
  <c r="E83" i="16"/>
  <c r="J40" i="16"/>
  <c r="F40" i="16"/>
  <c r="E40" i="16"/>
  <c r="J79" i="16"/>
  <c r="F79" i="16"/>
  <c r="E79" i="16"/>
  <c r="J51" i="16"/>
  <c r="F51" i="16"/>
  <c r="E51" i="16"/>
  <c r="J42" i="16"/>
  <c r="F42" i="16"/>
  <c r="E42" i="16"/>
  <c r="J78" i="16"/>
  <c r="F78" i="16"/>
  <c r="E78" i="16"/>
  <c r="J61" i="16"/>
  <c r="F61" i="16"/>
  <c r="E61" i="16"/>
  <c r="J77" i="16"/>
  <c r="F77" i="16"/>
  <c r="E77" i="16"/>
  <c r="J76" i="16"/>
  <c r="F76" i="16"/>
  <c r="E76" i="16"/>
  <c r="J68" i="16"/>
  <c r="F68" i="16"/>
  <c r="E68" i="16"/>
  <c r="J72" i="16"/>
  <c r="F72" i="16"/>
  <c r="E72" i="16"/>
  <c r="J71" i="16"/>
  <c r="F71" i="16"/>
  <c r="E71" i="16"/>
  <c r="J46" i="16"/>
  <c r="F46" i="16"/>
  <c r="E46" i="16"/>
  <c r="J45" i="16"/>
  <c r="F45" i="16"/>
  <c r="E45" i="16"/>
  <c r="J69" i="16"/>
  <c r="F69" i="16"/>
  <c r="E69" i="16"/>
  <c r="J63" i="16"/>
  <c r="F63" i="16"/>
  <c r="E63" i="16"/>
  <c r="J62" i="16"/>
  <c r="F62" i="16"/>
  <c r="E62" i="16"/>
  <c r="J59" i="16"/>
  <c r="F59" i="16"/>
  <c r="E59" i="16"/>
  <c r="J58" i="16"/>
  <c r="F58" i="16"/>
  <c r="E58" i="16"/>
  <c r="J49" i="16"/>
  <c r="F49" i="16"/>
  <c r="E49" i="16"/>
  <c r="J54" i="16"/>
  <c r="F54" i="16"/>
  <c r="E54" i="16"/>
  <c r="AI50" i="16"/>
  <c r="J50" i="16" s="1"/>
  <c r="F50" i="16"/>
  <c r="E50" i="16"/>
  <c r="J47" i="16"/>
  <c r="F47" i="16"/>
  <c r="E47" i="16"/>
  <c r="J39" i="16"/>
  <c r="F39" i="16"/>
  <c r="E39" i="16"/>
  <c r="J30" i="16"/>
  <c r="F30" i="16"/>
  <c r="E30" i="16"/>
  <c r="J37" i="16"/>
  <c r="F37" i="16"/>
  <c r="E37" i="16"/>
  <c r="J36" i="16"/>
  <c r="F36" i="16"/>
  <c r="E36" i="16"/>
  <c r="J24" i="16"/>
  <c r="F24" i="16"/>
  <c r="E24" i="16"/>
  <c r="J32" i="16"/>
  <c r="F32" i="16"/>
  <c r="E32" i="16"/>
  <c r="J38" i="16"/>
  <c r="F38" i="16"/>
  <c r="E38" i="16"/>
  <c r="J22" i="16"/>
  <c r="F22" i="16"/>
  <c r="E22" i="16"/>
  <c r="J34" i="16"/>
  <c r="F34" i="16"/>
  <c r="E34" i="16"/>
  <c r="J28" i="16"/>
  <c r="F28" i="16"/>
  <c r="E28" i="16"/>
  <c r="J33" i="16"/>
  <c r="F33" i="16"/>
  <c r="E33" i="16"/>
  <c r="J26" i="16"/>
  <c r="F26" i="16"/>
  <c r="E26" i="16"/>
  <c r="J16" i="16"/>
  <c r="F16" i="16"/>
  <c r="E16" i="16"/>
  <c r="J31" i="16"/>
  <c r="F31" i="16"/>
  <c r="E31" i="16"/>
  <c r="J29" i="16"/>
  <c r="F29" i="16"/>
  <c r="E29" i="16"/>
  <c r="J21" i="16"/>
  <c r="F21" i="16"/>
  <c r="E21" i="16"/>
  <c r="AI27" i="16"/>
  <c r="J27" i="16" s="1"/>
  <c r="F27" i="16"/>
  <c r="E27" i="16"/>
  <c r="J25" i="16"/>
  <c r="F25" i="16"/>
  <c r="E25" i="16"/>
  <c r="J18" i="16"/>
  <c r="F18" i="16"/>
  <c r="E18" i="16"/>
  <c r="J20" i="16"/>
  <c r="F20" i="16"/>
  <c r="E20" i="16"/>
  <c r="J17" i="16"/>
  <c r="F17" i="16"/>
  <c r="E17" i="16"/>
  <c r="AI13" i="16"/>
  <c r="J13" i="16" s="1"/>
  <c r="F13" i="16"/>
  <c r="E13" i="16"/>
  <c r="AI12" i="16"/>
  <c r="J12" i="16" s="1"/>
  <c r="F12" i="16"/>
  <c r="E12" i="16"/>
  <c r="J19" i="16"/>
  <c r="F19" i="16"/>
  <c r="E19" i="16"/>
  <c r="J15" i="16"/>
  <c r="F15" i="16"/>
  <c r="E15" i="16"/>
  <c r="J23" i="16"/>
  <c r="F23" i="16"/>
  <c r="E23" i="16"/>
  <c r="AI14" i="16"/>
  <c r="J14" i="16" s="1"/>
  <c r="F14" i="16"/>
  <c r="E14" i="16"/>
  <c r="J11" i="16"/>
  <c r="F11" i="16"/>
  <c r="E11" i="16"/>
  <c r="J9" i="16"/>
  <c r="F9" i="16"/>
  <c r="E9" i="16"/>
  <c r="AI10" i="16"/>
  <c r="F10" i="16"/>
  <c r="E10" i="16"/>
  <c r="AF8" i="16"/>
  <c r="J8" i="16" s="1"/>
  <c r="F8" i="16"/>
  <c r="E8" i="16"/>
  <c r="X7" i="16"/>
  <c r="J7" i="16" s="1"/>
  <c r="F7" i="16"/>
  <c r="E7" i="16"/>
  <c r="J6" i="16"/>
  <c r="F6" i="16"/>
  <c r="E6" i="16"/>
  <c r="F5" i="16"/>
  <c r="E5" i="16"/>
  <c r="B5" i="16"/>
  <c r="C2" i="16"/>
  <c r="H295" i="26"/>
  <c r="H294" i="26"/>
  <c r="H293" i="26"/>
  <c r="H292" i="26"/>
  <c r="H291" i="26"/>
  <c r="H290" i="26"/>
  <c r="H289" i="26"/>
  <c r="H288" i="26"/>
  <c r="H287" i="26"/>
  <c r="H286" i="26"/>
  <c r="K284" i="26"/>
  <c r="J284" i="26"/>
  <c r="I284" i="26"/>
  <c r="G284" i="26"/>
  <c r="E284" i="26"/>
  <c r="C284" i="26"/>
  <c r="K283" i="26"/>
  <c r="J283" i="26"/>
  <c r="I283" i="26"/>
  <c r="H283" i="26"/>
  <c r="G283" i="26"/>
  <c r="E283" i="26"/>
  <c r="C283" i="26"/>
  <c r="K282" i="26"/>
  <c r="J282" i="26"/>
  <c r="I282" i="26"/>
  <c r="G282" i="26"/>
  <c r="E282" i="26"/>
  <c r="C282" i="26"/>
  <c r="K281" i="26"/>
  <c r="J281" i="26"/>
  <c r="I281" i="26"/>
  <c r="G281" i="26"/>
  <c r="E281" i="26"/>
  <c r="C281" i="26"/>
  <c r="K280" i="26"/>
  <c r="J280" i="26"/>
  <c r="I280" i="26"/>
  <c r="G280" i="26"/>
  <c r="E280" i="26"/>
  <c r="C280" i="26"/>
  <c r="K279" i="26"/>
  <c r="J279" i="26"/>
  <c r="I279" i="26"/>
  <c r="G279" i="26"/>
  <c r="E279" i="26"/>
  <c r="C279" i="26"/>
  <c r="K278" i="26"/>
  <c r="J278" i="26"/>
  <c r="I278" i="26"/>
  <c r="G278" i="26"/>
  <c r="E278" i="26"/>
  <c r="C278" i="26"/>
  <c r="K277" i="26"/>
  <c r="J277" i="26"/>
  <c r="I277" i="26"/>
  <c r="G277" i="26"/>
  <c r="E277" i="26"/>
  <c r="C277" i="26"/>
  <c r="K276" i="26"/>
  <c r="J276" i="26"/>
  <c r="I276" i="26"/>
  <c r="G276" i="26"/>
  <c r="E175" i="26"/>
  <c r="C276" i="26"/>
  <c r="K275" i="26"/>
  <c r="J275" i="26"/>
  <c r="I275" i="26"/>
  <c r="G275" i="26"/>
  <c r="E174" i="26"/>
  <c r="C275" i="26"/>
  <c r="K274" i="26"/>
  <c r="J274" i="26"/>
  <c r="I274" i="26"/>
  <c r="G274" i="26"/>
  <c r="C274" i="26"/>
  <c r="K273" i="26"/>
  <c r="J273" i="26"/>
  <c r="I273" i="26"/>
  <c r="G273" i="26"/>
  <c r="C273" i="26"/>
  <c r="K272" i="26"/>
  <c r="J272" i="26"/>
  <c r="I272" i="26"/>
  <c r="G272" i="26"/>
  <c r="C272" i="26"/>
  <c r="K271" i="26"/>
  <c r="J271" i="26"/>
  <c r="I271" i="26"/>
  <c r="G271" i="26"/>
  <c r="C271" i="26"/>
  <c r="K270" i="26"/>
  <c r="J270" i="26"/>
  <c r="I270" i="26"/>
  <c r="G270" i="26"/>
  <c r="C270" i="26"/>
  <c r="K269" i="26"/>
  <c r="J269" i="26"/>
  <c r="I269" i="26"/>
  <c r="G269" i="26"/>
  <c r="C269" i="26"/>
  <c r="K268" i="26"/>
  <c r="J268" i="26"/>
  <c r="I268" i="26"/>
  <c r="G268" i="26"/>
  <c r="C268" i="26"/>
  <c r="K267" i="26"/>
  <c r="J267" i="26"/>
  <c r="I267" i="26"/>
  <c r="G267" i="26"/>
  <c r="C267" i="26"/>
  <c r="K266" i="26"/>
  <c r="J266" i="26"/>
  <c r="I266" i="26"/>
  <c r="G266" i="26"/>
  <c r="C266" i="26"/>
  <c r="K265" i="26"/>
  <c r="J265" i="26"/>
  <c r="I265" i="26"/>
  <c r="G265" i="26"/>
  <c r="C265" i="26"/>
  <c r="K264" i="26"/>
  <c r="J264" i="26"/>
  <c r="I264" i="26"/>
  <c r="G264" i="26"/>
  <c r="C264" i="26"/>
  <c r="K263" i="26"/>
  <c r="J263" i="26"/>
  <c r="I263" i="26"/>
  <c r="G263" i="26"/>
  <c r="C263" i="26"/>
  <c r="K262" i="26"/>
  <c r="J262" i="26"/>
  <c r="I262" i="26"/>
  <c r="G262" i="26"/>
  <c r="C262" i="26"/>
  <c r="K261" i="26"/>
  <c r="J261" i="26"/>
  <c r="I261" i="26"/>
  <c r="G261" i="26"/>
  <c r="C261" i="26"/>
  <c r="K260" i="26"/>
  <c r="J260" i="26"/>
  <c r="I260" i="26"/>
  <c r="G260" i="26"/>
  <c r="C260" i="26"/>
  <c r="K259" i="26"/>
  <c r="J259" i="26"/>
  <c r="I259" i="26"/>
  <c r="G259" i="26"/>
  <c r="K258" i="26"/>
  <c r="J258" i="26"/>
  <c r="I258" i="26"/>
  <c r="G258" i="26"/>
  <c r="K257" i="26"/>
  <c r="J257" i="26"/>
  <c r="I257" i="26"/>
  <c r="G257" i="26"/>
  <c r="K256" i="26"/>
  <c r="J256" i="26"/>
  <c r="I256" i="26"/>
  <c r="G256" i="26"/>
  <c r="K255" i="26"/>
  <c r="J255" i="26"/>
  <c r="I255" i="26"/>
  <c r="G255" i="26"/>
  <c r="C255" i="26"/>
  <c r="K254" i="26"/>
  <c r="J254" i="26"/>
  <c r="I254" i="26"/>
  <c r="G254" i="26"/>
  <c r="K253" i="26"/>
  <c r="J253" i="26"/>
  <c r="I253" i="26"/>
  <c r="G253" i="26"/>
  <c r="K252" i="26"/>
  <c r="J252" i="26"/>
  <c r="I252" i="26"/>
  <c r="G252" i="26"/>
  <c r="K251" i="26"/>
  <c r="J251" i="26"/>
  <c r="I251" i="26"/>
  <c r="G251" i="26"/>
  <c r="K250" i="26"/>
  <c r="J250" i="26"/>
  <c r="I250" i="26"/>
  <c r="G250" i="26"/>
  <c r="K249" i="26"/>
  <c r="J249" i="26"/>
  <c r="I249" i="26"/>
  <c r="G249" i="26"/>
  <c r="K248" i="26"/>
  <c r="J248" i="26"/>
  <c r="I248" i="26"/>
  <c r="G248" i="26"/>
  <c r="K247" i="26"/>
  <c r="J247" i="26"/>
  <c r="I247" i="26"/>
  <c r="G247" i="26"/>
  <c r="K246" i="26"/>
  <c r="J246" i="26"/>
  <c r="I246" i="26"/>
  <c r="G246" i="26"/>
  <c r="K245" i="26"/>
  <c r="J245" i="26"/>
  <c r="I245" i="26"/>
  <c r="G245" i="26"/>
  <c r="K244" i="26"/>
  <c r="J244" i="26"/>
  <c r="I244" i="26"/>
  <c r="G244" i="26"/>
  <c r="K243" i="26"/>
  <c r="J243" i="26"/>
  <c r="I243" i="26"/>
  <c r="G243" i="26"/>
  <c r="K242" i="26"/>
  <c r="J242" i="26"/>
  <c r="I242" i="26"/>
  <c r="G242" i="26"/>
  <c r="K241" i="26"/>
  <c r="J241" i="26"/>
  <c r="I241" i="26"/>
  <c r="G241" i="26"/>
  <c r="K240" i="26"/>
  <c r="J240" i="26"/>
  <c r="I240" i="26"/>
  <c r="G240" i="26"/>
  <c r="K239" i="26"/>
  <c r="J239" i="26"/>
  <c r="I239" i="26"/>
  <c r="G239" i="26"/>
  <c r="K238" i="26"/>
  <c r="J238" i="26"/>
  <c r="I238" i="26"/>
  <c r="G238" i="26"/>
  <c r="K237" i="26"/>
  <c r="J237" i="26"/>
  <c r="I237" i="26"/>
  <c r="G237" i="26"/>
  <c r="K236" i="26"/>
  <c r="J236" i="26"/>
  <c r="I236" i="26"/>
  <c r="G236" i="26"/>
  <c r="K235" i="26"/>
  <c r="J235" i="26"/>
  <c r="I235" i="26"/>
  <c r="G235" i="26"/>
  <c r="K234" i="26"/>
  <c r="J234" i="26"/>
  <c r="I234" i="26"/>
  <c r="G234" i="26"/>
  <c r="K233" i="26"/>
  <c r="J233" i="26"/>
  <c r="I233" i="26"/>
  <c r="G233" i="26"/>
  <c r="K232" i="26"/>
  <c r="J232" i="26"/>
  <c r="I232" i="26"/>
  <c r="G232" i="26"/>
  <c r="K231" i="26"/>
  <c r="J231" i="26"/>
  <c r="I231" i="26"/>
  <c r="G231" i="26"/>
  <c r="K230" i="26"/>
  <c r="J230" i="26"/>
  <c r="I230" i="26"/>
  <c r="G230" i="26"/>
  <c r="K229" i="26"/>
  <c r="J229" i="26"/>
  <c r="I229" i="26"/>
  <c r="G229" i="26"/>
  <c r="K228" i="26"/>
  <c r="J228" i="26"/>
  <c r="I228" i="26"/>
  <c r="G228" i="26"/>
  <c r="K227" i="26"/>
  <c r="J227" i="26"/>
  <c r="I227" i="26"/>
  <c r="G227" i="26"/>
  <c r="K226" i="26"/>
  <c r="J226" i="26"/>
  <c r="I226" i="26"/>
  <c r="G226" i="26"/>
  <c r="K225" i="26"/>
  <c r="J225" i="26"/>
  <c r="I225" i="26"/>
  <c r="G225" i="26"/>
  <c r="K224" i="26"/>
  <c r="J224" i="26"/>
  <c r="I224" i="26"/>
  <c r="G224" i="26"/>
  <c r="K223" i="26"/>
  <c r="J223" i="26"/>
  <c r="I223" i="26"/>
  <c r="G223" i="26"/>
  <c r="K222" i="26"/>
  <c r="J222" i="26"/>
  <c r="I222" i="26"/>
  <c r="G222" i="26"/>
  <c r="K221" i="26"/>
  <c r="J221" i="26"/>
  <c r="I221" i="26"/>
  <c r="G221" i="26"/>
  <c r="K220" i="26"/>
  <c r="J220" i="26"/>
  <c r="I220" i="26"/>
  <c r="G220" i="26"/>
  <c r="K219" i="26"/>
  <c r="J219" i="26"/>
  <c r="I219" i="26"/>
  <c r="G219" i="26"/>
  <c r="K218" i="26"/>
  <c r="J218" i="26"/>
  <c r="I218" i="26"/>
  <c r="G218" i="26"/>
  <c r="K217" i="26"/>
  <c r="J217" i="26"/>
  <c r="I217" i="26"/>
  <c r="H216" i="26"/>
  <c r="G217" i="26"/>
  <c r="K216" i="26"/>
  <c r="J216" i="26"/>
  <c r="I216" i="26"/>
  <c r="G216" i="26"/>
  <c r="K215" i="26"/>
  <c r="J215" i="26"/>
  <c r="I215" i="26"/>
  <c r="H214" i="26"/>
  <c r="G215" i="26"/>
  <c r="K214" i="26"/>
  <c r="J214" i="26"/>
  <c r="I214" i="26"/>
  <c r="G214" i="26"/>
  <c r="K213" i="26"/>
  <c r="J213" i="26"/>
  <c r="I213" i="26"/>
  <c r="G213" i="26"/>
  <c r="K212" i="26"/>
  <c r="J212" i="26"/>
  <c r="I212" i="26"/>
  <c r="G212" i="26"/>
  <c r="K211" i="26"/>
  <c r="J211" i="26"/>
  <c r="I211" i="26"/>
  <c r="G211" i="26"/>
  <c r="K210" i="26"/>
  <c r="J210" i="26"/>
  <c r="I210" i="26"/>
  <c r="G210" i="26"/>
  <c r="K209" i="26"/>
  <c r="J209" i="26"/>
  <c r="I209" i="26"/>
  <c r="G209" i="26"/>
  <c r="K208" i="26"/>
  <c r="J208" i="26"/>
  <c r="I208" i="26"/>
  <c r="G208" i="26"/>
  <c r="K207" i="26"/>
  <c r="J207" i="26"/>
  <c r="I207" i="26"/>
  <c r="G207" i="26"/>
  <c r="K206" i="26"/>
  <c r="J206" i="26"/>
  <c r="I206" i="26"/>
  <c r="G206" i="26"/>
  <c r="K205" i="26"/>
  <c r="J205" i="26"/>
  <c r="I205" i="26"/>
  <c r="G205" i="26"/>
  <c r="K204" i="26"/>
  <c r="J204" i="26"/>
  <c r="I204" i="26"/>
  <c r="G204" i="26"/>
  <c r="K203" i="26"/>
  <c r="J203" i="26"/>
  <c r="I203" i="26"/>
  <c r="G203" i="26"/>
  <c r="K202" i="26"/>
  <c r="J202" i="26"/>
  <c r="I202" i="26"/>
  <c r="G202" i="26"/>
  <c r="K201" i="26"/>
  <c r="J201" i="26"/>
  <c r="G201" i="26"/>
  <c r="K200" i="26"/>
  <c r="J200" i="26"/>
  <c r="G200" i="26"/>
  <c r="K199" i="26"/>
  <c r="J199" i="26"/>
  <c r="G199" i="26"/>
  <c r="K198" i="26"/>
  <c r="J198" i="26"/>
  <c r="G198" i="26"/>
  <c r="K197" i="26"/>
  <c r="J197" i="26"/>
  <c r="G197" i="26"/>
  <c r="K196" i="26"/>
  <c r="J196" i="26"/>
  <c r="G196" i="26"/>
  <c r="K195" i="26"/>
  <c r="J195" i="26"/>
  <c r="G195" i="26"/>
  <c r="K194" i="26"/>
  <c r="J194" i="26"/>
  <c r="G194" i="26"/>
  <c r="K193" i="26"/>
  <c r="J193" i="26"/>
  <c r="G193" i="26"/>
  <c r="K192" i="26"/>
  <c r="J192" i="26"/>
  <c r="G192" i="26"/>
  <c r="K191" i="26"/>
  <c r="J191" i="26"/>
  <c r="G191" i="26"/>
  <c r="K190" i="26"/>
  <c r="J190" i="26"/>
  <c r="K189" i="26"/>
  <c r="J189" i="26"/>
  <c r="G189" i="26"/>
  <c r="K188" i="26"/>
  <c r="J188" i="26"/>
  <c r="K187" i="26"/>
  <c r="J187" i="26"/>
  <c r="K186" i="26"/>
  <c r="J186" i="26"/>
  <c r="K185" i="26"/>
  <c r="J185" i="26"/>
  <c r="K184" i="26"/>
  <c r="J184" i="26"/>
  <c r="K183" i="26"/>
  <c r="J183" i="26"/>
  <c r="K182" i="26"/>
  <c r="J182" i="26"/>
  <c r="K181" i="26"/>
  <c r="J181" i="26"/>
  <c r="K180" i="26"/>
  <c r="J180" i="26"/>
  <c r="K179" i="26"/>
  <c r="J179" i="26"/>
  <c r="K178" i="26"/>
  <c r="J178" i="26"/>
  <c r="K177" i="26"/>
  <c r="J177" i="26"/>
  <c r="K176" i="26"/>
  <c r="J176" i="26"/>
  <c r="K175" i="26"/>
  <c r="J175" i="26"/>
  <c r="K174" i="26"/>
  <c r="J174" i="26"/>
  <c r="K173" i="26"/>
  <c r="J173" i="26"/>
  <c r="K172" i="26"/>
  <c r="J172" i="26"/>
  <c r="K171" i="26"/>
  <c r="J171" i="26"/>
  <c r="K170" i="26"/>
  <c r="J170" i="26"/>
  <c r="K169" i="26"/>
  <c r="J169" i="26"/>
  <c r="K168" i="26"/>
  <c r="J168" i="26"/>
  <c r="K167" i="26"/>
  <c r="J167" i="26"/>
  <c r="K166" i="26"/>
  <c r="J166" i="26"/>
  <c r="K165" i="26"/>
  <c r="J165" i="26"/>
  <c r="K164" i="26"/>
  <c r="J164" i="26"/>
  <c r="K163" i="26"/>
  <c r="J163" i="26"/>
  <c r="K162" i="26"/>
  <c r="J162" i="26"/>
  <c r="K161" i="26"/>
  <c r="J161" i="26"/>
  <c r="K160" i="26"/>
  <c r="J160" i="26"/>
  <c r="K159" i="26"/>
  <c r="J159" i="26"/>
  <c r="K158" i="26"/>
  <c r="J158" i="26"/>
  <c r="K157" i="26"/>
  <c r="J157" i="26"/>
  <c r="K156" i="26"/>
  <c r="J156" i="26"/>
  <c r="K155" i="26"/>
  <c r="J155" i="26"/>
  <c r="K154" i="26"/>
  <c r="J154" i="26"/>
  <c r="K153" i="26"/>
  <c r="J153" i="26"/>
  <c r="K152" i="26"/>
  <c r="J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I127" i="26"/>
  <c r="K126" i="26"/>
  <c r="K125" i="26"/>
  <c r="I125" i="2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D2" i="26"/>
  <c r="A39" i="25" l="1"/>
  <c r="L42" i="23"/>
  <c r="D5" i="28"/>
  <c r="K6" i="26"/>
  <c r="K18" i="38"/>
  <c r="K21" i="38"/>
  <c r="L8" i="39"/>
  <c r="H282" i="26"/>
  <c r="H285" i="26"/>
  <c r="K25" i="26"/>
  <c r="K39" i="26"/>
  <c r="K47" i="26"/>
  <c r="K54" i="26"/>
  <c r="K63" i="26"/>
  <c r="K71" i="26"/>
  <c r="K80" i="26"/>
  <c r="D151" i="29"/>
  <c r="D152" i="29" s="1"/>
  <c r="D153" i="29" s="1"/>
  <c r="D154" i="29" s="1"/>
  <c r="D155" i="29" s="1"/>
  <c r="D156" i="29" s="1"/>
  <c r="D157" i="29" s="1"/>
  <c r="D158" i="29" s="1"/>
  <c r="D159" i="29" s="1"/>
  <c r="D160" i="29" s="1"/>
  <c r="D161" i="29" s="1"/>
  <c r="D162" i="29" s="1"/>
  <c r="D163" i="29" s="1"/>
  <c r="D164" i="29" s="1"/>
  <c r="D165" i="29" s="1"/>
  <c r="D166" i="29" s="1"/>
  <c r="D167" i="29" s="1"/>
  <c r="D168" i="29" s="1"/>
  <c r="D169" i="29" s="1"/>
  <c r="D170" i="29" s="1"/>
  <c r="D171" i="29" s="1"/>
  <c r="D172" i="29" s="1"/>
  <c r="D173" i="29" s="1"/>
  <c r="D174" i="29" s="1"/>
  <c r="D175" i="29" s="1"/>
  <c r="D176" i="29" s="1"/>
  <c r="D177" i="29" s="1"/>
  <c r="D178" i="29" s="1"/>
  <c r="D179" i="29" s="1"/>
  <c r="D180" i="29" s="1"/>
  <c r="D181" i="29" s="1"/>
  <c r="D182" i="29" s="1"/>
  <c r="D183" i="29" s="1"/>
  <c r="D184" i="29" s="1"/>
  <c r="D185" i="29" s="1"/>
  <c r="D186" i="29" s="1"/>
  <c r="D187" i="29" s="1"/>
  <c r="C150" i="29"/>
  <c r="C259" i="26"/>
  <c r="C258" i="26"/>
  <c r="C254" i="26"/>
  <c r="K108" i="26"/>
  <c r="K114" i="26"/>
  <c r="K103" i="26"/>
  <c r="H284" i="26"/>
  <c r="G190" i="26"/>
  <c r="K101" i="26"/>
  <c r="K8" i="26"/>
  <c r="C257" i="26"/>
  <c r="K9" i="25"/>
  <c r="K60" i="26"/>
  <c r="I201" i="26"/>
  <c r="K7" i="26"/>
  <c r="H15" i="26"/>
  <c r="J120" i="26"/>
  <c r="J127" i="26"/>
  <c r="K100" i="26"/>
  <c r="K31" i="26"/>
  <c r="J97" i="26"/>
  <c r="J20" i="26"/>
  <c r="J26" i="26"/>
  <c r="J64" i="26"/>
  <c r="J74" i="26"/>
  <c r="J79" i="26"/>
  <c r="J18" i="26"/>
  <c r="J32" i="26"/>
  <c r="J47" i="26"/>
  <c r="J55" i="26"/>
  <c r="J72" i="26"/>
  <c r="J140" i="26"/>
  <c r="J112" i="26"/>
  <c r="J135" i="26"/>
  <c r="J82" i="26"/>
  <c r="J98" i="26"/>
  <c r="J115" i="26"/>
  <c r="J124" i="26"/>
  <c r="J130" i="26"/>
  <c r="J50" i="26"/>
  <c r="J85" i="26"/>
  <c r="J93" i="26"/>
  <c r="J14" i="26"/>
  <c r="J27" i="26"/>
  <c r="K19" i="26"/>
  <c r="H10" i="26"/>
  <c r="H7" i="26"/>
  <c r="H13" i="26"/>
  <c r="H11" i="26"/>
  <c r="G188" i="26"/>
  <c r="G185" i="26"/>
  <c r="K95" i="26"/>
  <c r="K53" i="26"/>
  <c r="K68" i="26"/>
  <c r="K110" i="26"/>
  <c r="K109" i="26"/>
  <c r="K115" i="26"/>
  <c r="C256" i="26"/>
  <c r="K13" i="26"/>
  <c r="K20" i="26"/>
  <c r="K56" i="26"/>
  <c r="K64" i="26"/>
  <c r="K72" i="26"/>
  <c r="K81" i="26"/>
  <c r="K78" i="26"/>
  <c r="K96" i="26"/>
  <c r="G186" i="26"/>
  <c r="J139" i="26"/>
  <c r="J103" i="26"/>
  <c r="J107" i="26"/>
  <c r="J86" i="26"/>
  <c r="J94" i="26"/>
  <c r="J101" i="26"/>
  <c r="H5" i="26"/>
  <c r="H17" i="26"/>
  <c r="J80" i="26"/>
  <c r="J15" i="26"/>
  <c r="J22" i="26"/>
  <c r="J38" i="26"/>
  <c r="J53" i="26"/>
  <c r="H12" i="26"/>
  <c r="J111" i="26"/>
  <c r="J119" i="26"/>
  <c r="J33" i="26"/>
  <c r="J70" i="26"/>
  <c r="J23" i="26"/>
  <c r="J61" i="26"/>
  <c r="J12" i="26"/>
  <c r="J24" i="26"/>
  <c r="J41" i="26"/>
  <c r="J62" i="26"/>
  <c r="J78" i="26"/>
  <c r="J25" i="26"/>
  <c r="J42" i="26"/>
  <c r="J63" i="26"/>
  <c r="J69" i="26"/>
  <c r="J114" i="26"/>
  <c r="J123" i="26"/>
  <c r="J129" i="26"/>
  <c r="H16" i="26"/>
  <c r="J131" i="26"/>
  <c r="J65" i="26"/>
  <c r="J81" i="26"/>
  <c r="H14" i="26"/>
  <c r="J60" i="26"/>
  <c r="J77" i="26"/>
  <c r="J68" i="26"/>
  <c r="J88" i="26"/>
  <c r="J96" i="26"/>
  <c r="J46" i="26"/>
  <c r="J134" i="26"/>
  <c r="H8" i="26"/>
  <c r="H19" i="26"/>
  <c r="J17" i="26"/>
  <c r="J31" i="26"/>
  <c r="J40" i="26"/>
  <c r="J54" i="26"/>
  <c r="J71" i="26"/>
  <c r="J67" i="26"/>
  <c r="J89" i="26"/>
  <c r="J104" i="26"/>
  <c r="J141" i="26"/>
  <c r="J90" i="26"/>
  <c r="J105" i="26"/>
  <c r="H9" i="26"/>
  <c r="H20" i="26"/>
  <c r="J113" i="26"/>
  <c r="J122" i="26"/>
  <c r="J128" i="26"/>
  <c r="J136" i="26"/>
  <c r="J106" i="26"/>
  <c r="J13" i="26"/>
  <c r="J35" i="26"/>
  <c r="J49" i="26"/>
  <c r="J57" i="26"/>
  <c r="J84" i="26"/>
  <c r="J92" i="26"/>
  <c r="J99" i="26"/>
  <c r="J137" i="26"/>
  <c r="J142" i="26"/>
  <c r="J36" i="26"/>
  <c r="J43" i="26"/>
  <c r="J100" i="26"/>
  <c r="J58" i="26"/>
  <c r="J75" i="26"/>
  <c r="J108" i="26"/>
  <c r="J116" i="26"/>
  <c r="J125" i="26"/>
  <c r="H18" i="26"/>
  <c r="J21" i="26"/>
  <c r="J37" i="26"/>
  <c r="J51" i="26"/>
  <c r="J138" i="26"/>
  <c r="J29" i="26"/>
  <c r="H6" i="26"/>
  <c r="G184" i="26"/>
  <c r="K11" i="26"/>
  <c r="K35" i="26"/>
  <c r="K43" i="26"/>
  <c r="K51" i="26"/>
  <c r="K107" i="26"/>
  <c r="K5" i="26"/>
  <c r="K15" i="26"/>
  <c r="K21" i="26"/>
  <c r="K22" i="26"/>
  <c r="K58" i="26"/>
  <c r="K66" i="26"/>
  <c r="K74" i="26"/>
  <c r="K83" i="26"/>
  <c r="K89" i="26"/>
  <c r="K98" i="26"/>
  <c r="K16" i="26"/>
  <c r="K24" i="26"/>
  <c r="K30" i="26"/>
  <c r="K38" i="26"/>
  <c r="K46" i="26"/>
  <c r="K61" i="26"/>
  <c r="K69" i="26"/>
  <c r="K77" i="26"/>
  <c r="K26" i="26"/>
  <c r="K32" i="26"/>
  <c r="K40" i="26"/>
  <c r="K48" i="26"/>
  <c r="K55" i="26"/>
  <c r="K87" i="26"/>
  <c r="K104" i="26"/>
  <c r="K105" i="26"/>
  <c r="K112" i="26"/>
  <c r="I10" i="26"/>
  <c r="F16" i="26"/>
  <c r="K14" i="26"/>
  <c r="K28" i="26"/>
  <c r="K57" i="26"/>
  <c r="K65" i="26"/>
  <c r="K73" i="26"/>
  <c r="K82" i="26"/>
  <c r="K88" i="26"/>
  <c r="K97" i="26"/>
  <c r="K113" i="26"/>
  <c r="K36" i="26"/>
  <c r="K44" i="26"/>
  <c r="K52" i="26"/>
  <c r="K23" i="26"/>
  <c r="K29" i="26"/>
  <c r="K59" i="26"/>
  <c r="K67" i="26"/>
  <c r="K75" i="26"/>
  <c r="K84" i="26"/>
  <c r="K90" i="26"/>
  <c r="K99" i="26"/>
  <c r="K37" i="26"/>
  <c r="K45" i="26"/>
  <c r="K10" i="26"/>
  <c r="K17" i="26"/>
  <c r="K76" i="26"/>
  <c r="K85" i="26"/>
  <c r="K91" i="26"/>
  <c r="K93" i="26"/>
  <c r="K116" i="26"/>
  <c r="K86" i="26"/>
  <c r="K92" i="26"/>
  <c r="K117" i="26"/>
  <c r="K18" i="26"/>
  <c r="K62" i="26"/>
  <c r="K70" i="26"/>
  <c r="K79" i="26"/>
  <c r="K94" i="26"/>
  <c r="K12" i="26"/>
  <c r="K111" i="26"/>
  <c r="K118" i="26"/>
  <c r="K27" i="26"/>
  <c r="K33" i="26"/>
  <c r="K41" i="26"/>
  <c r="K49" i="26"/>
  <c r="K9" i="26"/>
  <c r="K34" i="26"/>
  <c r="K42" i="26"/>
  <c r="K50" i="26"/>
  <c r="K106" i="26"/>
  <c r="G187" i="26"/>
  <c r="J19" i="26"/>
  <c r="J34" i="26"/>
  <c r="J48" i="26"/>
  <c r="J56" i="26"/>
  <c r="J73" i="26"/>
  <c r="J83" i="26"/>
  <c r="J91" i="26"/>
  <c r="J145" i="26"/>
  <c r="J44" i="26"/>
  <c r="J76" i="26"/>
  <c r="J109" i="26"/>
  <c r="J117" i="26"/>
  <c r="J126" i="26"/>
  <c r="J132" i="26"/>
  <c r="J16" i="26"/>
  <c r="J39" i="26"/>
  <c r="J52" i="26"/>
  <c r="J59" i="26"/>
  <c r="J87" i="26"/>
  <c r="J95" i="26"/>
  <c r="J102" i="26"/>
  <c r="J30" i="26"/>
  <c r="J45" i="26"/>
  <c r="J66" i="26"/>
  <c r="J110" i="26"/>
  <c r="J118" i="26"/>
  <c r="J28" i="26"/>
  <c r="J133" i="26"/>
  <c r="H281" i="26"/>
  <c r="F111" i="26"/>
  <c r="F237" i="26"/>
  <c r="H120" i="26"/>
  <c r="H237" i="26"/>
  <c r="H117" i="26"/>
  <c r="H280" i="26"/>
  <c r="H115" i="26"/>
  <c r="H212" i="26"/>
  <c r="H113" i="26"/>
  <c r="H241" i="26"/>
  <c r="H143" i="26"/>
  <c r="F234" i="26"/>
  <c r="H153" i="26"/>
  <c r="H67" i="26"/>
  <c r="H217" i="26"/>
  <c r="H105" i="26"/>
  <c r="I34" i="26"/>
  <c r="I112" i="26"/>
  <c r="I80" i="26"/>
  <c r="A157" i="25"/>
  <c r="H196" i="26"/>
  <c r="H97" i="26"/>
  <c r="H72" i="26"/>
  <c r="H204" i="26"/>
  <c r="H239" i="26"/>
  <c r="H246" i="26"/>
  <c r="H183" i="26"/>
  <c r="F253" i="26"/>
  <c r="F134" i="26"/>
  <c r="F241" i="26"/>
  <c r="D171" i="26"/>
  <c r="D277" i="26"/>
  <c r="K21" i="25"/>
  <c r="D268" i="26"/>
  <c r="F179" i="26"/>
  <c r="K11" i="38"/>
  <c r="K6" i="38"/>
  <c r="L60" i="23"/>
  <c r="K7" i="38"/>
  <c r="L111" i="23"/>
  <c r="K74" i="25"/>
  <c r="L18" i="23"/>
  <c r="H257" i="26"/>
  <c r="H51" i="26"/>
  <c r="I158" i="26"/>
  <c r="I169" i="26"/>
  <c r="I170" i="26"/>
  <c r="I44" i="26"/>
  <c r="I69" i="26"/>
  <c r="H60" i="26"/>
  <c r="H91" i="26"/>
  <c r="H161" i="26"/>
  <c r="H201" i="26"/>
  <c r="H228" i="26"/>
  <c r="I84" i="26"/>
  <c r="I52" i="26"/>
  <c r="I102" i="26"/>
  <c r="I148" i="26"/>
  <c r="I139" i="26"/>
  <c r="I166" i="26"/>
  <c r="I137" i="26"/>
  <c r="I151" i="26"/>
  <c r="I149" i="26"/>
  <c r="I163" i="26"/>
  <c r="I159" i="26"/>
  <c r="H58" i="26"/>
  <c r="H136" i="26"/>
  <c r="H160" i="26"/>
  <c r="H168" i="26"/>
  <c r="H81" i="26"/>
  <c r="I99" i="26"/>
  <c r="I87" i="26"/>
  <c r="I165" i="26"/>
  <c r="I157" i="26"/>
  <c r="I141" i="26"/>
  <c r="I143" i="26"/>
  <c r="I145" i="26"/>
  <c r="I91" i="26"/>
  <c r="C245" i="26"/>
  <c r="I174" i="26"/>
  <c r="I188" i="26"/>
  <c r="I179" i="26"/>
  <c r="I193" i="26"/>
  <c r="I195" i="26"/>
  <c r="I181" i="26"/>
  <c r="I142" i="26"/>
  <c r="I182" i="26"/>
  <c r="I196" i="26"/>
  <c r="I199" i="26"/>
  <c r="I185" i="26"/>
  <c r="I161" i="26"/>
  <c r="I152" i="26"/>
  <c r="I154" i="26"/>
  <c r="I187" i="26"/>
  <c r="I173" i="26"/>
  <c r="I190" i="26"/>
  <c r="I176" i="26"/>
  <c r="I191" i="26"/>
  <c r="I177" i="26"/>
  <c r="I183" i="26"/>
  <c r="I197" i="26"/>
  <c r="I144" i="26"/>
  <c r="I146" i="26"/>
  <c r="I150" i="26"/>
  <c r="I140" i="26"/>
  <c r="I155" i="26"/>
  <c r="I164" i="26"/>
  <c r="I167" i="26"/>
  <c r="I136" i="26"/>
  <c r="I175" i="26"/>
  <c r="I189" i="26"/>
  <c r="I178" i="26"/>
  <c r="I192" i="26"/>
  <c r="I194" i="26"/>
  <c r="I180" i="26"/>
  <c r="I198" i="26"/>
  <c r="I184" i="26"/>
  <c r="I147" i="26"/>
  <c r="I186" i="26"/>
  <c r="I172" i="26"/>
  <c r="I153" i="26"/>
  <c r="I162" i="26"/>
  <c r="I156" i="26"/>
  <c r="I168" i="26"/>
  <c r="I171" i="26"/>
  <c r="I160" i="26"/>
  <c r="I138" i="26"/>
  <c r="C250" i="26"/>
  <c r="H208" i="26"/>
  <c r="H224" i="26"/>
  <c r="H243" i="26"/>
  <c r="D220" i="26"/>
  <c r="F208" i="26"/>
  <c r="F137" i="26"/>
  <c r="H187" i="26"/>
  <c r="H176" i="26"/>
  <c r="H178" i="26"/>
  <c r="H180" i="26"/>
  <c r="H185" i="26"/>
  <c r="H211" i="26"/>
  <c r="H215" i="26"/>
  <c r="H218" i="26"/>
  <c r="F220" i="26"/>
  <c r="H232" i="26"/>
  <c r="H236" i="26"/>
  <c r="H240" i="26"/>
  <c r="H244" i="26"/>
  <c r="H100" i="26"/>
  <c r="H104" i="26"/>
  <c r="H111" i="26"/>
  <c r="H122" i="26"/>
  <c r="H146" i="26"/>
  <c r="H148" i="26"/>
  <c r="H150" i="26"/>
  <c r="H152" i="26"/>
  <c r="H155" i="26"/>
  <c r="H171" i="26"/>
  <c r="H109" i="26"/>
  <c r="H123" i="26"/>
  <c r="H131" i="26"/>
  <c r="H135" i="26"/>
  <c r="H138" i="26"/>
  <c r="H140" i="26"/>
  <c r="H142" i="26"/>
  <c r="H167" i="26"/>
  <c r="H172" i="26"/>
  <c r="H174" i="26"/>
  <c r="H124" i="26"/>
  <c r="H129" i="26"/>
  <c r="H24" i="26"/>
  <c r="H26" i="26"/>
  <c r="H35" i="26"/>
  <c r="H49" i="26"/>
  <c r="H39" i="26"/>
  <c r="H66" i="26"/>
  <c r="H74" i="26"/>
  <c r="H77" i="26"/>
  <c r="H82" i="26"/>
  <c r="H270" i="26"/>
  <c r="H273" i="26"/>
  <c r="H28" i="26"/>
  <c r="H40" i="26"/>
  <c r="H45" i="26"/>
  <c r="F212" i="26"/>
  <c r="H29" i="26"/>
  <c r="H31" i="26"/>
  <c r="H41" i="26"/>
  <c r="H43" i="26"/>
  <c r="H44" i="26"/>
  <c r="H46" i="26"/>
  <c r="H48" i="26"/>
  <c r="H54" i="26"/>
  <c r="H56" i="26"/>
  <c r="H61" i="26"/>
  <c r="H59" i="26"/>
  <c r="H78" i="26"/>
  <c r="H86" i="26"/>
  <c r="H95" i="26"/>
  <c r="H89" i="26"/>
  <c r="H108" i="26"/>
  <c r="H112" i="26"/>
  <c r="H114" i="26"/>
  <c r="H116" i="26"/>
  <c r="H118" i="26"/>
  <c r="H130" i="26"/>
  <c r="H132" i="26"/>
  <c r="H134" i="26"/>
  <c r="H139" i="26"/>
  <c r="H141" i="26"/>
  <c r="H154" i="26"/>
  <c r="H173" i="26"/>
  <c r="H175" i="26"/>
  <c r="H177" i="26"/>
  <c r="H181" i="26"/>
  <c r="H186" i="26"/>
  <c r="H189" i="26"/>
  <c r="H192" i="26"/>
  <c r="H198" i="26"/>
  <c r="H219" i="26"/>
  <c r="H221" i="26"/>
  <c r="H226" i="26"/>
  <c r="H229" i="26"/>
  <c r="H233" i="26"/>
  <c r="H247" i="26"/>
  <c r="H249" i="26"/>
  <c r="H251" i="26"/>
  <c r="H253" i="26"/>
  <c r="H258" i="26"/>
  <c r="H261" i="26"/>
  <c r="H265" i="26"/>
  <c r="H267" i="26"/>
  <c r="H272" i="26"/>
  <c r="C248" i="26"/>
  <c r="H271" i="26"/>
  <c r="D176" i="26"/>
  <c r="H36" i="26"/>
  <c r="H50" i="26"/>
  <c r="H88" i="26"/>
  <c r="H94" i="26"/>
  <c r="H102" i="26"/>
  <c r="H145" i="26"/>
  <c r="H147" i="26"/>
  <c r="H149" i="26"/>
  <c r="H151" i="26"/>
  <c r="H170" i="26"/>
  <c r="H197" i="26"/>
  <c r="H207" i="26"/>
  <c r="H209" i="26"/>
  <c r="H223" i="26"/>
  <c r="H225" i="26"/>
  <c r="I17" i="26"/>
  <c r="I11" i="26"/>
  <c r="I16" i="26"/>
  <c r="C249" i="26"/>
  <c r="C242" i="26"/>
  <c r="C247" i="26"/>
  <c r="I113" i="26"/>
  <c r="I15" i="26"/>
  <c r="I42" i="26"/>
  <c r="I116" i="26"/>
  <c r="C246" i="26"/>
  <c r="I76" i="26"/>
  <c r="I60" i="26"/>
  <c r="I122" i="26"/>
  <c r="I12" i="26"/>
  <c r="I131" i="26"/>
  <c r="K4" i="26"/>
  <c r="I38" i="26"/>
  <c r="I98" i="26"/>
  <c r="I107" i="26"/>
  <c r="I92" i="26"/>
  <c r="I57" i="26"/>
  <c r="A114" i="25"/>
  <c r="A31" i="29"/>
  <c r="A58" i="25"/>
  <c r="A60" i="29"/>
  <c r="A14" i="38"/>
  <c r="A69" i="29"/>
  <c r="A7" i="38"/>
  <c r="A70" i="29"/>
  <c r="A8" i="23"/>
  <c r="A25" i="29"/>
  <c r="A95" i="25"/>
  <c r="A24" i="29"/>
  <c r="I20" i="26"/>
  <c r="A34" i="25"/>
  <c r="A94" i="25"/>
  <c r="A77" i="29"/>
  <c r="A54" i="25"/>
  <c r="A125" i="29"/>
  <c r="A117" i="23"/>
  <c r="A36" i="29"/>
  <c r="A5" i="25"/>
  <c r="A11" i="29"/>
  <c r="A17" i="23"/>
  <c r="A33" i="29"/>
  <c r="A137" i="23"/>
  <c r="A80" i="29"/>
  <c r="A31" i="25"/>
  <c r="A15" i="29"/>
  <c r="A29" i="25"/>
  <c r="A27" i="29"/>
  <c r="A29" i="23"/>
  <c r="A29" i="29"/>
  <c r="A111" i="23"/>
  <c r="A102" i="29"/>
  <c r="A77" i="25"/>
  <c r="A32" i="29"/>
  <c r="C65" i="26"/>
  <c r="C241" i="26"/>
  <c r="A20" i="25"/>
  <c r="A121" i="29"/>
  <c r="A39" i="23"/>
  <c r="A55" i="29"/>
  <c r="A130" i="23"/>
  <c r="A109" i="29"/>
  <c r="J6" i="26"/>
  <c r="J9" i="26"/>
  <c r="J11" i="26"/>
  <c r="J7" i="26"/>
  <c r="J5" i="26"/>
  <c r="J10" i="26"/>
  <c r="J8" i="26"/>
  <c r="J4" i="26"/>
  <c r="H210" i="26"/>
  <c r="H184" i="26"/>
  <c r="H255" i="26"/>
  <c r="H34" i="26"/>
  <c r="H42" i="26"/>
  <c r="H93" i="26"/>
  <c r="H96" i="26"/>
  <c r="H99" i="26"/>
  <c r="H137" i="26"/>
  <c r="H144" i="26"/>
  <c r="H158" i="26"/>
  <c r="H159" i="26"/>
  <c r="H162" i="26"/>
  <c r="H163" i="26"/>
  <c r="H166" i="26"/>
  <c r="H169" i="26"/>
  <c r="H182" i="26"/>
  <c r="H190" i="26"/>
  <c r="H193" i="26"/>
  <c r="H199" i="26"/>
  <c r="H202" i="26"/>
  <c r="H203" i="26"/>
  <c r="H206" i="26"/>
  <c r="H213" i="26"/>
  <c r="H227" i="26"/>
  <c r="H230" i="26"/>
  <c r="H231" i="26"/>
  <c r="H234" i="26"/>
  <c r="H235" i="26"/>
  <c r="H238" i="26"/>
  <c r="H242" i="26"/>
  <c r="H179" i="26"/>
  <c r="H245" i="26"/>
  <c r="H259" i="26"/>
  <c r="H27" i="26"/>
  <c r="H30" i="26"/>
  <c r="H57" i="26"/>
  <c r="H69" i="26"/>
  <c r="H106" i="26"/>
  <c r="H263" i="26"/>
  <c r="H268" i="26"/>
  <c r="H37" i="26"/>
  <c r="H63" i="26"/>
  <c r="H126" i="26"/>
  <c r="H156" i="26"/>
  <c r="H157" i="26"/>
  <c r="H164" i="26"/>
  <c r="H165" i="26"/>
  <c r="H188" i="26"/>
  <c r="H191" i="26"/>
  <c r="H194" i="26"/>
  <c r="H195" i="26"/>
  <c r="H200" i="26"/>
  <c r="H205" i="26"/>
  <c r="H274" i="26"/>
  <c r="H62" i="26"/>
  <c r="H65" i="26"/>
  <c r="H125" i="26"/>
  <c r="H127" i="26"/>
  <c r="H275" i="26"/>
  <c r="H220" i="26"/>
  <c r="H222" i="26"/>
  <c r="H248" i="26"/>
  <c r="H250" i="26"/>
  <c r="H252" i="26"/>
  <c r="H254" i="26"/>
  <c r="H256" i="26"/>
  <c r="H260" i="26"/>
  <c r="H262" i="26"/>
  <c r="H264" i="26"/>
  <c r="H266" i="26"/>
  <c r="I30" i="26"/>
  <c r="I25" i="26"/>
  <c r="I104" i="26"/>
  <c r="I24" i="26"/>
  <c r="I4" i="26"/>
  <c r="I61" i="26"/>
  <c r="I65" i="26"/>
  <c r="I85" i="26"/>
  <c r="I106" i="26"/>
  <c r="I129" i="26"/>
  <c r="I83" i="26"/>
  <c r="I105" i="26"/>
  <c r="H4" i="26"/>
  <c r="H269" i="26"/>
  <c r="D271" i="26"/>
  <c r="B283" i="26"/>
  <c r="F69" i="26"/>
  <c r="F72" i="26"/>
  <c r="F183" i="26"/>
  <c r="F278" i="26"/>
  <c r="F88" i="26"/>
  <c r="F129" i="26"/>
  <c r="F233" i="26"/>
  <c r="F271" i="26"/>
  <c r="F202" i="26"/>
  <c r="F218" i="26"/>
  <c r="F100" i="26"/>
  <c r="F230" i="26"/>
  <c r="F231" i="26"/>
  <c r="F107" i="26"/>
  <c r="F166" i="26"/>
  <c r="F226" i="26"/>
  <c r="F187" i="26"/>
  <c r="F210" i="26"/>
  <c r="F127" i="26"/>
  <c r="F122" i="26"/>
  <c r="F250" i="26"/>
  <c r="F141" i="26"/>
  <c r="F270" i="26"/>
  <c r="F181" i="26"/>
  <c r="F135" i="26"/>
  <c r="F238" i="26"/>
  <c r="F114" i="26"/>
  <c r="F193" i="26"/>
  <c r="F174" i="26"/>
  <c r="F105" i="26"/>
  <c r="F206" i="26"/>
  <c r="F160" i="26"/>
  <c r="F40" i="26"/>
  <c r="F86" i="26"/>
  <c r="F204" i="26"/>
  <c r="F125" i="26"/>
  <c r="I51" i="26"/>
  <c r="I109" i="26"/>
  <c r="I103" i="26"/>
  <c r="I108" i="26"/>
  <c r="I111" i="26"/>
  <c r="I126" i="26"/>
  <c r="I78" i="26"/>
  <c r="I89" i="26"/>
  <c r="A165" i="25"/>
  <c r="A166" i="25" s="1"/>
  <c r="A167" i="25" s="1"/>
  <c r="A168" i="25" s="1"/>
  <c r="I70" i="26"/>
  <c r="I94" i="26"/>
  <c r="I120" i="26"/>
  <c r="I133" i="26"/>
  <c r="I135" i="26"/>
  <c r="I48" i="26"/>
  <c r="A65" i="25"/>
  <c r="G173" i="26"/>
  <c r="G37" i="26"/>
  <c r="G167" i="26"/>
  <c r="F109" i="26"/>
  <c r="F71" i="26"/>
  <c r="F209" i="26"/>
  <c r="F246" i="26"/>
  <c r="F170" i="26"/>
  <c r="F162" i="26"/>
  <c r="F176" i="26"/>
  <c r="F164" i="26"/>
  <c r="F76" i="26"/>
  <c r="F145" i="26"/>
  <c r="F35" i="26"/>
  <c r="F157" i="26"/>
  <c r="F178" i="26"/>
  <c r="F214" i="26"/>
  <c r="F44" i="26"/>
  <c r="F147" i="26"/>
  <c r="F257" i="26"/>
  <c r="F148" i="26"/>
  <c r="F185" i="26"/>
  <c r="F57" i="26"/>
  <c r="F260" i="26"/>
  <c r="F222" i="26"/>
  <c r="F225" i="26"/>
  <c r="F74" i="26"/>
  <c r="F112" i="26"/>
  <c r="F189" i="26"/>
  <c r="F155" i="26"/>
  <c r="F249" i="26"/>
  <c r="F266" i="26"/>
  <c r="F123" i="26"/>
  <c r="F139" i="26"/>
  <c r="F94" i="26"/>
  <c r="F153" i="26"/>
  <c r="F96" i="26"/>
  <c r="F84" i="26"/>
  <c r="F229" i="26"/>
  <c r="F274" i="26"/>
  <c r="F275" i="26"/>
  <c r="F279" i="26"/>
  <c r="F280" i="26"/>
  <c r="F9" i="26"/>
  <c r="D196" i="26"/>
  <c r="D160" i="26"/>
  <c r="D239" i="26"/>
  <c r="D177" i="26"/>
  <c r="D222" i="26"/>
  <c r="D235" i="26"/>
  <c r="D179" i="26"/>
  <c r="D183" i="26"/>
  <c r="D180" i="26"/>
  <c r="D273" i="26"/>
  <c r="D208" i="26"/>
  <c r="A86" i="23"/>
  <c r="A51" i="23"/>
  <c r="A15" i="23"/>
  <c r="A187" i="23"/>
  <c r="A81" i="23"/>
  <c r="A6" i="25"/>
  <c r="A48" i="23"/>
  <c r="A5" i="23"/>
  <c r="A6" i="23"/>
  <c r="E50" i="26"/>
  <c r="D195" i="26"/>
  <c r="D154" i="26"/>
  <c r="D184" i="26"/>
  <c r="D129" i="26"/>
  <c r="D175" i="26"/>
  <c r="D182" i="26"/>
  <c r="F159" i="26"/>
  <c r="F90" i="26"/>
  <c r="F103" i="26"/>
  <c r="F196" i="26"/>
  <c r="F61" i="26"/>
  <c r="F51" i="26"/>
  <c r="F37" i="26"/>
  <c r="F198" i="26"/>
  <c r="F38" i="26"/>
  <c r="F119" i="26"/>
  <c r="F191" i="26"/>
  <c r="F200" i="26"/>
  <c r="F256" i="26"/>
  <c r="F42" i="26"/>
  <c r="F98" i="26"/>
  <c r="F92" i="26"/>
  <c r="F216" i="26"/>
  <c r="F242" i="26"/>
  <c r="F117" i="26"/>
  <c r="F80" i="26"/>
  <c r="F150" i="26"/>
  <c r="F151" i="26"/>
  <c r="F261" i="26"/>
  <c r="F143" i="26"/>
  <c r="F267" i="26"/>
  <c r="F132" i="26"/>
  <c r="D26" i="26"/>
  <c r="D49" i="26"/>
  <c r="F168" i="26"/>
  <c r="F31" i="26"/>
  <c r="F53" i="26"/>
  <c r="F172" i="26"/>
  <c r="F245" i="26"/>
  <c r="F180" i="26"/>
  <c r="F182" i="26"/>
  <c r="F184" i="26"/>
  <c r="F186" i="26"/>
  <c r="F188" i="26"/>
  <c r="F195" i="26"/>
  <c r="F197" i="26"/>
  <c r="F199" i="26"/>
  <c r="F201" i="26"/>
  <c r="F203" i="26"/>
  <c r="F205" i="26"/>
  <c r="F207" i="26"/>
  <c r="F211" i="26"/>
  <c r="F213" i="26"/>
  <c r="F224" i="26"/>
  <c r="F228" i="26"/>
  <c r="F232" i="26"/>
  <c r="F236" i="26"/>
  <c r="F240" i="26"/>
  <c r="F244" i="26"/>
  <c r="F248" i="26"/>
  <c r="F252" i="26"/>
  <c r="F255" i="26"/>
  <c r="F259" i="26"/>
  <c r="F263" i="26"/>
  <c r="F264" i="26"/>
  <c r="F265" i="26"/>
  <c r="F269" i="26"/>
  <c r="F273" i="26"/>
  <c r="F277" i="26"/>
  <c r="I200" i="26"/>
  <c r="A41" i="23"/>
  <c r="A61" i="23"/>
  <c r="G177" i="26"/>
  <c r="A49" i="23"/>
  <c r="A75" i="23"/>
  <c r="A90" i="23"/>
  <c r="F158" i="26"/>
  <c r="F161" i="26"/>
  <c r="F163" i="26"/>
  <c r="F165" i="26"/>
  <c r="F167" i="26"/>
  <c r="F169" i="26"/>
  <c r="F171" i="26"/>
  <c r="G174" i="26"/>
  <c r="F77" i="26"/>
  <c r="F79" i="26"/>
  <c r="F58" i="26"/>
  <c r="F60" i="26"/>
  <c r="F64" i="26"/>
  <c r="F68" i="26"/>
  <c r="F70" i="26"/>
  <c r="F73" i="26"/>
  <c r="F75" i="26"/>
  <c r="F83" i="26"/>
  <c r="F85" i="26"/>
  <c r="F87" i="26"/>
  <c r="F89" i="26"/>
  <c r="F91" i="26"/>
  <c r="F93" i="26"/>
  <c r="F102" i="26"/>
  <c r="F104" i="26"/>
  <c r="F116" i="26"/>
  <c r="F118" i="26"/>
  <c r="F121" i="26"/>
  <c r="F138" i="26"/>
  <c r="F140" i="26"/>
  <c r="F142" i="26"/>
  <c r="F144" i="26"/>
  <c r="F146" i="26"/>
  <c r="F149" i="26"/>
  <c r="F152" i="26"/>
  <c r="F154" i="26"/>
  <c r="F156" i="26"/>
  <c r="F215" i="26"/>
  <c r="F217" i="26"/>
  <c r="F4" i="26"/>
  <c r="F12" i="26"/>
  <c r="F41" i="26"/>
  <c r="F43" i="26"/>
  <c r="F45" i="26"/>
  <c r="I21" i="26"/>
  <c r="I26" i="26"/>
  <c r="I31" i="26"/>
  <c r="I35" i="26"/>
  <c r="I39" i="26"/>
  <c r="I43" i="26"/>
  <c r="I45" i="26"/>
  <c r="I49" i="26"/>
  <c r="I53" i="26"/>
  <c r="I88" i="26"/>
  <c r="I123" i="26"/>
  <c r="I134" i="26"/>
  <c r="G179" i="26"/>
  <c r="G161" i="26"/>
  <c r="F14" i="26"/>
  <c r="F27" i="26"/>
  <c r="F30" i="26"/>
  <c r="F36" i="26"/>
  <c r="F39" i="26"/>
  <c r="F47" i="26"/>
  <c r="F54" i="26"/>
  <c r="F56" i="26"/>
  <c r="F95" i="26"/>
  <c r="F97" i="26"/>
  <c r="F99" i="26"/>
  <c r="F101" i="26"/>
  <c r="F106" i="26"/>
  <c r="F108" i="26"/>
  <c r="F110" i="26"/>
  <c r="F113" i="26"/>
  <c r="F115" i="26"/>
  <c r="F120" i="26"/>
  <c r="F124" i="26"/>
  <c r="F126" i="26"/>
  <c r="F128" i="26"/>
  <c r="F130" i="26"/>
  <c r="F131" i="26"/>
  <c r="F133" i="26"/>
  <c r="F136" i="26"/>
  <c r="F173" i="26"/>
  <c r="F175" i="26"/>
  <c r="F177" i="26"/>
  <c r="F190" i="26"/>
  <c r="F192" i="26"/>
  <c r="F194" i="26"/>
  <c r="F219" i="26"/>
  <c r="F221" i="26"/>
  <c r="F223" i="26"/>
  <c r="F227" i="26"/>
  <c r="F235" i="26"/>
  <c r="F239" i="26"/>
  <c r="F243" i="26"/>
  <c r="F247" i="26"/>
  <c r="F251" i="26"/>
  <c r="F254" i="26"/>
  <c r="F258" i="26"/>
  <c r="F262" i="26"/>
  <c r="F268" i="26"/>
  <c r="F272" i="26"/>
  <c r="F276" i="26"/>
  <c r="F5" i="26"/>
  <c r="F7" i="26"/>
  <c r="F13" i="26"/>
  <c r="F15" i="26"/>
  <c r="F17" i="26"/>
  <c r="F55" i="26"/>
  <c r="I8" i="26"/>
  <c r="I58" i="26"/>
  <c r="I62" i="26"/>
  <c r="I66" i="26"/>
  <c r="I77" i="26"/>
  <c r="I81" i="26"/>
  <c r="I118" i="26"/>
  <c r="F10" i="26"/>
  <c r="F34" i="26"/>
  <c r="F50" i="26"/>
  <c r="F52" i="26"/>
  <c r="F62" i="26"/>
  <c r="F66" i="26"/>
  <c r="F28" i="26"/>
  <c r="F8" i="26"/>
  <c r="F11" i="26"/>
  <c r="F20" i="26"/>
  <c r="F78" i="26"/>
  <c r="F82" i="26"/>
  <c r="F6" i="26"/>
  <c r="F18" i="26"/>
  <c r="F19" i="26"/>
  <c r="F21" i="26"/>
  <c r="F23" i="26"/>
  <c r="F25" i="26"/>
  <c r="F49" i="26"/>
  <c r="D6" i="23"/>
  <c r="F81" i="26"/>
  <c r="F22" i="26"/>
  <c r="F24" i="26"/>
  <c r="F26" i="26"/>
  <c r="F46" i="26"/>
  <c r="F48" i="26"/>
  <c r="F33" i="26"/>
  <c r="F59" i="26"/>
  <c r="F63" i="26"/>
  <c r="F65" i="26"/>
  <c r="F67" i="26"/>
  <c r="F32" i="26"/>
  <c r="F29" i="26"/>
  <c r="H68" i="26"/>
  <c r="H52" i="26"/>
  <c r="H53" i="26"/>
  <c r="H119" i="26"/>
  <c r="H32" i="26"/>
  <c r="H47" i="26"/>
  <c r="H85" i="26"/>
  <c r="H90" i="26"/>
  <c r="H101" i="26"/>
  <c r="H110" i="26"/>
  <c r="H133" i="26"/>
  <c r="H84" i="26"/>
  <c r="G84" i="26"/>
  <c r="G93" i="26"/>
  <c r="G164" i="26"/>
  <c r="H21" i="26"/>
  <c r="H22" i="26"/>
  <c r="H23" i="26"/>
  <c r="H25" i="26"/>
  <c r="H33" i="26"/>
  <c r="H38" i="26"/>
  <c r="H55" i="26"/>
  <c r="H64" i="26"/>
  <c r="H70" i="26"/>
  <c r="H71" i="26"/>
  <c r="H73" i="26"/>
  <c r="H75" i="26"/>
  <c r="H76" i="26"/>
  <c r="H79" i="26"/>
  <c r="H80" i="26"/>
  <c r="H83" i="26"/>
  <c r="H87" i="26"/>
  <c r="H92" i="26"/>
  <c r="H98" i="26"/>
  <c r="H103" i="26"/>
  <c r="H107" i="26"/>
  <c r="H121" i="26"/>
  <c r="H128" i="26"/>
  <c r="G158" i="26"/>
  <c r="I40" i="26"/>
  <c r="I55" i="26"/>
  <c r="I71" i="26"/>
  <c r="G101" i="26"/>
  <c r="G126" i="26"/>
  <c r="G130" i="26"/>
  <c r="G134" i="26"/>
  <c r="G168" i="26"/>
  <c r="I6" i="26"/>
  <c r="I9" i="26"/>
  <c r="I13" i="26"/>
  <c r="I18" i="26"/>
  <c r="I22" i="26"/>
  <c r="I28" i="26"/>
  <c r="I32" i="26"/>
  <c r="I36" i="26"/>
  <c r="I46" i="26"/>
  <c r="I50" i="26"/>
  <c r="I54" i="26"/>
  <c r="I59" i="26"/>
  <c r="I63" i="26"/>
  <c r="I67" i="26"/>
  <c r="I93" i="26"/>
  <c r="I96" i="26"/>
  <c r="I100" i="26"/>
  <c r="I110" i="26"/>
  <c r="I114" i="26"/>
  <c r="I121" i="26"/>
  <c r="I130" i="26"/>
  <c r="I132" i="26"/>
  <c r="D134" i="26"/>
  <c r="D264" i="26"/>
  <c r="G71" i="26"/>
  <c r="G72" i="26"/>
  <c r="G76" i="26"/>
  <c r="G135" i="26"/>
  <c r="G136" i="26"/>
  <c r="G140" i="26"/>
  <c r="G141" i="26"/>
  <c r="G145" i="26"/>
  <c r="G151" i="26"/>
  <c r="G155" i="26"/>
  <c r="G160" i="26"/>
  <c r="G165" i="26"/>
  <c r="G169" i="26"/>
  <c r="G181" i="26"/>
  <c r="I7" i="26"/>
  <c r="I14" i="26"/>
  <c r="I19" i="26"/>
  <c r="I23" i="26"/>
  <c r="I29" i="26"/>
  <c r="I33" i="26"/>
  <c r="I37" i="26"/>
  <c r="I41" i="26"/>
  <c r="I47" i="26"/>
  <c r="I56" i="26"/>
  <c r="I64" i="26"/>
  <c r="I68" i="26"/>
  <c r="I72" i="26"/>
  <c r="I73" i="26"/>
  <c r="I74" i="26"/>
  <c r="I75" i="26"/>
  <c r="I79" i="26"/>
  <c r="I82" i="26"/>
  <c r="I86" i="26"/>
  <c r="I90" i="26"/>
  <c r="I95" i="26"/>
  <c r="I97" i="26"/>
  <c r="I101" i="26"/>
  <c r="I115" i="26"/>
  <c r="I117" i="26"/>
  <c r="I119" i="26"/>
  <c r="I124" i="26"/>
  <c r="I128" i="26"/>
  <c r="G109" i="26"/>
  <c r="G25" i="26"/>
  <c r="G102" i="26"/>
  <c r="G114" i="26"/>
  <c r="G44" i="26"/>
  <c r="G56" i="26"/>
  <c r="G60" i="26"/>
  <c r="G61" i="26"/>
  <c r="G80" i="26"/>
  <c r="G103" i="26"/>
  <c r="A77" i="23"/>
  <c r="A42" i="23"/>
  <c r="G139" i="26"/>
  <c r="G149" i="26"/>
  <c r="A97" i="23"/>
  <c r="A159" i="23"/>
  <c r="A110" i="23"/>
  <c r="A25" i="23"/>
  <c r="A28" i="23"/>
  <c r="A37" i="25"/>
  <c r="A9" i="25"/>
  <c r="A27" i="23"/>
  <c r="A119" i="38"/>
  <c r="A120" i="38" s="1"/>
  <c r="D87" i="26"/>
  <c r="D122" i="26"/>
  <c r="D231" i="26"/>
  <c r="E122" i="26"/>
  <c r="E123" i="26"/>
  <c r="E124" i="26"/>
  <c r="E134" i="26"/>
  <c r="D190" i="26"/>
  <c r="D246" i="26"/>
  <c r="D252" i="26"/>
  <c r="G95" i="26"/>
  <c r="G107" i="26"/>
  <c r="G116" i="26"/>
  <c r="G119" i="26"/>
  <c r="G120" i="26"/>
  <c r="G125" i="26"/>
  <c r="G129" i="26"/>
  <c r="G133" i="26"/>
  <c r="G143" i="26"/>
  <c r="G144" i="26"/>
  <c r="G147" i="26"/>
  <c r="G148" i="26"/>
  <c r="G150" i="26"/>
  <c r="G154" i="26"/>
  <c r="G159" i="26"/>
  <c r="G172" i="26"/>
  <c r="G176" i="26"/>
  <c r="G180" i="26"/>
  <c r="I5" i="26"/>
  <c r="I27" i="26"/>
  <c r="G38" i="26"/>
  <c r="G118" i="26"/>
  <c r="G34" i="26"/>
  <c r="G69" i="26"/>
  <c r="G73" i="26"/>
  <c r="G77" i="26"/>
  <c r="G78" i="26"/>
  <c r="G79" i="26"/>
  <c r="G82" i="26"/>
  <c r="G86" i="26"/>
  <c r="G87" i="26"/>
  <c r="G94" i="26"/>
  <c r="G110" i="26"/>
  <c r="G115" i="26"/>
  <c r="G121" i="26"/>
  <c r="G51" i="26"/>
  <c r="G52" i="26"/>
  <c r="G53" i="26"/>
  <c r="G54" i="26"/>
  <c r="G127" i="26"/>
  <c r="G128" i="26"/>
  <c r="G131" i="26"/>
  <c r="G132" i="26"/>
  <c r="G138" i="26"/>
  <c r="G142" i="26"/>
  <c r="G146" i="26"/>
  <c r="G153" i="26"/>
  <c r="G156" i="26"/>
  <c r="G163" i="26"/>
  <c r="G178" i="26"/>
  <c r="G182" i="26"/>
  <c r="G183" i="26"/>
  <c r="E135" i="26"/>
  <c r="G50" i="26"/>
  <c r="E65" i="26"/>
  <c r="E74" i="26"/>
  <c r="E75" i="26"/>
  <c r="E76" i="26"/>
  <c r="E105" i="26"/>
  <c r="G45" i="26"/>
  <c r="G46" i="26"/>
  <c r="G47" i="26"/>
  <c r="G48" i="26"/>
  <c r="G49" i="26"/>
  <c r="G74" i="26"/>
  <c r="G75" i="26"/>
  <c r="G97" i="26"/>
  <c r="G100" i="26"/>
  <c r="A160" i="23"/>
  <c r="A9" i="23"/>
  <c r="A14" i="23"/>
  <c r="A107" i="23"/>
  <c r="A59" i="23"/>
  <c r="A12" i="23"/>
  <c r="E77" i="26"/>
  <c r="E83" i="26"/>
  <c r="E87" i="26"/>
  <c r="E91" i="26"/>
  <c r="E104" i="26"/>
  <c r="E108" i="26"/>
  <c r="E112" i="26"/>
  <c r="E116" i="26"/>
  <c r="G58" i="26"/>
  <c r="G65" i="26"/>
  <c r="G70" i="26"/>
  <c r="G81" i="26"/>
  <c r="G85" i="26"/>
  <c r="G88" i="26"/>
  <c r="G89" i="26"/>
  <c r="G92" i="26"/>
  <c r="G96" i="26"/>
  <c r="G98" i="26"/>
  <c r="G106" i="26"/>
  <c r="G108" i="26"/>
  <c r="G111" i="26"/>
  <c r="G112" i="26"/>
  <c r="G113" i="26"/>
  <c r="G117" i="26"/>
  <c r="G122" i="26"/>
  <c r="G123" i="26"/>
  <c r="G124" i="26"/>
  <c r="G137" i="26"/>
  <c r="G152" i="26"/>
  <c r="G157" i="26"/>
  <c r="G162" i="26"/>
  <c r="G166" i="26"/>
  <c r="G170" i="26"/>
  <c r="G171" i="26"/>
  <c r="G175" i="26"/>
  <c r="A78" i="25"/>
  <c r="A79" i="25" s="1"/>
  <c r="A7" i="23"/>
  <c r="A141" i="25"/>
  <c r="A73" i="23"/>
  <c r="G22" i="26"/>
  <c r="G26" i="26"/>
  <c r="G27" i="26"/>
  <c r="G28" i="26"/>
  <c r="G29" i="26"/>
  <c r="G30" i="26"/>
  <c r="G31" i="26"/>
  <c r="G32" i="26"/>
  <c r="G33" i="26"/>
  <c r="G35" i="26"/>
  <c r="G36" i="26"/>
  <c r="G41" i="26"/>
  <c r="A14" i="25"/>
  <c r="A11" i="25" s="1"/>
  <c r="E152" i="26"/>
  <c r="G4" i="26"/>
  <c r="G12" i="26"/>
  <c r="A46" i="25"/>
  <c r="A52" i="23"/>
  <c r="E70" i="26"/>
  <c r="E71" i="26"/>
  <c r="E72" i="26"/>
  <c r="E73" i="26"/>
  <c r="G5" i="26"/>
  <c r="G8" i="26"/>
  <c r="G9" i="26"/>
  <c r="G13" i="26"/>
  <c r="G14" i="26"/>
  <c r="G16" i="26"/>
  <c r="G17" i="26"/>
  <c r="G18" i="26"/>
  <c r="G20" i="26"/>
  <c r="G21" i="26"/>
  <c r="G24" i="26"/>
  <c r="G40" i="26"/>
  <c r="G42" i="26"/>
  <c r="G55" i="26"/>
  <c r="G57" i="26"/>
  <c r="G62" i="26"/>
  <c r="G63" i="26"/>
  <c r="G64" i="26"/>
  <c r="G66" i="26"/>
  <c r="G67" i="26"/>
  <c r="G68" i="26"/>
  <c r="G83" i="26"/>
  <c r="G90" i="26"/>
  <c r="G91" i="26"/>
  <c r="G99" i="26"/>
  <c r="G104" i="26"/>
  <c r="G105" i="26"/>
  <c r="E8" i="26"/>
  <c r="E66" i="26"/>
  <c r="E67" i="26"/>
  <c r="E86" i="26"/>
  <c r="G6" i="26"/>
  <c r="G7" i="26"/>
  <c r="G10" i="26"/>
  <c r="G11" i="26"/>
  <c r="G15" i="26"/>
  <c r="G19" i="26"/>
  <c r="G23" i="26"/>
  <c r="G39" i="26"/>
  <c r="G43" i="26"/>
  <c r="E6" i="26"/>
  <c r="E7" i="26"/>
  <c r="E17" i="26"/>
  <c r="E18" i="26"/>
  <c r="E19" i="26"/>
  <c r="E25" i="26"/>
  <c r="E26" i="26"/>
  <c r="E27" i="26"/>
  <c r="E28" i="26"/>
  <c r="E29" i="26"/>
  <c r="E30" i="26"/>
  <c r="E31" i="26"/>
  <c r="E32" i="26"/>
  <c r="E33" i="26"/>
  <c r="E49" i="26"/>
  <c r="E53" i="26"/>
  <c r="G59" i="26"/>
  <c r="E40" i="26"/>
  <c r="A8" i="25"/>
  <c r="E80" i="26"/>
  <c r="E81" i="26"/>
  <c r="E82" i="26"/>
  <c r="E98" i="26"/>
  <c r="E111" i="26"/>
  <c r="E115" i="26"/>
  <c r="E136" i="26"/>
  <c r="E151" i="26"/>
  <c r="E154" i="26"/>
  <c r="E155" i="26"/>
  <c r="E156" i="26"/>
  <c r="A19" i="25"/>
  <c r="A11" i="38"/>
  <c r="A12" i="38" s="1"/>
  <c r="A60" i="23"/>
  <c r="A51" i="25"/>
  <c r="A54" i="23"/>
  <c r="A183" i="23"/>
  <c r="A165" i="23"/>
  <c r="A7" i="25"/>
  <c r="A57" i="25"/>
  <c r="C39" i="26"/>
  <c r="E34" i="26"/>
  <c r="E35" i="26"/>
  <c r="E36" i="26"/>
  <c r="E37" i="26"/>
  <c r="E38" i="26"/>
  <c r="E39" i="26"/>
  <c r="E42" i="26"/>
  <c r="E43" i="26"/>
  <c r="E44" i="26"/>
  <c r="E45" i="26"/>
  <c r="E46" i="26"/>
  <c r="E47" i="26"/>
  <c r="E48" i="26"/>
  <c r="E54" i="26"/>
  <c r="E55" i="26"/>
  <c r="E59" i="26"/>
  <c r="E60" i="26"/>
  <c r="E61" i="26"/>
  <c r="E62" i="26"/>
  <c r="E63" i="26"/>
  <c r="E64" i="26"/>
  <c r="A13" i="25"/>
  <c r="A109" i="25"/>
  <c r="A74" i="23"/>
  <c r="C195" i="26"/>
  <c r="C168" i="26"/>
  <c r="C95" i="26"/>
  <c r="C235" i="26"/>
  <c r="C206" i="26"/>
  <c r="C158" i="26"/>
  <c r="E5" i="26"/>
  <c r="E90" i="26"/>
  <c r="E99" i="26"/>
  <c r="A158" i="23"/>
  <c r="E4" i="26"/>
  <c r="E9" i="26"/>
  <c r="E10" i="26"/>
  <c r="E11" i="26"/>
  <c r="E12" i="26"/>
  <c r="E13" i="26"/>
  <c r="E14" i="26"/>
  <c r="E15" i="26"/>
  <c r="E16" i="26"/>
  <c r="E20" i="26"/>
  <c r="E21" i="26"/>
  <c r="E22" i="26"/>
  <c r="E23" i="26"/>
  <c r="E24" i="26"/>
  <c r="E41" i="26"/>
  <c r="E100" i="26"/>
  <c r="E101" i="26"/>
  <c r="E102" i="26"/>
  <c r="E103" i="26"/>
  <c r="E106" i="26"/>
  <c r="E107" i="26"/>
  <c r="A13" i="38"/>
  <c r="C231" i="26"/>
  <c r="C121" i="26"/>
  <c r="C54" i="26"/>
  <c r="A161" i="25"/>
  <c r="A129" i="23"/>
  <c r="A22" i="25"/>
  <c r="A164" i="23"/>
  <c r="A39" i="38"/>
  <c r="A40" i="38" s="1"/>
  <c r="A44" i="25"/>
  <c r="A50" i="23"/>
  <c r="A112" i="25"/>
  <c r="A113" i="25" s="1"/>
  <c r="A126" i="25" s="1"/>
  <c r="A92" i="25"/>
  <c r="A56" i="23"/>
  <c r="E51" i="26"/>
  <c r="E52" i="26"/>
  <c r="E56" i="26"/>
  <c r="E57" i="26"/>
  <c r="E58" i="26"/>
  <c r="E68" i="26"/>
  <c r="E69" i="26"/>
  <c r="E78" i="26"/>
  <c r="E79" i="26"/>
  <c r="E84" i="26"/>
  <c r="E85" i="26"/>
  <c r="E88" i="26"/>
  <c r="E89" i="26"/>
  <c r="E92" i="26"/>
  <c r="E93" i="26"/>
  <c r="E94" i="26"/>
  <c r="E95" i="26"/>
  <c r="E96" i="26"/>
  <c r="E97" i="26"/>
  <c r="E109" i="26"/>
  <c r="E110" i="26"/>
  <c r="E113" i="26"/>
  <c r="E114" i="26"/>
  <c r="E117" i="26"/>
  <c r="E118" i="26"/>
  <c r="E119" i="26"/>
  <c r="E120" i="26"/>
  <c r="E121" i="26"/>
  <c r="E125" i="26"/>
  <c r="E126" i="26"/>
  <c r="E127" i="26"/>
  <c r="E128" i="26"/>
  <c r="E129" i="26"/>
  <c r="E130" i="26"/>
  <c r="E131" i="26"/>
  <c r="E132" i="26"/>
  <c r="E133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3" i="26"/>
  <c r="A28" i="25"/>
  <c r="A18" i="38"/>
  <c r="A19" i="38" s="1"/>
  <c r="A20" i="38" s="1"/>
  <c r="C239" i="26"/>
  <c r="C24" i="26"/>
  <c r="A33" i="25"/>
  <c r="A74" i="25"/>
  <c r="A10" i="38"/>
  <c r="A54" i="38"/>
  <c r="A21" i="25"/>
  <c r="A139" i="25"/>
  <c r="A60" i="38"/>
  <c r="A61" i="38"/>
  <c r="A115" i="38"/>
  <c r="C165" i="26"/>
  <c r="D215" i="26"/>
  <c r="D141" i="26"/>
  <c r="D117" i="26"/>
  <c r="D70" i="26"/>
  <c r="D146" i="26"/>
  <c r="D18" i="26"/>
  <c r="A10" i="20"/>
  <c r="B316" i="26"/>
  <c r="B280" i="26"/>
  <c r="B276" i="26"/>
  <c r="B301" i="26"/>
  <c r="D200" i="26"/>
  <c r="D241" i="26"/>
  <c r="A98" i="20"/>
  <c r="A27" i="22"/>
  <c r="A46" i="24"/>
  <c r="E157" i="26"/>
  <c r="E158" i="26"/>
  <c r="E171" i="26"/>
  <c r="A21" i="20"/>
  <c r="D280" i="26"/>
  <c r="C31" i="26"/>
  <c r="C37" i="26"/>
  <c r="D283" i="26"/>
  <c r="A278" i="24"/>
  <c r="B176" i="26"/>
  <c r="B180" i="26"/>
  <c r="B192" i="26"/>
  <c r="B196" i="26"/>
  <c r="C5" i="26"/>
  <c r="C47" i="26"/>
  <c r="C9" i="26"/>
  <c r="C21" i="26"/>
  <c r="C99" i="26"/>
  <c r="C211" i="26"/>
  <c r="C27" i="26"/>
  <c r="C159" i="26"/>
  <c r="C146" i="26"/>
  <c r="C163" i="26"/>
  <c r="C97" i="26"/>
  <c r="C221" i="26"/>
  <c r="C115" i="26"/>
  <c r="C142" i="26"/>
  <c r="C203" i="26"/>
  <c r="C218" i="26"/>
  <c r="C228" i="26"/>
  <c r="C130" i="26"/>
  <c r="C178" i="26"/>
  <c r="C10" i="26"/>
  <c r="C12" i="26"/>
  <c r="C141" i="26"/>
  <c r="C209" i="26"/>
  <c r="D257" i="26"/>
  <c r="D219" i="26"/>
  <c r="D225" i="26"/>
  <c r="D249" i="26"/>
  <c r="D278" i="26"/>
  <c r="E168" i="26"/>
  <c r="E169" i="26"/>
  <c r="E173" i="26"/>
  <c r="B76" i="26"/>
  <c r="D272" i="26"/>
  <c r="E159" i="26"/>
  <c r="E160" i="26"/>
  <c r="E161" i="26"/>
  <c r="E162" i="26"/>
  <c r="E163" i="26"/>
  <c r="E164" i="26"/>
  <c r="E165" i="26"/>
  <c r="E166" i="26"/>
  <c r="E167" i="26"/>
  <c r="E172" i="26"/>
  <c r="B4" i="26"/>
  <c r="D217" i="26"/>
  <c r="D173" i="26"/>
  <c r="D243" i="26"/>
  <c r="E170" i="26"/>
  <c r="A9" i="20"/>
  <c r="A38" i="20"/>
  <c r="B200" i="26"/>
  <c r="B262" i="26"/>
  <c r="B204" i="26"/>
  <c r="B247" i="26"/>
  <c r="B23" i="26"/>
  <c r="B39" i="26"/>
  <c r="B106" i="26"/>
  <c r="B114" i="26"/>
  <c r="B118" i="26"/>
  <c r="B126" i="26"/>
  <c r="B138" i="26"/>
  <c r="B173" i="26"/>
  <c r="B99" i="26"/>
  <c r="B184" i="26"/>
  <c r="B64" i="26"/>
  <c r="B132" i="26"/>
  <c r="B208" i="26"/>
  <c r="B83" i="26"/>
  <c r="B92" i="26"/>
  <c r="B52" i="26"/>
  <c r="B79" i="26"/>
  <c r="B107" i="26"/>
  <c r="B286" i="26"/>
  <c r="B41" i="26"/>
  <c r="B241" i="26"/>
  <c r="B45" i="26"/>
  <c r="B122" i="26"/>
  <c r="B140" i="26"/>
  <c r="B169" i="26"/>
  <c r="B221" i="26"/>
  <c r="B95" i="26"/>
  <c r="B146" i="26"/>
  <c r="B150" i="26"/>
  <c r="B166" i="26"/>
  <c r="B300" i="26"/>
  <c r="B253" i="26"/>
  <c r="B273" i="26"/>
  <c r="B309" i="26"/>
  <c r="B72" i="26"/>
  <c r="B188" i="26"/>
  <c r="B27" i="26"/>
  <c r="B31" i="26"/>
  <c r="B35" i="26"/>
  <c r="B134" i="26"/>
  <c r="B153" i="26"/>
  <c r="B40" i="26"/>
  <c r="B44" i="26"/>
  <c r="B48" i="26"/>
  <c r="B56" i="26"/>
  <c r="B60" i="26"/>
  <c r="B68" i="26"/>
  <c r="B87" i="26"/>
  <c r="B155" i="26"/>
  <c r="B159" i="26"/>
  <c r="B211" i="26"/>
  <c r="B215" i="26"/>
  <c r="B294" i="26"/>
  <c r="B298" i="26"/>
  <c r="B12" i="26"/>
  <c r="B18" i="26"/>
  <c r="B11" i="26"/>
  <c r="B110" i="26"/>
  <c r="B163" i="26"/>
  <c r="B230" i="26"/>
  <c r="B234" i="26"/>
  <c r="B237" i="26"/>
  <c r="B250" i="26"/>
  <c r="B254" i="26"/>
  <c r="B269" i="26"/>
  <c r="B277" i="26"/>
  <c r="B290" i="26"/>
  <c r="B302" i="26"/>
  <c r="B313" i="26"/>
  <c r="B317" i="26"/>
  <c r="C43" i="26"/>
  <c r="C13" i="26"/>
  <c r="C61" i="26"/>
  <c r="C28" i="26"/>
  <c r="C44" i="26"/>
  <c r="C181" i="26"/>
  <c r="C234" i="26"/>
  <c r="C161" i="26"/>
  <c r="C126" i="26"/>
  <c r="C51" i="26"/>
  <c r="C238" i="26"/>
  <c r="C179" i="26"/>
  <c r="C87" i="26"/>
  <c r="C75" i="26"/>
  <c r="C103" i="26"/>
  <c r="C46" i="26"/>
  <c r="C183" i="26"/>
  <c r="C171" i="26"/>
  <c r="C62" i="26"/>
  <c r="C222" i="26"/>
  <c r="C74" i="26"/>
  <c r="C154" i="26"/>
  <c r="C164" i="26"/>
  <c r="C182" i="26"/>
  <c r="C32" i="26"/>
  <c r="C93" i="26"/>
  <c r="C84" i="26"/>
  <c r="C91" i="26"/>
  <c r="C20" i="26"/>
  <c r="C187" i="26"/>
  <c r="C160" i="26"/>
  <c r="C170" i="26"/>
  <c r="C243" i="26"/>
  <c r="C40" i="26"/>
  <c r="C155" i="26"/>
  <c r="C26" i="26"/>
  <c r="C30" i="26"/>
  <c r="C34" i="26"/>
  <c r="C38" i="26"/>
  <c r="C186" i="26"/>
  <c r="C134" i="26"/>
  <c r="C193" i="26"/>
  <c r="C201" i="26"/>
  <c r="C162" i="26"/>
  <c r="C207" i="26"/>
  <c r="C225" i="26"/>
  <c r="C58" i="26"/>
  <c r="C86" i="26"/>
  <c r="C122" i="26"/>
  <c r="C191" i="26"/>
  <c r="C138" i="26"/>
  <c r="C194" i="26"/>
  <c r="C213" i="26"/>
  <c r="C118" i="26"/>
  <c r="C210" i="26"/>
  <c r="C244" i="26"/>
  <c r="C200" i="26"/>
  <c r="C144" i="26"/>
  <c r="C148" i="26"/>
  <c r="C82" i="26"/>
  <c r="C89" i="26"/>
  <c r="C101" i="26"/>
  <c r="C83" i="26"/>
  <c r="C123" i="26"/>
  <c r="C114" i="26"/>
  <c r="C174" i="26"/>
  <c r="C119" i="26"/>
  <c r="C72" i="26"/>
  <c r="C90" i="26"/>
  <c r="C217" i="26"/>
  <c r="C106" i="26"/>
  <c r="C166" i="26"/>
  <c r="C143" i="26"/>
  <c r="C94" i="26"/>
  <c r="C102" i="26"/>
  <c r="C204" i="26"/>
  <c r="C208" i="26"/>
  <c r="C76" i="26"/>
  <c r="C71" i="26"/>
  <c r="C184" i="26"/>
  <c r="C63" i="26"/>
  <c r="C185" i="26"/>
  <c r="C190" i="26"/>
  <c r="C198" i="26"/>
  <c r="C175" i="26"/>
  <c r="C214" i="26"/>
  <c r="C127" i="26"/>
  <c r="C139" i="26"/>
  <c r="C147" i="26"/>
  <c r="C150" i="26"/>
  <c r="C137" i="26"/>
  <c r="C15" i="26"/>
  <c r="C151" i="26"/>
  <c r="C153" i="26"/>
  <c r="C169" i="26"/>
  <c r="C177" i="26"/>
  <c r="C79" i="26"/>
  <c r="C199" i="26"/>
  <c r="C202" i="26"/>
  <c r="C230" i="26"/>
  <c r="C111" i="26"/>
  <c r="C110" i="26"/>
  <c r="C167" i="26"/>
  <c r="C59" i="26"/>
  <c r="C212" i="26"/>
  <c r="C50" i="26"/>
  <c r="C232" i="26"/>
  <c r="C7" i="26"/>
  <c r="C6" i="26"/>
  <c r="C67" i="26"/>
  <c r="C36" i="26"/>
  <c r="C55" i="26"/>
  <c r="C18" i="26"/>
  <c r="C22" i="26"/>
  <c r="C57" i="26"/>
  <c r="C107" i="26"/>
  <c r="C98" i="26"/>
  <c r="C135" i="26"/>
  <c r="C35" i="26"/>
  <c r="C128" i="26"/>
  <c r="C132" i="26"/>
  <c r="C25" i="26"/>
  <c r="C29" i="26"/>
  <c r="C33" i="26"/>
  <c r="C113" i="26"/>
  <c r="C129" i="26"/>
  <c r="C157" i="26"/>
  <c r="C197" i="26"/>
  <c r="C131" i="26"/>
  <c r="C80" i="26"/>
  <c r="C229" i="26"/>
  <c r="C11" i="26"/>
  <c r="C49" i="26"/>
  <c r="C53" i="26"/>
  <c r="C69" i="26"/>
  <c r="C73" i="26"/>
  <c r="C77" i="26"/>
  <c r="C100" i="26"/>
  <c r="C4" i="26"/>
  <c r="C17" i="26"/>
  <c r="C152" i="26"/>
  <c r="C156" i="26"/>
  <c r="C188" i="26"/>
  <c r="C215" i="26"/>
  <c r="C219" i="26"/>
  <c r="C14" i="26"/>
  <c r="C42" i="26"/>
  <c r="C45" i="26"/>
  <c r="C66" i="26"/>
  <c r="C70" i="26"/>
  <c r="C78" i="26"/>
  <c r="C81" i="26"/>
  <c r="C85" i="26"/>
  <c r="C88" i="26"/>
  <c r="C92" i="26"/>
  <c r="C96" i="26"/>
  <c r="C104" i="26"/>
  <c r="C105" i="26"/>
  <c r="C108" i="26"/>
  <c r="C109" i="26"/>
  <c r="C112" i="26"/>
  <c r="C116" i="26"/>
  <c r="C117" i="26"/>
  <c r="C124" i="26"/>
  <c r="C125" i="26"/>
  <c r="C120" i="26"/>
  <c r="C133" i="26"/>
  <c r="C136" i="26"/>
  <c r="C140" i="26"/>
  <c r="C145" i="26"/>
  <c r="C149" i="26"/>
  <c r="C172" i="26"/>
  <c r="C173" i="26"/>
  <c r="C176" i="26"/>
  <c r="C180" i="26"/>
  <c r="C189" i="26"/>
  <c r="C192" i="26"/>
  <c r="C196" i="26"/>
  <c r="C205" i="26"/>
  <c r="C216" i="26"/>
  <c r="C220" i="26"/>
  <c r="C223" i="26"/>
  <c r="C224" i="26"/>
  <c r="C226" i="26"/>
  <c r="C227" i="26"/>
  <c r="C233" i="26"/>
  <c r="C236" i="26"/>
  <c r="C237" i="26"/>
  <c r="C240" i="26"/>
  <c r="D205" i="26"/>
  <c r="D244" i="26"/>
  <c r="D281" i="26"/>
  <c r="A59" i="20"/>
  <c r="A25" i="20"/>
  <c r="B62" i="26"/>
  <c r="C8" i="26"/>
  <c r="C19" i="26"/>
  <c r="C23" i="26"/>
  <c r="A5" i="20"/>
  <c r="A56" i="20"/>
  <c r="A8" i="24"/>
  <c r="A179" i="22"/>
  <c r="A179" i="24"/>
  <c r="C16" i="26"/>
  <c r="C41" i="26"/>
  <c r="C48" i="26"/>
  <c r="C52" i="26"/>
  <c r="C56" i="26"/>
  <c r="C60" i="26"/>
  <c r="C64" i="26"/>
  <c r="C68" i="26"/>
  <c r="D138" i="26"/>
  <c r="D133" i="26"/>
  <c r="D242" i="26"/>
  <c r="D248" i="26"/>
  <c r="D263" i="26"/>
  <c r="D275" i="26"/>
  <c r="A30" i="20"/>
  <c r="A41" i="20"/>
  <c r="D259" i="26"/>
  <c r="D169" i="26"/>
  <c r="D214" i="26"/>
  <c r="D212" i="26"/>
  <c r="D270" i="26"/>
  <c r="D203" i="26"/>
  <c r="A6" i="20"/>
  <c r="A65" i="20"/>
  <c r="D20" i="26"/>
  <c r="D12" i="26"/>
  <c r="D47" i="26"/>
  <c r="D40" i="26"/>
  <c r="D120" i="26"/>
  <c r="D127" i="26"/>
  <c r="D135" i="26"/>
  <c r="D72" i="26"/>
  <c r="D84" i="26"/>
  <c r="D36" i="26"/>
  <c r="D7" i="26"/>
  <c r="D96" i="26"/>
  <c r="D139" i="26"/>
  <c r="D43" i="26"/>
  <c r="D201" i="26"/>
  <c r="D45" i="26"/>
  <c r="D34" i="26"/>
  <c r="D118" i="26"/>
  <c r="D107" i="26"/>
  <c r="D188" i="26"/>
  <c r="D210" i="26"/>
  <c r="D253" i="26"/>
  <c r="D255" i="26"/>
  <c r="D124" i="26"/>
  <c r="D193" i="26"/>
  <c r="D236" i="26"/>
  <c r="D8" i="26"/>
  <c r="D13" i="26"/>
  <c r="D172" i="26"/>
  <c r="D74" i="26"/>
  <c r="D109" i="26"/>
  <c r="D209" i="26"/>
  <c r="D57" i="26"/>
  <c r="D10" i="26"/>
  <c r="D207" i="26"/>
  <c r="D163" i="26"/>
  <c r="D31" i="26"/>
  <c r="D168" i="26"/>
  <c r="D187" i="26"/>
  <c r="D238" i="26"/>
  <c r="D145" i="26"/>
  <c r="D267" i="26"/>
  <c r="D174" i="26"/>
  <c r="D185" i="26"/>
  <c r="D265" i="26"/>
  <c r="D101" i="26"/>
  <c r="D85" i="26"/>
  <c r="D165" i="26"/>
  <c r="D227" i="26"/>
  <c r="D256" i="26"/>
  <c r="D150" i="26"/>
  <c r="D194" i="26"/>
  <c r="D262" i="26"/>
  <c r="D38" i="26"/>
  <c r="D232" i="26"/>
  <c r="D197" i="26"/>
  <c r="D192" i="26"/>
  <c r="D206" i="26"/>
  <c r="D233" i="26"/>
  <c r="D153" i="26"/>
  <c r="D126" i="26"/>
  <c r="D159" i="26"/>
  <c r="D191" i="26"/>
  <c r="D211" i="26"/>
  <c r="D221" i="26"/>
  <c r="D228" i="26"/>
  <c r="D261" i="26"/>
  <c r="D269" i="26"/>
  <c r="D285" i="26"/>
  <c r="D266" i="26"/>
  <c r="D77" i="26"/>
  <c r="D125" i="26"/>
  <c r="D186" i="26"/>
  <c r="D198" i="26"/>
  <c r="D237" i="26"/>
  <c r="D245" i="26"/>
  <c r="D251" i="26"/>
  <c r="D274" i="26"/>
  <c r="D284" i="26"/>
  <c r="D99" i="26"/>
  <c r="D151" i="26"/>
  <c r="D152" i="26"/>
  <c r="D161" i="26"/>
  <c r="D202" i="26"/>
  <c r="D279" i="26"/>
  <c r="D250" i="26"/>
  <c r="D276" i="26"/>
  <c r="D226" i="26"/>
  <c r="D254" i="26"/>
  <c r="D123" i="26"/>
  <c r="D137" i="26"/>
  <c r="D247" i="26"/>
  <c r="D282" i="26"/>
  <c r="D110" i="26"/>
  <c r="D158" i="26"/>
  <c r="D224" i="26"/>
  <c r="D143" i="26"/>
  <c r="D204" i="26"/>
  <c r="D148" i="26"/>
  <c r="B47" i="26"/>
  <c r="B59" i="26"/>
  <c r="A42" i="20"/>
  <c r="A5" i="22"/>
  <c r="A5" i="24"/>
  <c r="A18" i="22"/>
  <c r="A22" i="20"/>
  <c r="A32" i="20"/>
  <c r="A81" i="22"/>
  <c r="A11" i="20"/>
  <c r="A260" i="22"/>
  <c r="B261" i="26"/>
  <c r="B158" i="26"/>
  <c r="B162" i="26"/>
  <c r="B172" i="26"/>
  <c r="B175" i="26"/>
  <c r="B179" i="26"/>
  <c r="B183" i="26"/>
  <c r="B187" i="26"/>
  <c r="B191" i="26"/>
  <c r="B252" i="26"/>
  <c r="B255" i="26"/>
  <c r="B257" i="26"/>
  <c r="B259" i="26"/>
  <c r="B265" i="26"/>
  <c r="B272" i="26"/>
  <c r="B282" i="26"/>
  <c r="B289" i="26"/>
  <c r="B293" i="26"/>
  <c r="A110" i="22"/>
  <c r="A28" i="20"/>
  <c r="A12" i="20"/>
  <c r="A8" i="22"/>
  <c r="A15" i="20"/>
  <c r="A174" i="22"/>
  <c r="B26" i="26"/>
  <c r="B43" i="26"/>
  <c r="B82" i="26"/>
  <c r="B14" i="26"/>
  <c r="B33" i="26"/>
  <c r="B161" i="26"/>
  <c r="B239" i="26"/>
  <c r="D25" i="26"/>
  <c r="D54" i="26"/>
  <c r="D61" i="26"/>
  <c r="D55" i="26"/>
  <c r="D64" i="26"/>
  <c r="D78" i="26"/>
  <c r="B10" i="26"/>
  <c r="B17" i="26"/>
  <c r="B21" i="26"/>
  <c r="B30" i="26"/>
  <c r="B67" i="26"/>
  <c r="B75" i="26"/>
  <c r="B86" i="26"/>
  <c r="B91" i="26"/>
  <c r="B102" i="26"/>
  <c r="B105" i="26"/>
  <c r="B109" i="26"/>
  <c r="B113" i="26"/>
  <c r="B117" i="26"/>
  <c r="B125" i="26"/>
  <c r="B131" i="26"/>
  <c r="B142" i="26"/>
  <c r="B195" i="26"/>
  <c r="B199" i="26"/>
  <c r="B203" i="26"/>
  <c r="B207" i="26"/>
  <c r="B210" i="26"/>
  <c r="B214" i="26"/>
  <c r="B218" i="26"/>
  <c r="B220" i="26"/>
  <c r="B224" i="26"/>
  <c r="B227" i="26"/>
  <c r="B229" i="26"/>
  <c r="B233" i="26"/>
  <c r="B236" i="26"/>
  <c r="B240" i="26"/>
  <c r="B244" i="26"/>
  <c r="B246" i="26"/>
  <c r="B249" i="26"/>
  <c r="B263" i="26"/>
  <c r="B268" i="26"/>
  <c r="B285" i="26"/>
  <c r="B297" i="26"/>
  <c r="B305" i="26"/>
  <c r="B308" i="26"/>
  <c r="B312" i="26"/>
  <c r="D9" i="26"/>
  <c r="D65" i="26"/>
  <c r="D132" i="26"/>
  <c r="D79" i="26"/>
  <c r="D44" i="26"/>
  <c r="D46" i="26"/>
  <c r="D100" i="26"/>
  <c r="D83" i="26"/>
  <c r="D114" i="26"/>
  <c r="D156" i="26"/>
  <c r="D111" i="26"/>
  <c r="B6" i="26"/>
  <c r="B7" i="26"/>
  <c r="B29" i="26"/>
  <c r="B37" i="26"/>
  <c r="B46" i="26"/>
  <c r="B50" i="26"/>
  <c r="B54" i="26"/>
  <c r="B66" i="26"/>
  <c r="B85" i="26"/>
  <c r="B94" i="26"/>
  <c r="B97" i="26"/>
  <c r="B101" i="26"/>
  <c r="B112" i="26"/>
  <c r="B116" i="26"/>
  <c r="B120" i="26"/>
  <c r="B127" i="26"/>
  <c r="B130" i="26"/>
  <c r="B136" i="26"/>
  <c r="B144" i="26"/>
  <c r="B148" i="26"/>
  <c r="B152" i="26"/>
  <c r="B154" i="26"/>
  <c r="B157" i="26"/>
  <c r="B165" i="26"/>
  <c r="B168" i="26"/>
  <c r="B171" i="26"/>
  <c r="B178" i="26"/>
  <c r="B182" i="26"/>
  <c r="B186" i="26"/>
  <c r="B190" i="26"/>
  <c r="B194" i="26"/>
  <c r="B198" i="26"/>
  <c r="B202" i="26"/>
  <c r="B206" i="26"/>
  <c r="B213" i="26"/>
  <c r="B217" i="26"/>
  <c r="B223" i="26"/>
  <c r="B226" i="26"/>
  <c r="B232" i="26"/>
  <c r="B235" i="26"/>
  <c r="B243" i="26"/>
  <c r="B267" i="26"/>
  <c r="B271" i="26"/>
  <c r="B275" i="26"/>
  <c r="B279" i="26"/>
  <c r="B284" i="26"/>
  <c r="B288" i="26"/>
  <c r="B292" i="26"/>
  <c r="B296" i="26"/>
  <c r="B304" i="26"/>
  <c r="B307" i="26"/>
  <c r="B311" i="26"/>
  <c r="B315" i="26"/>
  <c r="D136" i="26"/>
  <c r="D89" i="26"/>
  <c r="D37" i="26"/>
  <c r="D260" i="26"/>
  <c r="A18" i="24"/>
  <c r="A38" i="22"/>
  <c r="A16" i="22"/>
  <c r="A150" i="20"/>
  <c r="B9" i="26"/>
  <c r="B15" i="26"/>
  <c r="B16" i="26"/>
  <c r="B22" i="26"/>
  <c r="B25" i="26"/>
  <c r="B34" i="26"/>
  <c r="B38" i="26"/>
  <c r="B42" i="26"/>
  <c r="B51" i="26"/>
  <c r="B55" i="26"/>
  <c r="B63" i="26"/>
  <c r="B71" i="26"/>
  <c r="B78" i="26"/>
  <c r="B81" i="26"/>
  <c r="B98" i="26"/>
  <c r="B121" i="26"/>
  <c r="B128" i="26"/>
  <c r="B137" i="26"/>
  <c r="B145" i="26"/>
  <c r="B149" i="26"/>
  <c r="D30" i="26"/>
  <c r="B5" i="26"/>
  <c r="B13" i="26"/>
  <c r="B19" i="26"/>
  <c r="B24" i="26"/>
  <c r="B28" i="26"/>
  <c r="B32" i="26"/>
  <c r="B36" i="26"/>
  <c r="B49" i="26"/>
  <c r="B57" i="26"/>
  <c r="B61" i="26"/>
  <c r="B65" i="26"/>
  <c r="B70" i="26"/>
  <c r="B73" i="26"/>
  <c r="B89" i="26"/>
  <c r="B93" i="26"/>
  <c r="B103" i="26"/>
  <c r="B135" i="26"/>
  <c r="B139" i="26"/>
  <c r="B143" i="26"/>
  <c r="B151" i="26"/>
  <c r="B167" i="26"/>
  <c r="B177" i="26"/>
  <c r="B185" i="26"/>
  <c r="B193" i="26"/>
  <c r="B201" i="26"/>
  <c r="B209" i="26"/>
  <c r="B225" i="26"/>
  <c r="B258" i="26"/>
  <c r="B266" i="26"/>
  <c r="B278" i="26"/>
  <c r="B287" i="26"/>
  <c r="B291" i="26"/>
  <c r="B306" i="26"/>
  <c r="B314" i="26"/>
  <c r="D27" i="26"/>
  <c r="D59" i="26"/>
  <c r="D67" i="26"/>
  <c r="D1825" i="27"/>
  <c r="B53" i="26"/>
  <c r="B147" i="26"/>
  <c r="B189" i="26"/>
  <c r="B231" i="26"/>
  <c r="B260" i="26"/>
  <c r="B274" i="26"/>
  <c r="B8" i="26"/>
  <c r="B20" i="26"/>
  <c r="B58" i="26"/>
  <c r="B74" i="26"/>
  <c r="B77" i="26"/>
  <c r="B90" i="26"/>
  <c r="B124" i="26"/>
  <c r="D6" i="26"/>
  <c r="D76" i="26"/>
  <c r="B181" i="26"/>
  <c r="B205" i="26"/>
  <c r="B245" i="26"/>
  <c r="B256" i="26"/>
  <c r="B310" i="26"/>
  <c r="D73" i="26"/>
  <c r="D93" i="26"/>
  <c r="B69" i="26"/>
  <c r="B197" i="26"/>
  <c r="B219" i="26"/>
  <c r="B264" i="26"/>
  <c r="B270" i="26"/>
  <c r="D5" i="26"/>
  <c r="D128" i="26"/>
  <c r="D167" i="26"/>
  <c r="D94" i="26"/>
  <c r="D60" i="26"/>
  <c r="D92" i="26"/>
  <c r="D62" i="26"/>
  <c r="D234" i="26"/>
  <c r="D56" i="26"/>
  <c r="D58" i="26"/>
  <c r="D130" i="26"/>
  <c r="D240" i="26"/>
  <c r="D108" i="26"/>
  <c r="D80" i="26"/>
  <c r="D86" i="26"/>
  <c r="D90" i="26"/>
  <c r="D41" i="26"/>
  <c r="D16" i="26"/>
  <c r="D35" i="26"/>
  <c r="D39" i="26"/>
  <c r="D48" i="26"/>
  <c r="D112" i="26"/>
  <c r="D105" i="26"/>
  <c r="D119" i="26"/>
  <c r="D199" i="26"/>
  <c r="D97" i="26"/>
  <c r="D140" i="26"/>
  <c r="D82" i="26"/>
  <c r="D216" i="26"/>
  <c r="D178" i="26"/>
  <c r="D258" i="26"/>
  <c r="D229" i="26"/>
  <c r="D42" i="26"/>
  <c r="D189" i="26"/>
  <c r="D68" i="26"/>
  <c r="D144" i="26"/>
  <c r="D66" i="26"/>
  <c r="D223" i="26"/>
  <c r="D15" i="26"/>
  <c r="D63" i="26"/>
  <c r="D149" i="26"/>
  <c r="D218" i="26"/>
  <c r="D29" i="26"/>
  <c r="D32" i="26"/>
  <c r="D91" i="26"/>
  <c r="D23" i="26"/>
  <c r="D4" i="26"/>
  <c r="D102" i="26"/>
  <c r="D103" i="26"/>
  <c r="D131" i="26"/>
  <c r="D147" i="26"/>
  <c r="D75" i="26"/>
  <c r="D104" i="26"/>
  <c r="D170" i="26"/>
  <c r="D142" i="26"/>
  <c r="D28" i="26"/>
  <c r="D230" i="26"/>
  <c r="D113" i="26"/>
  <c r="D115" i="26"/>
  <c r="D33" i="26"/>
  <c r="D71" i="26"/>
  <c r="D95" i="26"/>
  <c r="D181" i="26"/>
  <c r="D52" i="26"/>
  <c r="D53" i="26"/>
  <c r="D51" i="26"/>
  <c r="D50" i="26"/>
  <c r="D166" i="26"/>
  <c r="D213" i="26"/>
  <c r="D11" i="26"/>
  <c r="D14" i="26"/>
  <c r="D17" i="26"/>
  <c r="D19" i="26"/>
  <c r="D21" i="26"/>
  <c r="D22" i="26"/>
  <c r="D24" i="26"/>
  <c r="D121" i="26"/>
  <c r="D98" i="26"/>
  <c r="D69" i="26"/>
  <c r="D155" i="26"/>
  <c r="D157" i="26"/>
  <c r="D81" i="26"/>
  <c r="D88" i="26"/>
  <c r="D162" i="26"/>
  <c r="D164" i="26"/>
  <c r="D106" i="26"/>
  <c r="D116" i="26"/>
  <c r="B104" i="26"/>
  <c r="B108" i="26"/>
  <c r="B133" i="26"/>
  <c r="B141" i="26"/>
  <c r="B80" i="26"/>
  <c r="B84" i="26"/>
  <c r="B88" i="26"/>
  <c r="B96" i="26"/>
  <c r="B100" i="26"/>
  <c r="B111" i="26"/>
  <c r="B115" i="26"/>
  <c r="B119" i="26"/>
  <c r="B123" i="26"/>
  <c r="B129" i="26"/>
  <c r="B156" i="26"/>
  <c r="B160" i="26"/>
  <c r="B164" i="26"/>
  <c r="B170" i="26"/>
  <c r="B174" i="26"/>
  <c r="B212" i="26"/>
  <c r="B216" i="26"/>
  <c r="B222" i="26"/>
  <c r="B228" i="26"/>
  <c r="B238" i="26"/>
  <c r="B242" i="26"/>
  <c r="B248" i="26"/>
  <c r="B251" i="26"/>
  <c r="B281" i="26"/>
  <c r="B295" i="26"/>
  <c r="B299" i="26"/>
  <c r="B303" i="26"/>
  <c r="D7" i="23" l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4" i="23" s="1"/>
  <c r="D55" i="23" s="1"/>
  <c r="D56" i="23" s="1"/>
  <c r="D57" i="23" s="1"/>
  <c r="D58" i="23" s="1"/>
  <c r="D59" i="23" s="1"/>
  <c r="D60" i="23" s="1"/>
  <c r="D61" i="23" s="1"/>
  <c r="D62" i="23" s="1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 s="1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D88" i="23" s="1"/>
  <c r="D89" i="23" s="1"/>
  <c r="D90" i="23" s="1"/>
  <c r="D91" i="23" s="1"/>
  <c r="D92" i="23" s="1"/>
  <c r="D93" i="23" s="1"/>
  <c r="D94" i="23" s="1"/>
  <c r="D95" i="23" s="1"/>
  <c r="D96" i="23" s="1"/>
  <c r="D97" i="23" s="1"/>
  <c r="D98" i="23" s="1"/>
  <c r="D99" i="23" s="1"/>
  <c r="D100" i="23" s="1"/>
  <c r="D101" i="23" s="1"/>
  <c r="D102" i="23" s="1"/>
  <c r="D103" i="23" s="1"/>
  <c r="D104" i="23" s="1"/>
  <c r="D105" i="23" s="1"/>
  <c r="D106" i="23" s="1"/>
  <c r="D107" i="23" s="1"/>
  <c r="D108" i="23" s="1"/>
  <c r="D109" i="23" s="1"/>
  <c r="D110" i="23" s="1"/>
  <c r="D111" i="23" s="1"/>
  <c r="D112" i="23" s="1"/>
  <c r="D113" i="23" s="1"/>
  <c r="D114" i="23" s="1"/>
  <c r="D115" i="23" s="1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D133" i="23" s="1"/>
  <c r="D134" i="23" s="1"/>
  <c r="D135" i="23" s="1"/>
  <c r="D136" i="23" s="1"/>
  <c r="D137" i="23" s="1"/>
  <c r="D138" i="23" s="1"/>
  <c r="D139" i="23" s="1"/>
  <c r="D140" i="23" s="1"/>
  <c r="D141" i="23" s="1"/>
  <c r="D142" i="23" s="1"/>
  <c r="D143" i="23" s="1"/>
  <c r="D144" i="23" s="1"/>
  <c r="D145" i="23" s="1"/>
  <c r="D146" i="23" s="1"/>
  <c r="D147" i="23" s="1"/>
  <c r="D148" i="23" s="1"/>
  <c r="D149" i="23" s="1"/>
  <c r="D150" i="23" s="1"/>
  <c r="D151" i="23" s="1"/>
  <c r="D152" i="23" s="1"/>
  <c r="D153" i="23" s="1"/>
  <c r="D154" i="23" s="1"/>
  <c r="A23" i="25"/>
  <c r="A55" i="25"/>
  <c r="A32" i="25"/>
  <c r="A127" i="25"/>
  <c r="A169" i="25"/>
  <c r="A170" i="25" s="1"/>
  <c r="A148" i="25" s="1"/>
  <c r="A174" i="25" s="1"/>
  <c r="A175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C6" i="23"/>
  <c r="A24" i="25" l="1"/>
  <c r="D155" i="23"/>
  <c r="C154" i="23"/>
  <c r="C7" i="23"/>
  <c r="A138" i="25"/>
  <c r="A42" i="25"/>
  <c r="A128" i="25"/>
  <c r="A129" i="25" s="1"/>
  <c r="A130" i="25" s="1"/>
  <c r="A131" i="25" s="1"/>
  <c r="A132" i="25" s="1"/>
  <c r="C8" i="23"/>
  <c r="D156" i="23" l="1"/>
  <c r="C155" i="23"/>
  <c r="A87" i="25"/>
  <c r="A88" i="25" s="1"/>
  <c r="A89" i="25" s="1"/>
  <c r="A103" i="25" s="1"/>
  <c r="A105" i="25" s="1"/>
  <c r="A106" i="25" s="1"/>
  <c r="A107" i="25" s="1"/>
  <c r="A47" i="25"/>
  <c r="A48" i="25" s="1"/>
  <c r="A49" i="25" s="1"/>
  <c r="A50" i="25" s="1"/>
  <c r="C9" i="23"/>
  <c r="D157" i="23" l="1"/>
  <c r="D158" i="23" s="1"/>
  <c r="D159" i="23" s="1"/>
  <c r="D160" i="23" s="1"/>
  <c r="D161" i="23" s="1"/>
  <c r="D162" i="23" s="1"/>
  <c r="D163" i="23" s="1"/>
  <c r="D164" i="23" s="1"/>
  <c r="D165" i="23" s="1"/>
  <c r="D166" i="23" s="1"/>
  <c r="D167" i="23" s="1"/>
  <c r="D168" i="23" s="1"/>
  <c r="D169" i="23" s="1"/>
  <c r="D170" i="23" s="1"/>
  <c r="D171" i="23" s="1"/>
  <c r="D172" i="23" s="1"/>
  <c r="D173" i="23" s="1"/>
  <c r="D174" i="23" s="1"/>
  <c r="D175" i="23" s="1"/>
  <c r="D176" i="23" s="1"/>
  <c r="D177" i="23" s="1"/>
  <c r="D178" i="23" s="1"/>
  <c r="D179" i="23" s="1"/>
  <c r="D180" i="23" s="1"/>
  <c r="D181" i="23" s="1"/>
  <c r="D182" i="23" s="1"/>
  <c r="D183" i="23" s="1"/>
  <c r="D184" i="23" s="1"/>
  <c r="D185" i="23" s="1"/>
  <c r="D186" i="23" s="1"/>
  <c r="D187" i="23" s="1"/>
  <c r="D188" i="23" s="1"/>
  <c r="D189" i="23" s="1"/>
  <c r="D190" i="23" s="1"/>
  <c r="D191" i="23" s="1"/>
  <c r="D192" i="23" s="1"/>
  <c r="D193" i="23" s="1"/>
  <c r="C156" i="23"/>
  <c r="D8" i="38"/>
  <c r="D9" i="38" s="1"/>
  <c r="C9" i="38" s="1"/>
  <c r="D6" i="24"/>
  <c r="D7" i="24" s="1"/>
  <c r="D8" i="24" s="1"/>
  <c r="D9" i="24" s="1"/>
  <c r="D10" i="24" s="1"/>
  <c r="D11" i="24" s="1"/>
  <c r="D12" i="24" s="1"/>
  <c r="D13" i="24" s="1"/>
  <c r="D14" i="24" s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D27" i="24" s="1"/>
  <c r="D28" i="24" s="1"/>
  <c r="D29" i="24" s="1"/>
  <c r="D30" i="24" s="1"/>
  <c r="D31" i="24" s="1"/>
  <c r="D32" i="24" s="1"/>
  <c r="D33" i="24" s="1"/>
  <c r="D34" i="24" s="1"/>
  <c r="D35" i="24" s="1"/>
  <c r="D36" i="24" s="1"/>
  <c r="D37" i="24" s="1"/>
  <c r="D38" i="24" s="1"/>
  <c r="D39" i="24" s="1"/>
  <c r="D40" i="24" s="1"/>
  <c r="D41" i="24" s="1"/>
  <c r="D42" i="24" s="1"/>
  <c r="D43" i="24" s="1"/>
  <c r="D44" i="24" s="1"/>
  <c r="D45" i="24" s="1"/>
  <c r="D46" i="24" s="1"/>
  <c r="D47" i="24" s="1"/>
  <c r="D48" i="24" s="1"/>
  <c r="D49" i="24" s="1"/>
  <c r="D50" i="24" s="1"/>
  <c r="D51" i="24" s="1"/>
  <c r="D52" i="24" s="1"/>
  <c r="C52" i="24" l="1"/>
  <c r="D53" i="24"/>
  <c r="D54" i="24" s="1"/>
  <c r="D55" i="24" s="1"/>
  <c r="D56" i="24" s="1"/>
  <c r="D57" i="24" s="1"/>
  <c r="D58" i="24" s="1"/>
  <c r="D59" i="24" s="1"/>
  <c r="D60" i="24" s="1"/>
  <c r="D61" i="24" s="1"/>
  <c r="D62" i="24" s="1"/>
  <c r="D63" i="24" s="1"/>
  <c r="D64" i="24" s="1"/>
  <c r="D65" i="24" s="1"/>
  <c r="D66" i="24" s="1"/>
  <c r="D67" i="24" s="1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D92" i="24" s="1"/>
  <c r="D93" i="24" s="1"/>
  <c r="D94" i="24" s="1"/>
  <c r="D95" i="24" s="1"/>
  <c r="D96" i="24" s="1"/>
  <c r="D97" i="24" s="1"/>
  <c r="D98" i="24" s="1"/>
  <c r="D99" i="24" s="1"/>
  <c r="D100" i="24" s="1"/>
  <c r="D101" i="24" s="1"/>
  <c r="D102" i="24" s="1"/>
  <c r="D103" i="24" s="1"/>
  <c r="D104" i="24" s="1"/>
  <c r="D105" i="24" s="1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D124" i="24" s="1"/>
  <c r="D125" i="24" s="1"/>
  <c r="D126" i="24" s="1"/>
  <c r="D127" i="24" s="1"/>
  <c r="D128" i="24" s="1"/>
  <c r="D129" i="24" s="1"/>
  <c r="D130" i="24" s="1"/>
  <c r="D131" i="24" s="1"/>
  <c r="D132" i="24" s="1"/>
  <c r="D133" i="24" s="1"/>
  <c r="D134" i="24" s="1"/>
  <c r="D135" i="24" s="1"/>
  <c r="D136" i="24" s="1"/>
  <c r="D137" i="24" s="1"/>
  <c r="D138" i="24" s="1"/>
  <c r="D139" i="24" s="1"/>
  <c r="D140" i="24" s="1"/>
  <c r="D141" i="24" s="1"/>
  <c r="D142" i="24" s="1"/>
  <c r="D143" i="24" s="1"/>
  <c r="D144" i="24" s="1"/>
  <c r="D145" i="24" s="1"/>
  <c r="D146" i="24" s="1"/>
  <c r="D147" i="24" s="1"/>
  <c r="D148" i="24" s="1"/>
  <c r="D149" i="24" s="1"/>
  <c r="D150" i="24" s="1"/>
  <c r="D151" i="24" s="1"/>
  <c r="D152" i="24" s="1"/>
  <c r="D153" i="24" s="1"/>
  <c r="D154" i="24" s="1"/>
  <c r="D155" i="24" s="1"/>
  <c r="D156" i="24" s="1"/>
  <c r="D157" i="24" s="1"/>
  <c r="D158" i="24" s="1"/>
  <c r="D159" i="24" s="1"/>
  <c r="D160" i="24" s="1"/>
  <c r="D161" i="24" s="1"/>
  <c r="D162" i="24" s="1"/>
  <c r="D163" i="24" s="1"/>
  <c r="D164" i="24" s="1"/>
  <c r="D165" i="24" s="1"/>
  <c r="D166" i="24" s="1"/>
  <c r="D167" i="24" s="1"/>
  <c r="D168" i="24" s="1"/>
  <c r="D169" i="24" s="1"/>
  <c r="D170" i="24" s="1"/>
  <c r="D171" i="24" s="1"/>
  <c r="D10" i="38"/>
  <c r="C7" i="24"/>
  <c r="D172" i="24" l="1"/>
  <c r="D173" i="24" s="1"/>
  <c r="D174" i="24" s="1"/>
  <c r="D175" i="24" s="1"/>
  <c r="D176" i="24" s="1"/>
  <c r="D177" i="24" s="1"/>
  <c r="D178" i="24" s="1"/>
  <c r="D179" i="24" s="1"/>
  <c r="D180" i="24" s="1"/>
  <c r="D181" i="24" s="1"/>
  <c r="D182" i="24" s="1"/>
  <c r="D183" i="24" s="1"/>
  <c r="D184" i="24" s="1"/>
  <c r="D185" i="24" s="1"/>
  <c r="D186" i="24" s="1"/>
  <c r="D187" i="24" s="1"/>
  <c r="D188" i="24" s="1"/>
  <c r="D189" i="24" s="1"/>
  <c r="D190" i="24" s="1"/>
  <c r="D191" i="24" s="1"/>
  <c r="D192" i="24" s="1"/>
  <c r="D193" i="24" s="1"/>
  <c r="D194" i="24" s="1"/>
  <c r="D195" i="24" s="1"/>
  <c r="D196" i="24" s="1"/>
  <c r="D197" i="24" s="1"/>
  <c r="D198" i="24" s="1"/>
  <c r="D199" i="24" s="1"/>
  <c r="D200" i="24" s="1"/>
  <c r="D201" i="24" s="1"/>
  <c r="D202" i="24" s="1"/>
  <c r="D203" i="24" s="1"/>
  <c r="D204" i="24" s="1"/>
  <c r="D205" i="24" s="1"/>
  <c r="D206" i="24" s="1"/>
  <c r="D207" i="24" s="1"/>
  <c r="D208" i="24" s="1"/>
  <c r="D209" i="24" s="1"/>
  <c r="D210" i="24" s="1"/>
  <c r="D211" i="24" s="1"/>
  <c r="D212" i="24" s="1"/>
  <c r="D213" i="24" s="1"/>
  <c r="D214" i="24" s="1"/>
  <c r="D215" i="24" s="1"/>
  <c r="D216" i="24" s="1"/>
  <c r="D217" i="24" s="1"/>
  <c r="D218" i="24" s="1"/>
  <c r="D219" i="24" s="1"/>
  <c r="D220" i="24" s="1"/>
  <c r="D221" i="24" s="1"/>
  <c r="D222" i="24" s="1"/>
  <c r="D223" i="24" s="1"/>
  <c r="D224" i="24" s="1"/>
  <c r="D225" i="24" s="1"/>
  <c r="D226" i="24" s="1"/>
  <c r="D227" i="24" s="1"/>
  <c r="D228" i="24" s="1"/>
  <c r="D229" i="24" s="1"/>
  <c r="D230" i="24" s="1"/>
  <c r="D231" i="24" s="1"/>
  <c r="D232" i="24" s="1"/>
  <c r="D233" i="24" s="1"/>
  <c r="D234" i="24" s="1"/>
  <c r="D235" i="24" s="1"/>
  <c r="D236" i="24" s="1"/>
  <c r="C171" i="24"/>
  <c r="D11" i="38"/>
  <c r="D12" i="38" s="1"/>
  <c r="C12" i="38" s="1"/>
  <c r="C10" i="38"/>
  <c r="C8" i="24"/>
  <c r="D237" i="24" l="1"/>
  <c r="C236" i="24"/>
  <c r="C11" i="38"/>
  <c r="D13" i="38"/>
  <c r="C9" i="24"/>
  <c r="D238" i="24" l="1"/>
  <c r="D239" i="24" s="1"/>
  <c r="D240" i="24" s="1"/>
  <c r="D241" i="24" s="1"/>
  <c r="D242" i="24" s="1"/>
  <c r="D243" i="24" s="1"/>
  <c r="D244" i="24" s="1"/>
  <c r="D245" i="24" s="1"/>
  <c r="D246" i="24" s="1"/>
  <c r="D247" i="24" s="1"/>
  <c r="D248" i="24" s="1"/>
  <c r="D249" i="24" s="1"/>
  <c r="D250" i="24" s="1"/>
  <c r="D251" i="24" s="1"/>
  <c r="D252" i="24" s="1"/>
  <c r="D253" i="24" s="1"/>
  <c r="D254" i="24" s="1"/>
  <c r="D255" i="24" s="1"/>
  <c r="D256" i="24" s="1"/>
  <c r="D257" i="24" s="1"/>
  <c r="D258" i="24" s="1"/>
  <c r="D259" i="24" s="1"/>
  <c r="D260" i="24" s="1"/>
  <c r="D261" i="24" s="1"/>
  <c r="D262" i="24" s="1"/>
  <c r="D263" i="24" s="1"/>
  <c r="D264" i="24" s="1"/>
  <c r="D265" i="24" s="1"/>
  <c r="D266" i="24" s="1"/>
  <c r="D267" i="24" s="1"/>
  <c r="D268" i="24" s="1"/>
  <c r="D269" i="24" s="1"/>
  <c r="D270" i="24" s="1"/>
  <c r="D271" i="24" s="1"/>
  <c r="D272" i="24" s="1"/>
  <c r="D273" i="24" s="1"/>
  <c r="D274" i="24" s="1"/>
  <c r="D275" i="24" s="1"/>
  <c r="D276" i="24" s="1"/>
  <c r="D277" i="24" s="1"/>
  <c r="D278" i="24" s="1"/>
  <c r="D279" i="24" s="1"/>
  <c r="D280" i="24" s="1"/>
  <c r="C237" i="24"/>
  <c r="D14" i="38"/>
  <c r="C13" i="38"/>
  <c r="C10" i="24"/>
  <c r="C10" i="23"/>
  <c r="C11" i="23" l="1"/>
  <c r="D15" i="38"/>
  <c r="C14" i="38"/>
  <c r="C11" i="24"/>
  <c r="C12" i="23" l="1"/>
  <c r="D16" i="38"/>
  <c r="C15" i="38"/>
  <c r="C12" i="24"/>
  <c r="C13" i="23" l="1"/>
  <c r="C16" i="38"/>
  <c r="D17" i="38"/>
  <c r="C14" i="23" l="1"/>
  <c r="D18" i="38"/>
  <c r="C17" i="38"/>
  <c r="C15" i="23" l="1"/>
  <c r="C18" i="38"/>
  <c r="D19" i="38"/>
  <c r="C16" i="23" l="1"/>
  <c r="C19" i="38"/>
  <c r="D20" i="38"/>
  <c r="C17" i="23" l="1"/>
  <c r="D21" i="38"/>
  <c r="C20" i="38"/>
  <c r="C18" i="23" l="1"/>
  <c r="C19" i="23"/>
  <c r="C21" i="38"/>
  <c r="C8" i="29"/>
  <c r="C21" i="23" l="1"/>
  <c r="C9" i="29"/>
  <c r="D22" i="38"/>
  <c r="D23" i="38" s="1"/>
  <c r="C23" i="38" s="1"/>
  <c r="C7" i="29"/>
  <c r="C23" i="23" l="1"/>
  <c r="C22" i="23"/>
  <c r="C11" i="29"/>
  <c r="D24" i="38"/>
  <c r="D25" i="38" s="1"/>
  <c r="C10" i="29" l="1"/>
  <c r="C25" i="38"/>
  <c r="D26" i="38"/>
  <c r="D27" i="38" l="1"/>
  <c r="C26" i="38"/>
  <c r="C27" i="38" l="1"/>
  <c r="D28" i="38"/>
  <c r="D29" i="38" s="1"/>
  <c r="C29" i="38" l="1"/>
  <c r="D30" i="38"/>
  <c r="D31" i="38" s="1"/>
  <c r="D32" i="38" s="1"/>
  <c r="C32" i="38" l="1"/>
  <c r="D33" i="38"/>
  <c r="D34" i="38" l="1"/>
  <c r="C33" i="38"/>
  <c r="D35" i="38" l="1"/>
  <c r="C34" i="38"/>
  <c r="C35" i="38" l="1"/>
  <c r="D36" i="38"/>
  <c r="C36" i="38" l="1"/>
  <c r="D37" i="38"/>
  <c r="D38" i="38" s="1"/>
  <c r="D39" i="38" l="1"/>
  <c r="C38" i="38"/>
  <c r="C39" i="38" l="1"/>
  <c r="D40" i="38"/>
  <c r="D41" i="38" s="1"/>
  <c r="D42" i="38" s="1"/>
  <c r="D43" i="38" s="1"/>
  <c r="D44" i="38" s="1"/>
  <c r="D45" i="38" s="1"/>
  <c r="C45" i="38" l="1"/>
  <c r="D46" i="38"/>
  <c r="C46" i="38" l="1"/>
  <c r="D47" i="38"/>
  <c r="D48" i="38" l="1"/>
  <c r="C47" i="38"/>
  <c r="D49" i="38" l="1"/>
  <c r="C48" i="38"/>
  <c r="D50" i="38" l="1"/>
  <c r="C49" i="38"/>
  <c r="D51" i="38" l="1"/>
  <c r="C50" i="38"/>
  <c r="D52" i="38" l="1"/>
  <c r="C51" i="38"/>
  <c r="D53" i="38" l="1"/>
  <c r="C52" i="38"/>
  <c r="C25" i="23" l="1"/>
  <c r="C27" i="23"/>
  <c r="C24" i="23"/>
  <c r="D54" i="38"/>
  <c r="C53" i="38"/>
  <c r="D55" i="38" l="1"/>
  <c r="D56" i="38" s="1"/>
  <c r="D57" i="38" s="1"/>
  <c r="C54" i="38"/>
  <c r="D58" i="38" l="1"/>
  <c r="C57" i="38"/>
  <c r="D59" i="38" l="1"/>
  <c r="C58" i="38"/>
  <c r="D60" i="38" l="1"/>
  <c r="C59" i="38"/>
  <c r="D61" i="38" l="1"/>
  <c r="C60" i="38"/>
  <c r="D62" i="38" l="1"/>
  <c r="C61" i="38"/>
  <c r="D63" i="38" l="1"/>
  <c r="C62" i="38"/>
  <c r="C63" i="38" l="1"/>
  <c r="D64" i="38"/>
  <c r="C64" i="38" l="1"/>
  <c r="D65" i="38"/>
  <c r="D66" i="38" s="1"/>
  <c r="D67" i="38" s="1"/>
  <c r="D68" i="38" s="1"/>
  <c r="D69" i="38" s="1"/>
  <c r="D70" i="38" s="1"/>
  <c r="D71" i="38" s="1"/>
  <c r="D72" i="38" s="1"/>
  <c r="D73" i="38" l="1"/>
  <c r="C72" i="38"/>
  <c r="D74" i="38" l="1"/>
  <c r="C73" i="38"/>
  <c r="C74" i="38" l="1"/>
  <c r="C157" i="23" l="1"/>
  <c r="C158" i="23" l="1"/>
  <c r="C159" i="23" l="1"/>
  <c r="C160" i="23" l="1"/>
  <c r="C161" i="23" l="1"/>
  <c r="C162" i="23" l="1"/>
  <c r="C163" i="23" l="1"/>
  <c r="C164" i="23" l="1"/>
  <c r="C165" i="23" l="1"/>
  <c r="C166" i="23" l="1"/>
  <c r="C167" i="23" l="1"/>
  <c r="C168" i="23" l="1"/>
  <c r="C169" i="23" l="1"/>
  <c r="C170" i="23" l="1"/>
  <c r="C171" i="23" l="1"/>
  <c r="C172" i="23" l="1"/>
  <c r="C173" i="23" l="1"/>
  <c r="C174" i="23" l="1"/>
  <c r="C175" i="23" l="1"/>
  <c r="C176" i="23" l="1"/>
  <c r="C177" i="23" l="1"/>
  <c r="C178" i="23" l="1"/>
  <c r="C179" i="23" l="1"/>
  <c r="C180" i="23" l="1"/>
  <c r="C181" i="23" l="1"/>
  <c r="C182" i="23" l="1"/>
  <c r="C183" i="23" l="1"/>
  <c r="C184" i="23" l="1"/>
  <c r="C185" i="23" l="1"/>
  <c r="C186" i="23" l="1"/>
  <c r="C187" i="23" l="1"/>
  <c r="C188" i="23" l="1"/>
  <c r="C189" i="23" l="1"/>
  <c r="C190" i="23" l="1"/>
  <c r="C191" i="23" l="1"/>
  <c r="C193" i="23" l="1"/>
  <c r="C192" i="23"/>
  <c r="D6" i="20" l="1"/>
  <c r="D7" i="20" l="1"/>
  <c r="D8" i="20" s="1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D43" i="20" s="1"/>
  <c r="D44" i="20" s="1"/>
  <c r="D45" i="20" s="1"/>
  <c r="D46" i="20" s="1"/>
  <c r="D47" i="20" s="1"/>
  <c r="D48" i="20" s="1"/>
  <c r="D49" i="20" s="1"/>
  <c r="D50" i="20" s="1"/>
  <c r="D51" i="20" s="1"/>
  <c r="D52" i="20" s="1"/>
  <c r="D53" i="20" s="1"/>
  <c r="D54" i="20" s="1"/>
  <c r="D55" i="20" s="1"/>
  <c r="D56" i="20" s="1"/>
  <c r="D57" i="20" s="1"/>
  <c r="D58" i="20" s="1"/>
  <c r="D59" i="20" s="1"/>
  <c r="D60" i="20" s="1"/>
  <c r="D61" i="20" s="1"/>
  <c r="D62" i="20" s="1"/>
  <c r="D63" i="20" s="1"/>
  <c r="D64" i="20" s="1"/>
  <c r="D65" i="20" s="1"/>
  <c r="D66" i="20" s="1"/>
  <c r="D67" i="20" s="1"/>
  <c r="D68" i="20" s="1"/>
  <c r="D69" i="20" s="1"/>
  <c r="D70" i="20" s="1"/>
  <c r="D71" i="20" s="1"/>
  <c r="D72" i="20" s="1"/>
  <c r="D73" i="20" s="1"/>
  <c r="D74" i="20" s="1"/>
  <c r="D75" i="20" s="1"/>
  <c r="D76" i="20" s="1"/>
  <c r="D77" i="20" s="1"/>
  <c r="D78" i="20" s="1"/>
  <c r="D79" i="20" s="1"/>
  <c r="D80" i="20" s="1"/>
  <c r="C6" i="20"/>
  <c r="C8" i="20" l="1"/>
  <c r="C80" i="20"/>
  <c r="D81" i="20"/>
  <c r="D82" i="20" s="1"/>
  <c r="D83" i="20" s="1"/>
  <c r="D84" i="20" s="1"/>
  <c r="D85" i="20" s="1"/>
  <c r="D86" i="20" s="1"/>
  <c r="D87" i="20" s="1"/>
  <c r="D88" i="20" s="1"/>
  <c r="D89" i="20" s="1"/>
  <c r="D90" i="20" s="1"/>
  <c r="D91" i="20" s="1"/>
  <c r="D92" i="20" s="1"/>
  <c r="D93" i="20" s="1"/>
  <c r="D94" i="20" s="1"/>
  <c r="D95" i="20" s="1"/>
  <c r="D96" i="20" s="1"/>
  <c r="D97" i="20" s="1"/>
  <c r="D98" i="20" s="1"/>
  <c r="D99" i="20" s="1"/>
  <c r="D100" i="20" s="1"/>
  <c r="D101" i="20" s="1"/>
  <c r="D102" i="20" s="1"/>
  <c r="C7" i="20"/>
  <c r="D6" i="25"/>
  <c r="D7" i="25" l="1"/>
  <c r="D8" i="25" s="1"/>
  <c r="D9" i="25" s="1"/>
  <c r="D10" i="25" s="1"/>
  <c r="D11" i="25" s="1"/>
  <c r="D12" i="25" s="1"/>
  <c r="D13" i="25" s="1"/>
  <c r="D14" i="25" s="1"/>
  <c r="D15" i="25" s="1"/>
  <c r="D16" i="25" s="1"/>
  <c r="D17" i="25" s="1"/>
  <c r="D18" i="25" s="1"/>
  <c r="D19" i="25" s="1"/>
  <c r="D20" i="25" s="1"/>
  <c r="D21" i="25" s="1"/>
  <c r="D22" i="25" s="1"/>
  <c r="D23" i="25" s="1"/>
  <c r="D24" i="25" s="1"/>
  <c r="D25" i="25" s="1"/>
  <c r="D26" i="25" s="1"/>
  <c r="D27" i="25" s="1"/>
  <c r="D28" i="25" s="1"/>
  <c r="D29" i="25" s="1"/>
  <c r="D30" i="25" s="1"/>
  <c r="D31" i="25" s="1"/>
  <c r="D32" i="25" s="1"/>
  <c r="D33" i="25" s="1"/>
  <c r="D34" i="25" s="1"/>
  <c r="D35" i="25" s="1"/>
  <c r="D36" i="25" s="1"/>
  <c r="D37" i="25" s="1"/>
  <c r="D38" i="25" s="1"/>
  <c r="D39" i="25" s="1"/>
  <c r="D40" i="25" s="1"/>
  <c r="D41" i="25" s="1"/>
  <c r="D42" i="25" s="1"/>
  <c r="D43" i="25" s="1"/>
  <c r="D44" i="25" s="1"/>
  <c r="D45" i="25" s="1"/>
  <c r="D46" i="25" s="1"/>
  <c r="D47" i="25" s="1"/>
  <c r="D48" i="25" s="1"/>
  <c r="D49" i="25" s="1"/>
  <c r="D50" i="25" s="1"/>
  <c r="D51" i="25" s="1"/>
  <c r="D52" i="25" s="1"/>
  <c r="D53" i="25" s="1"/>
  <c r="D54" i="25" s="1"/>
  <c r="D55" i="25" s="1"/>
  <c r="D56" i="25" s="1"/>
  <c r="D57" i="25" s="1"/>
  <c r="D58" i="25" s="1"/>
  <c r="D59" i="25" s="1"/>
  <c r="D60" i="25" s="1"/>
  <c r="D61" i="25" s="1"/>
  <c r="D62" i="25" s="1"/>
  <c r="D63" i="25" s="1"/>
  <c r="D64" i="25" s="1"/>
  <c r="D65" i="25" s="1"/>
  <c r="D66" i="25" s="1"/>
  <c r="D67" i="25" s="1"/>
  <c r="D68" i="25" s="1"/>
  <c r="D69" i="25" s="1"/>
  <c r="D70" i="25" s="1"/>
  <c r="D71" i="25" s="1"/>
  <c r="D72" i="25" s="1"/>
  <c r="D73" i="25" s="1"/>
  <c r="D74" i="25" s="1"/>
  <c r="D75" i="25" s="1"/>
  <c r="D76" i="25" s="1"/>
  <c r="D77" i="25" s="1"/>
  <c r="D78" i="25" s="1"/>
  <c r="D79" i="25" s="1"/>
  <c r="D80" i="25" s="1"/>
  <c r="D81" i="25" s="1"/>
  <c r="D82" i="25" s="1"/>
  <c r="D83" i="25" s="1"/>
  <c r="D84" i="25" s="1"/>
  <c r="D85" i="25" s="1"/>
  <c r="D86" i="25" s="1"/>
  <c r="D87" i="25" s="1"/>
  <c r="D88" i="25" s="1"/>
  <c r="D89" i="25" s="1"/>
  <c r="D90" i="25" s="1"/>
  <c r="D91" i="25" s="1"/>
  <c r="D92" i="25" s="1"/>
  <c r="D93" i="25" s="1"/>
  <c r="D94" i="25" s="1"/>
  <c r="D95" i="25" s="1"/>
  <c r="D96" i="25" s="1"/>
  <c r="D97" i="25" s="1"/>
  <c r="D98" i="25" s="1"/>
  <c r="D99" i="25" s="1"/>
  <c r="D100" i="25" s="1"/>
  <c r="D101" i="25" s="1"/>
  <c r="D102" i="25" s="1"/>
  <c r="D103" i="25" s="1"/>
  <c r="D104" i="25" s="1"/>
  <c r="D105" i="25" s="1"/>
  <c r="D106" i="25" s="1"/>
  <c r="D107" i="25" s="1"/>
  <c r="D108" i="25" s="1"/>
  <c r="D109" i="25" s="1"/>
  <c r="D110" i="25" s="1"/>
  <c r="D111" i="25" s="1"/>
  <c r="D112" i="25" s="1"/>
  <c r="D113" i="25" s="1"/>
  <c r="D114" i="25" s="1"/>
  <c r="D115" i="25" s="1"/>
  <c r="D116" i="25" s="1"/>
  <c r="D117" i="25" s="1"/>
  <c r="D118" i="25" s="1"/>
  <c r="D119" i="25" s="1"/>
  <c r="D120" i="25" s="1"/>
  <c r="D121" i="25" s="1"/>
  <c r="D122" i="25" s="1"/>
  <c r="D123" i="25" s="1"/>
  <c r="D124" i="25" s="1"/>
  <c r="D125" i="25" s="1"/>
  <c r="D126" i="25" s="1"/>
  <c r="D127" i="25" s="1"/>
  <c r="D128" i="25" s="1"/>
  <c r="D129" i="25" s="1"/>
  <c r="D130" i="25" s="1"/>
  <c r="D131" i="25" s="1"/>
  <c r="D132" i="25" s="1"/>
  <c r="D133" i="25" s="1"/>
  <c r="D134" i="25" s="1"/>
  <c r="D135" i="25" s="1"/>
  <c r="D136" i="25" s="1"/>
  <c r="D137" i="25" s="1"/>
  <c r="D138" i="25" s="1"/>
  <c r="D139" i="25" s="1"/>
  <c r="D140" i="25" s="1"/>
  <c r="D141" i="25" s="1"/>
  <c r="D142" i="25" s="1"/>
  <c r="D143" i="25" s="1"/>
  <c r="D144" i="25" s="1"/>
  <c r="D145" i="25" s="1"/>
  <c r="D146" i="25" s="1"/>
  <c r="D147" i="25" s="1"/>
  <c r="D148" i="25" s="1"/>
  <c r="D149" i="25" s="1"/>
  <c r="D150" i="25" s="1"/>
  <c r="D151" i="25" s="1"/>
  <c r="D152" i="25" s="1"/>
  <c r="D153" i="25" s="1"/>
  <c r="D154" i="25" s="1"/>
  <c r="D155" i="25" s="1"/>
  <c r="D156" i="25" s="1"/>
  <c r="D157" i="25" s="1"/>
  <c r="D158" i="25" s="1"/>
  <c r="D159" i="25" s="1"/>
  <c r="D160" i="25" s="1"/>
  <c r="D161" i="25" s="1"/>
  <c r="D162" i="25" s="1"/>
  <c r="D163" i="25" s="1"/>
  <c r="D164" i="25" s="1"/>
  <c r="D165" i="25" s="1"/>
  <c r="D166" i="25" s="1"/>
  <c r="D167" i="25" s="1"/>
  <c r="D168" i="25" s="1"/>
  <c r="D169" i="25" s="1"/>
  <c r="D170" i="25" s="1"/>
  <c r="D171" i="25" s="1"/>
  <c r="D172" i="25" s="1"/>
  <c r="D173" i="25" s="1"/>
  <c r="D174" i="25" s="1"/>
  <c r="D175" i="25" s="1"/>
  <c r="D176" i="25" s="1"/>
  <c r="D177" i="25" s="1"/>
  <c r="D178" i="25" s="1"/>
  <c r="D179" i="25" s="1"/>
  <c r="D180" i="25" s="1"/>
  <c r="D181" i="25" s="1"/>
  <c r="D182" i="25" s="1"/>
  <c r="D183" i="25" s="1"/>
  <c r="D184" i="25" s="1"/>
  <c r="D185" i="25" s="1"/>
  <c r="D186" i="25" s="1"/>
  <c r="D187" i="25" s="1"/>
  <c r="D188" i="25" s="1"/>
  <c r="D103" i="20"/>
  <c r="D104" i="20" s="1"/>
  <c r="D105" i="20" s="1"/>
  <c r="D106" i="20" s="1"/>
  <c r="D107" i="20" s="1"/>
  <c r="D108" i="20" s="1"/>
  <c r="D109" i="20" s="1"/>
  <c r="D110" i="20" s="1"/>
  <c r="D111" i="20" s="1"/>
  <c r="D112" i="20" s="1"/>
  <c r="D113" i="20" s="1"/>
  <c r="D114" i="20" s="1"/>
  <c r="D115" i="20" s="1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D127" i="20" s="1"/>
  <c r="D128" i="20" s="1"/>
  <c r="D129" i="20" s="1"/>
  <c r="D130" i="20" s="1"/>
  <c r="D131" i="20" s="1"/>
  <c r="D132" i="20" s="1"/>
  <c r="D133" i="20" s="1"/>
  <c r="D134" i="20" s="1"/>
  <c r="D135" i="20" s="1"/>
  <c r="D136" i="20" s="1"/>
  <c r="D137" i="20" s="1"/>
  <c r="D138" i="20" s="1"/>
  <c r="D139" i="20" s="1"/>
  <c r="D140" i="20" s="1"/>
  <c r="D141" i="20" s="1"/>
  <c r="D142" i="20" s="1"/>
  <c r="D143" i="20" s="1"/>
  <c r="D144" i="20" s="1"/>
  <c r="D145" i="20" s="1"/>
  <c r="D146" i="20" s="1"/>
  <c r="D147" i="20" s="1"/>
  <c r="D148" i="20" s="1"/>
  <c r="D149" i="20" s="1"/>
  <c r="D150" i="20" s="1"/>
  <c r="D151" i="20" s="1"/>
  <c r="D152" i="20" s="1"/>
  <c r="D153" i="20" s="1"/>
  <c r="D154" i="20" s="1"/>
  <c r="D155" i="20" s="1"/>
  <c r="D156" i="20" s="1"/>
  <c r="D157" i="20" s="1"/>
  <c r="D158" i="20" s="1"/>
  <c r="D159" i="20" s="1"/>
  <c r="D160" i="20" s="1"/>
  <c r="D161" i="20" s="1"/>
  <c r="D162" i="20" s="1"/>
  <c r="D163" i="20" s="1"/>
  <c r="D164" i="20" s="1"/>
  <c r="D165" i="20" s="1"/>
  <c r="D166" i="20" s="1"/>
  <c r="D167" i="20" s="1"/>
  <c r="D168" i="20" s="1"/>
  <c r="D169" i="20" s="1"/>
  <c r="D170" i="20" s="1"/>
  <c r="D171" i="20" s="1"/>
  <c r="D172" i="20" s="1"/>
  <c r="D173" i="20" s="1"/>
  <c r="D174" i="20" s="1"/>
  <c r="D175" i="20" s="1"/>
  <c r="D176" i="20" s="1"/>
  <c r="D177" i="20" s="1"/>
  <c r="D178" i="20" s="1"/>
  <c r="D179" i="20" s="1"/>
  <c r="D180" i="20" s="1"/>
  <c r="D181" i="20" s="1"/>
  <c r="D182" i="20" s="1"/>
  <c r="D183" i="20" s="1"/>
  <c r="D184" i="20" s="1"/>
  <c r="D185" i="20" s="1"/>
  <c r="D186" i="20" s="1"/>
  <c r="D187" i="20" s="1"/>
  <c r="D188" i="20" s="1"/>
  <c r="D189" i="20" s="1"/>
  <c r="D190" i="20" s="1"/>
  <c r="D191" i="20" s="1"/>
  <c r="D192" i="20" s="1"/>
  <c r="D193" i="20" s="1"/>
  <c r="D194" i="20" s="1"/>
  <c r="D195" i="20" s="1"/>
  <c r="D196" i="20" s="1"/>
  <c r="D197" i="20" s="1"/>
  <c r="D198" i="20" s="1"/>
  <c r="D199" i="20" s="1"/>
  <c r="D200" i="20" s="1"/>
  <c r="D201" i="20" s="1"/>
  <c r="D202" i="20" s="1"/>
  <c r="D203" i="20" s="1"/>
  <c r="D204" i="20" s="1"/>
  <c r="D205" i="20" s="1"/>
  <c r="D206" i="20" s="1"/>
  <c r="D207" i="20" s="1"/>
  <c r="D208" i="20" s="1"/>
  <c r="D209" i="20" s="1"/>
  <c r="D210" i="20" s="1"/>
  <c r="D211" i="20" s="1"/>
  <c r="D212" i="20" s="1"/>
  <c r="D213" i="20" s="1"/>
  <c r="D214" i="20" s="1"/>
  <c r="D215" i="20" s="1"/>
  <c r="D216" i="20" s="1"/>
  <c r="D217" i="20" s="1"/>
  <c r="D218" i="20" s="1"/>
  <c r="D219" i="20" s="1"/>
  <c r="D220" i="20" s="1"/>
  <c r="D221" i="20" s="1"/>
  <c r="D222" i="20" s="1"/>
  <c r="D223" i="20" s="1"/>
  <c r="D224" i="20" s="1"/>
  <c r="D225" i="20" s="1"/>
  <c r="D226" i="20" s="1"/>
  <c r="D227" i="20" s="1"/>
  <c r="D228" i="20" s="1"/>
  <c r="D229" i="20" s="1"/>
  <c r="D230" i="20" s="1"/>
  <c r="D231" i="20" s="1"/>
  <c r="D232" i="20" s="1"/>
  <c r="D233" i="20" s="1"/>
  <c r="D234" i="20" s="1"/>
  <c r="D235" i="20" s="1"/>
  <c r="D236" i="20" s="1"/>
  <c r="D237" i="20" s="1"/>
  <c r="D238" i="20" s="1"/>
  <c r="D239" i="20" s="1"/>
  <c r="D240" i="20" s="1"/>
  <c r="D241" i="20" s="1"/>
  <c r="D242" i="20" s="1"/>
  <c r="D243" i="20" s="1"/>
  <c r="D244" i="20" s="1"/>
  <c r="D245" i="20" s="1"/>
  <c r="D246" i="20" s="1"/>
  <c r="D247" i="20" s="1"/>
  <c r="D248" i="20" s="1"/>
  <c r="D249" i="20" s="1"/>
  <c r="D250" i="20" s="1"/>
  <c r="D251" i="20" s="1"/>
  <c r="D252" i="20" s="1"/>
  <c r="D253" i="20" s="1"/>
  <c r="D254" i="20" s="1"/>
  <c r="D255" i="20" s="1"/>
  <c r="D256" i="20" s="1"/>
  <c r="D257" i="20" s="1"/>
  <c r="D258" i="20" s="1"/>
  <c r="D259" i="20" s="1"/>
  <c r="D260" i="20" s="1"/>
  <c r="D261" i="20" s="1"/>
  <c r="D262" i="20" s="1"/>
  <c r="D263" i="20" s="1"/>
  <c r="D264" i="20" s="1"/>
  <c r="C102" i="20"/>
  <c r="C6" i="25"/>
  <c r="C7" i="25" l="1"/>
  <c r="D265" i="20"/>
  <c r="C264" i="20"/>
  <c r="D6" i="22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l="1"/>
  <c r="D62" i="22" s="1"/>
  <c r="D63" i="22" s="1"/>
  <c r="D64" i="22" s="1"/>
  <c r="D65" i="22" s="1"/>
  <c r="D66" i="22" s="1"/>
  <c r="D67" i="22" s="1"/>
  <c r="D68" i="22" s="1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D85" i="22" s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D137" i="22" s="1"/>
  <c r="D138" i="22" s="1"/>
  <c r="D139" i="22" s="1"/>
  <c r="D140" i="22" s="1"/>
  <c r="D141" i="22" s="1"/>
  <c r="D142" i="22" s="1"/>
  <c r="D143" i="22" s="1"/>
  <c r="D144" i="22" s="1"/>
  <c r="D145" i="22" s="1"/>
  <c r="D146" i="22" s="1"/>
  <c r="D147" i="22" s="1"/>
  <c r="D148" i="22" s="1"/>
  <c r="D149" i="22" s="1"/>
  <c r="D150" i="22" s="1"/>
  <c r="D151" i="22" s="1"/>
  <c r="D152" i="22" s="1"/>
  <c r="D153" i="22" s="1"/>
  <c r="D154" i="22" s="1"/>
  <c r="D155" i="22" s="1"/>
  <c r="D156" i="22" s="1"/>
  <c r="D157" i="22" s="1"/>
  <c r="D158" i="22" s="1"/>
  <c r="D159" i="22" s="1"/>
  <c r="D160" i="22" s="1"/>
  <c r="D161" i="22" s="1"/>
  <c r="D162" i="22" s="1"/>
  <c r="D163" i="22" s="1"/>
  <c r="D164" i="22" s="1"/>
  <c r="D165" i="22" s="1"/>
  <c r="D166" i="22" s="1"/>
  <c r="D167" i="22" s="1"/>
  <c r="D168" i="22" s="1"/>
  <c r="D169" i="22" s="1"/>
  <c r="D170" i="22" s="1"/>
  <c r="D171" i="22" s="1"/>
  <c r="D172" i="22" s="1"/>
  <c r="D173" i="22" s="1"/>
  <c r="D174" i="22" s="1"/>
  <c r="D175" i="22" s="1"/>
  <c r="D176" i="22" s="1"/>
  <c r="D177" i="22" s="1"/>
  <c r="D178" i="22" s="1"/>
  <c r="D179" i="22" s="1"/>
  <c r="D180" i="22" s="1"/>
  <c r="D181" i="22" s="1"/>
  <c r="D182" i="22" s="1"/>
  <c r="D183" i="22" s="1"/>
  <c r="D184" i="22" s="1"/>
  <c r="D185" i="22" s="1"/>
  <c r="D186" i="22" s="1"/>
  <c r="D187" i="22" s="1"/>
  <c r="D188" i="22" s="1"/>
  <c r="D189" i="22" s="1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D200" i="22" s="1"/>
  <c r="D201" i="22" s="1"/>
  <c r="D202" i="22" s="1"/>
  <c r="D203" i="22" s="1"/>
  <c r="D204" i="22" s="1"/>
  <c r="D205" i="22" s="1"/>
  <c r="D206" i="22" s="1"/>
  <c r="D207" i="22" s="1"/>
  <c r="D208" i="22" s="1"/>
  <c r="D209" i="22" s="1"/>
  <c r="D210" i="22" s="1"/>
  <c r="D211" i="22" s="1"/>
  <c r="D212" i="22" s="1"/>
  <c r="D213" i="22" s="1"/>
  <c r="D214" i="22" s="1"/>
  <c r="D215" i="22" s="1"/>
  <c r="D216" i="22" s="1"/>
  <c r="D217" i="22" s="1"/>
  <c r="D218" i="22" s="1"/>
  <c r="D219" i="22" s="1"/>
  <c r="D220" i="22" s="1"/>
  <c r="D221" i="22" s="1"/>
  <c r="D222" i="22" s="1"/>
  <c r="D223" i="22" s="1"/>
  <c r="D224" i="22" s="1"/>
  <c r="D225" i="22" s="1"/>
  <c r="D226" i="22" s="1"/>
  <c r="D227" i="22" s="1"/>
  <c r="D228" i="22" s="1"/>
  <c r="D229" i="22" s="1"/>
  <c r="D230" i="22" s="1"/>
  <c r="D231" i="22" s="1"/>
  <c r="D232" i="22" s="1"/>
  <c r="D233" i="22" s="1"/>
  <c r="D234" i="22" s="1"/>
  <c r="D235" i="22" s="1"/>
  <c r="D236" i="22" s="1"/>
  <c r="D237" i="22" s="1"/>
  <c r="D238" i="22" s="1"/>
  <c r="D239" i="22" s="1"/>
  <c r="D240" i="22" s="1"/>
  <c r="D241" i="22" s="1"/>
  <c r="D242" i="22" s="1"/>
  <c r="D243" i="22" s="1"/>
  <c r="D244" i="22" s="1"/>
  <c r="D245" i="22" s="1"/>
  <c r="D246" i="22" s="1"/>
  <c r="D247" i="22" s="1"/>
  <c r="D248" i="22" s="1"/>
  <c r="D249" i="22" s="1"/>
  <c r="D250" i="22" s="1"/>
  <c r="D251" i="22" s="1"/>
  <c r="D252" i="22" s="1"/>
  <c r="D253" i="22" s="1"/>
  <c r="D254" i="22" s="1"/>
  <c r="C60" i="22"/>
  <c r="D266" i="20"/>
  <c r="C265" i="20"/>
  <c r="C6" i="22"/>
  <c r="C7" i="22"/>
  <c r="C8" i="22"/>
  <c r="D255" i="22" l="1"/>
  <c r="C254" i="22"/>
  <c r="C266" i="20"/>
  <c r="D267" i="20"/>
  <c r="C9" i="22"/>
  <c r="D256" i="22" l="1"/>
  <c r="D257" i="22" s="1"/>
  <c r="D258" i="22" s="1"/>
  <c r="D259" i="22" s="1"/>
  <c r="D260" i="22" s="1"/>
  <c r="D261" i="22" s="1"/>
  <c r="D262" i="22" s="1"/>
  <c r="D263" i="22" s="1"/>
  <c r="D264" i="22" s="1"/>
  <c r="D265" i="22" s="1"/>
  <c r="D266" i="22" s="1"/>
  <c r="D267" i="22" s="1"/>
  <c r="D268" i="22" s="1"/>
  <c r="D269" i="22" s="1"/>
  <c r="D270" i="22" s="1"/>
  <c r="D271" i="22" s="1"/>
  <c r="D272" i="22" s="1"/>
  <c r="D273" i="22" s="1"/>
  <c r="D274" i="22" s="1"/>
  <c r="D275" i="22" s="1"/>
  <c r="D276" i="22" s="1"/>
  <c r="D277" i="22" s="1"/>
  <c r="D278" i="22" s="1"/>
  <c r="D279" i="22" s="1"/>
  <c r="D280" i="22" s="1"/>
  <c r="D281" i="22" s="1"/>
  <c r="D282" i="22" s="1"/>
  <c r="D283" i="22" s="1"/>
  <c r="D284" i="22" s="1"/>
  <c r="D285" i="22" s="1"/>
  <c r="D286" i="22" s="1"/>
  <c r="D287" i="22" s="1"/>
  <c r="D288" i="22" s="1"/>
  <c r="D289" i="22" s="1"/>
  <c r="D290" i="22" s="1"/>
  <c r="D291" i="22" s="1"/>
  <c r="D292" i="22" s="1"/>
  <c r="D293" i="22" s="1"/>
  <c r="D294" i="22" s="1"/>
  <c r="D295" i="22" s="1"/>
  <c r="D296" i="22" s="1"/>
  <c r="D297" i="22" s="1"/>
  <c r="D298" i="22" s="1"/>
  <c r="D299" i="22" s="1"/>
  <c r="D300" i="22" s="1"/>
  <c r="D301" i="22" s="1"/>
  <c r="D302" i="22" s="1"/>
  <c r="D303" i="22" s="1"/>
  <c r="D304" i="22" s="1"/>
  <c r="D305" i="22" s="1"/>
  <c r="D306" i="22" s="1"/>
  <c r="D307" i="22" s="1"/>
  <c r="D308" i="22" s="1"/>
  <c r="D309" i="22" s="1"/>
  <c r="D310" i="22" s="1"/>
  <c r="D311" i="22" s="1"/>
  <c r="D312" i="22" s="1"/>
  <c r="D313" i="22" s="1"/>
  <c r="D314" i="22" s="1"/>
  <c r="D315" i="22" s="1"/>
  <c r="D316" i="22" s="1"/>
  <c r="D317" i="22" s="1"/>
  <c r="D318" i="22" s="1"/>
  <c r="D319" i="22" s="1"/>
  <c r="D320" i="22" s="1"/>
  <c r="D321" i="22" s="1"/>
  <c r="D322" i="22" s="1"/>
  <c r="D323" i="22" s="1"/>
  <c r="D324" i="22" s="1"/>
  <c r="D325" i="22" s="1"/>
  <c r="D326" i="22" s="1"/>
  <c r="D327" i="22" s="1"/>
  <c r="D328" i="22" s="1"/>
  <c r="D329" i="22" s="1"/>
  <c r="D330" i="22" s="1"/>
  <c r="D331" i="22" s="1"/>
  <c r="D332" i="22" s="1"/>
  <c r="D333" i="22" s="1"/>
  <c r="D334" i="22" s="1"/>
  <c r="D335" i="22" s="1"/>
  <c r="D336" i="22" s="1"/>
  <c r="D337" i="22" s="1"/>
  <c r="D338" i="22" s="1"/>
  <c r="D339" i="22" s="1"/>
  <c r="D340" i="22" s="1"/>
  <c r="D341" i="22" s="1"/>
  <c r="D342" i="22" s="1"/>
  <c r="D343" i="22" s="1"/>
  <c r="D344" i="22" s="1"/>
  <c r="D345" i="22" s="1"/>
  <c r="C255" i="22"/>
  <c r="C267" i="20"/>
  <c r="D268" i="20"/>
  <c r="C10" i="22"/>
  <c r="C268" i="20" l="1"/>
  <c r="D269" i="20"/>
  <c r="C60" i="29"/>
  <c r="D270" i="20" l="1"/>
  <c r="C269" i="20"/>
  <c r="C61" i="29"/>
  <c r="C270" i="20" l="1"/>
  <c r="D271" i="20"/>
  <c r="C62" i="29"/>
  <c r="C271" i="20" l="1"/>
  <c r="D272" i="20"/>
  <c r="C63" i="29"/>
  <c r="C272" i="20" l="1"/>
  <c r="D273" i="20"/>
  <c r="D274" i="20" s="1"/>
  <c r="D275" i="20" s="1"/>
  <c r="D276" i="20" s="1"/>
  <c r="D277" i="20" s="1"/>
  <c r="D278" i="20" s="1"/>
  <c r="D279" i="20" s="1"/>
  <c r="D280" i="20" s="1"/>
  <c r="D281" i="20" s="1"/>
  <c r="D282" i="20" s="1"/>
  <c r="D283" i="20" s="1"/>
  <c r="D284" i="20" s="1"/>
  <c r="D285" i="20" s="1"/>
  <c r="D286" i="20" s="1"/>
  <c r="D287" i="20" s="1"/>
  <c r="D288" i="20" s="1"/>
  <c r="D289" i="20" s="1"/>
  <c r="D290" i="20" s="1"/>
  <c r="D291" i="20" s="1"/>
  <c r="D292" i="20" s="1"/>
  <c r="D293" i="20" s="1"/>
  <c r="D294" i="20" s="1"/>
  <c r="D295" i="20" s="1"/>
  <c r="D296" i="20" s="1"/>
  <c r="D297" i="20" s="1"/>
  <c r="D298" i="20" s="1"/>
  <c r="D299" i="20" s="1"/>
  <c r="D300" i="20" s="1"/>
  <c r="D301" i="20" s="1"/>
  <c r="D302" i="20" s="1"/>
  <c r="D303" i="20" s="1"/>
  <c r="D304" i="20" s="1"/>
  <c r="D305" i="20" s="1"/>
  <c r="D306" i="20" s="1"/>
  <c r="D307" i="20" s="1"/>
  <c r="D308" i="20" s="1"/>
  <c r="D309" i="20" s="1"/>
  <c r="D310" i="20" s="1"/>
  <c r="D311" i="20" s="1"/>
  <c r="D312" i="20" s="1"/>
  <c r="D313" i="20" s="1"/>
  <c r="D314" i="20" s="1"/>
  <c r="D315" i="20" s="1"/>
  <c r="D316" i="20" s="1"/>
  <c r="D317" i="20" s="1"/>
  <c r="D318" i="20" s="1"/>
  <c r="D319" i="20" s="1"/>
  <c r="D320" i="20" s="1"/>
  <c r="D321" i="20" s="1"/>
  <c r="D322" i="20" s="1"/>
  <c r="D323" i="20" s="1"/>
  <c r="D324" i="20" s="1"/>
  <c r="D325" i="20" s="1"/>
  <c r="D326" i="20" s="1"/>
  <c r="D327" i="20" s="1"/>
  <c r="D328" i="20" s="1"/>
  <c r="D329" i="20" s="1"/>
  <c r="D330" i="20" s="1"/>
  <c r="D331" i="20" s="1"/>
  <c r="D332" i="20" s="1"/>
  <c r="D333" i="20" s="1"/>
  <c r="D334" i="20" s="1"/>
  <c r="D335" i="20" s="1"/>
  <c r="D336" i="20" s="1"/>
  <c r="D337" i="20" s="1"/>
  <c r="D338" i="20" s="1"/>
  <c r="D339" i="20" s="1"/>
  <c r="D340" i="20" s="1"/>
  <c r="D341" i="20" s="1"/>
  <c r="D342" i="20" s="1"/>
  <c r="D343" i="20" s="1"/>
  <c r="D344" i="20" s="1"/>
  <c r="D345" i="20" s="1"/>
  <c r="D346" i="20" s="1"/>
  <c r="D347" i="20" s="1"/>
  <c r="D348" i="20" s="1"/>
  <c r="D349" i="20" s="1"/>
  <c r="D350" i="20" s="1"/>
  <c r="D351" i="20" s="1"/>
  <c r="D352" i="20" s="1"/>
  <c r="C64" i="29"/>
  <c r="C66" i="29" l="1"/>
  <c r="C65" i="29" l="1"/>
  <c r="C67" i="29" l="1"/>
  <c r="C68" i="29" l="1"/>
  <c r="C69" i="29" l="1"/>
  <c r="C70" i="29" l="1"/>
  <c r="C71" i="29" l="1"/>
  <c r="C72" i="29" l="1"/>
  <c r="C73" i="29" l="1"/>
  <c r="C74" i="29" l="1"/>
  <c r="C75" i="29" l="1"/>
  <c r="C76" i="29" l="1"/>
  <c r="C77" i="29" l="1"/>
  <c r="C78" i="29" l="1"/>
  <c r="C79" i="29" l="1"/>
  <c r="C80" i="29" l="1"/>
  <c r="C86" i="29" l="1"/>
  <c r="C87" i="29" l="1"/>
  <c r="C88" i="29" l="1"/>
  <c r="C89" i="29" l="1"/>
  <c r="C90" i="29" l="1"/>
  <c r="C91" i="29" l="1"/>
  <c r="C92" i="29" l="1"/>
  <c r="C93" i="29" l="1"/>
  <c r="C96" i="29" l="1"/>
  <c r="C97" i="29" l="1"/>
  <c r="C99" i="29" l="1"/>
  <c r="C98" i="29"/>
  <c r="C101" i="29" l="1"/>
  <c r="C102" i="29" l="1"/>
  <c r="C104" i="29" l="1"/>
  <c r="C105" i="29" l="1"/>
  <c r="C107" i="29" l="1"/>
  <c r="C108" i="29" l="1"/>
  <c r="C109" i="29" l="1"/>
  <c r="C110" i="29" l="1"/>
  <c r="C111" i="29" l="1"/>
  <c r="C112" i="29" l="1"/>
  <c r="C113" i="29" l="1"/>
  <c r="C114" i="29" l="1"/>
  <c r="C115" i="29" l="1"/>
  <c r="C116" i="29" l="1"/>
  <c r="C117" i="29" l="1"/>
  <c r="C118" i="29" l="1"/>
  <c r="C119" i="29" l="1"/>
  <c r="C120" i="29" l="1"/>
  <c r="C121" i="29" l="1"/>
  <c r="C122" i="29" l="1"/>
  <c r="C123" i="29" l="1"/>
  <c r="C125" i="29" l="1"/>
  <c r="C124" i="29"/>
  <c r="C126" i="29" l="1"/>
  <c r="C151" i="29"/>
  <c r="C127" i="29" l="1"/>
  <c r="C152" i="29"/>
  <c r="C128" i="29" l="1"/>
  <c r="C153" i="29"/>
  <c r="D6" i="39"/>
  <c r="C6" i="39" s="1"/>
  <c r="C129" i="29" l="1"/>
  <c r="C154" i="29"/>
  <c r="C6" i="30"/>
  <c r="C7" i="30" s="1"/>
  <c r="C8" i="30" s="1"/>
  <c r="C9" i="30" s="1"/>
  <c r="C10" i="30" s="1"/>
  <c r="C11" i="30" s="1"/>
  <c r="C12" i="30" s="1"/>
  <c r="C13" i="30" s="1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C73" i="30" s="1"/>
  <c r="C74" i="30" s="1"/>
  <c r="C75" i="30" s="1"/>
  <c r="C76" i="30" s="1"/>
  <c r="C77" i="30" s="1"/>
  <c r="C78" i="30" s="1"/>
  <c r="C79" i="30" s="1"/>
  <c r="C80" i="30" s="1"/>
  <c r="C81" i="30" s="1"/>
  <c r="C82" i="30" s="1"/>
  <c r="C83" i="30" s="1"/>
  <c r="C84" i="30" s="1"/>
  <c r="C85" i="30" s="1"/>
  <c r="C86" i="30" s="1"/>
  <c r="C87" i="30" s="1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155" i="30" s="1"/>
  <c r="C156" i="30" s="1"/>
  <c r="C157" i="30" s="1"/>
  <c r="C158" i="30" s="1"/>
  <c r="C159" i="30" s="1"/>
  <c r="C160" i="30" s="1"/>
  <c r="C161" i="30" s="1"/>
  <c r="C162" i="30" s="1"/>
  <c r="C163" i="30" s="1"/>
  <c r="C164" i="30" s="1"/>
  <c r="C165" i="30" s="1"/>
  <c r="C166" i="30" s="1"/>
  <c r="C167" i="30" s="1"/>
  <c r="C168" i="30" s="1"/>
  <c r="C169" i="30" s="1"/>
  <c r="C170" i="30" l="1"/>
  <c r="C171" i="30" s="1"/>
  <c r="C172" i="30" s="1"/>
  <c r="C173" i="30" s="1"/>
  <c r="C174" i="30" s="1"/>
  <c r="C175" i="30" s="1"/>
  <c r="C176" i="30" s="1"/>
  <c r="C177" i="30" s="1"/>
  <c r="C178" i="30" s="1"/>
  <c r="C179" i="30" s="1"/>
  <c r="C180" i="30" s="1"/>
  <c r="C181" i="30" s="1"/>
  <c r="C182" i="30" s="1"/>
  <c r="C183" i="30" s="1"/>
  <c r="C184" i="30" s="1"/>
  <c r="C185" i="30" s="1"/>
  <c r="C186" i="30" s="1"/>
  <c r="C187" i="30" s="1"/>
  <c r="C188" i="30" s="1"/>
  <c r="C189" i="30" s="1"/>
  <c r="C190" i="30" s="1"/>
  <c r="C191" i="30" s="1"/>
  <c r="C192" i="30" s="1"/>
  <c r="C193" i="30" s="1"/>
  <c r="C194" i="30" s="1"/>
  <c r="C195" i="30" s="1"/>
  <c r="C196" i="30" s="1"/>
  <c r="C197" i="30" s="1"/>
  <c r="C198" i="30" s="1"/>
  <c r="C199" i="30" s="1"/>
  <c r="C200" i="30" s="1"/>
  <c r="C201" i="30" s="1"/>
  <c r="C202" i="30" s="1"/>
  <c r="C203" i="30" s="1"/>
  <c r="C204" i="30" s="1"/>
  <c r="C205" i="30" s="1"/>
  <c r="C206" i="30" s="1"/>
  <c r="C207" i="30" s="1"/>
  <c r="C208" i="30" s="1"/>
  <c r="B169" i="30"/>
  <c r="C130" i="29"/>
  <c r="C155" i="29"/>
  <c r="B6" i="30"/>
  <c r="B208" i="30" l="1"/>
  <c r="C209" i="30"/>
  <c r="C210" i="30" s="1"/>
  <c r="C211" i="30" s="1"/>
  <c r="C212" i="30" s="1"/>
  <c r="C213" i="30" s="1"/>
  <c r="C214" i="30" s="1"/>
  <c r="C215" i="30" s="1"/>
  <c r="C216" i="30" s="1"/>
  <c r="C217" i="30" s="1"/>
  <c r="C218" i="30" s="1"/>
  <c r="C219" i="30" s="1"/>
  <c r="C220" i="30" s="1"/>
  <c r="C221" i="30" s="1"/>
  <c r="C222" i="30" s="1"/>
  <c r="C223" i="30" s="1"/>
  <c r="C224" i="30" s="1"/>
  <c r="C225" i="30" s="1"/>
  <c r="C226" i="30" s="1"/>
  <c r="C227" i="30" s="1"/>
  <c r="C228" i="30" s="1"/>
  <c r="C229" i="30" s="1"/>
  <c r="C230" i="30" s="1"/>
  <c r="C231" i="30" s="1"/>
  <c r="C232" i="30" s="1"/>
  <c r="C233" i="30" s="1"/>
  <c r="C234" i="30" s="1"/>
  <c r="C235" i="30" s="1"/>
  <c r="C236" i="30" s="1"/>
  <c r="C237" i="30" s="1"/>
  <c r="C238" i="30" s="1"/>
  <c r="C239" i="30" s="1"/>
  <c r="C240" i="30" s="1"/>
  <c r="C241" i="30" s="1"/>
  <c r="C242" i="30" s="1"/>
  <c r="C243" i="30" s="1"/>
  <c r="C244" i="30" s="1"/>
  <c r="C245" i="30" s="1"/>
  <c r="C246" i="30" s="1"/>
  <c r="C247" i="30" s="1"/>
  <c r="C248" i="30" s="1"/>
  <c r="C249" i="30" s="1"/>
  <c r="C250" i="30" s="1"/>
  <c r="C251" i="30" s="1"/>
  <c r="C252" i="30" s="1"/>
  <c r="C253" i="30" s="1"/>
  <c r="C254" i="30" s="1"/>
  <c r="C255" i="30" s="1"/>
  <c r="C256" i="30" s="1"/>
  <c r="C257" i="30" s="1"/>
  <c r="C258" i="30" s="1"/>
  <c r="C259" i="30" s="1"/>
  <c r="C260" i="30" s="1"/>
  <c r="C261" i="30" s="1"/>
  <c r="C262" i="30" s="1"/>
  <c r="C263" i="30" s="1"/>
  <c r="C264" i="30" s="1"/>
  <c r="C265" i="30" s="1"/>
  <c r="C266" i="30" s="1"/>
  <c r="C267" i="30" s="1"/>
  <c r="C268" i="30" s="1"/>
  <c r="C269" i="30" s="1"/>
  <c r="C270" i="30" s="1"/>
  <c r="C271" i="30" s="1"/>
  <c r="C272" i="30" s="1"/>
  <c r="C273" i="30" s="1"/>
  <c r="B274" i="30" s="1"/>
  <c r="C131" i="29"/>
  <c r="C156" i="29"/>
  <c r="C132" i="29" l="1"/>
  <c r="C157" i="29"/>
  <c r="C133" i="29" l="1"/>
  <c r="C158" i="29"/>
  <c r="C134" i="29" l="1"/>
  <c r="C159" i="29"/>
  <c r="C135" i="29" l="1"/>
  <c r="C160" i="29"/>
  <c r="B7" i="30"/>
  <c r="C136" i="29" l="1"/>
  <c r="C161" i="29"/>
  <c r="C137" i="29" l="1"/>
  <c r="C162" i="29"/>
  <c r="C138" i="29" l="1"/>
  <c r="C163" i="29"/>
  <c r="C139" i="29" l="1"/>
  <c r="C164" i="29"/>
  <c r="C140" i="29" l="1"/>
  <c r="C167" i="29"/>
  <c r="C141" i="29" l="1"/>
  <c r="C168" i="29"/>
  <c r="C142" i="29" l="1"/>
  <c r="C169" i="29"/>
  <c r="C143" i="29" l="1"/>
  <c r="C170" i="29"/>
  <c r="C144" i="29" l="1"/>
  <c r="C145" i="29"/>
  <c r="C171" i="29"/>
  <c r="C172" i="29" l="1"/>
  <c r="C173" i="29" l="1"/>
  <c r="C174" i="29" l="1"/>
  <c r="C175" i="29" l="1"/>
  <c r="C176" i="29" l="1"/>
  <c r="C177" i="29" l="1"/>
  <c r="C178" i="29" l="1"/>
  <c r="C179" i="29" l="1"/>
  <c r="C180" i="29" l="1"/>
  <c r="C181" i="29" l="1"/>
  <c r="C182" i="29" l="1"/>
  <c r="C183" i="29" l="1"/>
  <c r="C184" i="29" l="1"/>
  <c r="C185" i="29" l="1"/>
  <c r="C186" i="29" l="1"/>
  <c r="C187" i="29"/>
  <c r="C6" i="16" l="1"/>
  <c r="B6" i="16" s="1"/>
  <c r="C7" i="16" l="1"/>
  <c r="C8" i="16" s="1"/>
  <c r="B8" i="16" s="1"/>
  <c r="B7" i="16" l="1"/>
  <c r="C9" i="16" l="1"/>
  <c r="C10" i="16" s="1"/>
  <c r="B10" i="16" s="1"/>
  <c r="B9" i="16" l="1"/>
  <c r="B170" i="30" l="1"/>
  <c r="C11" i="16"/>
  <c r="C12" i="16" s="1"/>
  <c r="C13" i="16" l="1"/>
  <c r="B13" i="16" s="1"/>
  <c r="B12" i="16"/>
  <c r="B171" i="30"/>
  <c r="B11" i="16"/>
  <c r="C14" i="16" l="1"/>
  <c r="B14" i="16" s="1"/>
  <c r="B172" i="30"/>
  <c r="B173" i="30" l="1"/>
  <c r="C15" i="16"/>
  <c r="B174" i="30" l="1"/>
  <c r="B15" i="16"/>
  <c r="B175" i="30" l="1"/>
  <c r="B176" i="30" l="1"/>
  <c r="C16" i="16"/>
  <c r="C17" i="16" s="1"/>
  <c r="B17" i="16" s="1"/>
  <c r="B177" i="30" l="1"/>
  <c r="B16" i="16"/>
  <c r="B178" i="30" l="1"/>
  <c r="B179" i="30" l="1"/>
  <c r="C18" i="16"/>
  <c r="C19" i="16" s="1"/>
  <c r="B19" i="16" l="1"/>
  <c r="B180" i="30"/>
  <c r="B18" i="16"/>
  <c r="C20" i="16" l="1"/>
  <c r="B181" i="30"/>
  <c r="C21" i="16" l="1"/>
  <c r="C22" i="16" s="1"/>
  <c r="B22" i="16" s="1"/>
  <c r="B20" i="16"/>
  <c r="B182" i="30"/>
  <c r="B21" i="16" l="1"/>
  <c r="C23" i="16"/>
  <c r="B23" i="16" s="1"/>
  <c r="B183" i="30" l="1"/>
  <c r="B184" i="30" l="1"/>
  <c r="B185" i="30" l="1"/>
  <c r="B186" i="30" l="1"/>
  <c r="B187" i="30" l="1"/>
  <c r="B188" i="30" l="1"/>
  <c r="B189" i="30" l="1"/>
  <c r="B190" i="30" l="1"/>
  <c r="B191" i="30" l="1"/>
  <c r="B192" i="30" l="1"/>
  <c r="B193" i="30" l="1"/>
  <c r="B194" i="30" l="1"/>
  <c r="B195" i="30" l="1"/>
  <c r="B196" i="30" l="1"/>
  <c r="B197" i="30" l="1"/>
  <c r="B198" i="30" l="1"/>
  <c r="B199" i="30" l="1"/>
  <c r="B200" i="30" l="1"/>
  <c r="B201" i="30" l="1"/>
  <c r="B202" i="30" l="1"/>
  <c r="B203" i="30" l="1"/>
  <c r="B204" i="30" l="1"/>
  <c r="B205" i="30" l="1"/>
  <c r="B206" i="30" l="1"/>
  <c r="B207" i="30" l="1"/>
  <c r="B209" i="30" l="1"/>
  <c r="B210" i="30" l="1"/>
  <c r="B211" i="30" l="1"/>
  <c r="B212" i="30" l="1"/>
  <c r="B213" i="30" l="1"/>
  <c r="B214" i="30" l="1"/>
  <c r="B215" i="30" l="1"/>
  <c r="B216" i="30" l="1"/>
  <c r="B217" i="30" l="1"/>
  <c r="B218" i="30" l="1"/>
  <c r="B219" i="30" l="1"/>
  <c r="B220" i="30" l="1"/>
  <c r="B221" i="30" l="1"/>
  <c r="B222" i="30" l="1"/>
  <c r="B223" i="30" l="1"/>
  <c r="B224" i="30" l="1"/>
  <c r="B225" i="30" l="1"/>
  <c r="B226" i="30" l="1"/>
  <c r="B227" i="30" l="1"/>
  <c r="B228" i="30" l="1"/>
  <c r="B229" i="30" l="1"/>
  <c r="B230" i="30" l="1"/>
  <c r="B231" i="30" l="1"/>
  <c r="B232" i="30" l="1"/>
  <c r="B233" i="30" l="1"/>
  <c r="B234" i="30" l="1"/>
  <c r="B235" i="30" l="1"/>
  <c r="B236" i="30" l="1"/>
  <c r="B237" i="30" l="1"/>
  <c r="B238" i="30" l="1"/>
  <c r="B239" i="30" l="1"/>
  <c r="B240" i="30" l="1"/>
  <c r="B241" i="30" l="1"/>
  <c r="B242" i="30" l="1"/>
  <c r="B243" i="30" l="1"/>
  <c r="B244" i="30" l="1"/>
  <c r="B245" i="30" l="1"/>
  <c r="B246" i="30" l="1"/>
  <c r="B247" i="30" l="1"/>
  <c r="B248" i="30" l="1"/>
  <c r="B249" i="30" l="1"/>
  <c r="B250" i="30" l="1"/>
  <c r="B251" i="30" l="1"/>
  <c r="B252" i="30" l="1"/>
  <c r="B253" i="30" l="1"/>
  <c r="B254" i="30" l="1"/>
  <c r="B255" i="30" l="1"/>
  <c r="B256" i="30" l="1"/>
  <c r="B257" i="30" l="1"/>
  <c r="B258" i="30" l="1"/>
  <c r="B259" i="30" l="1"/>
  <c r="B260" i="30" l="1"/>
  <c r="B261" i="30" l="1"/>
  <c r="B262" i="30" l="1"/>
  <c r="B263" i="30" l="1"/>
  <c r="B264" i="30" l="1"/>
  <c r="B265" i="30" l="1"/>
  <c r="B266" i="30" l="1"/>
  <c r="B267" i="30" l="1"/>
  <c r="B268" i="30" l="1"/>
  <c r="B269" i="30" l="1"/>
  <c r="B270" i="30" l="1"/>
  <c r="B271" i="30" l="1"/>
  <c r="B273" i="30" l="1"/>
  <c r="B272" i="30"/>
  <c r="C10" i="20" l="1"/>
  <c r="C9" i="20" l="1"/>
  <c r="C13" i="20" l="1"/>
  <c r="C12" i="20"/>
  <c r="C11" i="20"/>
  <c r="C16" i="20" l="1"/>
  <c r="C14" i="20"/>
  <c r="C15" i="20" l="1"/>
  <c r="C17" i="20" l="1"/>
  <c r="C19" i="20" l="1"/>
  <c r="C20" i="20"/>
  <c r="C18" i="20"/>
  <c r="C81" i="20" l="1"/>
  <c r="C82" i="20" l="1"/>
  <c r="C83" i="20" l="1"/>
  <c r="C84" i="20" l="1"/>
  <c r="C85" i="20" l="1"/>
  <c r="C86" i="20" l="1"/>
  <c r="C87" i="20" l="1"/>
  <c r="C88" i="20" l="1"/>
  <c r="C89" i="20" l="1"/>
  <c r="C90" i="20" l="1"/>
  <c r="C91" i="20" l="1"/>
  <c r="C92" i="20" l="1"/>
  <c r="C93" i="20" l="1"/>
  <c r="C94" i="20" l="1"/>
  <c r="C95" i="20" l="1"/>
  <c r="C103" i="20" l="1"/>
  <c r="C104" i="20"/>
  <c r="C105" i="20" l="1"/>
  <c r="C106" i="20" l="1"/>
  <c r="C107" i="20" l="1"/>
  <c r="C108" i="20" l="1"/>
  <c r="C109" i="20" l="1"/>
  <c r="C110" i="20" l="1"/>
  <c r="C111" i="20" l="1"/>
  <c r="C112" i="20" l="1"/>
  <c r="C113" i="20" l="1"/>
  <c r="C114" i="20" l="1"/>
  <c r="C115" i="20" l="1"/>
  <c r="C116" i="20" l="1"/>
  <c r="C117" i="20" l="1"/>
  <c r="C118" i="20" l="1"/>
  <c r="C119" i="20" l="1"/>
  <c r="C120" i="20" l="1"/>
  <c r="C121" i="20" l="1"/>
  <c r="C122" i="20" l="1"/>
  <c r="C123" i="20" l="1"/>
  <c r="C124" i="20" l="1"/>
  <c r="C125" i="20" l="1"/>
  <c r="C126" i="20" l="1"/>
  <c r="C127" i="20" l="1"/>
  <c r="C128" i="20" l="1"/>
  <c r="C129" i="20" l="1"/>
  <c r="C130" i="20" l="1"/>
  <c r="C131" i="20" l="1"/>
  <c r="C132" i="20" l="1"/>
  <c r="C134" i="20" l="1"/>
  <c r="C133" i="20"/>
  <c r="C135" i="20" l="1"/>
  <c r="C136" i="20" l="1"/>
  <c r="C137" i="20" l="1"/>
  <c r="C138" i="20" l="1"/>
  <c r="C139" i="20" l="1"/>
  <c r="C140" i="20" l="1"/>
  <c r="C142" i="20" l="1"/>
  <c r="C141" i="20"/>
  <c r="C144" i="20" l="1"/>
  <c r="C143" i="20"/>
  <c r="C145" i="20" l="1"/>
  <c r="C146" i="20" l="1"/>
  <c r="C147" i="20" l="1"/>
  <c r="C148" i="20"/>
  <c r="C149" i="20" l="1"/>
  <c r="C150" i="20" l="1"/>
  <c r="C151" i="20" l="1"/>
  <c r="C152" i="20" l="1"/>
  <c r="C153" i="20" l="1"/>
  <c r="C154" i="20" l="1"/>
  <c r="C155" i="20" l="1"/>
  <c r="C156" i="20" l="1"/>
  <c r="C157" i="20" l="1"/>
  <c r="C158" i="20" l="1"/>
  <c r="C159" i="20" l="1"/>
  <c r="C160" i="20" l="1"/>
  <c r="C161" i="20" l="1"/>
  <c r="C162" i="20" l="1"/>
  <c r="C163" i="20" l="1"/>
  <c r="C164" i="20" l="1"/>
  <c r="C165" i="20" l="1"/>
  <c r="C166" i="20" l="1"/>
  <c r="C167" i="20" l="1"/>
  <c r="C168" i="20" l="1"/>
  <c r="C169" i="20" l="1"/>
  <c r="C170" i="20" l="1"/>
  <c r="C171" i="20" l="1"/>
  <c r="C172" i="20" l="1"/>
  <c r="C173" i="20" l="1"/>
  <c r="C175" i="20" l="1"/>
  <c r="C174" i="20"/>
  <c r="C176" i="20" l="1"/>
  <c r="C178" i="20" l="1"/>
  <c r="C177" i="20"/>
  <c r="C179" i="20" l="1"/>
  <c r="C180" i="20" l="1"/>
  <c r="C181" i="20" l="1"/>
  <c r="C182" i="20" l="1"/>
  <c r="C183" i="20" l="1"/>
  <c r="C184" i="20" l="1"/>
  <c r="C185" i="20" l="1"/>
  <c r="C186" i="20" l="1"/>
  <c r="C187" i="20" l="1"/>
  <c r="C188" i="20" l="1"/>
  <c r="C189" i="20" l="1"/>
  <c r="C190" i="20" l="1"/>
  <c r="C191" i="20" l="1"/>
  <c r="C192" i="20" l="1"/>
  <c r="C193" i="20" l="1"/>
  <c r="C194" i="20" l="1"/>
  <c r="C195" i="20" l="1"/>
  <c r="C196" i="20" l="1"/>
  <c r="C197" i="20" l="1"/>
  <c r="C198" i="20" l="1"/>
  <c r="C199" i="20" l="1"/>
  <c r="C200" i="20" l="1"/>
  <c r="C201" i="20" l="1"/>
  <c r="C202" i="20" l="1"/>
  <c r="C204" i="20" l="1"/>
  <c r="C203" i="20"/>
  <c r="C273" i="20" l="1"/>
  <c r="C274" i="20" l="1"/>
  <c r="C96" i="20" l="1"/>
  <c r="C275" i="20" l="1"/>
  <c r="C276" i="20" l="1"/>
  <c r="C277" i="20" l="1"/>
  <c r="C278" i="20" l="1"/>
  <c r="C279" i="20" l="1"/>
  <c r="C280" i="20" l="1"/>
  <c r="C281" i="20" l="1"/>
  <c r="C282" i="20" l="1"/>
  <c r="C283" i="20" l="1"/>
  <c r="C284" i="20" l="1"/>
  <c r="C285" i="20" l="1"/>
  <c r="C286" i="20" l="1"/>
  <c r="C287" i="20" l="1"/>
  <c r="C288" i="20" l="1"/>
  <c r="C289" i="20" l="1"/>
  <c r="C290" i="20" l="1"/>
  <c r="C291" i="20" l="1"/>
  <c r="C292" i="20" l="1"/>
  <c r="C293" i="20" l="1"/>
  <c r="C294" i="20" l="1"/>
  <c r="C295" i="20" l="1"/>
  <c r="C296" i="20" l="1"/>
  <c r="C297" i="20" l="1"/>
  <c r="C298" i="20" l="1"/>
  <c r="C299" i="20" l="1"/>
  <c r="C300" i="20" l="1"/>
  <c r="C301" i="20" l="1"/>
  <c r="C302" i="20" l="1"/>
  <c r="C303" i="20" l="1"/>
  <c r="C97" i="20" l="1"/>
  <c r="C304" i="20" l="1"/>
  <c r="C305" i="20" l="1"/>
  <c r="C306" i="20"/>
  <c r="C307" i="20" l="1"/>
  <c r="C308" i="20" l="1"/>
  <c r="C309" i="20" l="1"/>
  <c r="C310" i="20" l="1"/>
  <c r="C311" i="20" l="1"/>
  <c r="C312" i="20" l="1"/>
  <c r="C313" i="20" l="1"/>
  <c r="C314" i="20" l="1"/>
  <c r="C315" i="20" l="1"/>
  <c r="C316" i="20" l="1"/>
  <c r="C317" i="20" l="1"/>
  <c r="C318" i="20" l="1"/>
  <c r="C319" i="20" l="1"/>
  <c r="C320" i="20" l="1"/>
  <c r="C98" i="20" l="1"/>
  <c r="C321" i="20" l="1"/>
  <c r="C322" i="20" l="1"/>
  <c r="C323" i="20" l="1"/>
  <c r="C324" i="20" l="1"/>
  <c r="C325" i="20" l="1"/>
  <c r="C326" i="20" l="1"/>
  <c r="C327" i="20" l="1"/>
  <c r="C100" i="20" l="1"/>
  <c r="C99" i="20"/>
  <c r="C101" i="20" l="1"/>
  <c r="C328" i="20"/>
  <c r="C329" i="20" l="1"/>
  <c r="C330" i="20" l="1"/>
  <c r="C331" i="20" l="1"/>
  <c r="C332" i="20" l="1"/>
  <c r="C333" i="20" l="1"/>
  <c r="C334" i="20" l="1"/>
  <c r="C335" i="20" l="1"/>
  <c r="C336" i="20" l="1"/>
  <c r="C337" i="20" l="1"/>
  <c r="C338" i="20" l="1"/>
  <c r="C339" i="20" l="1"/>
  <c r="C340" i="20" l="1"/>
  <c r="C341" i="20" l="1"/>
  <c r="C342" i="20" l="1"/>
  <c r="C343" i="20" l="1"/>
  <c r="C344" i="20" l="1"/>
  <c r="C345" i="20" l="1"/>
  <c r="C346" i="20" l="1"/>
  <c r="C347" i="20" l="1"/>
  <c r="C10" i="25"/>
  <c r="C348" i="20" l="1"/>
  <c r="C8" i="25"/>
  <c r="C9" i="25"/>
  <c r="C349" i="20" l="1"/>
  <c r="C350" i="20" l="1"/>
  <c r="C352" i="20" l="1"/>
  <c r="C351" i="20"/>
  <c r="C61" i="22" l="1"/>
  <c r="C62" i="22" l="1"/>
  <c r="C63" i="22" l="1"/>
  <c r="C65" i="22" l="1"/>
  <c r="C66" i="22" l="1"/>
  <c r="C67" i="22" l="1"/>
  <c r="C68" i="22" l="1"/>
  <c r="C69" i="22" l="1"/>
  <c r="C70" i="22" l="1"/>
  <c r="D7" i="39" l="1"/>
  <c r="D8" i="39" s="1"/>
  <c r="C8" i="39" s="1"/>
  <c r="D9" i="39" l="1"/>
  <c r="C7" i="39"/>
  <c r="D10" i="39" l="1"/>
  <c r="C9" i="39"/>
  <c r="D11" i="39" l="1"/>
  <c r="C10" i="39"/>
  <c r="C11" i="39" l="1"/>
  <c r="D12" i="39"/>
  <c r="D13" i="39" l="1"/>
  <c r="C12" i="39"/>
  <c r="C13" i="39" l="1"/>
  <c r="D14" i="39"/>
  <c r="D15" i="39" l="1"/>
  <c r="C14" i="39"/>
  <c r="C15" i="39" l="1"/>
  <c r="D16" i="39"/>
  <c r="C16" i="39" l="1"/>
  <c r="D17" i="39"/>
  <c r="C17" i="39" l="1"/>
  <c r="D18" i="39"/>
  <c r="C18" i="39" l="1"/>
  <c r="D19" i="39"/>
  <c r="C19" i="39" l="1"/>
  <c r="D20" i="39"/>
  <c r="C20" i="39" l="1"/>
  <c r="D21" i="39"/>
  <c r="D22" i="39" l="1"/>
  <c r="C21" i="39"/>
  <c r="C22" i="39" l="1"/>
  <c r="D23" i="39"/>
  <c r="D24" i="39" l="1"/>
  <c r="C23" i="39"/>
  <c r="D25" i="39" l="1"/>
  <c r="C24" i="39"/>
  <c r="D26" i="39" l="1"/>
  <c r="C25" i="39"/>
  <c r="D27" i="39" l="1"/>
  <c r="C26" i="39"/>
  <c r="D28" i="39" l="1"/>
  <c r="C27" i="39"/>
  <c r="D29" i="39" l="1"/>
  <c r="C28" i="39"/>
  <c r="C29" i="39" l="1"/>
  <c r="D30" i="39"/>
  <c r="C30" i="39" l="1"/>
  <c r="D31" i="39"/>
  <c r="C31" i="39" l="1"/>
  <c r="D32" i="39"/>
  <c r="D33" i="39" l="1"/>
  <c r="C32" i="39"/>
  <c r="C33" i="39" l="1"/>
  <c r="D34" i="39"/>
  <c r="C34" i="39" l="1"/>
  <c r="D35" i="39"/>
  <c r="D36" i="39" l="1"/>
  <c r="C35" i="39"/>
  <c r="C36" i="39" l="1"/>
  <c r="D37" i="39"/>
  <c r="C37" i="39" l="1"/>
  <c r="D38" i="39"/>
  <c r="D39" i="39" l="1"/>
  <c r="C38" i="39"/>
  <c r="C39" i="39" l="1"/>
  <c r="D40" i="39"/>
  <c r="D41" i="39" l="1"/>
  <c r="C40" i="39"/>
  <c r="D42" i="39" l="1"/>
  <c r="C41" i="39"/>
  <c r="D43" i="39" l="1"/>
  <c r="C42" i="39"/>
  <c r="D44" i="39" l="1"/>
  <c r="C43" i="39"/>
  <c r="D45" i="39" l="1"/>
  <c r="C44" i="39"/>
  <c r="D46" i="39" l="1"/>
  <c r="C45" i="39"/>
  <c r="C46" i="39" l="1"/>
  <c r="D47" i="39"/>
  <c r="C47" i="39" l="1"/>
  <c r="D48" i="39"/>
  <c r="C48" i="39" l="1"/>
  <c r="D49" i="39"/>
  <c r="C49" i="39" l="1"/>
  <c r="D50" i="39"/>
  <c r="C50" i="39" l="1"/>
  <c r="D51" i="39"/>
  <c r="D52" i="39" l="1"/>
  <c r="C51" i="39"/>
  <c r="C52" i="39" l="1"/>
  <c r="D53" i="39"/>
  <c r="D54" i="39" l="1"/>
  <c r="C53" i="39"/>
  <c r="C54" i="39" l="1"/>
  <c r="D55" i="39"/>
  <c r="C55" i="39" l="1"/>
  <c r="D56" i="39"/>
  <c r="D57" i="39" l="1"/>
  <c r="C56" i="39"/>
  <c r="D58" i="39" l="1"/>
  <c r="C57" i="39"/>
  <c r="D59" i="39" l="1"/>
  <c r="C58" i="39"/>
  <c r="D60" i="39" l="1"/>
  <c r="C59" i="39"/>
  <c r="D61" i="39" l="1"/>
  <c r="C60" i="39"/>
  <c r="D62" i="39" l="1"/>
  <c r="C61" i="39"/>
  <c r="C62" i="39" l="1"/>
  <c r="D63" i="39"/>
  <c r="C63" i="39" l="1"/>
  <c r="D64" i="39"/>
  <c r="C64" i="39" l="1"/>
  <c r="D65" i="39"/>
  <c r="C65" i="39" l="1"/>
  <c r="D66" i="39"/>
  <c r="D67" i="39" l="1"/>
  <c r="C66" i="39"/>
  <c r="C67" i="39" l="1"/>
  <c r="D68" i="39"/>
  <c r="C68" i="39" l="1"/>
  <c r="D69" i="39"/>
  <c r="D70" i="39" l="1"/>
  <c r="C69" i="39"/>
  <c r="C70" i="39" l="1"/>
  <c r="D71" i="39"/>
  <c r="D72" i="39" l="1"/>
  <c r="C71" i="39"/>
  <c r="D73" i="39" l="1"/>
  <c r="D74" i="39" s="1"/>
  <c r="D75" i="39" s="1"/>
  <c r="D76" i="39" s="1"/>
  <c r="D77" i="39" s="1"/>
  <c r="D78" i="39" s="1"/>
  <c r="D79" i="39" s="1"/>
  <c r="D80" i="39" s="1"/>
  <c r="D81" i="39" s="1"/>
  <c r="D82" i="39" s="1"/>
  <c r="D83" i="39" s="1"/>
  <c r="D84" i="39" s="1"/>
  <c r="D85" i="39" s="1"/>
  <c r="D86" i="39" s="1"/>
  <c r="D87" i="39" s="1"/>
  <c r="D88" i="39" s="1"/>
  <c r="D89" i="39" s="1"/>
  <c r="D90" i="39" s="1"/>
  <c r="D91" i="39" s="1"/>
  <c r="D92" i="39" s="1"/>
  <c r="D93" i="39" s="1"/>
  <c r="D94" i="39" s="1"/>
  <c r="D95" i="39" s="1"/>
  <c r="D96" i="39" s="1"/>
  <c r="D97" i="39" s="1"/>
  <c r="D98" i="39" s="1"/>
  <c r="D99" i="39" s="1"/>
  <c r="D100" i="39" s="1"/>
  <c r="D101" i="39" s="1"/>
  <c r="D102" i="39" s="1"/>
  <c r="D103" i="39" s="1"/>
  <c r="D104" i="39" s="1"/>
  <c r="D105" i="39" s="1"/>
  <c r="D106" i="39" s="1"/>
  <c r="D107" i="39" s="1"/>
  <c r="D108" i="39" s="1"/>
  <c r="D109" i="39" s="1"/>
  <c r="D110" i="39" s="1"/>
  <c r="D111" i="39" s="1"/>
  <c r="D112" i="39" s="1"/>
  <c r="D113" i="39" s="1"/>
  <c r="D114" i="39" s="1"/>
  <c r="D115" i="39" s="1"/>
  <c r="D116" i="39" s="1"/>
  <c r="D117" i="39" s="1"/>
  <c r="D118" i="39" s="1"/>
  <c r="D119" i="39" s="1"/>
  <c r="D120" i="39" s="1"/>
  <c r="D121" i="39" s="1"/>
  <c r="D122" i="39" s="1"/>
  <c r="D123" i="39" s="1"/>
  <c r="D124" i="39" s="1"/>
  <c r="D125" i="39" s="1"/>
  <c r="D126" i="39" s="1"/>
  <c r="D127" i="39" s="1"/>
  <c r="D128" i="39" s="1"/>
  <c r="D129" i="39" s="1"/>
  <c r="D130" i="39" s="1"/>
  <c r="D131" i="39" s="1"/>
  <c r="D132" i="39" s="1"/>
  <c r="D133" i="39" s="1"/>
  <c r="D134" i="39" s="1"/>
  <c r="D135" i="39" s="1"/>
  <c r="D136" i="39" s="1"/>
  <c r="D137" i="39" s="1"/>
  <c r="D138" i="39" s="1"/>
  <c r="D139" i="39" s="1"/>
  <c r="D140" i="39" s="1"/>
  <c r="D141" i="39" s="1"/>
  <c r="D142" i="39" s="1"/>
  <c r="D143" i="39" s="1"/>
  <c r="D144" i="39" s="1"/>
  <c r="D145" i="39" s="1"/>
  <c r="D146" i="39" s="1"/>
  <c r="C72" i="39"/>
  <c r="C73" i="39" l="1"/>
  <c r="C74" i="39" l="1"/>
  <c r="C75" i="39" l="1"/>
  <c r="C76" i="39" l="1"/>
  <c r="C77" i="39" l="1"/>
  <c r="C78" i="39" l="1"/>
  <c r="C79" i="39" l="1"/>
  <c r="C80" i="39" l="1"/>
  <c r="C81" i="39" l="1"/>
  <c r="C82" i="39" l="1"/>
  <c r="C83" i="39" l="1"/>
  <c r="C84" i="39" l="1"/>
  <c r="C85" i="39" l="1"/>
  <c r="C86" i="39" l="1"/>
  <c r="C87" i="39" l="1"/>
  <c r="C88" i="39" l="1"/>
  <c r="C89" i="39" l="1"/>
  <c r="C90" i="39" l="1"/>
  <c r="C91" i="39" l="1"/>
  <c r="C92" i="39" l="1"/>
  <c r="C93" i="39" l="1"/>
  <c r="C94" i="39" l="1"/>
  <c r="C95" i="39" l="1"/>
  <c r="C96" i="39" l="1"/>
  <c r="C97" i="39" l="1"/>
  <c r="C98" i="39" l="1"/>
  <c r="C99" i="39" l="1"/>
  <c r="C100" i="39" l="1"/>
  <c r="C101" i="39" l="1"/>
  <c r="C102" i="39" l="1"/>
  <c r="C103" i="39" l="1"/>
  <c r="C104" i="39" l="1"/>
  <c r="C105" i="39" l="1"/>
  <c r="C106" i="39" l="1"/>
  <c r="C107" i="39" l="1"/>
  <c r="C108" i="39" l="1"/>
  <c r="C109" i="39" l="1"/>
  <c r="C110" i="39" l="1"/>
  <c r="C111" i="39" l="1"/>
  <c r="C112" i="39" l="1"/>
  <c r="C113" i="39" l="1"/>
  <c r="C114" i="39" l="1"/>
  <c r="C115" i="39" l="1"/>
  <c r="C116" i="39" l="1"/>
  <c r="C117" i="39" l="1"/>
  <c r="C118" i="39" l="1"/>
  <c r="C119" i="39" l="1"/>
  <c r="C120" i="39" l="1"/>
  <c r="C121" i="39" l="1"/>
  <c r="C122" i="39" l="1"/>
  <c r="C123" i="39" l="1"/>
  <c r="C124" i="39" l="1"/>
  <c r="C125" i="39" l="1"/>
  <c r="C126" i="39" l="1"/>
  <c r="C127" i="39" l="1"/>
  <c r="C128" i="39" l="1"/>
  <c r="C129" i="39" l="1"/>
  <c r="C130" i="39" l="1"/>
  <c r="C131" i="39" l="1"/>
  <c r="C132" i="39" l="1"/>
  <c r="C133" i="39" l="1"/>
  <c r="C134" i="39" l="1"/>
  <c r="C135" i="39" l="1"/>
  <c r="C136" i="39" l="1"/>
  <c r="C137" i="39" l="1"/>
  <c r="C138" i="39" l="1"/>
  <c r="C139" i="39" l="1"/>
  <c r="D75" i="38"/>
  <c r="D76" i="38" l="1"/>
  <c r="C140" i="39"/>
  <c r="C75" i="38"/>
  <c r="D77" i="38" l="1"/>
  <c r="D78" i="38" s="1"/>
  <c r="D79" i="38" s="1"/>
  <c r="D80" i="38" s="1"/>
  <c r="C76" i="38"/>
  <c r="C141" i="39"/>
  <c r="C80" i="38" l="1"/>
  <c r="D81" i="38"/>
  <c r="C142" i="39"/>
  <c r="C81" i="38" l="1"/>
  <c r="D82" i="38"/>
  <c r="C143" i="39"/>
  <c r="C82" i="38" l="1"/>
  <c r="D83" i="38"/>
  <c r="C144" i="39"/>
  <c r="C83" i="38" l="1"/>
  <c r="D84" i="38"/>
  <c r="C146" i="39"/>
  <c r="C145" i="39"/>
  <c r="C84" i="38" l="1"/>
  <c r="D85" i="38"/>
  <c r="C85" i="38" l="1"/>
  <c r="D86" i="38"/>
  <c r="D87" i="38" l="1"/>
  <c r="C86" i="38"/>
  <c r="C87" i="38" l="1"/>
  <c r="D88" i="38"/>
  <c r="D89" i="38" s="1"/>
  <c r="C89" i="38" l="1"/>
  <c r="D90" i="38"/>
  <c r="C90" i="38" l="1"/>
  <c r="D91" i="38"/>
  <c r="C91" i="38" l="1"/>
  <c r="D92" i="38"/>
  <c r="C92" i="38" s="1"/>
  <c r="C72" i="22" l="1"/>
  <c r="C71" i="22" l="1"/>
  <c r="C74" i="22" l="1"/>
  <c r="C73" i="22"/>
  <c r="C75" i="22" l="1"/>
  <c r="C76" i="22" l="1"/>
  <c r="C77" i="22" l="1"/>
  <c r="C78" i="22" l="1"/>
  <c r="C79" i="22" l="1"/>
  <c r="C80" i="22" l="1"/>
  <c r="C82" i="22" l="1"/>
  <c r="C83" i="22" l="1"/>
  <c r="C84" i="22" l="1"/>
  <c r="C85" i="22" l="1"/>
  <c r="C86" i="22" l="1"/>
  <c r="C88" i="22" l="1"/>
  <c r="C89" i="22" l="1"/>
  <c r="C90" i="22" l="1"/>
  <c r="C91" i="22" l="1"/>
  <c r="C92" i="22" l="1"/>
  <c r="C93" i="22" l="1"/>
  <c r="C94" i="22" l="1"/>
  <c r="C95" i="22" l="1"/>
  <c r="C96" i="22" l="1"/>
  <c r="C97" i="22" l="1"/>
  <c r="C98" i="22" l="1"/>
  <c r="C99" i="22" l="1"/>
  <c r="C100" i="22" l="1"/>
  <c r="C101" i="22" l="1"/>
  <c r="C102" i="22" l="1"/>
  <c r="C103" i="22" l="1"/>
  <c r="C104" i="22" l="1"/>
  <c r="C106" i="22" l="1"/>
  <c r="C108" i="22" l="1"/>
  <c r="C109" i="22" l="1"/>
  <c r="C110" i="22" l="1"/>
  <c r="C111" i="22" l="1"/>
  <c r="C112" i="22" l="1"/>
  <c r="C114" i="22" l="1"/>
  <c r="C115" i="22" l="1"/>
  <c r="C116" i="22" l="1"/>
  <c r="C117" i="22" l="1"/>
  <c r="C118" i="22" l="1"/>
  <c r="C119" i="22" l="1"/>
  <c r="C120" i="22" l="1"/>
  <c r="C121" i="22" l="1"/>
  <c r="C122" i="22" l="1"/>
  <c r="C125" i="22" l="1"/>
  <c r="C127" i="22" l="1"/>
  <c r="C128" i="22" l="1"/>
  <c r="C129" i="22" l="1"/>
  <c r="C130" i="22" l="1"/>
  <c r="C131" i="22" l="1"/>
  <c r="C132" i="22" l="1"/>
  <c r="C133" i="22" l="1"/>
  <c r="C134" i="22" l="1"/>
  <c r="C137" i="22" l="1"/>
  <c r="C138" i="22" l="1"/>
  <c r="C139" i="22" l="1"/>
  <c r="C140" i="22" l="1"/>
  <c r="C141" i="22" l="1"/>
  <c r="C142" i="22" l="1"/>
  <c r="C143" i="22" l="1"/>
  <c r="C144" i="22" l="1"/>
  <c r="C145" i="22" l="1"/>
  <c r="C146" i="22" l="1"/>
  <c r="C148" i="22" l="1"/>
  <c r="C149" i="22" l="1"/>
  <c r="C150" i="22" l="1"/>
  <c r="C151" i="22" l="1"/>
  <c r="C152" i="22" l="1"/>
  <c r="C153" i="22" l="1"/>
  <c r="C154" i="22" l="1"/>
  <c r="C155" i="22" l="1"/>
  <c r="C156" i="22" l="1"/>
  <c r="C157" i="22" l="1"/>
  <c r="C158" i="22" l="1"/>
  <c r="C159" i="22" l="1"/>
  <c r="C160" i="22" l="1"/>
  <c r="C161" i="22" l="1"/>
  <c r="C163" i="22" l="1"/>
  <c r="C164" i="22" l="1"/>
  <c r="C165" i="22" l="1"/>
  <c r="C166" i="22" l="1"/>
  <c r="C167" i="22" l="1"/>
  <c r="C169" i="22" l="1"/>
  <c r="C170" i="22" l="1"/>
  <c r="C171" i="22" l="1"/>
  <c r="C172" i="22" l="1"/>
  <c r="C173" i="22" l="1"/>
  <c r="C174" i="22" l="1"/>
  <c r="C175" i="22" l="1"/>
  <c r="C176" i="22" l="1"/>
  <c r="C256" i="22"/>
  <c r="C177" i="22" l="1"/>
  <c r="C257" i="22"/>
  <c r="C178" i="22" l="1"/>
  <c r="C258" i="22"/>
  <c r="C179" i="22" l="1"/>
  <c r="C260" i="22"/>
  <c r="C180" i="22" l="1"/>
  <c r="C261" i="22"/>
  <c r="C181" i="22" l="1"/>
  <c r="C262" i="22"/>
  <c r="C182" i="22" l="1"/>
  <c r="C263" i="22"/>
  <c r="C183" i="22" l="1"/>
  <c r="C264" i="22"/>
  <c r="C184" i="22" l="1"/>
  <c r="C265" i="22"/>
  <c r="C185" i="22" l="1"/>
  <c r="C266" i="22"/>
  <c r="C186" i="22" l="1"/>
  <c r="C267" i="22"/>
  <c r="C187" i="22" l="1"/>
  <c r="C268" i="22"/>
  <c r="C190" i="22" l="1"/>
  <c r="C269" i="22"/>
  <c r="C191" i="22" l="1"/>
  <c r="C270" i="22"/>
  <c r="C192" i="22" l="1"/>
  <c r="C271" i="22"/>
  <c r="C193" i="22" l="1"/>
  <c r="C272" i="22"/>
  <c r="C194" i="22" l="1"/>
  <c r="C273" i="22"/>
  <c r="C195" i="22" l="1"/>
  <c r="C274" i="22"/>
  <c r="C196" i="22" l="1"/>
  <c r="C275" i="22"/>
  <c r="C197" i="22" l="1"/>
  <c r="C276" i="22"/>
  <c r="C198" i="22" l="1"/>
  <c r="C277" i="22"/>
  <c r="C199" i="22" l="1"/>
  <c r="C278" i="22"/>
  <c r="C200" i="22" l="1"/>
  <c r="C279" i="22"/>
  <c r="C201" i="22" l="1"/>
  <c r="C280" i="22"/>
  <c r="C202" i="22" l="1"/>
  <c r="C281" i="22"/>
  <c r="C203" i="22" l="1"/>
  <c r="C282" i="22"/>
  <c r="C204" i="22" l="1"/>
  <c r="C285" i="22"/>
  <c r="C205" i="22" l="1"/>
  <c r="C286" i="22"/>
  <c r="C206" i="22" l="1"/>
  <c r="C287" i="22"/>
  <c r="C207" i="22" l="1"/>
  <c r="C288" i="22"/>
  <c r="C208" i="22" l="1"/>
  <c r="C289" i="22"/>
  <c r="C209" i="22" l="1"/>
  <c r="C290" i="22"/>
  <c r="C210" i="22" l="1"/>
  <c r="C291" i="22"/>
  <c r="C211" i="22" l="1"/>
  <c r="C292" i="22"/>
  <c r="C212" i="22" l="1"/>
  <c r="C293" i="22"/>
  <c r="C213" i="22" l="1"/>
  <c r="C294" i="22"/>
  <c r="C214" i="22" l="1"/>
  <c r="C295" i="22"/>
  <c r="C215" i="22" l="1"/>
  <c r="C296" i="22"/>
  <c r="C216" i="22" l="1"/>
  <c r="C297" i="22"/>
  <c r="C217" i="22" l="1"/>
  <c r="C298" i="22"/>
  <c r="C219" i="22" l="1"/>
  <c r="C299" i="22"/>
  <c r="C220" i="22" l="1"/>
  <c r="C302" i="22"/>
  <c r="C221" i="22" l="1"/>
  <c r="C303" i="22"/>
  <c r="C222" i="22" l="1"/>
  <c r="C304" i="22"/>
  <c r="C223" i="22" l="1"/>
  <c r="C305" i="22"/>
  <c r="C227" i="22" l="1"/>
  <c r="C306" i="22"/>
  <c r="C228" i="22" l="1"/>
  <c r="C307" i="22"/>
  <c r="C229" i="22" l="1"/>
  <c r="C308" i="22"/>
  <c r="C230" i="22" l="1"/>
  <c r="C309" i="22"/>
  <c r="C240" i="22" l="1"/>
  <c r="C310" i="22"/>
  <c r="C241" i="22" l="1"/>
  <c r="C311" i="22"/>
  <c r="C242" i="22" l="1"/>
  <c r="C312" i="22"/>
  <c r="C244" i="22" l="1"/>
  <c r="C313" i="22"/>
  <c r="C245" i="22" l="1"/>
  <c r="C314" i="22"/>
  <c r="C246" i="22" l="1"/>
  <c r="C315" i="22"/>
  <c r="C247" i="22" l="1"/>
  <c r="C316" i="22"/>
  <c r="C248" i="22" l="1"/>
  <c r="C317" i="22"/>
  <c r="C249" i="22" l="1"/>
  <c r="C318" i="22"/>
  <c r="C250" i="22" l="1"/>
  <c r="C319" i="22"/>
  <c r="C251" i="22" l="1"/>
  <c r="C320" i="22"/>
  <c r="C252" i="22" l="1"/>
  <c r="C253" i="22"/>
  <c r="C321" i="22"/>
  <c r="C322" i="22" l="1"/>
  <c r="C324" i="22" l="1"/>
  <c r="C325" i="22" l="1"/>
  <c r="C326" i="22" l="1"/>
  <c r="C327" i="22" l="1"/>
  <c r="C328" i="22" l="1"/>
  <c r="C329" i="22" l="1"/>
  <c r="C330" i="22" l="1"/>
  <c r="C331" i="22" l="1"/>
  <c r="C332" i="22" l="1"/>
  <c r="C333" i="22" l="1"/>
  <c r="C334" i="22" l="1"/>
  <c r="C335" i="22" l="1"/>
  <c r="C336" i="22" l="1"/>
  <c r="C337" i="22" l="1"/>
  <c r="C338" i="22" l="1"/>
  <c r="C339" i="22" l="1"/>
  <c r="C340" i="22" l="1"/>
  <c r="C341" i="22" l="1"/>
  <c r="C342" i="22" l="1"/>
  <c r="C343" i="22" l="1"/>
  <c r="C344" i="22" l="1"/>
  <c r="C345" i="22"/>
  <c r="B168" i="30" l="1"/>
  <c r="B167" i="30"/>
  <c r="B166" i="30"/>
  <c r="B165" i="30"/>
  <c r="B100" i="30"/>
  <c r="B135" i="30"/>
  <c r="B164" i="30"/>
  <c r="B163" i="30"/>
  <c r="B162" i="30"/>
  <c r="B161" i="30"/>
  <c r="B160" i="30"/>
  <c r="B159" i="30"/>
  <c r="B158" i="30"/>
  <c r="B157" i="30"/>
  <c r="B156" i="30"/>
  <c r="B155" i="30"/>
  <c r="B154" i="30"/>
  <c r="B153" i="30"/>
  <c r="B152" i="30"/>
  <c r="B151" i="30"/>
  <c r="B150" i="30"/>
  <c r="B148" i="30"/>
  <c r="B149" i="30"/>
  <c r="B147" i="30"/>
  <c r="B146" i="30"/>
  <c r="B145" i="30"/>
  <c r="B144" i="30"/>
  <c r="B143" i="30"/>
  <c r="B142" i="30"/>
  <c r="B141" i="30"/>
  <c r="B140" i="30"/>
  <c r="B139" i="30"/>
  <c r="B138" i="30"/>
  <c r="B137" i="30"/>
  <c r="B134" i="30"/>
  <c r="B136" i="30"/>
  <c r="B133" i="30"/>
  <c r="B132" i="30"/>
  <c r="B130" i="30"/>
  <c r="B131" i="30"/>
  <c r="B129" i="30"/>
  <c r="B128" i="30"/>
  <c r="B127" i="30"/>
  <c r="B126" i="30"/>
  <c r="B125" i="30"/>
  <c r="B124" i="30"/>
  <c r="B123" i="30"/>
  <c r="B122" i="30"/>
  <c r="B121" i="30"/>
  <c r="B120" i="30"/>
  <c r="B119" i="30"/>
  <c r="B118" i="30"/>
  <c r="B117" i="30"/>
  <c r="B116" i="30"/>
  <c r="B115" i="30"/>
  <c r="B114" i="30"/>
  <c r="B113" i="30"/>
  <c r="B112" i="30"/>
  <c r="B111" i="30"/>
  <c r="B110" i="30"/>
  <c r="B109" i="30"/>
  <c r="B108" i="30"/>
  <c r="B107" i="30"/>
  <c r="B106" i="30"/>
  <c r="B105" i="30"/>
  <c r="B104" i="30"/>
  <c r="B102" i="30"/>
  <c r="B103" i="30"/>
  <c r="B101" i="30"/>
  <c r="B89" i="30"/>
  <c r="B98" i="30"/>
  <c r="B99" i="30"/>
  <c r="B97" i="30"/>
  <c r="B96" i="30"/>
  <c r="B95" i="30"/>
  <c r="B94" i="30"/>
  <c r="B93" i="30"/>
  <c r="B92" i="30"/>
  <c r="B91" i="30"/>
  <c r="B90" i="30"/>
  <c r="B56" i="30"/>
  <c r="B88" i="30"/>
  <c r="B87" i="30"/>
  <c r="B85" i="30"/>
  <c r="B86" i="30"/>
  <c r="B84" i="30"/>
  <c r="B83" i="30"/>
  <c r="B82" i="30"/>
  <c r="B81" i="30"/>
  <c r="B80" i="30"/>
  <c r="B79" i="30"/>
  <c r="B44" i="30"/>
  <c r="B78" i="30"/>
  <c r="B77" i="30"/>
  <c r="B76" i="30"/>
  <c r="B75" i="30"/>
  <c r="B74" i="30"/>
  <c r="B73" i="30"/>
  <c r="B71" i="30"/>
  <c r="B72" i="30"/>
  <c r="B67" i="30"/>
  <c r="B70" i="30"/>
  <c r="B66" i="30"/>
  <c r="B68" i="30"/>
  <c r="B69" i="30"/>
  <c r="B65" i="30"/>
  <c r="B64" i="30"/>
  <c r="B63" i="30"/>
  <c r="B62" i="30"/>
  <c r="B61" i="30"/>
  <c r="B60" i="30"/>
  <c r="B58" i="30"/>
  <c r="B59" i="30"/>
  <c r="B57" i="30"/>
  <c r="B55" i="30"/>
  <c r="B54" i="30"/>
  <c r="B53" i="30"/>
  <c r="B51" i="30"/>
  <c r="B50" i="30"/>
  <c r="B49" i="30"/>
  <c r="B48" i="30"/>
  <c r="B47" i="30"/>
  <c r="B46" i="30"/>
  <c r="B45" i="30"/>
  <c r="B42" i="30"/>
  <c r="B41" i="30"/>
  <c r="B40" i="30"/>
  <c r="B38" i="30"/>
  <c r="B39" i="30"/>
  <c r="B37" i="30"/>
  <c r="B35" i="30"/>
  <c r="B34" i="30"/>
  <c r="B33" i="30"/>
  <c r="B32" i="30"/>
  <c r="B31" i="30"/>
  <c r="B19" i="30"/>
  <c r="B30" i="30"/>
  <c r="B29" i="30"/>
  <c r="B21" i="30"/>
  <c r="B28" i="30"/>
  <c r="B27" i="30"/>
  <c r="B20" i="30"/>
  <c r="B22" i="30"/>
  <c r="B26" i="30"/>
  <c r="B25" i="30"/>
  <c r="B18" i="30"/>
  <c r="B24" i="30"/>
  <c r="B17" i="30"/>
  <c r="B15" i="30"/>
  <c r="B16" i="30"/>
  <c r="B14" i="30"/>
  <c r="B13" i="30"/>
  <c r="B12" i="30"/>
  <c r="B11" i="30"/>
  <c r="B10" i="30"/>
  <c r="B9" i="30"/>
  <c r="B8" i="30"/>
  <c r="C263" i="20"/>
  <c r="C262" i="20"/>
  <c r="C206" i="20"/>
  <c r="C261" i="20"/>
  <c r="C260" i="20"/>
  <c r="C205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6" i="20"/>
  <c r="C217" i="20"/>
  <c r="C215" i="20"/>
  <c r="C214" i="20"/>
  <c r="C213" i="20"/>
  <c r="C212" i="20"/>
  <c r="C211" i="20"/>
  <c r="C210" i="20"/>
  <c r="C209" i="20"/>
  <c r="C208" i="20"/>
  <c r="C207" i="20"/>
  <c r="C76" i="20"/>
  <c r="C69" i="20"/>
  <c r="C79" i="20"/>
  <c r="C78" i="20"/>
  <c r="C60" i="20"/>
  <c r="C77" i="20"/>
  <c r="C73" i="20"/>
  <c r="C74" i="20"/>
  <c r="C75" i="20"/>
  <c r="C72" i="20"/>
  <c r="C71" i="20"/>
  <c r="C52" i="20"/>
  <c r="C70" i="20"/>
  <c r="C68" i="20"/>
  <c r="C66" i="20"/>
  <c r="C67" i="20"/>
  <c r="C65" i="20"/>
  <c r="C64" i="20"/>
  <c r="C63" i="20"/>
  <c r="C62" i="20"/>
  <c r="C61" i="20"/>
  <c r="C59" i="20"/>
  <c r="C58" i="20"/>
  <c r="C57" i="20"/>
  <c r="C56" i="20"/>
  <c r="C55" i="20"/>
  <c r="C54" i="20"/>
  <c r="C45" i="20"/>
  <c r="C53" i="20"/>
  <c r="C51" i="20"/>
  <c r="C50" i="20"/>
  <c r="C36" i="20"/>
  <c r="C35" i="20"/>
  <c r="C49" i="20"/>
  <c r="C48" i="20"/>
  <c r="C47" i="20"/>
  <c r="C44" i="20"/>
  <c r="C46" i="20"/>
  <c r="C43" i="20"/>
  <c r="C42" i="20"/>
  <c r="C41" i="20"/>
  <c r="C40" i="20"/>
  <c r="C38" i="20"/>
  <c r="C39" i="20"/>
  <c r="C25" i="20"/>
  <c r="C37" i="20"/>
  <c r="C24" i="20"/>
  <c r="C34" i="20"/>
  <c r="C33" i="20"/>
  <c r="C32" i="20"/>
  <c r="C31" i="20"/>
  <c r="C30" i="20"/>
  <c r="C29" i="20"/>
  <c r="C27" i="20"/>
  <c r="C28" i="20"/>
  <c r="C23" i="20"/>
  <c r="C26" i="20"/>
  <c r="C22" i="20"/>
  <c r="C21" i="20"/>
  <c r="C40" i="29"/>
  <c r="C58" i="29"/>
  <c r="C57" i="29"/>
  <c r="C56" i="29"/>
  <c r="C46" i="29"/>
  <c r="C54" i="29"/>
  <c r="C55" i="29"/>
  <c r="C53" i="29"/>
  <c r="C52" i="29"/>
  <c r="C51" i="29"/>
  <c r="C50" i="29"/>
  <c r="C39" i="29"/>
  <c r="C49" i="29"/>
  <c r="C38" i="29"/>
  <c r="C48" i="29"/>
  <c r="C47" i="29"/>
  <c r="C45" i="29"/>
  <c r="C44" i="29"/>
  <c r="C43" i="29"/>
  <c r="C42" i="29"/>
  <c r="C41" i="29"/>
  <c r="C37" i="29"/>
  <c r="C36" i="29"/>
  <c r="C35" i="29"/>
  <c r="C34" i="29"/>
  <c r="C32" i="29"/>
  <c r="C33" i="29"/>
  <c r="C31" i="29"/>
  <c r="C30" i="29"/>
  <c r="C29" i="29"/>
  <c r="C27" i="29"/>
  <c r="C28" i="29"/>
  <c r="C26" i="29"/>
  <c r="C25" i="29"/>
  <c r="C24" i="29"/>
  <c r="C21" i="29"/>
  <c r="C23" i="29"/>
  <c r="C18" i="29"/>
  <c r="C22" i="29"/>
  <c r="C20" i="29"/>
  <c r="C14" i="29"/>
  <c r="C17" i="29"/>
  <c r="C19" i="29"/>
  <c r="C16" i="29"/>
  <c r="C13" i="29"/>
  <c r="C12" i="29"/>
  <c r="C59" i="22"/>
  <c r="C58" i="22"/>
  <c r="C56" i="22"/>
  <c r="C53" i="22"/>
  <c r="C52" i="22"/>
  <c r="C50" i="22"/>
  <c r="C49" i="22"/>
  <c r="C47" i="22"/>
  <c r="C44" i="22"/>
  <c r="C43" i="22"/>
  <c r="C46" i="22"/>
  <c r="C45" i="22"/>
  <c r="C41" i="22"/>
  <c r="C40" i="22"/>
  <c r="C39" i="22"/>
  <c r="C38" i="22"/>
  <c r="C37" i="22"/>
  <c r="C36" i="22"/>
  <c r="C35" i="22"/>
  <c r="C34" i="22"/>
  <c r="C32" i="22"/>
  <c r="C33" i="22"/>
  <c r="C30" i="22"/>
  <c r="C31" i="22"/>
  <c r="C29" i="22"/>
  <c r="C28" i="22"/>
  <c r="C27" i="22"/>
  <c r="C26" i="22"/>
  <c r="C25" i="22"/>
  <c r="C24" i="22"/>
  <c r="C23" i="22"/>
  <c r="C22" i="22"/>
  <c r="C19" i="22"/>
  <c r="C17" i="22"/>
  <c r="C15" i="22"/>
  <c r="C14" i="22"/>
  <c r="C13" i="22"/>
  <c r="C12" i="22"/>
  <c r="C152" i="23"/>
  <c r="C151" i="23"/>
  <c r="C150" i="23"/>
  <c r="C149" i="23"/>
  <c r="C148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6" i="23"/>
  <c r="C108" i="23"/>
  <c r="C107" i="23"/>
  <c r="C105" i="23"/>
  <c r="C104" i="23"/>
  <c r="C103" i="23"/>
  <c r="C102" i="23"/>
  <c r="C101" i="23"/>
  <c r="C100" i="23"/>
  <c r="C99" i="23"/>
  <c r="C98" i="23"/>
  <c r="C97" i="23"/>
  <c r="C88" i="23"/>
  <c r="C87" i="23"/>
  <c r="C96" i="23"/>
  <c r="C95" i="23"/>
  <c r="C94" i="23"/>
  <c r="C93" i="23"/>
  <c r="C92" i="23"/>
  <c r="C91" i="23"/>
  <c r="C90" i="23"/>
  <c r="C89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46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45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127" i="23"/>
  <c r="C128" i="23"/>
  <c r="C153" i="23"/>
  <c r="C126" i="23"/>
  <c r="C36" i="23"/>
  <c r="C44" i="23"/>
  <c r="C43" i="23"/>
  <c r="C41" i="23"/>
  <c r="C42" i="23"/>
  <c r="C40" i="23"/>
  <c r="C39" i="23"/>
  <c r="C38" i="23"/>
  <c r="C37" i="23"/>
  <c r="C35" i="23"/>
  <c r="C33" i="23"/>
  <c r="C34" i="23"/>
  <c r="C32" i="23"/>
  <c r="C31" i="23"/>
  <c r="C30" i="23"/>
  <c r="C29" i="23"/>
  <c r="C28" i="23"/>
  <c r="C172" i="24" l="1"/>
  <c r="C173" i="24"/>
  <c r="C176" i="24"/>
  <c r="C177" i="24"/>
  <c r="C239" i="24"/>
  <c r="C240" i="24"/>
  <c r="C241" i="24"/>
  <c r="C242" i="24"/>
  <c r="C243" i="24"/>
  <c r="C238" i="24"/>
  <c r="C175" i="24"/>
  <c r="C174" i="24"/>
  <c r="C53" i="24"/>
  <c r="C245" i="24" l="1"/>
  <c r="C179" i="24"/>
  <c r="C54" i="24"/>
  <c r="C178" i="24"/>
  <c r="C244" i="24"/>
  <c r="C55" i="24" l="1"/>
  <c r="C180" i="24"/>
  <c r="C246" i="24"/>
  <c r="C247" i="24" l="1"/>
  <c r="C181" i="24"/>
  <c r="C56" i="24"/>
  <c r="C182" i="24" l="1"/>
  <c r="C248" i="24"/>
  <c r="C58" i="24"/>
  <c r="C59" i="24" l="1"/>
  <c r="C249" i="24"/>
  <c r="C183" i="24"/>
  <c r="C184" i="24" l="1"/>
  <c r="C250" i="24"/>
  <c r="C60" i="24"/>
  <c r="C61" i="24" l="1"/>
  <c r="C251" i="24"/>
  <c r="C185" i="24"/>
  <c r="C186" i="24" l="1"/>
  <c r="C252" i="24"/>
  <c r="C62" i="24"/>
  <c r="C253" i="24" l="1"/>
  <c r="C63" i="24"/>
  <c r="C187" i="24"/>
  <c r="C188" i="24" l="1"/>
  <c r="C64" i="24"/>
  <c r="C254" i="24"/>
  <c r="C255" i="24" l="1"/>
  <c r="C65" i="24"/>
  <c r="C189" i="24"/>
  <c r="C190" i="24" l="1"/>
  <c r="C66" i="24"/>
  <c r="C256" i="24"/>
  <c r="C258" i="24" l="1"/>
  <c r="C67" i="24"/>
  <c r="C191" i="24"/>
  <c r="C193" i="24" l="1"/>
  <c r="C68" i="24"/>
  <c r="C259" i="24"/>
  <c r="C261" i="24" l="1"/>
  <c r="C69" i="24"/>
  <c r="C198" i="24"/>
  <c r="C70" i="24" l="1"/>
  <c r="C199" i="24"/>
  <c r="C262" i="24"/>
  <c r="C263" i="24" l="1"/>
  <c r="C200" i="24"/>
  <c r="C71" i="24"/>
  <c r="C72" i="24" l="1"/>
  <c r="C201" i="24"/>
  <c r="C264" i="24"/>
  <c r="C202" i="24" l="1"/>
  <c r="C265" i="24"/>
  <c r="C73" i="24"/>
  <c r="C75" i="24" l="1"/>
  <c r="C266" i="24"/>
  <c r="C203" i="24"/>
  <c r="C204" i="24" l="1"/>
  <c r="C267" i="24"/>
  <c r="C76" i="24"/>
  <c r="C77" i="24" l="1"/>
  <c r="C268" i="24"/>
  <c r="C205" i="24"/>
  <c r="C269" i="24" l="1"/>
  <c r="C206" i="24"/>
  <c r="C78" i="24"/>
  <c r="C207" i="24" l="1"/>
  <c r="C79" i="24"/>
  <c r="C270" i="24"/>
  <c r="C208" i="24" l="1"/>
  <c r="C271" i="24"/>
  <c r="C80" i="24"/>
  <c r="C81" i="24" l="1"/>
  <c r="C272" i="24"/>
  <c r="C209" i="24"/>
  <c r="C210" i="24" l="1"/>
  <c r="C273" i="24"/>
  <c r="C82" i="24"/>
  <c r="C83" i="24" l="1"/>
  <c r="C274" i="24"/>
  <c r="C211" i="24"/>
  <c r="C212" i="24" l="1"/>
  <c r="C275" i="24"/>
  <c r="C84" i="24"/>
  <c r="C87" i="24" l="1"/>
  <c r="C276" i="24"/>
  <c r="C213" i="24"/>
  <c r="C214" i="24" l="1"/>
  <c r="C277" i="24"/>
  <c r="C88" i="24"/>
  <c r="C89" i="24" l="1"/>
  <c r="C215" i="24"/>
  <c r="C278" i="24"/>
  <c r="C279" i="24" l="1"/>
  <c r="C280" i="24"/>
  <c r="C216" i="24"/>
  <c r="C90" i="24"/>
  <c r="C217" i="24" l="1"/>
  <c r="C91" i="24"/>
  <c r="C92" i="24" l="1"/>
  <c r="C218" i="24"/>
  <c r="C219" i="24" l="1"/>
  <c r="C93" i="24"/>
  <c r="C95" i="24" l="1"/>
  <c r="C220" i="24"/>
  <c r="C221" i="24" l="1"/>
  <c r="C96" i="24"/>
  <c r="C97" i="24" l="1"/>
  <c r="C222" i="24"/>
  <c r="C223" i="24" l="1"/>
  <c r="C98" i="24"/>
  <c r="C99" i="24" l="1"/>
  <c r="C224" i="24"/>
  <c r="C225" i="24" l="1"/>
  <c r="C100" i="24"/>
  <c r="C101" i="24" l="1"/>
  <c r="C226" i="24"/>
  <c r="C227" i="24" l="1"/>
  <c r="C102" i="24"/>
  <c r="C103" i="24" l="1"/>
  <c r="C228" i="24"/>
  <c r="C229" i="24" l="1"/>
  <c r="C104" i="24"/>
  <c r="C105" i="24" l="1"/>
  <c r="C230" i="24"/>
  <c r="C231" i="24" l="1"/>
  <c r="C106" i="24"/>
  <c r="C107" i="24" l="1"/>
  <c r="C232" i="24"/>
  <c r="C234" i="24" l="1"/>
  <c r="C235" i="24"/>
  <c r="C108" i="24"/>
  <c r="C109" i="24" l="1"/>
  <c r="C110" i="24" l="1"/>
  <c r="C111" i="24" l="1"/>
  <c r="C112" i="24" l="1"/>
  <c r="C113" i="24" l="1"/>
  <c r="C114" i="24" l="1"/>
  <c r="C115" i="24" l="1"/>
  <c r="C118" i="24" l="1"/>
  <c r="C119" i="24" l="1"/>
  <c r="C120" i="24" l="1"/>
  <c r="C122" i="24" l="1"/>
  <c r="C123" i="24" l="1"/>
  <c r="C126" i="24" l="1"/>
  <c r="C127" i="24" l="1"/>
  <c r="C128" i="24" l="1"/>
  <c r="C129" i="24" l="1"/>
  <c r="C130" i="24" l="1"/>
  <c r="C131" i="24" l="1"/>
  <c r="C132" i="24" l="1"/>
  <c r="C133" i="24" l="1"/>
  <c r="C134" i="24" l="1"/>
  <c r="C135" i="24" l="1"/>
  <c r="C136" i="24" l="1"/>
  <c r="C137" i="24" l="1"/>
  <c r="C138" i="24" l="1"/>
  <c r="C139" i="24" l="1"/>
  <c r="C140" i="24" l="1"/>
  <c r="C142" i="24" l="1"/>
  <c r="C143" i="24" l="1"/>
  <c r="C144" i="24" l="1"/>
  <c r="C145" i="24" l="1"/>
  <c r="C146" i="24" l="1"/>
  <c r="C147" i="24" l="1"/>
  <c r="C148" i="24" l="1"/>
  <c r="C149" i="24" l="1"/>
  <c r="C150" i="24" l="1"/>
  <c r="C151" i="24" l="1"/>
  <c r="C152" i="24" l="1"/>
  <c r="C153" i="24" l="1"/>
  <c r="C155" i="24" l="1"/>
  <c r="C156" i="24" l="1"/>
  <c r="C157" i="24" l="1"/>
  <c r="C158" i="24" l="1"/>
  <c r="C159" i="24" l="1"/>
  <c r="C160" i="24" l="1"/>
  <c r="C161" i="24" l="1"/>
  <c r="C162" i="24" l="1"/>
  <c r="C163" i="24" l="1"/>
  <c r="C164" i="24" l="1"/>
  <c r="C165" i="24" l="1"/>
  <c r="C166" i="24" l="1"/>
  <c r="C167" i="24" l="1"/>
  <c r="C168" i="24" l="1"/>
  <c r="C170" i="24" l="1"/>
  <c r="C169" i="24"/>
  <c r="C40" i="24"/>
  <c r="C51" i="24"/>
  <c r="C50" i="24"/>
  <c r="C49" i="24"/>
  <c r="C48" i="24"/>
  <c r="C47" i="24"/>
  <c r="C46" i="24"/>
  <c r="C45" i="24"/>
  <c r="C31" i="24"/>
  <c r="C43" i="24"/>
  <c r="C42" i="24"/>
  <c r="C41" i="24"/>
  <c r="C38" i="24"/>
  <c r="C37" i="24"/>
  <c r="C25" i="24"/>
  <c r="C36" i="24"/>
  <c r="C35" i="24"/>
  <c r="C34" i="24"/>
  <c r="C33" i="24"/>
  <c r="C32" i="24"/>
  <c r="C30" i="24"/>
  <c r="C29" i="24"/>
  <c r="C28" i="24"/>
  <c r="C26" i="24"/>
  <c r="C21" i="24"/>
  <c r="C20" i="24"/>
  <c r="C15" i="24"/>
  <c r="C14" i="24"/>
  <c r="C18" i="24"/>
  <c r="C17" i="24"/>
  <c r="C16" i="24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2" i="25"/>
  <c r="C171" i="25"/>
  <c r="C168" i="25"/>
  <c r="C167" i="25"/>
  <c r="C166" i="25"/>
  <c r="C165" i="25"/>
  <c r="C163" i="25"/>
  <c r="C162" i="25"/>
  <c r="C161" i="25"/>
  <c r="C151" i="25"/>
  <c r="C150" i="25"/>
  <c r="C149" i="25"/>
  <c r="C146" i="25"/>
  <c r="C145" i="25"/>
  <c r="C144" i="25"/>
  <c r="C143" i="25"/>
  <c r="C142" i="25"/>
  <c r="C141" i="25"/>
  <c r="C140" i="25"/>
  <c r="C139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2" i="25"/>
  <c r="C111" i="25"/>
  <c r="C110" i="25"/>
  <c r="C109" i="25"/>
  <c r="C98" i="25"/>
  <c r="C96" i="25"/>
  <c r="C95" i="25"/>
  <c r="C94" i="25"/>
  <c r="C93" i="25"/>
  <c r="C92" i="25"/>
  <c r="C91" i="25"/>
  <c r="C90" i="25"/>
  <c r="C86" i="25"/>
  <c r="C85" i="25"/>
  <c r="C84" i="25"/>
  <c r="C83" i="25"/>
  <c r="C80" i="25"/>
  <c r="C78" i="25"/>
  <c r="C77" i="25"/>
  <c r="C76" i="25"/>
  <c r="C75" i="25"/>
  <c r="C74" i="25"/>
  <c r="C72" i="25"/>
  <c r="C67" i="25"/>
  <c r="C66" i="25"/>
  <c r="C63" i="25"/>
  <c r="C62" i="25"/>
  <c r="C61" i="25"/>
  <c r="C60" i="25"/>
  <c r="C59" i="25"/>
  <c r="C58" i="25"/>
  <c r="C57" i="25"/>
  <c r="C56" i="25"/>
  <c r="C54" i="25"/>
  <c r="C53" i="25"/>
  <c r="C51" i="25"/>
  <c r="C46" i="25"/>
  <c r="C45" i="25"/>
  <c r="C44" i="25"/>
  <c r="C43" i="25"/>
  <c r="C41" i="25"/>
  <c r="C40" i="25"/>
  <c r="C38" i="25"/>
  <c r="C37" i="25"/>
  <c r="C35" i="25"/>
  <c r="C34" i="25"/>
  <c r="C33" i="25"/>
  <c r="C31" i="25"/>
  <c r="C30" i="25"/>
  <c r="C29" i="25"/>
  <c r="C28" i="25"/>
  <c r="C27" i="25"/>
  <c r="C25" i="25"/>
  <c r="C22" i="25"/>
  <c r="C19" i="25"/>
  <c r="C21" i="25"/>
  <c r="C20" i="25"/>
  <c r="C18" i="25"/>
  <c r="C16" i="25"/>
  <c r="C14" i="25"/>
  <c r="C13" i="25"/>
  <c r="D93" i="38"/>
  <c r="D94" i="38" s="1"/>
  <c r="D95" i="38" s="1"/>
  <c r="D96" i="38" s="1"/>
  <c r="D97" i="38" s="1"/>
  <c r="D98" i="38" s="1"/>
  <c r="D99" i="38" s="1"/>
  <c r="D100" i="38" s="1"/>
  <c r="D101" i="38" s="1"/>
  <c r="D102" i="38" s="1"/>
  <c r="D103" i="38" s="1"/>
  <c r="D104" i="38" s="1"/>
  <c r="C93" i="38" l="1"/>
  <c r="D105" i="38"/>
  <c r="C104" i="38"/>
  <c r="C24" i="16"/>
  <c r="C25" i="16" s="1"/>
  <c r="B24" i="16" l="1"/>
  <c r="C105" i="38"/>
  <c r="D106" i="38"/>
  <c r="B25" i="16"/>
  <c r="C26" i="16"/>
  <c r="C106" i="38" l="1"/>
  <c r="D107" i="38"/>
  <c r="D108" i="38" s="1"/>
  <c r="D109" i="38" s="1"/>
  <c r="D110" i="38" s="1"/>
  <c r="D111" i="38" s="1"/>
  <c r="D112" i="38" s="1"/>
  <c r="D113" i="38" s="1"/>
  <c r="C27" i="16"/>
  <c r="B26" i="16"/>
  <c r="D114" i="38" l="1"/>
  <c r="C113" i="38"/>
  <c r="C28" i="16"/>
  <c r="B27" i="16"/>
  <c r="D115" i="38" l="1"/>
  <c r="C114" i="38"/>
  <c r="C29" i="16"/>
  <c r="B28" i="16"/>
  <c r="D116" i="38" l="1"/>
  <c r="C115" i="38"/>
  <c r="C30" i="16"/>
  <c r="B29" i="16"/>
  <c r="D117" i="38" l="1"/>
  <c r="C116" i="38"/>
  <c r="C31" i="16"/>
  <c r="B30" i="16"/>
  <c r="D118" i="38" l="1"/>
  <c r="C117" i="38"/>
  <c r="C32" i="16"/>
  <c r="B31" i="16"/>
  <c r="C118" i="38" l="1"/>
  <c r="D119" i="38"/>
  <c r="B32" i="16"/>
  <c r="C33" i="16"/>
  <c r="C119" i="38" l="1"/>
  <c r="C120" i="38"/>
  <c r="B33" i="16"/>
  <c r="C34" i="16"/>
  <c r="B34" i="16" l="1"/>
  <c r="C35" i="16"/>
  <c r="B35" i="16" l="1"/>
  <c r="C36" i="16"/>
  <c r="B36" i="16" l="1"/>
  <c r="C37" i="16"/>
  <c r="B37" i="16" l="1"/>
  <c r="C38" i="16"/>
  <c r="C39" i="16" l="1"/>
  <c r="B38" i="16"/>
  <c r="C40" i="16" l="1"/>
  <c r="B39" i="16"/>
  <c r="B40" i="16" l="1"/>
  <c r="C41" i="16"/>
  <c r="C42" i="16" l="1"/>
  <c r="B41" i="16"/>
  <c r="C43" i="16" l="1"/>
  <c r="B42" i="16"/>
  <c r="C44" i="16" l="1"/>
  <c r="B43" i="16"/>
  <c r="C45" i="16" l="1"/>
  <c r="B44" i="16"/>
  <c r="C46" i="16" l="1"/>
  <c r="B45" i="16"/>
  <c r="C47" i="16" l="1"/>
  <c r="B46" i="16"/>
  <c r="C48" i="16" l="1"/>
  <c r="B47" i="16"/>
  <c r="B48" i="16" l="1"/>
  <c r="C49" i="16"/>
  <c r="B49" i="16" l="1"/>
  <c r="C50" i="16"/>
  <c r="B50" i="16" l="1"/>
  <c r="C51" i="16"/>
  <c r="C52" i="16" l="1"/>
  <c r="B51" i="16"/>
  <c r="B52" i="16" l="1"/>
  <c r="C53" i="16"/>
  <c r="C54" i="16" s="1"/>
  <c r="C55" i="16" l="1"/>
  <c r="B54" i="16"/>
  <c r="C56" i="16" l="1"/>
  <c r="B55" i="16"/>
  <c r="B56" i="16" l="1"/>
  <c r="C57" i="16"/>
  <c r="B57" i="16" l="1"/>
  <c r="C58" i="16"/>
  <c r="C59" i="16" l="1"/>
  <c r="B58" i="16"/>
  <c r="C60" i="16" l="1"/>
  <c r="C61" i="16" s="1"/>
  <c r="B59" i="16"/>
  <c r="C62" i="16" l="1"/>
  <c r="B61" i="16"/>
  <c r="B62" i="16" l="1"/>
  <c r="C63" i="16"/>
  <c r="B63" i="16" l="1"/>
  <c r="C64" i="16"/>
  <c r="C65" i="16" s="1"/>
  <c r="B65" i="16" l="1"/>
  <c r="C66" i="16"/>
  <c r="B66" i="16" l="1"/>
  <c r="C67" i="16"/>
  <c r="B67" i="16" l="1"/>
  <c r="C68" i="16"/>
  <c r="B68" i="16" l="1"/>
  <c r="C69" i="16"/>
  <c r="B69" i="16" l="1"/>
  <c r="C70" i="16"/>
  <c r="C71" i="16" l="1"/>
  <c r="B70" i="16"/>
  <c r="C72" i="16" l="1"/>
  <c r="B71" i="16"/>
  <c r="B72" i="16" l="1"/>
  <c r="C73" i="16"/>
  <c r="C74" i="16" l="1"/>
  <c r="B73" i="16"/>
  <c r="C75" i="16" l="1"/>
  <c r="B74" i="16"/>
  <c r="C76" i="16" l="1"/>
  <c r="B75" i="16"/>
  <c r="B76" i="16" l="1"/>
  <c r="C77" i="16"/>
  <c r="B77" i="16" l="1"/>
  <c r="C78" i="16"/>
  <c r="B78" i="16" l="1"/>
  <c r="C79" i="16"/>
  <c r="B79" i="16" l="1"/>
  <c r="C80" i="16"/>
  <c r="C81" i="16" l="1"/>
  <c r="B80" i="16"/>
  <c r="B81" i="16" l="1"/>
  <c r="C82" i="16"/>
  <c r="C83" i="16" s="1"/>
  <c r="B83" i="16" l="1"/>
  <c r="C84" i="16"/>
  <c r="B84" i="16" l="1"/>
  <c r="C85" i="16"/>
  <c r="C86" i="16" s="1"/>
  <c r="C87" i="16" l="1"/>
  <c r="B86" i="16"/>
  <c r="C88" i="16" l="1"/>
  <c r="C89" i="16" s="1"/>
  <c r="B87" i="16"/>
  <c r="C90" i="16" l="1"/>
  <c r="B89" i="16"/>
  <c r="C91" i="16" l="1"/>
  <c r="B90" i="16"/>
  <c r="B91" i="16" l="1"/>
  <c r="C92" i="16"/>
  <c r="B92" i="16" l="1"/>
  <c r="C93" i="16"/>
  <c r="B93" i="16" l="1"/>
  <c r="C94" i="16"/>
  <c r="C95" i="16" l="1"/>
  <c r="B94" i="16"/>
  <c r="B95" i="16" l="1"/>
  <c r="C96" i="16"/>
  <c r="B96" i="16" l="1"/>
  <c r="C97" i="16"/>
  <c r="C98" i="16" s="1"/>
  <c r="B98" i="16" l="1"/>
  <c r="C99" i="16"/>
  <c r="B99" i="16" l="1"/>
  <c r="C100" i="16"/>
  <c r="B100" i="16" l="1"/>
  <c r="C101" i="16"/>
  <c r="B101" i="16" l="1"/>
  <c r="C102" i="16"/>
  <c r="C103" i="16" l="1"/>
  <c r="B102" i="16"/>
  <c r="C104" i="16" l="1"/>
  <c r="C105" i="16" s="1"/>
  <c r="C106" i="16" s="1"/>
  <c r="B103" i="16"/>
  <c r="C107" i="16" l="1"/>
  <c r="B106" i="16"/>
  <c r="C108" i="16" l="1"/>
  <c r="B107" i="16"/>
  <c r="B108" i="16" l="1"/>
  <c r="C109" i="16"/>
  <c r="C110" i="16" l="1"/>
  <c r="B109" i="16"/>
  <c r="B110" i="16" l="1"/>
  <c r="C111" i="16"/>
  <c r="B111" i="16" l="1"/>
  <c r="C112" i="16"/>
  <c r="C113" i="16" l="1"/>
  <c r="B112" i="16"/>
  <c r="B113" i="16" l="1"/>
  <c r="C114" i="16"/>
  <c r="B114" i="16" l="1"/>
  <c r="C115" i="16"/>
  <c r="B115" i="16" l="1"/>
  <c r="C116" i="16"/>
  <c r="B116" i="16" l="1"/>
  <c r="C117" i="16"/>
  <c r="B117" i="16" l="1"/>
  <c r="C118" i="16"/>
  <c r="C119" i="16" l="1"/>
  <c r="B118" i="16"/>
  <c r="C120" i="16" l="1"/>
  <c r="B119" i="16"/>
  <c r="C121" i="16" l="1"/>
  <c r="B120" i="16"/>
  <c r="C122" i="16" l="1"/>
  <c r="B121" i="16"/>
  <c r="C123" i="16" l="1"/>
  <c r="B122" i="16"/>
  <c r="C124" i="16" l="1"/>
  <c r="B123" i="16"/>
  <c r="C125" i="16" l="1"/>
  <c r="B124" i="16"/>
  <c r="B125" i="16" l="1"/>
  <c r="C126" i="16"/>
  <c r="C127" i="16" s="1"/>
  <c r="B127" i="16" l="1"/>
  <c r="C128" i="16"/>
  <c r="B128" i="16" l="1"/>
  <c r="C129" i="16"/>
  <c r="B129" i="16" l="1"/>
  <c r="C130" i="16"/>
  <c r="C131" i="16" l="1"/>
  <c r="B130" i="16"/>
  <c r="B131" i="16" l="1"/>
  <c r="C132" i="16"/>
  <c r="B132" i="16" l="1"/>
  <c r="C133" i="16"/>
  <c r="B133" i="16" l="1"/>
  <c r="C134" i="16"/>
  <c r="C135" i="16" l="1"/>
  <c r="B134" i="16"/>
  <c r="C136" i="16" l="1"/>
  <c r="B135" i="16"/>
  <c r="C137" i="16" l="1"/>
  <c r="B136" i="16"/>
  <c r="C138" i="16" l="1"/>
  <c r="B137" i="16"/>
  <c r="C139" i="16" l="1"/>
  <c r="B138" i="16"/>
  <c r="B139" i="16" l="1"/>
  <c r="C140" i="16"/>
  <c r="C141" i="16" l="1"/>
  <c r="B140" i="16"/>
  <c r="B141" i="16" l="1"/>
  <c r="C142" i="16"/>
  <c r="B142" i="16" l="1"/>
  <c r="C143" i="16"/>
  <c r="B143" i="16" l="1"/>
  <c r="C144" i="16"/>
  <c r="C145" i="16" l="1"/>
  <c r="C146" i="16" s="1"/>
  <c r="C147" i="16" s="1"/>
  <c r="C148" i="16" s="1"/>
  <c r="C149" i="16" s="1"/>
  <c r="B144" i="16"/>
  <c r="C150" i="16" l="1"/>
  <c r="B149" i="16"/>
  <c r="C151" i="16" l="1"/>
  <c r="B150" i="16"/>
  <c r="C152" i="16" l="1"/>
  <c r="B151" i="16"/>
  <c r="C153" i="16" l="1"/>
  <c r="C154" i="16" s="1"/>
  <c r="B152" i="16"/>
  <c r="C155" i="16" l="1"/>
  <c r="B154" i="16"/>
  <c r="B155" i="16" l="1"/>
  <c r="C156" i="16"/>
  <c r="B156" i="16" l="1"/>
  <c r="C157" i="16"/>
  <c r="B157" i="16" l="1"/>
  <c r="C158" i="16"/>
  <c r="B158" i="16" l="1"/>
  <c r="C159" i="16"/>
  <c r="B159" i="16" l="1"/>
  <c r="C160" i="16"/>
  <c r="C161" i="16" l="1"/>
  <c r="C162" i="16" s="1"/>
  <c r="C163" i="16" s="1"/>
  <c r="B160" i="16"/>
  <c r="B163" i="16" l="1"/>
  <c r="C164" i="16"/>
  <c r="B164" i="16" l="1"/>
  <c r="C165" i="16"/>
  <c r="C166" i="16" l="1"/>
  <c r="B165" i="16"/>
  <c r="C167" i="16" l="1"/>
  <c r="B166" i="16"/>
  <c r="C168" i="16" l="1"/>
  <c r="B167" i="16"/>
  <c r="C169" i="16" l="1"/>
  <c r="B168" i="16"/>
  <c r="C170" i="16" l="1"/>
  <c r="C171" i="16" s="1"/>
  <c r="C172" i="16" s="1"/>
  <c r="C173" i="16" s="1"/>
  <c r="B169" i="16"/>
  <c r="C174" i="16" l="1"/>
  <c r="B173" i="16"/>
  <c r="B174" i="16" l="1"/>
  <c r="C175" i="16"/>
  <c r="C176" i="16" l="1"/>
  <c r="B175" i="16"/>
  <c r="C177" i="16" l="1"/>
  <c r="B176" i="16"/>
  <c r="B177" i="16" l="1"/>
  <c r="C178" i="16"/>
  <c r="B178" i="16" l="1"/>
  <c r="C179" i="16"/>
  <c r="C180" i="16" s="1"/>
  <c r="B180" i="16" l="1"/>
  <c r="C181" i="16"/>
  <c r="B181" i="16" l="1"/>
  <c r="C182" i="16"/>
  <c r="C183" i="16" l="1"/>
  <c r="B182" i="16"/>
  <c r="B183" i="16" l="1"/>
  <c r="C184" i="16"/>
  <c r="C185" i="16" l="1"/>
  <c r="B184" i="16"/>
  <c r="C186" i="16" l="1"/>
  <c r="B185" i="16"/>
  <c r="B186" i="16" l="1"/>
  <c r="C187" i="16"/>
  <c r="C188" i="16" l="1"/>
  <c r="B187" i="16"/>
  <c r="C189" i="16" l="1"/>
  <c r="B188" i="16"/>
  <c r="C190" i="16" l="1"/>
  <c r="B189" i="16"/>
  <c r="C191" i="16" l="1"/>
  <c r="B190" i="16"/>
  <c r="B191" i="16" l="1"/>
  <c r="C192" i="16"/>
  <c r="C193" i="16" s="1"/>
  <c r="C194" i="16" s="1"/>
  <c r="C195" i="16" s="1"/>
  <c r="C196" i="16" s="1"/>
  <c r="B196" i="16" l="1"/>
  <c r="C197" i="16"/>
  <c r="C198" i="16" s="1"/>
  <c r="C199" i="16" s="1"/>
  <c r="C200" i="16" s="1"/>
  <c r="C201" i="16" l="1"/>
  <c r="B200" i="16"/>
  <c r="C202" i="16" l="1"/>
  <c r="B201" i="16"/>
  <c r="C203" i="16" l="1"/>
  <c r="C204" i="16" s="1"/>
  <c r="C205" i="16" s="1"/>
  <c r="B202" i="16"/>
  <c r="C206" i="16" l="1"/>
  <c r="B205" i="16"/>
  <c r="B206" i="16" l="1"/>
  <c r="C207" i="16"/>
  <c r="C208" i="16" l="1"/>
  <c r="B207" i="16"/>
  <c r="C209" i="16" l="1"/>
  <c r="B208" i="16"/>
  <c r="B209" i="16" l="1"/>
  <c r="C210" i="16"/>
  <c r="B210" i="16" l="1"/>
  <c r="C211" i="16"/>
  <c r="B211" i="16" l="1"/>
  <c r="C212" i="16"/>
  <c r="C213" i="16" l="1"/>
  <c r="B212" i="16"/>
  <c r="B213" i="16" l="1"/>
  <c r="C214" i="16"/>
  <c r="C215" i="16" l="1"/>
  <c r="B214" i="16"/>
  <c r="C216" i="16" l="1"/>
  <c r="C217" i="16" s="1"/>
  <c r="C218" i="16" s="1"/>
  <c r="B215" i="16"/>
  <c r="C219" i="16" l="1"/>
  <c r="B218" i="16"/>
  <c r="B219" i="16" l="1"/>
  <c r="C220" i="16"/>
  <c r="C221" i="16" l="1"/>
  <c r="B220" i="16"/>
  <c r="B221" i="16" l="1"/>
  <c r="C222" i="16"/>
  <c r="B222" i="16" l="1"/>
  <c r="C223" i="16"/>
  <c r="B223" i="16" l="1"/>
  <c r="C224" i="16"/>
  <c r="B224" i="16" l="1"/>
  <c r="C225" i="16"/>
  <c r="B225" i="16" l="1"/>
  <c r="C226" i="16"/>
  <c r="C227" i="16" l="1"/>
  <c r="B226" i="16"/>
  <c r="B227" i="16" l="1"/>
  <c r="C228" i="16"/>
  <c r="B228" i="16" l="1"/>
  <c r="C229" i="16"/>
  <c r="B229" i="16" l="1"/>
  <c r="C230" i="16"/>
  <c r="C231" i="16" l="1"/>
  <c r="B230" i="16"/>
  <c r="C232" i="16" l="1"/>
  <c r="B231" i="16"/>
  <c r="C233" i="16" l="1"/>
  <c r="B232" i="16"/>
  <c r="C234" i="16" l="1"/>
  <c r="B233" i="16"/>
  <c r="C235" i="16" l="1"/>
  <c r="B234" i="16"/>
  <c r="B235" i="16" l="1"/>
  <c r="C236" i="16"/>
  <c r="C237" i="16" l="1"/>
  <c r="B236" i="16"/>
  <c r="B237" i="16" l="1"/>
  <c r="C238" i="16"/>
  <c r="B238" i="16" l="1"/>
  <c r="C239" i="16"/>
  <c r="B239" i="16" l="1"/>
  <c r="C240" i="16"/>
  <c r="B240" i="16" l="1"/>
  <c r="C241" i="16"/>
  <c r="C242" i="16" l="1"/>
  <c r="B241" i="16"/>
  <c r="B242" i="16" l="1"/>
  <c r="C243" i="16"/>
  <c r="B243" i="16" l="1"/>
  <c r="C244" i="16"/>
  <c r="C245" i="16" s="1"/>
  <c r="C246" i="16" s="1"/>
  <c r="C247" i="16" l="1"/>
  <c r="C248" i="16" s="1"/>
  <c r="B246" i="16"/>
  <c r="C249" i="16" l="1"/>
  <c r="B248" i="16"/>
  <c r="C250" i="16" l="1"/>
  <c r="B249" i="16"/>
  <c r="B250" i="16" l="1"/>
  <c r="C251" i="16"/>
  <c r="C252" i="16" s="1"/>
  <c r="C253" i="16" s="1"/>
  <c r="C254" i="16" l="1"/>
  <c r="B253" i="16"/>
  <c r="C255" i="16" l="1"/>
  <c r="B254" i="16"/>
  <c r="C256" i="16" l="1"/>
  <c r="B255" i="16"/>
  <c r="C257" i="16" l="1"/>
  <c r="B256" i="16"/>
  <c r="B257" i="16" l="1"/>
  <c r="C258" i="16"/>
  <c r="B258" i="16" l="1"/>
  <c r="C259" i="16"/>
  <c r="C260" i="16" l="1"/>
  <c r="C261" i="16" s="1"/>
  <c r="C262" i="16" s="1"/>
  <c r="C263" i="16" s="1"/>
  <c r="C264" i="16" s="1"/>
  <c r="B259" i="16"/>
  <c r="C265" i="16" l="1"/>
  <c r="C266" i="16" s="1"/>
  <c r="B264" i="16"/>
  <c r="C267" i="16" l="1"/>
  <c r="B266" i="16"/>
  <c r="B267" i="16" l="1"/>
  <c r="C268" i="16"/>
  <c r="C269" i="16" l="1"/>
  <c r="B268" i="16"/>
  <c r="C270" i="16" l="1"/>
  <c r="B269" i="16"/>
  <c r="B270" i="16" l="1"/>
  <c r="C271" i="16"/>
  <c r="C272" i="16" s="1"/>
  <c r="C273" i="16" s="1"/>
  <c r="B273" i="16" l="1"/>
  <c r="C274" i="16"/>
  <c r="B274" i="16" l="1"/>
  <c r="C275" i="16"/>
  <c r="C276" i="16" l="1"/>
  <c r="B275" i="16"/>
  <c r="B276" i="16" l="1"/>
  <c r="C277" i="16"/>
  <c r="B277" i="16" l="1"/>
  <c r="C278" i="16"/>
  <c r="C279" i="16" l="1"/>
  <c r="B278" i="16"/>
  <c r="C280" i="16" l="1"/>
  <c r="B279" i="16"/>
  <c r="C281" i="16" l="1"/>
  <c r="B280" i="16"/>
  <c r="C282" i="16" l="1"/>
  <c r="C283" i="16" s="1"/>
  <c r="C284" i="16" s="1"/>
  <c r="B281" i="16"/>
  <c r="C285" i="16" l="1"/>
  <c r="B284" i="16"/>
  <c r="C286" i="16" l="1"/>
  <c r="C287" i="16" s="1"/>
  <c r="B285" i="16"/>
  <c r="B287" i="16" l="1"/>
  <c r="C288" i="16"/>
  <c r="C289" i="16" s="1"/>
  <c r="B289" i="16" l="1"/>
  <c r="C290" i="16"/>
  <c r="C291" i="16" s="1"/>
  <c r="C292" i="16" l="1"/>
  <c r="B291" i="16"/>
  <c r="B292" i="16" l="1"/>
  <c r="C293" i="16"/>
  <c r="C294" i="16" s="1"/>
  <c r="C295" i="16" s="1"/>
  <c r="C296" i="16" s="1"/>
  <c r="C297" i="16" s="1"/>
  <c r="C298" i="16" s="1"/>
  <c r="C299" i="16" s="1"/>
  <c r="C300" i="16" s="1"/>
  <c r="C301" i="16" s="1"/>
  <c r="C302" i="16" s="1"/>
  <c r="C303" i="16" s="1"/>
  <c r="C304" i="16" s="1"/>
  <c r="C305" i="16" s="1"/>
  <c r="C306" i="16" s="1"/>
  <c r="B306" i="16" l="1"/>
  <c r="C307" i="16"/>
  <c r="C308" i="16" l="1"/>
  <c r="B307" i="16"/>
  <c r="C309" i="16" l="1"/>
  <c r="B308" i="16"/>
  <c r="B309" i="16" l="1"/>
  <c r="C310" i="16"/>
  <c r="C311" i="16" s="1"/>
  <c r="C312" i="16" l="1"/>
  <c r="B311" i="16"/>
  <c r="C313" i="16" l="1"/>
  <c r="B312" i="16"/>
  <c r="C314" i="16" l="1"/>
  <c r="B313" i="16"/>
  <c r="C315" i="16" l="1"/>
  <c r="B314" i="16"/>
  <c r="C316" i="16" l="1"/>
  <c r="B315" i="16"/>
  <c r="C317" i="16" l="1"/>
  <c r="B316" i="16"/>
  <c r="B317" i="16" l="1"/>
  <c r="C318" i="16"/>
  <c r="C319" i="16" l="1"/>
  <c r="C320" i="16" s="1"/>
  <c r="C321" i="16" s="1"/>
  <c r="B318" i="16"/>
  <c r="B321" i="16" l="1"/>
  <c r="C322" i="16"/>
  <c r="C323" i="16" s="1"/>
  <c r="C324" i="16" s="1"/>
  <c r="B324" i="16" l="1"/>
  <c r="C325" i="16"/>
  <c r="B325" i="16" l="1"/>
  <c r="C326" i="16"/>
  <c r="C327" i="16" l="1"/>
  <c r="B326" i="16"/>
  <c r="C328" i="16" l="1"/>
  <c r="B327" i="16"/>
  <c r="C329" i="16" l="1"/>
  <c r="B328" i="16"/>
  <c r="C330" i="16" l="1"/>
  <c r="B329" i="16"/>
  <c r="C331" i="16" l="1"/>
  <c r="B330" i="16"/>
  <c r="B331" i="16" l="1"/>
  <c r="C332" i="16"/>
  <c r="B332" i="16" l="1"/>
  <c r="C333" i="16"/>
  <c r="B333" i="16" l="1"/>
  <c r="C334" i="16"/>
  <c r="B334" i="16" l="1"/>
  <c r="C335" i="16"/>
  <c r="C336" i="16" l="1"/>
  <c r="B335" i="16"/>
  <c r="C337" i="16" l="1"/>
  <c r="B336" i="16"/>
  <c r="B337" i="16" l="1"/>
  <c r="C338" i="16"/>
  <c r="B338" i="16" l="1"/>
  <c r="C339" i="16"/>
  <c r="C340" i="16" l="1"/>
  <c r="B339" i="16"/>
  <c r="C341" i="16" l="1"/>
  <c r="B340" i="16"/>
  <c r="B341" i="16" l="1"/>
  <c r="C342" i="16"/>
  <c r="C343" i="16" l="1"/>
  <c r="B342" i="16"/>
  <c r="C344" i="16" l="1"/>
  <c r="B343" i="16"/>
  <c r="C345" i="16" l="1"/>
  <c r="B344" i="16"/>
  <c r="C346" i="16" l="1"/>
  <c r="B345" i="16"/>
  <c r="C347" i="16" l="1"/>
  <c r="C348" i="16" s="1"/>
  <c r="B346" i="16"/>
  <c r="C349" i="16" l="1"/>
  <c r="B348" i="16"/>
  <c r="B349" i="16" l="1"/>
  <c r="C350" i="16"/>
  <c r="B350" i="16" l="1"/>
  <c r="C351" i="16"/>
  <c r="B351" i="16" l="1"/>
  <c r="C352" i="16"/>
  <c r="B352" i="16" l="1"/>
  <c r="C353" i="16"/>
  <c r="B353" i="16" l="1"/>
  <c r="C354" i="16"/>
  <c r="B354" i="16" l="1"/>
  <c r="C355" i="16"/>
  <c r="C356" i="16" l="1"/>
  <c r="B355" i="16"/>
  <c r="B356" i="16" l="1"/>
  <c r="C357" i="16"/>
  <c r="B357" i="16" l="1"/>
  <c r="C358" i="16"/>
  <c r="C359" i="16" l="1"/>
  <c r="B358" i="16"/>
  <c r="C360" i="16" l="1"/>
  <c r="B359" i="16"/>
  <c r="C361" i="16" l="1"/>
  <c r="B360" i="16"/>
  <c r="C362" i="16" l="1"/>
  <c r="B361" i="16"/>
  <c r="C363" i="16" l="1"/>
  <c r="B362" i="16"/>
  <c r="C364" i="16" l="1"/>
  <c r="B363" i="16"/>
  <c r="C365" i="16" l="1"/>
  <c r="B364" i="16"/>
  <c r="C366" i="16" l="1"/>
  <c r="B365" i="16"/>
  <c r="B366" i="16" l="1"/>
  <c r="C367" i="16"/>
  <c r="B367" i="16" l="1"/>
  <c r="C368" i="16"/>
  <c r="B368" i="16" l="1"/>
  <c r="C369" i="16"/>
  <c r="B369" i="16" l="1"/>
  <c r="C370" i="16"/>
  <c r="C371" i="16" s="1"/>
  <c r="C372" i="16" s="1"/>
  <c r="B372" i="16" l="1"/>
  <c r="C373" i="16"/>
  <c r="C374" i="16" l="1"/>
  <c r="B373" i="16"/>
  <c r="C375" i="16" l="1"/>
  <c r="B374" i="16"/>
  <c r="C376" i="16" l="1"/>
  <c r="B375" i="16"/>
  <c r="C377" i="16" l="1"/>
  <c r="B376" i="16"/>
  <c r="B377" i="16" l="1"/>
  <c r="C378" i="16"/>
  <c r="B378" i="16" l="1"/>
  <c r="C379" i="16"/>
  <c r="C380" i="16" l="1"/>
  <c r="B379" i="16"/>
  <c r="C381" i="16" l="1"/>
  <c r="B380" i="16"/>
  <c r="B381" i="16" l="1"/>
  <c r="C382" i="16"/>
  <c r="C383" i="16" l="1"/>
  <c r="B382" i="16"/>
  <c r="C384" i="16" l="1"/>
  <c r="C385" i="16" s="1"/>
  <c r="C386" i="16" s="1"/>
  <c r="C387" i="16" s="1"/>
  <c r="B383" i="16"/>
  <c r="B387" i="16" l="1"/>
  <c r="C388" i="16"/>
  <c r="B388" i="16" l="1"/>
  <c r="C389" i="16"/>
  <c r="C390" i="16" s="1"/>
  <c r="C391" i="16" l="1"/>
  <c r="C392" i="16" s="1"/>
  <c r="B390" i="16"/>
  <c r="C393" i="16" l="1"/>
  <c r="B392" i="16"/>
  <c r="C394" i="16" l="1"/>
  <c r="B393" i="16"/>
  <c r="B394" i="16" l="1"/>
  <c r="C395" i="16"/>
  <c r="C396" i="16" l="1"/>
  <c r="B395" i="16"/>
  <c r="C397" i="16" l="1"/>
  <c r="B396" i="16"/>
  <c r="B397" i="16" l="1"/>
  <c r="C398" i="16"/>
  <c r="B398" i="16" l="1"/>
  <c r="C399" i="16"/>
  <c r="C400" i="16" s="1"/>
  <c r="C401" i="16" s="1"/>
  <c r="B401" i="16" l="1"/>
  <c r="C402" i="16"/>
  <c r="B402" i="16" l="1"/>
  <c r="C403" i="16"/>
  <c r="B403" i="16" l="1"/>
  <c r="C404" i="16"/>
  <c r="B404" i="16" l="1"/>
  <c r="C405" i="16"/>
  <c r="B405" i="16" l="1"/>
  <c r="C406" i="16"/>
  <c r="C407" i="16" l="1"/>
  <c r="B406" i="16"/>
  <c r="C408" i="16" l="1"/>
  <c r="B407" i="16"/>
  <c r="C409" i="16" l="1"/>
  <c r="B408" i="16"/>
  <c r="C410" i="16" l="1"/>
  <c r="B409" i="16"/>
  <c r="C411" i="16" l="1"/>
  <c r="B410" i="16"/>
  <c r="C412" i="16" l="1"/>
  <c r="B411" i="16"/>
  <c r="B412" i="16" l="1"/>
  <c r="C413" i="16"/>
  <c r="C414" i="16" l="1"/>
  <c r="B413" i="16"/>
  <c r="C415" i="16" l="1"/>
  <c r="B414" i="16"/>
  <c r="B415" i="16" l="1"/>
  <c r="C416" i="16"/>
  <c r="C417" i="16" s="1"/>
  <c r="C418" i="16" s="1"/>
  <c r="C419" i="16" s="1"/>
  <c r="C420" i="16" s="1"/>
  <c r="C421" i="16" s="1"/>
  <c r="B421" i="16" l="1"/>
  <c r="C422" i="16"/>
  <c r="C423" i="16" s="1"/>
  <c r="C424" i="16" s="1"/>
  <c r="C425" i="16" s="1"/>
  <c r="C426" i="16" l="1"/>
  <c r="B425" i="16"/>
  <c r="C427" i="16" l="1"/>
  <c r="B426" i="16"/>
  <c r="B427" i="16" l="1"/>
  <c r="C428" i="16"/>
  <c r="C429" i="16" s="1"/>
  <c r="C430" i="16" l="1"/>
  <c r="C431" i="16" s="1"/>
  <c r="B429" i="16"/>
  <c r="C432" i="16" l="1"/>
  <c r="C433" i="16" s="1"/>
  <c r="C434" i="16" s="1"/>
  <c r="C435" i="16" s="1"/>
  <c r="C436" i="16" s="1"/>
  <c r="C437" i="16" s="1"/>
  <c r="C438" i="16" s="1"/>
  <c r="C439" i="16" s="1"/>
  <c r="C440" i="16" s="1"/>
  <c r="C441" i="16" s="1"/>
  <c r="C442" i="16" s="1"/>
  <c r="C443" i="16" s="1"/>
  <c r="C444" i="16" s="1"/>
  <c r="C445" i="16" s="1"/>
  <c r="C446" i="16" s="1"/>
  <c r="C447" i="16" s="1"/>
  <c r="C448" i="16" s="1"/>
  <c r="C449" i="16" s="1"/>
  <c r="C450" i="16" s="1"/>
  <c r="C451" i="16" s="1"/>
  <c r="C452" i="16" s="1"/>
  <c r="B431" i="16"/>
  <c r="B452" i="16" l="1"/>
  <c r="C453" i="16"/>
  <c r="B453" i="16" l="1"/>
  <c r="C454" i="16"/>
  <c r="B454" i="16" l="1"/>
  <c r="C455" i="16"/>
  <c r="C456" i="16" l="1"/>
  <c r="B455" i="16"/>
  <c r="C457" i="16" l="1"/>
  <c r="B456" i="16"/>
  <c r="C458" i="16" l="1"/>
  <c r="B457" i="16"/>
  <c r="C459" i="16" l="1"/>
  <c r="B458" i="16"/>
  <c r="C460" i="16" l="1"/>
  <c r="B459" i="16"/>
  <c r="C461" i="16" l="1"/>
  <c r="B460" i="16"/>
  <c r="C462" i="16" l="1"/>
  <c r="B461" i="16"/>
  <c r="C463" i="16" l="1"/>
  <c r="B462" i="16"/>
  <c r="C464" i="16" l="1"/>
  <c r="B463" i="16"/>
  <c r="B464" i="16" l="1"/>
  <c r="C465" i="16"/>
  <c r="B465" i="16" l="1"/>
  <c r="C466" i="16"/>
  <c r="B466" i="16" l="1"/>
  <c r="C467" i="16"/>
  <c r="B467" i="16" l="1"/>
  <c r="C468" i="16"/>
  <c r="B468" i="16" l="1"/>
  <c r="C469" i="16"/>
  <c r="B469" i="16" l="1"/>
  <c r="C470" i="16"/>
  <c r="C471" i="16" l="1"/>
  <c r="B470" i="16"/>
  <c r="C472" i="16" l="1"/>
  <c r="B471" i="16"/>
  <c r="C473" i="16" l="1"/>
  <c r="B472" i="16"/>
  <c r="B473" i="16" l="1"/>
  <c r="C474" i="16"/>
  <c r="B474" i="16" l="1"/>
  <c r="C475" i="16"/>
  <c r="B475" i="16" l="1"/>
  <c r="C476" i="16"/>
  <c r="C477" i="16" s="1"/>
  <c r="C478" i="16" s="1"/>
  <c r="B478" i="16" l="1"/>
  <c r="C479" i="16"/>
  <c r="C480" i="16" s="1"/>
  <c r="B480" i="16" l="1"/>
  <c r="C481" i="16"/>
  <c r="C482" i="16" s="1"/>
  <c r="B482" i="16" l="1"/>
  <c r="C483" i="16"/>
  <c r="B483" i="16" l="1"/>
  <c r="C484" i="16"/>
  <c r="B484" i="16" l="1"/>
  <c r="C485" i="16"/>
  <c r="B485" i="16" l="1"/>
  <c r="C486" i="16"/>
  <c r="C487" i="16" l="1"/>
  <c r="C488" i="16" s="1"/>
  <c r="C489" i="16" s="1"/>
  <c r="C490" i="16" s="1"/>
  <c r="C491" i="16" s="1"/>
  <c r="C492" i="16" s="1"/>
  <c r="C493" i="16" s="1"/>
  <c r="C494" i="16" s="1"/>
  <c r="B486" i="16"/>
  <c r="B494" i="16" l="1"/>
  <c r="C495" i="16"/>
  <c r="B495" i="16" l="1"/>
  <c r="C496" i="16"/>
  <c r="B496" i="16" l="1"/>
  <c r="C497" i="16"/>
  <c r="B497" i="16" l="1"/>
  <c r="C498" i="16"/>
  <c r="B498" i="16" l="1"/>
  <c r="C499" i="16"/>
  <c r="B499" i="16" l="1"/>
  <c r="C500" i="16"/>
  <c r="B500" i="16" l="1"/>
  <c r="C501" i="16"/>
  <c r="B501" i="16" l="1"/>
  <c r="C502" i="16"/>
  <c r="C503" i="16" l="1"/>
  <c r="B502" i="16"/>
  <c r="B503" i="16" l="1"/>
  <c r="C504" i="16"/>
  <c r="B504" i="16" l="1"/>
  <c r="C505" i="16"/>
  <c r="C506" i="16" l="1"/>
  <c r="B505" i="16"/>
  <c r="C507" i="16" l="1"/>
  <c r="B506" i="16"/>
  <c r="B507" i="16" l="1"/>
  <c r="C508" i="16"/>
  <c r="B508" i="16" l="1"/>
  <c r="C509" i="16"/>
  <c r="B509" i="16" l="1"/>
  <c r="C510" i="16"/>
  <c r="C511" i="16" l="1"/>
  <c r="B510" i="16"/>
  <c r="B511" i="16" l="1"/>
  <c r="C512" i="16"/>
  <c r="C513" i="16" l="1"/>
  <c r="B512" i="16"/>
  <c r="C514" i="16" l="1"/>
  <c r="B513" i="16"/>
  <c r="B514" i="16" l="1"/>
  <c r="C515" i="16"/>
  <c r="B515" i="16" l="1"/>
  <c r="C516" i="16"/>
  <c r="B516" i="16" l="1"/>
  <c r="C517" i="16"/>
  <c r="C518" i="16" l="1"/>
  <c r="B517" i="16"/>
  <c r="B518" i="16" l="1"/>
  <c r="C519" i="16"/>
  <c r="B519" i="16" l="1"/>
  <c r="C520" i="16"/>
  <c r="B520" i="16" l="1"/>
  <c r="C521" i="16"/>
  <c r="C522" i="16" l="1"/>
  <c r="B521" i="16"/>
  <c r="C523" i="16" l="1"/>
  <c r="B522" i="16"/>
  <c r="B523" i="16" l="1"/>
  <c r="C524" i="16"/>
  <c r="B524" i="16" l="1"/>
  <c r="C525" i="16"/>
  <c r="C526" i="16" l="1"/>
  <c r="B525" i="16"/>
  <c r="C527" i="16" l="1"/>
  <c r="B526" i="16"/>
  <c r="B527" i="16" l="1"/>
  <c r="C528" i="16"/>
  <c r="C529" i="16" l="1"/>
  <c r="B528" i="16"/>
  <c r="C530" i="16" l="1"/>
  <c r="B529" i="16"/>
  <c r="B530" i="16" l="1"/>
  <c r="C531" i="16"/>
  <c r="B531" i="16" l="1"/>
  <c r="C532" i="16"/>
  <c r="B532" i="16" l="1"/>
  <c r="C533" i="16"/>
  <c r="C534" i="16" l="1"/>
  <c r="B533" i="16"/>
  <c r="B534" i="16" l="1"/>
  <c r="C535" i="16"/>
  <c r="B535" i="16" l="1"/>
  <c r="C536" i="16"/>
  <c r="B536" i="16" l="1"/>
  <c r="C537" i="16"/>
  <c r="C538" i="16" l="1"/>
  <c r="B537" i="16"/>
  <c r="B538" i="16" l="1"/>
  <c r="C539" i="16"/>
  <c r="B539" i="16" l="1"/>
  <c r="C540" i="16"/>
  <c r="C541" i="16" l="1"/>
  <c r="B540" i="16"/>
  <c r="C542" i="16" l="1"/>
  <c r="B541" i="16"/>
  <c r="B542" i="16" l="1"/>
  <c r="C543" i="16"/>
  <c r="B543" i="16" l="1"/>
  <c r="C544" i="16"/>
  <c r="C545" i="16" l="1"/>
  <c r="B544" i="16"/>
  <c r="C546" i="16" l="1"/>
  <c r="B545" i="16"/>
  <c r="B546" i="16" l="1"/>
  <c r="C547" i="16"/>
  <c r="C548" i="16" s="1"/>
  <c r="C549" i="16" s="1"/>
  <c r="C550" i="16" s="1"/>
  <c r="B550" i="16" l="1"/>
  <c r="C551" i="16"/>
  <c r="B551" i="16" l="1"/>
  <c r="C552" i="16"/>
  <c r="C553" i="16" s="1"/>
  <c r="B553" i="16" l="1"/>
  <c r="C554" i="16"/>
  <c r="C555" i="16" s="1"/>
  <c r="C556" i="16" s="1"/>
  <c r="B556" i="16" l="1"/>
  <c r="C557" i="16"/>
  <c r="C558" i="16" l="1"/>
  <c r="B557" i="16"/>
  <c r="C559" i="16" l="1"/>
  <c r="B558" i="16"/>
  <c r="B559" i="16" l="1"/>
  <c r="C560" i="16"/>
  <c r="C561" i="16" s="1"/>
  <c r="C562" i="16" s="1"/>
  <c r="B562" i="16" l="1"/>
  <c r="C563" i="16"/>
  <c r="C564" i="16" l="1"/>
  <c r="B563" i="16"/>
  <c r="C565" i="16" l="1"/>
  <c r="C566" i="16" s="1"/>
  <c r="C567" i="16" s="1"/>
  <c r="B564" i="16"/>
  <c r="C568" i="16" l="1"/>
  <c r="B567" i="16"/>
  <c r="B568" i="16" l="1"/>
  <c r="C569" i="16"/>
  <c r="B569" i="16" l="1"/>
  <c r="C570" i="16"/>
  <c r="B570" i="16" l="1"/>
  <c r="C571" i="16"/>
  <c r="C572" i="16" l="1"/>
  <c r="B571" i="16"/>
  <c r="C573" i="16" l="1"/>
  <c r="B572" i="16"/>
  <c r="C574" i="16" l="1"/>
  <c r="B573" i="16"/>
  <c r="C575" i="16" l="1"/>
  <c r="B574" i="16"/>
  <c r="C576" i="16" l="1"/>
  <c r="B575" i="16"/>
  <c r="B576" i="16" l="1"/>
  <c r="C577" i="16"/>
  <c r="C578" i="16" s="1"/>
  <c r="C579" i="16" s="1"/>
  <c r="C580" i="16" l="1"/>
  <c r="C581" i="16" s="1"/>
  <c r="C582" i="16" s="1"/>
  <c r="C583" i="16" s="1"/>
  <c r="C584" i="16" s="1"/>
  <c r="C585" i="16" s="1"/>
  <c r="C586" i="16" s="1"/>
  <c r="C587" i="16" s="1"/>
  <c r="C588" i="16" s="1"/>
  <c r="C589" i="16" s="1"/>
  <c r="C590" i="16" s="1"/>
  <c r="C591" i="16" s="1"/>
  <c r="B579" i="16"/>
  <c r="C592" i="16" l="1"/>
  <c r="C593" i="16" s="1"/>
  <c r="C594" i="16" s="1"/>
  <c r="C595" i="16" s="1"/>
  <c r="C596" i="16" s="1"/>
  <c r="C597" i="16" s="1"/>
  <c r="B591" i="16"/>
  <c r="B597" i="16" l="1"/>
  <c r="C598" i="16"/>
  <c r="B598" i="16" l="1"/>
  <c r="C599" i="16"/>
  <c r="C600" i="16" l="1"/>
  <c r="B599" i="16"/>
  <c r="B600" i="16" l="1"/>
  <c r="C601" i="16"/>
  <c r="C602" i="16" l="1"/>
  <c r="C603" i="16" s="1"/>
  <c r="C604" i="16" s="1"/>
  <c r="C605" i="16" s="1"/>
  <c r="C606" i="16" s="1"/>
  <c r="B601" i="16"/>
  <c r="B606" i="16" l="1"/>
  <c r="C607" i="16"/>
  <c r="B607" i="16" l="1"/>
  <c r="C608" i="16"/>
  <c r="C609" i="16" l="1"/>
  <c r="B608" i="16"/>
  <c r="C610" i="16" l="1"/>
  <c r="B609" i="16"/>
  <c r="B610" i="16" l="1"/>
  <c r="C611" i="16"/>
  <c r="B611" i="16" l="1"/>
  <c r="C612" i="16"/>
  <c r="B612" i="16" l="1"/>
  <c r="C613" i="16"/>
  <c r="C614" i="16" l="1"/>
  <c r="B613" i="16"/>
  <c r="B614" i="16" l="1"/>
  <c r="C615" i="16"/>
  <c r="B615" i="16" l="1"/>
  <c r="C616" i="16"/>
  <c r="B616" i="16" l="1"/>
  <c r="C617" i="16"/>
  <c r="C618" i="16" l="1"/>
  <c r="B617" i="16"/>
  <c r="C619" i="16" l="1"/>
  <c r="B618" i="16"/>
  <c r="C620" i="16" l="1"/>
  <c r="B619" i="16"/>
  <c r="C621" i="16" l="1"/>
  <c r="B620" i="16"/>
  <c r="C622" i="16" l="1"/>
  <c r="B621" i="16"/>
  <c r="B622" i="16" l="1"/>
  <c r="C623" i="16"/>
  <c r="B623" i="16" l="1"/>
  <c r="C624" i="16"/>
  <c r="C625" i="16" l="1"/>
  <c r="B624" i="16"/>
  <c r="C626" i="16" l="1"/>
  <c r="B625" i="16"/>
  <c r="B626" i="16" l="1"/>
  <c r="C627" i="16"/>
  <c r="B627" i="16" l="1"/>
  <c r="C628" i="16"/>
  <c r="C629" i="16" s="1"/>
  <c r="C630" i="16" s="1"/>
  <c r="C631" i="16" s="1"/>
  <c r="C632" i="16" s="1"/>
  <c r="C633" i="16" s="1"/>
  <c r="C634" i="16" l="1"/>
  <c r="B633" i="16"/>
  <c r="C635" i="16" l="1"/>
  <c r="C636" i="16" s="1"/>
  <c r="B634" i="16"/>
  <c r="B636" i="16" l="1"/>
  <c r="C637" i="16"/>
  <c r="B637" i="16" l="1"/>
  <c r="C638" i="16"/>
  <c r="C639" i="16" l="1"/>
  <c r="B638" i="16"/>
  <c r="B639" i="16" l="1"/>
  <c r="C640" i="16"/>
  <c r="B640" i="16" l="1"/>
  <c r="C641" i="16"/>
  <c r="B641" i="16" l="1"/>
  <c r="C642" i="16"/>
  <c r="B642" i="16" l="1"/>
  <c r="C643" i="16"/>
  <c r="B643" i="16" l="1"/>
  <c r="C644" i="16"/>
  <c r="B644" i="16" l="1"/>
  <c r="C645" i="16"/>
  <c r="B645" i="16" l="1"/>
  <c r="C646" i="16"/>
  <c r="B646" i="16" l="1"/>
  <c r="C647" i="16"/>
  <c r="B647" i="16" l="1"/>
  <c r="C648" i="16"/>
  <c r="C649" i="16" l="1"/>
  <c r="B648" i="16"/>
  <c r="C650" i="16" l="1"/>
  <c r="B649" i="16"/>
  <c r="C651" i="16" l="1"/>
  <c r="B650" i="16"/>
  <c r="C652" i="16" l="1"/>
  <c r="B651" i="16"/>
  <c r="B652" i="16" l="1"/>
  <c r="C653" i="16"/>
  <c r="B653" i="16" l="1"/>
  <c r="C654" i="16"/>
  <c r="C655" i="16" l="1"/>
  <c r="B654" i="16"/>
  <c r="B655" i="16" l="1"/>
  <c r="C656" i="16"/>
  <c r="B656" i="16" l="1"/>
  <c r="C657" i="16"/>
  <c r="B657" i="16" l="1"/>
  <c r="C658" i="16"/>
  <c r="B658" i="16" l="1"/>
  <c r="C659" i="16"/>
  <c r="B659" i="16" l="1"/>
  <c r="C660" i="16"/>
  <c r="B660" i="16" l="1"/>
  <c r="C661" i="16"/>
  <c r="B661" i="16" l="1"/>
  <c r="C662" i="16"/>
  <c r="B662" i="16" l="1"/>
  <c r="C663" i="16"/>
  <c r="C664" i="16" l="1"/>
  <c r="B663" i="16"/>
  <c r="C665" i="16" l="1"/>
  <c r="B664" i="16"/>
  <c r="C666" i="16" l="1"/>
  <c r="B665" i="16"/>
  <c r="C667" i="16" l="1"/>
  <c r="B666" i="16"/>
  <c r="C668" i="16" l="1"/>
  <c r="B667" i="16"/>
  <c r="B668" i="16" l="1"/>
  <c r="C669" i="16"/>
  <c r="C670" i="16" l="1"/>
  <c r="B669" i="16"/>
  <c r="C671" i="16" l="1"/>
  <c r="B670" i="16"/>
  <c r="B671" i="16" l="1"/>
  <c r="C672" i="16"/>
  <c r="B672" i="16" l="1"/>
  <c r="C673" i="16"/>
  <c r="B673" i="16" l="1"/>
  <c r="C674" i="16"/>
  <c r="C675" i="16" s="1"/>
  <c r="B675" i="16" l="1"/>
  <c r="C676" i="16"/>
  <c r="B676" i="16" l="1"/>
  <c r="C677" i="16"/>
  <c r="B677" i="16" l="1"/>
  <c r="C678" i="16"/>
  <c r="C679" i="16" l="1"/>
  <c r="B678" i="16"/>
  <c r="C680" i="16" l="1"/>
  <c r="B679" i="16"/>
  <c r="C681" i="16" l="1"/>
  <c r="B680" i="16"/>
  <c r="C682" i="16" l="1"/>
  <c r="B681" i="16"/>
  <c r="C683" i="16" l="1"/>
  <c r="B682" i="16"/>
  <c r="C684" i="16" l="1"/>
  <c r="B683" i="16"/>
  <c r="C685" i="16" l="1"/>
  <c r="B684" i="16"/>
  <c r="B685" i="16" l="1"/>
  <c r="C686" i="16"/>
  <c r="C687" i="16" l="1"/>
  <c r="B686" i="16"/>
  <c r="C688" i="16" l="1"/>
  <c r="B687" i="16"/>
  <c r="B688" i="16" l="1"/>
  <c r="C689" i="16"/>
  <c r="B689" i="16" l="1"/>
  <c r="C690" i="16"/>
  <c r="B690" i="16" l="1"/>
  <c r="C691" i="16"/>
  <c r="C692" i="16" l="1"/>
  <c r="B691" i="16"/>
  <c r="C693" i="16" l="1"/>
  <c r="B692" i="16"/>
  <c r="C694" i="16" l="1"/>
  <c r="B693" i="16"/>
  <c r="C695" i="16" l="1"/>
  <c r="B694" i="16"/>
  <c r="C696" i="16" l="1"/>
  <c r="B695" i="16"/>
  <c r="C697" i="16" l="1"/>
  <c r="B696" i="16"/>
  <c r="C698" i="16" l="1"/>
  <c r="B697" i="16"/>
  <c r="B698" i="16" l="1"/>
  <c r="C699" i="16"/>
  <c r="C700" i="16" l="1"/>
  <c r="B699" i="16"/>
  <c r="C701" i="16" l="1"/>
  <c r="B700" i="16"/>
  <c r="B701" i="16" l="1"/>
  <c r="C702" i="16"/>
  <c r="B702" i="16" l="1"/>
  <c r="C703" i="16"/>
  <c r="C704" i="16" l="1"/>
  <c r="B703" i="16"/>
  <c r="B704" i="16" l="1"/>
  <c r="C705" i="16"/>
  <c r="B705" i="16" l="1"/>
  <c r="C706" i="16"/>
  <c r="B706" i="16" l="1"/>
  <c r="C707" i="16"/>
  <c r="B707" i="16" l="1"/>
  <c r="C708" i="16"/>
  <c r="C709" i="16" l="1"/>
  <c r="B708" i="16"/>
  <c r="C710" i="16" l="1"/>
  <c r="B709" i="16"/>
  <c r="C711" i="16" l="1"/>
  <c r="B710" i="16"/>
  <c r="C712" i="16" l="1"/>
  <c r="B711" i="16"/>
  <c r="C713" i="16" l="1"/>
  <c r="B712" i="16"/>
  <c r="C714" i="16" l="1"/>
  <c r="B713" i="16"/>
  <c r="C715" i="16" l="1"/>
  <c r="B714" i="16"/>
  <c r="C716" i="16" l="1"/>
  <c r="B715" i="16"/>
  <c r="C717" i="16" l="1"/>
  <c r="B716" i="16"/>
  <c r="B717" i="16" l="1"/>
  <c r="C718" i="16"/>
  <c r="C719" i="16" l="1"/>
  <c r="B718" i="16"/>
  <c r="B719" i="16" l="1"/>
  <c r="C720" i="16"/>
  <c r="B720" i="16" l="1"/>
  <c r="C721" i="16"/>
  <c r="B721" i="16" l="1"/>
  <c r="C722" i="16"/>
  <c r="B722" i="16" l="1"/>
  <c r="C723" i="16"/>
  <c r="C724" i="16" l="1"/>
  <c r="B723" i="16"/>
  <c r="C725" i="16" l="1"/>
  <c r="B724" i="16"/>
  <c r="B725" i="16" l="1"/>
  <c r="C726" i="16"/>
  <c r="B726" i="16" l="1"/>
  <c r="C727" i="16"/>
  <c r="C728" i="16" l="1"/>
  <c r="B727" i="16"/>
  <c r="C729" i="16" l="1"/>
  <c r="B728" i="16"/>
  <c r="C730" i="16" l="1"/>
  <c r="B729" i="16"/>
  <c r="C731" i="16" l="1"/>
  <c r="B730" i="16"/>
  <c r="C732" i="16" l="1"/>
  <c r="B731" i="16"/>
  <c r="C733" i="16" l="1"/>
  <c r="B732" i="16"/>
  <c r="B733" i="16" l="1"/>
  <c r="C734" i="16"/>
  <c r="B734" i="16" l="1"/>
  <c r="C735" i="16"/>
  <c r="B735" i="16" l="1"/>
  <c r="C736" i="16"/>
  <c r="B736" i="16" l="1"/>
  <c r="C737" i="16"/>
  <c r="B737" i="16" l="1"/>
  <c r="C738" i="16"/>
  <c r="B738" i="16" l="1"/>
  <c r="C739" i="16"/>
  <c r="B739" i="16" l="1"/>
  <c r="C740" i="16"/>
  <c r="C741" i="16" l="1"/>
  <c r="B740" i="16"/>
  <c r="B741" i="16" l="1"/>
  <c r="C742" i="16"/>
  <c r="B742" i="16" l="1"/>
  <c r="C743" i="16"/>
  <c r="B743" i="16" l="1"/>
  <c r="C744" i="16"/>
  <c r="B744" i="16" l="1"/>
  <c r="C745" i="16"/>
  <c r="B745" i="16" l="1"/>
  <c r="C746" i="16"/>
  <c r="C747" i="16" s="1"/>
  <c r="C748" i="16" s="1"/>
  <c r="B748" i="16" l="1"/>
  <c r="C749" i="16"/>
  <c r="C750" i="16" s="1"/>
  <c r="B750" i="16" l="1"/>
  <c r="C751" i="16"/>
  <c r="C752" i="16" s="1"/>
  <c r="B752" i="16" l="1"/>
  <c r="C753" i="16"/>
  <c r="C754" i="16" s="1"/>
  <c r="C755" i="16" s="1"/>
  <c r="C756" i="1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3" type="102" refreshedVersion="6" minRefreshableVersion="5">
    <extLst>
      <ext xmlns:x15="http://schemas.microsoft.com/office/spreadsheetml/2010/11/main" uri="{DE250136-89BD-433C-8126-D09CA5730AF9}">
        <x15:connection id="Table3">
          <x15:rangePr sourceName="_xlcn.LinkedTable_Table31"/>
        </x15:connection>
      </ext>
    </extLst>
  </connection>
  <connection id="2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<sst xmlns="http://schemas.openxmlformats.org/spreadsheetml/2006/main" count="19536" uniqueCount="6326">
  <si>
    <t>Winner</t>
  </si>
  <si>
    <t>Semi Finals</t>
  </si>
  <si>
    <t>Quarter Final</t>
  </si>
  <si>
    <t>Last 16</t>
  </si>
  <si>
    <t>Last 32</t>
  </si>
  <si>
    <t>Loser</t>
  </si>
  <si>
    <t>Northern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</si>
  <si>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</si>
  <si>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</si>
  <si>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</si>
  <si>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</si>
  <si>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</si>
  <si>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</si>
  <si>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</si>
  <si>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</si>
  <si>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</si>
  <si>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</si>
  <si>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</si>
  <si>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</si>
  <si>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</si>
  <si>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</si>
  <si>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</si>
  <si>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</si>
  <si>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</si>
  <si>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</si>
  <si>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</si>
  <si>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</si>
  <si>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</si>
  <si>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</si>
  <si>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RULES</t>
  </si>
  <si>
    <t>P1, P2 and P3 tournament are classified as tournaments held in your province</t>
  </si>
  <si>
    <t>P1, P2 and P3 tournament must be held in different regions in your province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</si>
  <si>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</si>
  <si>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</si>
  <si>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</si>
  <si>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</si>
  <si>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</si>
  <si>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</si>
  <si>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</si>
  <si>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</si>
  <si>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</si>
  <si>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</si>
  <si>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</si>
  <si>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</si>
  <si>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</si>
  <si>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</si>
  <si>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</si>
  <si>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</si>
  <si>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</si>
  <si>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</si>
  <si>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</si>
  <si>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</si>
  <si>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</si>
  <si>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</si>
  <si>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</si>
  <si>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</si>
  <si>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</si>
  <si>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</si>
  <si>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</si>
  <si>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</si>
  <si>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</si>
  <si>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</si>
  <si>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</si>
  <si>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</si>
  <si>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</si>
  <si>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</si>
  <si>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</si>
  <si>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</si>
  <si>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</si>
  <si>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</si>
  <si>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</si>
  <si>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</si>
  <si>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</si>
  <si>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</si>
  <si>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</si>
  <si>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</si>
  <si>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</si>
  <si>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</si>
  <si>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</si>
  <si>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</si>
  <si>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</si>
  <si>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>POINT ALLOCATION FOR TOURNAMENTS</t>
  </si>
  <si>
    <t>OSI M</t>
  </si>
  <si>
    <t>FAKIER Raees</t>
  </si>
  <si>
    <t>WEPNER Haden</t>
  </si>
  <si>
    <t>SACKS Kruger</t>
  </si>
  <si>
    <t>POMPI Sphesihle</t>
  </si>
  <si>
    <t>BENNETT Thato</t>
  </si>
  <si>
    <t>SWANEVELDER Dewalt</t>
  </si>
  <si>
    <t>HOJISI Ayanda</t>
  </si>
  <si>
    <t>MASHILWANE Siyabonga</t>
  </si>
  <si>
    <t>MKHONTO Buka Nthando</t>
  </si>
  <si>
    <t>MAVAWA Nigel</t>
  </si>
  <si>
    <t>NJOVU Jonathan</t>
  </si>
  <si>
    <t>MUKHTAR Muzammil</t>
  </si>
  <si>
    <t>FISHER Kelby</t>
  </si>
  <si>
    <t>MPHAHLELE Oratile</t>
  </si>
  <si>
    <t>PILLAY Hayden</t>
  </si>
  <si>
    <t>VILANKULU Kamo</t>
  </si>
  <si>
    <t>MAQUBELA Inga</t>
  </si>
  <si>
    <t>SIKHOBONDIYA Sinelizwi</t>
  </si>
  <si>
    <t xml:space="preserve">MONYANE Nkatiseng </t>
  </si>
  <si>
    <t>NGENO Noyolo</t>
  </si>
  <si>
    <t>NCITSHANA Zoliswa</t>
  </si>
  <si>
    <t>SURNAME Name PROVINCE</t>
  </si>
  <si>
    <t>U15 BOYS</t>
  </si>
  <si>
    <t>U15 GIRLS</t>
  </si>
  <si>
    <t>U13 BOYS</t>
  </si>
  <si>
    <t>U13 GIRLS</t>
  </si>
  <si>
    <t>MEN</t>
  </si>
  <si>
    <t>WOMEN</t>
  </si>
  <si>
    <t>RANK</t>
  </si>
  <si>
    <t>ALBERTS Desone EDEN</t>
  </si>
  <si>
    <t>Player No</t>
  </si>
  <si>
    <t xml:space="preserve">Rank </t>
  </si>
  <si>
    <t>MAGWAZA Snenhlanhla</t>
  </si>
  <si>
    <t>JALIZA Balingene</t>
  </si>
  <si>
    <t>NSELE Ayanda</t>
  </si>
  <si>
    <t>RAMONHAPI Rufwe</t>
  </si>
  <si>
    <t xml:space="preserve">FORTUIN Raymond </t>
  </si>
  <si>
    <t>NAIDOO Kodeshan</t>
  </si>
  <si>
    <t xml:space="preserve">PILLAY Danny </t>
  </si>
  <si>
    <t xml:space="preserve">PAINTER Henrico </t>
  </si>
  <si>
    <t xml:space="preserve">GAYANDA Kavis </t>
  </si>
  <si>
    <t xml:space="preserve">SELEVIO Boykie </t>
  </si>
  <si>
    <t>MAKGOPA Baldwin</t>
  </si>
  <si>
    <t>MOHOLARE Melvin</t>
  </si>
  <si>
    <t>MASAPITSO Micheal</t>
  </si>
  <si>
    <t>PITAMBER Nishay</t>
  </si>
  <si>
    <t>LPHANE R</t>
  </si>
  <si>
    <t xml:space="preserve">JACOBS Reiner </t>
  </si>
  <si>
    <t>MAZIBUKO S</t>
  </si>
  <si>
    <t>BIPULPERSAD Sanvir</t>
  </si>
  <si>
    <t>LIPSHITZ Simon</t>
  </si>
  <si>
    <t xml:space="preserve">ABRAHAMS T </t>
  </si>
  <si>
    <t>MARUPING Themba</t>
  </si>
  <si>
    <t>HIGGINS Vernal</t>
  </si>
  <si>
    <t>MAAKATATSE J</t>
  </si>
  <si>
    <t>TSELANE Alfred</t>
  </si>
  <si>
    <t>MARE JP</t>
  </si>
  <si>
    <t>SAUA L</t>
  </si>
  <si>
    <t>BANDHU Adiar</t>
  </si>
  <si>
    <t>KLEIN Jeremy</t>
  </si>
  <si>
    <t>NAIDOO Salem</t>
  </si>
  <si>
    <t xml:space="preserve">CAROLLISEN Brenton </t>
  </si>
  <si>
    <t xml:space="preserve">KAMOHELO Ramal </t>
  </si>
  <si>
    <t>THEBE Peo</t>
  </si>
  <si>
    <t>MAENETTJA A</t>
  </si>
  <si>
    <t>MOLOBELA Boaso</t>
  </si>
  <si>
    <t>NAIKER Cliffy</t>
  </si>
  <si>
    <t xml:space="preserve">BOCKS D </t>
  </si>
  <si>
    <t xml:space="preserve">SHEZI Emmanual </t>
  </si>
  <si>
    <t>HAMMER Fidelious</t>
  </si>
  <si>
    <t>NKOSI Freddy</t>
  </si>
  <si>
    <t>HALVORSEN Jaco</t>
  </si>
  <si>
    <t>ACUTT Julian</t>
  </si>
  <si>
    <t>MOHANLALL K</t>
  </si>
  <si>
    <t>MOHOTI K</t>
  </si>
  <si>
    <t xml:space="preserve">SNYMAN Ljahn </t>
  </si>
  <si>
    <t xml:space="preserve">MALULEKE M </t>
  </si>
  <si>
    <t xml:space="preserve">NKUNA M </t>
  </si>
  <si>
    <t xml:space="preserve">LAUTAN Sumeeth </t>
  </si>
  <si>
    <t>NDLOVA V</t>
  </si>
  <si>
    <t>AKGOTHATSO Mohati</t>
  </si>
  <si>
    <t>MAHLANGU Surprise</t>
  </si>
  <si>
    <t>DAWOOD Saleem</t>
  </si>
  <si>
    <t>ALEXANDER Cade</t>
  </si>
  <si>
    <t>MALBELA Boagon</t>
  </si>
  <si>
    <t>VELEMAN Xolani</t>
  </si>
  <si>
    <t>YUSUF Nadeem</t>
  </si>
  <si>
    <t>GADLU Y</t>
  </si>
  <si>
    <t>MABTE Bonolo</t>
  </si>
  <si>
    <t>MOJALEFA Sebetlela</t>
  </si>
  <si>
    <t>MXOLISI Mthabela</t>
  </si>
  <si>
    <t>ARANTES</t>
  </si>
  <si>
    <t>MOLAHLOE Lucas</t>
  </si>
  <si>
    <t>SITHOLE S</t>
  </si>
  <si>
    <t>ZONDE S</t>
  </si>
  <si>
    <t>WILLIAMS Ryan</t>
  </si>
  <si>
    <t>VAKELE Musa</t>
  </si>
  <si>
    <t>SENGWANE JP</t>
  </si>
  <si>
    <t xml:space="preserve">NAIDU Pranev </t>
  </si>
  <si>
    <t>MISAPTSO Michael</t>
  </si>
  <si>
    <t>MAJAFI Kealeboga</t>
  </si>
  <si>
    <t>MOODLEY Kyle</t>
  </si>
  <si>
    <t>DELANGE Jaydom</t>
  </si>
  <si>
    <t>KIRSTEN Yashveer</t>
  </si>
  <si>
    <t>BARTLETT Brandon</t>
  </si>
  <si>
    <t>KETHUTHULA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</si>
  <si>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</si>
  <si>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</si>
  <si>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</si>
  <si>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</si>
  <si>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</si>
  <si>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</si>
  <si>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P1 tournament must have a minimum of 50 players in the Men's event ,16 players in all other categories and must include junior events other wise all points are halved</t>
  </si>
  <si>
    <t>OLOKWOKERE James</t>
  </si>
  <si>
    <t>OJO  John Olatunde</t>
  </si>
  <si>
    <t>AWADALLA  Michael</t>
  </si>
  <si>
    <t>MAHARAJ Ashen</t>
  </si>
  <si>
    <t>SICAT Ariel</t>
  </si>
  <si>
    <t>DA SILVA Jose</t>
  </si>
  <si>
    <t>UGRANKAR  Ashwin</t>
  </si>
  <si>
    <t>ELS Frikkie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</si>
  <si>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</si>
  <si>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</si>
  <si>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</si>
  <si>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</si>
  <si>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</si>
  <si>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</si>
  <si>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</si>
  <si>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</si>
  <si>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>KEVIN J</t>
  </si>
  <si>
    <t>CHAN Mubeen</t>
  </si>
  <si>
    <t>HOOSAIN Faizel</t>
  </si>
  <si>
    <t>PATEL Bilaal</t>
  </si>
  <si>
    <t>REDDY Menashen</t>
  </si>
  <si>
    <t>JIMMY T</t>
  </si>
  <si>
    <t>NOOR Faizel</t>
  </si>
  <si>
    <t>Tournaments Played In</t>
  </si>
  <si>
    <t>Total     No Shows</t>
  </si>
  <si>
    <t>KAGWE Owen</t>
  </si>
  <si>
    <t>NTSOKOANE Itumeleng</t>
  </si>
  <si>
    <t>MOERRANE Napaseka</t>
  </si>
  <si>
    <t>MORONETSI Tebogo</t>
  </si>
  <si>
    <t>NXUMALO Khulekani</t>
  </si>
  <si>
    <t>PHADU Collin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</si>
  <si>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</si>
  <si>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</si>
  <si>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</si>
  <si>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</si>
  <si>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</si>
  <si>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</si>
  <si>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</si>
  <si>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NKABINDE Phanele</t>
  </si>
  <si>
    <t>THABETHE Nthabiseng</t>
  </si>
  <si>
    <t>KHOSA Rhulani</t>
  </si>
  <si>
    <t>STOBER Maya</t>
  </si>
  <si>
    <t>SINOVUWO Trust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</si>
  <si>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</si>
  <si>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</si>
  <si>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</si>
  <si>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</si>
  <si>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</si>
  <si>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</si>
  <si>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GC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</si>
  <si>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</si>
  <si>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</si>
  <si>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</si>
  <si>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</si>
  <si>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</si>
  <si>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</si>
  <si>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</si>
  <si>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</si>
  <si>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</si>
  <si>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</si>
  <si>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</si>
  <si>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</si>
  <si>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</si>
  <si>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</si>
  <si>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</si>
  <si>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</si>
  <si>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</si>
  <si>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</si>
  <si>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</si>
  <si>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</si>
  <si>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</si>
  <si>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</si>
  <si>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</si>
  <si>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</si>
  <si>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</si>
  <si>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</si>
  <si>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</si>
  <si>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</si>
  <si>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</si>
  <si>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</si>
  <si>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</si>
  <si>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</si>
  <si>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</si>
  <si>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GALANT Jodie</t>
  </si>
  <si>
    <t>POSWA Thabo</t>
  </si>
  <si>
    <t>P2, P3 and O1 tournament must have a minimum of  32 players in the Men's event and 8 players in all other categories other wise all points are halved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</si>
  <si>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</si>
  <si>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</si>
  <si>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</si>
  <si>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</si>
  <si>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</si>
  <si>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</si>
  <si>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</si>
  <si>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</si>
  <si>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</si>
  <si>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</si>
  <si>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</si>
  <si>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</si>
  <si>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</si>
  <si>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</si>
  <si>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</si>
  <si>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</si>
  <si>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</si>
  <si>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</si>
  <si>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</si>
  <si>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</si>
  <si>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</si>
  <si>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</si>
  <si>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</si>
  <si>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</si>
  <si>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</si>
  <si>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</si>
  <si>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</si>
  <si>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</si>
  <si>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</si>
  <si>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</si>
  <si>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</si>
  <si>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</si>
  <si>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</si>
  <si>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</si>
  <si>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</si>
  <si>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</si>
  <si>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</si>
  <si>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</si>
  <si>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</si>
  <si>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</si>
  <si>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</si>
  <si>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</si>
  <si>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</si>
  <si>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</si>
  <si>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</si>
  <si>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</si>
  <si>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</si>
  <si>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Andrews Kaylin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</si>
  <si>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</si>
  <si>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</si>
  <si>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</si>
  <si>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</si>
  <si>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</si>
  <si>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</si>
  <si>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</si>
  <si>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</si>
  <si>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</si>
  <si>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</si>
  <si>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</si>
  <si>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</si>
  <si>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</si>
  <si>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PILLAY Theon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</si>
  <si>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</si>
  <si>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</si>
  <si>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</si>
  <si>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</si>
  <si>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</si>
  <si>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</si>
  <si>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</si>
  <si>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</si>
  <si>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</si>
  <si>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</si>
  <si>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</si>
  <si>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</si>
  <si>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</si>
  <si>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</si>
  <si>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</si>
  <si>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</si>
  <si>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</si>
  <si>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CT</t>
  </si>
  <si>
    <t>CW</t>
  </si>
  <si>
    <t>NCT</t>
  </si>
  <si>
    <t>DUPLESSIS Clinton</t>
  </si>
  <si>
    <t>BEYL Willie</t>
  </si>
  <si>
    <t>ROUX Phillip</t>
  </si>
  <si>
    <t>DE VILLIERS Etienne</t>
  </si>
  <si>
    <t>BARTLETT Llewellyn</t>
  </si>
  <si>
    <t>CREIGHTON Ganief</t>
  </si>
  <si>
    <t>BUISETT Bernie</t>
  </si>
  <si>
    <t>DATE OF BIRTH</t>
  </si>
  <si>
    <t>Current Age</t>
  </si>
  <si>
    <t>Year</t>
  </si>
  <si>
    <t>Month</t>
  </si>
  <si>
    <t>Day</t>
  </si>
  <si>
    <t xml:space="preserve">THOMLINSON Junaid </t>
  </si>
  <si>
    <t xml:space="preserve">NOMDO Stanford </t>
  </si>
  <si>
    <t xml:space="preserve">VAN AS Graham </t>
  </si>
  <si>
    <t xml:space="preserve">JANSEN Ameen 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</si>
  <si>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</si>
  <si>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</si>
  <si>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</si>
  <si>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</si>
  <si>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</si>
  <si>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</si>
  <si>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</si>
  <si>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</si>
  <si>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</si>
  <si>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</si>
  <si>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</si>
  <si>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</si>
  <si>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</si>
  <si>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</si>
  <si>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</si>
  <si>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</si>
  <si>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</si>
  <si>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</si>
  <si>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</si>
  <si>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</si>
  <si>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</si>
  <si>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</si>
  <si>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 xml:space="preserve">BROWN Merlin 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</si>
  <si>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</si>
  <si>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</si>
  <si>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</si>
  <si>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</si>
  <si>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</si>
  <si>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</si>
  <si>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</si>
  <si>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</si>
  <si>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</si>
  <si>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</si>
  <si>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</si>
  <si>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</si>
  <si>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</si>
  <si>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</si>
  <si>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</si>
  <si>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</si>
  <si>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</si>
  <si>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</si>
  <si>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</si>
  <si>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</si>
  <si>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</si>
  <si>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</si>
  <si>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</si>
  <si>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</si>
  <si>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</si>
  <si>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</si>
  <si>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</si>
  <si>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</si>
  <si>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</si>
  <si>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</si>
  <si>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</si>
  <si>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</si>
  <si>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</si>
  <si>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</si>
  <si>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</si>
  <si>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</si>
  <si>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</si>
  <si>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</si>
  <si>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</si>
  <si>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</si>
  <si>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</si>
  <si>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</si>
  <si>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</si>
  <si>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</si>
  <si>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</si>
  <si>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</si>
  <si>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</si>
  <si>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</si>
  <si>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</si>
  <si>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</si>
  <si>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</si>
  <si>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</si>
  <si>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</si>
  <si>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</si>
  <si>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</si>
  <si>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</si>
  <si>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</si>
  <si>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</si>
  <si>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</si>
  <si>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</si>
  <si>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</si>
  <si>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</si>
  <si>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</si>
  <si>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</si>
  <si>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</si>
  <si>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</si>
  <si>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</si>
  <si>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</si>
  <si>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</si>
  <si>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</si>
  <si>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</si>
  <si>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</si>
  <si>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</si>
  <si>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</si>
  <si>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 xml:space="preserve">LAMINIE Andrey 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</si>
  <si>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</si>
  <si>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</si>
  <si>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</si>
  <si>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</si>
  <si>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</si>
  <si>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</si>
  <si>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</si>
  <si>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</si>
  <si>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</si>
  <si>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</si>
  <si>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</si>
  <si>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</si>
  <si>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</si>
  <si>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</si>
  <si>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</si>
  <si>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</si>
  <si>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</si>
  <si>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</si>
  <si>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</si>
  <si>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</si>
  <si>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</si>
  <si>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</si>
  <si>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 xml:space="preserve">PEDRO Heinrich 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</si>
  <si>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</si>
  <si>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</si>
  <si>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</si>
  <si>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</si>
  <si>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</si>
  <si>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</si>
  <si>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</si>
  <si>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</si>
  <si>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</si>
  <si>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</si>
  <si>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</si>
  <si>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</si>
  <si>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</si>
  <si>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</si>
  <si>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PADAYACHEE Dasan</t>
  </si>
  <si>
    <t>SATHYANAND Sherwin</t>
  </si>
  <si>
    <t xml:space="preserve">KOTZE Dawid </t>
  </si>
  <si>
    <t xml:space="preserve">MAY Shaun 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</si>
  <si>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</si>
  <si>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</si>
  <si>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</si>
  <si>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</si>
  <si>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</si>
  <si>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</si>
  <si>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</si>
  <si>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</si>
  <si>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LEGOABE L.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</si>
  <si>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</si>
  <si>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</si>
  <si>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</si>
  <si>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</si>
  <si>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</si>
  <si>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</si>
  <si>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</si>
  <si>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</si>
  <si>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</si>
  <si>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</si>
  <si>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</si>
  <si>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</si>
  <si>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</si>
  <si>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</si>
  <si>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</si>
  <si>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</si>
  <si>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</si>
  <si>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</si>
  <si>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</si>
  <si>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 xml:space="preserve">MARE JP. 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</si>
  <si>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</si>
  <si>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</si>
  <si>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</si>
  <si>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</si>
  <si>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</si>
  <si>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</si>
  <si>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</si>
  <si>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</si>
  <si>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</si>
  <si>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</si>
  <si>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</si>
  <si>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</si>
  <si>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</si>
  <si>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</si>
  <si>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</si>
  <si>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</si>
  <si>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</si>
  <si>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</si>
  <si>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</si>
  <si>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</si>
  <si>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</si>
  <si>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</si>
  <si>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</si>
  <si>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</si>
  <si>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</si>
  <si>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</si>
  <si>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</si>
  <si>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</si>
  <si>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</si>
  <si>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</si>
  <si>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</si>
  <si>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</si>
  <si>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</si>
  <si>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</si>
  <si>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</si>
  <si>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</si>
  <si>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</si>
  <si>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</si>
  <si>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</si>
  <si>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</si>
  <si>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</si>
  <si>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</si>
  <si>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</si>
  <si>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</si>
  <si>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</si>
  <si>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</si>
  <si>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</si>
  <si>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</si>
  <si>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</si>
  <si>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</si>
  <si>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</si>
  <si>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</si>
  <si>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</si>
  <si>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</si>
  <si>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</si>
  <si>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</si>
  <si>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</si>
  <si>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</si>
  <si>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</si>
  <si>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</si>
  <si>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</si>
  <si>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</si>
  <si>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</si>
  <si>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</si>
  <si>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</si>
  <si>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</si>
  <si>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</si>
  <si>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</si>
  <si>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</si>
  <si>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</si>
  <si>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</si>
  <si>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</si>
  <si>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</si>
  <si>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</si>
  <si>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</si>
  <si>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</si>
  <si>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MOODLEY Verlan</t>
  </si>
  <si>
    <t>BANDU Sanjiv</t>
  </si>
  <si>
    <t xml:space="preserve">SHEIK HOOSEN Mukthar </t>
  </si>
  <si>
    <t xml:space="preserve">MELANE Athayanda </t>
  </si>
  <si>
    <t>HG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</si>
  <si>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</si>
  <si>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</si>
  <si>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</si>
  <si>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</si>
  <si>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</si>
  <si>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</si>
  <si>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</si>
  <si>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</si>
  <si>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</si>
  <si>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</si>
  <si>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</si>
  <si>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</si>
  <si>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</si>
  <si>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</si>
  <si>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</si>
  <si>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MASHWABI Lentswe</t>
  </si>
  <si>
    <t>TLALE Amogelang</t>
  </si>
  <si>
    <t>FOURIE Barend</t>
  </si>
  <si>
    <t>MONYAKANE Thato</t>
  </si>
  <si>
    <t>VAKELE Msawenkize</t>
  </si>
  <si>
    <t>USSA</t>
  </si>
  <si>
    <t xml:space="preserve">VAN DYK Nur 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</si>
  <si>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</si>
  <si>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</si>
  <si>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</si>
  <si>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</si>
  <si>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</si>
  <si>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</si>
  <si>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</si>
  <si>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NDLOVU Mncedisi</t>
  </si>
  <si>
    <t>THERON Raywin</t>
  </si>
  <si>
    <t>Jackson Edwaldo</t>
  </si>
  <si>
    <t>Silokonya Aron</t>
  </si>
  <si>
    <t>Cheloane Riarorisa</t>
  </si>
  <si>
    <t>Siyo Lelethu</t>
  </si>
  <si>
    <t>Constable Jeandre</t>
  </si>
  <si>
    <t>Constable Revaldo</t>
  </si>
  <si>
    <t>Sabisa Landile</t>
  </si>
  <si>
    <t>Keli Sikho</t>
  </si>
  <si>
    <t>Williams Xhaiden</t>
  </si>
  <si>
    <t>ZWANE Syanda</t>
  </si>
  <si>
    <t>MHLONGO Thokozane</t>
  </si>
  <si>
    <t xml:space="preserve">MP 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</si>
  <si>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</si>
  <si>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</si>
  <si>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</si>
  <si>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</si>
  <si>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</si>
  <si>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</si>
  <si>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</si>
  <si>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AYANDA Hojisi</t>
  </si>
  <si>
    <t>TSEPISO Sibiti</t>
  </si>
  <si>
    <t>SITHOLE Thabo</t>
  </si>
  <si>
    <t>MASEKO Ndumiso</t>
  </si>
  <si>
    <t>BLANE White</t>
  </si>
  <si>
    <t>DLUDLU Xolane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</si>
  <si>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</si>
  <si>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</si>
  <si>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</si>
  <si>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</si>
  <si>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</si>
  <si>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</si>
  <si>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</si>
  <si>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MAAKE Junior</t>
  </si>
  <si>
    <t>XABA Andiswa</t>
  </si>
  <si>
    <t>KHANYILE Khayelihle</t>
  </si>
  <si>
    <t>OLAOTSE Baoleki</t>
  </si>
  <si>
    <t>GODIRAONE Abel</t>
  </si>
  <si>
    <t>AUGUSTINE Connor</t>
  </si>
  <si>
    <t>SA Schools</t>
  </si>
  <si>
    <t>OLIPHANT Oratile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</si>
  <si>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</si>
  <si>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</si>
  <si>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</si>
  <si>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</si>
  <si>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</si>
  <si>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</si>
  <si>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</si>
  <si>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</si>
  <si>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</si>
  <si>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</si>
  <si>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</si>
  <si>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</si>
  <si>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</si>
  <si>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</si>
  <si>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</si>
  <si>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</si>
  <si>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</si>
  <si>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</si>
  <si>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</si>
  <si>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</si>
  <si>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</si>
  <si>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</si>
  <si>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</si>
  <si>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</si>
  <si>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</si>
  <si>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</si>
  <si>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</si>
  <si>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</si>
  <si>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</si>
  <si>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</si>
  <si>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</si>
  <si>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</si>
  <si>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</si>
  <si>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</si>
  <si>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</si>
  <si>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</si>
  <si>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</si>
  <si>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</si>
  <si>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</si>
  <si>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</si>
  <si>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</si>
  <si>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</si>
  <si>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</si>
  <si>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</si>
  <si>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</si>
  <si>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</si>
  <si>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</si>
  <si>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</si>
  <si>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</si>
  <si>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</si>
  <si>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RETIEF Warren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</si>
  <si>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</si>
  <si>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</si>
  <si>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</si>
  <si>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</si>
  <si>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</si>
  <si>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</si>
  <si>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</si>
  <si>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</si>
  <si>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</si>
  <si>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</si>
  <si>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</si>
  <si>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</si>
  <si>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</si>
  <si>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</si>
  <si>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</si>
  <si>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</si>
  <si>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</si>
  <si>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</si>
  <si>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</si>
  <si>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</si>
  <si>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</si>
  <si>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</si>
  <si>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</si>
  <si>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</si>
  <si>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</si>
  <si>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</si>
  <si>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</si>
  <si>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</si>
  <si>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</si>
  <si>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</si>
  <si>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</si>
  <si>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</si>
  <si>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</si>
  <si>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</si>
  <si>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</si>
  <si>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</si>
  <si>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</si>
  <si>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</si>
  <si>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</si>
  <si>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</si>
  <si>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</si>
  <si>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</si>
  <si>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</si>
  <si>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</si>
  <si>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</si>
  <si>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</si>
  <si>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</si>
  <si>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</si>
  <si>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</si>
  <si>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</si>
  <si>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</si>
  <si>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</si>
  <si>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</si>
  <si>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</si>
  <si>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</si>
  <si>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</si>
  <si>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</si>
  <si>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</si>
  <si>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</si>
  <si>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</si>
  <si>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</si>
  <si>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</si>
  <si>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</si>
  <si>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</si>
  <si>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</si>
  <si>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</si>
  <si>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</si>
  <si>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</si>
  <si>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</si>
  <si>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</si>
  <si>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</si>
  <si>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</si>
  <si>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</si>
  <si>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</si>
  <si>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</si>
  <si>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</si>
  <si>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</si>
  <si>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</si>
  <si>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</si>
  <si>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</si>
  <si>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</si>
  <si>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</si>
  <si>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</si>
  <si>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</si>
  <si>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</si>
  <si>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</si>
  <si>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</si>
  <si>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</si>
  <si>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</si>
  <si>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</si>
  <si>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</si>
  <si>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</si>
  <si>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</si>
  <si>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</si>
  <si>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</si>
  <si>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</si>
  <si>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 xml:space="preserve">NTHUTANG Godfrey 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</si>
  <si>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</si>
  <si>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</si>
  <si>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</si>
  <si>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</si>
  <si>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</si>
  <si>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</si>
  <si>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</si>
  <si>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</si>
  <si>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</si>
  <si>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</si>
  <si>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</si>
  <si>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</si>
  <si>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</si>
  <si>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</si>
  <si>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</si>
  <si>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</si>
  <si>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</si>
  <si>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</si>
  <si>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</si>
  <si>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</si>
  <si>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</si>
  <si>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</si>
  <si>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</si>
  <si>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</si>
  <si>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</si>
  <si>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</si>
  <si>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</si>
  <si>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</si>
  <si>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</si>
  <si>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</si>
  <si>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</si>
  <si>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</si>
  <si>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</si>
  <si>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</si>
  <si>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</si>
  <si>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</si>
  <si>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</si>
  <si>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</si>
  <si>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</si>
  <si>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</si>
  <si>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</si>
  <si>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</si>
  <si>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</si>
  <si>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</si>
  <si>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</si>
  <si>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</si>
  <si>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</si>
  <si>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</si>
  <si>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</si>
  <si>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</si>
  <si>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</si>
  <si>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</si>
  <si>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</si>
  <si>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</si>
  <si>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</si>
  <si>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</si>
  <si>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</si>
  <si>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</si>
  <si>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</si>
  <si>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</si>
  <si>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</si>
  <si>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</si>
  <si>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</si>
  <si>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</si>
  <si>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</si>
  <si>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</si>
  <si>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</si>
  <si>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</si>
  <si>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</si>
  <si>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</si>
  <si>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</si>
  <si>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</si>
  <si>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</si>
  <si>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</si>
  <si>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</si>
  <si>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</si>
  <si>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</si>
  <si>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</si>
  <si>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</si>
  <si>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</si>
  <si>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</si>
  <si>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 xml:space="preserve">MAHLABA Bulelo 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</si>
  <si>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</si>
  <si>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</si>
  <si>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</si>
  <si>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</si>
  <si>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</si>
  <si>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</si>
  <si>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</si>
  <si>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</si>
  <si>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</si>
  <si>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</si>
  <si>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</si>
  <si>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</si>
  <si>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</si>
  <si>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</si>
  <si>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</si>
  <si>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</si>
  <si>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</si>
  <si>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</si>
  <si>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</si>
  <si>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</si>
  <si>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</si>
  <si>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</si>
  <si>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</si>
  <si>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</si>
  <si>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</si>
  <si>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</si>
  <si>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</si>
  <si>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</si>
  <si>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</si>
  <si>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</si>
  <si>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</si>
  <si>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</si>
  <si>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</si>
  <si>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</si>
  <si>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ISAACS Luqmaan</t>
  </si>
  <si>
    <t>FARIA Tiago</t>
  </si>
  <si>
    <t>TIMMIE Chadley</t>
  </si>
  <si>
    <t>ISAACS Irfaan</t>
  </si>
  <si>
    <t>EBRAHIM Amaan</t>
  </si>
  <si>
    <t>NTLAYI Mpho</t>
  </si>
  <si>
    <t>PIENAAR Nashwin</t>
  </si>
  <si>
    <t>BOTHA Joshua</t>
  </si>
  <si>
    <t>ISMAIL Abdurahman</t>
  </si>
  <si>
    <t>VAN DER SCHYFF Moegamad</t>
  </si>
  <si>
    <t>JOSEPH Brian</t>
  </si>
  <si>
    <t>MANSOER Zaheer</t>
  </si>
  <si>
    <t>GUMPO Iphitule</t>
  </si>
  <si>
    <t>DOMINGO Adam</t>
  </si>
  <si>
    <t>JOSEPH Nathan</t>
  </si>
  <si>
    <t>ISMAIL Tanvir</t>
  </si>
  <si>
    <t>WITBOOY Warney</t>
  </si>
  <si>
    <t>PETERSEN Ashton</t>
  </si>
  <si>
    <t>COLLINS Lindsey</t>
  </si>
  <si>
    <t>CHAPMAN Kian</t>
  </si>
  <si>
    <t>JOSEPH Nahem</t>
  </si>
  <si>
    <t>VALENTYNE Kashiefa</t>
  </si>
  <si>
    <t>ABRAHAMS Naeema</t>
  </si>
  <si>
    <t>BREY Salmaan</t>
  </si>
  <si>
    <t>GORDON Siriano</t>
  </si>
  <si>
    <t>MEYER Mickyle</t>
  </si>
  <si>
    <t>VAN NEEL Jordon</t>
  </si>
  <si>
    <t>JOSEPH Matthew</t>
  </si>
  <si>
    <t>NTLAYI Liyema</t>
  </si>
  <si>
    <t>WILLIAMSON Mika</t>
  </si>
  <si>
    <t>BOOI Tashreeq</t>
  </si>
  <si>
    <t>WOODMAN Robin</t>
  </si>
  <si>
    <t>VERCUIEL Travis</t>
  </si>
  <si>
    <t>JASSIEM Ali</t>
  </si>
  <si>
    <t>SMITH Wesley</t>
  </si>
  <si>
    <t>BRIDGENS Lee-Roy</t>
  </si>
  <si>
    <t>PETERSEN Sal</t>
  </si>
  <si>
    <t>LEKHULENI Regain</t>
  </si>
  <si>
    <t>NDYWABASINI Phiwokuhle</t>
  </si>
  <si>
    <t>TERERAI Simbarashe</t>
  </si>
  <si>
    <t>ZIM</t>
  </si>
  <si>
    <t>BISSAA Madhav</t>
  </si>
  <si>
    <t xml:space="preserve">MADORO Trust </t>
  </si>
  <si>
    <t>KEABETSWE Msiza</t>
  </si>
  <si>
    <t>MOILA Mogale</t>
  </si>
  <si>
    <t>MOYO Mlungisi</t>
  </si>
  <si>
    <t>HAJEE Mubeen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</si>
  <si>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</si>
  <si>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</si>
  <si>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</si>
  <si>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</si>
  <si>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</si>
  <si>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</si>
  <si>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</si>
  <si>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</si>
  <si>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</si>
  <si>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</si>
  <si>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</si>
  <si>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</si>
  <si>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</si>
  <si>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</si>
  <si>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</si>
  <si>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</si>
  <si>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</si>
  <si>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</si>
  <si>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</si>
  <si>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</si>
  <si>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</si>
  <si>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</si>
  <si>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</si>
  <si>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</si>
  <si>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</si>
  <si>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</si>
  <si>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</si>
  <si>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</si>
  <si>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</si>
  <si>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</si>
  <si>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</si>
  <si>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</si>
  <si>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</si>
  <si>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</si>
  <si>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</si>
  <si>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</si>
  <si>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</si>
  <si>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</si>
  <si>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</si>
  <si>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</si>
  <si>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</si>
  <si>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</si>
  <si>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</si>
  <si>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</si>
  <si>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</si>
  <si>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</si>
  <si>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</si>
  <si>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</si>
  <si>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</si>
  <si>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</si>
  <si>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</si>
  <si>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</si>
  <si>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</si>
  <si>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</si>
  <si>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</si>
  <si>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</si>
  <si>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</si>
  <si>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</si>
  <si>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</si>
  <si>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</si>
  <si>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</si>
  <si>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</si>
  <si>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</si>
  <si>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</si>
  <si>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</si>
  <si>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</si>
  <si>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</si>
  <si>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</si>
  <si>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</si>
  <si>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</si>
  <si>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</si>
  <si>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</si>
  <si>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</si>
  <si>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</si>
  <si>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</si>
  <si>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</si>
  <si>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</si>
  <si>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</si>
  <si>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</si>
  <si>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</si>
  <si>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</si>
  <si>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</si>
  <si>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</si>
  <si>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</si>
  <si>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</si>
  <si>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</si>
  <si>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</si>
  <si>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</si>
  <si>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</si>
  <si>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</si>
  <si>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</si>
  <si>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</si>
  <si>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</si>
  <si>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</si>
  <si>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</si>
  <si>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</si>
  <si>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</si>
  <si>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</si>
  <si>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</si>
  <si>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</si>
  <si>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</si>
  <si>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</si>
  <si>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</si>
  <si>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</si>
  <si>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</si>
  <si>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</si>
  <si>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</si>
  <si>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</si>
  <si>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</si>
  <si>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</si>
  <si>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</si>
  <si>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</si>
  <si>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</si>
  <si>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</si>
  <si>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</si>
  <si>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</si>
  <si>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</si>
  <si>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</si>
  <si>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</si>
  <si>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</si>
  <si>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</si>
  <si>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</si>
  <si>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</si>
  <si>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</si>
  <si>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</si>
  <si>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</si>
  <si>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</si>
  <si>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</si>
  <si>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</si>
  <si>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</si>
  <si>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</si>
  <si>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</si>
  <si>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</si>
  <si>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</si>
  <si>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</si>
  <si>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</si>
  <si>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</si>
  <si>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</si>
  <si>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</si>
  <si>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</si>
  <si>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</si>
  <si>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</si>
  <si>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</si>
  <si>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</si>
  <si>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</si>
  <si>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</si>
  <si>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</si>
  <si>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</si>
  <si>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</si>
  <si>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</si>
  <si>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</si>
  <si>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</si>
  <si>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</si>
  <si>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</si>
  <si>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</si>
  <si>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</si>
  <si>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</si>
  <si>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</si>
  <si>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</si>
  <si>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</si>
  <si>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</si>
  <si>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</si>
  <si>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</si>
  <si>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</si>
  <si>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</si>
  <si>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</si>
  <si>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</si>
  <si>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</si>
  <si>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</si>
  <si>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</si>
  <si>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</si>
  <si>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</si>
  <si>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</si>
  <si>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</si>
  <si>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</si>
  <si>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</si>
  <si>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</si>
  <si>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</si>
  <si>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</si>
  <si>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</si>
  <si>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</si>
  <si>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</si>
  <si>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</si>
  <si>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</si>
  <si>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</si>
  <si>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</si>
  <si>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</si>
  <si>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</si>
  <si>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</si>
  <si>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</si>
  <si>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</si>
  <si>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</si>
  <si>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</si>
  <si>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</si>
  <si>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</si>
  <si>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</si>
  <si>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</si>
  <si>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</si>
  <si>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</si>
  <si>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</si>
  <si>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</si>
  <si>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</si>
  <si>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</si>
  <si>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</si>
  <si>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</si>
  <si>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</si>
  <si>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</si>
  <si>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</si>
  <si>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</si>
  <si>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</si>
  <si>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</si>
  <si>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</si>
  <si>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</si>
  <si>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</si>
  <si>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</si>
  <si>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</si>
  <si>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</si>
  <si>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</si>
  <si>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</si>
  <si>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</si>
  <si>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</si>
  <si>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</si>
  <si>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</si>
  <si>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</si>
  <si>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</si>
  <si>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</si>
  <si>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</si>
  <si>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</si>
  <si>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</si>
  <si>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</si>
  <si>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</si>
  <si>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</si>
  <si>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</si>
  <si>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</si>
  <si>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</si>
  <si>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</si>
  <si>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</si>
  <si>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</si>
  <si>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</si>
  <si>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</si>
  <si>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</si>
  <si>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</si>
  <si>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</si>
  <si>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</si>
  <si>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</si>
  <si>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</si>
  <si>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</si>
  <si>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</si>
  <si>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</si>
  <si>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</si>
  <si>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</si>
  <si>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</si>
  <si>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</si>
  <si>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</si>
  <si>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</si>
  <si>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</si>
  <si>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</si>
  <si>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</si>
  <si>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</si>
  <si>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</si>
  <si>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</si>
  <si>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</si>
  <si>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</si>
  <si>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</si>
  <si>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</si>
  <si>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</si>
  <si>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</si>
  <si>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</si>
  <si>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</si>
  <si>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</si>
  <si>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</si>
  <si>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</si>
  <si>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</si>
  <si>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</si>
  <si>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</si>
  <si>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</si>
  <si>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</si>
  <si>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</si>
  <si>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</si>
  <si>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</si>
  <si>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</si>
  <si>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</si>
  <si>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</si>
  <si>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</si>
  <si>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</si>
  <si>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</si>
  <si>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</si>
  <si>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</si>
  <si>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</si>
  <si>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</si>
  <si>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</si>
  <si>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</si>
  <si>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</si>
  <si>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</si>
  <si>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</si>
  <si>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</si>
  <si>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</si>
  <si>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</si>
  <si>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</si>
  <si>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</si>
  <si>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</si>
  <si>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</si>
  <si>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</si>
  <si>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</si>
  <si>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</si>
  <si>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</si>
  <si>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</si>
  <si>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</si>
  <si>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</si>
  <si>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</si>
  <si>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</si>
  <si>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</si>
  <si>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</si>
  <si>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</si>
  <si>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</si>
  <si>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</si>
  <si>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</si>
  <si>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</si>
  <si>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</si>
  <si>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</si>
  <si>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</si>
  <si>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</si>
  <si>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</si>
  <si>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</si>
  <si>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</si>
  <si>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</si>
  <si>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</si>
  <si>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</si>
  <si>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 xml:space="preserve">MEYER Che' </t>
  </si>
  <si>
    <t xml:space="preserve">MOSTERT Jermaine 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</si>
  <si>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</si>
  <si>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</si>
  <si>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</si>
  <si>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</si>
  <si>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</si>
  <si>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</si>
  <si>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MONTAZ Villian </t>
  </si>
  <si>
    <t xml:space="preserve">MOTOANG Evans </t>
  </si>
  <si>
    <t xml:space="preserve">ORR Darren </t>
  </si>
  <si>
    <t xml:space="preserve">VAN DER BERG Weldon </t>
  </si>
  <si>
    <t xml:space="preserve">WILLIAMS Gershwin </t>
  </si>
  <si>
    <t xml:space="preserve">ZAINEDDIN Omar 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</si>
  <si>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</si>
  <si>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</si>
  <si>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</si>
  <si>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</si>
  <si>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</si>
  <si>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 xml:space="preserve">PATEL Bavik </t>
  </si>
  <si>
    <t xml:space="preserve">EDWARDS Shakeel </t>
  </si>
  <si>
    <t xml:space="preserve">KEYSER Anver </t>
  </si>
  <si>
    <t xml:space="preserve">LOMBARD Mario </t>
  </si>
  <si>
    <t xml:space="preserve">MAHARAJ Jeskar </t>
  </si>
  <si>
    <t xml:space="preserve">SMITH Rogan </t>
  </si>
  <si>
    <t xml:space="preserve">VAKELE Lunga 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</si>
  <si>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</si>
  <si>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</si>
  <si>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</si>
  <si>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</si>
  <si>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</si>
  <si>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</si>
  <si>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</si>
  <si>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</si>
  <si>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</si>
  <si>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</si>
  <si>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</si>
  <si>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</si>
  <si>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</si>
  <si>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</si>
  <si>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</si>
  <si>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</si>
  <si>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</si>
  <si>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</si>
  <si>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</si>
  <si>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</si>
  <si>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 xml:space="preserve">KUNANE Itumaleng </t>
  </si>
  <si>
    <t xml:space="preserve">MOKGALAGADI Justin </t>
  </si>
  <si>
    <t xml:space="preserve">MOKHUTLE Lehlohonlo </t>
  </si>
  <si>
    <t xml:space="preserve">MOLETE Godfrey </t>
  </si>
  <si>
    <t>MOLOTO Lucas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</si>
  <si>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</si>
  <si>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</si>
  <si>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</si>
  <si>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</si>
  <si>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</si>
  <si>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 xml:space="preserve">SINGH Nilesh </t>
  </si>
  <si>
    <t xml:space="preserve">SINGH Yariq </t>
  </si>
  <si>
    <t xml:space="preserve">VAN WYK Fanas </t>
  </si>
  <si>
    <t xml:space="preserve">ADAMS Kurt </t>
  </si>
  <si>
    <t xml:space="preserve">VAN SCHOOR Andre </t>
  </si>
  <si>
    <t xml:space="preserve">BENTING Bradley </t>
  </si>
  <si>
    <t xml:space="preserve">CAINCROSS Jerome </t>
  </si>
  <si>
    <t xml:space="preserve">DAVIES Jerome </t>
  </si>
  <si>
    <t xml:space="preserve">DU PLOOY Joshua </t>
  </si>
  <si>
    <t xml:space="preserve">JAIMANGAL Yashil </t>
  </si>
  <si>
    <t xml:space="preserve">KALA Ibrahim </t>
  </si>
  <si>
    <t xml:space="preserve">KENNY Trevor </t>
  </si>
  <si>
    <t xml:space="preserve">MANUAL Abubakr </t>
  </si>
  <si>
    <t xml:space="preserve">NAIK Greg </t>
  </si>
  <si>
    <t xml:space="preserve">NOTSHE Samkelo </t>
  </si>
  <si>
    <t xml:space="preserve">PETERS Cade </t>
  </si>
  <si>
    <t xml:space="preserve">RAMNATH Udir </t>
  </si>
  <si>
    <t xml:space="preserve">RASSIE Reagan </t>
  </si>
  <si>
    <t xml:space="preserve">SAMOODIEN Mikaeel </t>
  </si>
  <si>
    <t xml:space="preserve">SLOSTER Chris </t>
  </si>
  <si>
    <t xml:space="preserve">SWARTZ Ruben </t>
  </si>
  <si>
    <t xml:space="preserve">WYNGAARD Darren </t>
  </si>
  <si>
    <t xml:space="preserve">YAGHYA Amir </t>
  </si>
  <si>
    <t xml:space="preserve">CALVERT Ashraf </t>
  </si>
  <si>
    <t xml:space="preserve">DRY Mnikelo </t>
  </si>
  <si>
    <t xml:space="preserve">ERASMUS Frans </t>
  </si>
  <si>
    <t xml:space="preserve">GREEN W </t>
  </si>
  <si>
    <t>HEARNE Thomas</t>
  </si>
  <si>
    <t xml:space="preserve">HUTCHINSEN Ronald </t>
  </si>
  <si>
    <t xml:space="preserve">JUNGBAHADUR Nikheel </t>
  </si>
  <si>
    <t xml:space="preserve">KHUMALO Karobo </t>
  </si>
  <si>
    <t xml:space="preserve">KUBAYI Webster </t>
  </si>
  <si>
    <t xml:space="preserve">LOMBARD Keaton </t>
  </si>
  <si>
    <t xml:space="preserve">MAROTA Thabiso </t>
  </si>
  <si>
    <t xml:space="preserve">MARTIN Ashley </t>
  </si>
  <si>
    <t xml:space="preserve">MOKOANA Thabana </t>
  </si>
  <si>
    <t xml:space="preserve">MOOKETSI Thenoli </t>
  </si>
  <si>
    <t xml:space="preserve">NARAN Sharad </t>
  </si>
  <si>
    <t xml:space="preserve">PETERSEN Marc </t>
  </si>
  <si>
    <t xml:space="preserve">SAUNDERSON Rudi </t>
  </si>
  <si>
    <t>SHAPIRO Basil</t>
  </si>
  <si>
    <t xml:space="preserve">SINGH Kirzlin </t>
  </si>
  <si>
    <t xml:space="preserve">STEWARD Kader </t>
  </si>
  <si>
    <t xml:space="preserve">TAYOOB Mohammed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</si>
  <si>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</si>
  <si>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</si>
  <si>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</si>
  <si>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</si>
  <si>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</si>
  <si>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</si>
  <si>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</si>
  <si>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</si>
  <si>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 xml:space="preserve">BOOI Sipho 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</si>
  <si>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</si>
  <si>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</si>
  <si>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</si>
  <si>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</si>
  <si>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</si>
  <si>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</si>
  <si>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 xml:space="preserve">MURUGASEN Shayurin </t>
  </si>
  <si>
    <t xml:space="preserve">SAFOEDIEN Junade </t>
  </si>
  <si>
    <t xml:space="preserve">ANGA Shukuma  </t>
  </si>
  <si>
    <t xml:space="preserve">BOHN Yanncik 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</si>
  <si>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</si>
  <si>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</si>
  <si>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</si>
  <si>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</si>
  <si>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</si>
  <si>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</si>
  <si>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</si>
  <si>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</si>
  <si>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</si>
  <si>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</si>
  <si>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</si>
  <si>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</si>
  <si>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</si>
  <si>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</si>
  <si>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</si>
  <si>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</si>
  <si>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</si>
  <si>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</si>
  <si>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</si>
  <si>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</si>
  <si>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</si>
  <si>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</si>
  <si>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</si>
  <si>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</si>
  <si>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</si>
  <si>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</si>
  <si>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</si>
  <si>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</si>
  <si>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</si>
  <si>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</si>
  <si>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</si>
  <si>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</si>
  <si>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</si>
  <si>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</si>
  <si>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</si>
  <si>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</si>
  <si>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</si>
  <si>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</si>
  <si>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</si>
  <si>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</si>
  <si>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</si>
  <si>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</si>
  <si>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</si>
  <si>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</si>
  <si>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</si>
  <si>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</si>
  <si>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</si>
  <si>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</si>
  <si>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</si>
  <si>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</si>
  <si>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</si>
  <si>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</si>
  <si>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</si>
  <si>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</si>
  <si>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</si>
  <si>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</si>
  <si>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</si>
  <si>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</si>
  <si>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</si>
  <si>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</si>
  <si>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</si>
  <si>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</si>
  <si>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</si>
  <si>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 xml:space="preserve">THELA Sabelo </t>
  </si>
  <si>
    <t xml:space="preserve">LAME SERUPHE </t>
  </si>
  <si>
    <t>MAFEREKA Tshidiso</t>
  </si>
  <si>
    <t xml:space="preserve">MAXAKATHA A </t>
  </si>
  <si>
    <t xml:space="preserve">MOLEFE Thapelo 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</si>
  <si>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</si>
  <si>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</si>
  <si>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</si>
  <si>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</si>
  <si>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</si>
  <si>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</si>
  <si>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</si>
  <si>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</si>
  <si>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</si>
  <si>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</si>
  <si>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</si>
  <si>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</si>
  <si>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</si>
  <si>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</si>
  <si>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SIBUTHA Ufulu 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</si>
  <si>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</si>
  <si>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</si>
  <si>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</si>
  <si>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</si>
  <si>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</si>
  <si>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</si>
  <si>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</si>
  <si>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</si>
  <si>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</si>
  <si>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</si>
  <si>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</si>
  <si>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</si>
  <si>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</si>
  <si>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</si>
  <si>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</si>
  <si>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</si>
  <si>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</si>
  <si>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</si>
  <si>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</si>
  <si>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</si>
  <si>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</si>
  <si>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</si>
  <si>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</si>
  <si>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</si>
  <si>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</si>
  <si>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</si>
  <si>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</si>
  <si>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</si>
  <si>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</si>
  <si>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</si>
  <si>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</si>
  <si>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</si>
  <si>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</si>
  <si>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</si>
  <si>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</si>
  <si>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</si>
  <si>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</si>
  <si>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</si>
  <si>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</si>
  <si>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</si>
  <si>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</si>
  <si>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</si>
  <si>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</si>
  <si>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</si>
  <si>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</si>
  <si>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</si>
  <si>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</si>
  <si>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</si>
  <si>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</si>
  <si>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</si>
  <si>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</si>
  <si>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</si>
  <si>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</si>
  <si>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</si>
  <si>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</si>
  <si>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</si>
  <si>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</si>
  <si>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</si>
  <si>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KHUMALO Nkosingiphile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</si>
  <si>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</si>
  <si>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</si>
  <si>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</si>
  <si>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</si>
  <si>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</si>
  <si>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</si>
  <si>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</si>
  <si>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</si>
  <si>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</si>
  <si>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</si>
  <si>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</si>
  <si>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</si>
  <si>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HUSSAIN Talal</t>
  </si>
  <si>
    <t>KARIM Ahmed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</si>
  <si>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</si>
  <si>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</si>
  <si>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</si>
  <si>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</si>
  <si>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</si>
  <si>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</si>
  <si>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</si>
  <si>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</si>
  <si>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</si>
  <si>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</si>
  <si>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</si>
  <si>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</si>
  <si>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</si>
  <si>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</si>
  <si>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</si>
  <si>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</si>
  <si>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</si>
  <si>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</si>
  <si>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</si>
  <si>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</si>
  <si>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</si>
  <si>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</si>
  <si>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</si>
  <si>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</si>
  <si>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</si>
  <si>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</si>
  <si>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</si>
  <si>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</si>
  <si>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</si>
  <si>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</si>
  <si>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</si>
  <si>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</si>
  <si>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</si>
  <si>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</si>
  <si>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</si>
  <si>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</si>
  <si>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</si>
  <si>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</si>
  <si>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</si>
  <si>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</si>
  <si>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</si>
  <si>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</si>
  <si>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</si>
  <si>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</si>
  <si>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</si>
  <si>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</si>
  <si>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</si>
  <si>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</si>
  <si>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</si>
  <si>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</si>
  <si>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</si>
  <si>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</si>
  <si>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</si>
  <si>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</si>
  <si>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</si>
  <si>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</si>
  <si>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</si>
  <si>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</si>
  <si>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</si>
  <si>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</si>
  <si>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</si>
  <si>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</si>
  <si>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</si>
  <si>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</si>
  <si>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</si>
  <si>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</si>
  <si>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</si>
  <si>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</si>
  <si>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</si>
  <si>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</si>
  <si>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</si>
  <si>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</si>
  <si>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</si>
  <si>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</si>
  <si>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</si>
  <si>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</si>
  <si>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ILORI Samuel</t>
  </si>
  <si>
    <t xml:space="preserve">VOLKWYN Lee </t>
  </si>
  <si>
    <t xml:space="preserve">Meyer Craig </t>
  </si>
  <si>
    <t xml:space="preserve">DAWOOD Abdullah </t>
  </si>
  <si>
    <t xml:space="preserve">SCHLOME Aiden 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</si>
  <si>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</si>
  <si>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</si>
  <si>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</si>
  <si>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</si>
  <si>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</si>
  <si>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</si>
  <si>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</si>
  <si>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</si>
  <si>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</si>
  <si>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</si>
  <si>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</si>
  <si>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</si>
  <si>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NOVEMBER Jeromy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</si>
  <si>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</si>
  <si>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</si>
  <si>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</si>
  <si>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</si>
  <si>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</si>
  <si>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</si>
  <si>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</si>
  <si>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</si>
  <si>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</si>
  <si>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</si>
  <si>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</si>
  <si>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</si>
  <si>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</si>
  <si>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</si>
  <si>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</si>
  <si>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</si>
  <si>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</si>
  <si>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</si>
  <si>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</si>
  <si>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</si>
  <si>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</si>
  <si>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</si>
  <si>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</si>
  <si>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</si>
  <si>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</si>
  <si>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</si>
  <si>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</si>
  <si>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</si>
  <si>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</si>
  <si>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</si>
  <si>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</si>
  <si>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</si>
  <si>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</si>
  <si>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</si>
  <si>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</si>
  <si>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</si>
  <si>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</si>
  <si>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</si>
  <si>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</si>
  <si>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</si>
  <si>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</si>
  <si>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</si>
  <si>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</si>
  <si>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 xml:space="preserve">PHIRI Noah </t>
  </si>
  <si>
    <t xml:space="preserve">EDWARDS Reece </t>
  </si>
  <si>
    <t xml:space="preserve">GOURIAS Chadwin </t>
  </si>
  <si>
    <t xml:space="preserve">ADAMS Junaid 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</si>
  <si>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</si>
  <si>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</si>
  <si>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</si>
  <si>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</si>
  <si>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</si>
  <si>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CEDRAS Sharief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</si>
  <si>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</si>
  <si>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</si>
  <si>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</si>
  <si>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</si>
  <si>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</si>
  <si>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</si>
  <si>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</si>
  <si>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</si>
  <si>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</si>
  <si>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</si>
  <si>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</si>
  <si>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</si>
  <si>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</si>
  <si>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</si>
  <si>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</si>
  <si>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</si>
  <si>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</si>
  <si>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</si>
  <si>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</si>
  <si>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</si>
  <si>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</si>
  <si>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</si>
  <si>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</si>
  <si>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</si>
  <si>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</si>
  <si>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</si>
  <si>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</si>
  <si>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</si>
  <si>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</si>
  <si>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</si>
  <si>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</si>
  <si>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</si>
  <si>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</si>
  <si>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</si>
  <si>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ABRAHAMS Yaaseen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</si>
  <si>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</si>
  <si>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</si>
  <si>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</si>
  <si>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</si>
  <si>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</si>
  <si>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</si>
  <si>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</si>
  <si>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</si>
  <si>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</si>
  <si>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</si>
  <si>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</si>
  <si>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</si>
  <si>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</si>
  <si>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</si>
  <si>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</si>
  <si>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</si>
  <si>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</si>
  <si>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</si>
  <si>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</si>
  <si>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</si>
  <si>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</si>
  <si>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</si>
  <si>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</si>
  <si>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</si>
  <si>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</si>
  <si>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</si>
  <si>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</si>
  <si>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</si>
  <si>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</si>
  <si>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</si>
  <si>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</si>
  <si>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</si>
  <si>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</si>
  <si>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</si>
  <si>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</si>
  <si>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</si>
  <si>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</si>
  <si>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</si>
  <si>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</si>
  <si>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</si>
  <si>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</si>
  <si>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</si>
  <si>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</si>
  <si>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</si>
  <si>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</si>
  <si>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</si>
  <si>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</si>
  <si>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</si>
  <si>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</si>
  <si>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</si>
  <si>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</si>
  <si>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</si>
  <si>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</si>
  <si>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</si>
  <si>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</si>
  <si>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</si>
  <si>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</si>
  <si>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</si>
  <si>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</si>
  <si>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</si>
  <si>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</si>
  <si>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</si>
  <si>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</si>
  <si>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</si>
  <si>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</si>
  <si>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</si>
  <si>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</si>
  <si>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</si>
  <si>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</si>
  <si>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</si>
  <si>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</si>
  <si>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</si>
  <si>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</si>
  <si>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</si>
  <si>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</si>
  <si>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</si>
  <si>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</si>
  <si>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</si>
  <si>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</si>
  <si>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</si>
  <si>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</si>
  <si>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</si>
  <si>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</si>
  <si>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</si>
  <si>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</si>
  <si>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</si>
  <si>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</si>
  <si>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</si>
  <si>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</si>
  <si>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</si>
  <si>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</si>
  <si>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</si>
  <si>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</si>
  <si>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</si>
  <si>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</si>
  <si>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</si>
  <si>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</si>
  <si>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</si>
  <si>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</si>
  <si>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</si>
  <si>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</si>
  <si>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</si>
  <si>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</si>
  <si>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</si>
  <si>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</si>
  <si>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</si>
  <si>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RAUBENHEIMER Sean </t>
  </si>
  <si>
    <t xml:space="preserve">STEWART Dane </t>
  </si>
  <si>
    <t xml:space="preserve">DARIES Kirk </t>
  </si>
  <si>
    <t xml:space="preserve">DOLLIE Nazeem </t>
  </si>
  <si>
    <t xml:space="preserve">MOTICOE Kabelo </t>
  </si>
  <si>
    <t xml:space="preserve">VALODIA Jaiwant </t>
  </si>
  <si>
    <t>SAVETTS</t>
  </si>
  <si>
    <t>LINGEVELDT Kirwin</t>
  </si>
  <si>
    <t>PETERSEN Richard</t>
  </si>
  <si>
    <t>VAN DER ROSS Benjamin</t>
  </si>
  <si>
    <t>BAILEY Grant</t>
  </si>
  <si>
    <t>JEPHTA Shaine</t>
  </si>
  <si>
    <t>WC</t>
  </si>
  <si>
    <t>SAMSODIEN Shamiel</t>
  </si>
  <si>
    <t>DESEMELE Xolisa</t>
  </si>
  <si>
    <t>BOOYSEN Adriaan Jack</t>
  </si>
  <si>
    <t>BONTSI Aphiwe</t>
  </si>
  <si>
    <t>LESSING Raemondo</t>
  </si>
  <si>
    <t>FLORENCE Ethan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</si>
  <si>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</si>
  <si>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</si>
  <si>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</si>
  <si>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</si>
  <si>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</si>
  <si>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</si>
  <si>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</si>
  <si>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</si>
  <si>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</si>
  <si>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</si>
  <si>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</si>
  <si>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</si>
  <si>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</si>
  <si>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</si>
  <si>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</si>
  <si>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</si>
  <si>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BEYERS Martin</t>
  </si>
  <si>
    <t>BRUCHER Lothal</t>
  </si>
  <si>
    <t>COETZER Gerrit</t>
  </si>
  <si>
    <t>DE POOTER Tony</t>
  </si>
  <si>
    <t>ECONOMELLIS Anthony</t>
  </si>
  <si>
    <t>ERASMUS Paul</t>
  </si>
  <si>
    <t>FIDOS Michael</t>
  </si>
  <si>
    <t>FOWLDS Hendrik</t>
  </si>
  <si>
    <t>HORSTHEMPE Rolf</t>
  </si>
  <si>
    <t>HAUNG Wenjun</t>
  </si>
  <si>
    <t>JERAM Hasmukhlal</t>
  </si>
  <si>
    <t>KAMSON Eugene</t>
  </si>
  <si>
    <t>MULLER Johan</t>
  </si>
  <si>
    <t>MUZAWAZI Douglas</t>
  </si>
  <si>
    <t>OLADIMEJI Osoba</t>
  </si>
  <si>
    <t>PAN Yong</t>
  </si>
  <si>
    <t>PATERSON Lindsay</t>
  </si>
  <si>
    <t>SCHURZ Rheinolt</t>
  </si>
  <si>
    <t>SMITH Bennie</t>
  </si>
  <si>
    <t>SONG Xingren</t>
  </si>
  <si>
    <t>STRETTON Kenneth</t>
  </si>
  <si>
    <t>SZTAB Rainer</t>
  </si>
  <si>
    <t>VAN DIJK Pieter</t>
  </si>
  <si>
    <t>WERBELOFF Arnold</t>
  </si>
  <si>
    <t>ZHANG Zhang Rocky</t>
  </si>
  <si>
    <t>ZHU Quiang Solomon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</si>
  <si>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</si>
  <si>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</si>
  <si>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</si>
  <si>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</si>
  <si>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</si>
  <si>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</si>
  <si>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</si>
  <si>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</si>
  <si>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</si>
  <si>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</si>
  <si>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</si>
  <si>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</si>
  <si>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</si>
  <si>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</si>
  <si>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</si>
  <si>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</si>
  <si>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</si>
  <si>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</si>
  <si>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</si>
  <si>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</si>
  <si>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ROMEO Udenze</t>
  </si>
  <si>
    <t>NHLAPO Siyabonga</t>
  </si>
  <si>
    <t>BAVUMA Tsundzuka Valane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</si>
  <si>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</si>
  <si>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</si>
  <si>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</si>
  <si>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</si>
  <si>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</si>
  <si>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</si>
  <si>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</si>
  <si>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</si>
  <si>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</si>
  <si>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</si>
  <si>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</si>
  <si>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</si>
  <si>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</si>
  <si>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</si>
  <si>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</si>
  <si>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</si>
  <si>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</si>
  <si>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</si>
  <si>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</si>
  <si>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</si>
  <si>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</si>
  <si>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</si>
  <si>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</si>
  <si>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</si>
  <si>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</si>
  <si>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</si>
  <si>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</si>
  <si>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</si>
  <si>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</si>
  <si>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</si>
  <si>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</si>
  <si>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</si>
  <si>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</si>
  <si>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</si>
  <si>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</si>
  <si>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</si>
  <si>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</si>
  <si>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</si>
  <si>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</si>
  <si>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</si>
  <si>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</si>
  <si>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</si>
  <si>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</si>
  <si>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</si>
  <si>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</si>
  <si>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</si>
  <si>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</si>
  <si>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</si>
  <si>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</si>
  <si>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</si>
  <si>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</si>
  <si>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</si>
  <si>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</si>
  <si>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</si>
  <si>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</si>
  <si>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</si>
  <si>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</si>
  <si>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GCABA Yonela</t>
  </si>
  <si>
    <t>NOGEMANA Zukile</t>
  </si>
  <si>
    <t>SOMHLALE Siphumle</t>
  </si>
  <si>
    <t>MATINISE Toni</t>
  </si>
  <si>
    <t>NYOMBOLO Lethu</t>
  </si>
  <si>
    <t>MENZI Khweza</t>
  </si>
  <si>
    <t>NAKANI Bonga</t>
  </si>
  <si>
    <t>NYAKOMBI Luphiwo</t>
  </si>
  <si>
    <t>SUSANI Sphokuhle</t>
  </si>
  <si>
    <t>PEPETA Simnikiwe</t>
  </si>
  <si>
    <t>MATHUMBU Bhekumuzi</t>
  </si>
  <si>
    <t>BOMVANA Xolani</t>
  </si>
  <si>
    <t>MPIKASHE Tembisile</t>
  </si>
  <si>
    <t>ZILINGA Ayakha</t>
  </si>
  <si>
    <t>MBUNDLU Lundi</t>
  </si>
  <si>
    <t>SICWEBU Asive</t>
  </si>
  <si>
    <t>GWEBANI Siviwe</t>
  </si>
  <si>
    <t>VELELWANDLE Aphiwe</t>
  </si>
  <si>
    <t>MJAJUBANA Ayabonga</t>
  </si>
  <si>
    <t>NGXISHE Bongani</t>
  </si>
  <si>
    <t>MRWETYANA Melikhaya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</si>
  <si>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</si>
  <si>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</si>
  <si>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</si>
  <si>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</si>
  <si>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</si>
  <si>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</si>
  <si>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</si>
  <si>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</si>
  <si>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</si>
  <si>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</si>
  <si>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</si>
  <si>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</si>
  <si>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</si>
  <si>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 xml:space="preserve">PASQUALLE Craig </t>
  </si>
  <si>
    <t>ISHIKAWA Kenzo</t>
  </si>
  <si>
    <t>MEYER Anna-Marie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</si>
  <si>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</si>
  <si>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</si>
  <si>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</si>
  <si>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</si>
  <si>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</si>
  <si>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</si>
  <si>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</si>
  <si>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</si>
  <si>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</si>
  <si>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</si>
  <si>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>DE KORTE Antionetta Magdalaine</t>
  </si>
  <si>
    <t>ARTHUR Wasiela</t>
  </si>
  <si>
    <t>CHAPMAN Sidonia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</si>
  <si>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</si>
  <si>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</si>
  <si>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</si>
  <si>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</si>
  <si>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</si>
  <si>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</si>
  <si>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</si>
  <si>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Angus</t>
  </si>
  <si>
    <t>RUITERS David</t>
  </si>
  <si>
    <t>MOSES S R</t>
  </si>
  <si>
    <t>JACOBS R A</t>
  </si>
  <si>
    <t>BOSH A F R</t>
  </si>
  <si>
    <t>CLEOPHAS A W</t>
  </si>
  <si>
    <t>HARMSE L J C</t>
  </si>
  <si>
    <t>WEIMER S F</t>
  </si>
  <si>
    <t>MENTOOR M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</si>
  <si>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</si>
  <si>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</si>
  <si>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</si>
  <si>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</si>
  <si>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</si>
  <si>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</si>
  <si>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</si>
  <si>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</si>
  <si>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</si>
  <si>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</si>
  <si>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</si>
  <si>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</si>
  <si>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</si>
  <si>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</si>
  <si>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</si>
  <si>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</si>
  <si>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</si>
  <si>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</si>
  <si>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</si>
  <si>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</si>
  <si>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</si>
  <si>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</si>
  <si>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</si>
  <si>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</si>
  <si>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</si>
  <si>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</si>
  <si>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</si>
  <si>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</si>
  <si>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</si>
  <si>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</si>
  <si>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</si>
  <si>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</si>
  <si>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</si>
  <si>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>PARKER Neville</t>
  </si>
  <si>
    <t>MASHAZI Simamisa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</si>
  <si>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</si>
  <si>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</si>
  <si>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</si>
  <si>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</si>
  <si>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</si>
  <si>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</si>
  <si>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</si>
  <si>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</si>
  <si>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</si>
  <si>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</si>
  <si>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</si>
  <si>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</si>
  <si>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</si>
  <si>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</si>
  <si>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</si>
  <si>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</si>
  <si>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</si>
  <si>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</si>
  <si>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</si>
  <si>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</si>
  <si>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</si>
  <si>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</si>
  <si>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</si>
  <si>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</si>
  <si>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</si>
  <si>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</si>
  <si>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</si>
  <si>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</si>
  <si>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</si>
  <si>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</si>
  <si>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</si>
  <si>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</si>
  <si>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</si>
  <si>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</si>
  <si>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</si>
  <si>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</si>
  <si>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</si>
  <si>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</si>
  <si>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</si>
  <si>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</si>
  <si>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</si>
  <si>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</si>
  <si>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</si>
  <si>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</si>
  <si>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</si>
  <si>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</si>
  <si>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</si>
  <si>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</si>
  <si>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</si>
  <si>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</si>
  <si>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</si>
  <si>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</si>
  <si>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</si>
  <si>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</si>
  <si>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</si>
  <si>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</si>
  <si>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</si>
  <si>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</si>
  <si>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</si>
  <si>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</si>
  <si>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</si>
  <si>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</si>
  <si>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</si>
  <si>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</si>
  <si>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</si>
  <si>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</si>
  <si>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</si>
  <si>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</si>
  <si>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</si>
  <si>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</si>
  <si>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</si>
  <si>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</si>
  <si>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</si>
  <si>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>MAUTLAN Oratile</t>
  </si>
  <si>
    <t xml:space="preserve">SMALL Johnerick </t>
  </si>
  <si>
    <t>RICHARDS Zubair</t>
  </si>
  <si>
    <t>Tebo Thom</t>
  </si>
  <si>
    <t>JEPHTA Chante</t>
  </si>
  <si>
    <t>VAN WYK Waylisha</t>
  </si>
  <si>
    <t>FORTUIN Lekeshia</t>
  </si>
  <si>
    <t>FORTUIN Jovermia</t>
  </si>
  <si>
    <t>OMAR Salmaan</t>
  </si>
  <si>
    <t>PIETERSEN Ikraam</t>
  </si>
  <si>
    <t>CLOETE Beaulin</t>
  </si>
  <si>
    <t>MARTIN Stephany</t>
  </si>
  <si>
    <t xml:space="preserve">FRITZ Britney </t>
  </si>
  <si>
    <t>BOOYSEN Martin-Junior</t>
  </si>
  <si>
    <t>MAASDORP Vereldo</t>
  </si>
  <si>
    <t>AFRIKA Torique</t>
  </si>
  <si>
    <t>JAFTA Neville</t>
  </si>
  <si>
    <t>WILDSCHUT Bradley</t>
  </si>
  <si>
    <t>AFRIKA Dominique</t>
  </si>
  <si>
    <t>BEUKES Morne</t>
  </si>
  <si>
    <t>CLOETE Dewald</t>
  </si>
  <si>
    <t>CLOETE Eden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</si>
  <si>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</si>
  <si>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</si>
  <si>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</si>
  <si>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</si>
  <si>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</si>
  <si>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</si>
  <si>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</si>
  <si>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</si>
  <si>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</si>
  <si>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</si>
  <si>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</si>
  <si>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</si>
  <si>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</si>
  <si>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</si>
  <si>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</si>
  <si>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</si>
  <si>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>JANSEN Tziona</t>
  </si>
  <si>
    <t>OLIVIER Shaylin</t>
  </si>
  <si>
    <t xml:space="preserve">MONGALE Dehandre </t>
  </si>
  <si>
    <t>JANSEN Sheldon</t>
  </si>
  <si>
    <t>TABOOI Renaldo</t>
  </si>
  <si>
    <t>LANDORE Segan</t>
  </si>
  <si>
    <t>VAN DER MERWE Leah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</si>
  <si>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</si>
  <si>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</si>
  <si>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</si>
  <si>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</si>
  <si>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</si>
  <si>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</si>
  <si>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</si>
  <si>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</si>
  <si>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</si>
  <si>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</si>
  <si>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>JOHNSON Timeecka</t>
  </si>
  <si>
    <t xml:space="preserve">NASSON Chadd </t>
  </si>
  <si>
    <t xml:space="preserve">ALEXANDER Sedick </t>
  </si>
  <si>
    <t xml:space="preserve">TALIEP Imaan </t>
  </si>
  <si>
    <t>DAVIS Craig</t>
  </si>
  <si>
    <t>NASSON Leah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</si>
  <si>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</si>
  <si>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</si>
  <si>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</si>
  <si>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</si>
  <si>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</si>
  <si>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</si>
  <si>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</si>
  <si>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</si>
  <si>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</si>
  <si>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MITCHELL Azraa</t>
  </si>
  <si>
    <t>LOTTERING Monique</t>
  </si>
  <si>
    <t>MOYCE Yunus</t>
  </si>
  <si>
    <t xml:space="preserve">RAJIE Yusuf </t>
  </si>
  <si>
    <t xml:space="preserve">CHUNG David </t>
  </si>
  <si>
    <t xml:space="preserve">ELLIOTT Luka </t>
  </si>
  <si>
    <t>STUART Kaydin</t>
  </si>
  <si>
    <t>BLAINE Jo Dean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</si>
  <si>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</si>
  <si>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</si>
  <si>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</si>
  <si>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</si>
  <si>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</si>
  <si>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</si>
  <si>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</si>
  <si>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</si>
  <si>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</si>
  <si>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</si>
  <si>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</si>
  <si>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</si>
  <si>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SWANEVELDER Ronel</t>
  </si>
  <si>
    <t>FUNANI Xolile</t>
  </si>
  <si>
    <t>RAWUTINI Othembela</t>
  </si>
  <si>
    <t>PHANDLE Musa</t>
  </si>
  <si>
    <t>MGAMBI Aviwe</t>
  </si>
  <si>
    <t>MAZA Anele</t>
  </si>
  <si>
    <t>MBEM Mlungiseleli</t>
  </si>
  <si>
    <t>TOYI Avela</t>
  </si>
  <si>
    <t>PONOYI Singisile</t>
  </si>
  <si>
    <t>NTAME Yamkela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</si>
  <si>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</si>
  <si>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</si>
  <si>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</si>
  <si>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</si>
  <si>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</si>
  <si>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</si>
  <si>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</si>
  <si>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</si>
  <si>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</si>
  <si>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</si>
  <si>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</si>
  <si>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SAPIRE Tevia</t>
  </si>
  <si>
    <t>CAMPHER Charne'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</si>
  <si>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</si>
  <si>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</si>
  <si>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</si>
  <si>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</si>
  <si>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</si>
  <si>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</si>
  <si>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</si>
  <si>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</si>
  <si>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</si>
  <si>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</si>
  <si>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</si>
  <si>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</si>
  <si>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</si>
  <si>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</si>
  <si>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</si>
  <si>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</si>
  <si>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</si>
  <si>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</si>
  <si>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</si>
  <si>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</si>
  <si>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</si>
  <si>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</si>
  <si>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</si>
  <si>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</si>
  <si>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</si>
  <si>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SIBENE Xola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</si>
  <si>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</si>
  <si>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</si>
  <si>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</si>
  <si>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</si>
  <si>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</si>
  <si>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</si>
  <si>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</si>
  <si>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</si>
  <si>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</si>
  <si>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</si>
  <si>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SCHOLTZ Ruan</t>
  </si>
  <si>
    <t>SCHOLTZ Juane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</si>
  <si>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</si>
  <si>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</si>
  <si>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</si>
  <si>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</si>
  <si>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</si>
  <si>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</si>
  <si>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</si>
  <si>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</si>
  <si>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HOOSEN Yusuf</t>
  </si>
  <si>
    <t>GAIDIEN Yusuf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</si>
  <si>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</si>
  <si>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</si>
  <si>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</si>
  <si>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</si>
  <si>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</si>
  <si>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</si>
  <si>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</si>
  <si>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</si>
  <si>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</si>
  <si>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</si>
  <si>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</si>
  <si>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</si>
  <si>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</si>
  <si>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</si>
  <si>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</si>
  <si>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</si>
  <si>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</si>
  <si>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</si>
  <si>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</si>
  <si>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</si>
  <si>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</si>
  <si>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CT Open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</si>
  <si>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</si>
  <si>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</si>
  <si>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</si>
  <si>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TWALA Itumaleng</t>
  </si>
  <si>
    <t>MORENE Songezo</t>
  </si>
  <si>
    <t>NDLOVU Sibusiso</t>
  </si>
  <si>
    <t>KZN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</si>
  <si>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</si>
  <si>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</si>
  <si>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</si>
  <si>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</si>
  <si>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</si>
  <si>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</si>
  <si>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</si>
  <si>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</si>
  <si>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</si>
  <si>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</si>
  <si>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</si>
  <si>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VILAKAZI Ayanda</t>
  </si>
  <si>
    <t>ONGUNO Ndidi</t>
  </si>
  <si>
    <t>NAIKER Hiren</t>
  </si>
  <si>
    <t>NAIDOO Dev</t>
  </si>
  <si>
    <t>ROOPLAL Arav</t>
  </si>
  <si>
    <t>RAMLAGAN Jhosh</t>
  </si>
  <si>
    <t>RAMLAGAN Aman</t>
  </si>
  <si>
    <t>KHAN Qudayshia</t>
  </si>
  <si>
    <t>RAMLAGAN Romel</t>
  </si>
  <si>
    <t>SHERATON Ferrol</t>
  </si>
  <si>
    <t>NATIONAL RANKING</t>
  </si>
  <si>
    <t xml:space="preserve">JOHNSON Andre </t>
  </si>
  <si>
    <t xml:space="preserve">ANDREWS Derek </t>
  </si>
  <si>
    <t xml:space="preserve">STEENKAMP Andries </t>
  </si>
  <si>
    <t>KOEGELENBERG Coenie</t>
  </si>
  <si>
    <t>HANDLER Gunter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</si>
  <si>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</si>
  <si>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</si>
  <si>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</si>
  <si>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</si>
  <si>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</si>
  <si>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</si>
  <si>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</si>
  <si>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</si>
  <si>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</si>
  <si>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</si>
  <si>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</si>
  <si>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</si>
  <si>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</si>
  <si>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</si>
  <si>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</si>
  <si>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</si>
  <si>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</si>
  <si>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GABRIEL Elroy</t>
  </si>
  <si>
    <t>STEYN Bevan</t>
  </si>
  <si>
    <t>RYLAND Ridhaa</t>
  </si>
  <si>
    <t>PETERSEN Giovani</t>
  </si>
  <si>
    <t>RYLAND Imtiyaaz</t>
  </si>
  <si>
    <t>KOEN Herman</t>
  </si>
  <si>
    <t>WESSON Liam</t>
  </si>
  <si>
    <t>STELZNER Sam</t>
  </si>
  <si>
    <t>BROWN Garner</t>
  </si>
  <si>
    <t>CAMPHER Chadwin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</si>
  <si>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</si>
  <si>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</si>
  <si>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</si>
  <si>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</si>
  <si>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</si>
  <si>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</si>
  <si>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NKGOBO Kamogelo</t>
  </si>
  <si>
    <t>TSONA Tongoane</t>
  </si>
  <si>
    <t>NAIDOO Erwen</t>
  </si>
  <si>
    <t>PHEKONYANE Kgalalelo</t>
  </si>
  <si>
    <t>RAMOKOBA Katleho</t>
  </si>
  <si>
    <t>MOTICOE Kamogelo</t>
  </si>
  <si>
    <t>KGANARE Refilwe</t>
  </si>
  <si>
    <t>FOURIE Riana</t>
  </si>
  <si>
    <t>MOKONE Thato</t>
  </si>
  <si>
    <t>MOLELEKOA Bokang</t>
  </si>
  <si>
    <t>NYOKONG Sponyono</t>
  </si>
  <si>
    <t>MORENNE Kamogelo</t>
  </si>
  <si>
    <t>PALMER Blaine</t>
  </si>
  <si>
    <t>MOTHIBI Hlonofatso</t>
  </si>
  <si>
    <t>PALMER Cedric</t>
  </si>
  <si>
    <t>PIERCE Ryan</t>
  </si>
  <si>
    <t>RIDOUT Sylvan</t>
  </si>
  <si>
    <t>LOUW Blyden</t>
  </si>
  <si>
    <t>KGOMO Themba</t>
  </si>
  <si>
    <t>NKGOBANG Mzwandile</t>
  </si>
  <si>
    <t>Kutlo Khabae</t>
  </si>
  <si>
    <t>Pelontle Mmolaeng</t>
  </si>
  <si>
    <t>SENYE Thato</t>
  </si>
  <si>
    <t xml:space="preserve">CARRASCO Vic </t>
  </si>
  <si>
    <t>ENGELBRECHT Ettienne</t>
  </si>
  <si>
    <t>MOSS Crispin</t>
  </si>
  <si>
    <t>MALINGA Itumaleng</t>
  </si>
  <si>
    <t>DAMON Tyrone</t>
  </si>
  <si>
    <t>WALTERS Dave</t>
  </si>
  <si>
    <t>ADLER Gi'lad</t>
  </si>
  <si>
    <t>BASSERABIE Da'el</t>
  </si>
  <si>
    <t>BOLISHETTY Yashvasin</t>
  </si>
  <si>
    <t>COHEN Aron</t>
  </si>
  <si>
    <t>DZINGWE Siyanda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</si>
  <si>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</si>
  <si>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</si>
  <si>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</si>
  <si>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</si>
  <si>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</si>
  <si>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</si>
  <si>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</si>
  <si>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</si>
  <si>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</si>
  <si>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</si>
  <si>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TOTARAM Nitara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</si>
  <si>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</si>
  <si>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</si>
  <si>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</si>
  <si>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</si>
  <si>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</si>
  <si>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</si>
  <si>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</si>
  <si>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</si>
  <si>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</si>
  <si>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</si>
  <si>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</si>
  <si>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</si>
  <si>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</si>
  <si>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</si>
  <si>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</si>
  <si>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</si>
  <si>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</si>
  <si>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</si>
  <si>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</si>
  <si>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</si>
  <si>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</si>
  <si>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GONCALVES Joel Nunes</t>
  </si>
  <si>
    <t>MSIZA Mpumelelo</t>
  </si>
  <si>
    <t>MONYAI Kupano</t>
  </si>
  <si>
    <t>MNGOMEZULU Siyabonga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</si>
  <si>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</si>
  <si>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</si>
  <si>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</si>
  <si>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</si>
  <si>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</si>
  <si>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</si>
  <si>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</si>
  <si>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</si>
  <si>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</si>
  <si>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</si>
  <si>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</si>
  <si>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</si>
  <si>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</si>
  <si>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</si>
  <si>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</si>
  <si>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</si>
  <si>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</si>
  <si>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</si>
  <si>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</si>
  <si>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CHETTY Ryan</t>
  </si>
  <si>
    <t>KISTANNA Sashin</t>
  </si>
  <si>
    <t>NAIDOO Suvarn</t>
  </si>
  <si>
    <t>BROWN Tre</t>
  </si>
  <si>
    <t xml:space="preserve">PAILANE Kutlaano </t>
  </si>
  <si>
    <t>BROWN Tamryn</t>
  </si>
  <si>
    <t>BOOYSEN Chisum</t>
  </si>
  <si>
    <t>LINGEVELDT Matthew</t>
  </si>
  <si>
    <t>GREYBE Garth</t>
  </si>
  <si>
    <t>BARNES Bradley</t>
  </si>
  <si>
    <t>NTAMUTUBA Richard</t>
  </si>
  <si>
    <t>WATSON Dustin</t>
  </si>
  <si>
    <t>CRUYWAGEN Joel</t>
  </si>
  <si>
    <t>PHILLIPS Shaqille</t>
  </si>
  <si>
    <t>CHRIMUMIMBA Drew</t>
  </si>
  <si>
    <t>MOSTERT Luke</t>
  </si>
  <si>
    <t>MERATE Gigi</t>
  </si>
  <si>
    <t>GOVENDER Mikayla</t>
  </si>
  <si>
    <t>NENE Mandisa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</si>
  <si>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</si>
  <si>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</si>
  <si>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</si>
  <si>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</si>
  <si>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</si>
  <si>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</si>
  <si>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</si>
  <si>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</si>
  <si>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</si>
  <si>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</si>
  <si>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</si>
  <si>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</si>
  <si>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</si>
  <si>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</si>
  <si>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</si>
  <si>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</si>
  <si>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</si>
  <si>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</si>
  <si>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</si>
  <si>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</si>
  <si>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</si>
  <si>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</si>
  <si>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</si>
  <si>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</si>
  <si>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</si>
  <si>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</si>
  <si>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</si>
  <si>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</si>
  <si>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</si>
  <si>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</si>
  <si>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</si>
  <si>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</si>
  <si>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</si>
  <si>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</si>
  <si>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</si>
  <si>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</si>
  <si>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</si>
  <si>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</si>
  <si>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</si>
  <si>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</si>
  <si>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</si>
  <si>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</si>
  <si>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</si>
  <si>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</si>
  <si>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</si>
  <si>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</si>
  <si>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</si>
  <si>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</si>
  <si>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</si>
  <si>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</si>
  <si>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</si>
  <si>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</si>
  <si>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</si>
  <si>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</si>
  <si>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</si>
  <si>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</si>
  <si>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</si>
  <si>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</si>
  <si>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</si>
  <si>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</si>
  <si>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</si>
  <si>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</si>
  <si>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</si>
  <si>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</si>
  <si>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</si>
  <si>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</si>
  <si>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</si>
  <si>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</si>
  <si>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</si>
  <si>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</si>
  <si>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</si>
  <si>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</si>
  <si>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</si>
  <si>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</si>
  <si>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</si>
  <si>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</si>
  <si>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</si>
  <si>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</si>
  <si>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</si>
  <si>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</si>
  <si>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</si>
  <si>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</si>
  <si>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</si>
  <si>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</si>
  <si>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</si>
  <si>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</si>
  <si>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</si>
  <si>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</si>
  <si>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</si>
  <si>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</si>
  <si>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</si>
  <si>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</si>
  <si>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</si>
  <si>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</si>
  <si>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</si>
  <si>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</si>
  <si>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</si>
  <si>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</si>
  <si>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</si>
  <si>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</si>
  <si>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</si>
  <si>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</si>
  <si>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</si>
  <si>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</si>
  <si>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</si>
  <si>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</si>
  <si>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</si>
  <si>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</si>
  <si>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</si>
  <si>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</si>
  <si>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</si>
  <si>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</si>
  <si>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</si>
  <si>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</si>
  <si>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</si>
  <si>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</si>
  <si>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</si>
  <si>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</si>
  <si>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</si>
  <si>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</si>
  <si>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NKOHLA Qondisa</t>
  </si>
  <si>
    <t>GODWANA Athini</t>
  </si>
  <si>
    <t>NADU Sivuyile</t>
  </si>
  <si>
    <t>NDZIKI bagcine</t>
  </si>
  <si>
    <t>MBEBE Sinesipho</t>
  </si>
  <si>
    <t>MATHONTSI Linamandla</t>
  </si>
  <si>
    <t>VAKALISA Banele</t>
  </si>
  <si>
    <t>GQOLI Someleze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</si>
  <si>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</si>
  <si>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</si>
  <si>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</si>
  <si>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</si>
  <si>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</si>
  <si>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</si>
  <si>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</si>
  <si>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</si>
  <si>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</si>
  <si>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</si>
  <si>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</si>
  <si>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</si>
  <si>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</si>
  <si>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</si>
  <si>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</si>
  <si>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</si>
  <si>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</si>
  <si>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</si>
  <si>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</si>
  <si>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</si>
  <si>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</si>
  <si>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</si>
  <si>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</si>
  <si>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</si>
  <si>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</si>
  <si>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</si>
  <si>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</si>
  <si>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</si>
  <si>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</si>
  <si>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</si>
  <si>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</si>
  <si>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</si>
  <si>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</si>
  <si>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</si>
  <si>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</si>
  <si>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</si>
  <si>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</si>
  <si>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</si>
  <si>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</si>
  <si>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</si>
  <si>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</si>
  <si>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</si>
  <si>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</si>
  <si>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</si>
  <si>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</si>
  <si>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</si>
  <si>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</si>
  <si>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</si>
  <si>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</si>
  <si>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</si>
  <si>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</si>
  <si>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</si>
  <si>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</si>
  <si>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</si>
  <si>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</si>
  <si>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</si>
  <si>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</si>
  <si>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</si>
  <si>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</si>
  <si>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</si>
  <si>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</si>
  <si>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</si>
  <si>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</si>
  <si>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</si>
  <si>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</si>
  <si>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</si>
  <si>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</si>
  <si>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</si>
  <si>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</si>
  <si>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</si>
  <si>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</si>
  <si>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</si>
  <si>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</si>
  <si>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</si>
  <si>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</si>
  <si>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</si>
  <si>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</si>
  <si>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</si>
  <si>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</si>
  <si>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</si>
  <si>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</si>
  <si>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</si>
  <si>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</si>
  <si>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</si>
  <si>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</si>
  <si>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</si>
  <si>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</si>
  <si>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</si>
  <si>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</si>
  <si>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</si>
  <si>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</si>
  <si>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</si>
  <si>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NKOSI Bhekani</t>
  </si>
  <si>
    <t>LETIMILE Thato</t>
  </si>
  <si>
    <t xml:space="preserve">Mogotsinyana Botlhoko </t>
  </si>
  <si>
    <t>MASHABA Khensani</t>
  </si>
  <si>
    <t>BHENGU S</t>
  </si>
  <si>
    <t>DAKI Mfanelo</t>
  </si>
  <si>
    <t>HLOPHE Snako</t>
  </si>
  <si>
    <t>CHONCO Mfezeko</t>
  </si>
  <si>
    <t>LITHOBA Sallem</t>
  </si>
  <si>
    <t>THEUNISSEN Niezaam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</si>
  <si>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</si>
  <si>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</si>
  <si>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</si>
  <si>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</si>
  <si>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</si>
  <si>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</si>
  <si>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</si>
  <si>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</si>
  <si>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</si>
  <si>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</si>
  <si>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</si>
  <si>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</si>
  <si>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</si>
  <si>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</si>
  <si>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</si>
  <si>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</si>
  <si>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</si>
  <si>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</si>
  <si>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</si>
  <si>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</si>
  <si>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</si>
  <si>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</si>
  <si>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</si>
  <si>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</si>
  <si>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</si>
  <si>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</si>
  <si>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</si>
  <si>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</si>
  <si>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</si>
  <si>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</si>
  <si>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</si>
  <si>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</si>
  <si>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</si>
  <si>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</si>
  <si>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</si>
  <si>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</si>
  <si>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</si>
  <si>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</si>
  <si>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</si>
  <si>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</si>
  <si>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</si>
  <si>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</si>
  <si>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</si>
  <si>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</si>
  <si>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</si>
  <si>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</si>
  <si>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</si>
  <si>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</si>
  <si>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</si>
  <si>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MDA ATHI Aphiwe</t>
  </si>
  <si>
    <t>ROSSOUW Lucy</t>
  </si>
  <si>
    <t>MOUTON IMKE</t>
  </si>
  <si>
    <t>ZL</t>
  </si>
  <si>
    <t>NGOBENDE Nothando</t>
  </si>
  <si>
    <t>MPANZA Seluleko</t>
  </si>
  <si>
    <t>HLATSHWAYO Siphiwe</t>
  </si>
  <si>
    <t>SIBEKO Xolile</t>
  </si>
  <si>
    <t>NGEMA Luzuko</t>
  </si>
  <si>
    <t>MTHETHWA Malwande</t>
  </si>
  <si>
    <t>NKOSI Thobile</t>
  </si>
  <si>
    <t>NKOSI Lindani</t>
  </si>
  <si>
    <t>NXUMALO Silindile</t>
  </si>
  <si>
    <t>NDLANGAMANDLA Mhlengi</t>
  </si>
  <si>
    <t>NDLAMINI Ayabonga</t>
  </si>
  <si>
    <t xml:space="preserve"> NYANDENI Luyanda</t>
  </si>
  <si>
    <t>VAN SCHAIK Jaco</t>
  </si>
  <si>
    <t>NACKERDIEN Zahra</t>
  </si>
  <si>
    <t>SWARTS Demi - Dee</t>
  </si>
  <si>
    <t>COGILL Warda</t>
  </si>
  <si>
    <t>TUIYLA Sinovuyo</t>
  </si>
  <si>
    <t>HARTOG Adriano</t>
  </si>
  <si>
    <t>MEINTJIES Daniel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</si>
  <si>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</si>
  <si>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</si>
  <si>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</si>
  <si>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</si>
  <si>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</si>
  <si>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</si>
  <si>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</si>
  <si>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MOCHWAIWA Nyakallo</t>
  </si>
  <si>
    <t>MATLOMATE Tlhalefo</t>
  </si>
  <si>
    <t>MPHOFU Eddie</t>
  </si>
  <si>
    <t>PULE Katlego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</si>
  <si>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</si>
  <si>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</si>
  <si>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</si>
  <si>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</si>
  <si>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</si>
  <si>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</si>
  <si>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</si>
  <si>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</si>
  <si>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</si>
  <si>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</si>
  <si>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</si>
  <si>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</si>
  <si>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</si>
  <si>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</si>
  <si>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</si>
  <si>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</si>
  <si>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</si>
  <si>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</si>
  <si>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</si>
  <si>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</si>
  <si>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</si>
  <si>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</si>
  <si>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</si>
  <si>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</si>
  <si>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</si>
  <si>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</si>
  <si>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</si>
  <si>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</si>
  <si>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</si>
  <si>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</si>
  <si>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</si>
  <si>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</si>
  <si>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</si>
  <si>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</si>
  <si>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</si>
  <si>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</si>
  <si>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</si>
  <si>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</si>
  <si>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</si>
  <si>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</si>
  <si>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</si>
  <si>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</si>
  <si>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</si>
  <si>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</si>
  <si>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</si>
  <si>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</si>
  <si>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</si>
  <si>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PERSUS Hannie</t>
  </si>
  <si>
    <t>MONGALE Ditiro</t>
  </si>
  <si>
    <t>GAOPALELWE Diraditsile</t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</si>
  <si>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</si>
  <si>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</si>
  <si>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</si>
  <si>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</si>
  <si>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</si>
  <si>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</si>
  <si>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</si>
  <si>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</si>
  <si>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</si>
  <si>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</si>
  <si>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</si>
  <si>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</si>
  <si>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SCHMALLENBACH Johan</t>
  </si>
  <si>
    <t>JOUBERT Ruan</t>
  </si>
  <si>
    <t>KOHLMEYER Sven</t>
  </si>
  <si>
    <t>HUSVU Makomborero</t>
  </si>
  <si>
    <t>GALANT Clement</t>
  </si>
  <si>
    <t>FRANSMAN Andre</t>
  </si>
  <si>
    <t>NOMDO Joshua</t>
  </si>
  <si>
    <t>HARTOGH Llowayne</t>
  </si>
  <si>
    <t>HARTOGH Leighton</t>
  </si>
  <si>
    <t>HEYNES Reece</t>
  </si>
  <si>
    <t>HERMANUS Rowan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</si>
  <si>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</si>
  <si>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</si>
  <si>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</si>
  <si>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</si>
  <si>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</si>
  <si>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</si>
  <si>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</si>
  <si>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</si>
  <si>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</si>
  <si>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</si>
  <si>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</si>
  <si>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</si>
  <si>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</si>
  <si>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</si>
  <si>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</si>
  <si>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</si>
  <si>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</si>
  <si>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</si>
  <si>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</si>
  <si>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</si>
  <si>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</si>
  <si>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</si>
  <si>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</si>
  <si>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</si>
  <si>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</si>
  <si>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</si>
  <si>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</si>
  <si>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</si>
  <si>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</si>
  <si>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</si>
  <si>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</si>
  <si>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</si>
  <si>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</si>
  <si>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</si>
  <si>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</si>
  <si>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</si>
  <si>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</si>
  <si>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</si>
  <si>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</si>
  <si>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</si>
  <si>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</si>
  <si>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</si>
  <si>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FRANS Vian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</si>
  <si>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</si>
  <si>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</si>
  <si>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</si>
  <si>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</si>
  <si>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</si>
  <si>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</si>
  <si>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</si>
  <si>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</si>
  <si>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</si>
  <si>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</si>
  <si>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</si>
  <si>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</si>
  <si>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</si>
  <si>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</si>
  <si>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RUITERS Logan</t>
  </si>
  <si>
    <t>SIMONS Zahra</t>
  </si>
  <si>
    <t>MARTIN Tyler</t>
  </si>
  <si>
    <t>HILL Emily</t>
  </si>
  <si>
    <t>SMITH Tarren</t>
  </si>
  <si>
    <t>DAVIDS Tatum</t>
  </si>
  <si>
    <t>PRINGLE Malcolm</t>
  </si>
  <si>
    <t>Cape Town</t>
  </si>
  <si>
    <t>Cape Winelands</t>
  </si>
  <si>
    <t>Eden</t>
  </si>
  <si>
    <t>West Coast</t>
  </si>
  <si>
    <t>HLONGWA Nhlalonhle</t>
  </si>
  <si>
    <t>DLAMI Bhekani</t>
  </si>
  <si>
    <t>KHAWULA Asanda</t>
  </si>
  <si>
    <t>MTHEMBU Hlanganani</t>
  </si>
  <si>
    <t>WAHL Denby</t>
  </si>
  <si>
    <t>PETZER Cristopher</t>
  </si>
  <si>
    <t>ZUNGU Kwanele</t>
  </si>
  <si>
    <t>MBOKAZI Thobani</t>
  </si>
  <si>
    <t>MATTIG Eugene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</si>
  <si>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</si>
  <si>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</si>
  <si>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</si>
  <si>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</si>
  <si>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</si>
  <si>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</si>
  <si>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</si>
  <si>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</si>
  <si>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</si>
  <si>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</si>
  <si>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</si>
  <si>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</si>
  <si>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</si>
  <si>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</si>
  <si>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</si>
  <si>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</si>
  <si>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MODISENYANI Rhetabile</t>
  </si>
  <si>
    <t>MBELE Dineo</t>
  </si>
  <si>
    <t>KHOSANA Khanyisile</t>
  </si>
  <si>
    <t>MATLALETSA Moji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</si>
  <si>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</si>
  <si>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</si>
  <si>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</si>
  <si>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</si>
  <si>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</si>
  <si>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</si>
  <si>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</si>
  <si>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</si>
  <si>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MADOLO Nomathando</t>
  </si>
  <si>
    <t>WOLF Amogelang</t>
  </si>
  <si>
    <t>MOHALE Queen</t>
  </si>
  <si>
    <t>MASHWABI Reorapetswe</t>
  </si>
  <si>
    <t>KHAOLI Tiisetso</t>
  </si>
  <si>
    <t>MATAKALATSE Johnny</t>
  </si>
  <si>
    <t>MOHOLENG Kamohelo</t>
  </si>
  <si>
    <t>MOALOSI Tshepang</t>
  </si>
  <si>
    <t>MAHLOKO Josias</t>
  </si>
  <si>
    <t>MBOKOMA Xola</t>
  </si>
  <si>
    <t xml:space="preserve"> Surname, Name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</si>
  <si>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</si>
  <si>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</si>
  <si>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</si>
  <si>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</si>
  <si>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</si>
  <si>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</si>
  <si>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</si>
  <si>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</si>
  <si>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</si>
  <si>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</si>
  <si>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</si>
  <si>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</si>
  <si>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</si>
  <si>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</si>
  <si>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</si>
  <si>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</si>
  <si>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</si>
  <si>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>DAVIDS Marc</t>
  </si>
  <si>
    <t>SEKAMOENG Kabelo</t>
  </si>
  <si>
    <t>SENYE Maorabi</t>
  </si>
  <si>
    <t>PRETORIUS Burtanley</t>
  </si>
  <si>
    <t>FILLIES Karabo</t>
  </si>
  <si>
    <t>ILANKA Obakeng</t>
  </si>
  <si>
    <t xml:space="preserve">MECWI Tsholofelo </t>
  </si>
  <si>
    <t>LAWAN Charne</t>
  </si>
  <si>
    <t>HANNIE Persus</t>
  </si>
  <si>
    <t>NAIDOO Ezra Timothy</t>
  </si>
  <si>
    <t>SALIE Zahra</t>
  </si>
  <si>
    <t>SOROUR Keira</t>
  </si>
  <si>
    <t>FESTUS Femke</t>
  </si>
  <si>
    <t>NACKERDIEN Zarier</t>
  </si>
  <si>
    <t>MASHAPHA Murangi</t>
  </si>
  <si>
    <t>FAKEY Habibah</t>
  </si>
  <si>
    <t>FAKEY Jazirah</t>
  </si>
  <si>
    <t>KENNARD Zané</t>
  </si>
  <si>
    <t>ACKERMAN Terry</t>
  </si>
  <si>
    <t xml:space="preserve">NENE Nkululeko 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</si>
  <si>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</si>
  <si>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</si>
  <si>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</si>
  <si>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</si>
  <si>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</si>
  <si>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</si>
  <si>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</si>
  <si>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</si>
  <si>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</si>
  <si>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</si>
  <si>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</si>
  <si>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</si>
  <si>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</si>
  <si>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STRYDOM Bernabe</t>
  </si>
  <si>
    <t xml:space="preserve">NDLOVU Thubelihle </t>
  </si>
  <si>
    <t xml:space="preserve">NDLANGAMANDLA Thulane </t>
  </si>
  <si>
    <t xml:space="preserve">MAVIMBELA Zethembiso </t>
  </si>
  <si>
    <t>SIMELANE Simphiwe</t>
  </si>
  <si>
    <t>NGOBENDE Mbali</t>
  </si>
  <si>
    <t>SBONGAKOHLE Mtshali</t>
  </si>
  <si>
    <t>LEJAHE Gaolatlheope</t>
  </si>
  <si>
    <t>MOGOTSI Sesha</t>
  </si>
  <si>
    <t>MOROKE Kaone</t>
  </si>
  <si>
    <t>JAWE Wame</t>
  </si>
  <si>
    <t>BOLELANG Omphemetse</t>
  </si>
  <si>
    <t>SELELO Karabo</t>
  </si>
  <si>
    <t>DEKOP Jason</t>
  </si>
  <si>
    <t>DEKOP Sean</t>
  </si>
  <si>
    <t>PITSE Arnold</t>
  </si>
  <si>
    <t>KGATLAMPANE Joseph</t>
  </si>
  <si>
    <t>RAESEMA Rorisang</t>
  </si>
  <si>
    <t xml:space="preserve">MATLHATSI Thobo </t>
  </si>
  <si>
    <t>MQOKOYI  Wande</t>
  </si>
  <si>
    <t>MQOKOYI  Qhama</t>
  </si>
  <si>
    <t>SIGWIJI Asiphe</t>
  </si>
  <si>
    <t>TIYANE Zandile</t>
  </si>
  <si>
    <t>MAGWINYA Olwami</t>
  </si>
  <si>
    <t>MADLALA Zekhethelo</t>
  </si>
  <si>
    <t>MCHUNU Palesa</t>
  </si>
  <si>
    <t>LUTHULI Amahle</t>
  </si>
  <si>
    <t>ZONDI Silindokuhle</t>
  </si>
  <si>
    <t>SOMTSEWU Yandisa</t>
  </si>
  <si>
    <t>NYUSHU Aphelele</t>
  </si>
  <si>
    <t>PATO Owam</t>
  </si>
  <si>
    <t>PRETORIUS Maxine</t>
  </si>
  <si>
    <t>JOUBERT Mornechia</t>
  </si>
  <si>
    <t>INNES Monique</t>
  </si>
  <si>
    <t>RHODE Junelle</t>
  </si>
  <si>
    <t>SOLOMONS Duwayne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</si>
  <si>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</si>
  <si>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</si>
  <si>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</si>
  <si>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</si>
  <si>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</si>
  <si>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</si>
  <si>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</si>
  <si>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>MUKUDDEM Adam</t>
  </si>
  <si>
    <t>CHIDZALA Unaswi</t>
  </si>
  <si>
    <t>LOUW Tian</t>
  </si>
  <si>
    <t>BENDER Tyler</t>
  </si>
  <si>
    <t>FITZGIBBON  Richard</t>
  </si>
  <si>
    <t>CYFERS David</t>
  </si>
  <si>
    <t>TSAI Ashley</t>
  </si>
  <si>
    <t>TSAI Ashlyn</t>
  </si>
  <si>
    <t>MCADAM Paul</t>
  </si>
  <si>
    <t>LEE PAN Harry</t>
  </si>
  <si>
    <t xml:space="preserve">ROODE John </t>
  </si>
  <si>
    <t>NACKERDIEN Musfika</t>
  </si>
  <si>
    <t>MPEDI Ntabiseng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</si>
  <si>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</si>
  <si>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</si>
  <si>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</si>
  <si>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</si>
  <si>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</si>
  <si>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</si>
  <si>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</si>
  <si>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</si>
  <si>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</si>
  <si>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</si>
  <si>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</si>
  <si>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</si>
  <si>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</si>
  <si>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</si>
  <si>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</si>
  <si>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</si>
  <si>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</si>
  <si>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</si>
  <si>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</si>
  <si>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</si>
  <si>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</si>
  <si>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Gau Schools</t>
  </si>
  <si>
    <t>SHIKWAMBANE Masingita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</si>
  <si>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</si>
  <si>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</si>
  <si>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</si>
  <si>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</si>
  <si>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</si>
  <si>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</si>
  <si>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</si>
  <si>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</si>
  <si>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</si>
  <si>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</si>
  <si>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</si>
  <si>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</si>
  <si>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</si>
  <si>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</si>
  <si>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</si>
  <si>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</si>
  <si>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</si>
  <si>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</si>
  <si>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</si>
  <si>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</si>
  <si>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</si>
  <si>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</si>
  <si>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</si>
  <si>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</si>
  <si>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</si>
  <si>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</si>
  <si>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</si>
  <si>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</si>
  <si>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</si>
  <si>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</si>
  <si>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</si>
  <si>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</si>
  <si>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</si>
  <si>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</si>
  <si>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</si>
  <si>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</si>
  <si>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</si>
  <si>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</si>
  <si>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</si>
  <si>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</si>
  <si>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</si>
  <si>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</si>
  <si>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</si>
  <si>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</si>
  <si>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</si>
  <si>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</si>
  <si>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</si>
  <si>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</si>
  <si>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</si>
  <si>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</si>
  <si>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</si>
  <si>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</si>
  <si>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</si>
  <si>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</si>
  <si>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</si>
  <si>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</si>
  <si>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</si>
  <si>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</si>
  <si>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</si>
  <si>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</si>
  <si>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</si>
  <si>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</si>
  <si>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</si>
  <si>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</si>
  <si>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</si>
  <si>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</si>
  <si>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</si>
  <si>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</si>
  <si>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</si>
  <si>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</si>
  <si>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</si>
  <si>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</si>
  <si>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</si>
  <si>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</si>
  <si>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U19 BOYS SINGLES</t>
  </si>
  <si>
    <t>CAROLUS Rewaldo</t>
  </si>
  <si>
    <t xml:space="preserve">JOOSTE Keenen </t>
  </si>
  <si>
    <t>SONDAY Rochica</t>
  </si>
  <si>
    <t>TSHIPINARE Tirelo</t>
  </si>
  <si>
    <t>SANTO Moffat</t>
  </si>
  <si>
    <t>AYANDISWA Kambuhle</t>
  </si>
  <si>
    <t>LSO</t>
  </si>
  <si>
    <t>MOTHIBI Khethang</t>
  </si>
  <si>
    <t>MOTHIBI Likhetho</t>
  </si>
  <si>
    <t xml:space="preserve">LIM  </t>
  </si>
  <si>
    <t>SELEKE Onalenna</t>
  </si>
  <si>
    <t>HAYWARD Max</t>
  </si>
  <si>
    <t>MAAKE Tebogo</t>
  </si>
  <si>
    <t>SALIE Benyamin</t>
  </si>
  <si>
    <t>ZAIN EDDIN Kareem</t>
  </si>
  <si>
    <t>MAFOO Leon</t>
  </si>
  <si>
    <t>RAMOLLO Mahlatse</t>
  </si>
  <si>
    <t>BOOI Aseko</t>
  </si>
  <si>
    <t>B</t>
  </si>
  <si>
    <t>LEKORWE Reneilwe</t>
  </si>
  <si>
    <t>MONGALO Itumeleng</t>
  </si>
  <si>
    <t>SEGOMOCO Boinelo</t>
  </si>
  <si>
    <t>TONGWANE Leboga</t>
  </si>
  <si>
    <t>MCHUNU Khanyisani</t>
  </si>
  <si>
    <t>MORAILE Oreneile</t>
  </si>
  <si>
    <t>VUKUVUKU Isiphile</t>
  </si>
  <si>
    <t>MADONYELA Azola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</si>
  <si>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</si>
  <si>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</si>
  <si>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</si>
  <si>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</si>
  <si>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</si>
  <si>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</si>
  <si>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</si>
  <si>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</si>
  <si>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</si>
  <si>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</si>
  <si>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</si>
  <si>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</si>
  <si>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</si>
  <si>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</si>
  <si>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</si>
  <si>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</si>
  <si>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</si>
  <si>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</si>
  <si>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</si>
  <si>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 xml:space="preserve">MODISE Luckyboy 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</si>
  <si>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</si>
  <si>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</si>
  <si>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</si>
  <si>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</si>
  <si>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NMTTA</t>
  </si>
  <si>
    <t>BANDA Mohamed</t>
  </si>
  <si>
    <t>MOLEMA Katlego</t>
  </si>
  <si>
    <t>BRANDER Paul</t>
  </si>
  <si>
    <t xml:space="preserve">MADOLLA William </t>
  </si>
  <si>
    <t>MMUSI Isaac</t>
  </si>
  <si>
    <t>KOMAKO  Kido</t>
  </si>
  <si>
    <t>KORTJAS Leah</t>
  </si>
  <si>
    <t>MOJAFI Angy</t>
  </si>
  <si>
    <t>SEAGODIMO Thembi</t>
  </si>
  <si>
    <t xml:space="preserve">MOSOEU Mosoeu </t>
  </si>
  <si>
    <t xml:space="preserve">MALUNGA Sanele </t>
  </si>
  <si>
    <t>TSHEISO Thabang</t>
  </si>
  <si>
    <t>MOREBODI George</t>
  </si>
  <si>
    <t>NW</t>
  </si>
  <si>
    <t>PHUMO Kgutsitse</t>
  </si>
  <si>
    <t>TSHIPO Kele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</si>
  <si>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</si>
  <si>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</si>
  <si>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</si>
  <si>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</si>
  <si>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</si>
  <si>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</si>
  <si>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</si>
  <si>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</si>
  <si>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</si>
  <si>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</si>
  <si>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</si>
  <si>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</si>
  <si>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</si>
  <si>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NAIDOO Nesan</t>
  </si>
  <si>
    <t>BCTTA</t>
  </si>
  <si>
    <t>HEERALAL Trishan</t>
  </si>
  <si>
    <t>MOHALE Donald Molimisi</t>
  </si>
  <si>
    <t xml:space="preserve">KHWENENYANE Boitumelo </t>
  </si>
  <si>
    <t>DITHEJANE Simon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</si>
  <si>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</si>
  <si>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</si>
  <si>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</si>
  <si>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</si>
  <si>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</si>
  <si>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</si>
  <si>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</si>
  <si>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</si>
  <si>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</si>
  <si>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</si>
  <si>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</si>
  <si>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</si>
  <si>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</si>
  <si>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</si>
  <si>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</si>
  <si>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</si>
  <si>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</si>
  <si>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</si>
  <si>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</si>
  <si>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</si>
  <si>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</si>
  <si>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</si>
  <si>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</si>
  <si>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</si>
  <si>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</si>
  <si>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</si>
  <si>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</si>
  <si>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</si>
  <si>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</si>
  <si>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</si>
  <si>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</si>
  <si>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</si>
  <si>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</si>
  <si>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</si>
  <si>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</si>
  <si>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</si>
  <si>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</si>
  <si>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</si>
  <si>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</si>
  <si>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</si>
  <si>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</si>
  <si>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</si>
  <si>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</si>
  <si>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</si>
  <si>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</si>
  <si>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</si>
  <si>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</si>
  <si>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</si>
  <si>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</si>
  <si>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</si>
  <si>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</si>
  <si>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</si>
  <si>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ISAACS Boebie</t>
  </si>
  <si>
    <t>CABLE Terrence</t>
  </si>
  <si>
    <t>COETZEE Dirk</t>
  </si>
  <si>
    <t xml:space="preserve">HENDRICKS Shakeel </t>
  </si>
  <si>
    <t>SHAIKH Azharuddin</t>
  </si>
  <si>
    <t>MOWZER Cashief</t>
  </si>
  <si>
    <t>ARNOLDS Martin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</si>
  <si>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</si>
  <si>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</si>
  <si>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</si>
  <si>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</si>
  <si>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</si>
  <si>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</si>
  <si>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</si>
  <si>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</si>
  <si>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</si>
  <si>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</si>
  <si>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</si>
  <si>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</si>
  <si>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</si>
  <si>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</si>
  <si>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</si>
  <si>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</si>
  <si>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</si>
  <si>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</si>
  <si>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</si>
  <si>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</si>
  <si>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</si>
  <si>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</si>
  <si>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</si>
  <si>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</si>
  <si>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</si>
  <si>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NAT</t>
  </si>
  <si>
    <t>GAU</t>
  </si>
  <si>
    <t xml:space="preserve">Eden Open </t>
  </si>
  <si>
    <t>Region</t>
  </si>
  <si>
    <t>U19 GIRLS</t>
  </si>
  <si>
    <t>U19 BOYS</t>
  </si>
  <si>
    <t>Eastern Gauteng</t>
  </si>
  <si>
    <t>GAYANDA Kavir</t>
  </si>
  <si>
    <t>WILLIAMS Mark</t>
  </si>
  <si>
    <t>WU QI Jin</t>
  </si>
  <si>
    <t>HEFER Gavin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</si>
  <si>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</si>
  <si>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</si>
  <si>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</si>
  <si>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</si>
  <si>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</si>
  <si>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</si>
  <si>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</si>
  <si>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</si>
  <si>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</si>
  <si>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</si>
  <si>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</si>
  <si>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</si>
  <si>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</si>
  <si>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</si>
  <si>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</si>
  <si>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</si>
  <si>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</si>
  <si>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</si>
  <si>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</si>
  <si>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</si>
  <si>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</si>
  <si>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</si>
  <si>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</si>
  <si>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</si>
  <si>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</si>
  <si>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</si>
  <si>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MUCAVEL Shawn</t>
  </si>
  <si>
    <t>DAVIS SMITH Zoe</t>
  </si>
  <si>
    <t>ERASMUS Nicke</t>
  </si>
  <si>
    <t>MOTAZE Quenzy</t>
  </si>
  <si>
    <t>MOTAZE Priss</t>
  </si>
  <si>
    <t>DU PREEZ Liam</t>
  </si>
  <si>
    <t>VAN STADEN Christjan</t>
  </si>
  <si>
    <t>DHLAMINI Phiwayinkosi</t>
  </si>
  <si>
    <t>DICKASON Nathan</t>
  </si>
  <si>
    <t>TOTARAM Kritika</t>
  </si>
  <si>
    <t>NAIDOO Delwyn</t>
  </si>
  <si>
    <t>TOTARAM Preven</t>
  </si>
  <si>
    <t xml:space="preserve">BAIG Junaid </t>
  </si>
  <si>
    <t xml:space="preserve">Region 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</si>
  <si>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</si>
  <si>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</si>
  <si>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</si>
  <si>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</si>
  <si>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</si>
  <si>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</si>
  <si>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</si>
  <si>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</si>
  <si>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</si>
  <si>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</si>
  <si>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</si>
  <si>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</si>
  <si>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</si>
  <si>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</si>
  <si>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</si>
  <si>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</si>
  <si>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</si>
  <si>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</si>
  <si>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</si>
  <si>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</si>
  <si>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</si>
  <si>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</si>
  <si>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</si>
  <si>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</si>
  <si>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</si>
  <si>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</si>
  <si>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</si>
  <si>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</si>
  <si>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</si>
  <si>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</si>
  <si>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</si>
  <si>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</si>
  <si>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</si>
  <si>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</si>
  <si>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</si>
  <si>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</si>
  <si>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</si>
  <si>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</si>
  <si>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</si>
  <si>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</si>
  <si>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</si>
  <si>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</si>
  <si>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</si>
  <si>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</si>
  <si>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</si>
  <si>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</si>
  <si>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</si>
  <si>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</si>
  <si>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</si>
  <si>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</si>
  <si>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</si>
  <si>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</si>
  <si>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</si>
  <si>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</si>
  <si>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</si>
  <si>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</si>
  <si>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</si>
  <si>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</si>
  <si>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</si>
  <si>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</si>
  <si>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</si>
  <si>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</si>
  <si>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</si>
  <si>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</si>
  <si>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MAHLANGU Kholwa</t>
  </si>
  <si>
    <t>WAGIET Jihad</t>
  </si>
  <si>
    <t>CLOETE Noah</t>
  </si>
  <si>
    <t>PRETORIUS Nathan</t>
  </si>
  <si>
    <t>TITUS Skyler</t>
  </si>
  <si>
    <t>JACOBS Owais</t>
  </si>
  <si>
    <t>JACOBS Qaa-im</t>
  </si>
  <si>
    <t>ADRIAAN MJ</t>
  </si>
  <si>
    <t>HUSVU Munya</t>
  </si>
  <si>
    <t>KILLIAN CJ</t>
  </si>
  <si>
    <t>SAAL Ro-marion</t>
  </si>
  <si>
    <t>ISAACS Ismaeel</t>
  </si>
  <si>
    <t>LUNGU Omega</t>
  </si>
  <si>
    <t xml:space="preserve">MOKHOBO Bonolo </t>
  </si>
  <si>
    <t>LINA Marinova</t>
  </si>
  <si>
    <t>LE ROUX Madelize</t>
  </si>
  <si>
    <t>BROWN Evan</t>
  </si>
  <si>
    <t xml:space="preserve">EBRAHIM Rameez </t>
  </si>
  <si>
    <t>VAN DEN BERG Marlo</t>
  </si>
  <si>
    <t>TEBOHO Lesoetsa</t>
  </si>
  <si>
    <t>ERASMUS Nické</t>
  </si>
  <si>
    <t>YANGA Mkholwana</t>
  </si>
  <si>
    <t>NGAMBU Sibabaliwe</t>
  </si>
  <si>
    <t>NTONDO Inga</t>
  </si>
  <si>
    <t>MACHI Azile</t>
  </si>
  <si>
    <t>NDLOVU Tshepiso</t>
  </si>
  <si>
    <t>BESTER Rupie</t>
  </si>
  <si>
    <t>MAKHAYE Mlungisi</t>
  </si>
  <si>
    <t xml:space="preserve">OBAKENG Senye </t>
  </si>
  <si>
    <t>NAIDOO Daniel</t>
  </si>
  <si>
    <t>MDLADLA Sibonga</t>
  </si>
  <si>
    <t>DUDLEY Junaid</t>
  </si>
  <si>
    <t>MOJONOTOAN Kamohelo</t>
  </si>
  <si>
    <t>NGCEMBELE Asibone</t>
  </si>
  <si>
    <t>MANANA Siphelele</t>
  </si>
  <si>
    <t>NTSHONTSO Ongeziwe</t>
  </si>
  <si>
    <t xml:space="preserve">GABASHANE Lesego </t>
  </si>
  <si>
    <t>KOTZE Wilton</t>
  </si>
  <si>
    <t>NDZAMBULE Samkelo</t>
  </si>
  <si>
    <t>OLIGIE Jeremiah</t>
  </si>
  <si>
    <t>SWANEPOEL Shane</t>
  </si>
  <si>
    <t>MABONGO Lunezo</t>
  </si>
  <si>
    <t>GQIRHANA Linam</t>
  </si>
  <si>
    <t>CILLIERS Jarrod</t>
  </si>
  <si>
    <t>SITHOLE Siphelele</t>
  </si>
  <si>
    <t>LAMONT Bentley</t>
  </si>
  <si>
    <t>MQENGE Mnelisi</t>
  </si>
  <si>
    <t>NAIKER Uveshan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</si>
  <si>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</si>
  <si>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</si>
  <si>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</si>
  <si>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</si>
  <si>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</si>
  <si>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</si>
  <si>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</si>
  <si>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</si>
  <si>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</si>
  <si>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</si>
  <si>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</si>
  <si>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</si>
  <si>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>U11 BOYS SINGLES</t>
  </si>
  <si>
    <t>U11 GIRLS SINGLES</t>
  </si>
  <si>
    <t>SMITH L'Benito</t>
  </si>
  <si>
    <t xml:space="preserve">SALISIWE Luthando </t>
  </si>
  <si>
    <t>MTHABISA Lithabile</t>
  </si>
  <si>
    <t xml:space="preserve">PRETORIUS Tony </t>
  </si>
  <si>
    <t xml:space="preserve">VIEIRA Santiago </t>
  </si>
  <si>
    <t>FORTUIN Hiquin</t>
  </si>
  <si>
    <t>HURWITZ Channan</t>
  </si>
  <si>
    <t>DIKGALE Mpho</t>
  </si>
  <si>
    <t>NGCOBO Anele Aphiwe</t>
  </si>
  <si>
    <t>ONKARABETSE Sam</t>
  </si>
  <si>
    <t xml:space="preserve">Kholomanyane Keamogetswe </t>
  </si>
  <si>
    <t>BECHOO Elijah Raphael</t>
  </si>
  <si>
    <t>MARUMO Amogelang</t>
  </si>
  <si>
    <t>TEMA Tebogo David</t>
  </si>
  <si>
    <t>VISSER Schalk</t>
  </si>
  <si>
    <t>JOSEPH Michael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</si>
  <si>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</si>
  <si>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</si>
  <si>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</si>
  <si>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</si>
  <si>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</si>
  <si>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</si>
  <si>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</si>
  <si>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</si>
  <si>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</si>
  <si>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</si>
  <si>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</si>
  <si>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</si>
  <si>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PALMER Jordan</t>
  </si>
  <si>
    <t>SOLOMONS Kaiba</t>
  </si>
  <si>
    <t>VAN ROOY Moray</t>
  </si>
  <si>
    <t>SOLOMONS Kyle</t>
  </si>
  <si>
    <t>BUYS Shaughan</t>
  </si>
  <si>
    <t>PETEREN Jerome</t>
  </si>
  <si>
    <t>COETZEE Shane</t>
  </si>
  <si>
    <t>VAN DER ROSS Lester</t>
  </si>
  <si>
    <t>LE ROUX Shane</t>
  </si>
  <si>
    <t>SEPTEMBER Stephen</t>
  </si>
  <si>
    <t>U11 BOYS</t>
  </si>
  <si>
    <t>U11 GIRLS</t>
  </si>
  <si>
    <t>Gauteng North Open</t>
  </si>
  <si>
    <t>SHANGASE Fundokuhle</t>
  </si>
  <si>
    <t>SINOMSO Liqhawe</t>
  </si>
  <si>
    <t>O' RYAN Alex</t>
  </si>
  <si>
    <t>MAART Cughan</t>
  </si>
  <si>
    <t>KOETSER Joshua</t>
  </si>
  <si>
    <t>OPPERMAN Heinwill</t>
  </si>
  <si>
    <t>DE KLERK Amore</t>
  </si>
  <si>
    <t>DEDZA Kimberly</t>
  </si>
  <si>
    <t>KOETSER Zac</t>
  </si>
  <si>
    <t>MILLER Eshaam</t>
  </si>
  <si>
    <t>HARTNICK Jordan</t>
  </si>
  <si>
    <t>BUYS Logan</t>
  </si>
  <si>
    <t>JAYSON Raylin</t>
  </si>
  <si>
    <t>JOHNSON Leandre'</t>
  </si>
  <si>
    <t>MAJIEDT Logan</t>
  </si>
  <si>
    <t>DJEUDJE Akheela</t>
  </si>
  <si>
    <t>WALKER Uwais</t>
  </si>
  <si>
    <t>KATZ Milo</t>
  </si>
  <si>
    <t>BOCKS Jamima</t>
  </si>
  <si>
    <t>MASHELE Gabriella</t>
  </si>
  <si>
    <t>SAUNDERS Jessica</t>
  </si>
  <si>
    <t>SELEONE Refilwe</t>
  </si>
  <si>
    <t>Khanyolwethe Bayibayi</t>
  </si>
  <si>
    <t>AGOSTINHO Dylan</t>
  </si>
  <si>
    <t>PARKER Sameer</t>
  </si>
  <si>
    <t>DU PREEZ Alroy</t>
  </si>
  <si>
    <t>REDLINGHUYS Seth</t>
  </si>
  <si>
    <t>ROSSOUW Jonathan</t>
  </si>
  <si>
    <t>DE BEER Derrick</t>
  </si>
  <si>
    <t>VAN ROOYEN Renier</t>
  </si>
  <si>
    <t>EJIMS Daniel</t>
  </si>
  <si>
    <t>PECK Daniel</t>
  </si>
  <si>
    <t>LE ROUX Jean</t>
  </si>
  <si>
    <t xml:space="preserve">WYMA Heinrich </t>
  </si>
  <si>
    <t>HUANG Yu Kae</t>
  </si>
  <si>
    <t>ROYAPPEN Tayden</t>
  </si>
  <si>
    <t>RABSON Tebogo</t>
  </si>
  <si>
    <t>BARNARD Martelize</t>
  </si>
  <si>
    <t>DE KOCK Derrick</t>
  </si>
  <si>
    <t>BRINK Brendan</t>
  </si>
  <si>
    <t>POTGIETER Markus</t>
  </si>
  <si>
    <t>MARTIN Ethan</t>
  </si>
  <si>
    <t>NEL Adriaan</t>
  </si>
  <si>
    <t>VAN DER MERWE Ruan</t>
  </si>
  <si>
    <t>KRUGER Luan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</si>
  <si>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</si>
  <si>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</si>
  <si>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</si>
  <si>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</si>
  <si>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</si>
  <si>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</si>
  <si>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</si>
  <si>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</si>
  <si>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CARRASCO Ceira</t>
  </si>
  <si>
    <t>PILLAY Veya</t>
  </si>
  <si>
    <t>MATHABATHE Tshiamo</t>
  </si>
  <si>
    <t>PANSEGROW Conroy</t>
  </si>
  <si>
    <t>PARBHOO Ishaan</t>
  </si>
  <si>
    <t>VERHEIJEN Alicia</t>
  </si>
  <si>
    <t>VERHEIJEN Danyelle</t>
  </si>
  <si>
    <t>DE WET Christo</t>
  </si>
  <si>
    <t>DE WET Michael</t>
  </si>
  <si>
    <t>PARBHOO Shyaam</t>
  </si>
  <si>
    <t>NAROTAM Sajal</t>
  </si>
  <si>
    <t>VAN RENSBURG Paula Janse</t>
  </si>
  <si>
    <t>SIKUTSHWA Nandipa</t>
  </si>
  <si>
    <t>BAI Barney</t>
  </si>
  <si>
    <t>JIANZHOU Wei</t>
  </si>
  <si>
    <t xml:space="preserve">NXUMALO Luyanda 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</si>
  <si>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</si>
  <si>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</si>
  <si>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</si>
  <si>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</si>
  <si>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</si>
  <si>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</si>
  <si>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</si>
  <si>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</si>
  <si>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</si>
  <si>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</si>
  <si>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</si>
  <si>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NMB</t>
  </si>
  <si>
    <t>Previous Rank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</si>
  <si>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</si>
  <si>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</si>
  <si>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</si>
  <si>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</si>
  <si>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</si>
  <si>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</si>
  <si>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</si>
  <si>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</si>
  <si>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</si>
  <si>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</si>
  <si>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GOKAL Rakhee</t>
  </si>
  <si>
    <t>GOVENDER Bradwyn</t>
  </si>
  <si>
    <t>PADAYACHEE Rivaal</t>
  </si>
  <si>
    <t>DEAIR Yasmin</t>
  </si>
  <si>
    <t>PILLAY Caidyn</t>
  </si>
  <si>
    <t>GOVENDER Chloe</t>
  </si>
  <si>
    <t>GOVENDER Nikayla</t>
  </si>
  <si>
    <t>BATYO Nhlaknipho</t>
  </si>
  <si>
    <t>BHUNDOO Aryik</t>
  </si>
  <si>
    <t>MQENGE Nelokuhle</t>
  </si>
  <si>
    <t>PILLAY Reece</t>
  </si>
  <si>
    <t xml:space="preserve">GOVENDER Kirsten </t>
  </si>
  <si>
    <t>Eddels Open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</si>
  <si>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</si>
  <si>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</si>
  <si>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</si>
  <si>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</si>
  <si>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</si>
  <si>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</si>
  <si>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</si>
  <si>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FISHER Tamsyn</t>
  </si>
  <si>
    <t>NAIDOO Sonali</t>
  </si>
  <si>
    <t>MARION Keren</t>
  </si>
  <si>
    <t>PETERS Lindley</t>
  </si>
  <si>
    <t>LAWRENCE Ronald</t>
  </si>
  <si>
    <t>DLAMINI Sammy</t>
  </si>
  <si>
    <t>KOLOBE Ishmael</t>
  </si>
  <si>
    <t>ZHANG Henry</t>
  </si>
  <si>
    <t>MCKENZIE Kurt</t>
  </si>
  <si>
    <t>DLAMINI Teboho</t>
  </si>
  <si>
    <t>MORENNE Koketso</t>
  </si>
  <si>
    <t>LES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</si>
  <si>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</si>
  <si>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</si>
  <si>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</si>
  <si>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</si>
  <si>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</si>
  <si>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</si>
  <si>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</si>
  <si>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</si>
  <si>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</si>
  <si>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</si>
  <si>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</si>
  <si>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</si>
  <si>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</si>
  <si>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</si>
  <si>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</si>
  <si>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</si>
  <si>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</si>
  <si>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</si>
  <si>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</si>
  <si>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</si>
  <si>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</si>
  <si>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</si>
  <si>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</si>
  <si>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</si>
  <si>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</si>
  <si>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BESTER George</t>
  </si>
  <si>
    <t xml:space="preserve">TITUS Jamaine </t>
  </si>
  <si>
    <t>NYOKONG Keabetswe</t>
  </si>
  <si>
    <t>MABATHOANA Kanenelo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</si>
  <si>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</si>
  <si>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</si>
  <si>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</si>
  <si>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</si>
  <si>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</si>
  <si>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</si>
  <si>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</si>
  <si>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</si>
  <si>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</si>
  <si>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</si>
  <si>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KOMETSI Khauhelo</t>
  </si>
  <si>
    <t>FOURIE Daleen</t>
  </si>
  <si>
    <t>KOKETSO Gaba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</si>
  <si>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</si>
  <si>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</si>
  <si>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</si>
  <si>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</si>
  <si>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</si>
  <si>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</si>
  <si>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</si>
  <si>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</si>
  <si>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</si>
  <si>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</si>
  <si>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</si>
  <si>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</si>
  <si>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</si>
  <si>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</si>
  <si>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</si>
  <si>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</si>
  <si>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</si>
  <si>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</si>
  <si>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</si>
  <si>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</si>
  <si>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</si>
  <si>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</si>
  <si>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</si>
  <si>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</si>
  <si>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</si>
  <si>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</si>
  <si>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</si>
  <si>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</si>
  <si>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</si>
  <si>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</si>
  <si>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</si>
  <si>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</si>
  <si>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</si>
  <si>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</si>
  <si>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</si>
  <si>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</si>
  <si>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</si>
  <si>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</si>
  <si>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</si>
  <si>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MALOKA Bakang</t>
  </si>
  <si>
    <t>PATEL Ilyaas</t>
  </si>
  <si>
    <t>LOUW Kellan</t>
  </si>
  <si>
    <t>VAN DER SCHYFF Yaseen</t>
  </si>
  <si>
    <t>MAGAN Ravi</t>
  </si>
  <si>
    <t>MANUAL Yaqeen</t>
  </si>
  <si>
    <t>VAN DER SCHYFF Kauthar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</si>
  <si>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</si>
  <si>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</si>
  <si>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</si>
  <si>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</si>
  <si>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</si>
  <si>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</si>
  <si>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</si>
  <si>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</si>
  <si>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STEWE Bernard</t>
  </si>
  <si>
    <t>Current Date</t>
  </si>
  <si>
    <t>MLAMBO Lethabo Nicky</t>
  </si>
  <si>
    <t>LETSOALO Kabelo</t>
  </si>
  <si>
    <t xml:space="preserve">MASHANGOANE Lesetja </t>
  </si>
  <si>
    <t>REGASSA Solomon</t>
  </si>
  <si>
    <t>LETJOU Seetsa</t>
  </si>
  <si>
    <t>RAMPEDI Morongwa</t>
  </si>
  <si>
    <t>TITUS Anton</t>
  </si>
  <si>
    <t>ADAMS Muaath</t>
  </si>
  <si>
    <t>JOEMATH Erol</t>
  </si>
  <si>
    <t xml:space="preserve">ADAMS Mahdi </t>
  </si>
  <si>
    <t>BREDEVELDT Mark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</si>
  <si>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</si>
  <si>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</si>
  <si>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</si>
  <si>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</si>
  <si>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</si>
  <si>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</si>
  <si>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</si>
  <si>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</si>
  <si>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</si>
  <si>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THOMAS Cedray</t>
  </si>
  <si>
    <t>SAAL Diego</t>
  </si>
  <si>
    <t>NTSANSTA Luxulo</t>
  </si>
  <si>
    <t>MADUDU Anathi</t>
  </si>
  <si>
    <t>HLAZO Sive</t>
  </si>
  <si>
    <t>CEDRAS Tiffany</t>
  </si>
  <si>
    <t>GQIWE Sphiwo</t>
  </si>
  <si>
    <t>LUKAS Miguel</t>
  </si>
  <si>
    <t>NGCIKWE Thando</t>
  </si>
  <si>
    <t>KUHLE</t>
  </si>
  <si>
    <t>SKIPPERS Matthew</t>
  </si>
  <si>
    <t>PADAYACHEE Prisha</t>
  </si>
  <si>
    <t>PILLAY Tarini</t>
  </si>
  <si>
    <t>PILLAY Saihurie</t>
  </si>
  <si>
    <t>NCALA Samkelisiwe</t>
  </si>
  <si>
    <t>MKWANAZI Samkelisiwe</t>
  </si>
  <si>
    <t>VOSTER Hermanique</t>
  </si>
  <si>
    <t>ESAU Sumaya</t>
  </si>
  <si>
    <t>PILLAY Ishara</t>
  </si>
  <si>
    <t>DHRAMPAL Cole</t>
  </si>
  <si>
    <t>PRINSLOO Kallen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</si>
  <si>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</si>
  <si>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</si>
  <si>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</si>
  <si>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</si>
  <si>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</si>
  <si>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</si>
  <si>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</si>
  <si>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</si>
  <si>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</si>
  <si>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</si>
  <si>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</si>
  <si>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</si>
  <si>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</si>
  <si>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</si>
  <si>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</si>
  <si>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</si>
  <si>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</si>
  <si>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</si>
  <si>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</si>
  <si>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</si>
  <si>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</si>
  <si>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</si>
  <si>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</si>
  <si>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</si>
  <si>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</si>
  <si>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</si>
  <si>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</si>
  <si>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</si>
  <si>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</si>
  <si>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</si>
  <si>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</si>
  <si>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</si>
  <si>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</si>
  <si>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</si>
  <si>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</si>
  <si>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</si>
  <si>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</si>
  <si>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</si>
  <si>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</si>
  <si>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</si>
  <si>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</si>
  <si>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</si>
  <si>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MAY Riaan</t>
  </si>
  <si>
    <t>DU PLESSIS John</t>
  </si>
  <si>
    <t>HUMAN Ashley</t>
  </si>
  <si>
    <t>LEWIS Lincoln</t>
  </si>
  <si>
    <t>MILES Riaan</t>
  </si>
  <si>
    <t>PILLAY Karon</t>
  </si>
  <si>
    <t>BERRY Ed</t>
  </si>
  <si>
    <t>MORTAR Chanray</t>
  </si>
  <si>
    <t>LUDICK Shaun</t>
  </si>
  <si>
    <t>DREYDEN Derek</t>
  </si>
  <si>
    <t>KHOTSE Mbongeni</t>
  </si>
  <si>
    <t>NORMAN Anthea</t>
  </si>
  <si>
    <t>CROTZ Demi</t>
  </si>
  <si>
    <t>WILLIAMS Xoey</t>
  </si>
  <si>
    <t>MAPHUNYE Rorisang</t>
  </si>
  <si>
    <t>MOTHIBA Kagiso</t>
  </si>
  <si>
    <t>MAPODILE Bongano</t>
  </si>
  <si>
    <t>KOBUE Omphile</t>
  </si>
  <si>
    <t>NEFALE Dakalo</t>
  </si>
  <si>
    <t>MODISE Amogelang</t>
  </si>
  <si>
    <t>MOEMI Sipho</t>
  </si>
  <si>
    <t>KIEWIETS Amogelang</t>
  </si>
  <si>
    <t>MARUPING Resego</t>
  </si>
  <si>
    <t>DIKGWATLE Karabo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</si>
  <si>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</si>
  <si>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</si>
  <si>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</si>
  <si>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</si>
  <si>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</si>
  <si>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</si>
  <si>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</si>
  <si>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</si>
  <si>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</si>
  <si>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</si>
  <si>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</si>
  <si>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</si>
  <si>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</si>
  <si>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</si>
  <si>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</si>
  <si>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</si>
  <si>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</si>
  <si>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</si>
  <si>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</si>
  <si>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</si>
  <si>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</si>
  <si>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SELEKE Oratile</t>
  </si>
  <si>
    <t>KESEBEDILE Bokamoso</t>
  </si>
  <si>
    <t>TAU Bokamoso</t>
  </si>
  <si>
    <t>XHOBOZA Thembe</t>
  </si>
  <si>
    <t>NKUYAGAE Mamello</t>
  </si>
  <si>
    <t>MABOTE Amogelang</t>
  </si>
  <si>
    <t>MOTALA Kegoratile</t>
  </si>
  <si>
    <t>MOTSWAMERE Kamogelo</t>
  </si>
  <si>
    <t>DITHEJANE Thato</t>
  </si>
  <si>
    <t>THEBE Boitshepo</t>
  </si>
  <si>
    <t>MFANYISA Boikanyo</t>
  </si>
  <si>
    <t>LEBELO Tshepang</t>
  </si>
  <si>
    <t>SEBOHENG Ashanti</t>
  </si>
  <si>
    <t>Moganisi Ofentse</t>
  </si>
  <si>
    <t>MOXWANYANE Lesego</t>
  </si>
  <si>
    <t>KGALANYANE Patricia</t>
  </si>
  <si>
    <t>MOILWA Kagiso</t>
  </si>
  <si>
    <t xml:space="preserve">KIEWIETS Adeline </t>
  </si>
  <si>
    <t>SEKWENENYANE Mathapelo</t>
  </si>
  <si>
    <t>BOSMAN Mabel</t>
  </si>
  <si>
    <t>TSHANE T</t>
  </si>
  <si>
    <t>DITHIPE Orapeleng</t>
  </si>
  <si>
    <t>SEJAMOHOLO Kagiso</t>
  </si>
  <si>
    <t>RANTSHO Sylvester</t>
  </si>
  <si>
    <t>PREMRAJH Nirala</t>
  </si>
  <si>
    <t>NAIDOO Ayurdha</t>
  </si>
  <si>
    <t>MANSINH Avashnee</t>
  </si>
  <si>
    <t>NAIDOO Denise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</si>
  <si>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</si>
  <si>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</si>
  <si>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</si>
  <si>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</si>
  <si>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</si>
  <si>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</si>
  <si>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</si>
  <si>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</si>
  <si>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</si>
  <si>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</si>
  <si>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</si>
  <si>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</si>
  <si>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</si>
  <si>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</si>
  <si>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</si>
  <si>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</si>
  <si>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</si>
  <si>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</si>
  <si>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</si>
  <si>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</si>
  <si>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</si>
  <si>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</si>
  <si>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</si>
  <si>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</si>
  <si>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</si>
  <si>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</si>
  <si>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</si>
  <si>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</si>
  <si>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</si>
  <si>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HOFFMAN Jae-Leigh</t>
  </si>
  <si>
    <t>SAAIERS Neshay</t>
  </si>
  <si>
    <t>PEDRO Irisha</t>
  </si>
  <si>
    <t>FRANCIES Ashley-Ann</t>
  </si>
  <si>
    <t>PEDRO Dalzanthy</t>
  </si>
  <si>
    <t>JORDAAN Kim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</si>
  <si>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</si>
  <si>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</si>
  <si>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</si>
  <si>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</si>
  <si>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</si>
  <si>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</si>
  <si>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</si>
  <si>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</si>
  <si>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</si>
  <si>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</si>
  <si>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</si>
  <si>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</si>
  <si>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</si>
  <si>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</si>
  <si>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</si>
  <si>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</si>
  <si>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</si>
  <si>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</si>
  <si>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</si>
  <si>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</si>
  <si>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</si>
  <si>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</si>
  <si>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</si>
  <si>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</si>
  <si>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</si>
  <si>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KEDIR Nahik</t>
  </si>
  <si>
    <t>DAWOOD Faeez</t>
  </si>
  <si>
    <t>ALI Uwys</t>
  </si>
  <si>
    <t>MARSHALL Lael</t>
  </si>
  <si>
    <t>JACOBS Evan</t>
  </si>
  <si>
    <t>KADAVIALEI Fahim</t>
  </si>
  <si>
    <t>BENSON Precious</t>
  </si>
  <si>
    <t>VALA Mikhail</t>
  </si>
  <si>
    <t>SICETCHA Xola</t>
  </si>
  <si>
    <t>SAMSAN Farah</t>
  </si>
  <si>
    <t>HUNKIN Sarah</t>
  </si>
  <si>
    <t>LEWUS Liav</t>
  </si>
  <si>
    <t>ROTWANA  Lisakhanya</t>
  </si>
  <si>
    <t>NTONE  Bokamso</t>
  </si>
  <si>
    <t>DUMEZWANE  Khazimla</t>
  </si>
  <si>
    <t>MATANZIMA  Sakhe</t>
  </si>
  <si>
    <t>QABAZANE  Endinako</t>
  </si>
  <si>
    <t>MADINU  Sivile</t>
  </si>
  <si>
    <t>KEKANA  Nomfuneko</t>
  </si>
  <si>
    <t>MADAMANE  Wesa</t>
  </si>
  <si>
    <t>SOGWAXA  Amahle</t>
  </si>
  <si>
    <t>NGIDI  Simthandile</t>
  </si>
  <si>
    <t>BOOI  Esona</t>
  </si>
  <si>
    <t>TANDA  Khazimla</t>
  </si>
  <si>
    <t>MAGULA  Aphile</t>
  </si>
  <si>
    <t>MATYATIYA  Awaxole</t>
  </si>
  <si>
    <t>MAGUSHANE  Mandimphiwe</t>
  </si>
  <si>
    <t>NTOMBOMHLONTLO  Somtwayo</t>
  </si>
  <si>
    <t>MAJOLA  Sibulele</t>
  </si>
  <si>
    <t>MPIKASHE  Thembesile</t>
  </si>
  <si>
    <t>MABHINJA  Wandisile</t>
  </si>
  <si>
    <t>NGXISHE  Bongani</t>
  </si>
  <si>
    <t>MAGADLA  Lungile</t>
  </si>
  <si>
    <t>MOJANAGA Gaoganwe</t>
  </si>
  <si>
    <t>MOTSHWANE Dimpho</t>
  </si>
  <si>
    <t>MOKOENA Amogelang</t>
  </si>
  <si>
    <t>MOSALA Hlompho</t>
  </si>
  <si>
    <t>MOSALA Paballo</t>
  </si>
  <si>
    <t>KHOLOMANYANE Onkarabile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</si>
  <si>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</si>
  <si>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</si>
  <si>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</si>
  <si>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</si>
  <si>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</si>
  <si>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>UMZ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</si>
  <si>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</si>
  <si>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</si>
  <si>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</si>
  <si>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</si>
  <si>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</si>
  <si>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</si>
  <si>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</si>
  <si>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</si>
  <si>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</si>
  <si>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</si>
  <si>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</si>
  <si>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</si>
  <si>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</si>
  <si>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MPOBOLE Tshepang</t>
  </si>
  <si>
    <t>PLAATJIES Tshiamo</t>
  </si>
  <si>
    <t>SEKIKE Kgotso</t>
  </si>
  <si>
    <t>LEKHOTLA Lebohang</t>
  </si>
  <si>
    <t>MAHARAJ Prashni</t>
  </si>
  <si>
    <t>NAIKER Myron</t>
  </si>
  <si>
    <t>NJOKO Asande</t>
  </si>
  <si>
    <t>REATILE Morapedi</t>
  </si>
  <si>
    <t>SEBOLOKOLODI Brown</t>
  </si>
  <si>
    <t>MC CLEOD Michelle</t>
  </si>
  <si>
    <t xml:space="preserve">NTSOKOANE Ithumeleng </t>
  </si>
  <si>
    <t>ECCLES Sazi</t>
  </si>
  <si>
    <t>JOSEPH Carl</t>
  </si>
  <si>
    <t>KHOPE Soyama</t>
  </si>
  <si>
    <t>FORTUIN Decklin</t>
  </si>
  <si>
    <t>KOOPMAN Cadiff</t>
  </si>
  <si>
    <t>JOSEPH Amaru</t>
  </si>
  <si>
    <t>PERRANG Hayden</t>
  </si>
  <si>
    <t>WATERBOER Lindzay-Lin</t>
  </si>
  <si>
    <t>ISAACS Rushaan</t>
  </si>
  <si>
    <t>PERRANG Megarle</t>
  </si>
  <si>
    <t>PERRANG Deonay</t>
  </si>
  <si>
    <t>SITHENDE Lithalethu</t>
  </si>
  <si>
    <t>ZWENI Endinako</t>
  </si>
  <si>
    <t>MADANGATYA limise</t>
  </si>
  <si>
    <t>ADONIS Keagan</t>
  </si>
  <si>
    <t>NGAMBU Asekhona</t>
  </si>
  <si>
    <t>MPHUNGA Amkele</t>
  </si>
  <si>
    <t>PHOKI Esinayo</t>
  </si>
  <si>
    <t>ZALIGOBE Iviwe</t>
  </si>
  <si>
    <t>MBONISENI Sinesipho</t>
  </si>
  <si>
    <t>MBADA Phikolwethu</t>
  </si>
  <si>
    <t>MVULA Chumani</t>
  </si>
  <si>
    <t>NYAMKHAZI Anethemba</t>
  </si>
  <si>
    <t>KWEYEYE Indiphe</t>
  </si>
  <si>
    <t>MAQONDO Alungile</t>
  </si>
  <si>
    <t>NTSHONTSHO Ongeziwe</t>
  </si>
  <si>
    <t>TOM Lizalise</t>
  </si>
  <si>
    <t>MBATHA Lwazi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</si>
  <si>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</si>
  <si>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</si>
  <si>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</si>
  <si>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</si>
  <si>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</si>
  <si>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</si>
  <si>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</si>
  <si>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>ZUNGU Bonginkosi</t>
  </si>
  <si>
    <t xml:space="preserve">HLOPHE Banele </t>
  </si>
  <si>
    <t>NGALEKA Smanga</t>
  </si>
  <si>
    <t>NQUBEKE Mamba</t>
  </si>
  <si>
    <t xml:space="preserve">DLAMINI Snqubile </t>
  </si>
  <si>
    <t>LULAMA Dube</t>
  </si>
  <si>
    <t>DAVIES Melissa</t>
  </si>
  <si>
    <t>RATANJEE Nandini</t>
  </si>
  <si>
    <t>RATANJEE Shivani</t>
  </si>
  <si>
    <t>LUTHULI Lonwabo</t>
  </si>
  <si>
    <t>TUKULE Nkosana</t>
  </si>
  <si>
    <t>KGATITWE Tebogo</t>
  </si>
  <si>
    <t>JAMES Quinton</t>
  </si>
  <si>
    <t>SASSU Judit</t>
  </si>
  <si>
    <t>KESVAL Grace</t>
  </si>
  <si>
    <t>BULLEN Isabel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</si>
  <si>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</si>
  <si>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</si>
  <si>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</si>
  <si>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</si>
  <si>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</si>
  <si>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</si>
  <si>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</si>
  <si>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VARRIE Hunter</t>
  </si>
  <si>
    <t>VARRIE Kade</t>
  </si>
  <si>
    <t>Total           No Shows</t>
  </si>
  <si>
    <t>Points 2024</t>
  </si>
  <si>
    <t>Total                          No Shows</t>
  </si>
  <si>
    <t>Total       No Shows</t>
  </si>
  <si>
    <t>GOKAL Dev Amar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</si>
  <si>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</si>
  <si>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</si>
  <si>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</si>
  <si>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</si>
  <si>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</si>
  <si>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</si>
  <si>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</si>
  <si>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</si>
  <si>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</si>
  <si>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</si>
  <si>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</si>
  <si>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</si>
  <si>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</si>
  <si>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</si>
  <si>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</si>
  <si>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</si>
  <si>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</si>
  <si>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</si>
  <si>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</si>
  <si>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</si>
  <si>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</si>
  <si>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</si>
  <si>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</si>
  <si>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</si>
  <si>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</si>
  <si>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</si>
  <si>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</si>
  <si>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</si>
  <si>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</si>
  <si>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</si>
  <si>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</si>
  <si>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</si>
  <si>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</si>
  <si>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</si>
  <si>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</si>
  <si>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</si>
  <si>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>2001</t>
  </si>
  <si>
    <t>08</t>
  </si>
  <si>
    <t>01</t>
  </si>
  <si>
    <t>GOVENDER Prevashan</t>
  </si>
  <si>
    <t>MBILI Simiso Lungisani</t>
  </si>
  <si>
    <t>SIBIYA Snakhokonke</t>
  </si>
  <si>
    <t>CELE Lungisani Sinethemba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</si>
  <si>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</si>
  <si>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</si>
  <si>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</si>
  <si>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</si>
  <si>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</si>
  <si>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</si>
  <si>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</si>
  <si>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</si>
  <si>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</si>
  <si>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</si>
  <si>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</si>
  <si>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</si>
  <si>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</si>
  <si>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</si>
  <si>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</si>
  <si>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MKHIZE Lwazi</t>
  </si>
  <si>
    <t>NYAWO Sithembiso</t>
  </si>
  <si>
    <t>18</t>
  </si>
  <si>
    <t>29</t>
  </si>
  <si>
    <t>06</t>
  </si>
  <si>
    <t>02</t>
  </si>
  <si>
    <t>16</t>
  </si>
  <si>
    <t>23</t>
  </si>
  <si>
    <t>14</t>
  </si>
  <si>
    <t>17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</si>
  <si>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</si>
  <si>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</si>
  <si>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</si>
  <si>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</si>
  <si>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</si>
  <si>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</si>
  <si>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</si>
  <si>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</si>
  <si>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</si>
  <si>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</si>
  <si>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</si>
  <si>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</si>
  <si>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</si>
  <si>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</si>
  <si>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</si>
  <si>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SO Sze Hin Dickson</t>
  </si>
  <si>
    <t>P2           GAU          Gau North Open             2024</t>
  </si>
  <si>
    <t>P2           WC         CT Open 2024</t>
  </si>
  <si>
    <t>O1        GAU
MTTC Open  2024</t>
  </si>
  <si>
    <t>P1           WC         Eden Open 2024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</si>
  <si>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</si>
  <si>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</si>
  <si>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</si>
  <si>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</si>
  <si>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</si>
  <si>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</si>
  <si>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</si>
  <si>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</si>
  <si>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</si>
  <si>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RAMLAL Rucille</t>
  </si>
  <si>
    <t>MA Chan-Yue</t>
  </si>
  <si>
    <t>NTEBELE Tlamelo</t>
  </si>
  <si>
    <t>MC LEOD Ian</t>
  </si>
  <si>
    <t>MC LEOD Leonard</t>
  </si>
  <si>
    <t>MADYBI Akhona</t>
  </si>
  <si>
    <t>PHUSHUDI Sello</t>
  </si>
  <si>
    <t>ZINGELA Unako</t>
  </si>
  <si>
    <t>MORSI Ahmad</t>
  </si>
  <si>
    <t>CHIBA Ajay</t>
  </si>
  <si>
    <t>NAIDOO Purushu</t>
  </si>
  <si>
    <t>PILLAY Keona</t>
  </si>
  <si>
    <t>OOSTHUIZEN Shantell</t>
  </si>
  <si>
    <t>MTHABISA Lethukuthula</t>
  </si>
  <si>
    <t>DU TOIT JG</t>
  </si>
  <si>
    <t>GETACHEW Ebenezer</t>
  </si>
  <si>
    <t>PHATELI Tshepang</t>
  </si>
  <si>
    <t>PAN Enjun</t>
  </si>
  <si>
    <t>PHATELI Tshepo</t>
  </si>
  <si>
    <t>SIBANGO Liso</t>
  </si>
  <si>
    <t>GROVE Schyler</t>
  </si>
  <si>
    <t>SIVNANNAN Sivarna</t>
  </si>
  <si>
    <t>BRECHER Rolf</t>
  </si>
  <si>
    <t>MORSI Sohayb</t>
  </si>
  <si>
    <t>MRAWULI Manqoba</t>
  </si>
  <si>
    <t>PILLAY Keval</t>
  </si>
  <si>
    <t>GETACHEW Yonas</t>
  </si>
  <si>
    <t>MADVIRAKARE Lerato</t>
  </si>
  <si>
    <t>HECHTER Natalie</t>
  </si>
  <si>
    <t>HECHTER Nathan</t>
  </si>
  <si>
    <t>MUYIKWA Given Moses</t>
  </si>
  <si>
    <t>WOLDETSADIK Yeabkal</t>
  </si>
  <si>
    <t>THEBEHALE Palesa</t>
  </si>
  <si>
    <t>BALOYI Philis</t>
  </si>
  <si>
    <t>CORTINHAS Shamel</t>
  </si>
  <si>
    <t>KRUGER Mikal</t>
  </si>
  <si>
    <t>PADAYACHEE Vaishant</t>
  </si>
  <si>
    <t>MASHOKO Stuad</t>
  </si>
  <si>
    <t>MOETI Amohelang</t>
  </si>
  <si>
    <t>HUSVU Anotidaishe</t>
  </si>
  <si>
    <t>HUSVU Tadiwanashi</t>
  </si>
  <si>
    <t>MKHWANAZI Botshelo</t>
  </si>
  <si>
    <t>BEEBY Damon</t>
  </si>
  <si>
    <t>ARGAMAN Alon</t>
  </si>
  <si>
    <t>GROSSMAN Jason</t>
  </si>
  <si>
    <t>NATHOO Ashish</t>
  </si>
  <si>
    <t>LE ROUX Wiehan</t>
  </si>
  <si>
    <t xml:space="preserve">Maccabi Table Tennis </t>
  </si>
  <si>
    <t>RAMPHAL Rashmika</t>
  </si>
  <si>
    <t>MARSHALL Rebekah</t>
  </si>
  <si>
    <t>VAN DEN BERG Pieter</t>
  </si>
  <si>
    <t>ASULIN Amichai</t>
  </si>
  <si>
    <t>SIEFF Daniel</t>
  </si>
  <si>
    <t>TOPOL Alon</t>
  </si>
  <si>
    <t>SHKUDSY Ben</t>
  </si>
  <si>
    <t>TALLA John</t>
  </si>
  <si>
    <t>TIFFLIN Saeed</t>
  </si>
  <si>
    <t>ABRAHAMS Zuri</t>
  </si>
  <si>
    <t>O1         KZN Eddels Open   2024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</si>
  <si>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</si>
  <si>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</si>
  <si>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</si>
  <si>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</si>
  <si>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</si>
  <si>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</si>
  <si>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</si>
  <si>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DOLLIE Nadia</t>
  </si>
  <si>
    <t>SINGH Manav</t>
  </si>
  <si>
    <t>FRANK Callum</t>
  </si>
  <si>
    <t>MGENGE Nelokuhle</t>
  </si>
  <si>
    <t>MKHONTWANA Simpiwe</t>
  </si>
  <si>
    <t>KANNIE Jazmine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</si>
  <si>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</si>
  <si>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</si>
  <si>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</si>
  <si>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</si>
  <si>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</si>
  <si>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</si>
  <si>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</si>
  <si>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</si>
  <si>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</si>
  <si>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</si>
  <si>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</si>
  <si>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</si>
  <si>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</si>
  <si>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</si>
  <si>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</si>
  <si>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</si>
  <si>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</si>
  <si>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</si>
  <si>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</si>
  <si>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</si>
  <si>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</si>
  <si>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</si>
  <si>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</si>
  <si>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</si>
  <si>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</si>
  <si>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</si>
  <si>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</si>
  <si>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</si>
  <si>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</si>
  <si>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</si>
  <si>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</si>
  <si>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</si>
  <si>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</si>
  <si>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</si>
  <si>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</si>
  <si>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MASOPHA Winston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</si>
  <si>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</si>
  <si>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</si>
  <si>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</si>
  <si>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</si>
  <si>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</si>
  <si>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</si>
  <si>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</si>
  <si>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</si>
  <si>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</si>
  <si>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</si>
  <si>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</si>
  <si>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</si>
  <si>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</si>
  <si>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</si>
  <si>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</si>
  <si>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</si>
  <si>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</si>
  <si>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</si>
  <si>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</si>
  <si>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</si>
  <si>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</si>
  <si>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</si>
  <si>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</si>
  <si>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</si>
  <si>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</si>
  <si>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</si>
  <si>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</si>
  <si>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</si>
  <si>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</si>
  <si>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APPLESAMY Kaylin</t>
  </si>
  <si>
    <t>CELE Melokuhle</t>
  </si>
  <si>
    <t>NAIDOO Xavier</t>
  </si>
  <si>
    <t>REDDY Mikyle</t>
  </si>
  <si>
    <t>RAGHUNAN Roman</t>
  </si>
  <si>
    <t>NAIDOO Isabella</t>
  </si>
  <si>
    <t>MOTSONENG Karabo</t>
  </si>
  <si>
    <t>GUMEDE Luyanda</t>
  </si>
  <si>
    <t>SIVNANNAN Syriana</t>
  </si>
  <si>
    <t>SHEZI Amanda</t>
  </si>
  <si>
    <t>ZWANE Ziyanda</t>
  </si>
  <si>
    <t>NGWEU Samkelo</t>
  </si>
  <si>
    <t>NGIDI Bayanda</t>
  </si>
  <si>
    <t>MANDLENKOSI Muthwa</t>
  </si>
  <si>
    <t>Yamkelo</t>
  </si>
  <si>
    <t>DZANIBE Kethukuthula</t>
  </si>
  <si>
    <t>KZN Open</t>
  </si>
  <si>
    <t>DLAMINI Philasande</t>
  </si>
  <si>
    <t>MKONTWANE Simphiwe</t>
  </si>
  <si>
    <t>BATYO Yonela</t>
  </si>
  <si>
    <t>GUMEDE Sbonelo</t>
  </si>
  <si>
    <t>ZONDI Tholithemba</t>
  </si>
  <si>
    <t>RAMTHOL Ashlyn</t>
  </si>
  <si>
    <t>NAIDOO Poshandren</t>
  </si>
  <si>
    <t>JANTJIES Washiela</t>
  </si>
  <si>
    <t>O1           GAU         Maccabi 2024</t>
  </si>
  <si>
    <t>SHAIK Haneef</t>
  </si>
  <si>
    <t>VAN DER MEULEN Max</t>
  </si>
  <si>
    <t>O1           GAU         Maccabi Open 2024</t>
  </si>
  <si>
    <t>SHAIK Hameed</t>
  </si>
  <si>
    <t>JONES Trent</t>
  </si>
  <si>
    <t>ZAR Benjamin</t>
  </si>
  <si>
    <t>TAVARIA Kian</t>
  </si>
  <si>
    <t>O1        GAU
Maccabi Open  2024</t>
  </si>
  <si>
    <t>SMIT Logan</t>
  </si>
  <si>
    <t>DA SILVA Michael</t>
  </si>
  <si>
    <t>ALLY Sa'ad</t>
  </si>
  <si>
    <t>SUBAN Muawiyah</t>
  </si>
  <si>
    <t>GERSON Raphi</t>
  </si>
  <si>
    <t xml:space="preserve">MINAAR Eltonio </t>
  </si>
  <si>
    <t>SCHRIEFF Gerard</t>
  </si>
  <si>
    <t>THEUNESSIN Jody</t>
  </si>
  <si>
    <t>JOSEPH Skylyn</t>
  </si>
  <si>
    <t>NQGULA Nande</t>
  </si>
  <si>
    <t>NQGULA Njongo</t>
  </si>
  <si>
    <t>MUSUNGISI Marvin</t>
  </si>
  <si>
    <t>ENGEL Liam</t>
  </si>
  <si>
    <t>DANSTER Luke</t>
  </si>
  <si>
    <t>VAN HELDEN Leo</t>
  </si>
  <si>
    <t>HENDRICKS Wayne</t>
  </si>
  <si>
    <t>MONDO Sebastian</t>
  </si>
  <si>
    <t>SAMPSON Riaan</t>
  </si>
  <si>
    <t>MANEWIL Jerome</t>
  </si>
  <si>
    <t>STOLLS Gladwin</t>
  </si>
  <si>
    <t>SPAHR Frank</t>
  </si>
  <si>
    <t>BROWN Colin</t>
  </si>
  <si>
    <t>JANTJIES Cheslin</t>
  </si>
  <si>
    <t>MULLER Ashwell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</si>
  <si>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</si>
  <si>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</si>
  <si>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</si>
  <si>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</si>
  <si>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</si>
  <si>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</si>
  <si>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</si>
  <si>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</si>
  <si>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</si>
  <si>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</si>
  <si>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</si>
  <si>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</si>
  <si>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</si>
  <si>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</si>
  <si>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</si>
  <si>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</si>
  <si>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</si>
  <si>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 xml:space="preserve">MOLAHLOE Itumeleng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</si>
  <si>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</si>
  <si>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</si>
  <si>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</si>
  <si>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</si>
  <si>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</si>
  <si>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</si>
  <si>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</si>
  <si>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</si>
  <si>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</si>
  <si>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</si>
  <si>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</si>
  <si>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</si>
  <si>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</si>
  <si>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</si>
  <si>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</si>
  <si>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</si>
  <si>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</si>
  <si>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</si>
  <si>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</si>
  <si>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</si>
  <si>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</si>
  <si>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</si>
  <si>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</si>
  <si>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</si>
  <si>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</si>
  <si>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</si>
  <si>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</si>
  <si>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</si>
  <si>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</si>
  <si>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</si>
  <si>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</si>
  <si>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</si>
  <si>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</si>
  <si>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</si>
  <si>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NETSHITUNI Thando</t>
  </si>
  <si>
    <t>MATSHA Malwandle</t>
  </si>
  <si>
    <t>NGAKA Oratile</t>
  </si>
  <si>
    <t>MOMOZA Sinazo</t>
  </si>
  <si>
    <t>BOTHA Tshepo</t>
  </si>
  <si>
    <t>GWAYI Sinoxolo</t>
  </si>
  <si>
    <t>MOTEBANE Khopolo</t>
  </si>
  <si>
    <t>MADUNA Monia</t>
  </si>
  <si>
    <t>MADILOYI Inam</t>
  </si>
  <si>
    <t>TSHANDA Sibulele</t>
  </si>
  <si>
    <t>MOHLOMI Neo</t>
  </si>
  <si>
    <t>PHIKISO Nthabiseng</t>
  </si>
  <si>
    <t>SERABANE Precious</t>
  </si>
  <si>
    <t>NGCOBO Lucky</t>
  </si>
  <si>
    <t>CHILOANE Basetsana</t>
  </si>
  <si>
    <t>GROBBELAAR Lihan</t>
  </si>
  <si>
    <t>MOGWENYA Mthokozisi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</si>
  <si>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</si>
  <si>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</si>
  <si>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</si>
  <si>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</si>
  <si>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</si>
  <si>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</si>
  <si>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</si>
  <si>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</si>
  <si>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</si>
  <si>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</si>
  <si>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</si>
  <si>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</si>
  <si>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</si>
  <si>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</si>
  <si>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</si>
  <si>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</si>
  <si>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</si>
  <si>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</si>
  <si>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</si>
  <si>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</si>
  <si>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</si>
  <si>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</si>
  <si>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</si>
  <si>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</si>
  <si>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</si>
  <si>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TLADI  Regomoditswe</t>
  </si>
  <si>
    <t xml:space="preserve">KEOBUSITSE  Lerato  </t>
  </si>
  <si>
    <t>MOGOENG Boipelo</t>
  </si>
  <si>
    <t>REDDY Jordyn</t>
  </si>
  <si>
    <t xml:space="preserve">DINKELMAN Mandy </t>
  </si>
  <si>
    <t>WILLEMSE Kelly</t>
  </si>
  <si>
    <t xml:space="preserve">DU PLESSIS Jean-Luc </t>
  </si>
  <si>
    <t>STEYN Dawie</t>
  </si>
  <si>
    <t>MARAIS Barry</t>
  </si>
  <si>
    <t>GOVENDER Dhaneshree</t>
  </si>
  <si>
    <t>RAMCHURRAN Leora</t>
  </si>
  <si>
    <t>SIMBHOO Nirvana</t>
  </si>
  <si>
    <t>MOODLEY Loghnie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</si>
  <si>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</si>
  <si>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</si>
  <si>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</si>
  <si>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</si>
  <si>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</si>
  <si>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</si>
  <si>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</si>
  <si>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</si>
  <si>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</si>
  <si>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</si>
  <si>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SCHRIEFF Samuel</t>
  </si>
  <si>
    <t>GOKHALE Aakash</t>
  </si>
  <si>
    <t>HOOSEN Umar Shaikh</t>
  </si>
  <si>
    <t>MANSFIELD Joshua</t>
  </si>
  <si>
    <t>BAILEY Antonio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</si>
  <si>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</si>
  <si>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</si>
  <si>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</si>
  <si>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</si>
  <si>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</si>
  <si>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</si>
  <si>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</si>
  <si>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</si>
  <si>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</si>
  <si>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</si>
  <si>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</si>
  <si>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</si>
  <si>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</si>
  <si>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</si>
  <si>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</si>
  <si>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</si>
  <si>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BURIJNS Melanie</t>
  </si>
  <si>
    <t>FREDERICKS Filippus</t>
  </si>
  <si>
    <t>WILLIAMS Cody</t>
  </si>
  <si>
    <t>JACOBS Rafiq</t>
  </si>
  <si>
    <t>MAHLAPE Sekike</t>
  </si>
  <si>
    <t>Phoofolo Refilwe</t>
  </si>
  <si>
    <t>NTISA Kamohelo</t>
  </si>
  <si>
    <t>BOGACOE Botshelo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</si>
  <si>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</si>
  <si>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</si>
  <si>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</si>
  <si>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</si>
  <si>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</si>
  <si>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</si>
  <si>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</si>
  <si>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</si>
  <si>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</si>
  <si>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</si>
  <si>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</si>
  <si>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</si>
  <si>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</si>
  <si>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</si>
  <si>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</si>
  <si>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</si>
  <si>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</si>
  <si>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</si>
  <si>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</si>
  <si>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</si>
  <si>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</si>
  <si>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</si>
  <si>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</si>
  <si>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</si>
  <si>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</si>
  <si>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</si>
  <si>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</si>
  <si>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</si>
  <si>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</si>
  <si>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</si>
  <si>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</si>
  <si>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</si>
  <si>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</si>
  <si>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</si>
  <si>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</si>
  <si>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</si>
  <si>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</si>
  <si>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</si>
  <si>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>HENDRICKS Leighton</t>
  </si>
  <si>
    <t xml:space="preserve">GAOTLOPE Dimakatso </t>
  </si>
  <si>
    <t>JTTA</t>
  </si>
  <si>
    <t>P1        GAU
JTTA Open  2024</t>
  </si>
  <si>
    <t xml:space="preserve"> </t>
  </si>
  <si>
    <t>JTTA OPEN</t>
  </si>
  <si>
    <t>P1        GAU
JTTA  Open  2024</t>
  </si>
  <si>
    <t>browm</t>
  </si>
  <si>
    <t xml:space="preserve">COX Cameron </t>
  </si>
  <si>
    <t xml:space="preserve">ZIKALALA Nkululeko </t>
  </si>
  <si>
    <t xml:space="preserve">NAGIN Jushiel </t>
  </si>
  <si>
    <t xml:space="preserve">ROWJEE Atish </t>
  </si>
  <si>
    <t xml:space="preserve">MFENE Zenzile </t>
  </si>
  <si>
    <t>EKR</t>
  </si>
  <si>
    <t>TSHEANG Phateli</t>
  </si>
  <si>
    <t xml:space="preserve">DU TOIT Jaco </t>
  </si>
  <si>
    <t>GNTTB</t>
  </si>
  <si>
    <t xml:space="preserve">SUBBAN Clinton </t>
  </si>
  <si>
    <t xml:space="preserve">MFENE Sanele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</si>
  <si>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</si>
  <si>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</si>
  <si>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</si>
  <si>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</si>
  <si>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</si>
  <si>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</si>
  <si>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</si>
  <si>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</si>
  <si>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>SED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</si>
  <si>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</si>
  <si>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</si>
  <si>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</si>
  <si>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</si>
  <si>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</si>
  <si>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</si>
  <si>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</si>
  <si>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</si>
  <si>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</si>
  <si>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</si>
  <si>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</si>
  <si>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</si>
  <si>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</si>
  <si>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</si>
  <si>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</si>
  <si>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</si>
  <si>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</si>
  <si>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>A1        NAT           SA  Open 2024</t>
  </si>
  <si>
    <t>Khelo /Raiders Open</t>
  </si>
  <si>
    <t xml:space="preserve">SA OPEN </t>
  </si>
  <si>
    <t xml:space="preserve">LIMBADA Sufyaan </t>
  </si>
  <si>
    <t xml:space="preserve">VACHIAT Eesa </t>
  </si>
  <si>
    <t xml:space="preserve">GUNGARAM Deyaan </t>
  </si>
  <si>
    <t xml:space="preserve">SUJEE Ismaeel 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</si>
  <si>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</si>
  <si>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</si>
  <si>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</si>
  <si>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</si>
  <si>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</si>
  <si>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</si>
  <si>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</si>
  <si>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</si>
  <si>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</si>
  <si>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</si>
  <si>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</si>
  <si>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</si>
  <si>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</si>
  <si>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</si>
  <si>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</si>
  <si>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</si>
  <si>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Prasad Satyam</t>
  </si>
  <si>
    <t>Raju Jayaprakash-Kuppu</t>
  </si>
  <si>
    <t>Anil Buradkar</t>
  </si>
  <si>
    <t>Manish Kanodia</t>
  </si>
  <si>
    <t>Reenav Modi</t>
  </si>
  <si>
    <t>KHAN Saad</t>
  </si>
  <si>
    <t>Caywyn Sevalingam</t>
  </si>
  <si>
    <t>Manqoba Nyamate</t>
  </si>
  <si>
    <t>Dharmil Jeram Nathoo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</si>
  <si>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</si>
  <si>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</si>
  <si>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</si>
  <si>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</si>
  <si>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</si>
  <si>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</si>
  <si>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</si>
  <si>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</si>
  <si>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</si>
  <si>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</si>
  <si>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 xml:space="preserve">SAYED Fahima </t>
  </si>
  <si>
    <t>Tessa Johnstone</t>
  </si>
  <si>
    <t>Grace Kesval</t>
  </si>
  <si>
    <t>KRISTIN KATA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</si>
  <si>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</si>
  <si>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</si>
  <si>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</si>
  <si>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</si>
  <si>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</si>
  <si>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</si>
  <si>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</si>
  <si>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</si>
  <si>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</si>
  <si>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</si>
  <si>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</si>
  <si>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</si>
  <si>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</si>
  <si>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</si>
  <si>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</si>
  <si>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</si>
  <si>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</si>
  <si>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</si>
  <si>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</si>
  <si>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</si>
  <si>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</si>
  <si>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</si>
  <si>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</si>
  <si>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</si>
  <si>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</si>
  <si>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</si>
  <si>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</si>
  <si>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</si>
  <si>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</si>
  <si>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</si>
  <si>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</si>
  <si>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Nkosana Tukule</t>
  </si>
  <si>
    <t>O1           GAU         KHELO /RAIDERS 2024</t>
  </si>
  <si>
    <t>O1        GAU  KHELO/ RAIDERS OPEN 2024</t>
  </si>
  <si>
    <t>O1           GAU         KHELO/ RAIDERS Open 2024</t>
  </si>
  <si>
    <t>A1           NAT         SA Open 2024</t>
  </si>
  <si>
    <t>A1
NAT
SA Open
2024</t>
  </si>
  <si>
    <t>A1           NAT         SA Open       2024</t>
  </si>
  <si>
    <t>01                    Khelo/   Raiders Open 2024</t>
  </si>
  <si>
    <t>O1           GAU         KHELO / RAIDERS Open 2024</t>
  </si>
  <si>
    <t>O1
KHELO / RAIDERS
Open
2024</t>
  </si>
  <si>
    <t>O1        KHELO / RAIDERS
 Open  2024</t>
  </si>
  <si>
    <t>MAAL Sameera</t>
  </si>
  <si>
    <t xml:space="preserve"> NKONE Grace</t>
  </si>
  <si>
    <t xml:space="preserve">NW </t>
  </si>
  <si>
    <t>Siddeeq BUCKUS</t>
  </si>
  <si>
    <t>Katlego KHABELA</t>
  </si>
  <si>
    <t>BEFU Luyanda</t>
  </si>
  <si>
    <t>Khanyisile MASHININI</t>
  </si>
  <si>
    <t>Humaira KAKA</t>
  </si>
  <si>
    <t>Phikolethu MBANDA</t>
  </si>
  <si>
    <t>Sinesipho MBOWENI</t>
  </si>
  <si>
    <t>Akhile JAYI</t>
  </si>
  <si>
    <t>Yibanathi MTHIKRAKRA</t>
  </si>
  <si>
    <t>O1             KZN Eddels Open   2024</t>
  </si>
  <si>
    <t>P2                  WC         CT Open 2024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</si>
  <si>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</si>
  <si>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</si>
  <si>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</si>
  <si>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</si>
  <si>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</si>
  <si>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</si>
  <si>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</si>
  <si>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</si>
  <si>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</si>
  <si>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</si>
  <si>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</si>
  <si>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RENERGELDT Dayaan </t>
  </si>
  <si>
    <t xml:space="preserve">DUMAINE Joshua </t>
  </si>
  <si>
    <t xml:space="preserve">CREIGHTON Yusuf </t>
  </si>
  <si>
    <t xml:space="preserve">DAWES Harry </t>
  </si>
  <si>
    <t xml:space="preserve">PAMPLIN Blake </t>
  </si>
  <si>
    <t xml:space="preserve">EBRAHIM Niyaaz </t>
  </si>
  <si>
    <t xml:space="preserve">JACOBS Umr </t>
  </si>
  <si>
    <t xml:space="preserve">HENDRICKS Andrew </t>
  </si>
  <si>
    <t xml:space="preserve">SIMON Imtiyaaz </t>
  </si>
  <si>
    <t xml:space="preserve">FARMER Marchileno </t>
  </si>
  <si>
    <t xml:space="preserve">DELGADA Cayden </t>
  </si>
  <si>
    <t xml:space="preserve">BOOYSEN Marius </t>
  </si>
  <si>
    <t xml:space="preserve">DAVIDS Dorian </t>
  </si>
  <si>
    <t xml:space="preserve">HURLING Caleb 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</si>
  <si>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</si>
  <si>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</si>
  <si>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</si>
  <si>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</si>
  <si>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</si>
  <si>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</si>
  <si>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SALIE Naathiem </t>
  </si>
  <si>
    <t xml:space="preserve">KAMALDIEN Keyaam </t>
  </si>
  <si>
    <t xml:space="preserve">SINGISELO Loyiso </t>
  </si>
  <si>
    <t xml:space="preserve">JACOBS Rushin </t>
  </si>
  <si>
    <t xml:space="preserve">ISAACS Daleel </t>
  </si>
  <si>
    <t xml:space="preserve">VERMAAK Christiaan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</si>
  <si>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</si>
  <si>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</si>
  <si>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</si>
  <si>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</si>
  <si>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</si>
  <si>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</si>
  <si>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</si>
  <si>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</si>
  <si>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</si>
  <si>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 xml:space="preserve">LOUW Tian </t>
  </si>
  <si>
    <t xml:space="preserve">TIETIES Malik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</si>
  <si>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</si>
  <si>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</si>
  <si>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</si>
  <si>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</si>
  <si>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</si>
  <si>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</si>
  <si>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</si>
  <si>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</si>
  <si>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</si>
  <si>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</si>
  <si>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</si>
  <si>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</si>
  <si>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</si>
  <si>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</si>
  <si>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</si>
  <si>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</si>
  <si>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</si>
  <si>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Points 2025</t>
  </si>
  <si>
    <r>
      <t xml:space="preserve">P1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2024</t>
    </r>
  </si>
  <si>
    <t>P1       UMG OPEN 2025</t>
  </si>
  <si>
    <t>P1        GAU
JTTA Open  2025</t>
  </si>
  <si>
    <t>P2           WC         CT Open 2025</t>
  </si>
  <si>
    <t>P1         KZN  Open   2024</t>
  </si>
  <si>
    <t>P1           KZN  Open   2024</t>
  </si>
  <si>
    <t>UNDER 15 BOYS</t>
  </si>
  <si>
    <t>UNDER 13 GIRLS SINGLES</t>
  </si>
  <si>
    <t>UNDER 19 GIRLS SINGLES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</si>
  <si>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</si>
  <si>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</si>
  <si>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</si>
  <si>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</si>
  <si>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</si>
  <si>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</si>
  <si>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</si>
  <si>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</si>
  <si>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</si>
  <si>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</si>
  <si>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</si>
  <si>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</si>
  <si>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</si>
  <si>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</si>
  <si>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</si>
  <si>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</si>
  <si>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</si>
  <si>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</si>
  <si>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</si>
  <si>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</si>
  <si>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</si>
  <si>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</si>
  <si>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</si>
  <si>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</si>
  <si>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</si>
  <si>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</si>
  <si>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</si>
  <si>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</si>
  <si>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</si>
  <si>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</si>
  <si>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</si>
  <si>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</si>
  <si>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</si>
  <si>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</si>
  <si>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</si>
  <si>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</si>
  <si>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</si>
  <si>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</si>
  <si>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</si>
  <si>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</si>
  <si>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</si>
  <si>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</si>
  <si>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</si>
  <si>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</si>
  <si>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</si>
  <si>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</si>
  <si>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</si>
  <si>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</si>
  <si>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</si>
  <si>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</si>
  <si>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</si>
  <si>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</si>
  <si>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</si>
  <si>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</si>
  <si>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</si>
  <si>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01       TITANS OPEN 2025</t>
  </si>
  <si>
    <t>Titans</t>
  </si>
  <si>
    <t>Seth Samuel</t>
  </si>
  <si>
    <t>Depesh Bhoola</t>
  </si>
  <si>
    <t>Smangele Khoza</t>
  </si>
  <si>
    <t>O1         TITANS   Open   2025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</si>
  <si>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</si>
  <si>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</si>
  <si>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</si>
  <si>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</si>
  <si>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</si>
  <si>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</si>
  <si>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</si>
  <si>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</si>
  <si>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</si>
  <si>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</si>
  <si>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</si>
  <si>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</si>
  <si>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</si>
  <si>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</si>
  <si>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01         TITANS  Open   2025</t>
  </si>
  <si>
    <t>Sivarna Sivnannan</t>
  </si>
  <si>
    <t>Serante Naipal</t>
  </si>
  <si>
    <t>Tarini Pillay</t>
  </si>
  <si>
    <t>Olwethu Njemla</t>
  </si>
  <si>
    <t>Veya Pillay</t>
  </si>
  <si>
    <t>Prajna Bhugwandeen</t>
  </si>
  <si>
    <t>Saihurie Pillay</t>
  </si>
  <si>
    <t>01           TITANS  Open   2025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</si>
  <si>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</si>
  <si>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</si>
  <si>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</si>
  <si>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</si>
  <si>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</si>
  <si>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</si>
  <si>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</si>
  <si>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</si>
  <si>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</si>
  <si>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</si>
  <si>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</si>
  <si>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</si>
  <si>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</si>
  <si>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</si>
  <si>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</si>
  <si>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</si>
  <si>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</si>
  <si>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</si>
  <si>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</si>
  <si>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</si>
  <si>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</si>
  <si>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</si>
  <si>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</si>
  <si>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</si>
  <si>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</si>
  <si>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</si>
  <si>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</si>
  <si>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</si>
  <si>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</si>
  <si>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</si>
  <si>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</si>
  <si>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</si>
  <si>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</si>
  <si>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</si>
  <si>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</si>
  <si>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</si>
  <si>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</si>
  <si>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</si>
  <si>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</si>
  <si>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</si>
  <si>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</si>
  <si>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Liam van Kralingen</t>
  </si>
  <si>
    <t>Shabbir Chohan</t>
  </si>
  <si>
    <t>01          TITANS Open   2025</t>
  </si>
  <si>
    <t>PARBHOODEEN Akshara Gemma</t>
  </si>
  <si>
    <t>PARBHOODEEN Tarika Amber</t>
  </si>
  <si>
    <t>Nevadya Rampersad</t>
  </si>
  <si>
    <t>01         TITANS Open   2025</t>
  </si>
  <si>
    <t>Jiya Naidoo</t>
  </si>
  <si>
    <t>Leranya Govender</t>
  </si>
  <si>
    <t>Aadilah Chohan</t>
  </si>
  <si>
    <t>Hassanah Arbee</t>
  </si>
  <si>
    <t>O1         TITANS  Open   2025</t>
  </si>
  <si>
    <t>01 TITANS            Open   2025</t>
  </si>
  <si>
    <t>Kee'ana Pillay</t>
  </si>
  <si>
    <t>Ameera Chohan</t>
  </si>
  <si>
    <t>Arya Singh</t>
  </si>
  <si>
    <t>Tamicah Nudlall</t>
  </si>
  <si>
    <t>Amanda Ramchurran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</si>
  <si>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</si>
  <si>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</si>
  <si>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</si>
  <si>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</si>
  <si>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</si>
  <si>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</si>
  <si>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</si>
  <si>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</si>
  <si>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</si>
  <si>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</si>
  <si>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</si>
  <si>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</si>
  <si>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</si>
  <si>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</si>
  <si>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</si>
  <si>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</si>
  <si>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</si>
  <si>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</si>
  <si>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</si>
  <si>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</si>
  <si>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</si>
  <si>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</si>
  <si>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</si>
  <si>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UNDER 15 GIRLS</t>
  </si>
  <si>
    <t>`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</si>
  <si>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</si>
  <si>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</si>
  <si>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</si>
  <si>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</si>
  <si>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</si>
  <si>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</si>
  <si>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</si>
  <si>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</si>
  <si>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</si>
  <si>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</si>
  <si>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</si>
  <si>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</si>
  <si>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1979</t>
  </si>
  <si>
    <t>1980</t>
  </si>
  <si>
    <t>1990</t>
  </si>
  <si>
    <t>Konrad Markus</t>
  </si>
  <si>
    <t>Gilchrist Matt</t>
  </si>
  <si>
    <t>Haslam Philip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</si>
  <si>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</si>
  <si>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</si>
  <si>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</si>
  <si>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</si>
  <si>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</si>
  <si>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</si>
  <si>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</si>
  <si>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</si>
  <si>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</si>
  <si>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Ebrahim Shuaib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</si>
  <si>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</si>
  <si>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</si>
  <si>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</si>
  <si>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</si>
  <si>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</si>
  <si>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</si>
  <si>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</si>
  <si>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</si>
  <si>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</si>
  <si>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</si>
  <si>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</si>
  <si>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</si>
  <si>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</si>
  <si>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</si>
  <si>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</si>
  <si>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</si>
  <si>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</si>
  <si>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</si>
  <si>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</si>
  <si>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</si>
  <si>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</si>
  <si>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</si>
  <si>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</si>
  <si>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</si>
  <si>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</si>
  <si>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>CMCTTC</t>
  </si>
  <si>
    <t xml:space="preserve">JTTA </t>
  </si>
  <si>
    <t xml:space="preserve">NJTTAOBO N. </t>
  </si>
  <si>
    <t>NJTTAobo Smangele</t>
  </si>
  <si>
    <t>NJTTAOBO Mpilwenhle</t>
  </si>
  <si>
    <t>NJTTAOBO Anele Fezile</t>
  </si>
  <si>
    <t>P 2      JTTA   OPEN 2025</t>
  </si>
  <si>
    <t>UNDER 13 BOYS SINGLES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</si>
  <si>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</si>
  <si>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</si>
  <si>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</si>
  <si>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</si>
  <si>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</si>
  <si>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</si>
  <si>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T Sehantle </t>
  </si>
  <si>
    <t xml:space="preserve">S Nklaone </t>
  </si>
  <si>
    <t xml:space="preserve">O Matekane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</si>
  <si>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</si>
  <si>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</si>
  <si>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</si>
  <si>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</si>
  <si>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T Lichaba </t>
  </si>
  <si>
    <t xml:space="preserve">J van Jaarsveldt </t>
  </si>
  <si>
    <t>G Stone</t>
  </si>
  <si>
    <t xml:space="preserve">Mnikelo Dry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</si>
  <si>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</si>
  <si>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</si>
  <si>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</si>
  <si>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</si>
  <si>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</si>
  <si>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</si>
  <si>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</si>
  <si>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</si>
  <si>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</si>
  <si>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</si>
  <si>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</si>
  <si>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</si>
  <si>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</si>
  <si>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</si>
  <si>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</si>
  <si>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</si>
  <si>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</si>
  <si>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</si>
  <si>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</si>
  <si>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</si>
  <si>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</si>
  <si>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</si>
  <si>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</si>
  <si>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</si>
  <si>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</si>
  <si>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 xml:space="preserve">Nokubonga Mabaso (FS) </t>
  </si>
  <si>
    <t xml:space="preserve">R Zangele (FS) </t>
  </si>
  <si>
    <t xml:space="preserve">R Molisenyane (FS) </t>
  </si>
  <si>
    <t>01 CMCTTC      OPEN 2025</t>
  </si>
  <si>
    <t>01       CMCTTC OPEN 2025</t>
  </si>
  <si>
    <t>O1         CMCTTC   Open   2025</t>
  </si>
  <si>
    <t>01   CMCTTC        Open   2025</t>
  </si>
  <si>
    <t>01         CMCTTC Open   2025</t>
  </si>
  <si>
    <t>01     CMCTTC       Open     2025</t>
  </si>
  <si>
    <t>01         CMCTTCOpen   2025</t>
  </si>
  <si>
    <t>01 CMCTTC            Open   2025</t>
  </si>
  <si>
    <t xml:space="preserve">Omphile Tsoai </t>
  </si>
  <si>
    <t>O1         CMCTTC  Open   2025</t>
  </si>
  <si>
    <t>HUI Zhibo</t>
  </si>
  <si>
    <t>KATA Jacob</t>
  </si>
  <si>
    <t>MAKHALEMA Aaron</t>
  </si>
  <si>
    <t>NXUMALO Gift</t>
  </si>
  <si>
    <t>NYAMATE Manqoba</t>
  </si>
  <si>
    <t>SHANGASE Fundo</t>
  </si>
  <si>
    <t>ZULU Awande</t>
  </si>
  <si>
    <t>HLATSHWAYO Gift</t>
  </si>
  <si>
    <t>Mamolatuli Mpesi</t>
  </si>
  <si>
    <t>Nthabiseng Thabethe</t>
  </si>
  <si>
    <t>Rethabile Modisenyane</t>
  </si>
  <si>
    <t>Lesego Malgas</t>
  </si>
  <si>
    <t>Siviwe Gwebani</t>
  </si>
  <si>
    <t>Mandimphiwe Magushana</t>
  </si>
  <si>
    <t>Sphelele Jojisa</t>
  </si>
  <si>
    <t>Paseka Sakoame</t>
  </si>
  <si>
    <t>Sakhe Matanzima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</si>
  <si>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</si>
  <si>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</si>
  <si>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</si>
  <si>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</si>
  <si>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</si>
  <si>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</si>
  <si>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Samantha Utabwarova</t>
  </si>
  <si>
    <t>DEVCHAND Himal</t>
  </si>
  <si>
    <t>01         EDDELS Open   2025</t>
  </si>
  <si>
    <t>NGIDI Lubanzi</t>
  </si>
  <si>
    <t>SITHOLE Lisakhanya</t>
  </si>
  <si>
    <t>01         EDDELS  Open   2025</t>
  </si>
  <si>
    <t>P2        GAU
JTTA Open  2025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</si>
  <si>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</si>
  <si>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</si>
  <si>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</si>
  <si>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</si>
  <si>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</si>
  <si>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</si>
  <si>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</si>
  <si>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</si>
  <si>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</si>
  <si>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</si>
  <si>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</si>
  <si>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</si>
  <si>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</si>
  <si>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</si>
  <si>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</si>
  <si>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</si>
  <si>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</si>
  <si>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</si>
  <si>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</si>
  <si>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</si>
  <si>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</si>
  <si>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</si>
  <si>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</si>
  <si>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</si>
  <si>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</si>
  <si>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</si>
  <si>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</si>
  <si>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</si>
  <si>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</si>
  <si>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</si>
  <si>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</si>
  <si>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</si>
  <si>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</si>
  <si>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</si>
  <si>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</si>
  <si>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</si>
  <si>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</si>
  <si>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</si>
  <si>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</si>
  <si>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</si>
  <si>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</si>
  <si>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</si>
  <si>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</si>
  <si>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</si>
  <si>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</si>
  <si>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</si>
  <si>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</si>
  <si>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</si>
  <si>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</si>
  <si>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</si>
  <si>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</si>
  <si>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</si>
  <si>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</si>
  <si>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</si>
  <si>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</si>
  <si>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</si>
  <si>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</si>
  <si>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</si>
  <si>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</si>
  <si>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</si>
  <si>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</si>
  <si>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</si>
  <si>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</si>
  <si>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</si>
  <si>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</si>
  <si>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</si>
  <si>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</si>
  <si>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</si>
  <si>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</si>
  <si>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</si>
  <si>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</si>
  <si>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</si>
  <si>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</si>
  <si>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</si>
  <si>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</si>
  <si>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</si>
  <si>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</si>
  <si>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</si>
  <si>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</si>
  <si>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01          EDDELS  Open   2025</t>
  </si>
  <si>
    <t>DZANIBE Khethukuthula</t>
  </si>
  <si>
    <t>MOODLEY Yadarshan</t>
  </si>
  <si>
    <t>HANUMAN Aryan</t>
  </si>
  <si>
    <t>SEWLALL Jatin</t>
  </si>
  <si>
    <t>BAGIRATHI Advay</t>
  </si>
  <si>
    <t>BAIJNATH Aditi</t>
  </si>
  <si>
    <t>BAIJNATH Preeti</t>
  </si>
  <si>
    <t xml:space="preserve">NAIDOO Shreya </t>
  </si>
  <si>
    <t>01         EDELLS  Open   2025</t>
  </si>
  <si>
    <t>NAIR Shaylin</t>
  </si>
  <si>
    <t>01       EDDELS OPEN 2025</t>
  </si>
  <si>
    <t>HARRY PARSAD Nimmi</t>
  </si>
  <si>
    <t>REDDY Thiyen</t>
  </si>
  <si>
    <t>NAIR Alyssa</t>
  </si>
  <si>
    <t>01       EDDELS  OPEN 2025</t>
  </si>
  <si>
    <t>MATHABELA Mxolisi</t>
  </si>
  <si>
    <t>QADIR Abdul  Mohamed</t>
  </si>
  <si>
    <t>MANIKUM Jayabalan(UMG)</t>
  </si>
  <si>
    <t>BIPATH Ritesh</t>
  </si>
  <si>
    <t>Jawaad EBRAHIM</t>
  </si>
  <si>
    <t>Faheem ESSOP</t>
  </si>
  <si>
    <t>Antony BULLEN</t>
  </si>
  <si>
    <t>Mohamed MANSOOR</t>
  </si>
  <si>
    <t>OTHER</t>
  </si>
  <si>
    <t>Arrie WEILBACH</t>
  </si>
  <si>
    <t xml:space="preserve"> MOGATUSI Nhlanhla</t>
  </si>
  <si>
    <t>Itumeleng SILOKO</t>
  </si>
  <si>
    <t>Siphosethu VINQISHE</t>
  </si>
  <si>
    <t>Paseka SAKOAME</t>
  </si>
  <si>
    <t>Noah MANGANYI</t>
  </si>
  <si>
    <t>Hloniphile MANQANE</t>
  </si>
  <si>
    <t>Ayanda MPOFU</t>
  </si>
  <si>
    <t xml:space="preserve"> MOLEFE Lesedi</t>
  </si>
  <si>
    <t>HLASA Jafta</t>
  </si>
  <si>
    <t>ASULIN Ori</t>
  </si>
  <si>
    <t xml:space="preserve">KARTHIK Dhaarmic </t>
  </si>
  <si>
    <t>NKELE Boitlamo</t>
  </si>
  <si>
    <t>Boitumelo PHELEU</t>
  </si>
  <si>
    <t>Tinashe DZVAKA</t>
  </si>
  <si>
    <t>ASULIN  Shachar</t>
  </si>
  <si>
    <t xml:space="preserve">MOHAMED Sudais </t>
  </si>
  <si>
    <t>RANGATA Terriwoki</t>
  </si>
  <si>
    <t xml:space="preserve"> DAVID Carol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</si>
  <si>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</si>
  <si>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</si>
  <si>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</si>
  <si>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</si>
  <si>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</si>
  <si>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</si>
  <si>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</si>
  <si>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</si>
  <si>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</si>
  <si>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</si>
  <si>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</si>
  <si>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NED</t>
  </si>
  <si>
    <t>MNTAMBO Lunga</t>
  </si>
  <si>
    <t>MAOME Reitumetse</t>
  </si>
  <si>
    <t xml:space="preserve"> SEKIKE Pusetso</t>
  </si>
  <si>
    <t xml:space="preserve">EDDELS OPEN </t>
  </si>
  <si>
    <t>MTTC</t>
  </si>
  <si>
    <t>LEKALAKALA Motshele</t>
  </si>
  <si>
    <t>01        MCTTC
 Open  2025</t>
  </si>
  <si>
    <t>P2        
JTTA  Open  2025</t>
  </si>
  <si>
    <t>O1     MCTTC       Open     2025</t>
  </si>
  <si>
    <t>P1               WC             CT Open    2025</t>
  </si>
  <si>
    <t>P1           WC         CT Open 2025</t>
  </si>
  <si>
    <t>P2           GAU         JTTA Open 2025</t>
  </si>
  <si>
    <t>MUNILALL Ruvash</t>
  </si>
  <si>
    <t>JANGBADUR Nitasha</t>
  </si>
  <si>
    <t>P3</t>
  </si>
  <si>
    <t>Central Gauteng/ JTTA</t>
  </si>
  <si>
    <t xml:space="preserve">P1/DOWN </t>
  </si>
  <si>
    <t xml:space="preserve">Idris Abrahams </t>
  </si>
  <si>
    <t xml:space="preserve">PETOVSKY Pavol Usman </t>
  </si>
  <si>
    <t>O1           MTTC          Open 2025</t>
  </si>
  <si>
    <t>01           MTTC          Open 2025</t>
  </si>
  <si>
    <t xml:space="preserve">O1  tournaments can be  at any time in any region/province </t>
  </si>
  <si>
    <t>O2 tournaments can not be held by a club that host a O1 tournament in the same year</t>
  </si>
  <si>
    <t xml:space="preserve">All P1 tournament dates will be given at the SA's AGM or a 3 notice month period, include Prospectus ,Aplication including  Any Referee that is on the SATTB List </t>
  </si>
  <si>
    <t>Change of Venue will only be allowed 14 days before the event</t>
  </si>
  <si>
    <t xml:space="preserve">All Tournaments will get the correct clearances from local munisipaleties </t>
  </si>
  <si>
    <t xml:space="preserve">National Ranking List will be published at the beginning of each month </t>
  </si>
  <si>
    <t>All Masters, Para will use the National Masters and Para Ranking list , will be clasified a developmental ( Receive Full Points)</t>
  </si>
  <si>
    <t xml:space="preserve">ALL results must  be in on the 15th of each month  </t>
  </si>
  <si>
    <t>P2        
JTTA Open  2025</t>
  </si>
  <si>
    <t>O1          MTTC          Open 2025</t>
  </si>
  <si>
    <t>MIROSLAV Joe</t>
  </si>
  <si>
    <t>MEYERSON Benji</t>
  </si>
  <si>
    <t>FC Bezuidenhout</t>
  </si>
  <si>
    <t>Aaron Green</t>
  </si>
  <si>
    <t>Letlotlo Rabeleng</t>
  </si>
  <si>
    <t>01     MTTC OPEN     2025</t>
  </si>
  <si>
    <t>O1         MTTC   Open   2025</t>
  </si>
  <si>
    <t>Nkululeko Zikalala</t>
  </si>
  <si>
    <r>
      <rPr>
        <b/>
        <sz val="11"/>
        <color rgb="FFFF0000"/>
        <rFont val="Calibri"/>
        <family val="2"/>
        <scheme val="minor"/>
      </rPr>
      <t>A2</t>
    </r>
    <r>
      <rPr>
        <sz val="11"/>
        <color rgb="FFFF0000"/>
        <rFont val="Calibri"/>
        <family val="2"/>
        <scheme val="minor"/>
      </rPr>
      <t xml:space="preserve">        SA Provincials</t>
    </r>
  </si>
  <si>
    <t>ZIDE Iminam</t>
  </si>
  <si>
    <t>VISSER William</t>
  </si>
  <si>
    <t>KIM Aaron</t>
  </si>
  <si>
    <t>PIETERSE Thys</t>
  </si>
  <si>
    <t>GOTORA Samuel</t>
  </si>
  <si>
    <t>OLVIER Jan Daniel</t>
  </si>
  <si>
    <t>A. DLAMNI</t>
  </si>
  <si>
    <t>C.DEGERSIGNY</t>
  </si>
  <si>
    <t>L.MSOMI</t>
  </si>
  <si>
    <t>N.MTHIMKHULU</t>
  </si>
  <si>
    <t>HLOPE Banele</t>
  </si>
  <si>
    <t>MAMBA Nqubeko</t>
  </si>
  <si>
    <t>M. DZANiBE</t>
  </si>
  <si>
    <t>MLABA Lwandle</t>
  </si>
  <si>
    <t>N. KHOTSENI</t>
  </si>
  <si>
    <t>L. DLAMINI</t>
  </si>
  <si>
    <t>K. NGAZI</t>
  </si>
  <si>
    <t>W. SIBISI</t>
  </si>
  <si>
    <t>S. MOLEFE</t>
  </si>
  <si>
    <t>RAZ Mohamed</t>
  </si>
  <si>
    <r>
      <t xml:space="preserve">P1         UMG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2025</t>
    </r>
  </si>
  <si>
    <t>UMG OPEN</t>
  </si>
  <si>
    <t>T. DE CHARMAY</t>
  </si>
  <si>
    <t>D. DRYDEN</t>
  </si>
  <si>
    <t>B. WORRALL</t>
  </si>
  <si>
    <t>MODIBA Katlego</t>
  </si>
  <si>
    <t>SIBIYA Samkelo</t>
  </si>
  <si>
    <t>BOTA Tshepo</t>
  </si>
  <si>
    <t>Siphelele BOOIE</t>
  </si>
  <si>
    <t>Damiani MABASO</t>
  </si>
  <si>
    <t>Japhta HLAHA</t>
  </si>
  <si>
    <t>MOHANLAL Narisha</t>
  </si>
  <si>
    <t>DLAMINI Snqobile</t>
  </si>
  <si>
    <t>ZUL</t>
  </si>
  <si>
    <t>BULL .H</t>
  </si>
  <si>
    <t>STUBBS .F</t>
  </si>
  <si>
    <t>SEFUME .H</t>
  </si>
  <si>
    <t>MADONDO .A</t>
  </si>
  <si>
    <t>MAKHATHINI .L</t>
  </si>
  <si>
    <t>WEBSTER .A</t>
  </si>
  <si>
    <t>MC DONGH .K</t>
  </si>
  <si>
    <t>ZONDI .K</t>
  </si>
  <si>
    <t>WEST .E</t>
  </si>
  <si>
    <t>HOUGHTON B</t>
  </si>
  <si>
    <t>JELF. L</t>
  </si>
  <si>
    <t>Nsindiso ZONDI</t>
  </si>
  <si>
    <t>Siyamthanda MPULA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</si>
  <si>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</si>
  <si>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</si>
  <si>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</si>
  <si>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</si>
  <si>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</si>
  <si>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</si>
  <si>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</si>
  <si>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</si>
  <si>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</si>
  <si>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</si>
  <si>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</si>
  <si>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</si>
  <si>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</si>
  <si>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</si>
  <si>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</si>
  <si>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>PILLAY Gavin</t>
  </si>
  <si>
    <t>SISHI Yamkela</t>
  </si>
  <si>
    <t>01       MTTC OPEN 2025</t>
  </si>
  <si>
    <t>MENS SINGLES</t>
  </si>
  <si>
    <t>WOMEN SINGLES</t>
  </si>
  <si>
    <t>ALL MALE PLAYERS</t>
  </si>
  <si>
    <t xml:space="preserve">ALL FEMALE PLAYERS </t>
  </si>
  <si>
    <t>AJIBADE Sunday</t>
  </si>
  <si>
    <t>MUDASHIRA AKEEM</t>
  </si>
  <si>
    <t>KHAN Ameer</t>
  </si>
  <si>
    <t>01 EKU            Open   2025</t>
  </si>
  <si>
    <t>01           EKU         Open 2025</t>
  </si>
  <si>
    <t>O1           EKU         Open 2025</t>
  </si>
  <si>
    <t>01            EKU       Open     2025</t>
  </si>
  <si>
    <t>MPOSULABongani</t>
  </si>
  <si>
    <t>O1         EKU   Open   2025</t>
  </si>
  <si>
    <t>01       EKU   OPEN 2025</t>
  </si>
  <si>
    <t>01         EKU    OPEN 2025</t>
  </si>
  <si>
    <t>Sello SITHOLE</t>
  </si>
  <si>
    <t>GOVENDER Trent Cassidy</t>
  </si>
  <si>
    <t>LOCKNAT Narisha</t>
  </si>
  <si>
    <t>SURNAME &amp; Name</t>
  </si>
  <si>
    <t>01            SP SAINTS            Open   2025</t>
  </si>
  <si>
    <t>O1           SP SAINTS  Open   2025</t>
  </si>
  <si>
    <t>SMITH Willow</t>
  </si>
  <si>
    <t>SP SAINTS</t>
  </si>
  <si>
    <t>01  SP SAINTS        Open   2025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</si>
  <si>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</si>
  <si>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</si>
  <si>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</si>
  <si>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</si>
  <si>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</si>
  <si>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</si>
  <si>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</si>
  <si>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</si>
  <si>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 xml:space="preserve">ZAROOZNY Remy 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</si>
  <si>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</si>
  <si>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</si>
  <si>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</si>
  <si>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</si>
  <si>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</si>
  <si>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</si>
  <si>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</si>
  <si>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</si>
  <si>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</si>
  <si>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</si>
  <si>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</si>
  <si>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</si>
  <si>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</si>
  <si>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</si>
  <si>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</si>
  <si>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 xml:space="preserve">RAFUBE William </t>
  </si>
  <si>
    <t>OLIVIER Danie</t>
  </si>
  <si>
    <t xml:space="preserve">LINGERVELDT Caitlin </t>
  </si>
  <si>
    <t>STALLERNBERG Katleho</t>
  </si>
  <si>
    <t>STALLERNBERG Oratilwe</t>
  </si>
  <si>
    <t xml:space="preserve"> LEPHEANAReamogetswe</t>
  </si>
  <si>
    <t>Sipho NKHOANE</t>
  </si>
  <si>
    <t>Sechaba MOKOENA</t>
  </si>
  <si>
    <t>Karabo MOALUS</t>
  </si>
  <si>
    <t>Mpho MOKHUAMATHE</t>
  </si>
  <si>
    <t>Carline RAUTENBACH</t>
  </si>
  <si>
    <t>Thabeka NTSOLLOANE</t>
  </si>
  <si>
    <t>Lehohonolo NOVEMBER</t>
  </si>
  <si>
    <t>Shiraaz MOOSA</t>
  </si>
  <si>
    <t>Letshego PHEKONYANE</t>
  </si>
  <si>
    <t>Carla LATEGAN</t>
  </si>
  <si>
    <t>Lisbi LATEGAN</t>
  </si>
  <si>
    <t>Lehlohonolo NKHOTLE</t>
  </si>
  <si>
    <t>Johnson CHUO</t>
  </si>
  <si>
    <t>NAIDOO Isabella Rose</t>
  </si>
  <si>
    <t>BENJAMIN Vanessa</t>
  </si>
  <si>
    <t>BADAT Naseema</t>
  </si>
  <si>
    <t>MADAREE Devika</t>
  </si>
  <si>
    <t>CALLEAR Diana</t>
  </si>
  <si>
    <t>EVANS Jenny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</si>
  <si>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</si>
  <si>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</si>
  <si>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</si>
  <si>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</si>
  <si>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</si>
  <si>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</si>
  <si>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</si>
  <si>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</si>
  <si>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</si>
  <si>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</si>
  <si>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</si>
  <si>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</si>
  <si>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</si>
  <si>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</si>
  <si>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</si>
  <si>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P2          FS    Open   2025</t>
  </si>
  <si>
    <t>01           SP SAINTS Open   2025</t>
  </si>
  <si>
    <t>P2           Duine fontein Open   2025</t>
  </si>
  <si>
    <t xml:space="preserve">MARAIS Tayla </t>
  </si>
  <si>
    <t xml:space="preserve">OLIVIER Jaydin </t>
  </si>
  <si>
    <t xml:space="preserve">ADAMS Darawees </t>
  </si>
  <si>
    <t>01      
SP SAINTS  Open    2025</t>
  </si>
  <si>
    <t xml:space="preserve">JANSEN Juwayden </t>
  </si>
  <si>
    <t xml:space="preserve">IDAS Shabier </t>
  </si>
  <si>
    <t xml:space="preserve">ISMAIL Abdul </t>
  </si>
  <si>
    <t>Carrington Tatenda Nourumba</t>
  </si>
  <si>
    <t>Kundai Oswald Goremushandu</t>
  </si>
  <si>
    <t>kelvin Zvikomborero Maposa</t>
  </si>
  <si>
    <t>Prencely Israel Gweru</t>
  </si>
  <si>
    <t>Emmanuel Tichiwangani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</si>
  <si>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</si>
  <si>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</si>
  <si>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</si>
  <si>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</si>
  <si>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</si>
  <si>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</si>
  <si>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</si>
  <si>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</si>
  <si>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</si>
  <si>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</si>
  <si>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</si>
  <si>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</si>
  <si>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</si>
  <si>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</si>
  <si>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 xml:space="preserve">MADIVATinotenda Michael </t>
  </si>
  <si>
    <t>MADORO Trust</t>
  </si>
  <si>
    <t xml:space="preserve">PLASH Plan </t>
  </si>
  <si>
    <t>01           SP SAINTS
 Open  2025</t>
  </si>
  <si>
    <t>VD SCHYFF Layla</t>
  </si>
  <si>
    <t>JONES Andrew</t>
  </si>
  <si>
    <t>NKOSANA Mbulelo</t>
  </si>
  <si>
    <t>PHOOFOLO Lebogang</t>
  </si>
  <si>
    <t>MUTLANYANE Abel</t>
  </si>
  <si>
    <t>KHOALI Tiisetso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</si>
  <si>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</si>
  <si>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</si>
  <si>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</si>
  <si>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</si>
  <si>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</si>
  <si>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</si>
  <si>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FS OPEN</t>
  </si>
  <si>
    <t>P2      FSTTF OPEN 2025</t>
  </si>
  <si>
    <t>P2       FSTTF OPEN 2025</t>
  </si>
  <si>
    <t>Kristi LATEGAN</t>
  </si>
  <si>
    <t>P2         FSTTF  Open   2025</t>
  </si>
  <si>
    <t>Katleho STALLERNBERG</t>
  </si>
  <si>
    <t>Reamogetswe LEPHEANA</t>
  </si>
  <si>
    <t>Oratilwe STALLERNBERG</t>
  </si>
  <si>
    <t>Karabo MOALUSI</t>
  </si>
  <si>
    <t xml:space="preserve">OSMAN Muhummed </t>
  </si>
  <si>
    <t xml:space="preserve">NKHOANE Kamohelo </t>
  </si>
  <si>
    <t>NKHOANE NKHOANE</t>
  </si>
  <si>
    <t>MOKHELE Mohau</t>
  </si>
  <si>
    <t>P2     FSTTF            Open   2025</t>
  </si>
  <si>
    <t>P2          FSTTF Open   2025</t>
  </si>
  <si>
    <t>P2           FSTTF  Open    2025</t>
  </si>
  <si>
    <t>P2     FSTTF OPEN     2025</t>
  </si>
  <si>
    <t>P2         FSTTF   Open   2025</t>
  </si>
  <si>
    <t>01         GALAXY Open   2025</t>
  </si>
  <si>
    <t xml:space="preserve">MACHI Bongisipho </t>
  </si>
  <si>
    <t xml:space="preserve">RAJCOOMAR Sairah </t>
  </si>
  <si>
    <t xml:space="preserve">BHENGU Sinakho </t>
  </si>
  <si>
    <t xml:space="preserve">PILLAY Joshua </t>
  </si>
  <si>
    <t>01       GALAXY  Open   2025</t>
  </si>
  <si>
    <t xml:space="preserve">KADOO Arya </t>
  </si>
  <si>
    <t xml:space="preserve">MGENGE Sphephelo </t>
  </si>
  <si>
    <t xml:space="preserve">NGEWU Samkelo </t>
  </si>
  <si>
    <t>01         GALAXY  Open   2025</t>
  </si>
  <si>
    <t>01    GALAXY        Open   2025</t>
  </si>
  <si>
    <t xml:space="preserve"> 01 GALAXY OPEN 2025</t>
  </si>
  <si>
    <t>NJEMLA MBATHA Olwethu</t>
  </si>
  <si>
    <t xml:space="preserve">RAJCOOMAR Kairan </t>
  </si>
  <si>
    <t xml:space="preserve">RAJCOOMAR Kailin </t>
  </si>
  <si>
    <t xml:space="preserve">REDDY Jasmine </t>
  </si>
  <si>
    <t>GALAXY OPEN</t>
  </si>
  <si>
    <t>MADIWA Michael Tinotenda</t>
  </si>
  <si>
    <t>CHITAMBO Tapuwa</t>
  </si>
  <si>
    <t>MUSIWACHO Solomon Chipo</t>
  </si>
  <si>
    <t>MAKUVAZA Vimbai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</si>
  <si>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</si>
  <si>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</si>
  <si>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</si>
  <si>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</si>
  <si>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</si>
  <si>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</si>
  <si>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</si>
  <si>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</si>
  <si>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</si>
  <si>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>MGAPEOLO Onkgwele</t>
  </si>
  <si>
    <t>TSHABALALA Asemahle</t>
  </si>
  <si>
    <t>KONRAD Kya</t>
  </si>
  <si>
    <t>EBRHAIM Nasreen</t>
  </si>
  <si>
    <t>KHAN Diyanah Bibi</t>
  </si>
  <si>
    <t xml:space="preserve">GUNPUTH Santosh </t>
  </si>
  <si>
    <t>ETTA OPEN</t>
  </si>
  <si>
    <t>ETTK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</si>
  <si>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</si>
  <si>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</si>
  <si>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</si>
  <si>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</si>
  <si>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</si>
  <si>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</si>
  <si>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</si>
  <si>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</si>
  <si>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>P2         ETTA Open   2025</t>
  </si>
  <si>
    <t xml:space="preserve">MUSINGUZI Shivan </t>
  </si>
  <si>
    <t>P2       ETTA  Open   2025</t>
  </si>
  <si>
    <t>01       ETTA  Open   2025</t>
  </si>
  <si>
    <t>01          ETTA    Open     2025</t>
  </si>
  <si>
    <t>P2         ETTA  Open   2025</t>
  </si>
  <si>
    <t>P2      ETTA        Open   2025</t>
  </si>
  <si>
    <t>P2         ETTA   Open   2025</t>
  </si>
  <si>
    <t xml:space="preserve"> P2      ETTA OPEN 2025</t>
  </si>
  <si>
    <t>SEKETE Nthabeleng</t>
  </si>
  <si>
    <t>LEHIHI Olerato</t>
  </si>
  <si>
    <t xml:space="preserve">MTHWA Jacob </t>
  </si>
  <si>
    <t xml:space="preserve">STANDER Arren </t>
  </si>
  <si>
    <t xml:space="preserve">CASSIEM Umr </t>
  </si>
  <si>
    <t xml:space="preserve">MANUEL Abdullah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</si>
  <si>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</si>
  <si>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</si>
  <si>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</si>
  <si>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</si>
  <si>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</si>
  <si>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</si>
  <si>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</si>
  <si>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</si>
  <si>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</si>
  <si>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ENOUS Yaseen </t>
  </si>
  <si>
    <t xml:space="preserve">CARESLSE Tyrone </t>
  </si>
  <si>
    <t xml:space="preserve">BAKU Yantle </t>
  </si>
  <si>
    <t xml:space="preserve">DANIELS Joshua </t>
  </si>
  <si>
    <t xml:space="preserve">MENTOOR Nahum </t>
  </si>
  <si>
    <t xml:space="preserve">WILLIAMS Fayaaz </t>
  </si>
  <si>
    <t xml:space="preserve">SASMAN Abu Bakr </t>
  </si>
  <si>
    <t xml:space="preserve">ISAACS Niyaaz </t>
  </si>
  <si>
    <t xml:space="preserve">MOHAMED Sofian </t>
  </si>
  <si>
    <t xml:space="preserve">HARTLE Jared </t>
  </si>
  <si>
    <t xml:space="preserve">SIVAK Zakariya </t>
  </si>
  <si>
    <t xml:space="preserve">PRICE Hayden </t>
  </si>
  <si>
    <t xml:space="preserve">ISMAIL Abdul Qadir </t>
  </si>
  <si>
    <t xml:space="preserve">KENNY Saalih </t>
  </si>
  <si>
    <t xml:space="preserve">CT </t>
  </si>
  <si>
    <t xml:space="preserve">AWOOD Cole </t>
  </si>
  <si>
    <t xml:space="preserve">ABRAHAMS Saeed </t>
  </si>
  <si>
    <t xml:space="preserve">HOFFMAN Luizin </t>
  </si>
  <si>
    <t xml:space="preserve">ADAMS Liam </t>
  </si>
  <si>
    <t xml:space="preserve">SLIEDRECHT Kal-El 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</si>
  <si>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</si>
  <si>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</si>
  <si>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</si>
  <si>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</si>
  <si>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</si>
  <si>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</si>
  <si>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</si>
  <si>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</si>
  <si>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 xml:space="preserve">VILLET Troy </t>
  </si>
  <si>
    <t xml:space="preserve">DAVIDS Rukaya </t>
  </si>
  <si>
    <t xml:space="preserve">DE BRUYN Mishkah </t>
  </si>
  <si>
    <t xml:space="preserve">LALLO Azalea </t>
  </si>
  <si>
    <t xml:space="preserve">JOSEPHS Grace 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</si>
  <si>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</si>
  <si>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</si>
  <si>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</si>
  <si>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</si>
  <si>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</si>
  <si>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</si>
  <si>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</si>
  <si>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</si>
  <si>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</si>
  <si>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</si>
  <si>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</si>
  <si>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</si>
  <si>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</si>
  <si>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</si>
  <si>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</si>
  <si>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</si>
  <si>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 xml:space="preserve">P1      CAPE TOWN OPEN 2025 </t>
  </si>
  <si>
    <t xml:space="preserve">                                                                                                                       </t>
  </si>
  <si>
    <t>CJ VERSTER</t>
  </si>
  <si>
    <t>P3           GNTTB          Open 2025</t>
  </si>
  <si>
    <t>P3                    GNTTB Open             2025</t>
  </si>
  <si>
    <t>Leche VERSTER</t>
  </si>
  <si>
    <t>P3         GNTTB          Open 2025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</si>
  <si>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</si>
  <si>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</si>
  <si>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</si>
  <si>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</si>
  <si>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</si>
  <si>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</si>
  <si>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</si>
  <si>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</si>
  <si>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</si>
  <si>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</si>
  <si>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</si>
  <si>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Annika STANDER</t>
  </si>
  <si>
    <t>Brandon RWATIRERA</t>
  </si>
  <si>
    <t>Thapelo RAMPOU</t>
  </si>
  <si>
    <t>Ovie POTOKRI</t>
  </si>
  <si>
    <t>P3      GNTTB       Open     2025</t>
  </si>
  <si>
    <t>P3         GNTTB OPEN     2025</t>
  </si>
  <si>
    <t>01        JOBURG OPEN     2025</t>
  </si>
  <si>
    <t>P3         GNTTB  Open   2025</t>
  </si>
  <si>
    <t>Franco PRETORIUS</t>
  </si>
  <si>
    <t>Franco VAN STADEN</t>
  </si>
  <si>
    <t>Leanu LOTZ</t>
  </si>
  <si>
    <t>Prince MABENA</t>
  </si>
  <si>
    <t>Rickus CONRADIE</t>
  </si>
  <si>
    <t>P3       GNTTB OPEN 2025</t>
  </si>
  <si>
    <t>Vusi PHOKOMPE</t>
  </si>
  <si>
    <t xml:space="preserve">MADIKIZA Lucky </t>
  </si>
  <si>
    <t>Isaac MOKOENA</t>
  </si>
  <si>
    <t xml:space="preserve">FOSTER Jim </t>
  </si>
  <si>
    <t xml:space="preserve">GOOVINDOOSAMY Kadin </t>
  </si>
  <si>
    <t>Men's</t>
  </si>
  <si>
    <t>2002</t>
  </si>
  <si>
    <t>OLANIPEKUN Olusegun</t>
  </si>
  <si>
    <t xml:space="preserve">OOSTHUIZEN Marius </t>
  </si>
  <si>
    <t xml:space="preserve">GN </t>
  </si>
  <si>
    <t>GN OPEN</t>
  </si>
  <si>
    <t>P2       JTTA   OPEN 2025</t>
  </si>
  <si>
    <t>P3    GNTTB   OPEN 2025</t>
  </si>
  <si>
    <t>01     MTTC   OPEN 2025</t>
  </si>
  <si>
    <t>P1, P2 and P3 tournament will rotate to different regions in your province every year (e.g. P1 GC 2016, NG 2017 and EG 2018)</t>
  </si>
  <si>
    <t>O2 tournaments can only be held once in a region</t>
  </si>
  <si>
    <t>All P1 tournament dates will be given at the SA's AGM failure to do this the province forfeits the P1 rated tournament</t>
  </si>
  <si>
    <t xml:space="preserve">O1  tournaments can be applied for only once in a year by a club in a region  </t>
  </si>
  <si>
    <t>Any Tournament  eg. O1,O2,P1,P2 and P3 mixing genders wil be halfed</t>
  </si>
  <si>
    <t xml:space="preserve">No CROSS BOARDER TOURNAMENT ALLOWED as from 01/06/2025 withour the permission of the SATTB </t>
  </si>
  <si>
    <t>ALL Under11's will be clasified as a Development Age group( Receive full points )</t>
  </si>
  <si>
    <t>ABRAHAMS Asher Eli</t>
  </si>
  <si>
    <t xml:space="preserve">NMB (results received late )Tournament date 7/8 Sept2024 received results 24 Oct 2024 </t>
  </si>
  <si>
    <t>No Results entered for NMB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</si>
  <si>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</si>
  <si>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</si>
  <si>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</si>
  <si>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</si>
  <si>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</si>
  <si>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</si>
  <si>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</si>
  <si>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</si>
  <si>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</si>
  <si>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</si>
  <si>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</si>
  <si>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</si>
  <si>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</si>
  <si>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</si>
  <si>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</si>
  <si>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</si>
  <si>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</si>
  <si>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</si>
  <si>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</si>
  <si>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</si>
  <si>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</si>
  <si>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</si>
  <si>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</si>
  <si>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</si>
  <si>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</si>
  <si>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</si>
  <si>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</si>
  <si>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</si>
  <si>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</si>
  <si>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</si>
  <si>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</si>
  <si>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</si>
  <si>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</si>
  <si>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</si>
  <si>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</si>
  <si>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</si>
  <si>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</si>
  <si>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</si>
  <si>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</si>
  <si>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</si>
  <si>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</si>
  <si>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</si>
  <si>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</si>
  <si>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</si>
  <si>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</si>
  <si>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VAN ROOYEN Lavinia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</si>
  <si>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</si>
  <si>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</si>
  <si>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</si>
  <si>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</si>
  <si>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</si>
  <si>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</si>
  <si>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</si>
  <si>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</si>
  <si>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</si>
  <si>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</si>
  <si>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</si>
  <si>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</si>
  <si>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</si>
  <si>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</si>
  <si>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</si>
  <si>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</si>
  <si>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</si>
  <si>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</si>
  <si>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</si>
  <si>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</si>
  <si>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</si>
  <si>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</si>
  <si>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</si>
  <si>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</si>
  <si>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</si>
  <si>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</si>
  <si>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 xml:space="preserve">MOGALE  Junior </t>
  </si>
  <si>
    <t>MOKWANA  Reabetswe</t>
  </si>
  <si>
    <t>VENTER Leche</t>
  </si>
  <si>
    <t>U11</t>
  </si>
  <si>
    <t>VENTER CJ</t>
  </si>
  <si>
    <t>MCKENZIE Nathan Robert</t>
  </si>
  <si>
    <t>VAN STADEN Franco</t>
  </si>
  <si>
    <t>EDWARDS Shameel</t>
  </si>
  <si>
    <t xml:space="preserve">SINGH Vikram </t>
  </si>
  <si>
    <t xml:space="preserve"> FAMBIRA Tinotenda Walter</t>
  </si>
  <si>
    <t>MUMVUMA Tatenda Walter</t>
  </si>
  <si>
    <t xml:space="preserve">MWATSIKA Propheser </t>
  </si>
  <si>
    <t>STRYDOM  Le Roux</t>
  </si>
  <si>
    <t>7000_IU</t>
  </si>
  <si>
    <t>CARVALHO Evandro</t>
  </si>
  <si>
    <t>ADDO Theophilus </t>
  </si>
  <si>
    <t>RAUTENBACH Carline </t>
  </si>
  <si>
    <t>STANDER Annika </t>
  </si>
  <si>
    <t>NEL Niqita </t>
  </si>
  <si>
    <t>ROUX Allyssa </t>
  </si>
  <si>
    <t>MOHATLI  Mapiti</t>
  </si>
  <si>
    <t>RAMOCHEKI Dimpho</t>
  </si>
  <si>
    <t>MADUMELA Ndango</t>
  </si>
  <si>
    <t xml:space="preserve">MAATJI Ernest </t>
  </si>
  <si>
    <t xml:space="preserve">LIM </t>
  </si>
  <si>
    <t>MASHANGWANE Harry Lesetja</t>
  </si>
  <si>
    <t>PAKO Nanana Ruben</t>
  </si>
  <si>
    <t>7001_C</t>
  </si>
  <si>
    <t>7002_C</t>
  </si>
  <si>
    <t>7003_C</t>
  </si>
  <si>
    <t>10000_C</t>
  </si>
  <si>
    <t>DZIVHUHO Olga</t>
  </si>
  <si>
    <t>NAIDOO Deanne</t>
  </si>
  <si>
    <t>GANIE Ashraf</t>
  </si>
  <si>
    <t>OSMAN Faheem Cassim</t>
  </si>
  <si>
    <t>TABA Sibahle</t>
  </si>
  <si>
    <t>ZUNGU Nontobeko</t>
  </si>
  <si>
    <t>KRIEL Keathon</t>
  </si>
  <si>
    <t xml:space="preserve">ARRIES Ethan </t>
  </si>
  <si>
    <t>JANSEN Aiden</t>
  </si>
  <si>
    <t>JANSEN Mateo</t>
  </si>
  <si>
    <t>GOVINDER Saranon</t>
  </si>
  <si>
    <t>MOODLEY Philo</t>
  </si>
  <si>
    <t>MUDIE Andrew</t>
  </si>
  <si>
    <t>7004_C</t>
  </si>
  <si>
    <t>7005_C</t>
  </si>
  <si>
    <t>KHAN Muhammad</t>
  </si>
  <si>
    <t>7006_U</t>
  </si>
  <si>
    <t>7007_M</t>
  </si>
  <si>
    <t>7008_M</t>
  </si>
  <si>
    <t>CHETTY Neshalin</t>
  </si>
  <si>
    <t>NTOMBELA Ayanda</t>
  </si>
  <si>
    <t>SIVNANNAN Nishana</t>
  </si>
  <si>
    <t>ELLEPENN Kamani</t>
  </si>
  <si>
    <t>10001_M</t>
  </si>
  <si>
    <t>10003_M</t>
  </si>
  <si>
    <t>PILLAY Vaneshrie</t>
  </si>
  <si>
    <t>MABOYA  Wanga</t>
  </si>
  <si>
    <t>7011_C</t>
  </si>
  <si>
    <t>7010_C</t>
  </si>
  <si>
    <t>FORTUIN Alanzo</t>
  </si>
  <si>
    <t>HENDRICKS Haygen</t>
  </si>
  <si>
    <t xml:space="preserve">MACHELM Elricho </t>
  </si>
  <si>
    <t xml:space="preserve">CAROLUS Kyle </t>
  </si>
  <si>
    <t>DRRSMTTA</t>
  </si>
  <si>
    <t>DRKKTTA</t>
  </si>
  <si>
    <t>NMMTTA</t>
  </si>
  <si>
    <t>BOJTTA</t>
  </si>
  <si>
    <t>TEMOGO LEKGOTLE</t>
  </si>
  <si>
    <t>THAPELO MAFULAKO</t>
  </si>
  <si>
    <t>LAPOLOGANG MORAKE</t>
  </si>
  <si>
    <t xml:space="preserve">LUKHELE Rebecca </t>
  </si>
  <si>
    <t>Zoleka Nthaudi</t>
  </si>
  <si>
    <t>Lerato Tsotetsi</t>
  </si>
  <si>
    <t>Thembi Tibane</t>
  </si>
  <si>
    <t>Phindile Mayapi</t>
  </si>
  <si>
    <t>Mangi Mathebula</t>
  </si>
  <si>
    <t>10008_MC</t>
  </si>
  <si>
    <t>7012_C</t>
  </si>
  <si>
    <t>7013_C</t>
  </si>
  <si>
    <t>7014_C</t>
  </si>
  <si>
    <t>7015_C</t>
  </si>
  <si>
    <t>7016_C</t>
  </si>
  <si>
    <t>7009_U</t>
  </si>
  <si>
    <t>Paseka Mavimbela</t>
  </si>
  <si>
    <t>Honey Mchunu</t>
  </si>
  <si>
    <t>Mokete Letele</t>
  </si>
  <si>
    <t xml:space="preserve"> Thapelo Motaung</t>
  </si>
  <si>
    <t>Thami Mthombeni</t>
  </si>
  <si>
    <t>VAN AS Tarren</t>
  </si>
  <si>
    <t>VENTER  Jada</t>
  </si>
  <si>
    <t xml:space="preserve">SHORTLES Eli </t>
  </si>
  <si>
    <t xml:space="preserve"> PARBHOO Gitesh</t>
  </si>
  <si>
    <t xml:space="preserve">SKIPPERS Chris-Will </t>
  </si>
  <si>
    <t>NAIDOO Xavien</t>
  </si>
  <si>
    <t>STEYN Fransisco</t>
  </si>
  <si>
    <t>10002_M</t>
  </si>
  <si>
    <t>10004_M</t>
  </si>
  <si>
    <t>10005_M</t>
  </si>
  <si>
    <t>10006_M</t>
  </si>
  <si>
    <t>10007_U</t>
  </si>
  <si>
    <t>10009_MC</t>
  </si>
  <si>
    <t>10010_MC</t>
  </si>
  <si>
    <t>10011_MC</t>
  </si>
  <si>
    <t>10012_MC</t>
  </si>
  <si>
    <t>10013_M</t>
  </si>
  <si>
    <t>O1          SP SAINTS
 Open  2025</t>
  </si>
  <si>
    <t>P1          WC         CT Open 2025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</si>
  <si>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</si>
  <si>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</si>
  <si>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</si>
  <si>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</si>
  <si>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</si>
  <si>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</si>
  <si>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</si>
  <si>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</si>
  <si>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</si>
  <si>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</si>
  <si>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</si>
  <si>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</si>
  <si>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</si>
  <si>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</si>
  <si>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</si>
  <si>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</si>
  <si>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</si>
  <si>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</si>
  <si>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</si>
  <si>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</si>
  <si>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</si>
  <si>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</si>
  <si>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</si>
  <si>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</si>
  <si>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</si>
  <si>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MTHIMKHULU Nelisiwe </t>
  </si>
  <si>
    <t xml:space="preserve">RADIPERE CONTANCE Pitse </t>
  </si>
  <si>
    <t>CHONGO  Zilpha</t>
  </si>
  <si>
    <t xml:space="preserve"> SEBETLELA Agobakwe</t>
  </si>
  <si>
    <t>NNGELEKE simangaliso</t>
  </si>
  <si>
    <t>Illembe</t>
  </si>
  <si>
    <t>BATSHOLENG Shephanie</t>
  </si>
  <si>
    <t>MOGALADI Briana</t>
  </si>
  <si>
    <t>U15</t>
  </si>
  <si>
    <t>BUISANYANG Sethunya</t>
  </si>
  <si>
    <t>Thembeka GOSO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</si>
  <si>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</si>
  <si>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</si>
  <si>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</si>
  <si>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</si>
  <si>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</si>
  <si>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</si>
  <si>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MOTLHABANE Masa</t>
  </si>
  <si>
    <t>Mpumelelo MAPHANGA</t>
  </si>
  <si>
    <t>SALOMANE Boitumelo</t>
  </si>
  <si>
    <t>DISIPI Kutlwano</t>
  </si>
  <si>
    <t xml:space="preserve"> NORONGO Ludwe</t>
  </si>
  <si>
    <t>Nonthandokhazi XULU</t>
  </si>
  <si>
    <t>Nomvelo NDLOVU</t>
  </si>
  <si>
    <t>A1           NAT         SA Open 2025</t>
  </si>
  <si>
    <t>DUINERFONTEIN ( MISSING INFO) no Resuls entered</t>
  </si>
  <si>
    <t>TAMPE Kobamelo</t>
  </si>
  <si>
    <t>A1      NAT       SA Open   2025</t>
  </si>
  <si>
    <t>TSIAKABOT Gabriella</t>
  </si>
  <si>
    <t>A1         NAT       SA Open   2025</t>
  </si>
  <si>
    <t>Laaibah KHAN</t>
  </si>
  <si>
    <t>Aphiwe MAKHUBU</t>
  </si>
  <si>
    <t>A1       NAT       SA    OPEN     2025</t>
  </si>
  <si>
    <t>Aariya MASSALLIA</t>
  </si>
  <si>
    <t>Carlynne KROUTZ</t>
  </si>
  <si>
    <t>P2           GAU         JTTA Open 2026</t>
  </si>
  <si>
    <t>MTHEMBU Junior</t>
  </si>
  <si>
    <t>THEBEYAME Kgotla</t>
  </si>
  <si>
    <t>U19</t>
  </si>
  <si>
    <t>NGOBESE Luyanda</t>
  </si>
  <si>
    <t>A1           NAT         SA  Open 2025</t>
  </si>
  <si>
    <t>LEEUW Mbulelo</t>
  </si>
  <si>
    <t>LEHETLA Boitumelo</t>
  </si>
  <si>
    <t>A1           NAT           SA Open     2025</t>
  </si>
  <si>
    <t>MITCHELL Zach</t>
  </si>
  <si>
    <t xml:space="preserve">MDEBUKA Nhlanhla </t>
  </si>
  <si>
    <t>A1       NAT      SA Open   2025</t>
  </si>
  <si>
    <t>KOTOPO Tebogo</t>
  </si>
  <si>
    <t>THWALA Slyabonga</t>
  </si>
  <si>
    <t>A1       NAT        SA OPEN 2025</t>
  </si>
  <si>
    <t>A1     NAT      SA   OPEN 2025</t>
  </si>
  <si>
    <t>RAMASAMY Nikhil</t>
  </si>
  <si>
    <t>RAMASAMY Mikhael</t>
  </si>
  <si>
    <t>ROCKMAN Tiago</t>
  </si>
  <si>
    <t xml:space="preserve"> GOLIATH Rowan</t>
  </si>
  <si>
    <t>O'BRIAN Zachron</t>
  </si>
  <si>
    <t>JERLING Deandre</t>
  </si>
  <si>
    <t>U13</t>
  </si>
  <si>
    <t/>
  </si>
  <si>
    <t>2000</t>
  </si>
  <si>
    <t xml:space="preserve">ESSAY Muhammed </t>
  </si>
  <si>
    <t>ALAKHRAS Adam</t>
  </si>
  <si>
    <t>ALQUDAH Malek</t>
  </si>
  <si>
    <t>MAHLALO Eric</t>
  </si>
  <si>
    <t>VAN EYK Wynand</t>
  </si>
  <si>
    <t>PUKA Buhle</t>
  </si>
  <si>
    <t>TROMP Megan</t>
  </si>
  <si>
    <t>JONAS Luthando</t>
  </si>
  <si>
    <t>SIYO Aphelele</t>
  </si>
  <si>
    <t>MADVISI Akhona</t>
  </si>
  <si>
    <t>MFO Myolisi</t>
  </si>
  <si>
    <t>ISAAC Kabelo</t>
  </si>
  <si>
    <t>JALI Ntokoze</t>
  </si>
  <si>
    <t>MADIKIZELA Onamanla</t>
  </si>
  <si>
    <t>MHLANGA Neliseka</t>
  </si>
  <si>
    <t xml:space="preserve"> EC</t>
  </si>
  <si>
    <t>VELERO Thuli</t>
  </si>
  <si>
    <t>HEAVEL Riley</t>
  </si>
  <si>
    <t>ROCKMAN Caliyah</t>
  </si>
  <si>
    <t>PATEL Owais</t>
  </si>
  <si>
    <t>COOK Matthew Mak</t>
  </si>
  <si>
    <t>BRANDON Faghrie</t>
  </si>
  <si>
    <t>GERTZE Zanick</t>
  </si>
  <si>
    <t>O'BRIEN Zachron</t>
  </si>
  <si>
    <t xml:space="preserve">MADUNGOZI Ahluma </t>
  </si>
  <si>
    <t>RUITERS Jerenza</t>
  </si>
  <si>
    <t>PRINCE Zaine</t>
  </si>
  <si>
    <t>BASI Liyabona</t>
  </si>
  <si>
    <t>RAUBENHEIMER Mereldiah</t>
  </si>
  <si>
    <t>YONA Tammy-Lee</t>
  </si>
  <si>
    <t>MASCHAKA Geneve</t>
  </si>
  <si>
    <t>O1           NMB          Open 2025</t>
  </si>
  <si>
    <t>EASTERN CAPE</t>
  </si>
  <si>
    <t>BUFFOLO CITY</t>
  </si>
  <si>
    <t>OR TAMBO</t>
  </si>
  <si>
    <t>SARAH BAARTMAN</t>
  </si>
  <si>
    <t>JOE GQABI</t>
  </si>
  <si>
    <t>AMATHOLE</t>
  </si>
  <si>
    <t>ALFRED NZO</t>
  </si>
  <si>
    <t>PRETORUIS Tony</t>
  </si>
  <si>
    <t>P1          NMB       Open     2025</t>
  </si>
  <si>
    <t>P1       NMB      Open   2025</t>
  </si>
  <si>
    <t>P1      NMB OPEN     2025</t>
  </si>
  <si>
    <t>P1       NMB OPEN 2025</t>
  </si>
  <si>
    <t>P1    NMB      OPEN 2025</t>
  </si>
  <si>
    <t xml:space="preserve">NMB  </t>
  </si>
  <si>
    <t>2         CMCTTCOpen   2025</t>
  </si>
  <si>
    <t>GUMEDE Okwethu</t>
  </si>
  <si>
    <t>SINGH Mungal Keshav</t>
  </si>
  <si>
    <t>RAFUBE William</t>
  </si>
  <si>
    <t xml:space="preserve"> DAMBE Agcoba</t>
  </si>
  <si>
    <t>MKOKO Langelihe</t>
  </si>
  <si>
    <t>BYROO .T</t>
  </si>
  <si>
    <t>ISAACS Moegamad Roesdien</t>
  </si>
  <si>
    <t>Points 2026</t>
  </si>
  <si>
    <t xml:space="preserve">P2    CAPE TOWN OPEN 2026 </t>
  </si>
  <si>
    <t xml:space="preserve">P2      CAPE TOWN OPEN 2026 </t>
  </si>
  <si>
    <t>P2         WC    Open 2026</t>
  </si>
  <si>
    <t>P1         UMG  Open   2025</t>
  </si>
  <si>
    <t>P1           WC         CT Open 20252</t>
  </si>
  <si>
    <t>P2           WC         CT Open 2026</t>
  </si>
  <si>
    <t>P1           UMG  Open   2025</t>
  </si>
  <si>
    <t>P1         UMG Open   2025</t>
  </si>
  <si>
    <t>P2           WC           CT Open   2026</t>
  </si>
  <si>
    <t>P1                   CT   Open 20252</t>
  </si>
  <si>
    <t>P2       WC                   CT   Open 2026</t>
  </si>
  <si>
    <t>P2         WC     Open   2026</t>
  </si>
  <si>
    <t>P2                           CT Open    2026</t>
  </si>
  <si>
    <t>P1         UMG  Open   20252</t>
  </si>
  <si>
    <t>O1      TITANS OPEN 2026</t>
  </si>
  <si>
    <t>O1       GALAXY OPEN 2026</t>
  </si>
  <si>
    <t>O1 TITANS OPEN 2026</t>
  </si>
  <si>
    <t>O1 TITANS Open 2026</t>
  </si>
  <si>
    <t>CHOHAN Abdullah</t>
  </si>
  <si>
    <t>REDDY Samuel</t>
  </si>
  <si>
    <t>BRIGRAJ Tyriq</t>
  </si>
  <si>
    <t>SUBBIAH Keivaan</t>
  </si>
  <si>
    <t>ARBEE Ahmed</t>
  </si>
  <si>
    <t>ALI Shameel</t>
  </si>
  <si>
    <t>REDDY Rylan</t>
  </si>
  <si>
    <t>PADAYACHEE Taariq</t>
  </si>
  <si>
    <t>CAYDON Brigraj</t>
  </si>
  <si>
    <t>TAYLIN Naipal</t>
  </si>
  <si>
    <t>ALI Ahmed</t>
  </si>
  <si>
    <t>ARBEE Muhammad Moosa</t>
  </si>
  <si>
    <t>RAMPERSAD Deyal</t>
  </si>
  <si>
    <t>MEMON Muhammad</t>
  </si>
  <si>
    <t>INCE Denver</t>
  </si>
  <si>
    <t>RAMPERSAD Akash</t>
  </si>
  <si>
    <t>MANNIKUM Jay</t>
  </si>
  <si>
    <t>INCE Sloan</t>
  </si>
  <si>
    <t xml:space="preserve">KORTJAAS Sisanda Enzokuhle </t>
  </si>
  <si>
    <t>NAIDOO Zyva</t>
  </si>
  <si>
    <t>INCE Skylar</t>
  </si>
  <si>
    <t>METCALF Crispin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</si>
  <si>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</si>
  <si>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</si>
  <si>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</si>
  <si>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</si>
  <si>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</si>
  <si>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</si>
  <si>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TITANS OPEN</t>
  </si>
  <si>
    <t>METCALF Graham</t>
  </si>
  <si>
    <t>NAIDOO Justin</t>
  </si>
  <si>
    <t>NAIDOO Kimiya</t>
  </si>
  <si>
    <t>NAIPAL Rakesh</t>
  </si>
  <si>
    <t>ADMIN</t>
  </si>
  <si>
    <t>KEPPLER CJ</t>
  </si>
  <si>
    <t>MFUNDISI Naledi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</si>
  <si>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</si>
  <si>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</si>
  <si>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</si>
  <si>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</si>
  <si>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</si>
  <si>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</si>
  <si>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</si>
  <si>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</si>
  <si>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</si>
  <si>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</si>
  <si>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</si>
  <si>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</si>
  <si>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</si>
  <si>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>RANCHOD Priya</t>
  </si>
  <si>
    <t>Women</t>
  </si>
  <si>
    <t>O1  ADMIN 2026</t>
  </si>
  <si>
    <t>MAKWAK Joah</t>
  </si>
  <si>
    <t>MAKWAK Jagin</t>
  </si>
  <si>
    <t>VAN SCHAIK Hans</t>
  </si>
  <si>
    <t>FERNOL Giorc</t>
  </si>
  <si>
    <t>KUMALO Adrian</t>
  </si>
  <si>
    <t>VAN NIEKERK Gouws</t>
  </si>
  <si>
    <t>ABRIE Riebenn</t>
  </si>
  <si>
    <t>BARNARD Willem</t>
  </si>
  <si>
    <t>BARNARD Daniel</t>
  </si>
  <si>
    <t>PHILANDERS Oliver</t>
  </si>
  <si>
    <t>DE VILLIERS Cecilia</t>
  </si>
  <si>
    <t>LAMOUNT Caitlyn</t>
  </si>
  <si>
    <t>ABRIE Nicola</t>
  </si>
  <si>
    <t>VAN DYK Zelri</t>
  </si>
  <si>
    <t>CAMPHER Tatum</t>
  </si>
  <si>
    <t>MOJAPELO Onkgwele</t>
  </si>
  <si>
    <t>NEL Isabella</t>
  </si>
  <si>
    <t>SWARTZ Bernard</t>
  </si>
  <si>
    <t>STAFFORD Cuan</t>
  </si>
  <si>
    <t>DHANJEE Ketan</t>
  </si>
  <si>
    <t>GOVIND Mukesh</t>
  </si>
  <si>
    <t>NAIDOO Neil</t>
  </si>
  <si>
    <t>LECLAIRE Olivier</t>
  </si>
  <si>
    <t>MAYIJI Raymond</t>
  </si>
  <si>
    <t>READ Stephen</t>
  </si>
  <si>
    <t>RIVALLE Vincent</t>
  </si>
  <si>
    <t>THAORDAS Dipak</t>
  </si>
  <si>
    <t>DASA Gayaraja</t>
  </si>
  <si>
    <t>MANICUM Marlin</t>
  </si>
  <si>
    <t>SINGH Natesh</t>
  </si>
  <si>
    <t>MORAR Paresh</t>
  </si>
  <si>
    <t>KHAN Sa'ad</t>
  </si>
  <si>
    <t>KASAN Vikash</t>
  </si>
  <si>
    <t>BHIGEE Yusuf</t>
  </si>
  <si>
    <t>BEZUIDENHOUT FC</t>
  </si>
  <si>
    <t>YOSOPOV Jared</t>
  </si>
  <si>
    <t>BHANA AJAY</t>
  </si>
  <si>
    <t>CHMIELOWSKI ANDREI</t>
  </si>
  <si>
    <t>MUHAMEDY HUSSEIN</t>
  </si>
  <si>
    <t>FRANCES LENARD</t>
  </si>
  <si>
    <t>LUPKE Jason</t>
  </si>
  <si>
    <t>XIE Jimmy</t>
  </si>
  <si>
    <t>CHHIBA Shahil</t>
  </si>
  <si>
    <t>KLNAM Desmond</t>
  </si>
  <si>
    <t>MANGALISO Mandulo</t>
  </si>
  <si>
    <t>OLIFANT Tebogo</t>
  </si>
  <si>
    <t>HSU Joseph</t>
  </si>
  <si>
    <t>KRUGER Nicholas</t>
  </si>
  <si>
    <t>PEETE Thato</t>
  </si>
  <si>
    <t>HSU Shaun</t>
  </si>
  <si>
    <t>DE BUCK Jason</t>
  </si>
  <si>
    <t>DE JENGA Onalerone</t>
  </si>
  <si>
    <t>MUTEBI Godfrey</t>
  </si>
  <si>
    <t>MDLULI Simphiwe</t>
  </si>
  <si>
    <t>MFUSI Sihumelele</t>
  </si>
  <si>
    <t>GOLDMAN Aron</t>
  </si>
  <si>
    <t>DIAMOND Ariel</t>
  </si>
  <si>
    <t>TULGARA Darius</t>
  </si>
  <si>
    <t>NAIDOO Jayden</t>
  </si>
  <si>
    <t>POOLE James</t>
  </si>
  <si>
    <t>SANTOS Lucas</t>
  </si>
  <si>
    <t>SMITH Mendy</t>
  </si>
  <si>
    <t>FICHEUX Nathan</t>
  </si>
  <si>
    <t>GOLDMAN Shlomo</t>
  </si>
  <si>
    <t>LETSAPA Nhlonipho</t>
  </si>
  <si>
    <t>RAMATSE Reatlegile</t>
  </si>
  <si>
    <t>RAMATSE Regoratile</t>
  </si>
  <si>
    <t>POSTHUMUS Christian</t>
  </si>
  <si>
    <t>VAN NIEKERK Daniel</t>
  </si>
  <si>
    <t>GROVE Hanco</t>
  </si>
  <si>
    <t>KEET Lian</t>
  </si>
  <si>
    <t>VAN DER MERWE Machnus</t>
  </si>
  <si>
    <t>HENSCHEL Marcus</t>
  </si>
  <si>
    <t>VAN DER MERWE Mateo</t>
  </si>
  <si>
    <t>VAN DER HEEVER Neil</t>
  </si>
  <si>
    <t xml:space="preserve">VAN DER WALT Nickus </t>
  </si>
  <si>
    <t>HENDERSON Ryno</t>
  </si>
  <si>
    <t xml:space="preserve">GWEBANI Siviviwe </t>
  </si>
  <si>
    <t>MAGUSHANA Mandiphiwe</t>
  </si>
  <si>
    <t>6</t>
  </si>
  <si>
    <t>5</t>
  </si>
  <si>
    <t>1992</t>
  </si>
  <si>
    <t>9</t>
  </si>
  <si>
    <t>3</t>
  </si>
  <si>
    <t>1969</t>
  </si>
  <si>
    <t>2</t>
  </si>
  <si>
    <t>1981</t>
  </si>
  <si>
    <t>4</t>
  </si>
  <si>
    <t>1968</t>
  </si>
  <si>
    <t>8</t>
  </si>
  <si>
    <t>1970</t>
  </si>
  <si>
    <t>7</t>
  </si>
  <si>
    <t>1993</t>
  </si>
  <si>
    <t>1974</t>
  </si>
  <si>
    <t>1975</t>
  </si>
  <si>
    <t>1964</t>
  </si>
  <si>
    <t>2005</t>
  </si>
  <si>
    <t>1</t>
  </si>
  <si>
    <t>1971</t>
  </si>
  <si>
    <t>1995</t>
  </si>
  <si>
    <t>1985</t>
  </si>
  <si>
    <t>2006</t>
  </si>
  <si>
    <t>2003</t>
  </si>
  <si>
    <t>2007</t>
  </si>
  <si>
    <t>2014</t>
  </si>
  <si>
    <t>2016</t>
  </si>
  <si>
    <t>MATANZIMA Sakhe</t>
  </si>
  <si>
    <t>LETOANE Lethabo</t>
  </si>
  <si>
    <t>FENI Mthokozisi</t>
  </si>
  <si>
    <t>MKHONDWANE Xolani</t>
  </si>
  <si>
    <t>MOGOROSI Oratile</t>
  </si>
  <si>
    <t>SAKOAME Paseka</t>
  </si>
  <si>
    <t>UTABWAROVA Samantha</t>
  </si>
  <si>
    <t>MOGATUSI Nhlanhla</t>
  </si>
  <si>
    <t>MAGUSHANA Hloniphiwe</t>
  </si>
  <si>
    <t>QUTU Iman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</si>
</sst>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  <numFmt numFmtId="167" formatCode="[Color10]&quot;▲ &quot;#;[Red]&quot;▼ &quot;#;"/>
    <numFmt numFmtId="168" formatCode="#&quot; pts&quot;"/>
  </numFmts>
  <fonts count="1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 Black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6"/>
      <name val="Arial"/>
      <family val="2"/>
    </font>
    <font>
      <b/>
      <sz val="18"/>
      <name val="Arial Black"/>
      <family val="2"/>
    </font>
    <font>
      <b/>
      <sz val="11"/>
      <name val="Calibri"/>
      <family val="2"/>
    </font>
    <font>
      <sz val="20"/>
      <name val="Arial Black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Calibri"/>
      <family val="2"/>
      <scheme val="minor"/>
    </font>
    <font>
      <b/>
      <sz val="16"/>
      <name val="Arial Black"/>
      <family val="2"/>
    </font>
    <font>
      <b/>
      <sz val="14"/>
      <name val="Arial Black"/>
      <family val="2"/>
    </font>
    <font>
      <b/>
      <sz val="16"/>
      <color theme="1"/>
      <name val="Arial Black"/>
      <family val="2"/>
    </font>
    <font>
      <sz val="14"/>
      <color theme="1"/>
      <name val="Arial Black"/>
      <family val="2"/>
    </font>
    <font>
      <sz val="16"/>
      <color theme="1"/>
      <name val="Arial Black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ptos Narrow"/>
      <family val="2"/>
    </font>
    <font>
      <sz val="12"/>
      <color theme="1"/>
      <name val="Aptos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2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6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6"/>
      <color theme="1"/>
      <name val="Calibri"/>
      <family val="2"/>
      <scheme val="minor"/>
    </font>
    <font>
      <sz val="14"/>
      <name val="Arial Black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</font>
    <font>
      <sz val="11"/>
      <name val="Calibri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32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9" fillId="14" borderId="35" applyNumberFormat="0" applyAlignment="0" applyProtection="0"/>
    <xf numFmtId="0" fontId="10" fillId="8" borderId="35" applyNumberFormat="0" applyAlignment="0" applyProtection="0"/>
    <xf numFmtId="0" fontId="13" fillId="5" borderId="0" applyNumberFormat="0" applyBorder="0" applyAlignment="0" applyProtection="0"/>
    <xf numFmtId="0" fontId="9" fillId="14" borderId="35" applyNumberFormat="0" applyAlignment="0" applyProtection="0"/>
    <xf numFmtId="0" fontId="9" fillId="14" borderId="35" applyNumberFormat="0" applyAlignment="0" applyProtection="0"/>
    <xf numFmtId="0" fontId="22" fillId="24" borderId="36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5" applyNumberFormat="0" applyAlignment="0" applyProtection="0"/>
    <xf numFmtId="0" fontId="8" fillId="14" borderId="34" applyNumberFormat="0" applyAlignment="0" applyProtection="0"/>
    <xf numFmtId="0" fontId="13" fillId="5" borderId="0" applyNumberFormat="0" applyBorder="0" applyAlignment="0" applyProtection="0"/>
    <xf numFmtId="0" fontId="10" fillId="8" borderId="35" applyNumberFormat="0" applyAlignment="0" applyProtection="0"/>
    <xf numFmtId="0" fontId="22" fillId="24" borderId="36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5" applyNumberFormat="0" applyAlignment="0" applyProtection="0"/>
    <xf numFmtId="0" fontId="11" fillId="0" borderId="41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37" applyNumberFormat="0" applyFill="0" applyAlignment="0" applyProtection="0"/>
    <xf numFmtId="0" fontId="15" fillId="4" borderId="0" applyNumberFormat="0" applyBorder="0" applyAlignment="0" applyProtection="0"/>
    <xf numFmtId="0" fontId="10" fillId="8" borderId="35" applyNumberFormat="0" applyAlignment="0" applyProtection="0"/>
    <xf numFmtId="0" fontId="3" fillId="9" borderId="42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4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2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2" applyNumberFormat="0" applyFont="0" applyAlignment="0" applyProtection="0"/>
    <xf numFmtId="0" fontId="3" fillId="9" borderId="42" applyNumberFormat="0" applyFont="0" applyAlignment="0" applyProtection="0"/>
    <xf numFmtId="0" fontId="9" fillId="14" borderId="35" applyNumberFormat="0" applyAlignment="0" applyProtection="0"/>
    <xf numFmtId="0" fontId="11" fillId="0" borderId="41" applyNumberFormat="0" applyFill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1" applyNumberFormat="0" applyFill="0" applyAlignment="0" applyProtection="0"/>
    <xf numFmtId="0" fontId="9" fillId="14" borderId="35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1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2" applyNumberFormat="0" applyFont="0" applyAlignment="0" applyProtection="0"/>
    <xf numFmtId="0" fontId="20" fillId="0" borderId="37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6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6" applyNumberFormat="0" applyFon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11" fillId="0" borderId="45" applyNumberFormat="0" applyFill="0" applyAlignment="0" applyProtection="0"/>
    <xf numFmtId="0" fontId="8" fillId="14" borderId="43" applyNumberFormat="0" applyAlignment="0" applyProtection="0"/>
    <xf numFmtId="0" fontId="8" fillId="14" borderId="43" applyNumberForma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3" fillId="9" borderId="46" applyNumberFormat="0" applyFont="0" applyAlignment="0" applyProtection="0"/>
    <xf numFmtId="0" fontId="3" fillId="9" borderId="46" applyNumberFormat="0" applyFont="0" applyAlignment="0" applyProtection="0"/>
    <xf numFmtId="0" fontId="8" fillId="14" borderId="43" applyNumberFormat="0" applyAlignment="0" applyProtection="0"/>
    <xf numFmtId="0" fontId="3" fillId="9" borderId="46" applyNumberFormat="0" applyFont="0" applyAlignment="0" applyProtection="0"/>
    <xf numFmtId="0" fontId="10" fillId="8" borderId="44" applyNumberFormat="0" applyAlignment="0" applyProtection="0"/>
    <xf numFmtId="0" fontId="11" fillId="0" borderId="45" applyNumberFormat="0" applyFill="0" applyAlignment="0" applyProtection="0"/>
    <xf numFmtId="0" fontId="10" fillId="8" borderId="44" applyNumberFormat="0" applyAlignment="0" applyProtection="0"/>
    <xf numFmtId="0" fontId="10" fillId="8" borderId="44" applyNumberFormat="0" applyAlignment="0" applyProtection="0"/>
    <xf numFmtId="0" fontId="8" fillId="14" borderId="43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9" fillId="14" borderId="44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8" fillId="14" borderId="43" applyNumberFormat="0" applyAlignment="0" applyProtection="0"/>
    <xf numFmtId="0" fontId="8" fillId="14" borderId="48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9" fillId="14" borderId="49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8" fillId="14" borderId="48" applyNumberFormat="0" applyAlignment="0" applyProtection="0"/>
    <xf numFmtId="0" fontId="10" fillId="8" borderId="49" applyNumberFormat="0" applyAlignment="0" applyProtection="0"/>
    <xf numFmtId="0" fontId="10" fillId="8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8" fillId="14" borderId="48" applyNumberFormat="0" applyAlignment="0" applyProtection="0"/>
    <xf numFmtId="0" fontId="11" fillId="0" borderId="50" applyNumberFormat="0" applyFill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10" fillId="8" borderId="49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5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347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7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47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47" xfId="0" applyFont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15" fontId="36" fillId="0" borderId="0" xfId="0" applyNumberFormat="1" applyFont="1"/>
    <xf numFmtId="0" fontId="28" fillId="0" borderId="47" xfId="0" applyFont="1" applyBorder="1"/>
    <xf numFmtId="0" fontId="28" fillId="0" borderId="47" xfId="0" applyFont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0" fillId="28" borderId="1" xfId="0" applyFill="1" applyBorder="1"/>
    <xf numFmtId="17" fontId="0" fillId="28" borderId="1" xfId="0" applyNumberFormat="1" applyFill="1" applyBorder="1" applyAlignment="1">
      <alignment horizontal="center"/>
    </xf>
    <xf numFmtId="0" fontId="1" fillId="28" borderId="1" xfId="0" applyFont="1" applyFill="1" applyBorder="1" applyAlignment="1">
      <alignment horizontal="center"/>
    </xf>
    <xf numFmtId="16" fontId="28" fillId="0" borderId="47" xfId="0" applyNumberFormat="1" applyFont="1" applyBorder="1" applyAlignment="1">
      <alignment horizontal="center"/>
    </xf>
    <xf numFmtId="0" fontId="37" fillId="28" borderId="0" xfId="0" applyFont="1" applyFill="1" applyAlignment="1">
      <alignment horizontal="center"/>
    </xf>
    <xf numFmtId="0" fontId="28" fillId="28" borderId="0" xfId="0" applyFont="1" applyFill="1"/>
    <xf numFmtId="0" fontId="28" fillId="28" borderId="0" xfId="0" applyFont="1" applyFill="1" applyAlignment="1">
      <alignment vertical="center"/>
    </xf>
    <xf numFmtId="0" fontId="37" fillId="28" borderId="0" xfId="0" applyFont="1" applyFill="1"/>
    <xf numFmtId="0" fontId="39" fillId="28" borderId="53" xfId="0" applyFont="1" applyFill="1" applyBorder="1" applyAlignment="1">
      <alignment horizontal="center" vertical="center"/>
    </xf>
    <xf numFmtId="0" fontId="37" fillId="28" borderId="47" xfId="0" applyFont="1" applyFill="1" applyBorder="1" applyAlignment="1">
      <alignment horizontal="center" vertical="center"/>
    </xf>
    <xf numFmtId="167" fontId="37" fillId="28" borderId="47" xfId="0" applyNumberFormat="1" applyFont="1" applyFill="1" applyBorder="1" applyAlignment="1">
      <alignment horizontal="left" vertical="center"/>
    </xf>
    <xf numFmtId="0" fontId="43" fillId="28" borderId="47" xfId="0" applyFont="1" applyFill="1" applyBorder="1" applyAlignment="1">
      <alignment horizontal="center" vertical="center"/>
    </xf>
    <xf numFmtId="0" fontId="43" fillId="28" borderId="47" xfId="0" applyFont="1" applyFill="1" applyBorder="1" applyAlignment="1">
      <alignment vertical="center" wrapText="1"/>
    </xf>
    <xf numFmtId="0" fontId="43" fillId="28" borderId="47" xfId="0" applyFont="1" applyFill="1" applyBorder="1" applyAlignment="1">
      <alignment horizontal="left" vertical="center" wrapText="1"/>
    </xf>
    <xf numFmtId="168" fontId="37" fillId="28" borderId="47" xfId="0" applyNumberFormat="1" applyFont="1" applyFill="1" applyBorder="1" applyAlignment="1">
      <alignment horizontal="center" vertical="center"/>
    </xf>
    <xf numFmtId="0" fontId="28" fillId="28" borderId="47" xfId="0" applyFont="1" applyFill="1" applyBorder="1" applyAlignment="1">
      <alignment horizontal="center"/>
    </xf>
    <xf numFmtId="0" fontId="39" fillId="28" borderId="0" xfId="0" applyFont="1" applyFill="1"/>
    <xf numFmtId="0" fontId="45" fillId="28" borderId="0" xfId="0" applyFont="1" applyFill="1"/>
    <xf numFmtId="0" fontId="40" fillId="28" borderId="0" xfId="0" applyFont="1" applyFill="1" applyAlignment="1">
      <alignment vertical="center"/>
    </xf>
    <xf numFmtId="0" fontId="37" fillId="28" borderId="60" xfId="0" applyFont="1" applyFill="1" applyBorder="1" applyAlignment="1">
      <alignment horizontal="center" vertical="center"/>
    </xf>
    <xf numFmtId="0" fontId="43" fillId="28" borderId="60" xfId="0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/>
    </xf>
    <xf numFmtId="0" fontId="28" fillId="28" borderId="0" xfId="0" applyFont="1" applyFill="1" applyAlignment="1">
      <alignment horizontal="center"/>
    </xf>
    <xf numFmtId="0" fontId="28" fillId="28" borderId="0" xfId="0" applyFont="1" applyFill="1" applyAlignment="1">
      <alignment horizontal="left"/>
    </xf>
    <xf numFmtId="0" fontId="43" fillId="28" borderId="47" xfId="0" applyFont="1" applyFill="1" applyBorder="1" applyAlignment="1">
      <alignment horizontal="center" vertical="center" wrapText="1"/>
    </xf>
    <xf numFmtId="167" fontId="37" fillId="28" borderId="47" xfId="0" applyNumberFormat="1" applyFont="1" applyFill="1" applyBorder="1" applyAlignment="1">
      <alignment horizontal="center" vertical="center"/>
    </xf>
    <xf numFmtId="0" fontId="37" fillId="28" borderId="47" xfId="0" applyFont="1" applyFill="1" applyBorder="1"/>
    <xf numFmtId="0" fontId="37" fillId="28" borderId="47" xfId="0" applyFont="1" applyFill="1" applyBorder="1" applyAlignment="1">
      <alignment horizontal="center"/>
    </xf>
    <xf numFmtId="0" fontId="43" fillId="28" borderId="62" xfId="0" applyFont="1" applyFill="1" applyBorder="1" applyAlignment="1">
      <alignment horizontal="center" vertical="center"/>
    </xf>
    <xf numFmtId="0" fontId="43" fillId="28" borderId="0" xfId="0" applyFont="1" applyFill="1"/>
    <xf numFmtId="15" fontId="39" fillId="28" borderId="0" xfId="0" applyNumberFormat="1" applyFont="1" applyFill="1"/>
    <xf numFmtId="0" fontId="43" fillId="28" borderId="0" xfId="0" applyFont="1" applyFill="1" applyAlignment="1">
      <alignment vertical="center"/>
    </xf>
    <xf numFmtId="167" fontId="37" fillId="28" borderId="60" xfId="0" applyNumberFormat="1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 vertical="center"/>
    </xf>
    <xf numFmtId="168" fontId="37" fillId="31" borderId="47" xfId="0" applyNumberFormat="1" applyFont="1" applyFill="1" applyBorder="1" applyAlignment="1">
      <alignment horizontal="center" vertical="center"/>
    </xf>
    <xf numFmtId="0" fontId="37" fillId="28" borderId="0" xfId="0" applyFont="1" applyFill="1" applyAlignment="1">
      <alignment horizontal="center" vertical="center"/>
    </xf>
    <xf numFmtId="167" fontId="37" fillId="28" borderId="0" xfId="0" applyNumberFormat="1" applyFont="1" applyFill="1" applyAlignment="1">
      <alignment horizontal="center" vertical="center"/>
    </xf>
    <xf numFmtId="0" fontId="38" fillId="28" borderId="47" xfId="0" applyFont="1" applyFill="1" applyBorder="1"/>
    <xf numFmtId="0" fontId="43" fillId="28" borderId="47" xfId="0" applyFont="1" applyFill="1" applyBorder="1" applyAlignment="1">
      <alignment horizontal="center"/>
    </xf>
    <xf numFmtId="0" fontId="43" fillId="28" borderId="47" xfId="0" applyFont="1" applyFill="1" applyBorder="1"/>
    <xf numFmtId="0" fontId="43" fillId="28" borderId="47" xfId="0" applyFont="1" applyFill="1" applyBorder="1" applyAlignment="1">
      <alignment vertical="center"/>
    </xf>
    <xf numFmtId="0" fontId="43" fillId="28" borderId="47" xfId="0" applyFont="1" applyFill="1" applyBorder="1" applyAlignment="1">
      <alignment horizontal="left" vertical="center"/>
    </xf>
    <xf numFmtId="15" fontId="39" fillId="28" borderId="47" xfId="0" applyNumberFormat="1" applyFont="1" applyFill="1" applyBorder="1"/>
    <xf numFmtId="0" fontId="48" fillId="28" borderId="47" xfId="0" applyFont="1" applyFill="1" applyBorder="1" applyAlignment="1">
      <alignment vertical="center"/>
    </xf>
    <xf numFmtId="168" fontId="37" fillId="30" borderId="47" xfId="0" applyNumberFormat="1" applyFont="1" applyFill="1" applyBorder="1" applyAlignment="1">
      <alignment horizontal="center" vertical="center"/>
    </xf>
    <xf numFmtId="0" fontId="43" fillId="28" borderId="68" xfId="0" applyFont="1" applyFill="1" applyBorder="1"/>
    <xf numFmtId="0" fontId="43" fillId="28" borderId="60" xfId="0" applyFont="1" applyFill="1" applyBorder="1" applyAlignment="1">
      <alignment horizontal="center"/>
    </xf>
    <xf numFmtId="0" fontId="37" fillId="28" borderId="60" xfId="0" applyFont="1" applyFill="1" applyBorder="1" applyAlignment="1">
      <alignment horizontal="center"/>
    </xf>
    <xf numFmtId="0" fontId="37" fillId="28" borderId="61" xfId="0" applyFont="1" applyFill="1" applyBorder="1" applyAlignment="1">
      <alignment horizontal="center"/>
    </xf>
    <xf numFmtId="0" fontId="43" fillId="28" borderId="0" xfId="0" applyFont="1" applyFill="1" applyAlignment="1">
      <alignment horizontal="left"/>
    </xf>
    <xf numFmtId="0" fontId="42" fillId="30" borderId="53" xfId="0" applyFont="1" applyFill="1" applyBorder="1" applyAlignment="1">
      <alignment horizontal="center" vertical="center" wrapText="1"/>
    </xf>
    <xf numFmtId="0" fontId="42" fillId="30" borderId="53" xfId="0" applyFont="1" applyFill="1" applyBorder="1" applyAlignment="1">
      <alignment vertical="center" wrapText="1"/>
    </xf>
    <xf numFmtId="0" fontId="43" fillId="30" borderId="53" xfId="0" applyFont="1" applyFill="1" applyBorder="1" applyAlignment="1">
      <alignment horizontal="center" vertical="center" wrapText="1"/>
    </xf>
    <xf numFmtId="167" fontId="37" fillId="28" borderId="10" xfId="0" applyNumberFormat="1" applyFont="1" applyFill="1" applyBorder="1" applyAlignment="1">
      <alignment horizontal="left" vertical="center"/>
    </xf>
    <xf numFmtId="0" fontId="43" fillId="28" borderId="10" xfId="0" applyFont="1" applyFill="1" applyBorder="1" applyAlignment="1">
      <alignment horizontal="center" vertical="center"/>
    </xf>
    <xf numFmtId="0" fontId="43" fillId="28" borderId="10" xfId="0" applyFont="1" applyFill="1" applyBorder="1" applyAlignment="1">
      <alignment vertical="center" wrapText="1"/>
    </xf>
    <xf numFmtId="0" fontId="43" fillId="28" borderId="10" xfId="0" applyFont="1" applyFill="1" applyBorder="1" applyAlignment="1">
      <alignment horizontal="left" vertical="center" wrapText="1"/>
    </xf>
    <xf numFmtId="168" fontId="37" fillId="28" borderId="10" xfId="0" applyNumberFormat="1" applyFont="1" applyFill="1" applyBorder="1" applyAlignment="1">
      <alignment horizontal="center" vertical="center"/>
    </xf>
    <xf numFmtId="168" fontId="37" fillId="30" borderId="10" xfId="0" applyNumberFormat="1" applyFont="1" applyFill="1" applyBorder="1" applyAlignment="1">
      <alignment horizontal="center" vertical="center"/>
    </xf>
    <xf numFmtId="167" fontId="37" fillId="28" borderId="10" xfId="0" applyNumberFormat="1" applyFont="1" applyFill="1" applyBorder="1" applyAlignment="1">
      <alignment horizontal="center" vertical="center"/>
    </xf>
    <xf numFmtId="0" fontId="37" fillId="28" borderId="10" xfId="0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horizontal="center" vertical="center"/>
    </xf>
    <xf numFmtId="167" fontId="37" fillId="28" borderId="1" xfId="0" applyNumberFormat="1" applyFont="1" applyFill="1" applyBorder="1" applyAlignment="1">
      <alignment horizontal="center" vertical="center"/>
    </xf>
    <xf numFmtId="168" fontId="37" fillId="28" borderId="1" xfId="0" applyNumberFormat="1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/>
    </xf>
    <xf numFmtId="0" fontId="43" fillId="28" borderId="68" xfId="0" applyFont="1" applyFill="1" applyBorder="1" applyAlignment="1">
      <alignment horizontal="left" vertical="center"/>
    </xf>
    <xf numFmtId="0" fontId="42" fillId="30" borderId="31" xfId="0" applyFont="1" applyFill="1" applyBorder="1" applyAlignment="1">
      <alignment horizontal="center" vertical="center" wrapText="1"/>
    </xf>
    <xf numFmtId="0" fontId="42" fillId="30" borderId="31" xfId="0" applyFont="1" applyFill="1" applyBorder="1" applyAlignment="1">
      <alignment vertical="center" wrapText="1"/>
    </xf>
    <xf numFmtId="0" fontId="42" fillId="30" borderId="31" xfId="0" applyFont="1" applyFill="1" applyBorder="1" applyAlignment="1">
      <alignment horizontal="left" vertical="center" wrapText="1"/>
    </xf>
    <xf numFmtId="0" fontId="43" fillId="30" borderId="31" xfId="0" applyFont="1" applyFill="1" applyBorder="1" applyAlignment="1">
      <alignment horizontal="center" vertical="center" wrapText="1"/>
    </xf>
    <xf numFmtId="0" fontId="43" fillId="28" borderId="1" xfId="0" applyFont="1" applyFill="1" applyBorder="1" applyAlignment="1">
      <alignment horizontal="left" vertical="center"/>
    </xf>
    <xf numFmtId="168" fontId="37" fillId="30" borderId="1" xfId="0" applyNumberFormat="1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vertical="center"/>
    </xf>
    <xf numFmtId="0" fontId="37" fillId="28" borderId="75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horizontal="center" vertical="center"/>
    </xf>
    <xf numFmtId="0" fontId="37" fillId="28" borderId="73" xfId="0" applyFont="1" applyFill="1" applyBorder="1" applyAlignment="1">
      <alignment horizontal="center" vertical="center"/>
    </xf>
    <xf numFmtId="0" fontId="37" fillId="28" borderId="74" xfId="0" applyFont="1" applyFill="1" applyBorder="1" applyAlignment="1">
      <alignment horizontal="center" vertical="center"/>
    </xf>
    <xf numFmtId="167" fontId="37" fillId="28" borderId="74" xfId="0" applyNumberFormat="1" applyFont="1" applyFill="1" applyBorder="1" applyAlignment="1">
      <alignment horizontal="left" vertical="center"/>
    </xf>
    <xf numFmtId="168" fontId="37" fillId="28" borderId="74" xfId="0" applyNumberFormat="1" applyFont="1" applyFill="1" applyBorder="1" applyAlignment="1">
      <alignment horizontal="center" vertical="center"/>
    </xf>
    <xf numFmtId="168" fontId="37" fillId="30" borderId="74" xfId="0" applyNumberFormat="1" applyFont="1" applyFill="1" applyBorder="1" applyAlignment="1">
      <alignment horizontal="center" vertical="center"/>
    </xf>
    <xf numFmtId="0" fontId="43" fillId="28" borderId="74" xfId="0" applyFont="1" applyFill="1" applyBorder="1" applyAlignment="1">
      <alignment horizontal="center" vertical="center"/>
    </xf>
    <xf numFmtId="0" fontId="43" fillId="28" borderId="72" xfId="0" applyFont="1" applyFill="1" applyBorder="1" applyAlignment="1">
      <alignment horizontal="center" vertical="center"/>
    </xf>
    <xf numFmtId="0" fontId="43" fillId="28" borderId="73" xfId="0" applyFont="1" applyFill="1" applyBorder="1" applyAlignment="1">
      <alignment horizontal="center" vertical="center"/>
    </xf>
    <xf numFmtId="0" fontId="43" fillId="28" borderId="75" xfId="0" applyFont="1" applyFill="1" applyBorder="1" applyAlignment="1">
      <alignment horizontal="center" vertical="center"/>
    </xf>
    <xf numFmtId="0" fontId="30" fillId="28" borderId="1" xfId="0" applyFont="1" applyFill="1" applyBorder="1" applyAlignment="1">
      <alignment horizontal="left" vertical="center" indent="1"/>
    </xf>
    <xf numFmtId="0" fontId="37" fillId="0" borderId="47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 wrapText="1"/>
    </xf>
    <xf numFmtId="0" fontId="37" fillId="0" borderId="60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 wrapText="1"/>
    </xf>
    <xf numFmtId="0" fontId="51" fillId="28" borderId="1" xfId="0" applyFont="1" applyFill="1" applyBorder="1" applyAlignment="1">
      <alignment horizontal="center"/>
    </xf>
    <xf numFmtId="0" fontId="28" fillId="28" borderId="1" xfId="0" applyFont="1" applyFill="1" applyBorder="1"/>
    <xf numFmtId="0" fontId="52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left" vertical="center" indent="1"/>
    </xf>
    <xf numFmtId="0" fontId="30" fillId="28" borderId="1" xfId="0" applyFont="1" applyFill="1" applyBorder="1"/>
    <xf numFmtId="0" fontId="38" fillId="28" borderId="1" xfId="0" applyFont="1" applyFill="1" applyBorder="1" applyAlignment="1">
      <alignment horizontal="center" vertical="center"/>
    </xf>
    <xf numFmtId="0" fontId="42" fillId="30" borderId="1" xfId="0" applyFont="1" applyFill="1" applyBorder="1" applyAlignment="1">
      <alignment horizontal="center" vertical="center" wrapText="1"/>
    </xf>
    <xf numFmtId="167" fontId="37" fillId="28" borderId="1" xfId="0" applyNumberFormat="1" applyFont="1" applyFill="1" applyBorder="1" applyAlignment="1">
      <alignment horizontal="left" vertical="center"/>
    </xf>
    <xf numFmtId="0" fontId="43" fillId="28" borderId="1" xfId="0" applyFont="1" applyFill="1" applyBorder="1" applyAlignment="1">
      <alignment vertical="center" wrapText="1"/>
    </xf>
    <xf numFmtId="0" fontId="37" fillId="28" borderId="76" xfId="0" applyFont="1" applyFill="1" applyBorder="1"/>
    <xf numFmtId="167" fontId="37" fillId="28" borderId="74" xfId="0" applyNumberFormat="1" applyFont="1" applyFill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54" fillId="28" borderId="47" xfId="0" applyFont="1" applyFill="1" applyBorder="1" applyAlignment="1">
      <alignment horizontal="center" vertical="center"/>
    </xf>
    <xf numFmtId="167" fontId="54" fillId="28" borderId="47" xfId="0" applyNumberFormat="1" applyFont="1" applyFill="1" applyBorder="1" applyAlignment="1">
      <alignment horizontal="left" vertical="center"/>
    </xf>
    <xf numFmtId="0" fontId="55" fillId="28" borderId="47" xfId="0" applyFont="1" applyFill="1" applyBorder="1" applyAlignment="1">
      <alignment horizontal="center" vertical="center"/>
    </xf>
    <xf numFmtId="168" fontId="54" fillId="28" borderId="47" xfId="0" applyNumberFormat="1" applyFont="1" applyFill="1" applyBorder="1" applyAlignment="1">
      <alignment horizontal="center" vertical="center"/>
    </xf>
    <xf numFmtId="168" fontId="54" fillId="30" borderId="47" xfId="0" applyNumberFormat="1" applyFont="1" applyFill="1" applyBorder="1" applyAlignment="1">
      <alignment horizontal="center" vertical="center"/>
    </xf>
    <xf numFmtId="167" fontId="54" fillId="28" borderId="47" xfId="0" applyNumberFormat="1" applyFont="1" applyFill="1" applyBorder="1" applyAlignment="1">
      <alignment horizontal="center" vertical="center"/>
    </xf>
    <xf numFmtId="0" fontId="55" fillId="0" borderId="47" xfId="0" applyFont="1" applyBorder="1" applyAlignment="1">
      <alignment horizontal="center" vertical="center"/>
    </xf>
    <xf numFmtId="0" fontId="0" fillId="27" borderId="79" xfId="0" applyFill="1" applyBorder="1"/>
    <xf numFmtId="0" fontId="0" fillId="0" borderId="79" xfId="0" applyBorder="1"/>
    <xf numFmtId="0" fontId="54" fillId="0" borderId="47" xfId="0" applyFont="1" applyBorder="1" applyAlignment="1">
      <alignment horizontal="center" vertical="center"/>
    </xf>
    <xf numFmtId="0" fontId="55" fillId="28" borderId="1" xfId="0" applyFont="1" applyFill="1" applyBorder="1" applyAlignment="1">
      <alignment horizontal="center" vertical="center"/>
    </xf>
    <xf numFmtId="0" fontId="0" fillId="27" borderId="79" xfId="0" applyFill="1" applyBorder="1" applyAlignment="1">
      <alignment horizontal="center"/>
    </xf>
    <xf numFmtId="0" fontId="0" fillId="0" borderId="79" xfId="0" applyBorder="1" applyAlignment="1">
      <alignment horizontal="center"/>
    </xf>
    <xf numFmtId="167" fontId="58" fillId="28" borderId="47" xfId="0" applyNumberFormat="1" applyFont="1" applyFill="1" applyBorder="1" applyAlignment="1">
      <alignment horizontal="center" vertical="center"/>
    </xf>
    <xf numFmtId="0" fontId="59" fillId="28" borderId="47" xfId="0" applyFont="1" applyFill="1" applyBorder="1" applyAlignment="1">
      <alignment horizontal="center" vertical="center"/>
    </xf>
    <xf numFmtId="168" fontId="58" fillId="28" borderId="47" xfId="0" applyNumberFormat="1" applyFont="1" applyFill="1" applyBorder="1" applyAlignment="1">
      <alignment horizontal="center" vertical="center"/>
    </xf>
    <xf numFmtId="0" fontId="58" fillId="28" borderId="60" xfId="0" applyFont="1" applyFill="1" applyBorder="1" applyAlignment="1">
      <alignment horizontal="center" vertical="center"/>
    </xf>
    <xf numFmtId="0" fontId="58" fillId="28" borderId="47" xfId="0" applyFont="1" applyFill="1" applyBorder="1" applyAlignment="1">
      <alignment horizontal="center" vertical="center"/>
    </xf>
    <xf numFmtId="0" fontId="47" fillId="28" borderId="47" xfId="0" applyFont="1" applyFill="1" applyBorder="1" applyAlignment="1">
      <alignment horizontal="center"/>
    </xf>
    <xf numFmtId="0" fontId="59" fillId="0" borderId="47" xfId="0" applyFont="1" applyBorder="1" applyAlignment="1">
      <alignment horizontal="center" vertical="center"/>
    </xf>
    <xf numFmtId="0" fontId="58" fillId="0" borderId="47" xfId="0" applyFont="1" applyBorder="1" applyAlignment="1">
      <alignment horizontal="center" vertical="center"/>
    </xf>
    <xf numFmtId="0" fontId="59" fillId="0" borderId="47" xfId="0" applyFont="1" applyBorder="1" applyAlignment="1">
      <alignment vertical="center" wrapText="1"/>
    </xf>
    <xf numFmtId="0" fontId="59" fillId="0" borderId="47" xfId="0" applyFont="1" applyBorder="1" applyAlignment="1">
      <alignment horizontal="left" vertical="center" wrapText="1"/>
    </xf>
    <xf numFmtId="0" fontId="58" fillId="0" borderId="60" xfId="0" applyFont="1" applyBorder="1" applyAlignment="1">
      <alignment horizontal="center" vertical="center"/>
    </xf>
    <xf numFmtId="0" fontId="43" fillId="31" borderId="31" xfId="0" applyFont="1" applyFill="1" applyBorder="1" applyAlignment="1">
      <alignment horizontal="center" vertical="center" wrapText="1"/>
    </xf>
    <xf numFmtId="0" fontId="37" fillId="0" borderId="73" xfId="0" applyFont="1" applyBorder="1" applyAlignment="1">
      <alignment horizontal="center" vertical="center"/>
    </xf>
    <xf numFmtId="0" fontId="1" fillId="0" borderId="4" xfId="0" applyFont="1" applyBorder="1"/>
    <xf numFmtId="0" fontId="1" fillId="0" borderId="6" xfId="0" applyFont="1" applyBorder="1"/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9" fillId="0" borderId="6" xfId="0" applyFont="1" applyBorder="1"/>
    <xf numFmtId="0" fontId="1" fillId="0" borderId="3" xfId="0" applyFont="1" applyBorder="1"/>
    <xf numFmtId="0" fontId="1" fillId="0" borderId="1" xfId="0" applyFont="1" applyBorder="1"/>
    <xf numFmtId="0" fontId="0" fillId="26" borderId="3" xfId="0" applyFill="1" applyBorder="1"/>
    <xf numFmtId="0" fontId="43" fillId="28" borderId="80" xfId="0" applyFont="1" applyFill="1" applyBorder="1" applyAlignment="1">
      <alignment horizontal="center" vertical="center"/>
    </xf>
    <xf numFmtId="0" fontId="37" fillId="28" borderId="80" xfId="0" applyFont="1" applyFill="1" applyBorder="1" applyAlignment="1">
      <alignment horizontal="center" vertical="center"/>
    </xf>
    <xf numFmtId="167" fontId="37" fillId="28" borderId="80" xfId="0" applyNumberFormat="1" applyFont="1" applyFill="1" applyBorder="1" applyAlignment="1">
      <alignment horizontal="left" vertical="center"/>
    </xf>
    <xf numFmtId="168" fontId="37" fillId="28" borderId="80" xfId="0" applyNumberFormat="1" applyFont="1" applyFill="1" applyBorder="1" applyAlignment="1">
      <alignment horizontal="center" vertical="center"/>
    </xf>
    <xf numFmtId="168" fontId="37" fillId="30" borderId="80" xfId="0" applyNumberFormat="1" applyFont="1" applyFill="1" applyBorder="1" applyAlignment="1">
      <alignment horizontal="center" vertical="center"/>
    </xf>
    <xf numFmtId="168" fontId="58" fillId="30" borderId="47" xfId="0" applyNumberFormat="1" applyFont="1" applyFill="1" applyBorder="1" applyAlignment="1">
      <alignment horizontal="center" vertical="center"/>
    </xf>
    <xf numFmtId="167" fontId="37" fillId="28" borderId="80" xfId="0" applyNumberFormat="1" applyFont="1" applyFill="1" applyBorder="1" applyAlignment="1">
      <alignment horizontal="center" vertical="center"/>
    </xf>
    <xf numFmtId="0" fontId="42" fillId="28" borderId="47" xfId="0" applyFont="1" applyFill="1" applyBorder="1" applyAlignment="1">
      <alignment horizontal="center" vertical="center"/>
    </xf>
    <xf numFmtId="0" fontId="60" fillId="0" borderId="5" xfId="0" applyFont="1" applyBorder="1"/>
    <xf numFmtId="0" fontId="60" fillId="0" borderId="5" xfId="0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4" fillId="0" borderId="4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62" fillId="28" borderId="47" xfId="0" applyFont="1" applyFill="1" applyBorder="1" applyAlignment="1">
      <alignment horizontal="center" vertical="center"/>
    </xf>
    <xf numFmtId="167" fontId="62" fillId="28" borderId="47" xfId="0" applyNumberFormat="1" applyFont="1" applyFill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63" fillId="0" borderId="47" xfId="0" applyFont="1" applyBorder="1" applyAlignment="1">
      <alignment vertical="center" wrapText="1"/>
    </xf>
    <xf numFmtId="168" fontId="62" fillId="28" borderId="47" xfId="0" applyNumberFormat="1" applyFont="1" applyFill="1" applyBorder="1" applyAlignment="1">
      <alignment horizontal="center" vertical="center"/>
    </xf>
    <xf numFmtId="168" fontId="62" fillId="30" borderId="47" xfId="0" applyNumberFormat="1" applyFont="1" applyFill="1" applyBorder="1" applyAlignment="1">
      <alignment horizontal="center" vertical="center"/>
    </xf>
    <xf numFmtId="0" fontId="63" fillId="28" borderId="47" xfId="0" applyFont="1" applyFill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28" fillId="29" borderId="47" xfId="0" applyFont="1" applyFill="1" applyBorder="1" applyAlignment="1">
      <alignment horizontal="center"/>
    </xf>
    <xf numFmtId="0" fontId="30" fillId="28" borderId="47" xfId="0" applyFont="1" applyFill="1" applyBorder="1" applyAlignment="1">
      <alignment horizontal="left" vertical="center" indent="1"/>
    </xf>
    <xf numFmtId="0" fontId="52" fillId="28" borderId="1" xfId="0" applyFont="1" applyFill="1" applyBorder="1" applyAlignment="1">
      <alignment vertical="center"/>
    </xf>
    <xf numFmtId="15" fontId="52" fillId="28" borderId="1" xfId="0" applyNumberFormat="1" applyFont="1" applyFill="1" applyBorder="1" applyAlignment="1">
      <alignment horizontal="center" vertical="center"/>
    </xf>
    <xf numFmtId="0" fontId="53" fillId="30" borderId="1" xfId="0" applyFont="1" applyFill="1" applyBorder="1" applyAlignment="1">
      <alignment horizontal="left" vertical="center" indent="1"/>
    </xf>
    <xf numFmtId="0" fontId="30" fillId="30" borderId="1" xfId="0" applyFont="1" applyFill="1" applyBorder="1" applyAlignment="1">
      <alignment horizontal="left" vertical="center" indent="1"/>
    </xf>
    <xf numFmtId="0" fontId="30" fillId="30" borderId="47" xfId="0" applyFont="1" applyFill="1" applyBorder="1" applyAlignment="1">
      <alignment horizontal="left" vertical="center" indent="1"/>
    </xf>
    <xf numFmtId="0" fontId="28" fillId="30" borderId="1" xfId="0" applyFont="1" applyFill="1" applyBorder="1"/>
    <xf numFmtId="0" fontId="52" fillId="30" borderId="1" xfId="0" applyFont="1" applyFill="1" applyBorder="1" applyAlignment="1">
      <alignment vertical="center"/>
    </xf>
    <xf numFmtId="0" fontId="57" fillId="30" borderId="47" xfId="0" applyFont="1" applyFill="1" applyBorder="1" applyAlignment="1">
      <alignment horizontal="left" vertical="center" indent="1"/>
    </xf>
    <xf numFmtId="0" fontId="30" fillId="30" borderId="47" xfId="0" applyFont="1" applyFill="1" applyBorder="1" applyAlignment="1">
      <alignment horizontal="left" vertical="center" indent="2"/>
    </xf>
    <xf numFmtId="0" fontId="30" fillId="30" borderId="1" xfId="0" applyFont="1" applyFill="1" applyBorder="1" applyAlignment="1">
      <alignment horizontal="left" vertical="center" indent="2"/>
    </xf>
    <xf numFmtId="0" fontId="51" fillId="30" borderId="1" xfId="0" applyFont="1" applyFill="1" applyBorder="1" applyAlignment="1">
      <alignment horizontal="center"/>
    </xf>
    <xf numFmtId="0" fontId="52" fillId="30" borderId="1" xfId="0" applyFont="1" applyFill="1" applyBorder="1" applyAlignment="1">
      <alignment horizontal="center" vertical="center"/>
    </xf>
    <xf numFmtId="0" fontId="0" fillId="28" borderId="0" xfId="0" applyFill="1"/>
    <xf numFmtId="0" fontId="1" fillId="28" borderId="47" xfId="0" applyFont="1" applyFill="1" applyBorder="1" applyAlignment="1">
      <alignment horizontal="center"/>
    </xf>
    <xf numFmtId="0" fontId="40" fillId="28" borderId="20" xfId="0" applyFont="1" applyFill="1" applyBorder="1" applyAlignment="1">
      <alignment vertical="center"/>
    </xf>
    <xf numFmtId="0" fontId="66" fillId="28" borderId="53" xfId="0" applyFont="1" applyFill="1" applyBorder="1" applyAlignment="1">
      <alignment horizontal="center" vertical="center"/>
    </xf>
    <xf numFmtId="0" fontId="42" fillId="30" borderId="80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vertical="center" wrapText="1"/>
    </xf>
    <xf numFmtId="0" fontId="42" fillId="30" borderId="69" xfId="0" applyFont="1" applyFill="1" applyBorder="1" applyAlignment="1">
      <alignment horizontal="left" vertical="center" wrapText="1"/>
    </xf>
    <xf numFmtId="0" fontId="43" fillId="30" borderId="80" xfId="0" applyFont="1" applyFill="1" applyBorder="1" applyAlignment="1">
      <alignment horizontal="center" vertical="center" wrapText="1"/>
    </xf>
    <xf numFmtId="168" fontId="58" fillId="31" borderId="47" xfId="0" applyNumberFormat="1" applyFont="1" applyFill="1" applyBorder="1" applyAlignment="1">
      <alignment horizontal="center" vertical="center"/>
    </xf>
    <xf numFmtId="0" fontId="42" fillId="31" borderId="31" xfId="0" applyFont="1" applyFill="1" applyBorder="1" applyAlignment="1">
      <alignment horizontal="center" vertical="center" wrapText="1"/>
    </xf>
    <xf numFmtId="0" fontId="42" fillId="31" borderId="31" xfId="0" applyFont="1" applyFill="1" applyBorder="1" applyAlignment="1">
      <alignment vertical="center" wrapText="1"/>
    </xf>
    <xf numFmtId="0" fontId="42" fillId="31" borderId="31" xfId="0" applyFont="1" applyFill="1" applyBorder="1" applyAlignment="1">
      <alignment horizontal="left" vertical="center" wrapText="1"/>
    </xf>
    <xf numFmtId="0" fontId="38" fillId="28" borderId="0" xfId="0" applyFont="1" applyFill="1"/>
    <xf numFmtId="15" fontId="39" fillId="28" borderId="33" xfId="0" applyNumberFormat="1" applyFont="1" applyFill="1" applyBorder="1"/>
    <xf numFmtId="0" fontId="41" fillId="28" borderId="47" xfId="0" applyFont="1" applyFill="1" applyBorder="1" applyAlignment="1">
      <alignment horizontal="center" vertical="center" wrapText="1"/>
    </xf>
    <xf numFmtId="0" fontId="42" fillId="31" borderId="11" xfId="0" applyFont="1" applyFill="1" applyBorder="1" applyAlignment="1">
      <alignment horizontal="center" vertical="center" wrapText="1"/>
    </xf>
    <xf numFmtId="0" fontId="42" fillId="30" borderId="21" xfId="0" applyFont="1" applyFill="1" applyBorder="1" applyAlignment="1">
      <alignment horizontal="center" vertical="center" wrapText="1"/>
    </xf>
    <xf numFmtId="0" fontId="43" fillId="28" borderId="75" xfId="0" applyFont="1" applyFill="1" applyBorder="1"/>
    <xf numFmtId="43" fontId="66" fillId="28" borderId="19" xfId="288" applyFont="1" applyFill="1" applyBorder="1" applyAlignment="1">
      <alignment vertical="center"/>
    </xf>
    <xf numFmtId="43" fontId="66" fillId="28" borderId="21" xfId="288" applyFont="1" applyFill="1" applyBorder="1" applyAlignment="1">
      <alignment vertical="center"/>
    </xf>
    <xf numFmtId="0" fontId="42" fillId="31" borderId="78" xfId="0" applyFont="1" applyFill="1" applyBorder="1" applyAlignment="1">
      <alignment horizontal="center" vertical="center" wrapText="1"/>
    </xf>
    <xf numFmtId="0" fontId="37" fillId="28" borderId="62" xfId="0" applyFont="1" applyFill="1" applyBorder="1" applyAlignment="1">
      <alignment horizontal="center" vertical="center"/>
    </xf>
    <xf numFmtId="0" fontId="42" fillId="30" borderId="0" xfId="0" applyFont="1" applyFill="1" applyAlignment="1">
      <alignment horizontal="center" vertical="center" wrapText="1"/>
    </xf>
    <xf numFmtId="0" fontId="42" fillId="30" borderId="19" xfId="0" applyFont="1" applyFill="1" applyBorder="1" applyAlignment="1">
      <alignment horizontal="center" vertical="center" wrapText="1"/>
    </xf>
    <xf numFmtId="0" fontId="43" fillId="28" borderId="24" xfId="0" applyFont="1" applyFill="1" applyBorder="1"/>
    <xf numFmtId="0" fontId="44" fillId="28" borderId="53" xfId="0" applyFont="1" applyFill="1" applyBorder="1" applyAlignment="1">
      <alignment horizontal="center" vertical="center" wrapText="1"/>
    </xf>
    <xf numFmtId="0" fontId="44" fillId="30" borderId="10" xfId="0" applyFont="1" applyFill="1" applyBorder="1" applyAlignment="1">
      <alignment horizontal="center" vertical="center" wrapText="1"/>
    </xf>
    <xf numFmtId="0" fontId="44" fillId="30" borderId="5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5" fontId="70" fillId="0" borderId="53" xfId="0" applyNumberFormat="1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38" fillId="28" borderId="0" xfId="0" applyFont="1" applyFill="1" applyAlignment="1">
      <alignment vertical="center" wrapText="1"/>
    </xf>
    <xf numFmtId="0" fontId="66" fillId="28" borderId="59" xfId="0" applyFont="1" applyFill="1" applyBorder="1" applyAlignment="1">
      <alignment horizontal="center" vertical="center"/>
    </xf>
    <xf numFmtId="0" fontId="38" fillId="28" borderId="0" xfId="0" applyFont="1" applyFill="1" applyAlignment="1">
      <alignment horizontal="center"/>
    </xf>
    <xf numFmtId="15" fontId="39" fillId="28" borderId="20" xfId="0" applyNumberFormat="1" applyFont="1" applyFill="1" applyBorder="1"/>
    <xf numFmtId="0" fontId="66" fillId="28" borderId="10" xfId="0" applyFont="1" applyFill="1" applyBorder="1" applyAlignment="1">
      <alignment horizontal="center" vertical="center"/>
    </xf>
    <xf numFmtId="0" fontId="38" fillId="28" borderId="19" xfId="0" applyFont="1" applyFill="1" applyBorder="1"/>
    <xf numFmtId="0" fontId="38" fillId="28" borderId="20" xfId="0" applyFont="1" applyFill="1" applyBorder="1"/>
    <xf numFmtId="0" fontId="37" fillId="28" borderId="76" xfId="0" applyFont="1" applyFill="1" applyBorder="1" applyAlignment="1">
      <alignment horizontal="center" vertical="center"/>
    </xf>
    <xf numFmtId="0" fontId="54" fillId="28" borderId="76" xfId="0" applyFont="1" applyFill="1" applyBorder="1" applyAlignment="1">
      <alignment horizontal="center" vertical="center"/>
    </xf>
    <xf numFmtId="0" fontId="62" fillId="28" borderId="76" xfId="0" applyFont="1" applyFill="1" applyBorder="1" applyAlignment="1">
      <alignment horizontal="center" vertical="center"/>
    </xf>
    <xf numFmtId="0" fontId="58" fillId="28" borderId="76" xfId="0" applyFont="1" applyFill="1" applyBorder="1" applyAlignment="1">
      <alignment horizontal="center" vertical="center"/>
    </xf>
    <xf numFmtId="0" fontId="37" fillId="28" borderId="72" xfId="0" applyFont="1" applyFill="1" applyBorder="1" applyAlignment="1">
      <alignment horizontal="center" vertical="center"/>
    </xf>
    <xf numFmtId="0" fontId="37" fillId="28" borderId="82" xfId="0" applyFont="1" applyFill="1" applyBorder="1"/>
    <xf numFmtId="0" fontId="43" fillId="28" borderId="10" xfId="0" applyFont="1" applyFill="1" applyBorder="1"/>
    <xf numFmtId="0" fontId="66" fillId="28" borderId="47" xfId="0" applyFont="1" applyFill="1" applyBorder="1" applyAlignment="1">
      <alignment horizontal="center" vertical="center"/>
    </xf>
    <xf numFmtId="0" fontId="42" fillId="31" borderId="47" xfId="0" applyFont="1" applyFill="1" applyBorder="1" applyAlignment="1">
      <alignment horizontal="center" vertical="center" wrapText="1"/>
    </xf>
    <xf numFmtId="0" fontId="42" fillId="31" borderId="47" xfId="0" applyFont="1" applyFill="1" applyBorder="1" applyAlignment="1">
      <alignment vertical="center" wrapText="1"/>
    </xf>
    <xf numFmtId="0" fontId="42" fillId="31" borderId="47" xfId="0" applyFont="1" applyFill="1" applyBorder="1" applyAlignment="1">
      <alignment horizontal="left" vertical="center" wrapText="1"/>
    </xf>
    <xf numFmtId="0" fontId="43" fillId="31" borderId="47" xfId="0" applyFont="1" applyFill="1" applyBorder="1" applyAlignment="1">
      <alignment horizontal="center" vertical="center" wrapText="1"/>
    </xf>
    <xf numFmtId="0" fontId="43" fillId="28" borderId="21" xfId="0" applyFont="1" applyFill="1" applyBorder="1"/>
    <xf numFmtId="15" fontId="66" fillId="28" borderId="78" xfId="0" applyNumberFormat="1" applyFont="1" applyFill="1" applyBorder="1"/>
    <xf numFmtId="15" fontId="66" fillId="28" borderId="20" xfId="0" applyNumberFormat="1" applyFont="1" applyFill="1" applyBorder="1"/>
    <xf numFmtId="0" fontId="63" fillId="28" borderId="47" xfId="0" applyFont="1" applyFill="1" applyBorder="1" applyAlignment="1">
      <alignment horizontal="center"/>
    </xf>
    <xf numFmtId="0" fontId="43" fillId="0" borderId="47" xfId="0" applyFont="1" applyBorder="1" applyAlignment="1">
      <alignment vertical="center" wrapText="1"/>
    </xf>
    <xf numFmtId="0" fontId="43" fillId="0" borderId="47" xfId="0" applyFont="1" applyBorder="1" applyAlignment="1">
      <alignment horizontal="left" vertical="center" wrapText="1"/>
    </xf>
    <xf numFmtId="0" fontId="63" fillId="0" borderId="47" xfId="0" applyFont="1" applyBorder="1" applyAlignment="1">
      <alignment horizontal="left" vertical="center" wrapText="1"/>
    </xf>
    <xf numFmtId="0" fontId="42" fillId="31" borderId="32" xfId="0" applyFont="1" applyFill="1" applyBorder="1" applyAlignment="1">
      <alignment horizontal="center" vertical="center" wrapText="1"/>
    </xf>
    <xf numFmtId="0" fontId="42" fillId="31" borderId="0" xfId="0" applyFont="1" applyFill="1" applyAlignment="1">
      <alignment horizontal="center" vertical="center" wrapText="1"/>
    </xf>
    <xf numFmtId="167" fontId="58" fillId="28" borderId="0" xfId="0" applyNumberFormat="1" applyFont="1" applyFill="1" applyAlignment="1">
      <alignment horizontal="center" vertical="center"/>
    </xf>
    <xf numFmtId="167" fontId="54" fillId="28" borderId="0" xfId="0" applyNumberFormat="1" applyFont="1" applyFill="1" applyAlignment="1">
      <alignment horizontal="center" vertical="center"/>
    </xf>
    <xf numFmtId="0" fontId="37" fillId="28" borderId="0" xfId="0" applyFont="1" applyFill="1" applyAlignment="1">
      <alignment vertical="center"/>
    </xf>
    <xf numFmtId="0" fontId="28" fillId="28" borderId="0" xfId="0" applyFont="1" applyFill="1" applyAlignment="1">
      <alignment horizontal="center" vertical="center"/>
    </xf>
    <xf numFmtId="0" fontId="62" fillId="28" borderId="1" xfId="0" applyFont="1" applyFill="1" applyBorder="1" applyAlignment="1">
      <alignment horizontal="center" vertical="center"/>
    </xf>
    <xf numFmtId="0" fontId="66" fillId="28" borderId="70" xfId="0" applyFont="1" applyFill="1" applyBorder="1" applyAlignment="1">
      <alignment horizontal="center"/>
    </xf>
    <xf numFmtId="0" fontId="67" fillId="28" borderId="4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43" fillId="0" borderId="80" xfId="0" applyFont="1" applyBorder="1" applyAlignment="1">
      <alignment horizontal="center" vertical="center"/>
    </xf>
    <xf numFmtId="0" fontId="59" fillId="2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0" fontId="66" fillId="28" borderId="19" xfId="0" applyFont="1" applyFill="1" applyBorder="1"/>
    <xf numFmtId="0" fontId="5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58" fillId="28" borderId="0" xfId="0" applyFont="1" applyFill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3" fillId="0" borderId="80" xfId="0" applyFont="1" applyBorder="1" applyAlignment="1">
      <alignment vertical="center" wrapText="1"/>
    </xf>
    <xf numFmtId="0" fontId="43" fillId="0" borderId="80" xfId="0" applyFont="1" applyBorder="1" applyAlignment="1">
      <alignment horizontal="left" vertical="center" wrapText="1"/>
    </xf>
    <xf numFmtId="0" fontId="42" fillId="0" borderId="80" xfId="0" applyFont="1" applyBorder="1" applyAlignment="1">
      <alignment horizontal="center" vertical="center"/>
    </xf>
    <xf numFmtId="0" fontId="42" fillId="28" borderId="80" xfId="0" applyFont="1" applyFill="1" applyBorder="1" applyAlignment="1">
      <alignment horizontal="center" vertical="center"/>
    </xf>
    <xf numFmtId="0" fontId="67" fillId="28" borderId="55" xfId="0" applyFont="1" applyFill="1" applyBorder="1" applyAlignment="1">
      <alignment horizontal="center"/>
    </xf>
    <xf numFmtId="0" fontId="0" fillId="0" borderId="73" xfId="0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15" fontId="69" fillId="0" borderId="53" xfId="0" applyNumberFormat="1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168" fontId="62" fillId="31" borderId="47" xfId="0" applyNumberFormat="1" applyFont="1" applyFill="1" applyBorder="1" applyAlignment="1">
      <alignment horizontal="center" vertical="center"/>
    </xf>
    <xf numFmtId="0" fontId="62" fillId="28" borderId="1" xfId="0" applyFont="1" applyFill="1" applyBorder="1" applyAlignment="1">
      <alignment horizontal="left" vertical="center"/>
    </xf>
    <xf numFmtId="168" fontId="37" fillId="31" borderId="80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43" fillId="28" borderId="1" xfId="0" applyFont="1" applyFill="1" applyBorder="1" applyAlignment="1">
      <alignment horizontal="left" vertical="center" wrapText="1"/>
    </xf>
    <xf numFmtId="168" fontId="58" fillId="28" borderId="1" xfId="0" applyNumberFormat="1" applyFont="1" applyFill="1" applyBorder="1" applyAlignment="1">
      <alignment horizontal="center" vertical="center"/>
    </xf>
    <xf numFmtId="0" fontId="59" fillId="28" borderId="1" xfId="0" applyFont="1" applyFill="1" applyBorder="1" applyAlignment="1">
      <alignment horizontal="center" vertical="center"/>
    </xf>
    <xf numFmtId="0" fontId="35" fillId="28" borderId="19" xfId="0" applyFont="1" applyFill="1" applyBorder="1"/>
    <xf numFmtId="0" fontId="63" fillId="28" borderId="1" xfId="0" applyFont="1" applyFill="1" applyBorder="1" applyAlignment="1">
      <alignment horizontal="center" vertical="center"/>
    </xf>
    <xf numFmtId="0" fontId="75" fillId="28" borderId="1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/>
    </xf>
    <xf numFmtId="0" fontId="74" fillId="28" borderId="76" xfId="0" applyFont="1" applyFill="1" applyBorder="1" applyAlignment="1">
      <alignment horizontal="center" vertical="center"/>
    </xf>
    <xf numFmtId="167" fontId="74" fillId="28" borderId="47" xfId="0" applyNumberFormat="1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/>
    </xf>
    <xf numFmtId="0" fontId="75" fillId="0" borderId="47" xfId="0" applyFont="1" applyBorder="1" applyAlignment="1">
      <alignment vertical="center" wrapText="1"/>
    </xf>
    <xf numFmtId="0" fontId="75" fillId="28" borderId="47" xfId="0" applyFont="1" applyFill="1" applyBorder="1" applyAlignment="1">
      <alignment horizontal="center" vertical="center"/>
    </xf>
    <xf numFmtId="168" fontId="74" fillId="28" borderId="80" xfId="0" applyNumberFormat="1" applyFont="1" applyFill="1" applyBorder="1" applyAlignment="1">
      <alignment horizontal="center" vertical="center"/>
    </xf>
    <xf numFmtId="0" fontId="75" fillId="28" borderId="80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8" fontId="74" fillId="30" borderId="47" xfId="0" applyNumberFormat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28" borderId="0" xfId="0" applyFont="1" applyFill="1" applyAlignment="1">
      <alignment horizontal="center" vertical="center"/>
    </xf>
    <xf numFmtId="0" fontId="75" fillId="0" borderId="47" xfId="0" applyFont="1" applyBorder="1" applyAlignment="1">
      <alignment horizontal="left" vertical="center" wrapText="1"/>
    </xf>
    <xf numFmtId="168" fontId="74" fillId="28" borderId="47" xfId="0" applyNumberFormat="1" applyFont="1" applyFill="1" applyBorder="1" applyAlignment="1">
      <alignment horizontal="center" vertical="center"/>
    </xf>
    <xf numFmtId="0" fontId="76" fillId="0" borderId="47" xfId="0" applyFont="1" applyBorder="1" applyAlignment="1">
      <alignment horizontal="center" vertical="center"/>
    </xf>
    <xf numFmtId="0" fontId="74" fillId="28" borderId="1" xfId="0" applyFont="1" applyFill="1" applyBorder="1" applyAlignment="1">
      <alignment horizontal="center" vertical="center"/>
    </xf>
    <xf numFmtId="167" fontId="74" fillId="28" borderId="1" xfId="0" applyNumberFormat="1" applyFont="1" applyFill="1" applyBorder="1" applyAlignment="1">
      <alignment horizontal="center" vertical="center"/>
    </xf>
    <xf numFmtId="0" fontId="74" fillId="28" borderId="47" xfId="0" applyFont="1" applyFill="1" applyBorder="1" applyAlignment="1">
      <alignment horizontal="center" vertical="center"/>
    </xf>
    <xf numFmtId="0" fontId="75" fillId="28" borderId="47" xfId="0" applyFont="1" applyFill="1" applyBorder="1" applyAlignment="1" applyProtection="1">
      <alignment horizontal="left" vertical="center"/>
      <protection locked="0"/>
    </xf>
    <xf numFmtId="0" fontId="75" fillId="28" borderId="47" xfId="0" applyFont="1" applyFill="1" applyBorder="1" applyAlignment="1" applyProtection="1">
      <alignment horizontal="left" vertical="center" wrapText="1"/>
      <protection locked="0"/>
    </xf>
    <xf numFmtId="0" fontId="43" fillId="28" borderId="80" xfId="0" applyFont="1" applyFill="1" applyBorder="1" applyAlignment="1">
      <alignment horizontal="left" vertical="center" wrapText="1"/>
    </xf>
    <xf numFmtId="168" fontId="74" fillId="31" borderId="47" xfId="0" applyNumberFormat="1" applyFont="1" applyFill="1" applyBorder="1" applyAlignment="1">
      <alignment horizontal="center" vertical="center"/>
    </xf>
    <xf numFmtId="0" fontId="75" fillId="28" borderId="47" xfId="0" applyFont="1" applyFill="1" applyBorder="1" applyAlignment="1">
      <alignment horizontal="center"/>
    </xf>
    <xf numFmtId="0" fontId="58" fillId="28" borderId="1" xfId="0" applyFont="1" applyFill="1" applyBorder="1" applyAlignment="1">
      <alignment horizontal="center" vertical="center"/>
    </xf>
    <xf numFmtId="0" fontId="43" fillId="30" borderId="0" xfId="0" applyFont="1" applyFill="1"/>
    <xf numFmtId="0" fontId="74" fillId="0" borderId="75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75" fillId="0" borderId="1" xfId="0" applyFont="1" applyBorder="1" applyAlignment="1">
      <alignment vertical="center" wrapText="1"/>
    </xf>
    <xf numFmtId="167" fontId="74" fillId="28" borderId="0" xfId="0" applyNumberFormat="1" applyFont="1" applyFill="1" applyAlignment="1">
      <alignment horizontal="center" vertical="center"/>
    </xf>
    <xf numFmtId="0" fontId="74" fillId="28" borderId="1" xfId="0" applyFont="1" applyFill="1" applyBorder="1" applyAlignment="1">
      <alignment horizontal="left" vertical="center"/>
    </xf>
    <xf numFmtId="0" fontId="43" fillId="28" borderId="1" xfId="0" applyFont="1" applyFill="1" applyBorder="1" applyAlignment="1">
      <alignment horizontal="center"/>
    </xf>
    <xf numFmtId="0" fontId="37" fillId="0" borderId="60" xfId="0" applyFont="1" applyBorder="1" applyAlignment="1">
      <alignment horizontal="center"/>
    </xf>
    <xf numFmtId="0" fontId="80" fillId="28" borderId="80" xfId="0" applyFont="1" applyFill="1" applyBorder="1" applyAlignment="1">
      <alignment horizontal="center" vertical="center"/>
    </xf>
    <xf numFmtId="0" fontId="80" fillId="0" borderId="47" xfId="0" applyFont="1" applyBorder="1" applyAlignment="1">
      <alignment horizontal="center" vertical="center"/>
    </xf>
    <xf numFmtId="167" fontId="79" fillId="28" borderId="1" xfId="0" applyNumberFormat="1" applyFont="1" applyFill="1" applyBorder="1" applyAlignment="1">
      <alignment horizontal="center" vertical="center"/>
    </xf>
    <xf numFmtId="0" fontId="80" fillId="28" borderId="1" xfId="0" applyFont="1" applyFill="1" applyBorder="1" applyAlignment="1">
      <alignment horizontal="center" vertical="center"/>
    </xf>
    <xf numFmtId="168" fontId="79" fillId="30" borderId="1" xfId="0" applyNumberFormat="1" applyFont="1" applyFill="1" applyBorder="1" applyAlignment="1">
      <alignment horizontal="center" vertical="center"/>
    </xf>
    <xf numFmtId="0" fontId="79" fillId="28" borderId="47" xfId="0" applyFont="1" applyFill="1" applyBorder="1" applyAlignment="1">
      <alignment horizontal="center" vertical="center"/>
    </xf>
    <xf numFmtId="167" fontId="79" fillId="28" borderId="47" xfId="0" applyNumberFormat="1" applyFont="1" applyFill="1" applyBorder="1" applyAlignment="1">
      <alignment horizontal="center" vertical="center"/>
    </xf>
    <xf numFmtId="0" fontId="80" fillId="28" borderId="47" xfId="0" applyFont="1" applyFill="1" applyBorder="1" applyAlignment="1">
      <alignment horizontal="center" vertical="center"/>
    </xf>
    <xf numFmtId="0" fontId="79" fillId="28" borderId="60" xfId="0" applyFont="1" applyFill="1" applyBorder="1" applyAlignment="1">
      <alignment horizontal="center" vertical="center"/>
    </xf>
    <xf numFmtId="168" fontId="79" fillId="30" borderId="47" xfId="0" applyNumberFormat="1" applyFont="1" applyFill="1" applyBorder="1" applyAlignment="1">
      <alignment horizontal="center" vertical="center"/>
    </xf>
    <xf numFmtId="0" fontId="79" fillId="0" borderId="75" xfId="0" applyFont="1" applyBorder="1" applyAlignment="1">
      <alignment horizontal="center" vertical="center"/>
    </xf>
    <xf numFmtId="0" fontId="79" fillId="28" borderId="76" xfId="0" applyFont="1" applyFill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80" fillId="0" borderId="47" xfId="0" applyFont="1" applyBorder="1" applyAlignment="1">
      <alignment vertical="center" wrapText="1"/>
    </xf>
    <xf numFmtId="0" fontId="80" fillId="0" borderId="47" xfId="0" applyFont="1" applyBorder="1" applyAlignment="1">
      <alignment horizontal="left" vertical="center" wrapText="1"/>
    </xf>
    <xf numFmtId="168" fontId="79" fillId="28" borderId="47" xfId="0" applyNumberFormat="1" applyFont="1" applyFill="1" applyBorder="1" applyAlignment="1">
      <alignment horizontal="center" vertical="center"/>
    </xf>
    <xf numFmtId="0" fontId="81" fillId="0" borderId="47" xfId="0" applyFont="1" applyBorder="1" applyAlignment="1">
      <alignment horizontal="center" vertical="center"/>
    </xf>
    <xf numFmtId="0" fontId="79" fillId="28" borderId="1" xfId="0" applyFont="1" applyFill="1" applyBorder="1" applyAlignment="1">
      <alignment horizontal="center" vertical="center"/>
    </xf>
    <xf numFmtId="167" fontId="79" fillId="28" borderId="0" xfId="0" applyNumberFormat="1" applyFont="1" applyFill="1" applyAlignment="1">
      <alignment horizontal="center" vertical="center"/>
    </xf>
    <xf numFmtId="0" fontId="79" fillId="28" borderId="1" xfId="0" applyFont="1" applyFill="1" applyBorder="1" applyAlignment="1">
      <alignment horizontal="left" vertical="center"/>
    </xf>
    <xf numFmtId="168" fontId="79" fillId="31" borderId="47" xfId="0" applyNumberFormat="1" applyFont="1" applyFill="1" applyBorder="1" applyAlignment="1">
      <alignment horizontal="center" vertical="center"/>
    </xf>
    <xf numFmtId="0" fontId="80" fillId="28" borderId="47" xfId="0" applyFont="1" applyFill="1" applyBorder="1" applyAlignment="1">
      <alignment horizontal="center"/>
    </xf>
    <xf numFmtId="0" fontId="43" fillId="28" borderId="25" xfId="0" applyFont="1" applyFill="1" applyBorder="1" applyAlignment="1">
      <alignment horizontal="center"/>
    </xf>
    <xf numFmtId="0" fontId="43" fillId="28" borderId="6" xfId="0" applyFont="1" applyFill="1" applyBorder="1" applyAlignment="1">
      <alignment horizontal="center"/>
    </xf>
    <xf numFmtId="0" fontId="37" fillId="0" borderId="61" xfId="0" applyFont="1" applyBorder="1" applyAlignment="1">
      <alignment horizontal="center"/>
    </xf>
    <xf numFmtId="167" fontId="58" fillId="28" borderId="1" xfId="0" applyNumberFormat="1" applyFont="1" applyFill="1" applyBorder="1" applyAlignment="1">
      <alignment horizontal="center" vertical="center"/>
    </xf>
    <xf numFmtId="168" fontId="58" fillId="30" borderId="1" xfId="0" applyNumberFormat="1" applyFont="1" applyFill="1" applyBorder="1" applyAlignment="1">
      <alignment horizontal="center" vertical="center"/>
    </xf>
    <xf numFmtId="0" fontId="74" fillId="28" borderId="60" xfId="0" applyFont="1" applyFill="1" applyBorder="1" applyAlignment="1">
      <alignment horizontal="center" vertical="center"/>
    </xf>
    <xf numFmtId="168" fontId="74" fillId="30" borderId="1" xfId="0" applyNumberFormat="1" applyFont="1" applyFill="1" applyBorder="1" applyAlignment="1">
      <alignment horizontal="center" vertical="center"/>
    </xf>
    <xf numFmtId="167" fontId="84" fillId="28" borderId="1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85" fillId="28" borderId="1" xfId="0" applyFont="1" applyFill="1" applyBorder="1" applyAlignment="1">
      <alignment horizontal="center" vertical="center"/>
    </xf>
    <xf numFmtId="0" fontId="85" fillId="28" borderId="80" xfId="0" applyFont="1" applyFill="1" applyBorder="1" applyAlignment="1">
      <alignment horizontal="center" vertical="center"/>
    </xf>
    <xf numFmtId="0" fontId="84" fillId="0" borderId="47" xfId="0" applyFont="1" applyBorder="1" applyAlignment="1">
      <alignment horizontal="center" vertical="center"/>
    </xf>
    <xf numFmtId="0" fontId="84" fillId="28" borderId="47" xfId="0" applyFont="1" applyFill="1" applyBorder="1" applyAlignment="1">
      <alignment horizontal="center" vertical="center"/>
    </xf>
    <xf numFmtId="167" fontId="84" fillId="28" borderId="47" xfId="0" applyNumberFormat="1" applyFont="1" applyFill="1" applyBorder="1" applyAlignment="1">
      <alignment horizontal="center" vertical="center"/>
    </xf>
    <xf numFmtId="0" fontId="1" fillId="0" borderId="74" xfId="0" applyFont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/>
    </xf>
    <xf numFmtId="168" fontId="84" fillId="28" borderId="47" xfId="0" applyNumberFormat="1" applyFont="1" applyFill="1" applyBorder="1" applyAlignment="1">
      <alignment horizontal="center" vertical="center"/>
    </xf>
    <xf numFmtId="0" fontId="85" fillId="0" borderId="47" xfId="0" applyFont="1" applyBorder="1" applyAlignment="1">
      <alignment horizontal="center" vertical="center"/>
    </xf>
    <xf numFmtId="0" fontId="80" fillId="28" borderId="76" xfId="0" applyFont="1" applyFill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167" fontId="84" fillId="28" borderId="0" xfId="0" applyNumberFormat="1" applyFont="1" applyFill="1" applyAlignment="1">
      <alignment horizontal="center" vertical="center"/>
    </xf>
    <xf numFmtId="167" fontId="37" fillId="28" borderId="96" xfId="0" applyNumberFormat="1" applyFont="1" applyFill="1" applyBorder="1" applyAlignment="1">
      <alignment horizontal="center" vertical="center"/>
    </xf>
    <xf numFmtId="167" fontId="37" fillId="28" borderId="97" xfId="0" applyNumberFormat="1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horizontal="center" vertical="center"/>
    </xf>
    <xf numFmtId="0" fontId="43" fillId="28" borderId="97" xfId="0" applyFont="1" applyFill="1" applyBorder="1" applyAlignment="1">
      <alignment horizontal="center" vertical="center"/>
    </xf>
    <xf numFmtId="0" fontId="59" fillId="28" borderId="96" xfId="0" applyFont="1" applyFill="1" applyBorder="1" applyAlignment="1">
      <alignment horizontal="center" vertical="center"/>
    </xf>
    <xf numFmtId="168" fontId="37" fillId="30" borderId="96" xfId="0" applyNumberFormat="1" applyFont="1" applyFill="1" applyBorder="1" applyAlignment="1">
      <alignment horizontal="center" vertical="center"/>
    </xf>
    <xf numFmtId="168" fontId="37" fillId="30" borderId="97" xfId="0" applyNumberFormat="1" applyFont="1" applyFill="1" applyBorder="1" applyAlignment="1">
      <alignment horizontal="center" vertical="center"/>
    </xf>
    <xf numFmtId="0" fontId="75" fillId="28" borderId="96" xfId="0" applyFont="1" applyFill="1" applyBorder="1" applyAlignment="1">
      <alignment horizontal="center" vertical="center"/>
    </xf>
    <xf numFmtId="0" fontId="80" fillId="28" borderId="96" xfId="0" applyFont="1" applyFill="1" applyBorder="1" applyAlignment="1">
      <alignment horizontal="center" vertical="center"/>
    </xf>
    <xf numFmtId="0" fontId="63" fillId="28" borderId="96" xfId="0" applyFont="1" applyFill="1" applyBorder="1" applyAlignment="1">
      <alignment horizontal="center" vertical="center"/>
    </xf>
    <xf numFmtId="0" fontId="75" fillId="28" borderId="97" xfId="0" applyFont="1" applyFill="1" applyBorder="1" applyAlignment="1">
      <alignment horizontal="center" vertical="center"/>
    </xf>
    <xf numFmtId="0" fontId="43" fillId="0" borderId="96" xfId="0" applyFont="1" applyBorder="1" applyAlignment="1">
      <alignment horizontal="center" vertical="center"/>
    </xf>
    <xf numFmtId="168" fontId="37" fillId="28" borderId="97" xfId="0" applyNumberFormat="1" applyFont="1" applyFill="1" applyBorder="1" applyAlignment="1">
      <alignment horizontal="center" vertical="center"/>
    </xf>
    <xf numFmtId="0" fontId="43" fillId="31" borderId="96" xfId="0" applyFont="1" applyFill="1" applyBorder="1" applyAlignment="1">
      <alignment horizontal="center" vertical="center" wrapText="1"/>
    </xf>
    <xf numFmtId="0" fontId="37" fillId="0" borderId="98" xfId="0" applyFont="1" applyBorder="1" applyAlignment="1">
      <alignment horizontal="center" vertical="center"/>
    </xf>
    <xf numFmtId="0" fontId="37" fillId="28" borderId="96" xfId="0" applyFont="1" applyFill="1" applyBorder="1" applyAlignment="1">
      <alignment horizontal="center" vertical="center"/>
    </xf>
    <xf numFmtId="0" fontId="43" fillId="28" borderId="97" xfId="0" applyFont="1" applyFill="1" applyBorder="1" applyAlignment="1">
      <alignment horizontal="left" vertical="center" wrapText="1"/>
    </xf>
    <xf numFmtId="0" fontId="84" fillId="28" borderId="1" xfId="0" applyFont="1" applyFill="1" applyBorder="1" applyAlignment="1">
      <alignment horizontal="center" vertical="center"/>
    </xf>
    <xf numFmtId="168" fontId="84" fillId="30" borderId="1" xfId="0" applyNumberFormat="1" applyFont="1" applyFill="1" applyBorder="1" applyAlignment="1">
      <alignment horizontal="center" vertical="center"/>
    </xf>
    <xf numFmtId="0" fontId="85" fillId="28" borderId="97" xfId="0" applyFont="1" applyFill="1" applyBorder="1" applyAlignment="1">
      <alignment horizontal="center" vertical="center"/>
    </xf>
    <xf numFmtId="168" fontId="37" fillId="30" borderId="104" xfId="0" applyNumberFormat="1" applyFont="1" applyFill="1" applyBorder="1" applyAlignment="1">
      <alignment horizontal="center" vertical="center"/>
    </xf>
    <xf numFmtId="168" fontId="37" fillId="28" borderId="104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left" vertical="center" wrapText="1"/>
    </xf>
    <xf numFmtId="0" fontId="85" fillId="28" borderId="47" xfId="0" applyFont="1" applyFill="1" applyBorder="1" applyAlignment="1">
      <alignment horizontal="left" vertical="center" wrapText="1"/>
    </xf>
    <xf numFmtId="0" fontId="43" fillId="28" borderId="104" xfId="0" applyFont="1" applyFill="1" applyBorder="1" applyAlignment="1">
      <alignment horizontal="center" vertical="center"/>
    </xf>
    <xf numFmtId="0" fontId="67" fillId="28" borderId="10" xfId="0" applyFont="1" applyFill="1" applyBorder="1"/>
    <xf numFmtId="0" fontId="42" fillId="30" borderId="105" xfId="0" applyFont="1" applyFill="1" applyBorder="1" applyAlignment="1">
      <alignment horizontal="center" vertical="center" wrapText="1"/>
    </xf>
    <xf numFmtId="0" fontId="37" fillId="28" borderId="1" xfId="0" applyFont="1" applyFill="1" applyBorder="1" applyAlignment="1">
      <alignment horizontal="left" vertical="center"/>
    </xf>
    <xf numFmtId="0" fontId="85" fillId="28" borderId="105" xfId="0" applyFont="1" applyFill="1" applyBorder="1" applyAlignment="1">
      <alignment horizontal="center" vertical="center"/>
    </xf>
    <xf numFmtId="168" fontId="84" fillId="28" borderId="105" xfId="0" applyNumberFormat="1" applyFont="1" applyFill="1" applyBorder="1" applyAlignment="1">
      <alignment horizontal="center" vertical="center"/>
    </xf>
    <xf numFmtId="0" fontId="37" fillId="28" borderId="105" xfId="0" applyFont="1" applyFill="1" applyBorder="1" applyAlignment="1">
      <alignment horizontal="center" vertical="center"/>
    </xf>
    <xf numFmtId="0" fontId="66" fillId="28" borderId="53" xfId="0" applyFont="1" applyFill="1" applyBorder="1"/>
    <xf numFmtId="0" fontId="62" fillId="28" borderId="105" xfId="0" applyFont="1" applyFill="1" applyBorder="1" applyAlignment="1">
      <alignment horizontal="center" vertical="center"/>
    </xf>
    <xf numFmtId="0" fontId="58" fillId="28" borderId="105" xfId="0" applyFont="1" applyFill="1" applyBorder="1" applyAlignment="1">
      <alignment horizontal="center" vertical="center"/>
    </xf>
    <xf numFmtId="0" fontId="74" fillId="28" borderId="105" xfId="0" applyFont="1" applyFill="1" applyBorder="1" applyAlignment="1">
      <alignment horizontal="center" vertical="center"/>
    </xf>
    <xf numFmtId="0" fontId="84" fillId="28" borderId="0" xfId="0" applyFont="1" applyFill="1" applyAlignment="1">
      <alignment horizontal="center" vertical="center"/>
    </xf>
    <xf numFmtId="0" fontId="43" fillId="28" borderId="1" xfId="0" applyFont="1" applyFill="1" applyBorder="1" applyAlignment="1">
      <alignment horizontal="center" vertical="center" wrapText="1"/>
    </xf>
    <xf numFmtId="167" fontId="37" fillId="28" borderId="105" xfId="0" applyNumberFormat="1" applyFont="1" applyFill="1" applyBorder="1" applyAlignment="1">
      <alignment horizontal="left" vertical="center"/>
    </xf>
    <xf numFmtId="167" fontId="58" fillId="28" borderId="80" xfId="0" applyNumberFormat="1" applyFont="1" applyFill="1" applyBorder="1" applyAlignment="1">
      <alignment horizontal="left" vertical="center"/>
    </xf>
    <xf numFmtId="0" fontId="59" fillId="28" borderId="105" xfId="0" applyFont="1" applyFill="1" applyBorder="1" applyAlignment="1">
      <alignment horizontal="center" vertical="center"/>
    </xf>
    <xf numFmtId="168" fontId="58" fillId="28" borderId="105" xfId="0" applyNumberFormat="1" applyFont="1" applyFill="1" applyBorder="1" applyAlignment="1">
      <alignment horizontal="center" vertical="center"/>
    </xf>
    <xf numFmtId="168" fontId="84" fillId="31" borderId="47" xfId="0" applyNumberFormat="1" applyFont="1" applyFill="1" applyBorder="1" applyAlignment="1">
      <alignment horizontal="center" vertical="center"/>
    </xf>
    <xf numFmtId="168" fontId="37" fillId="31" borderId="1" xfId="0" applyNumberFormat="1" applyFont="1" applyFill="1" applyBorder="1" applyAlignment="1">
      <alignment horizontal="center" vertical="center"/>
    </xf>
    <xf numFmtId="0" fontId="85" fillId="28" borderId="47" xfId="0" applyFont="1" applyFill="1" applyBorder="1" applyAlignment="1">
      <alignment horizontal="center"/>
    </xf>
    <xf numFmtId="0" fontId="43" fillId="28" borderId="105" xfId="0" applyFont="1" applyFill="1" applyBorder="1" applyAlignment="1">
      <alignment horizontal="center" vertical="center"/>
    </xf>
    <xf numFmtId="168" fontId="84" fillId="30" borderId="47" xfId="0" applyNumberFormat="1" applyFont="1" applyFill="1" applyBorder="1" applyAlignment="1">
      <alignment horizontal="center" vertical="center"/>
    </xf>
    <xf numFmtId="0" fontId="55" fillId="28" borderId="96" xfId="0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/>
    </xf>
    <xf numFmtId="0" fontId="84" fillId="0" borderId="60" xfId="0" applyFont="1" applyBorder="1" applyAlignment="1">
      <alignment horizontal="center"/>
    </xf>
    <xf numFmtId="0" fontId="84" fillId="28" borderId="60" xfId="0" applyFont="1" applyFill="1" applyBorder="1" applyAlignment="1">
      <alignment horizontal="center"/>
    </xf>
    <xf numFmtId="0" fontId="85" fillId="28" borderId="1" xfId="0" applyFont="1" applyFill="1" applyBorder="1" applyAlignment="1">
      <alignment vertical="center"/>
    </xf>
    <xf numFmtId="0" fontId="85" fillId="28" borderId="1" xfId="0" applyFont="1" applyFill="1" applyBorder="1" applyAlignment="1">
      <alignment horizontal="left" vertical="center"/>
    </xf>
    <xf numFmtId="167" fontId="37" fillId="28" borderId="76" xfId="0" applyNumberFormat="1" applyFont="1" applyFill="1" applyBorder="1" applyAlignment="1">
      <alignment horizontal="center" vertical="center"/>
    </xf>
    <xf numFmtId="167" fontId="84" fillId="28" borderId="76" xfId="0" applyNumberFormat="1" applyFont="1" applyFill="1" applyBorder="1" applyAlignment="1">
      <alignment horizontal="center" vertical="center"/>
    </xf>
    <xf numFmtId="0" fontId="0" fillId="28" borderId="8" xfId="0" applyFill="1" applyBorder="1" applyAlignment="1">
      <alignment horizontal="center"/>
    </xf>
    <xf numFmtId="0" fontId="5" fillId="0" borderId="103" xfId="0" applyFont="1" applyBorder="1" applyAlignment="1">
      <alignment horizontal="center"/>
    </xf>
    <xf numFmtId="1" fontId="86" fillId="0" borderId="103" xfId="0" applyNumberFormat="1" applyFont="1" applyBorder="1" applyAlignment="1">
      <alignment horizontal="center"/>
    </xf>
    <xf numFmtId="0" fontId="0" fillId="0" borderId="103" xfId="0" applyBorder="1" applyAlignment="1">
      <alignment horizontal="center" vertical="center"/>
    </xf>
    <xf numFmtId="0" fontId="27" fillId="0" borderId="103" xfId="0" applyFont="1" applyBorder="1" applyAlignment="1">
      <alignment horizontal="center"/>
    </xf>
    <xf numFmtId="0" fontId="27" fillId="0" borderId="103" xfId="0" applyFont="1" applyBorder="1"/>
    <xf numFmtId="0" fontId="71" fillId="0" borderId="103" xfId="0" applyFont="1" applyBorder="1" applyAlignment="1">
      <alignment horizontal="center"/>
    </xf>
    <xf numFmtId="0" fontId="27" fillId="0" borderId="103" xfId="0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88" fillId="0" borderId="0" xfId="0" applyFont="1" applyAlignment="1">
      <alignment horizontal="right" vertical="center"/>
    </xf>
    <xf numFmtId="0" fontId="28" fillId="0" borderId="103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7" fillId="0" borderId="10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0" fillId="0" borderId="103" xfId="0" applyFont="1" applyBorder="1" applyAlignment="1">
      <alignment horizontal="center"/>
    </xf>
    <xf numFmtId="0" fontId="27" fillId="0" borderId="103" xfId="0" applyFont="1" applyBorder="1" applyAlignment="1">
      <alignment horizontal="left"/>
    </xf>
    <xf numFmtId="0" fontId="0" fillId="0" borderId="103" xfId="0" applyBorder="1" applyAlignment="1">
      <alignment horizontal="center"/>
    </xf>
    <xf numFmtId="0" fontId="27" fillId="27" borderId="103" xfId="0" applyFont="1" applyFill="1" applyBorder="1" applyAlignment="1">
      <alignment horizontal="center"/>
    </xf>
    <xf numFmtId="0" fontId="71" fillId="27" borderId="103" xfId="0" applyFont="1" applyFill="1" applyBorder="1" applyAlignment="1">
      <alignment horizontal="center"/>
    </xf>
    <xf numFmtId="0" fontId="27" fillId="27" borderId="103" xfId="0" applyFont="1" applyFill="1" applyBorder="1" applyAlignment="1">
      <alignment horizontal="center" vertical="center"/>
    </xf>
    <xf numFmtId="0" fontId="27" fillId="28" borderId="103" xfId="0" applyFont="1" applyFill="1" applyBorder="1" applyAlignment="1">
      <alignment horizontal="center"/>
    </xf>
    <xf numFmtId="0" fontId="72" fillId="0" borderId="103" xfId="0" applyFont="1" applyBorder="1" applyAlignment="1">
      <alignment horizontal="center" vertical="center" wrapText="1"/>
    </xf>
    <xf numFmtId="0" fontId="72" fillId="27" borderId="103" xfId="0" applyFont="1" applyFill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71" fillId="0" borderId="103" xfId="0" applyFont="1" applyBorder="1" applyAlignment="1">
      <alignment horizontal="center" vertical="center" wrapText="1"/>
    </xf>
    <xf numFmtId="0" fontId="27" fillId="27" borderId="103" xfId="0" applyFont="1" applyFill="1" applyBorder="1" applyAlignment="1">
      <alignment horizontal="center" vertical="center" wrapText="1"/>
    </xf>
    <xf numFmtId="0" fontId="71" fillId="27" borderId="103" xfId="0" applyFont="1" applyFill="1" applyBorder="1" applyAlignment="1">
      <alignment horizontal="center" vertical="center" wrapText="1"/>
    </xf>
    <xf numFmtId="0" fontId="73" fillId="0" borderId="103" xfId="0" applyFont="1" applyBorder="1" applyAlignment="1">
      <alignment horizontal="center" vertical="center" wrapText="1"/>
    </xf>
    <xf numFmtId="0" fontId="73" fillId="27" borderId="103" xfId="0" applyFont="1" applyFill="1" applyBorder="1" applyAlignment="1">
      <alignment horizontal="center" vertical="center" wrapText="1"/>
    </xf>
    <xf numFmtId="0" fontId="0" fillId="27" borderId="103" xfId="0" applyFill="1" applyBorder="1" applyAlignment="1">
      <alignment horizontal="center"/>
    </xf>
    <xf numFmtId="0" fontId="28" fillId="27" borderId="103" xfId="0" applyFont="1" applyFill="1" applyBorder="1" applyAlignment="1">
      <alignment horizontal="center"/>
    </xf>
    <xf numFmtId="0" fontId="71" fillId="28" borderId="103" xfId="0" applyFont="1" applyFill="1" applyBorder="1" applyAlignment="1">
      <alignment horizontal="center"/>
    </xf>
    <xf numFmtId="0" fontId="91" fillId="0" borderId="103" xfId="0" applyFont="1" applyBorder="1" applyAlignment="1">
      <alignment horizontal="center"/>
    </xf>
    <xf numFmtId="0" fontId="91" fillId="27" borderId="103" xfId="0" applyFont="1" applyFill="1" applyBorder="1" applyAlignment="1">
      <alignment horizontal="center"/>
    </xf>
    <xf numFmtId="0" fontId="0" fillId="27" borderId="103" xfId="0" applyFill="1" applyBorder="1" applyAlignment="1">
      <alignment horizontal="center" vertical="center"/>
    </xf>
    <xf numFmtId="0" fontId="3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center"/>
    </xf>
    <xf numFmtId="0" fontId="71" fillId="27" borderId="103" xfId="0" applyFont="1" applyFill="1" applyBorder="1" applyAlignment="1">
      <alignment horizontal="center" wrapText="1"/>
    </xf>
    <xf numFmtId="0" fontId="71" fillId="0" borderId="103" xfId="0" applyFont="1" applyBorder="1" applyAlignment="1">
      <alignment horizontal="center" wrapText="1"/>
    </xf>
    <xf numFmtId="0" fontId="27" fillId="27" borderId="103" xfId="0" applyFont="1" applyFill="1" applyBorder="1" applyAlignment="1">
      <alignment horizontal="left"/>
    </xf>
    <xf numFmtId="0" fontId="0" fillId="27" borderId="103" xfId="0" applyFill="1" applyBorder="1" applyAlignment="1">
      <alignment horizontal="left"/>
    </xf>
    <xf numFmtId="0" fontId="0" fillId="0" borderId="103" xfId="0" applyBorder="1" applyAlignment="1">
      <alignment horizontal="left"/>
    </xf>
    <xf numFmtId="0" fontId="71" fillId="27" borderId="103" xfId="0" applyFont="1" applyFill="1" applyBorder="1" applyAlignment="1">
      <alignment horizontal="left"/>
    </xf>
    <xf numFmtId="0" fontId="71" fillId="0" borderId="103" xfId="0" applyFont="1" applyBorder="1" applyAlignment="1">
      <alignment horizontal="left"/>
    </xf>
    <xf numFmtId="0" fontId="27" fillId="27" borderId="103" xfId="0" applyFont="1" applyFill="1" applyBorder="1" applyAlignment="1">
      <alignment horizontal="left" vertical="center"/>
    </xf>
    <xf numFmtId="0" fontId="27" fillId="0" borderId="103" xfId="0" applyFont="1" applyBorder="1" applyAlignment="1">
      <alignment horizontal="left" vertical="center"/>
    </xf>
    <xf numFmtId="0" fontId="71" fillId="28" borderId="103" xfId="0" applyFont="1" applyFill="1" applyBorder="1" applyAlignment="1">
      <alignment horizontal="left"/>
    </xf>
    <xf numFmtId="0" fontId="91" fillId="27" borderId="103" xfId="0" applyFont="1" applyFill="1" applyBorder="1" applyAlignment="1">
      <alignment horizontal="left"/>
    </xf>
    <xf numFmtId="0" fontId="91" fillId="0" borderId="103" xfId="0" applyFont="1" applyBorder="1" applyAlignment="1">
      <alignment horizontal="left"/>
    </xf>
    <xf numFmtId="0" fontId="49" fillId="0" borderId="103" xfId="0" applyFont="1" applyBorder="1" applyAlignment="1">
      <alignment horizontal="left" vertical="center" wrapText="1"/>
    </xf>
    <xf numFmtId="0" fontId="49" fillId="0" borderId="103" xfId="0" applyFont="1" applyBorder="1" applyAlignment="1">
      <alignment horizontal="left"/>
    </xf>
    <xf numFmtId="0" fontId="71" fillId="27" borderId="103" xfId="1" applyFont="1" applyFill="1" applyBorder="1" applyAlignment="1">
      <alignment horizontal="left"/>
    </xf>
    <xf numFmtId="0" fontId="71" fillId="0" borderId="103" xfId="1" applyFont="1" applyBorder="1" applyAlignment="1">
      <alignment horizontal="left"/>
    </xf>
    <xf numFmtId="0" fontId="73" fillId="27" borderId="103" xfId="1" applyFont="1" applyFill="1" applyBorder="1" applyAlignment="1">
      <alignment horizontal="left"/>
    </xf>
    <xf numFmtId="0" fontId="72" fillId="27" borderId="103" xfId="0" applyFont="1" applyFill="1" applyBorder="1" applyAlignment="1">
      <alignment horizontal="left" vertical="center"/>
    </xf>
    <xf numFmtId="0" fontId="72" fillId="0" borderId="103" xfId="0" applyFont="1" applyBorder="1" applyAlignment="1">
      <alignment horizontal="left" vertical="center"/>
    </xf>
    <xf numFmtId="44" fontId="27" fillId="27" borderId="103" xfId="289" applyFont="1" applyFill="1" applyBorder="1" applyAlignment="1">
      <alignment horizontal="left"/>
    </xf>
    <xf numFmtId="0" fontId="73" fillId="0" borderId="103" xfId="1" applyFont="1" applyBorder="1" applyAlignment="1">
      <alignment horizontal="left"/>
    </xf>
    <xf numFmtId="0" fontId="31" fillId="27" borderId="103" xfId="0" applyFont="1" applyFill="1" applyBorder="1" applyAlignment="1">
      <alignment horizontal="left" vertical="center" wrapText="1"/>
    </xf>
    <xf numFmtId="0" fontId="27" fillId="0" borderId="103" xfId="0" applyFont="1" applyBorder="1" applyAlignment="1">
      <alignment horizontal="left" vertical="center" wrapText="1"/>
    </xf>
    <xf numFmtId="0" fontId="27" fillId="27" borderId="103" xfId="0" applyFont="1" applyFill="1" applyBorder="1" applyAlignment="1">
      <alignment horizontal="left" vertical="center" wrapText="1"/>
    </xf>
    <xf numFmtId="0" fontId="73" fillId="0" borderId="103" xfId="0" applyFont="1" applyBorder="1" applyAlignment="1">
      <alignment horizontal="left"/>
    </xf>
    <xf numFmtId="0" fontId="73" fillId="27" borderId="103" xfId="1" applyFont="1" applyFill="1" applyBorder="1" applyAlignment="1">
      <alignment horizontal="center"/>
    </xf>
    <xf numFmtId="0" fontId="56" fillId="0" borderId="103" xfId="0" applyFont="1" applyBorder="1" applyAlignment="1">
      <alignment horizontal="left" wrapText="1"/>
    </xf>
    <xf numFmtId="0" fontId="56" fillId="27" borderId="103" xfId="0" applyFont="1" applyFill="1" applyBorder="1" applyAlignment="1">
      <alignment horizontal="left" wrapText="1"/>
    </xf>
    <xf numFmtId="0" fontId="73" fillId="32" borderId="103" xfId="0" applyFont="1" applyFill="1" applyBorder="1" applyAlignment="1">
      <alignment horizontal="left"/>
    </xf>
    <xf numFmtId="0" fontId="71" fillId="32" borderId="103" xfId="0" applyFont="1" applyFill="1" applyBorder="1" applyAlignment="1">
      <alignment horizontal="left"/>
    </xf>
    <xf numFmtId="0" fontId="72" fillId="27" borderId="103" xfId="0" applyFont="1" applyFill="1" applyBorder="1" applyAlignment="1">
      <alignment horizontal="left" vertical="center" wrapText="1"/>
    </xf>
    <xf numFmtId="0" fontId="72" fillId="0" borderId="103" xfId="0" applyFont="1" applyBorder="1" applyAlignment="1">
      <alignment horizontal="left" vertical="center" wrapText="1"/>
    </xf>
    <xf numFmtId="0" fontId="27" fillId="0" borderId="103" xfId="285" applyFont="1" applyBorder="1" applyAlignment="1">
      <alignment horizontal="left"/>
    </xf>
    <xf numFmtId="0" fontId="27" fillId="27" borderId="103" xfId="285" applyFont="1" applyFill="1" applyBorder="1" applyAlignment="1">
      <alignment horizontal="left"/>
    </xf>
    <xf numFmtId="0" fontId="31" fillId="27" borderId="103" xfId="0" applyFont="1" applyFill="1" applyBorder="1" applyAlignment="1">
      <alignment horizontal="left" vertical="center"/>
    </xf>
    <xf numFmtId="0" fontId="31" fillId="0" borderId="103" xfId="0" applyFont="1" applyBorder="1" applyAlignment="1">
      <alignment horizontal="left" vertical="center"/>
    </xf>
    <xf numFmtId="0" fontId="71" fillId="0" borderId="103" xfId="176" applyFont="1" applyBorder="1" applyAlignment="1">
      <alignment horizontal="center"/>
    </xf>
    <xf numFmtId="0" fontId="71" fillId="27" borderId="103" xfId="176" applyFont="1" applyFill="1" applyBorder="1" applyAlignment="1">
      <alignment horizontal="center"/>
    </xf>
    <xf numFmtId="0" fontId="27" fillId="0" borderId="103" xfId="176" applyFont="1" applyBorder="1" applyAlignment="1">
      <alignment horizontal="left"/>
    </xf>
    <xf numFmtId="0" fontId="27" fillId="27" borderId="103" xfId="176" applyFont="1" applyFill="1" applyBorder="1" applyAlignment="1">
      <alignment horizontal="left"/>
    </xf>
    <xf numFmtId="0" fontId="71" fillId="0" borderId="103" xfId="0" applyFont="1" applyBorder="1" applyAlignment="1">
      <alignment horizontal="left" vertical="center"/>
    </xf>
    <xf numFmtId="0" fontId="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left"/>
    </xf>
    <xf numFmtId="0" fontId="31" fillId="27" borderId="103" xfId="0" applyFont="1" applyFill="1" applyBorder="1" applyAlignment="1">
      <alignment horizontal="left"/>
    </xf>
    <xf numFmtId="0" fontId="71" fillId="27" borderId="103" xfId="0" applyFont="1" applyFill="1" applyBorder="1" applyAlignment="1">
      <alignment horizontal="left" wrapText="1"/>
    </xf>
    <xf numFmtId="0" fontId="71" fillId="0" borderId="103" xfId="0" applyFont="1" applyBorder="1" applyAlignment="1">
      <alignment horizontal="left" wrapText="1"/>
    </xf>
    <xf numFmtId="0" fontId="71" fillId="27" borderId="103" xfId="0" applyFont="1" applyFill="1" applyBorder="1" applyAlignment="1">
      <alignment horizontal="left" vertical="top" wrapText="1"/>
    </xf>
    <xf numFmtId="0" fontId="71" fillId="0" borderId="103" xfId="0" applyFont="1" applyBorder="1" applyAlignment="1">
      <alignment horizontal="left" vertical="top" wrapText="1"/>
    </xf>
    <xf numFmtId="0" fontId="71" fillId="27" borderId="103" xfId="0" applyFont="1" applyFill="1" applyBorder="1" applyAlignment="1">
      <alignment horizontal="left" vertical="center"/>
    </xf>
    <xf numFmtId="0" fontId="27" fillId="27" borderId="103" xfId="0" applyFont="1" applyFill="1" applyBorder="1"/>
    <xf numFmtId="0" fontId="27" fillId="27" borderId="103" xfId="0" applyFont="1" applyFill="1" applyBorder="1" applyAlignment="1">
      <alignment vertical="center"/>
    </xf>
    <xf numFmtId="0" fontId="31" fillId="27" borderId="103" xfId="0" applyFont="1" applyFill="1" applyBorder="1"/>
    <xf numFmtId="0" fontId="71" fillId="0" borderId="103" xfId="0" applyFont="1" applyBorder="1"/>
    <xf numFmtId="0" fontId="78" fillId="0" borderId="103" xfId="0" applyFont="1" applyBorder="1" applyAlignment="1">
      <alignment horizontal="center"/>
    </xf>
    <xf numFmtId="0" fontId="31" fillId="0" borderId="103" xfId="0" applyFont="1" applyBorder="1" applyAlignment="1">
      <alignment vertical="center"/>
    </xf>
    <xf numFmtId="0" fontId="31" fillId="27" borderId="103" xfId="0" applyFont="1" applyFill="1" applyBorder="1" applyAlignment="1">
      <alignment vertical="center"/>
    </xf>
    <xf numFmtId="0" fontId="72" fillId="27" borderId="103" xfId="0" applyFont="1" applyFill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27" fillId="27" borderId="103" xfId="0" applyFont="1" applyFill="1" applyBorder="1" applyAlignment="1">
      <alignment vertical="center" wrapText="1"/>
    </xf>
    <xf numFmtId="0" fontId="27" fillId="0" borderId="103" xfId="0" applyFont="1" applyBorder="1" applyAlignment="1">
      <alignment vertical="center" wrapText="1"/>
    </xf>
    <xf numFmtId="0" fontId="0" fillId="27" borderId="103" xfId="0" applyFill="1" applyBorder="1"/>
    <xf numFmtId="0" fontId="56" fillId="27" borderId="103" xfId="0" applyFont="1" applyFill="1" applyBorder="1" applyAlignment="1">
      <alignment wrapText="1"/>
    </xf>
    <xf numFmtId="0" fontId="56" fillId="0" borderId="103" xfId="0" applyFont="1" applyBorder="1" applyAlignment="1">
      <alignment wrapText="1"/>
    </xf>
    <xf numFmtId="0" fontId="49" fillId="27" borderId="103" xfId="0" applyFont="1" applyFill="1" applyBorder="1" applyAlignment="1">
      <alignment vertical="center" wrapText="1"/>
    </xf>
    <xf numFmtId="0" fontId="49" fillId="0" borderId="103" xfId="0" applyFont="1" applyBorder="1" applyAlignment="1">
      <alignment vertical="center" wrapText="1"/>
    </xf>
    <xf numFmtId="0" fontId="49" fillId="27" borderId="103" xfId="0" applyFont="1" applyFill="1" applyBorder="1"/>
    <xf numFmtId="0" fontId="72" fillId="27" borderId="103" xfId="0" applyFont="1" applyFill="1" applyBorder="1"/>
    <xf numFmtId="0" fontId="92" fillId="28" borderId="103" xfId="0" applyFont="1" applyFill="1" applyBorder="1"/>
    <xf numFmtId="0" fontId="91" fillId="28" borderId="103" xfId="0" applyFont="1" applyFill="1" applyBorder="1"/>
    <xf numFmtId="0" fontId="90" fillId="27" borderId="103" xfId="0" applyFont="1" applyFill="1" applyBorder="1" applyAlignment="1">
      <alignment horizontal="center"/>
    </xf>
    <xf numFmtId="0" fontId="0" fillId="0" borderId="103" xfId="0" applyBorder="1"/>
    <xf numFmtId="0" fontId="92" fillId="0" borderId="103" xfId="0" applyFont="1" applyBorder="1"/>
    <xf numFmtId="0" fontId="0" fillId="27" borderId="103" xfId="0" applyFill="1" applyBorder="1" applyAlignment="1">
      <alignment vertical="center"/>
    </xf>
    <xf numFmtId="0" fontId="31" fillId="0" borderId="103" xfId="0" applyFont="1" applyBorder="1"/>
    <xf numFmtId="0" fontId="1" fillId="0" borderId="103" xfId="0" applyFont="1" applyBorder="1" applyAlignment="1">
      <alignment horizontal="center"/>
    </xf>
    <xf numFmtId="0" fontId="30" fillId="28" borderId="103" xfId="0" applyFont="1" applyFill="1" applyBorder="1" applyAlignment="1">
      <alignment horizontal="left" vertical="center" indent="1"/>
    </xf>
    <xf numFmtId="0" fontId="30" fillId="28" borderId="103" xfId="0" applyFont="1" applyFill="1" applyBorder="1" applyAlignment="1">
      <alignment horizontal="left" vertical="center" indent="2"/>
    </xf>
    <xf numFmtId="0" fontId="49" fillId="27" borderId="103" xfId="0" applyFont="1" applyFill="1" applyBorder="1" applyAlignment="1">
      <alignment horizontal="left"/>
    </xf>
    <xf numFmtId="0" fontId="49" fillId="27" borderId="103" xfId="0" applyFont="1" applyFill="1" applyBorder="1" applyAlignment="1">
      <alignment horizontal="left" vertical="center" wrapText="1"/>
    </xf>
    <xf numFmtId="0" fontId="72" fillId="0" borderId="103" xfId="0" applyFont="1" applyBorder="1" applyAlignment="1">
      <alignment horizontal="center" vertical="center"/>
    </xf>
    <xf numFmtId="0" fontId="29" fillId="0" borderId="103" xfId="0" applyFont="1" applyBorder="1" applyAlignment="1">
      <alignment horizontal="center" wrapText="1"/>
    </xf>
    <xf numFmtId="0" fontId="37" fillId="0" borderId="103" xfId="0" applyFont="1" applyBorder="1" applyAlignment="1">
      <alignment horizontal="center" wrapText="1"/>
    </xf>
    <xf numFmtId="0" fontId="1" fillId="0" borderId="103" xfId="0" applyFont="1" applyBorder="1" applyAlignment="1">
      <alignment horizontal="center" wrapText="1"/>
    </xf>
    <xf numFmtId="0" fontId="28" fillId="27" borderId="103" xfId="0" applyFont="1" applyFill="1" applyBorder="1" applyAlignment="1">
      <alignment horizontal="left"/>
    </xf>
    <xf numFmtId="0" fontId="28" fillId="0" borderId="103" xfId="0" applyFont="1" applyBorder="1" applyAlignment="1">
      <alignment horizontal="left"/>
    </xf>
    <xf numFmtId="0" fontId="82" fillId="0" borderId="103" xfId="0" applyFont="1" applyBorder="1" applyAlignment="1">
      <alignment horizontal="center"/>
    </xf>
    <xf numFmtId="0" fontId="90" fillId="0" borderId="103" xfId="0" applyFont="1" applyBorder="1" applyAlignment="1">
      <alignment horizontal="left"/>
    </xf>
    <xf numFmtId="0" fontId="90" fillId="27" borderId="103" xfId="0" applyFont="1" applyFill="1" applyBorder="1" applyAlignment="1">
      <alignment horizontal="left"/>
    </xf>
    <xf numFmtId="0" fontId="89" fillId="0" borderId="103" xfId="0" applyFont="1" applyBorder="1" applyAlignment="1">
      <alignment horizontal="center"/>
    </xf>
    <xf numFmtId="0" fontId="93" fillId="0" borderId="103" xfId="0" applyFont="1" applyBorder="1" applyAlignment="1">
      <alignment horizontal="center"/>
    </xf>
    <xf numFmtId="0" fontId="94" fillId="0" borderId="103" xfId="0" applyFont="1" applyBorder="1" applyAlignment="1">
      <alignment horizontal="center"/>
    </xf>
    <xf numFmtId="0" fontId="29" fillId="0" borderId="103" xfId="0" applyFont="1" applyBorder="1" applyAlignment="1">
      <alignment horizontal="center"/>
    </xf>
    <xf numFmtId="0" fontId="29" fillId="0" borderId="103" xfId="0" applyFont="1" applyBorder="1"/>
    <xf numFmtId="0" fontId="77" fillId="0" borderId="103" xfId="0" applyFont="1" applyBorder="1" applyAlignment="1">
      <alignment horizontal="center"/>
    </xf>
    <xf numFmtId="0" fontId="77" fillId="0" borderId="103" xfId="0" applyFont="1" applyBorder="1"/>
    <xf numFmtId="0" fontId="93" fillId="0" borderId="103" xfId="0" applyFont="1" applyBorder="1"/>
    <xf numFmtId="0" fontId="89" fillId="0" borderId="103" xfId="0" applyFont="1" applyBorder="1"/>
    <xf numFmtId="0" fontId="95" fillId="0" borderId="103" xfId="0" applyFont="1" applyBorder="1"/>
    <xf numFmtId="0" fontId="61" fillId="28" borderId="47" xfId="0" applyFont="1" applyFill="1" applyBorder="1" applyAlignment="1">
      <alignment horizontal="center" vertical="center"/>
    </xf>
    <xf numFmtId="0" fontId="96" fillId="28" borderId="47" xfId="0" applyFont="1" applyFill="1" applyBorder="1" applyAlignment="1">
      <alignment horizontal="center" vertical="center"/>
    </xf>
    <xf numFmtId="0" fontId="61" fillId="28" borderId="47" xfId="0" applyFont="1" applyFill="1" applyBorder="1" applyAlignment="1">
      <alignment vertical="center" wrapText="1"/>
    </xf>
    <xf numFmtId="0" fontId="61" fillId="28" borderId="47" xfId="0" applyFont="1" applyFill="1" applyBorder="1" applyAlignment="1">
      <alignment horizontal="left" vertical="center" wrapText="1"/>
    </xf>
    <xf numFmtId="0" fontId="61" fillId="28" borderId="1" xfId="0" applyFont="1" applyFill="1" applyBorder="1" applyAlignment="1">
      <alignment horizontal="center" vertical="center"/>
    </xf>
    <xf numFmtId="0" fontId="61" fillId="28" borderId="47" xfId="0" applyFont="1" applyFill="1" applyBorder="1" applyAlignment="1">
      <alignment vertical="center"/>
    </xf>
    <xf numFmtId="167" fontId="96" fillId="28" borderId="47" xfId="0" applyNumberFormat="1" applyFont="1" applyFill="1" applyBorder="1" applyAlignment="1">
      <alignment horizontal="center" vertical="center"/>
    </xf>
    <xf numFmtId="0" fontId="61" fillId="28" borderId="47" xfId="0" applyFont="1" applyFill="1" applyBorder="1" applyAlignment="1">
      <alignment horizontal="left" vertical="center"/>
    </xf>
    <xf numFmtId="0" fontId="27" fillId="0" borderId="96" xfId="0" applyFont="1" applyBorder="1" applyAlignment="1">
      <alignment horizontal="center"/>
    </xf>
    <xf numFmtId="0" fontId="27" fillId="0" borderId="96" xfId="0" applyFont="1" applyBorder="1"/>
    <xf numFmtId="0" fontId="27" fillId="27" borderId="96" xfId="0" applyFont="1" applyFill="1" applyBorder="1" applyAlignment="1">
      <alignment horizontal="center"/>
    </xf>
    <xf numFmtId="0" fontId="27" fillId="27" borderId="96" xfId="0" applyFont="1" applyFill="1" applyBorder="1"/>
    <xf numFmtId="0" fontId="78" fillId="27" borderId="103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85" fillId="28" borderId="96" xfId="0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vertical="center"/>
    </xf>
    <xf numFmtId="0" fontId="43" fillId="28" borderId="96" xfId="0" applyFont="1" applyFill="1" applyBorder="1" applyAlignment="1">
      <alignment horizontal="left" vertical="center"/>
    </xf>
    <xf numFmtId="0" fontId="43" fillId="28" borderId="97" xfId="0" applyFont="1" applyFill="1" applyBorder="1" applyAlignment="1">
      <alignment vertical="center"/>
    </xf>
    <xf numFmtId="0" fontId="43" fillId="28" borderId="97" xfId="0" applyFont="1" applyFill="1" applyBorder="1" applyAlignment="1">
      <alignment horizontal="left" vertical="center"/>
    </xf>
    <xf numFmtId="0" fontId="58" fillId="0" borderId="75" xfId="0" applyFont="1" applyBorder="1" applyAlignment="1">
      <alignment horizontal="center" vertical="center"/>
    </xf>
    <xf numFmtId="0" fontId="59" fillId="28" borderId="76" xfId="0" applyFont="1" applyFill="1" applyBorder="1" applyAlignment="1">
      <alignment horizontal="center" vertical="center"/>
    </xf>
    <xf numFmtId="0" fontId="55" fillId="28" borderId="76" xfId="0" applyFont="1" applyFill="1" applyBorder="1" applyAlignment="1">
      <alignment horizontal="center" vertical="center"/>
    </xf>
    <xf numFmtId="0" fontId="98" fillId="28" borderId="96" xfId="0" applyFont="1" applyFill="1" applyBorder="1" applyAlignment="1">
      <alignment horizontal="center" vertical="center"/>
    </xf>
    <xf numFmtId="0" fontId="97" fillId="0" borderId="73" xfId="0" applyFont="1" applyBorder="1" applyAlignment="1">
      <alignment horizontal="center" vertical="center"/>
    </xf>
    <xf numFmtId="0" fontId="98" fillId="28" borderId="72" xfId="0" applyFont="1" applyFill="1" applyBorder="1" applyAlignment="1">
      <alignment horizontal="center" vertical="center"/>
    </xf>
    <xf numFmtId="0" fontId="97" fillId="0" borderId="47" xfId="0" applyFont="1" applyBorder="1" applyAlignment="1">
      <alignment horizontal="center" vertical="center"/>
    </xf>
    <xf numFmtId="0" fontId="97" fillId="28" borderId="47" xfId="0" applyFont="1" applyFill="1" applyBorder="1" applyAlignment="1">
      <alignment horizontal="center" vertical="center"/>
    </xf>
    <xf numFmtId="0" fontId="97" fillId="28" borderId="74" xfId="0" applyFont="1" applyFill="1" applyBorder="1" applyAlignment="1">
      <alignment horizontal="center" vertical="center"/>
    </xf>
    <xf numFmtId="0" fontId="97" fillId="28" borderId="1" xfId="0" applyFont="1" applyFill="1" applyBorder="1" applyAlignment="1">
      <alignment horizontal="center" vertical="center"/>
    </xf>
    <xf numFmtId="167" fontId="97" fillId="28" borderId="47" xfId="0" applyNumberFormat="1" applyFont="1" applyFill="1" applyBorder="1" applyAlignment="1">
      <alignment horizontal="center" vertical="center"/>
    </xf>
    <xf numFmtId="167" fontId="97" fillId="28" borderId="74" xfId="0" applyNumberFormat="1" applyFont="1" applyFill="1" applyBorder="1" applyAlignment="1">
      <alignment horizontal="center" vertical="center"/>
    </xf>
    <xf numFmtId="0" fontId="98" fillId="0" borderId="47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98" fillId="0" borderId="74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98" fillId="28" borderId="47" xfId="0" applyFont="1" applyFill="1" applyBorder="1" applyAlignment="1">
      <alignment horizontal="center" vertical="center"/>
    </xf>
    <xf numFmtId="0" fontId="98" fillId="28" borderId="1" xfId="0" applyFont="1" applyFill="1" applyBorder="1" applyAlignment="1">
      <alignment horizontal="center" vertical="center"/>
    </xf>
    <xf numFmtId="168" fontId="97" fillId="28" borderId="47" xfId="0" applyNumberFormat="1" applyFont="1" applyFill="1" applyBorder="1" applyAlignment="1">
      <alignment horizontal="center" vertical="center"/>
    </xf>
    <xf numFmtId="0" fontId="98" fillId="28" borderId="74" xfId="0" applyFont="1" applyFill="1" applyBorder="1" applyAlignment="1">
      <alignment horizontal="center" vertical="center"/>
    </xf>
    <xf numFmtId="0" fontId="98" fillId="28" borderId="80" xfId="0" applyFont="1" applyFill="1" applyBorder="1" applyAlignment="1">
      <alignment horizontal="center" vertical="center"/>
    </xf>
    <xf numFmtId="0" fontId="43" fillId="28" borderId="106" xfId="0" applyFont="1" applyFill="1" applyBorder="1" applyAlignment="1">
      <alignment horizontal="center" vertical="center"/>
    </xf>
    <xf numFmtId="0" fontId="98" fillId="28" borderId="76" xfId="0" applyFont="1" applyFill="1" applyBorder="1" applyAlignment="1">
      <alignment horizontal="center" vertical="center"/>
    </xf>
    <xf numFmtId="0" fontId="62" fillId="0" borderId="60" xfId="0" applyFont="1" applyBorder="1" applyAlignment="1">
      <alignment horizontal="center" vertical="center"/>
    </xf>
    <xf numFmtId="0" fontId="62" fillId="28" borderId="60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28" borderId="0" xfId="0" applyFont="1" applyFill="1" applyAlignment="1">
      <alignment horizontal="center" vertical="center"/>
    </xf>
    <xf numFmtId="168" fontId="97" fillId="30" borderId="1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center" vertical="center"/>
    </xf>
    <xf numFmtId="0" fontId="75" fillId="28" borderId="103" xfId="0" applyFont="1" applyFill="1" applyBorder="1" applyAlignment="1">
      <alignment horizontal="center" vertical="center"/>
    </xf>
    <xf numFmtId="0" fontId="59" fillId="28" borderId="103" xfId="0" applyFont="1" applyFill="1" applyBorder="1" applyAlignment="1">
      <alignment horizontal="center" vertical="center"/>
    </xf>
    <xf numFmtId="0" fontId="80" fillId="28" borderId="103" xfId="0" applyFont="1" applyFill="1" applyBorder="1" applyAlignment="1">
      <alignment horizontal="center" vertical="center"/>
    </xf>
    <xf numFmtId="0" fontId="63" fillId="28" borderId="103" xfId="0" applyFont="1" applyFill="1" applyBorder="1" applyAlignment="1">
      <alignment horizontal="center" vertical="center"/>
    </xf>
    <xf numFmtId="0" fontId="80" fillId="28" borderId="105" xfId="0" applyFont="1" applyFill="1" applyBorder="1" applyAlignment="1">
      <alignment horizontal="center" vertical="center"/>
    </xf>
    <xf numFmtId="0" fontId="75" fillId="28" borderId="105" xfId="0" applyFont="1" applyFill="1" applyBorder="1" applyAlignment="1">
      <alignment horizontal="center" vertical="center"/>
    </xf>
    <xf numFmtId="0" fontId="1" fillId="29" borderId="1" xfId="0" applyFont="1" applyFill="1" applyBorder="1" applyAlignment="1">
      <alignment horizontal="center"/>
    </xf>
    <xf numFmtId="168" fontId="97" fillId="30" borderId="47" xfId="0" applyNumberFormat="1" applyFont="1" applyFill="1" applyBorder="1" applyAlignment="1">
      <alignment horizontal="center" vertical="center"/>
    </xf>
    <xf numFmtId="0" fontId="43" fillId="28" borderId="74" xfId="0" applyFont="1" applyFill="1" applyBorder="1" applyAlignment="1">
      <alignment horizontal="center" vertical="center" wrapText="1"/>
    </xf>
    <xf numFmtId="0" fontId="61" fillId="27" borderId="103" xfId="0" applyFont="1" applyFill="1" applyBorder="1" applyAlignment="1">
      <alignment horizontal="center"/>
    </xf>
    <xf numFmtId="0" fontId="37" fillId="28" borderId="107" xfId="0" applyFont="1" applyFill="1" applyBorder="1" applyAlignment="1">
      <alignment horizontal="center" vertical="center"/>
    </xf>
    <xf numFmtId="0" fontId="37" fillId="28" borderId="103" xfId="0" applyFont="1" applyFill="1" applyBorder="1" applyAlignment="1">
      <alignment horizontal="center" vertical="center"/>
    </xf>
    <xf numFmtId="167" fontId="37" fillId="28" borderId="103" xfId="0" applyNumberFormat="1" applyFont="1" applyFill="1" applyBorder="1" applyAlignment="1">
      <alignment horizontal="left" vertical="center"/>
    </xf>
    <xf numFmtId="168" fontId="37" fillId="28" borderId="103" xfId="0" applyNumberFormat="1" applyFont="1" applyFill="1" applyBorder="1" applyAlignment="1">
      <alignment horizontal="center" vertical="center"/>
    </xf>
    <xf numFmtId="168" fontId="37" fillId="30" borderId="103" xfId="0" applyNumberFormat="1" applyFont="1" applyFill="1" applyBorder="1" applyAlignment="1">
      <alignment horizontal="center" vertical="center"/>
    </xf>
    <xf numFmtId="0" fontId="43" fillId="28" borderId="107" xfId="0" applyFont="1" applyFill="1" applyBorder="1" applyAlignment="1">
      <alignment horizontal="center" vertical="center"/>
    </xf>
    <xf numFmtId="0" fontId="61" fillId="28" borderId="103" xfId="0" applyFont="1" applyFill="1" applyBorder="1" applyAlignment="1">
      <alignment horizontal="center" vertical="center"/>
    </xf>
    <xf numFmtId="168" fontId="37" fillId="0" borderId="47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0" fillId="0" borderId="47" xfId="0" applyBorder="1" applyAlignment="1">
      <alignment horizontal="left"/>
    </xf>
    <xf numFmtId="0" fontId="43" fillId="28" borderId="105" xfId="0" applyFont="1" applyFill="1" applyBorder="1" applyAlignment="1">
      <alignment vertical="center" wrapText="1"/>
    </xf>
    <xf numFmtId="167" fontId="37" fillId="28" borderId="103" xfId="0" applyNumberFormat="1" applyFont="1" applyFill="1" applyBorder="1" applyAlignment="1">
      <alignment horizontal="center" vertical="center"/>
    </xf>
    <xf numFmtId="167" fontId="37" fillId="28" borderId="105" xfId="0" applyNumberFormat="1" applyFont="1" applyFill="1" applyBorder="1" applyAlignment="1">
      <alignment horizontal="center" vertical="center"/>
    </xf>
    <xf numFmtId="168" fontId="37" fillId="28" borderId="105" xfId="0" applyNumberFormat="1" applyFont="1" applyFill="1" applyBorder="1" applyAlignment="1">
      <alignment horizontal="center" vertical="center"/>
    </xf>
    <xf numFmtId="168" fontId="37" fillId="30" borderId="105" xfId="0" applyNumberFormat="1" applyFont="1" applyFill="1" applyBorder="1" applyAlignment="1">
      <alignment horizontal="center" vertical="center"/>
    </xf>
    <xf numFmtId="167" fontId="58" fillId="28" borderId="96" xfId="0" applyNumberFormat="1" applyFont="1" applyFill="1" applyBorder="1" applyAlignment="1">
      <alignment horizontal="center" vertical="center"/>
    </xf>
    <xf numFmtId="0" fontId="85" fillId="28" borderId="47" xfId="0" applyFont="1" applyFill="1" applyBorder="1" applyAlignment="1">
      <alignment horizontal="left" vertical="center"/>
    </xf>
    <xf numFmtId="0" fontId="43" fillId="28" borderId="96" xfId="0" applyFont="1" applyFill="1" applyBorder="1" applyAlignment="1">
      <alignment vertical="center" wrapText="1"/>
    </xf>
    <xf numFmtId="0" fontId="43" fillId="28" borderId="103" xfId="0" applyFont="1" applyFill="1" applyBorder="1" applyAlignment="1">
      <alignment vertical="center" wrapText="1"/>
    </xf>
    <xf numFmtId="0" fontId="43" fillId="28" borderId="96" xfId="0" applyFont="1" applyFill="1" applyBorder="1" applyAlignment="1">
      <alignment horizontal="center" vertical="center" wrapText="1"/>
    </xf>
    <xf numFmtId="0" fontId="43" fillId="28" borderId="105" xfId="0" applyFont="1" applyFill="1" applyBorder="1" applyAlignment="1">
      <alignment horizontal="center" vertical="center" wrapText="1"/>
    </xf>
    <xf numFmtId="0" fontId="43" fillId="28" borderId="103" xfId="0" applyFont="1" applyFill="1" applyBorder="1" applyAlignment="1">
      <alignment horizontal="center" vertical="center" wrapText="1"/>
    </xf>
    <xf numFmtId="167" fontId="84" fillId="28" borderId="80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43" fillId="28" borderId="97" xfId="0" applyFont="1" applyFill="1" applyBorder="1" applyAlignment="1">
      <alignment vertical="center" wrapText="1"/>
    </xf>
    <xf numFmtId="0" fontId="43" fillId="28" borderId="97" xfId="0" applyFont="1" applyFill="1" applyBorder="1" applyAlignment="1">
      <alignment horizontal="center" vertical="center" wrapText="1"/>
    </xf>
    <xf numFmtId="0" fontId="43" fillId="31" borderId="103" xfId="0" applyFont="1" applyFill="1" applyBorder="1" applyAlignment="1">
      <alignment horizontal="center" vertical="center" wrapText="1"/>
    </xf>
    <xf numFmtId="0" fontId="43" fillId="28" borderId="68" xfId="0" applyFont="1" applyFill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98" fillId="28" borderId="103" xfId="0" applyFont="1" applyFill="1" applyBorder="1" applyAlignment="1">
      <alignment horizontal="center" vertical="center"/>
    </xf>
    <xf numFmtId="0" fontId="98" fillId="28" borderId="105" xfId="0" applyFont="1" applyFill="1" applyBorder="1" applyAlignment="1">
      <alignment horizontal="center" vertical="center"/>
    </xf>
    <xf numFmtId="0" fontId="97" fillId="28" borderId="105" xfId="0" applyFont="1" applyFill="1" applyBorder="1" applyAlignment="1">
      <alignment horizontal="center" vertical="center"/>
    </xf>
    <xf numFmtId="167" fontId="97" fillId="28" borderId="0" xfId="0" applyNumberFormat="1" applyFont="1" applyFill="1" applyAlignment="1">
      <alignment horizontal="center" vertical="center"/>
    </xf>
    <xf numFmtId="167" fontId="58" fillId="28" borderId="1" xfId="0" applyNumberFormat="1" applyFont="1" applyFill="1" applyBorder="1" applyAlignment="1">
      <alignment horizontal="left" vertical="center"/>
    </xf>
    <xf numFmtId="0" fontId="84" fillId="28" borderId="1" xfId="0" applyFont="1" applyFill="1" applyBorder="1" applyAlignment="1">
      <alignment horizontal="left" vertical="center"/>
    </xf>
    <xf numFmtId="168" fontId="37" fillId="31" borderId="105" xfId="0" applyNumberFormat="1" applyFont="1" applyFill="1" applyBorder="1" applyAlignment="1">
      <alignment horizontal="center" vertical="center"/>
    </xf>
    <xf numFmtId="0" fontId="97" fillId="28" borderId="1" xfId="0" applyFont="1" applyFill="1" applyBorder="1" applyAlignment="1">
      <alignment horizontal="left" vertical="center"/>
    </xf>
    <xf numFmtId="0" fontId="97" fillId="28" borderId="105" xfId="0" applyFont="1" applyFill="1" applyBorder="1" applyAlignment="1">
      <alignment horizontal="left" vertical="center"/>
    </xf>
    <xf numFmtId="168" fontId="97" fillId="31" borderId="105" xfId="0" applyNumberFormat="1" applyFont="1" applyFill="1" applyBorder="1" applyAlignment="1">
      <alignment horizontal="center" vertical="center"/>
    </xf>
    <xf numFmtId="0" fontId="98" fillId="28" borderId="105" xfId="0" applyFont="1" applyFill="1" applyBorder="1" applyAlignment="1">
      <alignment horizontal="center"/>
    </xf>
    <xf numFmtId="0" fontId="28" fillId="29" borderId="80" xfId="0" applyFont="1" applyFill="1" applyBorder="1" applyAlignment="1">
      <alignment horizontal="center"/>
    </xf>
    <xf numFmtId="168" fontId="97" fillId="31" borderId="47" xfId="0" applyNumberFormat="1" applyFont="1" applyFill="1" applyBorder="1" applyAlignment="1">
      <alignment horizontal="center" vertical="center"/>
    </xf>
    <xf numFmtId="0" fontId="98" fillId="28" borderId="47" xfId="0" applyFont="1" applyFill="1" applyBorder="1" applyAlignment="1">
      <alignment horizontal="center"/>
    </xf>
    <xf numFmtId="0" fontId="100" fillId="30" borderId="103" xfId="0" applyFont="1" applyFill="1" applyBorder="1" applyAlignment="1">
      <alignment horizontal="left" vertical="center" indent="1"/>
    </xf>
    <xf numFmtId="0" fontId="101" fillId="0" borderId="103" xfId="0" applyFont="1" applyBorder="1" applyAlignment="1">
      <alignment horizontal="center"/>
    </xf>
    <xf numFmtId="0" fontId="102" fillId="0" borderId="103" xfId="0" applyFont="1" applyBorder="1" applyAlignment="1">
      <alignment horizontal="center"/>
    </xf>
    <xf numFmtId="0" fontId="101" fillId="0" borderId="106" xfId="0" applyFont="1" applyBorder="1" applyAlignment="1">
      <alignment horizontal="center"/>
    </xf>
    <xf numFmtId="0" fontId="64" fillId="27" borderId="103" xfId="0" applyFont="1" applyFill="1" applyBorder="1" applyAlignment="1">
      <alignment horizontal="center"/>
    </xf>
    <xf numFmtId="0" fontId="64" fillId="0" borderId="103" xfId="0" applyFont="1" applyBorder="1" applyAlignment="1">
      <alignment horizontal="center"/>
    </xf>
    <xf numFmtId="0" fontId="103" fillId="0" borderId="103" xfId="0" applyFont="1" applyBorder="1" applyAlignment="1">
      <alignment horizontal="center"/>
    </xf>
    <xf numFmtId="0" fontId="64" fillId="0" borderId="107" xfId="0" applyFont="1" applyBorder="1" applyAlignment="1">
      <alignment horizontal="center"/>
    </xf>
    <xf numFmtId="0" fontId="93" fillId="0" borderId="103" xfId="0" applyFont="1" applyBorder="1" applyAlignment="1">
      <alignment horizontal="left"/>
    </xf>
    <xf numFmtId="0" fontId="55" fillId="28" borderId="103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33" borderId="1" xfId="0" applyFill="1" applyBorder="1" applyAlignment="1">
      <alignment horizontal="center"/>
    </xf>
    <xf numFmtId="0" fontId="67" fillId="28" borderId="103" xfId="0" applyFont="1" applyFill="1" applyBorder="1" applyAlignment="1">
      <alignment horizontal="center"/>
    </xf>
    <xf numFmtId="0" fontId="43" fillId="31" borderId="76" xfId="0" applyFont="1" applyFill="1" applyBorder="1" applyAlignment="1">
      <alignment horizontal="center" vertical="center" wrapText="1"/>
    </xf>
    <xf numFmtId="0" fontId="75" fillId="28" borderId="76" xfId="0" applyFont="1" applyFill="1" applyBorder="1" applyAlignment="1">
      <alignment horizontal="center" vertical="center"/>
    </xf>
    <xf numFmtId="0" fontId="63" fillId="28" borderId="76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vertical="center"/>
    </xf>
    <xf numFmtId="0" fontId="43" fillId="28" borderId="109" xfId="0" applyFont="1" applyFill="1" applyBorder="1" applyAlignment="1">
      <alignment horizontal="center" vertical="center"/>
    </xf>
    <xf numFmtId="0" fontId="98" fillId="28" borderId="109" xfId="0" applyFont="1" applyFill="1" applyBorder="1" applyAlignment="1">
      <alignment horizontal="center" vertical="center"/>
    </xf>
    <xf numFmtId="0" fontId="63" fillId="28" borderId="109" xfId="0" applyFont="1" applyFill="1" applyBorder="1" applyAlignment="1">
      <alignment horizontal="center" vertical="center"/>
    </xf>
    <xf numFmtId="0" fontId="75" fillId="28" borderId="109" xfId="0" applyFont="1" applyFill="1" applyBorder="1" applyAlignment="1">
      <alignment horizontal="center" vertical="center"/>
    </xf>
    <xf numFmtId="0" fontId="55" fillId="28" borderId="109" xfId="0" applyFont="1" applyFill="1" applyBorder="1" applyAlignment="1">
      <alignment horizontal="center" vertical="center"/>
    </xf>
    <xf numFmtId="0" fontId="59" fillId="28" borderId="109" xfId="0" applyFont="1" applyFill="1" applyBorder="1" applyAlignment="1">
      <alignment horizontal="center" vertical="center"/>
    </xf>
    <xf numFmtId="0" fontId="85" fillId="28" borderId="109" xfId="0" applyFont="1" applyFill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97" fillId="28" borderId="60" xfId="0" applyFont="1" applyFill="1" applyBorder="1" applyAlignment="1">
      <alignment horizontal="center" vertical="center"/>
    </xf>
    <xf numFmtId="0" fontId="98" fillId="0" borderId="4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28" borderId="80" xfId="0" applyFont="1" applyFill="1" applyBorder="1" applyAlignment="1">
      <alignment vertical="center" wrapText="1"/>
    </xf>
    <xf numFmtId="0" fontId="98" fillId="0" borderId="47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75" fillId="0" borderId="1" xfId="0" applyFont="1" applyBorder="1" applyAlignment="1">
      <alignment horizontal="left" vertical="center" wrapText="1"/>
    </xf>
    <xf numFmtId="168" fontId="74" fillId="28" borderId="1" xfId="0" applyNumberFormat="1" applyFont="1" applyFill="1" applyBorder="1" applyAlignment="1">
      <alignment horizontal="center" vertical="center"/>
    </xf>
    <xf numFmtId="0" fontId="99" fillId="0" borderId="47" xfId="0" applyFont="1" applyBorder="1" applyAlignment="1">
      <alignment horizontal="center" vertical="center"/>
    </xf>
    <xf numFmtId="0" fontId="42" fillId="28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28" borderId="97" xfId="0" applyFont="1" applyFill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0" fontId="43" fillId="31" borderId="109" xfId="0" applyFont="1" applyFill="1" applyBorder="1" applyAlignment="1">
      <alignment horizontal="center" vertical="center" wrapText="1"/>
    </xf>
    <xf numFmtId="0" fontId="67" fillId="28" borderId="33" xfId="0" applyFont="1" applyFill="1" applyBorder="1" applyAlignment="1">
      <alignment horizontal="center"/>
    </xf>
    <xf numFmtId="0" fontId="74" fillId="0" borderId="107" xfId="0" applyFont="1" applyBorder="1" applyAlignment="1">
      <alignment horizontal="center" vertical="center"/>
    </xf>
    <xf numFmtId="0" fontId="97" fillId="28" borderId="76" xfId="0" applyFont="1" applyFill="1" applyBorder="1" applyAlignment="1">
      <alignment horizontal="center" vertical="center"/>
    </xf>
    <xf numFmtId="167" fontId="74" fillId="28" borderId="103" xfId="0" applyNumberFormat="1" applyFont="1" applyFill="1" applyBorder="1" applyAlignment="1">
      <alignment horizontal="center" vertical="center"/>
    </xf>
    <xf numFmtId="0" fontId="75" fillId="0" borderId="103" xfId="0" applyFont="1" applyBorder="1" applyAlignment="1">
      <alignment horizontal="center" vertical="center"/>
    </xf>
    <xf numFmtId="0" fontId="37" fillId="28" borderId="97" xfId="0" applyFont="1" applyFill="1" applyBorder="1" applyAlignment="1">
      <alignment horizontal="center" vertical="center"/>
    </xf>
    <xf numFmtId="0" fontId="43" fillId="0" borderId="105" xfId="0" applyFont="1" applyBorder="1" applyAlignment="1">
      <alignment horizontal="center" vertical="center"/>
    </xf>
    <xf numFmtId="0" fontId="0" fillId="28" borderId="109" xfId="0" applyFill="1" applyBorder="1" applyAlignment="1">
      <alignment horizontal="center"/>
    </xf>
    <xf numFmtId="0" fontId="80" fillId="28" borderId="109" xfId="0" applyFont="1" applyFill="1" applyBorder="1" applyAlignment="1">
      <alignment horizontal="center" vertical="center"/>
    </xf>
    <xf numFmtId="0" fontId="43" fillId="31" borderId="10" xfId="0" applyFont="1" applyFill="1" applyBorder="1" applyAlignment="1">
      <alignment horizontal="center" vertical="center" wrapText="1"/>
    </xf>
    <xf numFmtId="0" fontId="67" fillId="28" borderId="53" xfId="0" applyFont="1" applyFill="1" applyBorder="1" applyAlignment="1">
      <alignment horizontal="center"/>
    </xf>
    <xf numFmtId="168" fontId="84" fillId="28" borderId="1" xfId="0" applyNumberFormat="1" applyFont="1" applyFill="1" applyBorder="1" applyAlignment="1">
      <alignment horizontal="center" vertical="center"/>
    </xf>
    <xf numFmtId="0" fontId="0" fillId="28" borderId="0" xfId="0" applyFill="1" applyAlignment="1">
      <alignment horizontal="center"/>
    </xf>
    <xf numFmtId="168" fontId="79" fillId="28" borderId="1" xfId="0" applyNumberFormat="1" applyFont="1" applyFill="1" applyBorder="1" applyAlignment="1">
      <alignment horizontal="center" vertical="center"/>
    </xf>
    <xf numFmtId="0" fontId="85" fillId="28" borderId="0" xfId="0" applyFont="1" applyFill="1" applyAlignment="1">
      <alignment horizontal="center" vertical="center"/>
    </xf>
    <xf numFmtId="0" fontId="59" fillId="28" borderId="0" xfId="0" applyFont="1" applyFill="1" applyAlignment="1">
      <alignment horizontal="center" vertical="center"/>
    </xf>
    <xf numFmtId="0" fontId="37" fillId="28" borderId="109" xfId="0" applyFont="1" applyFill="1" applyBorder="1" applyAlignment="1">
      <alignment horizontal="center" vertical="center"/>
    </xf>
    <xf numFmtId="0" fontId="84" fillId="28" borderId="109" xfId="0" applyFont="1" applyFill="1" applyBorder="1" applyAlignment="1">
      <alignment horizontal="center" vertical="center"/>
    </xf>
    <xf numFmtId="0" fontId="74" fillId="28" borderId="109" xfId="0" applyFont="1" applyFill="1" applyBorder="1" applyAlignment="1">
      <alignment horizontal="center" vertical="center"/>
    </xf>
    <xf numFmtId="0" fontId="58" fillId="28" borderId="109" xfId="0" applyFont="1" applyFill="1" applyBorder="1" applyAlignment="1">
      <alignment horizontal="center" vertical="center"/>
    </xf>
    <xf numFmtId="0" fontId="97" fillId="28" borderId="109" xfId="0" applyFont="1" applyFill="1" applyBorder="1" applyAlignment="1">
      <alignment horizontal="center" vertical="center"/>
    </xf>
    <xf numFmtId="0" fontId="62" fillId="28" borderId="109" xfId="0" applyFont="1" applyFill="1" applyBorder="1" applyAlignment="1">
      <alignment horizontal="center" vertical="center"/>
    </xf>
    <xf numFmtId="0" fontId="79" fillId="28" borderId="109" xfId="0" applyFont="1" applyFill="1" applyBorder="1" applyAlignment="1">
      <alignment horizontal="center" vertical="center"/>
    </xf>
    <xf numFmtId="167" fontId="97" fillId="28" borderId="105" xfId="0" applyNumberFormat="1" applyFont="1" applyFill="1" applyBorder="1" applyAlignment="1">
      <alignment horizontal="center" vertical="center"/>
    </xf>
    <xf numFmtId="168" fontId="97" fillId="28" borderId="105" xfId="0" applyNumberFormat="1" applyFont="1" applyFill="1" applyBorder="1" applyAlignment="1">
      <alignment horizontal="center" vertical="center"/>
    </xf>
    <xf numFmtId="167" fontId="58" fillId="28" borderId="105" xfId="0" applyNumberFormat="1" applyFont="1" applyFill="1" applyBorder="1" applyAlignment="1">
      <alignment horizontal="left" vertical="center"/>
    </xf>
    <xf numFmtId="0" fontId="62" fillId="28" borderId="105" xfId="0" applyFont="1" applyFill="1" applyBorder="1" applyAlignment="1">
      <alignment horizontal="left" vertical="center"/>
    </xf>
    <xf numFmtId="0" fontId="63" fillId="28" borderId="105" xfId="0" applyFont="1" applyFill="1" applyBorder="1" applyAlignment="1">
      <alignment horizontal="center" vertical="center"/>
    </xf>
    <xf numFmtId="168" fontId="74" fillId="31" borderId="105" xfId="0" applyNumberFormat="1" applyFont="1" applyFill="1" applyBorder="1" applyAlignment="1">
      <alignment horizontal="center" vertical="center"/>
    </xf>
    <xf numFmtId="168" fontId="58" fillId="31" borderId="105" xfId="0" applyNumberFormat="1" applyFont="1" applyFill="1" applyBorder="1" applyAlignment="1">
      <alignment horizontal="center" vertical="center"/>
    </xf>
    <xf numFmtId="168" fontId="62" fillId="31" borderId="105" xfId="0" applyNumberFormat="1" applyFont="1" applyFill="1" applyBorder="1" applyAlignment="1">
      <alignment horizontal="center" vertical="center"/>
    </xf>
    <xf numFmtId="0" fontId="75" fillId="28" borderId="105" xfId="0" applyFont="1" applyFill="1" applyBorder="1" applyAlignment="1">
      <alignment horizontal="center"/>
    </xf>
    <xf numFmtId="0" fontId="63" fillId="28" borderId="105" xfId="0" applyFont="1" applyFill="1" applyBorder="1" applyAlignment="1">
      <alignment horizontal="center"/>
    </xf>
    <xf numFmtId="168" fontId="84" fillId="30" borderId="105" xfId="0" applyNumberFormat="1" applyFont="1" applyFill="1" applyBorder="1" applyAlignment="1">
      <alignment horizontal="center" vertical="center"/>
    </xf>
    <xf numFmtId="0" fontId="75" fillId="28" borderId="1" xfId="0" applyFont="1" applyFill="1" applyBorder="1" applyAlignment="1" applyProtection="1">
      <alignment horizontal="left" vertical="center"/>
      <protection locked="0"/>
    </xf>
    <xf numFmtId="0" fontId="75" fillId="28" borderId="1" xfId="0" applyFont="1" applyFill="1" applyBorder="1" applyAlignment="1" applyProtection="1">
      <alignment horizontal="left" vertical="center" wrapText="1"/>
      <protection locked="0"/>
    </xf>
    <xf numFmtId="168" fontId="97" fillId="30" borderId="105" xfId="0" applyNumberFormat="1" applyFont="1" applyFill="1" applyBorder="1" applyAlignment="1">
      <alignment horizontal="center" vertical="center"/>
    </xf>
    <xf numFmtId="0" fontId="43" fillId="28" borderId="98" xfId="0" applyFont="1" applyFill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84" fillId="0" borderId="73" xfId="0" applyFont="1" applyBorder="1" applyAlignment="1">
      <alignment horizontal="center" vertical="center"/>
    </xf>
    <xf numFmtId="0" fontId="84" fillId="28" borderId="74" xfId="0" applyFont="1" applyFill="1" applyBorder="1" applyAlignment="1">
      <alignment horizontal="center" vertical="center"/>
    </xf>
    <xf numFmtId="167" fontId="84" fillId="28" borderId="74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85" fillId="0" borderId="74" xfId="0" applyFont="1" applyBorder="1" applyAlignment="1">
      <alignment horizontal="center" vertical="center"/>
    </xf>
    <xf numFmtId="0" fontId="98" fillId="0" borderId="10" xfId="0" applyFont="1" applyBorder="1" applyAlignment="1">
      <alignment horizontal="center" vertical="center"/>
    </xf>
    <xf numFmtId="0" fontId="85" fillId="28" borderId="74" xfId="0" applyFont="1" applyFill="1" applyBorder="1" applyAlignment="1">
      <alignment horizontal="center" vertical="center"/>
    </xf>
    <xf numFmtId="0" fontId="85" fillId="28" borderId="72" xfId="0" applyFont="1" applyFill="1" applyBorder="1" applyAlignment="1">
      <alignment horizontal="center" vertical="center"/>
    </xf>
    <xf numFmtId="0" fontId="54" fillId="0" borderId="68" xfId="0" applyFont="1" applyBorder="1" applyAlignment="1">
      <alignment horizontal="center" vertical="center"/>
    </xf>
    <xf numFmtId="0" fontId="79" fillId="28" borderId="80" xfId="0" applyFont="1" applyFill="1" applyBorder="1" applyAlignment="1">
      <alignment horizontal="center" vertical="center"/>
    </xf>
    <xf numFmtId="0" fontId="47" fillId="28" borderId="103" xfId="0" applyFont="1" applyFill="1" applyBorder="1" applyAlignment="1">
      <alignment horizontal="center"/>
    </xf>
    <xf numFmtId="0" fontId="98" fillId="0" borderId="105" xfId="0" applyFont="1" applyBorder="1" applyAlignment="1">
      <alignment horizontal="center" vertical="center"/>
    </xf>
    <xf numFmtId="0" fontId="98" fillId="0" borderId="109" xfId="0" applyFont="1" applyBorder="1" applyAlignment="1">
      <alignment horizontal="center" vertical="center"/>
    </xf>
    <xf numFmtId="0" fontId="37" fillId="28" borderId="55" xfId="0" applyFont="1" applyFill="1" applyBorder="1" applyAlignment="1">
      <alignment horizontal="center" vertical="center"/>
    </xf>
    <xf numFmtId="0" fontId="67" fillId="28" borderId="111" xfId="0" applyFont="1" applyFill="1" applyBorder="1" applyAlignment="1">
      <alignment horizontal="center"/>
    </xf>
    <xf numFmtId="0" fontId="104" fillId="28" borderId="1" xfId="0" applyFont="1" applyFill="1" applyBorder="1" applyAlignment="1">
      <alignment horizontal="left" vertical="center" indent="1"/>
    </xf>
    <xf numFmtId="0" fontId="67" fillId="28" borderId="20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66" fillId="28" borderId="77" xfId="0" applyFont="1" applyFill="1" applyBorder="1" applyAlignment="1">
      <alignment horizontal="center"/>
    </xf>
    <xf numFmtId="0" fontId="66" fillId="28" borderId="53" xfId="0" applyFont="1" applyFill="1" applyBorder="1" applyAlignment="1">
      <alignment horizontal="center"/>
    </xf>
    <xf numFmtId="168" fontId="37" fillId="30" borderId="109" xfId="0" applyNumberFormat="1" applyFont="1" applyFill="1" applyBorder="1" applyAlignment="1">
      <alignment horizontal="center" vertical="center"/>
    </xf>
    <xf numFmtId="0" fontId="61" fillId="28" borderId="109" xfId="0" applyFont="1" applyFill="1" applyBorder="1" applyAlignment="1">
      <alignment horizontal="center" vertical="center"/>
    </xf>
    <xf numFmtId="0" fontId="37" fillId="28" borderId="109" xfId="0" applyFont="1" applyFill="1" applyBorder="1" applyAlignment="1">
      <alignment horizontal="center"/>
    </xf>
    <xf numFmtId="0" fontId="61" fillId="28" borderId="96" xfId="0" applyFont="1" applyFill="1" applyBorder="1" applyAlignment="1">
      <alignment horizontal="center" vertical="center"/>
    </xf>
    <xf numFmtId="0" fontId="98" fillId="28" borderId="97" xfId="0" applyFont="1" applyFill="1" applyBorder="1" applyAlignment="1">
      <alignment horizontal="center" vertical="center"/>
    </xf>
    <xf numFmtId="0" fontId="37" fillId="28" borderId="96" xfId="0" applyFont="1" applyFill="1" applyBorder="1" applyAlignment="1">
      <alignment horizontal="center"/>
    </xf>
    <xf numFmtId="0" fontId="30" fillId="28" borderId="109" xfId="0" applyFont="1" applyFill="1" applyBorder="1" applyAlignment="1">
      <alignment horizontal="left" vertical="center" indent="1"/>
    </xf>
    <xf numFmtId="0" fontId="30" fillId="28" borderId="109" xfId="0" applyFont="1" applyFill="1" applyBorder="1" applyAlignment="1">
      <alignment horizontal="left" vertical="center" indent="2"/>
    </xf>
    <xf numFmtId="0" fontId="30" fillId="30" borderId="109" xfId="0" applyFont="1" applyFill="1" applyBorder="1" applyAlignment="1">
      <alignment horizontal="left" vertical="center" indent="1"/>
    </xf>
    <xf numFmtId="0" fontId="30" fillId="28" borderId="109" xfId="0" applyFont="1" applyFill="1" applyBorder="1" applyAlignment="1">
      <alignment horizontal="left" vertical="center" indent="3"/>
    </xf>
    <xf numFmtId="0" fontId="47" fillId="0" borderId="103" xfId="0" applyFont="1" applyBorder="1" applyAlignment="1">
      <alignment horizontal="center"/>
    </xf>
    <xf numFmtId="0" fontId="47" fillId="27" borderId="103" xfId="0" applyFont="1" applyFill="1" applyBorder="1" applyAlignment="1">
      <alignment horizontal="center"/>
    </xf>
    <xf numFmtId="0" fontId="89" fillId="0" borderId="103" xfId="0" applyFont="1" applyBorder="1" applyAlignment="1">
      <alignment horizontal="left"/>
    </xf>
    <xf numFmtId="0" fontId="37" fillId="28" borderId="74" xfId="0" applyFont="1" applyFill="1" applyBorder="1" applyAlignment="1">
      <alignment horizontal="left" vertical="center"/>
    </xf>
    <xf numFmtId="0" fontId="100" fillId="30" borderId="109" xfId="0" applyFont="1" applyFill="1" applyBorder="1" applyAlignment="1">
      <alignment horizontal="left" vertical="center" indent="1"/>
    </xf>
    <xf numFmtId="0" fontId="100" fillId="30" borderId="109" xfId="0" applyFont="1" applyFill="1" applyBorder="1" applyAlignment="1">
      <alignment horizontal="left" vertical="center" indent="2"/>
    </xf>
    <xf numFmtId="0" fontId="100" fillId="30" borderId="109" xfId="0" applyFont="1" applyFill="1" applyBorder="1" applyAlignment="1">
      <alignment horizontal="left" vertical="center" indent="3"/>
    </xf>
    <xf numFmtId="0" fontId="100" fillId="28" borderId="109" xfId="0" applyFont="1" applyFill="1" applyBorder="1" applyAlignment="1">
      <alignment horizontal="left" vertical="center" indent="1"/>
    </xf>
    <xf numFmtId="0" fontId="100" fillId="28" borderId="109" xfId="0" applyFont="1" applyFill="1" applyBorder="1" applyAlignment="1">
      <alignment horizontal="left" vertical="center" indent="2"/>
    </xf>
    <xf numFmtId="0" fontId="100" fillId="28" borderId="105" xfId="0" applyFont="1" applyFill="1" applyBorder="1" applyAlignment="1">
      <alignment horizontal="left" vertical="center" indent="1"/>
    </xf>
    <xf numFmtId="168" fontId="37" fillId="31" borderId="109" xfId="0" applyNumberFormat="1" applyFont="1" applyFill="1" applyBorder="1" applyAlignment="1">
      <alignment horizontal="center" vertical="center"/>
    </xf>
    <xf numFmtId="168" fontId="62" fillId="31" borderId="109" xfId="0" applyNumberFormat="1" applyFont="1" applyFill="1" applyBorder="1" applyAlignment="1">
      <alignment horizontal="center" vertical="center"/>
    </xf>
    <xf numFmtId="168" fontId="97" fillId="31" borderId="109" xfId="0" applyNumberFormat="1" applyFont="1" applyFill="1" applyBorder="1" applyAlignment="1">
      <alignment horizontal="center" vertical="center"/>
    </xf>
    <xf numFmtId="168" fontId="74" fillId="31" borderId="109" xfId="0" applyNumberFormat="1" applyFont="1" applyFill="1" applyBorder="1" applyAlignment="1">
      <alignment horizontal="center" vertical="center"/>
    </xf>
    <xf numFmtId="168" fontId="58" fillId="31" borderId="109" xfId="0" applyNumberFormat="1" applyFont="1" applyFill="1" applyBorder="1" applyAlignment="1">
      <alignment horizontal="center" vertical="center"/>
    </xf>
    <xf numFmtId="168" fontId="79" fillId="31" borderId="109" xfId="0" applyNumberFormat="1" applyFont="1" applyFill="1" applyBorder="1" applyAlignment="1">
      <alignment horizontal="center" vertical="center"/>
    </xf>
    <xf numFmtId="168" fontId="84" fillId="31" borderId="109" xfId="0" applyNumberFormat="1" applyFont="1" applyFill="1" applyBorder="1" applyAlignment="1">
      <alignment horizontal="center" vertical="center"/>
    </xf>
    <xf numFmtId="168" fontId="42" fillId="30" borderId="69" xfId="0" applyNumberFormat="1" applyFont="1" applyFill="1" applyBorder="1" applyAlignment="1">
      <alignment horizontal="center" vertical="center" wrapText="1"/>
    </xf>
    <xf numFmtId="168" fontId="74" fillId="30" borderId="109" xfId="0" applyNumberFormat="1" applyFont="1" applyFill="1" applyBorder="1" applyAlignment="1">
      <alignment horizontal="center" vertical="center"/>
    </xf>
    <xf numFmtId="168" fontId="62" fillId="30" borderId="109" xfId="0" applyNumberFormat="1" applyFont="1" applyFill="1" applyBorder="1" applyAlignment="1">
      <alignment horizontal="center" vertical="center"/>
    </xf>
    <xf numFmtId="168" fontId="97" fillId="30" borderId="109" xfId="0" applyNumberFormat="1" applyFont="1" applyFill="1" applyBorder="1" applyAlignment="1">
      <alignment horizontal="center" vertical="center"/>
    </xf>
    <xf numFmtId="168" fontId="54" fillId="30" borderId="109" xfId="0" applyNumberFormat="1" applyFont="1" applyFill="1" applyBorder="1" applyAlignment="1">
      <alignment horizontal="center" vertical="center"/>
    </xf>
    <xf numFmtId="168" fontId="58" fillId="30" borderId="109" xfId="0" applyNumberFormat="1" applyFont="1" applyFill="1" applyBorder="1" applyAlignment="1">
      <alignment horizontal="center" vertical="center"/>
    </xf>
    <xf numFmtId="168" fontId="84" fillId="30" borderId="109" xfId="0" applyNumberFormat="1" applyFont="1" applyFill="1" applyBorder="1" applyAlignment="1">
      <alignment horizontal="center" vertical="center"/>
    </xf>
    <xf numFmtId="15" fontId="39" fillId="28" borderId="109" xfId="0" applyNumberFormat="1" applyFont="1" applyFill="1" applyBorder="1"/>
    <xf numFmtId="0" fontId="40" fillId="28" borderId="109" xfId="0" applyFont="1" applyFill="1" applyBorder="1" applyAlignment="1">
      <alignment horizontal="center" vertical="center"/>
    </xf>
    <xf numFmtId="0" fontId="42" fillId="31" borderId="109" xfId="0" applyFont="1" applyFill="1" applyBorder="1" applyAlignment="1">
      <alignment horizontal="center" vertical="center" wrapText="1"/>
    </xf>
    <xf numFmtId="0" fontId="75" fillId="0" borderId="109" xfId="0" applyFont="1" applyBorder="1" applyAlignment="1">
      <alignment horizontal="center" vertical="center"/>
    </xf>
    <xf numFmtId="0" fontId="43" fillId="0" borderId="109" xfId="0" applyFont="1" applyBorder="1" applyAlignment="1">
      <alignment horizontal="center" vertical="center"/>
    </xf>
    <xf numFmtId="0" fontId="80" fillId="0" borderId="109" xfId="0" applyFont="1" applyBorder="1" applyAlignment="1">
      <alignment horizontal="center" vertical="center"/>
    </xf>
    <xf numFmtId="0" fontId="66" fillId="28" borderId="109" xfId="0" applyFont="1" applyFill="1" applyBorder="1"/>
    <xf numFmtId="0" fontId="75" fillId="0" borderId="105" xfId="0" applyFont="1" applyBorder="1" applyAlignment="1">
      <alignment horizontal="center" vertical="center"/>
    </xf>
    <xf numFmtId="168" fontId="79" fillId="30" borderId="109" xfId="0" applyNumberFormat="1" applyFont="1" applyFill="1" applyBorder="1" applyAlignment="1">
      <alignment horizontal="center" vertical="center"/>
    </xf>
    <xf numFmtId="168" fontId="96" fillId="30" borderId="109" xfId="0" applyNumberFormat="1" applyFont="1" applyFill="1" applyBorder="1" applyAlignment="1">
      <alignment horizontal="center" vertical="center"/>
    </xf>
    <xf numFmtId="0" fontId="55" fillId="0" borderId="109" xfId="0" applyFont="1" applyBorder="1" applyAlignment="1">
      <alignment horizontal="center" vertical="center"/>
    </xf>
    <xf numFmtId="0" fontId="85" fillId="0" borderId="109" xfId="0" applyFont="1" applyBorder="1" applyAlignment="1">
      <alignment horizontal="center" vertical="center"/>
    </xf>
    <xf numFmtId="0" fontId="85" fillId="0" borderId="105" xfId="0" applyFont="1" applyBorder="1" applyAlignment="1">
      <alignment horizontal="center" vertical="center"/>
    </xf>
    <xf numFmtId="168" fontId="54" fillId="30" borderId="10" xfId="0" applyNumberFormat="1" applyFont="1" applyFill="1" applyBorder="1" applyAlignment="1">
      <alignment horizontal="center" vertical="center"/>
    </xf>
    <xf numFmtId="168" fontId="37" fillId="30" borderId="69" xfId="0" applyNumberFormat="1" applyFont="1" applyFill="1" applyBorder="1" applyAlignment="1">
      <alignment horizontal="center" vertical="center"/>
    </xf>
    <xf numFmtId="0" fontId="43" fillId="28" borderId="69" xfId="0" applyFont="1" applyFill="1" applyBorder="1" applyAlignment="1">
      <alignment horizontal="center" vertical="center"/>
    </xf>
    <xf numFmtId="168" fontId="54" fillId="30" borderId="1" xfId="0" applyNumberFormat="1" applyFont="1" applyFill="1" applyBorder="1" applyAlignment="1">
      <alignment horizontal="center" vertical="center"/>
    </xf>
    <xf numFmtId="168" fontId="97" fillId="30" borderId="10" xfId="0" applyNumberFormat="1" applyFont="1" applyFill="1" applyBorder="1" applyAlignment="1">
      <alignment horizontal="center" vertical="center"/>
    </xf>
    <xf numFmtId="0" fontId="67" fillId="28" borderId="53" xfId="0" applyFont="1" applyFill="1" applyBorder="1"/>
    <xf numFmtId="0" fontId="67" fillId="28" borderId="0" xfId="0" applyFont="1" applyFill="1"/>
    <xf numFmtId="0" fontId="28" fillId="31" borderId="0" xfId="0" applyFont="1" applyFill="1" applyAlignment="1">
      <alignment horizontal="center"/>
    </xf>
    <xf numFmtId="0" fontId="43" fillId="31" borderId="10" xfId="0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/>
    </xf>
    <xf numFmtId="0" fontId="59" fillId="31" borderId="1" xfId="0" applyFont="1" applyFill="1" applyBorder="1" applyAlignment="1">
      <alignment horizontal="center" vertical="center"/>
    </xf>
    <xf numFmtId="0" fontId="0" fillId="31" borderId="1" xfId="0" applyFill="1" applyBorder="1" applyAlignment="1">
      <alignment horizontal="center"/>
    </xf>
    <xf numFmtId="0" fontId="85" fillId="31" borderId="1" xfId="0" applyFont="1" applyFill="1" applyBorder="1" applyAlignment="1">
      <alignment horizontal="center" vertical="center"/>
    </xf>
    <xf numFmtId="0" fontId="55" fillId="31" borderId="1" xfId="0" applyFont="1" applyFill="1" applyBorder="1" applyAlignment="1">
      <alignment horizontal="center" vertical="center"/>
    </xf>
    <xf numFmtId="0" fontId="80" fillId="31" borderId="1" xfId="0" applyFont="1" applyFill="1" applyBorder="1" applyAlignment="1">
      <alignment horizontal="center" vertical="center"/>
    </xf>
    <xf numFmtId="0" fontId="75" fillId="31" borderId="1" xfId="0" applyFont="1" applyFill="1" applyBorder="1" applyAlignment="1">
      <alignment horizontal="center" vertical="center"/>
    </xf>
    <xf numFmtId="0" fontId="98" fillId="31" borderId="1" xfId="0" applyFont="1" applyFill="1" applyBorder="1" applyAlignment="1">
      <alignment horizontal="center" vertical="center"/>
    </xf>
    <xf numFmtId="0" fontId="43" fillId="31" borderId="105" xfId="0" applyFont="1" applyFill="1" applyBorder="1" applyAlignment="1">
      <alignment horizontal="center" vertical="center"/>
    </xf>
    <xf numFmtId="0" fontId="59" fillId="31" borderId="105" xfId="0" applyFont="1" applyFill="1" applyBorder="1" applyAlignment="1">
      <alignment horizontal="center" vertical="center"/>
    </xf>
    <xf numFmtId="0" fontId="85" fillId="31" borderId="105" xfId="0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0" fillId="31" borderId="105" xfId="0" applyFill="1" applyBorder="1" applyAlignment="1">
      <alignment horizontal="center"/>
    </xf>
    <xf numFmtId="0" fontId="28" fillId="31" borderId="0" xfId="0" applyFont="1" applyFill="1" applyAlignment="1">
      <alignment horizontal="center" vertic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2" fillId="30" borderId="31" xfId="0" applyFont="1" applyFill="1" applyBorder="1" applyAlignment="1" applyProtection="1">
      <alignment vertical="center" wrapText="1"/>
      <protection locked="0"/>
    </xf>
    <xf numFmtId="0" fontId="38" fillId="28" borderId="0" xfId="0" applyFont="1" applyFill="1" applyProtection="1">
      <protection locked="0"/>
    </xf>
    <xf numFmtId="15" fontId="66" fillId="28" borderId="0" xfId="0" applyNumberFormat="1" applyFont="1" applyFill="1" applyProtection="1">
      <protection locked="0"/>
    </xf>
    <xf numFmtId="0" fontId="37" fillId="28" borderId="0" xfId="0" applyFont="1" applyFill="1" applyAlignment="1" applyProtection="1">
      <alignment horizontal="center"/>
      <protection locked="0"/>
    </xf>
    <xf numFmtId="0" fontId="28" fillId="28" borderId="0" xfId="0" applyFont="1" applyFill="1" applyProtection="1">
      <protection locked="0"/>
    </xf>
    <xf numFmtId="0" fontId="66" fillId="28" borderId="21" xfId="0" applyFont="1" applyFill="1" applyBorder="1" applyAlignment="1" applyProtection="1">
      <alignment horizontal="center"/>
      <protection locked="0"/>
    </xf>
    <xf numFmtId="0" fontId="40" fillId="28" borderId="0" xfId="0" applyFont="1" applyFill="1" applyAlignment="1" applyProtection="1">
      <alignment vertical="center"/>
      <protection locked="0"/>
    </xf>
    <xf numFmtId="0" fontId="40" fillId="28" borderId="53" xfId="0" applyFont="1" applyFill="1" applyBorder="1" applyAlignment="1" applyProtection="1">
      <alignment vertical="center"/>
      <protection locked="0"/>
    </xf>
    <xf numFmtId="0" fontId="67" fillId="28" borderId="20" xfId="0" applyFont="1" applyFill="1" applyBorder="1" applyAlignment="1" applyProtection="1">
      <alignment horizontal="center"/>
      <protection locked="0"/>
    </xf>
    <xf numFmtId="0" fontId="67" fillId="28" borderId="53" xfId="0" applyFont="1" applyFill="1" applyBorder="1" applyAlignment="1" applyProtection="1">
      <alignment horizontal="center"/>
      <protection locked="0"/>
    </xf>
    <xf numFmtId="0" fontId="66" fillId="28" borderId="53" xfId="0" applyFont="1" applyFill="1" applyBorder="1" applyProtection="1">
      <protection locked="0"/>
    </xf>
    <xf numFmtId="0" fontId="66" fillId="28" borderId="53" xfId="0" applyFont="1" applyFill="1" applyBorder="1" applyAlignment="1" applyProtection="1">
      <alignment horizontal="center" vertical="center"/>
      <protection locked="0"/>
    </xf>
    <xf numFmtId="0" fontId="41" fillId="28" borderId="53" xfId="0" applyFont="1" applyFill="1" applyBorder="1" applyAlignment="1" applyProtection="1">
      <alignment horizontal="center" vertical="center" wrapText="1"/>
      <protection locked="0"/>
    </xf>
    <xf numFmtId="0" fontId="42" fillId="30" borderId="53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left" vertical="center" wrapText="1"/>
      <protection locked="0"/>
    </xf>
    <xf numFmtId="0" fontId="42" fillId="30" borderId="56" xfId="0" applyFont="1" applyFill="1" applyBorder="1" applyAlignment="1" applyProtection="1">
      <alignment horizontal="center" vertical="center" wrapText="1"/>
      <protection locked="0"/>
    </xf>
    <xf numFmtId="0" fontId="43" fillId="30" borderId="31" xfId="0" applyFont="1" applyFill="1" applyBorder="1" applyAlignment="1" applyProtection="1">
      <alignment horizontal="center" vertical="center" wrapText="1"/>
      <protection locked="0"/>
    </xf>
    <xf numFmtId="0" fontId="28" fillId="28" borderId="31" xfId="0" applyFont="1" applyFill="1" applyBorder="1" applyProtection="1">
      <protection locked="0"/>
    </xf>
    <xf numFmtId="0" fontId="37" fillId="28" borderId="10" xfId="0" applyFont="1" applyFill="1" applyBorder="1" applyAlignment="1" applyProtection="1">
      <alignment horizontal="center" vertical="center"/>
      <protection locked="0"/>
    </xf>
    <xf numFmtId="167" fontId="37" fillId="28" borderId="10" xfId="0" applyNumberFormat="1" applyFont="1" applyFill="1" applyBorder="1" applyAlignment="1" applyProtection="1">
      <alignment horizontal="left" vertical="center"/>
      <protection locked="0"/>
    </xf>
    <xf numFmtId="0" fontId="37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vertical="center" wrapText="1"/>
      <protection locked="0"/>
    </xf>
    <xf numFmtId="0" fontId="43" fillId="28" borderId="47" xfId="0" applyFont="1" applyFill="1" applyBorder="1" applyAlignment="1" applyProtection="1">
      <alignment horizontal="left" vertical="center" wrapText="1"/>
      <protection locked="0"/>
    </xf>
    <xf numFmtId="168" fontId="37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9" xfId="0" applyFont="1" applyFill="1" applyBorder="1" applyAlignment="1" applyProtection="1">
      <alignment horizontal="center" vertical="center"/>
      <protection locked="0"/>
    </xf>
    <xf numFmtId="0" fontId="37" fillId="28" borderId="1" xfId="0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vertical="center"/>
      <protection locked="0"/>
    </xf>
    <xf numFmtId="0" fontId="28" fillId="28" borderId="0" xfId="0" applyFont="1" applyFill="1" applyAlignment="1" applyProtection="1">
      <alignment vertical="center"/>
      <protection locked="0"/>
    </xf>
    <xf numFmtId="167" fontId="37" fillId="28" borderId="47" xfId="0" applyNumberFormat="1" applyFont="1" applyFill="1" applyBorder="1" applyAlignment="1" applyProtection="1">
      <alignment horizontal="left" vertical="center"/>
      <protection locked="0"/>
    </xf>
    <xf numFmtId="168" fontId="37" fillId="30" borderId="47" xfId="0" applyNumberFormat="1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horizontal="center"/>
      <protection locked="0"/>
    </xf>
    <xf numFmtId="0" fontId="49" fillId="0" borderId="47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/>
      <protection locked="0"/>
    </xf>
    <xf numFmtId="0" fontId="28" fillId="0" borderId="47" xfId="0" applyFont="1" applyBorder="1" applyAlignment="1" applyProtection="1">
      <alignment horizontal="center" vertical="center" wrapText="1"/>
      <protection locked="0"/>
    </xf>
    <xf numFmtId="0" fontId="43" fillId="28" borderId="10" xfId="0" applyFont="1" applyFill="1" applyBorder="1" applyAlignment="1" applyProtection="1">
      <alignment horizontal="center" vertical="center"/>
      <protection locked="0"/>
    </xf>
    <xf numFmtId="0" fontId="43" fillId="28" borderId="10" xfId="0" applyFont="1" applyFill="1" applyBorder="1" applyAlignment="1" applyProtection="1">
      <alignment vertical="center" wrapText="1"/>
      <protection locked="0"/>
    </xf>
    <xf numFmtId="0" fontId="43" fillId="28" borderId="10" xfId="0" applyFont="1" applyFill="1" applyBorder="1" applyAlignment="1" applyProtection="1">
      <alignment horizontal="left" vertical="center" wrapText="1"/>
      <protection locked="0"/>
    </xf>
    <xf numFmtId="0" fontId="43" fillId="28" borderId="59" xfId="0" applyFont="1" applyFill="1" applyBorder="1" applyAlignment="1" applyProtection="1">
      <alignment horizontal="center" vertical="center"/>
      <protection locked="0"/>
    </xf>
    <xf numFmtId="0" fontId="62" fillId="28" borderId="47" xfId="0" applyFont="1" applyFill="1" applyBorder="1" applyAlignment="1" applyProtection="1">
      <alignment horizontal="center"/>
      <protection locked="0"/>
    </xf>
    <xf numFmtId="167" fontId="62" fillId="28" borderId="47" xfId="0" applyNumberFormat="1" applyFont="1" applyFill="1" applyBorder="1" applyAlignment="1" applyProtection="1">
      <alignment horizontal="center"/>
      <protection locked="0"/>
    </xf>
    <xf numFmtId="167" fontId="62" fillId="28" borderId="47" xfId="0" applyNumberFormat="1" applyFont="1" applyFill="1" applyBorder="1" applyAlignment="1" applyProtection="1">
      <alignment horizontal="center" vertical="center"/>
      <protection locked="0"/>
    </xf>
    <xf numFmtId="0" fontId="63" fillId="28" borderId="47" xfId="0" applyFont="1" applyFill="1" applyBorder="1" applyAlignment="1" applyProtection="1">
      <alignment horizontal="center"/>
      <protection locked="0"/>
    </xf>
    <xf numFmtId="0" fontId="63" fillId="28" borderId="47" xfId="0" applyFont="1" applyFill="1" applyBorder="1" applyAlignment="1" applyProtection="1">
      <alignment vertical="center" wrapText="1"/>
      <protection locked="0"/>
    </xf>
    <xf numFmtId="0" fontId="63" fillId="28" borderId="47" xfId="0" applyFont="1" applyFill="1" applyBorder="1" applyAlignment="1" applyProtection="1">
      <alignment horizontal="left" vertical="center" wrapText="1"/>
      <protection locked="0"/>
    </xf>
    <xf numFmtId="168" fontId="62" fillId="30" borderId="47" xfId="0" applyNumberFormat="1" applyFont="1" applyFill="1" applyBorder="1" applyAlignment="1" applyProtection="1">
      <alignment horizontal="center" vertical="center"/>
      <protection locked="0"/>
    </xf>
    <xf numFmtId="168" fontId="62" fillId="30" borderId="10" xfId="0" applyNumberFormat="1" applyFont="1" applyFill="1" applyBorder="1" applyAlignment="1" applyProtection="1">
      <alignment horizontal="center" vertical="center"/>
      <protection locked="0"/>
    </xf>
    <xf numFmtId="0" fontId="62" fillId="28" borderId="47" xfId="0" applyFont="1" applyFill="1" applyBorder="1" applyAlignment="1" applyProtection="1">
      <alignment horizontal="center" vertical="center"/>
      <protection locked="0"/>
    </xf>
    <xf numFmtId="0" fontId="62" fillId="28" borderId="1" xfId="0" applyFont="1" applyFill="1" applyBorder="1" applyAlignment="1" applyProtection="1">
      <alignment horizontal="center" vertical="center"/>
      <protection locked="0"/>
    </xf>
    <xf numFmtId="0" fontId="62" fillId="28" borderId="109" xfId="0" applyFont="1" applyFill="1" applyBorder="1" applyAlignment="1" applyProtection="1">
      <alignment horizontal="center" vertical="center"/>
      <protection locked="0"/>
    </xf>
    <xf numFmtId="0" fontId="37" fillId="28" borderId="0" xfId="0" applyFont="1" applyFill="1" applyProtection="1">
      <protection locked="0"/>
    </xf>
    <xf numFmtId="0" fontId="0" fillId="28" borderId="0" xfId="0" applyFill="1" applyProtection="1">
      <protection locked="0"/>
    </xf>
    <xf numFmtId="0" fontId="27" fillId="28" borderId="103" xfId="0" applyFont="1" applyFill="1" applyBorder="1" applyAlignment="1">
      <alignment horizontal="left" vertical="center" wrapText="1"/>
    </xf>
    <xf numFmtId="0" fontId="71" fillId="28" borderId="103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167" fontId="79" fillId="28" borderId="10" xfId="0" applyNumberFormat="1" applyFont="1" applyFill="1" applyBorder="1" applyAlignment="1">
      <alignment horizontal="center" vertical="center"/>
    </xf>
    <xf numFmtId="0" fontId="80" fillId="28" borderId="10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horizontal="left" vertical="center"/>
    </xf>
    <xf numFmtId="168" fontId="79" fillId="30" borderId="10" xfId="0" applyNumberFormat="1" applyFont="1" applyFill="1" applyBorder="1" applyAlignment="1">
      <alignment horizontal="center" vertical="center"/>
    </xf>
    <xf numFmtId="15" fontId="39" fillId="28" borderId="57" xfId="0" applyNumberFormat="1" applyFont="1" applyFill="1" applyBorder="1" applyAlignment="1">
      <alignment horizontal="center"/>
    </xf>
    <xf numFmtId="0" fontId="40" fillId="28" borderId="63" xfId="0" applyFont="1" applyFill="1" applyBorder="1" applyAlignment="1">
      <alignment horizontal="center" vertical="center"/>
    </xf>
    <xf numFmtId="0" fontId="42" fillId="30" borderId="59" xfId="0" applyFont="1" applyFill="1" applyBorder="1" applyAlignment="1">
      <alignment horizontal="center" vertical="center" wrapText="1"/>
    </xf>
    <xf numFmtId="0" fontId="43" fillId="28" borderId="32" xfId="0" applyFont="1" applyFill="1" applyBorder="1"/>
    <xf numFmtId="0" fontId="43" fillId="28" borderId="58" xfId="0" applyFont="1" applyFill="1" applyBorder="1"/>
    <xf numFmtId="0" fontId="43" fillId="28" borderId="77" xfId="0" applyFont="1" applyFill="1" applyBorder="1"/>
    <xf numFmtId="0" fontId="43" fillId="28" borderId="70" xfId="0" applyFont="1" applyFill="1" applyBorder="1"/>
    <xf numFmtId="15" fontId="39" fillId="28" borderId="57" xfId="0" applyNumberFormat="1" applyFont="1" applyFill="1" applyBorder="1"/>
    <xf numFmtId="15" fontId="39" fillId="28" borderId="58" xfId="0" applyNumberFormat="1" applyFont="1" applyFill="1" applyBorder="1"/>
    <xf numFmtId="0" fontId="39" fillId="28" borderId="58" xfId="0" applyFont="1" applyFill="1" applyBorder="1"/>
    <xf numFmtId="0" fontId="30" fillId="28" borderId="32" xfId="0" applyFont="1" applyFill="1" applyBorder="1"/>
    <xf numFmtId="0" fontId="40" fillId="28" borderId="63" xfId="0" applyFont="1" applyFill="1" applyBorder="1" applyAlignment="1">
      <alignment vertical="center"/>
    </xf>
    <xf numFmtId="0" fontId="40" fillId="28" borderId="77" xfId="0" applyFont="1" applyFill="1" applyBorder="1" applyAlignment="1">
      <alignment vertical="center"/>
    </xf>
    <xf numFmtId="0" fontId="46" fillId="28" borderId="77" xfId="0" applyFont="1" applyFill="1" applyBorder="1" applyAlignment="1">
      <alignment vertical="top"/>
    </xf>
    <xf numFmtId="0" fontId="30" fillId="28" borderId="70" xfId="0" applyFont="1" applyFill="1" applyBorder="1"/>
    <xf numFmtId="0" fontId="55" fillId="28" borderId="80" xfId="0" applyFont="1" applyFill="1" applyBorder="1" applyAlignment="1">
      <alignment horizontal="center" vertical="center"/>
    </xf>
    <xf numFmtId="15" fontId="39" fillId="28" borderId="58" xfId="0" applyNumberFormat="1" applyFont="1" applyFill="1" applyBorder="1" applyAlignment="1">
      <alignment horizontal="center"/>
    </xf>
    <xf numFmtId="0" fontId="40" fillId="28" borderId="77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vertical="center"/>
    </xf>
    <xf numFmtId="168" fontId="37" fillId="28" borderId="109" xfId="0" applyNumberFormat="1" applyFont="1" applyFill="1" applyBorder="1" applyAlignment="1">
      <alignment horizontal="center" vertical="center"/>
    </xf>
    <xf numFmtId="0" fontId="0" fillId="0" borderId="105" xfId="0" applyBorder="1" applyAlignment="1">
      <alignment horizontal="center"/>
    </xf>
    <xf numFmtId="167" fontId="37" fillId="28" borderId="109" xfId="0" applyNumberFormat="1" applyFont="1" applyFill="1" applyBorder="1" applyAlignment="1">
      <alignment horizontal="center" vertical="center"/>
    </xf>
    <xf numFmtId="0" fontId="43" fillId="28" borderId="113" xfId="0" applyFont="1" applyFill="1" applyBorder="1" applyAlignment="1">
      <alignment horizontal="center" vertical="center"/>
    </xf>
    <xf numFmtId="0" fontId="43" fillId="28" borderId="109" xfId="0" applyFont="1" applyFill="1" applyBorder="1" applyAlignment="1">
      <alignment vertical="center" wrapText="1"/>
    </xf>
    <xf numFmtId="0" fontId="43" fillId="28" borderId="109" xfId="0" applyFont="1" applyFill="1" applyBorder="1" applyAlignment="1">
      <alignment horizontal="center" vertical="center" wrapText="1"/>
    </xf>
    <xf numFmtId="0" fontId="74" fillId="0" borderId="73" xfId="0" applyFont="1" applyBorder="1" applyAlignment="1">
      <alignment horizontal="center" vertical="center"/>
    </xf>
    <xf numFmtId="0" fontId="74" fillId="28" borderId="80" xfId="0" applyFont="1" applyFill="1" applyBorder="1" applyAlignment="1">
      <alignment horizontal="center" vertical="center"/>
    </xf>
    <xf numFmtId="167" fontId="74" fillId="28" borderId="80" xfId="0" applyNumberFormat="1" applyFont="1" applyFill="1" applyBorder="1" applyAlignment="1">
      <alignment horizontal="center" vertical="center"/>
    </xf>
    <xf numFmtId="0" fontId="75" fillId="0" borderId="80" xfId="0" applyFont="1" applyBorder="1" applyAlignment="1">
      <alignment horizontal="center" vertical="center"/>
    </xf>
    <xf numFmtId="0" fontId="75" fillId="28" borderId="72" xfId="0" applyFont="1" applyFill="1" applyBorder="1" applyAlignment="1">
      <alignment horizontal="center" vertical="center"/>
    </xf>
    <xf numFmtId="0" fontId="40" fillId="28" borderId="21" xfId="0" applyFont="1" applyFill="1" applyBorder="1" applyAlignment="1" applyProtection="1">
      <alignment vertical="center"/>
      <protection locked="0"/>
    </xf>
    <xf numFmtId="0" fontId="58" fillId="28" borderId="80" xfId="0" applyFont="1" applyFill="1" applyBorder="1" applyAlignment="1">
      <alignment horizontal="center" vertical="center"/>
    </xf>
    <xf numFmtId="168" fontId="58" fillId="31" borderId="80" xfId="0" applyNumberFormat="1" applyFont="1" applyFill="1" applyBorder="1" applyAlignment="1">
      <alignment horizontal="center" vertical="center"/>
    </xf>
    <xf numFmtId="0" fontId="47" fillId="28" borderId="105" xfId="0" applyFont="1" applyFill="1" applyBorder="1" applyAlignment="1">
      <alignment horizontal="center"/>
    </xf>
    <xf numFmtId="0" fontId="43" fillId="28" borderId="111" xfId="0" applyFont="1" applyFill="1" applyBorder="1" applyAlignment="1">
      <alignment horizontal="center" vertical="center"/>
    </xf>
    <xf numFmtId="0" fontId="43" fillId="0" borderId="105" xfId="0" applyFont="1" applyBorder="1" applyAlignment="1">
      <alignment vertical="center" wrapText="1"/>
    </xf>
    <xf numFmtId="0" fontId="98" fillId="0" borderId="105" xfId="0" applyFont="1" applyBorder="1" applyAlignment="1">
      <alignment vertical="center" wrapText="1"/>
    </xf>
    <xf numFmtId="0" fontId="59" fillId="0" borderId="1" xfId="0" applyFont="1" applyBorder="1" applyAlignment="1">
      <alignment vertical="center" wrapText="1"/>
    </xf>
    <xf numFmtId="0" fontId="43" fillId="0" borderId="105" xfId="0" applyFont="1" applyBorder="1" applyAlignment="1">
      <alignment horizontal="left" vertical="center" wrapText="1"/>
    </xf>
    <xf numFmtId="0" fontId="98" fillId="0" borderId="105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left" vertical="center" wrapText="1"/>
    </xf>
    <xf numFmtId="0" fontId="42" fillId="0" borderId="105" xfId="0" applyFont="1" applyBorder="1" applyAlignment="1">
      <alignment horizontal="center" vertical="center"/>
    </xf>
    <xf numFmtId="0" fontId="99" fillId="0" borderId="105" xfId="0" applyFont="1" applyBorder="1" applyAlignment="1">
      <alignment horizontal="center" vertical="center"/>
    </xf>
    <xf numFmtId="0" fontId="0" fillId="34" borderId="1" xfId="0" applyFill="1" applyBorder="1" applyAlignment="1">
      <alignment horizontal="center"/>
    </xf>
    <xf numFmtId="0" fontId="0" fillId="34" borderId="1" xfId="0" applyFill="1" applyBorder="1"/>
    <xf numFmtId="17" fontId="0" fillId="34" borderId="1" xfId="0" applyNumberFormat="1" applyFill="1" applyBorder="1" applyAlignment="1">
      <alignment horizontal="center"/>
    </xf>
    <xf numFmtId="0" fontId="1" fillId="34" borderId="1" xfId="0" applyFont="1" applyFill="1" applyBorder="1" applyAlignment="1">
      <alignment horizontal="center"/>
    </xf>
    <xf numFmtId="0" fontId="107" fillId="28" borderId="105" xfId="0" applyFont="1" applyFill="1" applyBorder="1" applyAlignment="1">
      <alignment horizontal="center" vertical="center"/>
    </xf>
    <xf numFmtId="168" fontId="106" fillId="30" borderId="105" xfId="0" applyNumberFormat="1" applyFont="1" applyFill="1" applyBorder="1" applyAlignment="1">
      <alignment horizontal="center" vertical="center"/>
    </xf>
    <xf numFmtId="0" fontId="67" fillId="28" borderId="19" xfId="0" applyFont="1" applyFill="1" applyBorder="1" applyAlignment="1">
      <alignment horizontal="center"/>
    </xf>
    <xf numFmtId="167" fontId="106" fillId="28" borderId="1" xfId="0" applyNumberFormat="1" applyFont="1" applyFill="1" applyBorder="1" applyAlignment="1">
      <alignment horizontal="center" vertical="center"/>
    </xf>
    <xf numFmtId="0" fontId="107" fillId="0" borderId="105" xfId="0" applyFont="1" applyBorder="1" applyAlignment="1">
      <alignment horizontal="center" vertical="center"/>
    </xf>
    <xf numFmtId="0" fontId="107" fillId="28" borderId="1" xfId="0" applyFont="1" applyFill="1" applyBorder="1" applyAlignment="1">
      <alignment horizontal="center" vertical="center"/>
    </xf>
    <xf numFmtId="0" fontId="106" fillId="0" borderId="73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28" borderId="0" xfId="0" applyFont="1" applyFill="1" applyAlignment="1">
      <alignment horizontal="center" vertical="center"/>
    </xf>
    <xf numFmtId="0" fontId="107" fillId="28" borderId="105" xfId="0" applyFont="1" applyFill="1" applyBorder="1" applyAlignment="1">
      <alignment horizontal="left" vertical="center"/>
    </xf>
    <xf numFmtId="0" fontId="40" fillId="28" borderId="83" xfId="0" applyFont="1" applyFill="1" applyBorder="1" applyAlignment="1">
      <alignment vertical="center"/>
    </xf>
    <xf numFmtId="0" fontId="67" fillId="28" borderId="21" xfId="0" applyFont="1" applyFill="1" applyBorder="1"/>
    <xf numFmtId="0" fontId="42" fillId="30" borderId="56" xfId="0" applyFont="1" applyFill="1" applyBorder="1" applyAlignment="1">
      <alignment horizontal="center" vertical="center" wrapText="1"/>
    </xf>
    <xf numFmtId="0" fontId="107" fillId="0" borderId="109" xfId="0" applyFont="1" applyBorder="1" applyAlignment="1">
      <alignment horizontal="center" vertical="center"/>
    </xf>
    <xf numFmtId="0" fontId="42" fillId="31" borderId="56" xfId="0" applyFont="1" applyFill="1" applyBorder="1" applyAlignment="1">
      <alignment horizontal="center" vertical="center" wrapText="1"/>
    </xf>
    <xf numFmtId="0" fontId="66" fillId="28" borderId="59" xfId="0" applyFont="1" applyFill="1" applyBorder="1"/>
    <xf numFmtId="15" fontId="39" fillId="28" borderId="19" xfId="0" applyNumberFormat="1" applyFont="1" applyFill="1" applyBorder="1"/>
    <xf numFmtId="0" fontId="42" fillId="31" borderId="10" xfId="0" applyFont="1" applyFill="1" applyBorder="1" applyAlignment="1">
      <alignment horizontal="center" vertical="center" wrapText="1"/>
    </xf>
    <xf numFmtId="0" fontId="28" fillId="28" borderId="58" xfId="0" applyFont="1" applyFill="1" applyBorder="1"/>
    <xf numFmtId="0" fontId="28" fillId="28" borderId="32" xfId="0" applyFont="1" applyFill="1" applyBorder="1"/>
    <xf numFmtId="0" fontId="28" fillId="28" borderId="77" xfId="0" applyFont="1" applyFill="1" applyBorder="1"/>
    <xf numFmtId="0" fontId="28" fillId="28" borderId="70" xfId="0" applyFont="1" applyFill="1" applyBorder="1"/>
    <xf numFmtId="0" fontId="42" fillId="31" borderId="10" xfId="0" applyFont="1" applyFill="1" applyBorder="1" applyAlignment="1">
      <alignment vertical="center" wrapText="1"/>
    </xf>
    <xf numFmtId="0" fontId="42" fillId="31" borderId="10" xfId="0" applyFont="1" applyFill="1" applyBorder="1" applyAlignment="1">
      <alignment horizontal="left" vertical="center" wrapText="1"/>
    </xf>
    <xf numFmtId="0" fontId="105" fillId="28" borderId="19" xfId="0" applyFont="1" applyFill="1" applyBorder="1"/>
    <xf numFmtId="0" fontId="67" fillId="31" borderId="20" xfId="0" applyFont="1" applyFill="1" applyBorder="1" applyAlignment="1">
      <alignment horizontal="center"/>
    </xf>
    <xf numFmtId="0" fontId="42" fillId="30" borderId="59" xfId="0" applyFont="1" applyFill="1" applyBorder="1" applyAlignment="1" applyProtection="1">
      <alignment horizontal="center" vertical="center" wrapText="1"/>
      <protection locked="0"/>
    </xf>
    <xf numFmtId="15" fontId="66" fillId="28" borderId="57" xfId="0" applyNumberFormat="1" applyFont="1" applyFill="1" applyBorder="1" applyProtection="1">
      <protection locked="0"/>
    </xf>
    <xf numFmtId="15" fontId="66" fillId="28" borderId="58" xfId="0" applyNumberFormat="1" applyFont="1" applyFill="1" applyBorder="1" applyProtection="1">
      <protection locked="0"/>
    </xf>
    <xf numFmtId="0" fontId="37" fillId="28" borderId="58" xfId="0" applyFont="1" applyFill="1" applyBorder="1" applyAlignment="1" applyProtection="1">
      <alignment horizontal="center"/>
      <protection locked="0"/>
    </xf>
    <xf numFmtId="15" fontId="66" fillId="28" borderId="32" xfId="0" applyNumberFormat="1" applyFont="1" applyFill="1" applyBorder="1" applyProtection="1">
      <protection locked="0"/>
    </xf>
    <xf numFmtId="0" fontId="40" fillId="28" borderId="63" xfId="0" applyFont="1" applyFill="1" applyBorder="1" applyAlignment="1" applyProtection="1">
      <alignment vertical="center"/>
      <protection locked="0"/>
    </xf>
    <xf numFmtId="0" fontId="40" fillId="28" borderId="77" xfId="0" applyFont="1" applyFill="1" applyBorder="1" applyAlignment="1" applyProtection="1">
      <alignment vertical="center"/>
      <protection locked="0"/>
    </xf>
    <xf numFmtId="0" fontId="40" fillId="28" borderId="70" xfId="0" applyFont="1" applyFill="1" applyBorder="1" applyAlignment="1" applyProtection="1">
      <alignment vertical="center"/>
      <protection locked="0"/>
    </xf>
    <xf numFmtId="0" fontId="43" fillId="28" borderId="109" xfId="0" applyFont="1" applyFill="1" applyBorder="1" applyAlignment="1">
      <alignment horizontal="left" vertical="center"/>
    </xf>
    <xf numFmtId="0" fontId="43" fillId="28" borderId="114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horizontal="left" vertical="center" wrapText="1"/>
    </xf>
    <xf numFmtId="0" fontId="37" fillId="28" borderId="109" xfId="0" applyFont="1" applyFill="1" applyBorder="1" applyAlignment="1" applyProtection="1">
      <alignment horizontal="center"/>
      <protection locked="0"/>
    </xf>
    <xf numFmtId="0" fontId="37" fillId="28" borderId="105" xfId="0" applyFont="1" applyFill="1" applyBorder="1" applyAlignment="1" applyProtection="1">
      <alignment horizontal="center" vertical="center"/>
      <protection locked="0"/>
    </xf>
    <xf numFmtId="0" fontId="42" fillId="31" borderId="59" xfId="0" applyFont="1" applyFill="1" applyBorder="1" applyAlignment="1">
      <alignment horizontal="center" vertical="center" wrapText="1"/>
    </xf>
    <xf numFmtId="0" fontId="37" fillId="0" borderId="111" xfId="0" applyFont="1" applyBorder="1" applyAlignment="1">
      <alignment horizontal="center" vertical="center"/>
    </xf>
    <xf numFmtId="0" fontId="43" fillId="28" borderId="110" xfId="0" applyFont="1" applyFill="1" applyBorder="1" applyAlignment="1">
      <alignment horizontal="center" vertical="center"/>
    </xf>
    <xf numFmtId="0" fontId="37" fillId="28" borderId="47" xfId="0" applyFont="1" applyFill="1" applyBorder="1" applyAlignment="1" applyProtection="1">
      <alignment horizontal="center"/>
      <protection locked="0"/>
    </xf>
    <xf numFmtId="0" fontId="62" fillId="28" borderId="105" xfId="0" applyFont="1" applyFill="1" applyBorder="1" applyAlignment="1" applyProtection="1">
      <alignment horizontal="center"/>
      <protection locked="0"/>
    </xf>
    <xf numFmtId="0" fontId="106" fillId="28" borderId="47" xfId="0" applyFont="1" applyFill="1" applyBorder="1" applyAlignment="1" applyProtection="1">
      <alignment horizontal="center"/>
      <protection locked="0"/>
    </xf>
    <xf numFmtId="167" fontId="37" fillId="28" borderId="47" xfId="0" applyNumberFormat="1" applyFont="1" applyFill="1" applyBorder="1" applyAlignment="1" applyProtection="1">
      <alignment horizontal="center"/>
      <protection locked="0"/>
    </xf>
    <xf numFmtId="167" fontId="62" fillId="28" borderId="105" xfId="0" applyNumberFormat="1" applyFont="1" applyFill="1" applyBorder="1" applyAlignment="1" applyProtection="1">
      <alignment horizontal="center"/>
      <protection locked="0"/>
    </xf>
    <xf numFmtId="167" fontId="106" fillId="28" borderId="47" xfId="0" applyNumberFormat="1" applyFont="1" applyFill="1" applyBorder="1" applyAlignment="1" applyProtection="1">
      <alignment horizontal="center"/>
      <protection locked="0"/>
    </xf>
    <xf numFmtId="167" fontId="62" fillId="28" borderId="105" xfId="0" applyNumberFormat="1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horizontal="center"/>
      <protection locked="0"/>
    </xf>
    <xf numFmtId="0" fontId="63" fillId="28" borderId="105" xfId="0" applyFont="1" applyFill="1" applyBorder="1" applyAlignment="1" applyProtection="1">
      <alignment horizontal="center"/>
      <protection locked="0"/>
    </xf>
    <xf numFmtId="0" fontId="43" fillId="28" borderId="0" xfId="0" applyFont="1" applyFill="1" applyAlignment="1" applyProtection="1">
      <alignment horizontal="center" vertical="center"/>
      <protection locked="0"/>
    </xf>
    <xf numFmtId="0" fontId="107" fillId="28" borderId="47" xfId="0" applyFont="1" applyFill="1" applyBorder="1" applyAlignment="1" applyProtection="1">
      <alignment horizontal="center"/>
      <protection locked="0"/>
    </xf>
    <xf numFmtId="0" fontId="28" fillId="28" borderId="59" xfId="0" applyFont="1" applyFill="1" applyBorder="1" applyAlignment="1" applyProtection="1">
      <alignment horizontal="center"/>
      <protection locked="0"/>
    </xf>
    <xf numFmtId="0" fontId="28" fillId="28" borderId="53" xfId="0" applyFont="1" applyFill="1" applyBorder="1" applyAlignment="1" applyProtection="1">
      <alignment horizontal="center"/>
      <protection locked="0"/>
    </xf>
    <xf numFmtId="0" fontId="63" fillId="28" borderId="105" xfId="0" applyFont="1" applyFill="1" applyBorder="1" applyAlignment="1" applyProtection="1">
      <alignment vertical="center" wrapText="1"/>
      <protection locked="0"/>
    </xf>
    <xf numFmtId="0" fontId="107" fillId="28" borderId="47" xfId="0" applyFont="1" applyFill="1" applyBorder="1" applyAlignment="1" applyProtection="1">
      <alignment vertical="center" wrapText="1"/>
      <protection locked="0"/>
    </xf>
    <xf numFmtId="0" fontId="63" fillId="28" borderId="105" xfId="0" applyFont="1" applyFill="1" applyBorder="1" applyAlignment="1" applyProtection="1">
      <alignment horizontal="left" vertical="center" wrapText="1"/>
      <protection locked="0"/>
    </xf>
    <xf numFmtId="0" fontId="107" fillId="28" borderId="47" xfId="0" applyFont="1" applyFill="1" applyBorder="1" applyAlignment="1" applyProtection="1">
      <alignment horizontal="left" vertical="center" wrapText="1"/>
      <protection locked="0"/>
    </xf>
    <xf numFmtId="168" fontId="62" fillId="30" borderId="105" xfId="0" applyNumberFormat="1" applyFont="1" applyFill="1" applyBorder="1" applyAlignment="1" applyProtection="1">
      <alignment horizontal="center" vertical="center"/>
      <protection locked="0"/>
    </xf>
    <xf numFmtId="168" fontId="106" fillId="30" borderId="47" xfId="0" applyNumberFormat="1" applyFont="1" applyFill="1" applyBorder="1" applyAlignment="1" applyProtection="1">
      <alignment horizontal="center" vertical="center"/>
      <protection locked="0"/>
    </xf>
    <xf numFmtId="168" fontId="62" fillId="30" borderId="69" xfId="0" applyNumberFormat="1" applyFont="1" applyFill="1" applyBorder="1" applyAlignment="1" applyProtection="1">
      <alignment horizontal="center" vertical="center"/>
      <protection locked="0"/>
    </xf>
    <xf numFmtId="168" fontId="106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" xfId="0" applyFont="1" applyFill="1" applyBorder="1" applyAlignment="1" applyProtection="1">
      <alignment horizontal="center"/>
      <protection locked="0"/>
    </xf>
    <xf numFmtId="0" fontId="106" fillId="28" borderId="10" xfId="0" applyFont="1" applyFill="1" applyBorder="1" applyAlignment="1" applyProtection="1">
      <alignment horizontal="center"/>
      <protection locked="0"/>
    </xf>
    <xf numFmtId="0" fontId="106" fillId="28" borderId="109" xfId="0" applyFont="1" applyFill="1" applyBorder="1" applyAlignment="1" applyProtection="1">
      <alignment horizontal="center"/>
      <protection locked="0"/>
    </xf>
    <xf numFmtId="0" fontId="106" fillId="28" borderId="109" xfId="0" applyFont="1" applyFill="1" applyBorder="1" applyAlignment="1" applyProtection="1">
      <alignment horizontal="center" vertical="center"/>
      <protection locked="0"/>
    </xf>
    <xf numFmtId="0" fontId="62" fillId="28" borderId="105" xfId="0" applyFont="1" applyFill="1" applyBorder="1" applyAlignment="1" applyProtection="1">
      <alignment horizontal="center" vertical="center"/>
      <protection locked="0"/>
    </xf>
    <xf numFmtId="0" fontId="106" fillId="28" borderId="47" xfId="0" applyFont="1" applyFill="1" applyBorder="1" applyAlignment="1" applyProtection="1">
      <alignment horizontal="center" vertical="center"/>
      <protection locked="0"/>
    </xf>
    <xf numFmtId="0" fontId="106" fillId="28" borderId="1" xfId="0" applyFont="1" applyFill="1" applyBorder="1" applyAlignment="1" applyProtection="1">
      <alignment horizontal="center" vertical="center"/>
      <protection locked="0"/>
    </xf>
    <xf numFmtId="0" fontId="106" fillId="28" borderId="47" xfId="0" applyFont="1" applyFill="1" applyBorder="1" applyAlignment="1">
      <alignment horizontal="center" vertical="center"/>
    </xf>
    <xf numFmtId="0" fontId="106" fillId="28" borderId="1" xfId="0" applyFont="1" applyFill="1" applyBorder="1" applyAlignment="1">
      <alignment horizontal="left" vertical="center"/>
    </xf>
    <xf numFmtId="0" fontId="37" fillId="28" borderId="47" xfId="0" applyFont="1" applyFill="1" applyBorder="1" applyAlignment="1">
      <alignment horizontal="left" vertical="center"/>
    </xf>
    <xf numFmtId="0" fontId="79" fillId="28" borderId="80" xfId="0" applyFont="1" applyFill="1" applyBorder="1" applyAlignment="1">
      <alignment horizontal="left" vertical="center"/>
    </xf>
    <xf numFmtId="0" fontId="97" fillId="28" borderId="47" xfId="0" applyFont="1" applyFill="1" applyBorder="1" applyAlignment="1">
      <alignment horizontal="left" vertical="center"/>
    </xf>
    <xf numFmtId="167" fontId="106" fillId="28" borderId="47" xfId="0" applyNumberFormat="1" applyFont="1" applyFill="1" applyBorder="1" applyAlignment="1">
      <alignment horizontal="center" vertical="center"/>
    </xf>
    <xf numFmtId="0" fontId="107" fillId="28" borderId="47" xfId="0" applyFont="1" applyFill="1" applyBorder="1" applyAlignment="1">
      <alignment horizontal="center" vertical="center"/>
    </xf>
    <xf numFmtId="0" fontId="28" fillId="28" borderId="80" xfId="0" applyFont="1" applyFill="1" applyBorder="1" applyAlignment="1">
      <alignment horizontal="center"/>
    </xf>
    <xf numFmtId="168" fontId="79" fillId="31" borderId="80" xfId="0" applyNumberFormat="1" applyFont="1" applyFill="1" applyBorder="1" applyAlignment="1">
      <alignment horizontal="center" vertical="center"/>
    </xf>
    <xf numFmtId="168" fontId="106" fillId="31" borderId="109" xfId="0" applyNumberFormat="1" applyFont="1" applyFill="1" applyBorder="1" applyAlignment="1">
      <alignment horizontal="center" vertical="center"/>
    </xf>
    <xf numFmtId="168" fontId="79" fillId="31" borderId="105" xfId="0" applyNumberFormat="1" applyFont="1" applyFill="1" applyBorder="1" applyAlignment="1">
      <alignment horizontal="center" vertical="center"/>
    </xf>
    <xf numFmtId="0" fontId="107" fillId="28" borderId="47" xfId="0" applyFont="1" applyFill="1" applyBorder="1" applyAlignment="1">
      <alignment horizontal="center"/>
    </xf>
    <xf numFmtId="0" fontId="80" fillId="28" borderId="80" xfId="0" applyFont="1" applyFill="1" applyBorder="1" applyAlignment="1">
      <alignment horizontal="center"/>
    </xf>
    <xf numFmtId="0" fontId="107" fillId="28" borderId="109" xfId="0" applyFont="1" applyFill="1" applyBorder="1" applyAlignment="1">
      <alignment horizontal="center" vertical="center"/>
    </xf>
    <xf numFmtId="0" fontId="106" fillId="28" borderId="1" xfId="0" applyFont="1" applyFill="1" applyBorder="1" applyAlignment="1">
      <alignment horizontal="center" vertical="center"/>
    </xf>
    <xf numFmtId="0" fontId="106" fillId="28" borderId="109" xfId="0" applyFont="1" applyFill="1" applyBorder="1" applyAlignment="1">
      <alignment horizontal="center" vertical="center"/>
    </xf>
    <xf numFmtId="0" fontId="79" fillId="28" borderId="105" xfId="0" applyFont="1" applyFill="1" applyBorder="1" applyAlignment="1">
      <alignment horizontal="center" vertical="center"/>
    </xf>
    <xf numFmtId="0" fontId="59" fillId="28" borderId="104" xfId="0" applyFont="1" applyFill="1" applyBorder="1" applyAlignment="1">
      <alignment horizontal="center" vertical="center"/>
    </xf>
    <xf numFmtId="0" fontId="85" fillId="28" borderId="104" xfId="0" applyFont="1" applyFill="1" applyBorder="1" applyAlignment="1">
      <alignment horizontal="center" vertical="center"/>
    </xf>
    <xf numFmtId="168" fontId="58" fillId="28" borderId="104" xfId="0" applyNumberFormat="1" applyFont="1" applyFill="1" applyBorder="1" applyAlignment="1">
      <alignment horizontal="center" vertical="center"/>
    </xf>
    <xf numFmtId="168" fontId="84" fillId="28" borderId="104" xfId="0" applyNumberFormat="1" applyFont="1" applyFill="1" applyBorder="1" applyAlignment="1">
      <alignment horizontal="center" vertical="center"/>
    </xf>
    <xf numFmtId="168" fontId="84" fillId="30" borderId="104" xfId="0" applyNumberFormat="1" applyFont="1" applyFill="1" applyBorder="1" applyAlignment="1">
      <alignment horizontal="center" vertical="center"/>
    </xf>
    <xf numFmtId="0" fontId="75" fillId="31" borderId="0" xfId="0" applyFont="1" applyFill="1" applyAlignment="1">
      <alignment horizontal="center" vertical="center"/>
    </xf>
    <xf numFmtId="0" fontId="85" fillId="31" borderId="0" xfId="0" applyFont="1" applyFill="1" applyAlignment="1">
      <alignment horizontal="center" vertical="center"/>
    </xf>
    <xf numFmtId="0" fontId="59" fillId="31" borderId="0" xfId="0" applyFont="1" applyFill="1" applyAlignment="1">
      <alignment horizontal="center" vertical="center"/>
    </xf>
    <xf numFmtId="0" fontId="80" fillId="31" borderId="0" xfId="0" applyFont="1" applyFill="1" applyAlignment="1">
      <alignment horizontal="center" vertical="center"/>
    </xf>
    <xf numFmtId="0" fontId="75" fillId="28" borderId="0" xfId="0" applyFont="1" applyFill="1" applyAlignment="1">
      <alignment horizontal="center" vertical="center"/>
    </xf>
    <xf numFmtId="0" fontId="80" fillId="28" borderId="0" xfId="0" applyFont="1" applyFill="1" applyAlignment="1">
      <alignment horizontal="center" vertical="center"/>
    </xf>
    <xf numFmtId="0" fontId="106" fillId="28" borderId="80" xfId="0" applyFont="1" applyFill="1" applyBorder="1" applyAlignment="1">
      <alignment horizontal="center" vertical="center"/>
    </xf>
    <xf numFmtId="167" fontId="106" fillId="28" borderId="80" xfId="0" applyNumberFormat="1" applyFont="1" applyFill="1" applyBorder="1" applyAlignment="1">
      <alignment horizontal="center" vertical="center"/>
    </xf>
    <xf numFmtId="0" fontId="107" fillId="28" borderId="80" xfId="0" applyFont="1" applyFill="1" applyBorder="1" applyAlignment="1">
      <alignment horizontal="center" vertical="center"/>
    </xf>
    <xf numFmtId="168" fontId="106" fillId="28" borderId="80" xfId="0" applyNumberFormat="1" applyFont="1" applyFill="1" applyBorder="1" applyAlignment="1">
      <alignment horizontal="center" vertical="center"/>
    </xf>
    <xf numFmtId="168" fontId="106" fillId="30" borderId="109" xfId="0" applyNumberFormat="1" applyFont="1" applyFill="1" applyBorder="1" applyAlignment="1">
      <alignment horizontal="center" vertical="center"/>
    </xf>
    <xf numFmtId="0" fontId="107" fillId="28" borderId="97" xfId="0" applyFont="1" applyFill="1" applyBorder="1" applyAlignment="1">
      <alignment horizontal="center" vertical="center"/>
    </xf>
    <xf numFmtId="0" fontId="106" fillId="0" borderId="47" xfId="0" applyFont="1" applyBorder="1" applyAlignment="1">
      <alignment horizontal="center" vertical="center"/>
    </xf>
    <xf numFmtId="0" fontId="58" fillId="0" borderId="73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106" fillId="28" borderId="76" xfId="0" applyFont="1" applyFill="1" applyBorder="1" applyAlignment="1">
      <alignment horizontal="center" vertical="center"/>
    </xf>
    <xf numFmtId="0" fontId="74" fillId="28" borderId="72" xfId="0" applyFont="1" applyFill="1" applyBorder="1" applyAlignment="1">
      <alignment horizontal="center" vertical="center"/>
    </xf>
    <xf numFmtId="0" fontId="106" fillId="28" borderId="72" xfId="0" applyFont="1" applyFill="1" applyBorder="1" applyAlignment="1">
      <alignment horizontal="center" vertical="center"/>
    </xf>
    <xf numFmtId="0" fontId="107" fillId="0" borderId="47" xfId="0" applyFont="1" applyBorder="1" applyAlignment="1">
      <alignment horizontal="center" vertical="center"/>
    </xf>
    <xf numFmtId="168" fontId="106" fillId="28" borderId="47" xfId="0" applyNumberFormat="1" applyFont="1" applyFill="1" applyBorder="1" applyAlignment="1">
      <alignment horizontal="center" vertical="center"/>
    </xf>
    <xf numFmtId="0" fontId="107" fillId="28" borderId="103" xfId="0" applyFont="1" applyFill="1" applyBorder="1" applyAlignment="1">
      <alignment horizontal="center" vertical="center"/>
    </xf>
    <xf numFmtId="0" fontId="107" fillId="28" borderId="96" xfId="0" applyFont="1" applyFill="1" applyBorder="1" applyAlignment="1">
      <alignment horizontal="center" vertical="center"/>
    </xf>
    <xf numFmtId="0" fontId="43" fillId="28" borderId="80" xfId="0" applyFont="1" applyFill="1" applyBorder="1" applyAlignment="1">
      <alignment vertical="center"/>
    </xf>
    <xf numFmtId="0" fontId="107" fillId="28" borderId="76" xfId="0" applyFont="1" applyFill="1" applyBorder="1" applyAlignment="1">
      <alignment horizontal="center" vertical="center"/>
    </xf>
    <xf numFmtId="0" fontId="43" fillId="28" borderId="72" xfId="0" applyFont="1" applyFill="1" applyBorder="1" applyAlignment="1">
      <alignment vertical="center"/>
    </xf>
    <xf numFmtId="0" fontId="107" fillId="0" borderId="80" xfId="0" applyFont="1" applyBorder="1" applyAlignment="1">
      <alignment horizontal="center" vertical="center"/>
    </xf>
    <xf numFmtId="0" fontId="98" fillId="0" borderId="80" xfId="0" applyFont="1" applyBorder="1" applyAlignment="1">
      <alignment vertical="center" wrapText="1"/>
    </xf>
    <xf numFmtId="0" fontId="107" fillId="0" borderId="80" xfId="0" applyFont="1" applyBorder="1" applyAlignment="1">
      <alignment vertical="center" wrapText="1"/>
    </xf>
    <xf numFmtId="0" fontId="98" fillId="0" borderId="80" xfId="0" applyFont="1" applyBorder="1" applyAlignment="1">
      <alignment horizontal="left" vertical="center" wrapText="1"/>
    </xf>
    <xf numFmtId="0" fontId="107" fillId="0" borderId="80" xfId="0" applyFont="1" applyBorder="1" applyAlignment="1">
      <alignment horizontal="left" vertical="center" wrapText="1"/>
    </xf>
    <xf numFmtId="168" fontId="97" fillId="28" borderId="80" xfId="0" applyNumberFormat="1" applyFont="1" applyFill="1" applyBorder="1" applyAlignment="1">
      <alignment horizontal="center" vertical="center"/>
    </xf>
    <xf numFmtId="168" fontId="97" fillId="30" borderId="80" xfId="0" applyNumberFormat="1" applyFont="1" applyFill="1" applyBorder="1" applyAlignment="1">
      <alignment horizontal="center" vertical="center"/>
    </xf>
    <xf numFmtId="168" fontId="106" fillId="30" borderId="80" xfId="0" applyNumberFormat="1" applyFont="1" applyFill="1" applyBorder="1" applyAlignment="1">
      <alignment horizontal="center" vertical="center"/>
    </xf>
    <xf numFmtId="0" fontId="108" fillId="0" borderId="80" xfId="0" applyFont="1" applyBorder="1" applyAlignment="1">
      <alignment horizontal="center" vertical="center"/>
    </xf>
    <xf numFmtId="0" fontId="42" fillId="28" borderId="105" xfId="0" applyFont="1" applyFill="1" applyBorder="1" applyAlignment="1">
      <alignment horizontal="center" vertical="center"/>
    </xf>
    <xf numFmtId="0" fontId="84" fillId="28" borderId="60" xfId="0" applyFont="1" applyFill="1" applyBorder="1" applyAlignment="1">
      <alignment horizontal="center" vertical="center"/>
    </xf>
    <xf numFmtId="0" fontId="79" fillId="28" borderId="0" xfId="0" applyFont="1" applyFill="1" applyAlignment="1">
      <alignment horizontal="center" vertical="center"/>
    </xf>
    <xf numFmtId="0" fontId="84" fillId="28" borderId="80" xfId="0" applyFont="1" applyFill="1" applyBorder="1" applyAlignment="1">
      <alignment horizontal="center" vertical="center"/>
    </xf>
    <xf numFmtId="0" fontId="43" fillId="0" borderId="74" xfId="0" applyFont="1" applyBorder="1" applyAlignment="1">
      <alignment horizontal="center" vertical="center"/>
    </xf>
    <xf numFmtId="0" fontId="85" fillId="0" borderId="80" xfId="0" applyFont="1" applyBorder="1" applyAlignment="1">
      <alignment horizontal="center" vertical="center"/>
    </xf>
    <xf numFmtId="0" fontId="37" fillId="28" borderId="105" xfId="0" applyFont="1" applyFill="1" applyBorder="1" applyAlignment="1">
      <alignment horizontal="left" vertical="center"/>
    </xf>
    <xf numFmtId="0" fontId="43" fillId="28" borderId="105" xfId="0" applyFont="1" applyFill="1" applyBorder="1" applyAlignment="1">
      <alignment horizontal="center"/>
    </xf>
    <xf numFmtId="0" fontId="1" fillId="28" borderId="1" xfId="0" quotePrefix="1" applyFont="1" applyFill="1" applyBorder="1" applyAlignment="1">
      <alignment horizontal="center"/>
    </xf>
    <xf numFmtId="0" fontId="60" fillId="28" borderId="1" xfId="0" applyFont="1" applyFill="1" applyBorder="1" applyAlignment="1">
      <alignment horizontal="center"/>
    </xf>
    <xf numFmtId="0" fontId="60" fillId="28" borderId="76" xfId="0" applyFont="1" applyFill="1" applyBorder="1" applyAlignment="1">
      <alignment horizontal="center"/>
    </xf>
    <xf numFmtId="0" fontId="60" fillId="28" borderId="82" xfId="0" applyFont="1" applyFill="1" applyBorder="1" applyAlignment="1">
      <alignment horizontal="center"/>
    </xf>
    <xf numFmtId="0" fontId="60" fillId="28" borderId="98" xfId="0" applyFont="1" applyFill="1" applyBorder="1" applyAlignment="1">
      <alignment horizontal="center"/>
    </xf>
    <xf numFmtId="0" fontId="39" fillId="28" borderId="53" xfId="0" applyFont="1" applyFill="1" applyBorder="1"/>
    <xf numFmtId="0" fontId="27" fillId="0" borderId="109" xfId="0" applyFont="1" applyBorder="1" applyAlignment="1">
      <alignment horizontal="left"/>
    </xf>
    <xf numFmtId="0" fontId="71" fillId="0" borderId="109" xfId="0" applyFont="1" applyBorder="1" applyAlignment="1">
      <alignment horizontal="center"/>
    </xf>
    <xf numFmtId="0" fontId="29" fillId="0" borderId="103" xfId="0" applyFont="1" applyBorder="1" applyAlignment="1">
      <alignment horizontal="left" wrapText="1"/>
    </xf>
    <xf numFmtId="0" fontId="27" fillId="0" borderId="96" xfId="0" applyFont="1" applyBorder="1" applyAlignment="1">
      <alignment horizontal="left"/>
    </xf>
    <xf numFmtId="0" fontId="101" fillId="0" borderId="103" xfId="0" applyFont="1" applyBorder="1" applyAlignment="1">
      <alignment horizontal="left"/>
    </xf>
    <xf numFmtId="0" fontId="0" fillId="0" borderId="0" xfId="0" applyAlignment="1">
      <alignment horizontal="left"/>
    </xf>
    <xf numFmtId="0" fontId="109" fillId="0" borderId="109" xfId="0" applyFont="1" applyBorder="1" applyAlignment="1">
      <alignment horizontal="left"/>
    </xf>
    <xf numFmtId="0" fontId="110" fillId="0" borderId="109" xfId="0" applyFont="1" applyBorder="1" applyAlignment="1">
      <alignment horizontal="center"/>
    </xf>
    <xf numFmtId="0" fontId="51" fillId="28" borderId="1" xfId="0" applyFont="1" applyFill="1" applyBorder="1" applyAlignment="1">
      <alignment horizontal="center"/>
    </xf>
    <xf numFmtId="0" fontId="52" fillId="28" borderId="76" xfId="0" applyFont="1" applyFill="1" applyBorder="1" applyAlignment="1">
      <alignment horizontal="center" vertical="center"/>
    </xf>
    <xf numFmtId="0" fontId="52" fillId="28" borderId="82" xfId="0" applyFont="1" applyFill="1" applyBorder="1" applyAlignment="1">
      <alignment horizontal="center" vertical="center"/>
    </xf>
    <xf numFmtId="0" fontId="52" fillId="28" borderId="75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0" xfId="0" applyBorder="1" applyAlignment="1">
      <alignment horizontal="center"/>
    </xf>
    <xf numFmtId="0" fontId="60" fillId="28" borderId="76" xfId="0" applyFont="1" applyFill="1" applyBorder="1" applyAlignment="1">
      <alignment horizontal="center"/>
    </xf>
    <xf numFmtId="0" fontId="60" fillId="28" borderId="82" xfId="0" applyFont="1" applyFill="1" applyBorder="1" applyAlignment="1">
      <alignment horizontal="center"/>
    </xf>
    <xf numFmtId="0" fontId="60" fillId="28" borderId="98" xfId="0" applyFont="1" applyFill="1" applyBorder="1" applyAlignment="1">
      <alignment horizontal="center"/>
    </xf>
    <xf numFmtId="15" fontId="36" fillId="31" borderId="58" xfId="0" applyNumberFormat="1" applyFont="1" applyFill="1" applyBorder="1" applyAlignment="1">
      <alignment horizontal="center"/>
    </xf>
    <xf numFmtId="0" fontId="60" fillId="28" borderId="106" xfId="0" applyFont="1" applyFill="1" applyBorder="1" applyAlignment="1">
      <alignment horizontal="center"/>
    </xf>
    <xf numFmtId="15" fontId="66" fillId="28" borderId="19" xfId="0" applyNumberFormat="1" applyFont="1" applyFill="1" applyBorder="1" applyAlignment="1" applyProtection="1">
      <alignment horizontal="center"/>
      <protection locked="0"/>
    </xf>
    <xf numFmtId="15" fontId="66" fillId="28" borderId="20" xfId="0" applyNumberFormat="1" applyFont="1" applyFill="1" applyBorder="1" applyAlignment="1" applyProtection="1">
      <alignment horizontal="center"/>
      <protection locked="0"/>
    </xf>
    <xf numFmtId="15" fontId="66" fillId="28" borderId="21" xfId="0" applyNumberFormat="1" applyFont="1" applyFill="1" applyBorder="1" applyAlignment="1" applyProtection="1">
      <alignment horizontal="center"/>
      <protection locked="0"/>
    </xf>
    <xf numFmtId="0" fontId="40" fillId="28" borderId="19" xfId="0" applyFont="1" applyFill="1" applyBorder="1" applyAlignment="1" applyProtection="1">
      <alignment horizontal="center" vertical="center"/>
      <protection locked="0"/>
    </xf>
    <xf numFmtId="0" fontId="40" fillId="28" borderId="20" xfId="0" applyFont="1" applyFill="1" applyBorder="1" applyAlignment="1" applyProtection="1">
      <alignment horizontal="center" vertical="center"/>
      <protection locked="0"/>
    </xf>
    <xf numFmtId="0" fontId="40" fillId="28" borderId="21" xfId="0" applyFont="1" applyFill="1" applyBorder="1" applyAlignment="1" applyProtection="1">
      <alignment horizontal="center" vertical="center"/>
      <protection locked="0"/>
    </xf>
    <xf numFmtId="0" fontId="38" fillId="28" borderId="0" xfId="0" applyFont="1" applyFill="1" applyAlignment="1" applyProtection="1">
      <alignment horizontal="center"/>
      <protection locked="0"/>
    </xf>
    <xf numFmtId="0" fontId="66" fillId="28" borderId="11" xfId="0" applyFont="1" applyFill="1" applyBorder="1" applyAlignment="1" applyProtection="1">
      <alignment horizontal="center" vertical="center"/>
      <protection locked="0"/>
    </xf>
    <xf numFmtId="0" fontId="66" fillId="28" borderId="13" xfId="0" applyFont="1" applyFill="1" applyBorder="1" applyAlignment="1" applyProtection="1">
      <alignment horizontal="center" vertical="center"/>
      <protection locked="0"/>
    </xf>
    <xf numFmtId="0" fontId="66" fillId="28" borderId="11" xfId="0" applyFont="1" applyFill="1" applyBorder="1" applyAlignment="1" applyProtection="1">
      <alignment horizontal="center"/>
      <protection locked="0"/>
    </xf>
    <xf numFmtId="0" fontId="66" fillId="28" borderId="12" xfId="0" applyFont="1" applyFill="1" applyBorder="1" applyAlignment="1" applyProtection="1">
      <alignment horizontal="center"/>
      <protection locked="0"/>
    </xf>
    <xf numFmtId="0" fontId="66" fillId="28" borderId="13" xfId="0" applyFont="1" applyFill="1" applyBorder="1" applyAlignment="1" applyProtection="1">
      <alignment horizontal="center"/>
      <protection locked="0"/>
    </xf>
    <xf numFmtId="0" fontId="66" fillId="28" borderId="65" xfId="0" applyFont="1" applyFill="1" applyBorder="1" applyAlignment="1" applyProtection="1">
      <alignment horizontal="center" vertical="center"/>
      <protection locked="0"/>
    </xf>
    <xf numFmtId="0" fontId="66" fillId="28" borderId="66" xfId="0" applyFont="1" applyFill="1" applyBorder="1" applyAlignment="1" applyProtection="1">
      <alignment horizontal="center" vertical="center"/>
      <protection locked="0"/>
    </xf>
    <xf numFmtId="0" fontId="66" fillId="28" borderId="67" xfId="0" applyFont="1" applyFill="1" applyBorder="1" applyAlignment="1" applyProtection="1">
      <alignment horizontal="center" vertical="center"/>
      <protection locked="0"/>
    </xf>
    <xf numFmtId="0" fontId="67" fillId="28" borderId="20" xfId="0" applyFont="1" applyFill="1" applyBorder="1" applyAlignment="1" applyProtection="1">
      <alignment horizontal="center"/>
      <protection locked="0"/>
    </xf>
    <xf numFmtId="0" fontId="67" fillId="28" borderId="21" xfId="0" applyFont="1" applyFill="1" applyBorder="1" applyAlignment="1" applyProtection="1">
      <alignment horizontal="center"/>
      <protection locked="0"/>
    </xf>
    <xf numFmtId="0" fontId="66" fillId="28" borderId="19" xfId="0" applyFont="1" applyFill="1" applyBorder="1" applyAlignment="1" applyProtection="1">
      <alignment horizontal="center"/>
      <protection locked="0"/>
    </xf>
    <xf numFmtId="0" fontId="66" fillId="28" borderId="20" xfId="0" applyFont="1" applyFill="1" applyBorder="1" applyAlignment="1" applyProtection="1">
      <alignment horizontal="center"/>
      <protection locked="0"/>
    </xf>
    <xf numFmtId="0" fontId="66" fillId="28" borderId="21" xfId="0" applyFont="1" applyFill="1" applyBorder="1" applyAlignment="1" applyProtection="1">
      <alignment horizontal="center"/>
      <protection locked="0"/>
    </xf>
    <xf numFmtId="0" fontId="67" fillId="28" borderId="19" xfId="0" applyFont="1" applyFill="1" applyBorder="1" applyAlignment="1" applyProtection="1">
      <alignment horizontal="center"/>
      <protection locked="0"/>
    </xf>
    <xf numFmtId="0" fontId="66" fillId="28" borderId="57" xfId="0" applyFont="1" applyFill="1" applyBorder="1" applyAlignment="1" applyProtection="1">
      <alignment horizontal="center"/>
      <protection locked="0"/>
    </xf>
    <xf numFmtId="0" fontId="66" fillId="28" borderId="58" xfId="0" applyFont="1" applyFill="1" applyBorder="1" applyAlignment="1" applyProtection="1">
      <alignment horizontal="center"/>
      <protection locked="0"/>
    </xf>
    <xf numFmtId="0" fontId="66" fillId="28" borderId="32" xfId="0" applyFont="1" applyFill="1" applyBorder="1" applyAlignment="1" applyProtection="1">
      <alignment horizontal="center"/>
      <protection locked="0"/>
    </xf>
    <xf numFmtId="0" fontId="38" fillId="28" borderId="0" xfId="0" applyFont="1" applyFill="1" applyAlignment="1">
      <alignment horizontal="center"/>
    </xf>
    <xf numFmtId="15" fontId="66" fillId="28" borderId="19" xfId="0" applyNumberFormat="1" applyFont="1" applyFill="1" applyBorder="1" applyAlignment="1">
      <alignment horizontal="center"/>
    </xf>
    <xf numFmtId="15" fontId="66" fillId="28" borderId="20" xfId="0" applyNumberFormat="1" applyFont="1" applyFill="1" applyBorder="1" applyAlignment="1">
      <alignment horizontal="center"/>
    </xf>
    <xf numFmtId="15" fontId="66" fillId="28" borderId="21" xfId="0" applyNumberFormat="1" applyFont="1" applyFill="1" applyBorder="1" applyAlignment="1">
      <alignment horizontal="center"/>
    </xf>
    <xf numFmtId="0" fontId="66" fillId="28" borderId="12" xfId="0" applyFont="1" applyFill="1" applyBorder="1" applyAlignment="1">
      <alignment horizontal="center"/>
    </xf>
    <xf numFmtId="0" fontId="66" fillId="28" borderId="13" xfId="0" applyFont="1" applyFill="1" applyBorder="1" applyAlignment="1">
      <alignment horizontal="center"/>
    </xf>
    <xf numFmtId="0" fontId="66" fillId="28" borderId="10" xfId="0" applyFont="1" applyFill="1" applyBorder="1" applyAlignment="1">
      <alignment horizontal="center" vertical="center"/>
    </xf>
    <xf numFmtId="0" fontId="66" fillId="28" borderId="11" xfId="0" applyFont="1" applyFill="1" applyBorder="1" applyAlignment="1">
      <alignment horizontal="center"/>
    </xf>
    <xf numFmtId="0" fontId="67" fillId="28" borderId="24" xfId="0" applyFont="1" applyFill="1" applyBorder="1" applyAlignment="1">
      <alignment horizontal="center"/>
    </xf>
    <xf numFmtId="0" fontId="67" fillId="28" borderId="10" xfId="0" applyFont="1" applyFill="1" applyBorder="1" applyAlignment="1">
      <alignment horizontal="center"/>
    </xf>
    <xf numFmtId="0" fontId="67" fillId="28" borderId="55" xfId="0" applyFont="1" applyFill="1" applyBorder="1" applyAlignment="1">
      <alignment horizontal="center"/>
    </xf>
    <xf numFmtId="0" fontId="67" fillId="28" borderId="33" xfId="0" applyFont="1" applyFill="1" applyBorder="1" applyAlignment="1">
      <alignment horizontal="center"/>
    </xf>
    <xf numFmtId="0" fontId="67" fillId="28" borderId="108" xfId="0" applyFont="1" applyFill="1" applyBorder="1" applyAlignment="1">
      <alignment horizontal="center"/>
    </xf>
    <xf numFmtId="0" fontId="67" fillId="28" borderId="18" xfId="0" applyFont="1" applyFill="1" applyBorder="1" applyAlignment="1">
      <alignment horizontal="center"/>
    </xf>
    <xf numFmtId="0" fontId="39" fillId="28" borderId="19" xfId="0" applyFont="1" applyFill="1" applyBorder="1" applyAlignment="1">
      <alignment horizontal="center"/>
    </xf>
    <xf numFmtId="0" fontId="39" fillId="28" borderId="21" xfId="0" applyFont="1" applyFill="1" applyBorder="1" applyAlignment="1">
      <alignment horizontal="center"/>
    </xf>
    <xf numFmtId="0" fontId="39" fillId="28" borderId="57" xfId="0" applyFont="1" applyFill="1" applyBorder="1" applyAlignment="1">
      <alignment horizontal="center"/>
    </xf>
    <xf numFmtId="0" fontId="39" fillId="28" borderId="58" xfId="0" applyFont="1" applyFill="1" applyBorder="1" applyAlignment="1">
      <alignment horizontal="center"/>
    </xf>
    <xf numFmtId="0" fontId="39" fillId="28" borderId="32" xfId="0" applyFont="1" applyFill="1" applyBorder="1" applyAlignment="1">
      <alignment horizont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0" fillId="28" borderId="21" xfId="0" applyFont="1" applyFill="1" applyBorder="1" applyAlignment="1">
      <alignment horizontal="center" vertical="center"/>
    </xf>
    <xf numFmtId="0" fontId="40" fillId="28" borderId="19" xfId="0" applyFont="1" applyFill="1" applyBorder="1" applyAlignment="1">
      <alignment horizontal="center"/>
    </xf>
    <xf numFmtId="0" fontId="40" fillId="28" borderId="20" xfId="0" applyFont="1" applyFill="1" applyBorder="1" applyAlignment="1">
      <alignment horizontal="center"/>
    </xf>
    <xf numFmtId="0" fontId="40" fillId="31" borderId="20" xfId="0" applyFont="1" applyFill="1" applyBorder="1" applyAlignment="1">
      <alignment horizontal="center"/>
    </xf>
    <xf numFmtId="0" fontId="40" fillId="28" borderId="21" xfId="0" applyFont="1" applyFill="1" applyBorder="1" applyAlignment="1">
      <alignment horizontal="center"/>
    </xf>
    <xf numFmtId="0" fontId="66" fillId="28" borderId="19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66" fillId="28" borderId="21" xfId="0" applyFont="1" applyFill="1" applyBorder="1" applyAlignment="1">
      <alignment horizontal="center"/>
    </xf>
    <xf numFmtId="0" fontId="66" fillId="28" borderId="19" xfId="0" applyFont="1" applyFill="1" applyBorder="1" applyAlignment="1">
      <alignment horizontal="center" vertical="center"/>
    </xf>
    <xf numFmtId="0" fontId="66" fillId="28" borderId="21" xfId="0" applyFont="1" applyFill="1" applyBorder="1" applyAlignment="1">
      <alignment horizontal="center" vertical="center"/>
    </xf>
    <xf numFmtId="0" fontId="66" fillId="28" borderId="20" xfId="0" applyFont="1" applyFill="1" applyBorder="1" applyAlignment="1">
      <alignment horizontal="center" vertical="center"/>
    </xf>
    <xf numFmtId="0" fontId="67" fillId="28" borderId="19" xfId="0" applyFont="1" applyFill="1" applyBorder="1" applyAlignment="1">
      <alignment horizontal="center"/>
    </xf>
    <xf numFmtId="0" fontId="67" fillId="28" borderId="20" xfId="0" applyFont="1" applyFill="1" applyBorder="1" applyAlignment="1">
      <alignment horizontal="center"/>
    </xf>
    <xf numFmtId="0" fontId="67" fillId="28" borderId="21" xfId="0" applyFont="1" applyFill="1" applyBorder="1" applyAlignment="1">
      <alignment horizontal="center"/>
    </xf>
    <xf numFmtId="0" fontId="67" fillId="31" borderId="20" xfId="0" applyFont="1" applyFill="1" applyBorder="1" applyAlignment="1">
      <alignment horizontal="center"/>
    </xf>
    <xf numFmtId="0" fontId="105" fillId="28" borderId="20" xfId="0" applyFont="1" applyFill="1" applyBorder="1" applyAlignment="1">
      <alignment horizontal="center"/>
    </xf>
    <xf numFmtId="0" fontId="105" fillId="28" borderId="21" xfId="0" applyFont="1" applyFill="1" applyBorder="1" applyAlignment="1">
      <alignment horizontal="center"/>
    </xf>
    <xf numFmtId="0" fontId="66" fillId="28" borderId="57" xfId="0" applyFont="1" applyFill="1" applyBorder="1" applyAlignment="1">
      <alignment horizontal="center"/>
    </xf>
    <xf numFmtId="0" fontId="66" fillId="28" borderId="58" xfId="0" applyFont="1" applyFill="1" applyBorder="1" applyAlignment="1">
      <alignment horizontal="center"/>
    </xf>
    <xf numFmtId="0" fontId="66" fillId="28" borderId="32" xfId="0" applyFont="1" applyFill="1" applyBorder="1" applyAlignment="1">
      <alignment horizontal="center"/>
    </xf>
    <xf numFmtId="0" fontId="66" fillId="28" borderId="77" xfId="0" applyFont="1" applyFill="1" applyBorder="1" applyAlignment="1">
      <alignment horizontal="center"/>
    </xf>
    <xf numFmtId="0" fontId="66" fillId="28" borderId="70" xfId="0" applyFont="1" applyFill="1" applyBorder="1" applyAlignment="1">
      <alignment horizontal="center"/>
    </xf>
    <xf numFmtId="0" fontId="40" fillId="28" borderId="47" xfId="0" applyFont="1" applyFill="1" applyBorder="1" applyAlignment="1">
      <alignment horizontal="center" vertical="center"/>
    </xf>
    <xf numFmtId="0" fontId="66" fillId="28" borderId="47" xfId="0" applyFont="1" applyFill="1" applyBorder="1" applyAlignment="1">
      <alignment horizontal="center"/>
    </xf>
    <xf numFmtId="0" fontId="66" fillId="28" borderId="47" xfId="0" applyFont="1" applyFill="1" applyBorder="1" applyAlignment="1">
      <alignment horizontal="center" vertical="center"/>
    </xf>
    <xf numFmtId="0" fontId="67" fillId="28" borderId="47" xfId="0" applyFont="1" applyFill="1" applyBorder="1" applyAlignment="1">
      <alignment horizontal="center"/>
    </xf>
    <xf numFmtId="0" fontId="67" fillId="28" borderId="1" xfId="0" applyFont="1" applyFill="1" applyBorder="1" applyAlignment="1">
      <alignment horizontal="center"/>
    </xf>
    <xf numFmtId="0" fontId="67" fillId="28" borderId="96" xfId="0" applyFont="1" applyFill="1" applyBorder="1" applyAlignment="1">
      <alignment horizontal="center"/>
    </xf>
    <xf numFmtId="15" fontId="66" fillId="28" borderId="47" xfId="0" applyNumberFormat="1" applyFont="1" applyFill="1" applyBorder="1" applyAlignment="1">
      <alignment horizontal="center"/>
    </xf>
    <xf numFmtId="0" fontId="67" fillId="28" borderId="76" xfId="0" applyFont="1" applyFill="1" applyBorder="1" applyAlignment="1">
      <alignment horizontal="center"/>
    </xf>
    <xf numFmtId="0" fontId="67" fillId="28" borderId="75" xfId="0" applyFont="1" applyFill="1" applyBorder="1" applyAlignment="1">
      <alignment horizontal="center"/>
    </xf>
    <xf numFmtId="0" fontId="66" fillId="28" borderId="110" xfId="0" applyFont="1" applyFill="1" applyBorder="1" applyAlignment="1">
      <alignment horizontal="center"/>
    </xf>
    <xf numFmtId="0" fontId="66" fillId="28" borderId="82" xfId="0" applyFont="1" applyFill="1" applyBorder="1" applyAlignment="1">
      <alignment horizontal="center"/>
    </xf>
    <xf numFmtId="0" fontId="66" fillId="28" borderId="112" xfId="0" applyFont="1" applyFill="1" applyBorder="1" applyAlignment="1">
      <alignment horizontal="center"/>
    </xf>
    <xf numFmtId="0" fontId="66" fillId="28" borderId="111" xfId="0" applyFont="1" applyFill="1" applyBorder="1" applyAlignment="1">
      <alignment horizontal="center"/>
    </xf>
    <xf numFmtId="0" fontId="67" fillId="28" borderId="110" xfId="0" applyFont="1" applyFill="1" applyBorder="1" applyAlignment="1">
      <alignment horizontal="center"/>
    </xf>
    <xf numFmtId="0" fontId="67" fillId="28" borderId="111" xfId="0" applyFont="1" applyFill="1" applyBorder="1" applyAlignment="1">
      <alignment horizontal="center"/>
    </xf>
    <xf numFmtId="15" fontId="66" fillId="28" borderId="71" xfId="0" applyNumberFormat="1" applyFont="1" applyFill="1" applyBorder="1" applyAlignment="1">
      <alignment horizontal="center"/>
    </xf>
    <xf numFmtId="0" fontId="40" fillId="28" borderId="84" xfId="0" applyFont="1" applyFill="1" applyBorder="1" applyAlignment="1">
      <alignment horizontal="center" vertical="center"/>
    </xf>
    <xf numFmtId="0" fontId="40" fillId="28" borderId="85" xfId="0" applyFont="1" applyFill="1" applyBorder="1" applyAlignment="1">
      <alignment horizontal="center" vertical="center"/>
    </xf>
    <xf numFmtId="0" fontId="40" fillId="28" borderId="86" xfId="0" applyFont="1" applyFill="1" applyBorder="1" applyAlignment="1">
      <alignment horizontal="center" vertical="center"/>
    </xf>
    <xf numFmtId="15" fontId="46" fillId="28" borderId="19" xfId="0" applyNumberFormat="1" applyFont="1" applyFill="1" applyBorder="1" applyAlignment="1">
      <alignment horizontal="center"/>
    </xf>
    <xf numFmtId="15" fontId="46" fillId="28" borderId="20" xfId="0" applyNumberFormat="1" applyFont="1" applyFill="1" applyBorder="1" applyAlignment="1">
      <alignment horizontal="center"/>
    </xf>
    <xf numFmtId="15" fontId="46" fillId="28" borderId="21" xfId="0" applyNumberFormat="1" applyFont="1" applyFill="1" applyBorder="1" applyAlignment="1">
      <alignment horizontal="center"/>
    </xf>
    <xf numFmtId="15" fontId="66" fillId="28" borderId="63" xfId="0" applyNumberFormat="1" applyFont="1" applyFill="1" applyBorder="1" applyAlignment="1">
      <alignment horizontal="center"/>
    </xf>
    <xf numFmtId="15" fontId="66" fillId="28" borderId="77" xfId="0" applyNumberFormat="1" applyFont="1" applyFill="1" applyBorder="1" applyAlignment="1">
      <alignment horizontal="center"/>
    </xf>
    <xf numFmtId="15" fontId="66" fillId="28" borderId="70" xfId="0" applyNumberFormat="1" applyFont="1" applyFill="1" applyBorder="1" applyAlignment="1">
      <alignment horizontal="center"/>
    </xf>
    <xf numFmtId="15" fontId="39" fillId="28" borderId="11" xfId="0" applyNumberFormat="1" applyFont="1" applyFill="1" applyBorder="1" applyAlignment="1">
      <alignment horizontal="center"/>
    </xf>
    <xf numFmtId="15" fontId="39" fillId="28" borderId="12" xfId="0" applyNumberFormat="1" applyFont="1" applyFill="1" applyBorder="1" applyAlignment="1">
      <alignment horizontal="center"/>
    </xf>
    <xf numFmtId="15" fontId="39" fillId="28" borderId="78" xfId="0" applyNumberFormat="1" applyFont="1" applyFill="1" applyBorder="1" applyAlignment="1">
      <alignment horizontal="center"/>
    </xf>
    <xf numFmtId="0" fontId="40" fillId="28" borderId="11" xfId="0" applyFont="1" applyFill="1" applyBorder="1" applyAlignment="1">
      <alignment horizontal="center" vertical="center"/>
    </xf>
    <xf numFmtId="0" fontId="40" fillId="28" borderId="12" xfId="0" applyFont="1" applyFill="1" applyBorder="1" applyAlignment="1">
      <alignment horizontal="center" vertical="center"/>
    </xf>
    <xf numFmtId="0" fontId="40" fillId="28" borderId="78" xfId="0" applyFont="1" applyFill="1" applyBorder="1" applyAlignment="1">
      <alignment horizontal="center" vertical="center"/>
    </xf>
    <xf numFmtId="0" fontId="39" fillId="28" borderId="11" xfId="0" applyFont="1" applyFill="1" applyBorder="1" applyAlignment="1">
      <alignment horizontal="center" vertical="center"/>
    </xf>
    <xf numFmtId="0" fontId="39" fillId="28" borderId="12" xfId="0" applyFont="1" applyFill="1" applyBorder="1" applyAlignment="1">
      <alignment horizontal="center" vertical="center"/>
    </xf>
    <xf numFmtId="0" fontId="39" fillId="28" borderId="13" xfId="0" applyFont="1" applyFill="1" applyBorder="1" applyAlignment="1">
      <alignment horizontal="center" vertical="center"/>
    </xf>
    <xf numFmtId="0" fontId="39" fillId="28" borderId="11" xfId="0" applyFont="1" applyFill="1" applyBorder="1" applyAlignment="1">
      <alignment horizontal="center"/>
    </xf>
    <xf numFmtId="0" fontId="39" fillId="28" borderId="12" xfId="0" applyFont="1" applyFill="1" applyBorder="1" applyAlignment="1">
      <alignment horizontal="center"/>
    </xf>
    <xf numFmtId="0" fontId="39" fillId="28" borderId="13" xfId="0" applyFont="1" applyFill="1" applyBorder="1" applyAlignment="1">
      <alignment horizontal="center"/>
    </xf>
    <xf numFmtId="0" fontId="35" fillId="28" borderId="19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35" fillId="28" borderId="21" xfId="0" applyFont="1" applyFill="1" applyBorder="1" applyAlignment="1">
      <alignment horizontal="center"/>
    </xf>
    <xf numFmtId="0" fontId="39" fillId="28" borderId="20" xfId="0" applyFont="1" applyFill="1" applyBorder="1" applyAlignment="1">
      <alignment horizontal="center"/>
    </xf>
    <xf numFmtId="0" fontId="66" fillId="28" borderId="84" xfId="0" applyFont="1" applyFill="1" applyBorder="1" applyAlignment="1">
      <alignment horizontal="center" vertical="center"/>
    </xf>
    <xf numFmtId="0" fontId="66" fillId="28" borderId="86" xfId="0" applyFont="1" applyFill="1" applyBorder="1" applyAlignment="1">
      <alignment horizontal="center" vertical="center"/>
    </xf>
    <xf numFmtId="0" fontId="66" fillId="28" borderId="85" xfId="0" applyFont="1" applyFill="1" applyBorder="1" applyAlignment="1">
      <alignment horizontal="center" vertical="center"/>
    </xf>
    <xf numFmtId="0" fontId="66" fillId="28" borderId="63" xfId="0" applyFont="1" applyFill="1" applyBorder="1" applyAlignment="1">
      <alignment horizontal="center"/>
    </xf>
    <xf numFmtId="0" fontId="46" fillId="28" borderId="20" xfId="0" applyFont="1" applyFill="1" applyBorder="1" applyAlignment="1">
      <alignment horizontal="center"/>
    </xf>
    <xf numFmtId="0" fontId="46" fillId="28" borderId="21" xfId="0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68" fillId="0" borderId="57" xfId="0" applyFont="1" applyBorder="1" applyAlignment="1">
      <alignment horizontal="center" vertical="center"/>
    </xf>
    <xf numFmtId="0" fontId="68" fillId="0" borderId="58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68" fillId="0" borderId="63" xfId="0" applyFont="1" applyBorder="1" applyAlignment="1">
      <alignment horizontal="center" vertical="center"/>
    </xf>
    <xf numFmtId="0" fontId="68" fillId="0" borderId="77" xfId="0" applyFont="1" applyBorder="1" applyAlignment="1">
      <alignment horizontal="center" vertical="center"/>
    </xf>
    <xf numFmtId="0" fontId="68" fillId="0" borderId="70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87" fillId="0" borderId="0" xfId="0" applyFont="1" applyAlignment="1">
      <alignment vertical="center" wrapText="1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70" fillId="0" borderId="77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0" fillId="0" borderId="52" xfId="0" applyFont="1" applyBorder="1" applyAlignment="1">
      <alignment horizontal="center"/>
    </xf>
    <xf numFmtId="0" fontId="88" fillId="0" borderId="0" xfId="0" applyFont="1" applyAlignment="1">
      <alignment horizontal="center" vertical="center"/>
    </xf>
    <xf numFmtId="0" fontId="0" fillId="0" borderId="18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28" borderId="87" xfId="0" applyFill="1" applyBorder="1" applyAlignment="1">
      <alignment horizontal="left"/>
    </xf>
    <xf numFmtId="0" fontId="0" fillId="28" borderId="82" xfId="0" applyFill="1" applyBorder="1" applyAlignment="1">
      <alignment horizontal="left"/>
    </xf>
    <xf numFmtId="0" fontId="0" fillId="28" borderId="88" xfId="0" applyFill="1" applyBorder="1" applyAlignment="1">
      <alignment horizontal="left"/>
    </xf>
    <xf numFmtId="0" fontId="0" fillId="0" borderId="2" xfId="0" applyBorder="1" applyAlignment="1">
      <alignment horizontal="left" wrapText="1"/>
    </xf>
    <xf numFmtId="0" fontId="0" fillId="28" borderId="87" xfId="0" applyFill="1" applyBorder="1"/>
    <xf numFmtId="0" fontId="0" fillId="28" borderId="82" xfId="0" applyFill="1" applyBorder="1"/>
    <xf numFmtId="0" fontId="0" fillId="28" borderId="88" xfId="0" applyFill="1" applyBorder="1"/>
    <xf numFmtId="0" fontId="2" fillId="0" borderId="19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28" borderId="87" xfId="0" applyFill="1" applyBorder="1" applyAlignment="1">
      <alignment wrapText="1"/>
    </xf>
    <xf numFmtId="0" fontId="0" fillId="28" borderId="82" xfId="0" applyFill="1" applyBorder="1" applyAlignment="1">
      <alignment wrapText="1"/>
    </xf>
    <xf numFmtId="0" fontId="0" fillId="28" borderId="88" xfId="0" applyFill="1" applyBorder="1" applyAlignment="1">
      <alignment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28" borderId="89" xfId="0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0" fillId="28" borderId="90" xfId="0" applyFill="1" applyBorder="1" applyAlignment="1">
      <alignment wrapText="1"/>
    </xf>
    <xf numFmtId="0" fontId="0" fillId="0" borderId="89" xfId="0" applyBorder="1" applyAlignment="1">
      <alignment wrapText="1"/>
    </xf>
    <xf numFmtId="0" fontId="0" fillId="0" borderId="90" xfId="0" applyBorder="1" applyAlignment="1">
      <alignment wrapText="1"/>
    </xf>
    <xf numFmtId="0" fontId="0" fillId="28" borderId="2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0" fillId="0" borderId="64" xfId="0" applyBorder="1" applyAlignment="1">
      <alignment wrapText="1"/>
    </xf>
    <xf numFmtId="0" fontId="0" fillId="0" borderId="80" xfId="0" applyBorder="1" applyAlignment="1">
      <alignment wrapText="1"/>
    </xf>
    <xf numFmtId="0" fontId="0" fillId="0" borderId="81" xfId="0" applyBorder="1" applyAlignment="1">
      <alignment wrapText="1"/>
    </xf>
    <xf numFmtId="0" fontId="0" fillId="28" borderId="89" xfId="0" applyFill="1" applyBorder="1"/>
    <xf numFmtId="0" fontId="0" fillId="28" borderId="1" xfId="0" applyFill="1" applyBorder="1"/>
    <xf numFmtId="0" fontId="0" fillId="28" borderId="90" xfId="0" applyFill="1" applyBorder="1"/>
    <xf numFmtId="0" fontId="0" fillId="28" borderId="89" xfId="0" applyFill="1" applyBorder="1" applyAlignment="1">
      <alignment horizontal="left"/>
    </xf>
    <xf numFmtId="0" fontId="0" fillId="28" borderId="1" xfId="0" applyFill="1" applyBorder="1" applyAlignment="1">
      <alignment horizontal="left"/>
    </xf>
    <xf numFmtId="0" fontId="0" fillId="28" borderId="90" xfId="0" applyFill="1" applyBorder="1" applyAlignment="1">
      <alignment horizontal="left"/>
    </xf>
    <xf numFmtId="0" fontId="2" fillId="0" borderId="20" xfId="0" applyFont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1" fillId="0" borderId="22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28" borderId="24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17" xfId="0" applyFill="1" applyBorder="1" applyAlignment="1">
      <alignment wrapText="1"/>
    </xf>
    <xf numFmtId="0" fontId="0" fillId="0" borderId="20" xfId="0" applyBorder="1" applyAlignment="1">
      <alignment horizontal="left" wrapText="1"/>
    </xf>
    <xf numFmtId="0" fontId="0" fillId="0" borderId="22" xfId="0" applyBorder="1" applyAlignment="1">
      <alignment wrapText="1"/>
    </xf>
    <xf numFmtId="0" fontId="0" fillId="28" borderId="18" xfId="0" applyFill="1" applyBorder="1" applyAlignment="1">
      <alignment wrapText="1"/>
    </xf>
    <xf numFmtId="0" fontId="0" fillId="0" borderId="22" xfId="0" applyBorder="1" applyAlignment="1">
      <alignment horizontal="left" wrapText="1"/>
    </xf>
    <xf numFmtId="0" fontId="1" fillId="28" borderId="27" xfId="0" applyFont="1" applyFill="1" applyBorder="1" applyAlignment="1">
      <alignment wrapText="1"/>
    </xf>
    <xf numFmtId="0" fontId="1" fillId="28" borderId="14" xfId="0" applyFont="1" applyFill="1" applyBorder="1" applyAlignment="1">
      <alignment wrapText="1"/>
    </xf>
    <xf numFmtId="0" fontId="1" fillId="28" borderId="15" xfId="0" applyFont="1" applyFill="1" applyBorder="1" applyAlignment="1">
      <alignment wrapText="1"/>
    </xf>
    <xf numFmtId="0" fontId="0" fillId="28" borderId="22" xfId="0" applyFill="1" applyBorder="1" applyAlignment="1">
      <alignment wrapText="1"/>
    </xf>
    <xf numFmtId="0" fontId="0" fillId="28" borderId="6" xfId="0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0" fontId="1" fillId="0" borderId="23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4" xfId="0" applyBorder="1" applyAlignment="1">
      <alignment wrapText="1"/>
    </xf>
    <xf numFmtId="0" fontId="0" fillId="0" borderId="10" xfId="0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2" fillId="0" borderId="19" xfId="0" applyFont="1" applyBorder="1" applyAlignment="1">
      <alignment horizontal="left" wrapText="1"/>
    </xf>
    <xf numFmtId="0" fontId="0" fillId="0" borderId="0" xfId="0" applyAlignment="1">
      <alignment wrapText="1"/>
    </xf>
    <xf numFmtId="0" fontId="3" fillId="0" borderId="87" xfId="0" applyFont="1" applyBorder="1" applyAlignment="1">
      <alignment horizontal="left" vertical="center"/>
    </xf>
    <xf numFmtId="0" fontId="3" fillId="0" borderId="82" xfId="0" applyFont="1" applyBorder="1" applyAlignment="1">
      <alignment horizontal="left" vertical="center"/>
    </xf>
    <xf numFmtId="0" fontId="3" fillId="0" borderId="88" xfId="0" applyFont="1" applyBorder="1" applyAlignment="1">
      <alignment horizontal="left" vertical="center"/>
    </xf>
    <xf numFmtId="0" fontId="83" fillId="0" borderId="91" xfId="0" applyFont="1" applyBorder="1" applyAlignment="1">
      <alignment horizontal="left"/>
    </xf>
    <xf numFmtId="0" fontId="83" fillId="0" borderId="0" xfId="0" applyFont="1" applyAlignment="1">
      <alignment horizontal="left"/>
    </xf>
    <xf numFmtId="0" fontId="83" fillId="0" borderId="52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432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 2" xfId="92" xr:uid="{00000000-0005-0000-0000-00005A000000}"/>
    <cellStyle name="Accent2 2" xfId="93" xr:uid="{00000000-0005-0000-0000-00005B000000}"/>
    <cellStyle name="Accent3 2" xfId="94" xr:uid="{00000000-0005-0000-0000-00005C000000}"/>
    <cellStyle name="Accent4 2" xfId="95" xr:uid="{00000000-0005-0000-0000-00005D000000}"/>
    <cellStyle name="Accent5 2" xfId="96" xr:uid="{00000000-0005-0000-0000-00005E000000}"/>
    <cellStyle name="Accent6 2" xfId="97" xr:uid="{00000000-0005-0000-0000-00005F000000}"/>
    <cellStyle name="Akcent 1" xfId="98" xr:uid="{00000000-0005-0000-0000-000060000000}"/>
    <cellStyle name="Akcent 2" xfId="99" xr:uid="{00000000-0005-0000-0000-000061000000}"/>
    <cellStyle name="Akcent 3" xfId="100" xr:uid="{00000000-0005-0000-0000-000062000000}"/>
    <cellStyle name="Akcent 4" xfId="101" xr:uid="{00000000-0005-0000-0000-000063000000}"/>
    <cellStyle name="Akcent 5" xfId="102" xr:uid="{00000000-0005-0000-0000-000064000000}"/>
    <cellStyle name="Akcent 6" xfId="103" xr:uid="{00000000-0005-0000-0000-000065000000}"/>
    <cellStyle name="Akzent1" xfId="104" xr:uid="{00000000-0005-0000-0000-000066000000}"/>
    <cellStyle name="Akzent2" xfId="105" xr:uid="{00000000-0005-0000-0000-000067000000}"/>
    <cellStyle name="Akzent3" xfId="106" xr:uid="{00000000-0005-0000-0000-000068000000}"/>
    <cellStyle name="Akzent4" xfId="107" xr:uid="{00000000-0005-0000-0000-000069000000}"/>
    <cellStyle name="Akzent5" xfId="108" xr:uid="{00000000-0005-0000-0000-00006A000000}"/>
    <cellStyle name="Akzent6" xfId="109" xr:uid="{00000000-0005-0000-0000-00006B000000}"/>
    <cellStyle name="Ausgabe" xfId="110" xr:uid="{00000000-0005-0000-0000-00006C000000}"/>
    <cellStyle name="Ausgabe 2" xfId="252" xr:uid="{00000000-0005-0000-0000-00006D000000}"/>
    <cellStyle name="Ausgabe 2 2" xfId="335" xr:uid="{00000000-0005-0000-0000-00006E000000}"/>
    <cellStyle name="Ausgabe 2 3" xfId="406" xr:uid="{00000000-0005-0000-0000-00006F000000}"/>
    <cellStyle name="Ausgabe 3" xfId="253" xr:uid="{00000000-0005-0000-0000-000070000000}"/>
    <cellStyle name="Ausgabe 3 2" xfId="336" xr:uid="{00000000-0005-0000-0000-000071000000}"/>
    <cellStyle name="Ausgabe 3 3" xfId="407" xr:uid="{00000000-0005-0000-0000-000072000000}"/>
    <cellStyle name="Ausgabe 4" xfId="290" xr:uid="{00000000-0005-0000-0000-000073000000}"/>
    <cellStyle name="Ausgabe 5" xfId="361" xr:uid="{00000000-0005-0000-0000-000074000000}"/>
    <cellStyle name="Bad 2" xfId="111" xr:uid="{00000000-0005-0000-0000-000075000000}"/>
    <cellStyle name="Berechnung" xfId="112" xr:uid="{00000000-0005-0000-0000-000076000000}"/>
    <cellStyle name="Berechnung 2" xfId="251" xr:uid="{00000000-0005-0000-0000-000077000000}"/>
    <cellStyle name="Berechnung 2 2" xfId="334" xr:uid="{00000000-0005-0000-0000-000078000000}"/>
    <cellStyle name="Berechnung 2 3" xfId="405" xr:uid="{00000000-0005-0000-0000-000079000000}"/>
    <cellStyle name="Berechnung 3" xfId="254" xr:uid="{00000000-0005-0000-0000-00007A000000}"/>
    <cellStyle name="Berechnung 3 2" xfId="337" xr:uid="{00000000-0005-0000-0000-00007B000000}"/>
    <cellStyle name="Berechnung 3 3" xfId="408" xr:uid="{00000000-0005-0000-0000-00007C000000}"/>
    <cellStyle name="Berechnung 4" xfId="291" xr:uid="{00000000-0005-0000-0000-00007D000000}"/>
    <cellStyle name="Berechnung 5" xfId="362" xr:uid="{00000000-0005-0000-0000-00007E000000}"/>
    <cellStyle name="Bevitel" xfId="113" xr:uid="{00000000-0005-0000-0000-00007F000000}"/>
    <cellStyle name="Bevitel 2" xfId="250" xr:uid="{00000000-0005-0000-0000-000080000000}"/>
    <cellStyle name="Bevitel 2 2" xfId="333" xr:uid="{00000000-0005-0000-0000-000081000000}"/>
    <cellStyle name="Bevitel 2 3" xfId="404" xr:uid="{00000000-0005-0000-0000-000082000000}"/>
    <cellStyle name="Bevitel 3" xfId="255" xr:uid="{00000000-0005-0000-0000-000083000000}"/>
    <cellStyle name="Bevitel 3 2" xfId="338" xr:uid="{00000000-0005-0000-0000-000084000000}"/>
    <cellStyle name="Bevitel 3 3" xfId="409" xr:uid="{00000000-0005-0000-0000-000085000000}"/>
    <cellStyle name="Bevitel 4" xfId="292" xr:uid="{00000000-0005-0000-0000-000086000000}"/>
    <cellStyle name="Bevitel 5" xfId="363" xr:uid="{00000000-0005-0000-0000-000087000000}"/>
    <cellStyle name="Buena" xfId="114" xr:uid="{00000000-0005-0000-0000-000088000000}"/>
    <cellStyle name="Calculation 2" xfId="115" xr:uid="{00000000-0005-0000-0000-000089000000}"/>
    <cellStyle name="Calculation 2 2" xfId="293" xr:uid="{00000000-0005-0000-0000-00008A000000}"/>
    <cellStyle name="Calculation 2 3" xfId="364" xr:uid="{00000000-0005-0000-0000-00008B000000}"/>
    <cellStyle name="Calculation 3" xfId="249" xr:uid="{00000000-0005-0000-0000-00008C000000}"/>
    <cellStyle name="Calculation 3 2" xfId="332" xr:uid="{00000000-0005-0000-0000-00008D000000}"/>
    <cellStyle name="Calculation 3 3" xfId="403" xr:uid="{00000000-0005-0000-0000-00008E000000}"/>
    <cellStyle name="Calculation 4" xfId="256" xr:uid="{00000000-0005-0000-0000-00008F000000}"/>
    <cellStyle name="Calculation 4 2" xfId="339" xr:uid="{00000000-0005-0000-0000-000090000000}"/>
    <cellStyle name="Calculation 4 3" xfId="410" xr:uid="{00000000-0005-0000-0000-000091000000}"/>
    <cellStyle name="Cálculo" xfId="116" xr:uid="{00000000-0005-0000-0000-000092000000}"/>
    <cellStyle name="Cálculo 2" xfId="248" xr:uid="{00000000-0005-0000-0000-000093000000}"/>
    <cellStyle name="Cálculo 2 2" xfId="331" xr:uid="{00000000-0005-0000-0000-000094000000}"/>
    <cellStyle name="Cálculo 2 3" xfId="402" xr:uid="{00000000-0005-0000-0000-000095000000}"/>
    <cellStyle name="Cálculo 3" xfId="257" xr:uid="{00000000-0005-0000-0000-000096000000}"/>
    <cellStyle name="Cálculo 3 2" xfId="340" xr:uid="{00000000-0005-0000-0000-000097000000}"/>
    <cellStyle name="Cálculo 3 3" xfId="411" xr:uid="{00000000-0005-0000-0000-000098000000}"/>
    <cellStyle name="Cálculo 4" xfId="294" xr:uid="{00000000-0005-0000-0000-000099000000}"/>
    <cellStyle name="Cálculo 5" xfId="365" xr:uid="{00000000-0005-0000-0000-00009A000000}"/>
    <cellStyle name="Celda de comprobación" xfId="117" xr:uid="{00000000-0005-0000-0000-00009B000000}"/>
    <cellStyle name="Celda vinculada" xfId="118" xr:uid="{00000000-0005-0000-0000-00009C000000}"/>
    <cellStyle name="Check Cell 2" xfId="119" xr:uid="{00000000-0005-0000-0000-00009D000000}"/>
    <cellStyle name="Cím" xfId="120" xr:uid="{00000000-0005-0000-0000-00009E000000}"/>
    <cellStyle name="Címsor 1" xfId="121" xr:uid="{00000000-0005-0000-0000-00009F000000}"/>
    <cellStyle name="Címsor 2" xfId="122" xr:uid="{00000000-0005-0000-0000-0000A0000000}"/>
    <cellStyle name="Címsor 3" xfId="123" xr:uid="{00000000-0005-0000-0000-0000A1000000}"/>
    <cellStyle name="Címsor 4" xfId="124" xr:uid="{00000000-0005-0000-0000-0000A2000000}"/>
    <cellStyle name="Comma" xfId="288" builtinId="3"/>
    <cellStyle name="Comma 2" xfId="359" xr:uid="{00000000-0005-0000-0000-0000A4000000}"/>
    <cellStyle name="Comma 2 2" xfId="430" xr:uid="{00000000-0005-0000-0000-0000A5000000}"/>
    <cellStyle name="Currency" xfId="289" builtinId="4"/>
    <cellStyle name="Currency 2" xfId="360" xr:uid="{00000000-0005-0000-0000-0000A7000000}"/>
    <cellStyle name="Currency 2 2" xfId="431" xr:uid="{00000000-0005-0000-0000-0000A8000000}"/>
    <cellStyle name="Dane wejściowe" xfId="125" xr:uid="{00000000-0005-0000-0000-0000A9000000}"/>
    <cellStyle name="Dane wejściowe 2" xfId="247" xr:uid="{00000000-0005-0000-0000-0000AA000000}"/>
    <cellStyle name="Dane wejściowe 2 2" xfId="330" xr:uid="{00000000-0005-0000-0000-0000AB000000}"/>
    <cellStyle name="Dane wejściowe 2 3" xfId="401" xr:uid="{00000000-0005-0000-0000-0000AC000000}"/>
    <cellStyle name="Dane wejściowe 3" xfId="258" xr:uid="{00000000-0005-0000-0000-0000AD000000}"/>
    <cellStyle name="Dane wejściowe 3 2" xfId="341" xr:uid="{00000000-0005-0000-0000-0000AE000000}"/>
    <cellStyle name="Dane wejściowe 3 3" xfId="412" xr:uid="{00000000-0005-0000-0000-0000AF000000}"/>
    <cellStyle name="Dane wejściowe 4" xfId="295" xr:uid="{00000000-0005-0000-0000-0000B0000000}"/>
    <cellStyle name="Dane wejściowe 5" xfId="366" xr:uid="{00000000-0005-0000-0000-0000B1000000}"/>
    <cellStyle name="Dane wyjściowe" xfId="126" xr:uid="{00000000-0005-0000-0000-0000B2000000}"/>
    <cellStyle name="Dane wyjściowe 2" xfId="246" xr:uid="{00000000-0005-0000-0000-0000B3000000}"/>
    <cellStyle name="Dane wyjściowe 2 2" xfId="329" xr:uid="{00000000-0005-0000-0000-0000B4000000}"/>
    <cellStyle name="Dane wyjściowe 2 3" xfId="400" xr:uid="{00000000-0005-0000-0000-0000B5000000}"/>
    <cellStyle name="Dane wyjściowe 3" xfId="259" xr:uid="{00000000-0005-0000-0000-0000B6000000}"/>
    <cellStyle name="Dane wyjściowe 3 2" xfId="342" xr:uid="{00000000-0005-0000-0000-0000B7000000}"/>
    <cellStyle name="Dane wyjściowe 3 3" xfId="413" xr:uid="{00000000-0005-0000-0000-0000B8000000}"/>
    <cellStyle name="Dane wyjściowe 4" xfId="296" xr:uid="{00000000-0005-0000-0000-0000B9000000}"/>
    <cellStyle name="Dane wyjściowe 5" xfId="367" xr:uid="{00000000-0005-0000-0000-0000BA000000}"/>
    <cellStyle name="Dobre" xfId="127" xr:uid="{00000000-0005-0000-0000-0000BB000000}"/>
    <cellStyle name="Eingabe" xfId="128" xr:uid="{00000000-0005-0000-0000-0000BC000000}"/>
    <cellStyle name="Eingabe 2" xfId="245" xr:uid="{00000000-0005-0000-0000-0000BD000000}"/>
    <cellStyle name="Eingabe 2 2" xfId="328" xr:uid="{00000000-0005-0000-0000-0000BE000000}"/>
    <cellStyle name="Eingabe 2 3" xfId="399" xr:uid="{00000000-0005-0000-0000-0000BF000000}"/>
    <cellStyle name="Eingabe 3" xfId="260" xr:uid="{00000000-0005-0000-0000-0000C0000000}"/>
    <cellStyle name="Eingabe 3 2" xfId="343" xr:uid="{00000000-0005-0000-0000-0000C1000000}"/>
    <cellStyle name="Eingabe 3 3" xfId="414" xr:uid="{00000000-0005-0000-0000-0000C2000000}"/>
    <cellStyle name="Eingabe 4" xfId="297" xr:uid="{00000000-0005-0000-0000-0000C3000000}"/>
    <cellStyle name="Eingabe 5" xfId="368" xr:uid="{00000000-0005-0000-0000-0000C4000000}"/>
    <cellStyle name="Ellenőrzőcella" xfId="129" xr:uid="{00000000-0005-0000-0000-0000C5000000}"/>
    <cellStyle name="Encabezado 4" xfId="130" xr:uid="{00000000-0005-0000-0000-0000C6000000}"/>
    <cellStyle name="Énfasis1" xfId="131" xr:uid="{00000000-0005-0000-0000-0000C7000000}"/>
    <cellStyle name="Énfasis2" xfId="132" xr:uid="{00000000-0005-0000-0000-0000C8000000}"/>
    <cellStyle name="Énfasis3" xfId="133" xr:uid="{00000000-0005-0000-0000-0000C9000000}"/>
    <cellStyle name="Énfasis4" xfId="134" xr:uid="{00000000-0005-0000-0000-0000CA000000}"/>
    <cellStyle name="Énfasis5" xfId="135" xr:uid="{00000000-0005-0000-0000-0000CB000000}"/>
    <cellStyle name="Énfasis6" xfId="136" xr:uid="{00000000-0005-0000-0000-0000CC000000}"/>
    <cellStyle name="Entrada" xfId="137" xr:uid="{00000000-0005-0000-0000-0000CD000000}"/>
    <cellStyle name="Entrada 2" xfId="244" xr:uid="{00000000-0005-0000-0000-0000CE000000}"/>
    <cellStyle name="Entrada 2 2" xfId="327" xr:uid="{00000000-0005-0000-0000-0000CF000000}"/>
    <cellStyle name="Entrada 2 3" xfId="398" xr:uid="{00000000-0005-0000-0000-0000D0000000}"/>
    <cellStyle name="Entrada 3" xfId="261" xr:uid="{00000000-0005-0000-0000-0000D1000000}"/>
    <cellStyle name="Entrada 3 2" xfId="344" xr:uid="{00000000-0005-0000-0000-0000D2000000}"/>
    <cellStyle name="Entrada 3 3" xfId="415" xr:uid="{00000000-0005-0000-0000-0000D3000000}"/>
    <cellStyle name="Entrada 4" xfId="298" xr:uid="{00000000-0005-0000-0000-0000D4000000}"/>
    <cellStyle name="Entrada 5" xfId="369" xr:uid="{00000000-0005-0000-0000-0000D5000000}"/>
    <cellStyle name="Ergebnis" xfId="138" xr:uid="{00000000-0005-0000-0000-0000D6000000}"/>
    <cellStyle name="Ergebnis 2" xfId="243" xr:uid="{00000000-0005-0000-0000-0000D7000000}"/>
    <cellStyle name="Ergebnis 2 2" xfId="326" xr:uid="{00000000-0005-0000-0000-0000D8000000}"/>
    <cellStyle name="Ergebnis 2 3" xfId="397" xr:uid="{00000000-0005-0000-0000-0000D9000000}"/>
    <cellStyle name="Ergebnis 3" xfId="262" xr:uid="{00000000-0005-0000-0000-0000DA000000}"/>
    <cellStyle name="Ergebnis 3 2" xfId="345" xr:uid="{00000000-0005-0000-0000-0000DB000000}"/>
    <cellStyle name="Ergebnis 3 3" xfId="416" xr:uid="{00000000-0005-0000-0000-0000DC000000}"/>
    <cellStyle name="Ergebnis 4" xfId="299" xr:uid="{00000000-0005-0000-0000-0000DD000000}"/>
    <cellStyle name="Ergebnis 5" xfId="370" xr:uid="{00000000-0005-0000-0000-0000DE000000}"/>
    <cellStyle name="Erklärender Text" xfId="139" xr:uid="{00000000-0005-0000-0000-0000DF000000}"/>
    <cellStyle name="Euro" xfId="140" xr:uid="{00000000-0005-0000-0000-0000E0000000}"/>
    <cellStyle name="Explanatory Text 2" xfId="141" xr:uid="{00000000-0005-0000-0000-0000E1000000}"/>
    <cellStyle name="Figyelmeztetés" xfId="142" xr:uid="{00000000-0005-0000-0000-0000E2000000}"/>
    <cellStyle name="Gut" xfId="143" xr:uid="{00000000-0005-0000-0000-0000E3000000}"/>
    <cellStyle name="Hivatkozott cella" xfId="144" xr:uid="{00000000-0005-0000-0000-0000E4000000}"/>
    <cellStyle name="Hyperlink 2" xfId="277" xr:uid="{00000000-0005-0000-0000-0000E5000000}"/>
    <cellStyle name="Hyperlink 2 2" xfId="287" xr:uid="{00000000-0005-0000-0000-0000E6000000}"/>
    <cellStyle name="Hyperlink 3" xfId="284" xr:uid="{00000000-0005-0000-0000-0000E7000000}"/>
    <cellStyle name="Incorrecto" xfId="145" xr:uid="{00000000-0005-0000-0000-0000E8000000}"/>
    <cellStyle name="Input 2" xfId="146" xr:uid="{00000000-0005-0000-0000-0000E9000000}"/>
    <cellStyle name="Input 2 2" xfId="300" xr:uid="{00000000-0005-0000-0000-0000EA000000}"/>
    <cellStyle name="Input 2 3" xfId="371" xr:uid="{00000000-0005-0000-0000-0000EB000000}"/>
    <cellStyle name="Input 3" xfId="242" xr:uid="{00000000-0005-0000-0000-0000EC000000}"/>
    <cellStyle name="Input 3 2" xfId="325" xr:uid="{00000000-0005-0000-0000-0000ED000000}"/>
    <cellStyle name="Input 3 3" xfId="396" xr:uid="{00000000-0005-0000-0000-0000EE000000}"/>
    <cellStyle name="Input 4" xfId="273" xr:uid="{00000000-0005-0000-0000-0000EF000000}"/>
    <cellStyle name="Input 4 2" xfId="356" xr:uid="{00000000-0005-0000-0000-0000F0000000}"/>
    <cellStyle name="Input 4 3" xfId="427" xr:uid="{00000000-0005-0000-0000-0000F1000000}"/>
    <cellStyle name="Jegyzet" xfId="147" xr:uid="{00000000-0005-0000-0000-0000F2000000}"/>
    <cellStyle name="Jegyzet 2" xfId="241" xr:uid="{00000000-0005-0000-0000-0000F3000000}"/>
    <cellStyle name="Jegyzet 2 2" xfId="324" xr:uid="{00000000-0005-0000-0000-0000F4000000}"/>
    <cellStyle name="Jegyzet 2 3" xfId="395" xr:uid="{00000000-0005-0000-0000-0000F5000000}"/>
    <cellStyle name="Jegyzet 3" xfId="274" xr:uid="{00000000-0005-0000-0000-0000F6000000}"/>
    <cellStyle name="Jegyzet 3 2" xfId="357" xr:uid="{00000000-0005-0000-0000-0000F7000000}"/>
    <cellStyle name="Jegyzet 3 3" xfId="428" xr:uid="{00000000-0005-0000-0000-0000F8000000}"/>
    <cellStyle name="Jegyzet 4" xfId="301" xr:uid="{00000000-0005-0000-0000-0000F9000000}"/>
    <cellStyle name="Jegyzet 5" xfId="372" xr:uid="{00000000-0005-0000-0000-0000FA000000}"/>
    <cellStyle name="Jelölőszín (1)" xfId="148" xr:uid="{00000000-0005-0000-0000-0000FB000000}"/>
    <cellStyle name="Jelölőszín (2)" xfId="149" xr:uid="{00000000-0005-0000-0000-0000FC000000}"/>
    <cellStyle name="Jelölőszín (3)" xfId="150" xr:uid="{00000000-0005-0000-0000-0000FD000000}"/>
    <cellStyle name="Jelölőszín (4)" xfId="151" xr:uid="{00000000-0005-0000-0000-0000FE000000}"/>
    <cellStyle name="Jelölőszín (5)" xfId="152" xr:uid="{00000000-0005-0000-0000-0000FF000000}"/>
    <cellStyle name="Jelölőszín (6)" xfId="153" xr:uid="{00000000-0005-0000-0000-000000010000}"/>
    <cellStyle name="Jó" xfId="154" xr:uid="{00000000-0005-0000-0000-000001010000}"/>
    <cellStyle name="Kimenet" xfId="155" xr:uid="{00000000-0005-0000-0000-000002010000}"/>
    <cellStyle name="Kimenet 2" xfId="240" xr:uid="{00000000-0005-0000-0000-000003010000}"/>
    <cellStyle name="Kimenet 2 2" xfId="323" xr:uid="{00000000-0005-0000-0000-000004010000}"/>
    <cellStyle name="Kimenet 2 3" xfId="394" xr:uid="{00000000-0005-0000-0000-000005010000}"/>
    <cellStyle name="Kimenet 3" xfId="263" xr:uid="{00000000-0005-0000-0000-000006010000}"/>
    <cellStyle name="Kimenet 3 2" xfId="346" xr:uid="{00000000-0005-0000-0000-000007010000}"/>
    <cellStyle name="Kimenet 3 3" xfId="417" xr:uid="{00000000-0005-0000-0000-000008010000}"/>
    <cellStyle name="Kimenet 4" xfId="302" xr:uid="{00000000-0005-0000-0000-000009010000}"/>
    <cellStyle name="Kimenet 5" xfId="373" xr:uid="{00000000-0005-0000-0000-00000A010000}"/>
    <cellStyle name="Komórka połączona" xfId="156" xr:uid="{00000000-0005-0000-0000-00000B010000}"/>
    <cellStyle name="Komórka zaznaczona" xfId="157" xr:uid="{00000000-0005-0000-0000-00000C010000}"/>
    <cellStyle name="Magyarázó szöveg" xfId="158" xr:uid="{00000000-0005-0000-0000-00000D010000}"/>
    <cellStyle name="Nagłówek 1" xfId="159" xr:uid="{00000000-0005-0000-0000-00000E010000}"/>
    <cellStyle name="Nagłówek 2" xfId="160" xr:uid="{00000000-0005-0000-0000-00000F010000}"/>
    <cellStyle name="Nagłówek 3" xfId="161" xr:uid="{00000000-0005-0000-0000-000010010000}"/>
    <cellStyle name="Nagłówek 4" xfId="162" xr:uid="{00000000-0005-0000-0000-000011010000}"/>
    <cellStyle name="Navadno_List1" xfId="225" xr:uid="{00000000-0005-0000-0000-000012010000}"/>
    <cellStyle name="Neutral 2" xfId="163" xr:uid="{00000000-0005-0000-0000-000013010000}"/>
    <cellStyle name="Neutralne" xfId="164" xr:uid="{00000000-0005-0000-0000-000014010000}"/>
    <cellStyle name="Neutre" xfId="165" xr:uid="{00000000-0005-0000-0000-000015010000}"/>
    <cellStyle name="Normal" xfId="0" builtinId="0"/>
    <cellStyle name="Normal 10" xfId="166" xr:uid="{00000000-0005-0000-0000-000017010000}"/>
    <cellStyle name="Normal 11" xfId="228" xr:uid="{00000000-0005-0000-0000-000018010000}"/>
    <cellStyle name="Normal 12" xfId="229" xr:uid="{00000000-0005-0000-0000-000019010000}"/>
    <cellStyle name="Normal 13" xfId="276" xr:uid="{00000000-0005-0000-0000-00001A010000}"/>
    <cellStyle name="Normal 14" xfId="278" xr:uid="{00000000-0005-0000-0000-00001B010000}"/>
    <cellStyle name="Normal 15" xfId="279" xr:uid="{00000000-0005-0000-0000-00001C010000}"/>
    <cellStyle name="Normal 16" xfId="280" xr:uid="{00000000-0005-0000-0000-00001D010000}"/>
    <cellStyle name="Normal 17" xfId="281" xr:uid="{00000000-0005-0000-0000-00001E010000}"/>
    <cellStyle name="Normal 18" xfId="282" xr:uid="{00000000-0005-0000-0000-00001F010000}"/>
    <cellStyle name="Normal 19" xfId="283" xr:uid="{00000000-0005-0000-0000-000020010000}"/>
    <cellStyle name="Normal 2" xfId="1" xr:uid="{00000000-0005-0000-0000-000021010000}"/>
    <cellStyle name="Normal 2 2" xfId="167" xr:uid="{00000000-0005-0000-0000-000022010000}"/>
    <cellStyle name="Normal 2 2 2" xfId="226" xr:uid="{00000000-0005-0000-0000-000023010000}"/>
    <cellStyle name="Normal 2 3" xfId="168" xr:uid="{00000000-0005-0000-0000-000024010000}"/>
    <cellStyle name="Normal 2 3 2" xfId="169" xr:uid="{00000000-0005-0000-0000-000025010000}"/>
    <cellStyle name="Normal 2 3 3" xfId="227" xr:uid="{00000000-0005-0000-0000-000026010000}"/>
    <cellStyle name="Normal 2 3_2011gjc_CZE_Individuals_final" xfId="170" xr:uid="{00000000-0005-0000-0000-000027010000}"/>
    <cellStyle name="Normal 2_2011gjc_CZE_Individuals_final" xfId="171" xr:uid="{00000000-0005-0000-0000-000028010000}"/>
    <cellStyle name="Normal 3" xfId="172" xr:uid="{00000000-0005-0000-0000-000029010000}"/>
    <cellStyle name="Normal 3 2" xfId="173" xr:uid="{00000000-0005-0000-0000-00002A010000}"/>
    <cellStyle name="Normal 3 3" xfId="174" xr:uid="{00000000-0005-0000-0000-00002B010000}"/>
    <cellStyle name="Normal 3 4" xfId="286" xr:uid="{00000000-0005-0000-0000-00002C010000}"/>
    <cellStyle name="Normal 3_2011gjc_CZE_Individuals_final" xfId="175" xr:uid="{00000000-0005-0000-0000-00002D010000}"/>
    <cellStyle name="Normal 4" xfId="176" xr:uid="{00000000-0005-0000-0000-00002E010000}"/>
    <cellStyle name="Normal 4 2" xfId="285" xr:uid="{00000000-0005-0000-0000-00002F010000}"/>
    <cellStyle name="Normal 5" xfId="177" xr:uid="{00000000-0005-0000-0000-000030010000}"/>
    <cellStyle name="Normal 6" xfId="223" xr:uid="{00000000-0005-0000-0000-000031010000}"/>
    <cellStyle name="Normal 7" xfId="224" xr:uid="{00000000-0005-0000-0000-000032010000}"/>
    <cellStyle name="Normal 8" xfId="178" xr:uid="{00000000-0005-0000-0000-000033010000}"/>
    <cellStyle name="Normal 9" xfId="179" xr:uid="{00000000-0005-0000-0000-000034010000}"/>
    <cellStyle name="Notas" xfId="180" xr:uid="{00000000-0005-0000-0000-000035010000}"/>
    <cellStyle name="Notas 2" xfId="239" xr:uid="{00000000-0005-0000-0000-000036010000}"/>
    <cellStyle name="Notas 2 2" xfId="322" xr:uid="{00000000-0005-0000-0000-000037010000}"/>
    <cellStyle name="Notas 2 3" xfId="393" xr:uid="{00000000-0005-0000-0000-000038010000}"/>
    <cellStyle name="Notas 3" xfId="264" xr:uid="{00000000-0005-0000-0000-000039010000}"/>
    <cellStyle name="Notas 3 2" xfId="347" xr:uid="{00000000-0005-0000-0000-00003A010000}"/>
    <cellStyle name="Notas 3 3" xfId="418" xr:uid="{00000000-0005-0000-0000-00003B010000}"/>
    <cellStyle name="Notas 4" xfId="303" xr:uid="{00000000-0005-0000-0000-00003C010000}"/>
    <cellStyle name="Notas 5" xfId="374" xr:uid="{00000000-0005-0000-0000-00003D010000}"/>
    <cellStyle name="Notiz" xfId="181" xr:uid="{00000000-0005-0000-0000-00003E010000}"/>
    <cellStyle name="Notiz 2" xfId="238" xr:uid="{00000000-0005-0000-0000-00003F010000}"/>
    <cellStyle name="Notiz 2 2" xfId="321" xr:uid="{00000000-0005-0000-0000-000040010000}"/>
    <cellStyle name="Notiz 2 3" xfId="392" xr:uid="{00000000-0005-0000-0000-000041010000}"/>
    <cellStyle name="Notiz 3" xfId="265" xr:uid="{00000000-0005-0000-0000-000042010000}"/>
    <cellStyle name="Notiz 3 2" xfId="348" xr:uid="{00000000-0005-0000-0000-000043010000}"/>
    <cellStyle name="Notiz 3 3" xfId="419" xr:uid="{00000000-0005-0000-0000-000044010000}"/>
    <cellStyle name="Notiz 4" xfId="304" xr:uid="{00000000-0005-0000-0000-000045010000}"/>
    <cellStyle name="Notiz 5" xfId="375" xr:uid="{00000000-0005-0000-0000-000046010000}"/>
    <cellStyle name="Obliczenia" xfId="182" xr:uid="{00000000-0005-0000-0000-000047010000}"/>
    <cellStyle name="Obliczenia 2" xfId="237" xr:uid="{00000000-0005-0000-0000-000048010000}"/>
    <cellStyle name="Obliczenia 2 2" xfId="320" xr:uid="{00000000-0005-0000-0000-000049010000}"/>
    <cellStyle name="Obliczenia 2 3" xfId="391" xr:uid="{00000000-0005-0000-0000-00004A010000}"/>
    <cellStyle name="Obliczenia 3" xfId="266" xr:uid="{00000000-0005-0000-0000-00004B010000}"/>
    <cellStyle name="Obliczenia 3 2" xfId="349" xr:uid="{00000000-0005-0000-0000-00004C010000}"/>
    <cellStyle name="Obliczenia 3 3" xfId="420" xr:uid="{00000000-0005-0000-0000-00004D010000}"/>
    <cellStyle name="Obliczenia 4" xfId="305" xr:uid="{00000000-0005-0000-0000-00004E010000}"/>
    <cellStyle name="Obliczenia 5" xfId="376" xr:uid="{00000000-0005-0000-0000-00004F010000}"/>
    <cellStyle name="Összesen" xfId="183" xr:uid="{00000000-0005-0000-0000-000050010000}"/>
    <cellStyle name="Összesen 2" xfId="236" xr:uid="{00000000-0005-0000-0000-000051010000}"/>
    <cellStyle name="Összesen 2 2" xfId="319" xr:uid="{00000000-0005-0000-0000-000052010000}"/>
    <cellStyle name="Összesen 2 3" xfId="390" xr:uid="{00000000-0005-0000-0000-000053010000}"/>
    <cellStyle name="Összesen 3" xfId="267" xr:uid="{00000000-0005-0000-0000-000054010000}"/>
    <cellStyle name="Összesen 3 2" xfId="350" xr:uid="{00000000-0005-0000-0000-000055010000}"/>
    <cellStyle name="Összesen 3 3" xfId="421" xr:uid="{00000000-0005-0000-0000-000056010000}"/>
    <cellStyle name="Összesen 4" xfId="306" xr:uid="{00000000-0005-0000-0000-000057010000}"/>
    <cellStyle name="Összesen 5" xfId="377" xr:uid="{00000000-0005-0000-0000-000058010000}"/>
    <cellStyle name="Output 2" xfId="184" xr:uid="{00000000-0005-0000-0000-000059010000}"/>
    <cellStyle name="Output 2 2" xfId="307" xr:uid="{00000000-0005-0000-0000-00005A010000}"/>
    <cellStyle name="Output 2 3" xfId="378" xr:uid="{00000000-0005-0000-0000-00005B010000}"/>
    <cellStyle name="Output 3" xfId="235" xr:uid="{00000000-0005-0000-0000-00005C010000}"/>
    <cellStyle name="Output 3 2" xfId="318" xr:uid="{00000000-0005-0000-0000-00005D010000}"/>
    <cellStyle name="Output 3 3" xfId="389" xr:uid="{00000000-0005-0000-0000-00005E010000}"/>
    <cellStyle name="Output 4" xfId="268" xr:uid="{00000000-0005-0000-0000-00005F010000}"/>
    <cellStyle name="Output 4 2" xfId="351" xr:uid="{00000000-0005-0000-0000-000060010000}"/>
    <cellStyle name="Output 4 3" xfId="422" xr:uid="{00000000-0005-0000-0000-000061010000}"/>
    <cellStyle name="Rossz" xfId="185" xr:uid="{00000000-0005-0000-0000-000062010000}"/>
    <cellStyle name="Salida" xfId="186" xr:uid="{00000000-0005-0000-0000-000063010000}"/>
    <cellStyle name="Salida 2" xfId="234" xr:uid="{00000000-0005-0000-0000-000064010000}"/>
    <cellStyle name="Salida 2 2" xfId="317" xr:uid="{00000000-0005-0000-0000-000065010000}"/>
    <cellStyle name="Salida 2 3" xfId="388" xr:uid="{00000000-0005-0000-0000-000066010000}"/>
    <cellStyle name="Salida 3" xfId="269" xr:uid="{00000000-0005-0000-0000-000067010000}"/>
    <cellStyle name="Salida 3 2" xfId="352" xr:uid="{00000000-0005-0000-0000-000068010000}"/>
    <cellStyle name="Salida 3 3" xfId="423" xr:uid="{00000000-0005-0000-0000-000069010000}"/>
    <cellStyle name="Salida 4" xfId="308" xr:uid="{00000000-0005-0000-0000-00006A010000}"/>
    <cellStyle name="Salida 5" xfId="379" xr:uid="{00000000-0005-0000-0000-00006B010000}"/>
    <cellStyle name="Schlecht" xfId="187" xr:uid="{00000000-0005-0000-0000-00006C010000}"/>
    <cellStyle name="Semleges" xfId="188" xr:uid="{00000000-0005-0000-0000-00006D010000}"/>
    <cellStyle name="Standard 2" xfId="189" xr:uid="{00000000-0005-0000-0000-00006E010000}"/>
    <cellStyle name="Suma" xfId="190" xr:uid="{00000000-0005-0000-0000-00006F010000}"/>
    <cellStyle name="Suma 2" xfId="233" xr:uid="{00000000-0005-0000-0000-000070010000}"/>
    <cellStyle name="Suma 2 2" xfId="316" xr:uid="{00000000-0005-0000-0000-000071010000}"/>
    <cellStyle name="Suma 2 3" xfId="387" xr:uid="{00000000-0005-0000-0000-000072010000}"/>
    <cellStyle name="Suma 3" xfId="270" xr:uid="{00000000-0005-0000-0000-000073010000}"/>
    <cellStyle name="Suma 3 2" xfId="353" xr:uid="{00000000-0005-0000-0000-000074010000}"/>
    <cellStyle name="Suma 3 3" xfId="424" xr:uid="{00000000-0005-0000-0000-000075010000}"/>
    <cellStyle name="Suma 4" xfId="309" xr:uid="{00000000-0005-0000-0000-000076010000}"/>
    <cellStyle name="Suma 5" xfId="380" xr:uid="{00000000-0005-0000-0000-000077010000}"/>
    <cellStyle name="Számítás" xfId="191" xr:uid="{00000000-0005-0000-0000-000078010000}"/>
    <cellStyle name="Számítás 2" xfId="232" xr:uid="{00000000-0005-0000-0000-000079010000}"/>
    <cellStyle name="Számítás 2 2" xfId="315" xr:uid="{00000000-0005-0000-0000-00007A010000}"/>
    <cellStyle name="Számítás 2 3" xfId="386" xr:uid="{00000000-0005-0000-0000-00007B010000}"/>
    <cellStyle name="Számítás 3" xfId="271" xr:uid="{00000000-0005-0000-0000-00007C010000}"/>
    <cellStyle name="Számítás 3 2" xfId="354" xr:uid="{00000000-0005-0000-0000-00007D010000}"/>
    <cellStyle name="Számítás 3 3" xfId="425" xr:uid="{00000000-0005-0000-0000-00007E010000}"/>
    <cellStyle name="Számítás 4" xfId="310" xr:uid="{00000000-0005-0000-0000-00007F010000}"/>
    <cellStyle name="Számítás 5" xfId="381" xr:uid="{00000000-0005-0000-0000-000080010000}"/>
    <cellStyle name="Tekst objaśnienia" xfId="192" xr:uid="{00000000-0005-0000-0000-000081010000}"/>
    <cellStyle name="Tekst ostrzeżenia" xfId="193" xr:uid="{00000000-0005-0000-0000-000082010000}"/>
    <cellStyle name="Texto de advertencia" xfId="194" xr:uid="{00000000-0005-0000-0000-000083010000}"/>
    <cellStyle name="Texto explicativo" xfId="195" xr:uid="{00000000-0005-0000-0000-000084010000}"/>
    <cellStyle name="Title 2" xfId="196" xr:uid="{00000000-0005-0000-0000-000085010000}"/>
    <cellStyle name="Titre_2008_ITTF_JC_COL-INDIVIDUALS" xfId="197" xr:uid="{00000000-0005-0000-0000-000086010000}"/>
    <cellStyle name="Título" xfId="198" xr:uid="{00000000-0005-0000-0000-000087010000}"/>
    <cellStyle name="Título 1" xfId="199" xr:uid="{00000000-0005-0000-0000-000088010000}"/>
    <cellStyle name="Título 2" xfId="200" xr:uid="{00000000-0005-0000-0000-000089010000}"/>
    <cellStyle name="Título 3" xfId="201" xr:uid="{00000000-0005-0000-0000-00008A010000}"/>
    <cellStyle name="Título_2008_ITTF_JC_COL" xfId="202" xr:uid="{00000000-0005-0000-0000-00008B010000}"/>
    <cellStyle name="Total 2" xfId="203" xr:uid="{00000000-0005-0000-0000-00008C010000}"/>
    <cellStyle name="Total 2 2" xfId="311" xr:uid="{00000000-0005-0000-0000-00008D010000}"/>
    <cellStyle name="Total 2 3" xfId="382" xr:uid="{00000000-0005-0000-0000-00008E010000}"/>
    <cellStyle name="Total 3" xfId="231" xr:uid="{00000000-0005-0000-0000-00008F010000}"/>
    <cellStyle name="Total 3 2" xfId="314" xr:uid="{00000000-0005-0000-0000-000090010000}"/>
    <cellStyle name="Total 3 3" xfId="385" xr:uid="{00000000-0005-0000-0000-000091010000}"/>
    <cellStyle name="Total 4" xfId="272" xr:uid="{00000000-0005-0000-0000-000092010000}"/>
    <cellStyle name="Total 4 2" xfId="355" xr:uid="{00000000-0005-0000-0000-000093010000}"/>
    <cellStyle name="Total 4 3" xfId="426" xr:uid="{00000000-0005-0000-0000-000094010000}"/>
    <cellStyle name="Tytuł" xfId="204" xr:uid="{00000000-0005-0000-0000-000095010000}"/>
    <cellStyle name="Überschrift" xfId="205" xr:uid="{00000000-0005-0000-0000-000096010000}"/>
    <cellStyle name="Überschrift 1" xfId="206" xr:uid="{00000000-0005-0000-0000-000097010000}"/>
    <cellStyle name="Überschrift 2" xfId="207" xr:uid="{00000000-0005-0000-0000-000098010000}"/>
    <cellStyle name="Überschrift 3" xfId="208" xr:uid="{00000000-0005-0000-0000-000099010000}"/>
    <cellStyle name="Überschrift 4" xfId="209" xr:uid="{00000000-0005-0000-0000-00009A010000}"/>
    <cellStyle name="Überschrift_2010jc_HKG_Individuals_07082010(S11)" xfId="210" xr:uid="{00000000-0005-0000-0000-00009B010000}"/>
    <cellStyle name="Uwaga" xfId="211" xr:uid="{00000000-0005-0000-0000-00009C010000}"/>
    <cellStyle name="Uwaga 2" xfId="230" xr:uid="{00000000-0005-0000-0000-00009D010000}"/>
    <cellStyle name="Uwaga 2 2" xfId="313" xr:uid="{00000000-0005-0000-0000-00009E010000}"/>
    <cellStyle name="Uwaga 2 3" xfId="384" xr:uid="{00000000-0005-0000-0000-00009F010000}"/>
    <cellStyle name="Uwaga 3" xfId="275" xr:uid="{00000000-0005-0000-0000-0000A0010000}"/>
    <cellStyle name="Uwaga 3 2" xfId="358" xr:uid="{00000000-0005-0000-0000-0000A1010000}"/>
    <cellStyle name="Uwaga 3 3" xfId="429" xr:uid="{00000000-0005-0000-0000-0000A2010000}"/>
    <cellStyle name="Uwaga 4" xfId="312" xr:uid="{00000000-0005-0000-0000-0000A3010000}"/>
    <cellStyle name="Uwaga 5" xfId="383" xr:uid="{00000000-0005-0000-0000-0000A4010000}"/>
    <cellStyle name="Verknüpfte Zelle" xfId="212" xr:uid="{00000000-0005-0000-0000-0000A5010000}"/>
    <cellStyle name="Warnender Text" xfId="213" xr:uid="{00000000-0005-0000-0000-0000A6010000}"/>
    <cellStyle name="Zelle überprüfen" xfId="214" xr:uid="{00000000-0005-0000-0000-0000A7010000}"/>
    <cellStyle name="Złe" xfId="215" xr:uid="{00000000-0005-0000-0000-0000A8010000}"/>
    <cellStyle name="一般_forms_in_excel" xfId="216" xr:uid="{00000000-0005-0000-0000-0000A9010000}"/>
    <cellStyle name="千分位[0]_forms_in_excel" xfId="217" xr:uid="{00000000-0005-0000-0000-0000AA010000}"/>
    <cellStyle name="千分位_forms_in_excel" xfId="218" xr:uid="{00000000-0005-0000-0000-0000AB010000}"/>
    <cellStyle name="常规_2009jc_CHN1_schedule" xfId="219" xr:uid="{00000000-0005-0000-0000-0000AC010000}"/>
    <cellStyle name="貨幣 [0]_forms_in_excel" xfId="220" xr:uid="{00000000-0005-0000-0000-0000AD010000}"/>
    <cellStyle name="貨幣_forms_in_excel" xfId="221" xr:uid="{00000000-0005-0000-0000-0000AE010000}"/>
    <cellStyle name="超連結_19980719_aksel" xfId="222" xr:uid="{00000000-0005-0000-0000-0000AF010000}"/>
  </cellStyles>
  <dxfs count="519"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medium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theme" Target="theme/theme1.xml"/><Relationship Id="rId39" Type="http://schemas.openxmlformats.org/officeDocument/2006/relationships/customXml" Target="../customXml/item8.xml"/><Relationship Id="rId21" Type="http://schemas.openxmlformats.org/officeDocument/2006/relationships/externalLink" Target="externalLinks/externalLink4.xml"/><Relationship Id="rId34" Type="http://schemas.openxmlformats.org/officeDocument/2006/relationships/customXml" Target="../customXml/item3.xml"/><Relationship Id="rId42" Type="http://schemas.openxmlformats.org/officeDocument/2006/relationships/customXml" Target="../customXml/item11.xml"/><Relationship Id="rId47" Type="http://schemas.openxmlformats.org/officeDocument/2006/relationships/customXml" Target="../customXml/item16.xml"/><Relationship Id="rId50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1.xml"/><Relationship Id="rId37" Type="http://schemas.openxmlformats.org/officeDocument/2006/relationships/customXml" Target="../customXml/item6.xml"/><Relationship Id="rId40" Type="http://schemas.openxmlformats.org/officeDocument/2006/relationships/customXml" Target="../customXml/item9.xml"/><Relationship Id="rId45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36" Type="http://schemas.openxmlformats.org/officeDocument/2006/relationships/customXml" Target="../customXml/item5.xml"/><Relationship Id="rId49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4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Relationship Id="rId35" Type="http://schemas.openxmlformats.org/officeDocument/2006/relationships/customXml" Target="../customXml/item4.xml"/><Relationship Id="rId43" Type="http://schemas.openxmlformats.org/officeDocument/2006/relationships/customXml" Target="../customXml/item12.xml"/><Relationship Id="rId48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ustomXml" Target="../customXml/item2.xml"/><Relationship Id="rId38" Type="http://schemas.openxmlformats.org/officeDocument/2006/relationships/customXml" Target="../customXml/item7.xml"/><Relationship Id="rId46" Type="http://schemas.openxmlformats.org/officeDocument/2006/relationships/customXml" Target="../customXml/item15.xml"/><Relationship Id="rId20" Type="http://schemas.openxmlformats.org/officeDocument/2006/relationships/externalLink" Target="externalLinks/externalLink3.xml"/><Relationship Id="rId41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277613</xdr:colOff>
      <xdr:row>0</xdr:row>
      <xdr:rowOff>0</xdr:rowOff>
    </xdr:from>
    <xdr:to>
      <xdr:col>3</xdr:col>
      <xdr:colOff>59500</xdr:colOff>
      <xdr:row>0</xdr:row>
      <xdr:rowOff>1467304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13" y="0"/>
          <a:ext cx="6782762" cy="14673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11</xdr:col>
      <xdr:colOff>546688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6785563" cy="14673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56696</xdr:rowOff>
    </xdr:from>
    <xdr:to>
      <xdr:col>11</xdr:col>
      <xdr:colOff>419207</xdr:colOff>
      <xdr:row>0</xdr:row>
      <xdr:rowOff>1524000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6"/>
          <a:ext cx="6463392" cy="14673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123825</xdr:rowOff>
    </xdr:from>
    <xdr:to>
      <xdr:col>13</xdr:col>
      <xdr:colOff>126052</xdr:colOff>
      <xdr:row>0</xdr:row>
      <xdr:rowOff>1591129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3825"/>
          <a:ext cx="6785563" cy="14673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12</xdr:col>
      <xdr:colOff>89488</xdr:colOff>
      <xdr:row>0</xdr:row>
      <xdr:rowOff>1543504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6785563" cy="14673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19050</xdr:rowOff>
    </xdr:from>
    <xdr:to>
      <xdr:col>6</xdr:col>
      <xdr:colOff>4836</xdr:colOff>
      <xdr:row>2</xdr:row>
      <xdr:rowOff>1486354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76225"/>
          <a:ext cx="6777111" cy="14673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47625</xdr:rowOff>
    </xdr:from>
    <xdr:to>
      <xdr:col>6</xdr:col>
      <xdr:colOff>432388</xdr:colOff>
      <xdr:row>2</xdr:row>
      <xdr:rowOff>1514929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71475"/>
          <a:ext cx="6785563" cy="14673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27664</xdr:rowOff>
    </xdr:from>
    <xdr:to>
      <xdr:col>9</xdr:col>
      <xdr:colOff>0</xdr:colOff>
      <xdr:row>29</xdr:row>
      <xdr:rowOff>180975</xdr:rowOff>
    </xdr:to>
    <xdr:pic>
      <xdr:nvPicPr>
        <xdr:cNvPr id="2" name="Picture 1" descr="01_Eastern_Cap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28314"/>
          <a:ext cx="6191250" cy="339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209550</xdr:rowOff>
    </xdr:from>
    <xdr:to>
      <xdr:col>6</xdr:col>
      <xdr:colOff>209550</xdr:colOff>
      <xdr:row>1</xdr:row>
      <xdr:rowOff>828675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09550"/>
          <a:ext cx="629602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81915</xdr:rowOff>
    </xdr:from>
    <xdr:to>
      <xdr:col>9</xdr:col>
      <xdr:colOff>674914</xdr:colOff>
      <xdr:row>0</xdr:row>
      <xdr:rowOff>1549219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1915"/>
          <a:ext cx="7190014" cy="1467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0</xdr:rowOff>
    </xdr:from>
    <xdr:to>
      <xdr:col>13</xdr:col>
      <xdr:colOff>89488</xdr:colOff>
      <xdr:row>0</xdr:row>
      <xdr:rowOff>1467304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0"/>
          <a:ext cx="6785563" cy="1467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6</xdr:row>
      <xdr:rowOff>37228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0"/>
          <a:ext cx="1181100" cy="11802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197827</xdr:colOff>
      <xdr:row>0</xdr:row>
      <xdr:rowOff>0</xdr:rowOff>
    </xdr:from>
    <xdr:to>
      <xdr:col>10</xdr:col>
      <xdr:colOff>635833</xdr:colOff>
      <xdr:row>0</xdr:row>
      <xdr:rowOff>1467304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7" y="0"/>
          <a:ext cx="6783121" cy="14673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276225</xdr:rowOff>
    </xdr:from>
    <xdr:to>
      <xdr:col>11</xdr:col>
      <xdr:colOff>76200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5876925" cy="12196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0</xdr:row>
      <xdr:rowOff>66675</xdr:rowOff>
    </xdr:from>
    <xdr:to>
      <xdr:col>13</xdr:col>
      <xdr:colOff>266700</xdr:colOff>
      <xdr:row>0</xdr:row>
      <xdr:rowOff>1533979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6675"/>
          <a:ext cx="7134225" cy="1467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85725</xdr:rowOff>
    </xdr:from>
    <xdr:to>
      <xdr:col>12</xdr:col>
      <xdr:colOff>299038</xdr:colOff>
      <xdr:row>0</xdr:row>
      <xdr:rowOff>1553029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725"/>
          <a:ext cx="6785563" cy="14673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eferee/Titans%20O1%202026/Programs/day%202/Results/Titans%20Resul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ownloads/admin_o1_ranking_poin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eferee/Galaxy%20O1%202026/Programs/Results/Galaxy%20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29May%20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%20Ranking%20System\National%20Ranking%2031%20Dec%202023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AppData/Local/Microsoft/Windows/INetCache/Content.Outlook/897B0I4B/National%20Ranking%2021%20Aug%202023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Masters%20&amp;%20PARA%20%20Ranking%2014%20Sept%20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"/>
      <sheetName val="Women"/>
      <sheetName val="U19 Girls"/>
      <sheetName val="U19 Boys"/>
      <sheetName val="U15 Girls"/>
      <sheetName val="U15 Boys"/>
      <sheetName val="U13 Girls"/>
      <sheetName val="U13 Boys"/>
      <sheetName val="U11 Girls"/>
      <sheetName val="U11 Boys"/>
      <sheetName val="Mas Women 40+"/>
      <sheetName val="Mas Men 40+"/>
      <sheetName val="Mas Men 50+"/>
      <sheetName val="Mas Men 60+"/>
    </sheetNames>
    <sheetDataSet>
      <sheetData sheetId="0">
        <row r="14">
          <cell r="Z14">
            <v>3362</v>
          </cell>
          <cell r="AA14">
            <v>50</v>
          </cell>
        </row>
        <row r="15">
          <cell r="Z15">
            <v>3427</v>
          </cell>
          <cell r="AA15">
            <v>35</v>
          </cell>
        </row>
        <row r="16">
          <cell r="Z16">
            <v>1435</v>
          </cell>
          <cell r="AA16">
            <v>25</v>
          </cell>
        </row>
        <row r="17">
          <cell r="Z17">
            <v>3448</v>
          </cell>
          <cell r="AA17">
            <v>25</v>
          </cell>
        </row>
        <row r="18">
          <cell r="Z18">
            <v>3375</v>
          </cell>
          <cell r="AA18">
            <v>15</v>
          </cell>
        </row>
        <row r="19">
          <cell r="Z19">
            <v>3264</v>
          </cell>
          <cell r="AA19">
            <v>15</v>
          </cell>
        </row>
        <row r="20">
          <cell r="Z20">
            <v>1065</v>
          </cell>
          <cell r="AA20">
            <v>15</v>
          </cell>
        </row>
        <row r="21">
          <cell r="Z21">
            <v>1129</v>
          </cell>
          <cell r="AA21">
            <v>15</v>
          </cell>
        </row>
        <row r="22">
          <cell r="Z22">
            <v>1005</v>
          </cell>
          <cell r="AA22">
            <v>10</v>
          </cell>
        </row>
        <row r="23">
          <cell r="Z23">
            <v>2103</v>
          </cell>
          <cell r="AA23">
            <v>10</v>
          </cell>
        </row>
        <row r="24">
          <cell r="Z24">
            <v>3505</v>
          </cell>
          <cell r="AA24">
            <v>10</v>
          </cell>
        </row>
        <row r="25">
          <cell r="Z25">
            <v>1292</v>
          </cell>
          <cell r="AA25">
            <v>10</v>
          </cell>
        </row>
        <row r="26">
          <cell r="Z26">
            <v>4366</v>
          </cell>
          <cell r="AA26">
            <v>10</v>
          </cell>
        </row>
        <row r="27">
          <cell r="Z27">
            <v>3484</v>
          </cell>
          <cell r="AA27">
            <v>10</v>
          </cell>
        </row>
        <row r="28">
          <cell r="Z28">
            <v>4459</v>
          </cell>
          <cell r="AA28">
            <v>10</v>
          </cell>
        </row>
        <row r="29">
          <cell r="Z29">
            <v>3388</v>
          </cell>
          <cell r="AA29">
            <v>10</v>
          </cell>
        </row>
        <row r="30">
          <cell r="Z30">
            <v>2099</v>
          </cell>
          <cell r="AA30">
            <v>2</v>
          </cell>
        </row>
        <row r="31">
          <cell r="Z31">
            <v>3876</v>
          </cell>
          <cell r="AA31">
            <v>2</v>
          </cell>
        </row>
        <row r="32">
          <cell r="Z32">
            <v>3382</v>
          </cell>
          <cell r="AA32">
            <v>2</v>
          </cell>
        </row>
        <row r="33">
          <cell r="Z33">
            <v>1350</v>
          </cell>
          <cell r="AA33">
            <v>2</v>
          </cell>
        </row>
        <row r="34">
          <cell r="Z34">
            <v>1456</v>
          </cell>
          <cell r="AA34">
            <v>2</v>
          </cell>
        </row>
        <row r="35">
          <cell r="Z35">
            <v>2614</v>
          </cell>
          <cell r="AA35">
            <v>2</v>
          </cell>
        </row>
        <row r="36">
          <cell r="Z36">
            <v>1119</v>
          </cell>
          <cell r="AA36">
            <v>2</v>
          </cell>
        </row>
        <row r="37">
          <cell r="Z37">
            <v>1353</v>
          </cell>
          <cell r="AA37">
            <v>2</v>
          </cell>
        </row>
        <row r="38">
          <cell r="Z38">
            <v>1002</v>
          </cell>
          <cell r="AA38">
            <v>2</v>
          </cell>
        </row>
        <row r="39">
          <cell r="Z39">
            <v>3865</v>
          </cell>
          <cell r="AA39">
            <v>2</v>
          </cell>
        </row>
        <row r="40">
          <cell r="Z40">
            <v>3789</v>
          </cell>
          <cell r="AA40">
            <v>2</v>
          </cell>
        </row>
        <row r="41">
          <cell r="Z41">
            <v>3874</v>
          </cell>
          <cell r="AA41">
            <v>2</v>
          </cell>
        </row>
        <row r="42">
          <cell r="Z42">
            <v>3921</v>
          </cell>
          <cell r="AA42">
            <v>2</v>
          </cell>
        </row>
        <row r="43">
          <cell r="Z43">
            <v>3496</v>
          </cell>
          <cell r="AA43">
            <v>2</v>
          </cell>
        </row>
        <row r="44">
          <cell r="Z44">
            <v>3507</v>
          </cell>
          <cell r="AA44">
            <v>2</v>
          </cell>
        </row>
        <row r="45">
          <cell r="Z45">
            <v>3509</v>
          </cell>
          <cell r="AA45">
            <v>2</v>
          </cell>
        </row>
        <row r="46">
          <cell r="Z46">
            <v>3671</v>
          </cell>
          <cell r="AA46">
            <v>1</v>
          </cell>
        </row>
        <row r="47">
          <cell r="Z47">
            <v>1197</v>
          </cell>
          <cell r="AA47">
            <v>1</v>
          </cell>
        </row>
        <row r="80">
          <cell r="Z80">
            <v>3514</v>
          </cell>
          <cell r="AA80">
            <v>1</v>
          </cell>
        </row>
        <row r="81">
          <cell r="AA81">
            <v>1</v>
          </cell>
        </row>
        <row r="82">
          <cell r="Z82">
            <v>3870</v>
          </cell>
          <cell r="AA82">
            <v>1</v>
          </cell>
        </row>
        <row r="83">
          <cell r="Z83">
            <v>3844</v>
          </cell>
          <cell r="AA83">
            <v>1</v>
          </cell>
        </row>
        <row r="84">
          <cell r="Z84">
            <v>3867</v>
          </cell>
          <cell r="AA84">
            <v>1</v>
          </cell>
        </row>
        <row r="85">
          <cell r="Z85">
            <v>4460</v>
          </cell>
          <cell r="AA85">
            <v>1</v>
          </cell>
        </row>
        <row r="86">
          <cell r="Z86">
            <v>4382</v>
          </cell>
          <cell r="AA86">
            <v>1</v>
          </cell>
        </row>
        <row r="87">
          <cell r="Z87">
            <v>3798</v>
          </cell>
          <cell r="AA87">
            <v>1</v>
          </cell>
        </row>
        <row r="88">
          <cell r="Z88">
            <v>4200</v>
          </cell>
          <cell r="AA88">
            <v>1</v>
          </cell>
        </row>
        <row r="89">
          <cell r="AA89">
            <v>1</v>
          </cell>
        </row>
        <row r="90">
          <cell r="AA90">
            <v>1</v>
          </cell>
        </row>
        <row r="91">
          <cell r="Z91">
            <v>3801</v>
          </cell>
          <cell r="AA91">
            <v>1</v>
          </cell>
        </row>
        <row r="92">
          <cell r="Z92">
            <v>2120</v>
          </cell>
          <cell r="AA92">
            <v>1</v>
          </cell>
        </row>
        <row r="93">
          <cell r="AA93">
            <v>1</v>
          </cell>
        </row>
        <row r="94">
          <cell r="Z94">
            <v>3873</v>
          </cell>
          <cell r="AA94">
            <v>1</v>
          </cell>
        </row>
        <row r="95">
          <cell r="Z95">
            <v>4242</v>
          </cell>
          <cell r="AA95">
            <v>1</v>
          </cell>
        </row>
        <row r="96">
          <cell r="Z96">
            <v>4381</v>
          </cell>
          <cell r="AA96">
            <v>1</v>
          </cell>
        </row>
      </sheetData>
      <sheetData sheetId="1" refreshError="1"/>
      <sheetData sheetId="2" refreshError="1"/>
      <sheetData sheetId="3">
        <row r="14">
          <cell r="Z14">
            <v>3448</v>
          </cell>
          <cell r="AA14">
            <v>50</v>
          </cell>
        </row>
        <row r="15">
          <cell r="Z15">
            <v>3384</v>
          </cell>
          <cell r="AA15">
            <v>35</v>
          </cell>
        </row>
        <row r="16">
          <cell r="Z16">
            <v>3375</v>
          </cell>
          <cell r="AA16">
            <v>25</v>
          </cell>
        </row>
        <row r="17">
          <cell r="Z17">
            <v>2103</v>
          </cell>
          <cell r="AA17">
            <v>25</v>
          </cell>
        </row>
        <row r="18">
          <cell r="Z18">
            <v>3427</v>
          </cell>
          <cell r="AA18">
            <v>15</v>
          </cell>
        </row>
        <row r="19">
          <cell r="Z19">
            <v>3505</v>
          </cell>
          <cell r="AA19">
            <v>15</v>
          </cell>
        </row>
        <row r="20">
          <cell r="Z20">
            <v>2120</v>
          </cell>
          <cell r="AA20">
            <v>15</v>
          </cell>
        </row>
        <row r="21">
          <cell r="Z21">
            <v>2099</v>
          </cell>
          <cell r="AA21">
            <v>15</v>
          </cell>
        </row>
        <row r="22">
          <cell r="Z22">
            <v>3874</v>
          </cell>
          <cell r="AA22">
            <v>10</v>
          </cell>
        </row>
        <row r="23">
          <cell r="Z23">
            <v>3876</v>
          </cell>
          <cell r="AA23">
            <v>10</v>
          </cell>
        </row>
        <row r="24">
          <cell r="Z24">
            <v>3388</v>
          </cell>
          <cell r="AA24">
            <v>10</v>
          </cell>
        </row>
        <row r="25">
          <cell r="Z25">
            <v>3789</v>
          </cell>
          <cell r="AA25">
            <v>10</v>
          </cell>
        </row>
        <row r="26">
          <cell r="Z26">
            <v>3844</v>
          </cell>
          <cell r="AA26">
            <v>10</v>
          </cell>
        </row>
        <row r="27">
          <cell r="Z27">
            <v>3382</v>
          </cell>
          <cell r="AA27">
            <v>10</v>
          </cell>
        </row>
        <row r="28">
          <cell r="Z28">
            <v>2614</v>
          </cell>
          <cell r="AA28">
            <v>10</v>
          </cell>
        </row>
        <row r="29">
          <cell r="Z29">
            <v>3921</v>
          </cell>
          <cell r="AA29">
            <v>10</v>
          </cell>
        </row>
        <row r="30">
          <cell r="Z30">
            <v>3507</v>
          </cell>
          <cell r="AA30">
            <v>2</v>
          </cell>
        </row>
        <row r="31">
          <cell r="Z31">
            <v>3507</v>
          </cell>
          <cell r="AA31">
            <v>2</v>
          </cell>
        </row>
        <row r="32">
          <cell r="Z32">
            <v>4382</v>
          </cell>
          <cell r="AA32">
            <v>2</v>
          </cell>
        </row>
        <row r="33">
          <cell r="Z33">
            <v>4381</v>
          </cell>
          <cell r="AA33">
            <v>2</v>
          </cell>
        </row>
        <row r="34">
          <cell r="Z34">
            <v>3873</v>
          </cell>
          <cell r="AA34">
            <v>2</v>
          </cell>
        </row>
        <row r="48">
          <cell r="Z48">
            <v>4586</v>
          </cell>
          <cell r="AA48">
            <v>1</v>
          </cell>
        </row>
        <row r="49">
          <cell r="Z49">
            <v>3870</v>
          </cell>
          <cell r="AA49">
            <v>1</v>
          </cell>
        </row>
        <row r="50">
          <cell r="Z50">
            <v>4380</v>
          </cell>
          <cell r="AA50">
            <v>1</v>
          </cell>
        </row>
        <row r="51">
          <cell r="Z51">
            <v>3360</v>
          </cell>
          <cell r="AA51">
            <v>1</v>
          </cell>
        </row>
        <row r="52">
          <cell r="Z52">
            <v>3801</v>
          </cell>
          <cell r="AA52">
            <v>1</v>
          </cell>
        </row>
        <row r="53">
          <cell r="Z53">
            <v>3798</v>
          </cell>
          <cell r="AA53">
            <v>1</v>
          </cell>
        </row>
        <row r="54">
          <cell r="Z54">
            <v>3912</v>
          </cell>
          <cell r="AA54">
            <v>1</v>
          </cell>
        </row>
        <row r="55">
          <cell r="AA55">
            <v>1</v>
          </cell>
        </row>
        <row r="56">
          <cell r="Z56">
            <v>3514</v>
          </cell>
          <cell r="AA56">
            <v>1</v>
          </cell>
        </row>
        <row r="57">
          <cell r="Z57">
            <v>3916</v>
          </cell>
          <cell r="AA57">
            <v>1</v>
          </cell>
        </row>
        <row r="58">
          <cell r="Z58">
            <v>4352</v>
          </cell>
          <cell r="AA58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3 Girls"/>
      <sheetName val="U19 Girls"/>
      <sheetName val="U13 Boys"/>
      <sheetName val="U19 Boys"/>
      <sheetName val="Women"/>
      <sheetName val="Men"/>
    </sheetNames>
    <sheetDataSet>
      <sheetData sheetId="0">
        <row r="2">
          <cell r="D2">
            <v>8400</v>
          </cell>
        </row>
      </sheetData>
      <sheetData sheetId="1">
        <row r="2">
          <cell r="D2">
            <v>7459</v>
          </cell>
        </row>
      </sheetData>
      <sheetData sheetId="2">
        <row r="2">
          <cell r="D2">
            <v>4018</v>
          </cell>
        </row>
      </sheetData>
      <sheetData sheetId="3">
        <row r="2">
          <cell r="D2">
            <v>2561</v>
          </cell>
        </row>
      </sheetData>
      <sheetData sheetId="4">
        <row r="2">
          <cell r="D2">
            <v>7459</v>
          </cell>
        </row>
      </sheetData>
      <sheetData sheetId="5">
        <row r="2">
          <cell r="D2">
            <v>1004</v>
          </cell>
          <cell r="E2">
            <v>50</v>
          </cell>
        </row>
        <row r="3">
          <cell r="D3">
            <v>2652</v>
          </cell>
          <cell r="E3">
            <v>35</v>
          </cell>
        </row>
        <row r="4">
          <cell r="D4">
            <v>1010</v>
          </cell>
          <cell r="E4">
            <v>25</v>
          </cell>
        </row>
        <row r="5">
          <cell r="D5">
            <v>2561</v>
          </cell>
          <cell r="E5">
            <v>25</v>
          </cell>
        </row>
        <row r="6">
          <cell r="D6">
            <v>1225</v>
          </cell>
          <cell r="E6">
            <v>15</v>
          </cell>
        </row>
        <row r="7">
          <cell r="D7">
            <v>1435</v>
          </cell>
          <cell r="E7">
            <v>15</v>
          </cell>
        </row>
        <row r="8">
          <cell r="D8">
            <v>1026</v>
          </cell>
          <cell r="E8">
            <v>15</v>
          </cell>
        </row>
        <row r="9">
          <cell r="D9">
            <v>1208</v>
          </cell>
          <cell r="E9">
            <v>15</v>
          </cell>
        </row>
        <row r="10">
          <cell r="D10">
            <v>3525</v>
          </cell>
          <cell r="E10">
            <v>10</v>
          </cell>
        </row>
        <row r="11">
          <cell r="D11">
            <v>2654</v>
          </cell>
          <cell r="E11">
            <v>10</v>
          </cell>
        </row>
        <row r="12">
          <cell r="D12">
            <v>3459</v>
          </cell>
          <cell r="E12">
            <v>10</v>
          </cell>
        </row>
        <row r="13">
          <cell r="D13">
            <v>3853</v>
          </cell>
          <cell r="E13">
            <v>10</v>
          </cell>
        </row>
        <row r="14">
          <cell r="D14">
            <v>1119</v>
          </cell>
          <cell r="E14">
            <v>10</v>
          </cell>
        </row>
        <row r="15">
          <cell r="D15">
            <v>1097</v>
          </cell>
          <cell r="E15">
            <v>10</v>
          </cell>
        </row>
        <row r="16">
          <cell r="D16">
            <v>2684</v>
          </cell>
          <cell r="E16">
            <v>10</v>
          </cell>
        </row>
        <row r="17">
          <cell r="D17">
            <v>3814</v>
          </cell>
          <cell r="E17">
            <v>10</v>
          </cell>
        </row>
        <row r="19">
          <cell r="D19">
            <v>1578</v>
          </cell>
          <cell r="E19">
            <v>2</v>
          </cell>
        </row>
        <row r="20">
          <cell r="D20">
            <v>3301</v>
          </cell>
          <cell r="E20">
            <v>2</v>
          </cell>
        </row>
        <row r="21">
          <cell r="D21">
            <v>3785</v>
          </cell>
          <cell r="E21">
            <v>2</v>
          </cell>
        </row>
        <row r="22">
          <cell r="D22">
            <v>3821</v>
          </cell>
          <cell r="E22">
            <v>2</v>
          </cell>
        </row>
        <row r="23">
          <cell r="D23">
            <v>4310</v>
          </cell>
          <cell r="E23">
            <v>2</v>
          </cell>
        </row>
        <row r="24">
          <cell r="D24">
            <v>3930</v>
          </cell>
          <cell r="E24">
            <v>2</v>
          </cell>
        </row>
        <row r="25">
          <cell r="D25">
            <v>2894</v>
          </cell>
          <cell r="E25">
            <v>2</v>
          </cell>
        </row>
        <row r="26">
          <cell r="D26">
            <v>4309</v>
          </cell>
          <cell r="E26">
            <v>2</v>
          </cell>
        </row>
        <row r="27">
          <cell r="D27">
            <v>2918</v>
          </cell>
          <cell r="E27">
            <v>2</v>
          </cell>
        </row>
        <row r="28">
          <cell r="D28">
            <v>1701</v>
          </cell>
          <cell r="E28">
            <v>2</v>
          </cell>
        </row>
        <row r="29">
          <cell r="D29">
            <v>1108</v>
          </cell>
          <cell r="E29">
            <v>2</v>
          </cell>
        </row>
        <row r="30">
          <cell r="D30">
            <v>4820</v>
          </cell>
          <cell r="E30">
            <v>2</v>
          </cell>
        </row>
        <row r="31">
          <cell r="D31">
            <v>1391</v>
          </cell>
          <cell r="E31">
            <v>2</v>
          </cell>
        </row>
        <row r="32">
          <cell r="D32">
            <v>4821</v>
          </cell>
          <cell r="E32">
            <v>2</v>
          </cell>
        </row>
        <row r="34">
          <cell r="D34">
            <v>3823</v>
          </cell>
          <cell r="E34">
            <v>1</v>
          </cell>
        </row>
        <row r="35">
          <cell r="D35">
            <v>4822</v>
          </cell>
          <cell r="E35">
            <v>1</v>
          </cell>
        </row>
        <row r="36">
          <cell r="D36">
            <v>4496</v>
          </cell>
          <cell r="E36">
            <v>1</v>
          </cell>
        </row>
        <row r="37">
          <cell r="D37">
            <v>4823</v>
          </cell>
          <cell r="E37">
            <v>1</v>
          </cell>
        </row>
        <row r="38">
          <cell r="D38">
            <v>4074</v>
          </cell>
          <cell r="E38">
            <v>1</v>
          </cell>
        </row>
        <row r="39">
          <cell r="D39">
            <v>1011</v>
          </cell>
          <cell r="E39">
            <v>0</v>
          </cell>
        </row>
        <row r="40">
          <cell r="D40">
            <v>3495</v>
          </cell>
          <cell r="E40">
            <v>1</v>
          </cell>
        </row>
        <row r="41">
          <cell r="D41">
            <v>4064</v>
          </cell>
          <cell r="E41">
            <v>0</v>
          </cell>
        </row>
        <row r="42">
          <cell r="D42">
            <v>1292</v>
          </cell>
          <cell r="E42">
            <v>0</v>
          </cell>
        </row>
        <row r="43">
          <cell r="D43">
            <v>3827</v>
          </cell>
          <cell r="E43">
            <v>1</v>
          </cell>
        </row>
        <row r="44">
          <cell r="D44">
            <v>1291</v>
          </cell>
          <cell r="E44">
            <v>1</v>
          </cell>
        </row>
        <row r="45">
          <cell r="D45">
            <v>4824</v>
          </cell>
          <cell r="E45">
            <v>1</v>
          </cell>
        </row>
        <row r="46">
          <cell r="D46">
            <v>2862</v>
          </cell>
          <cell r="E46">
            <v>1</v>
          </cell>
        </row>
        <row r="47">
          <cell r="D47">
            <v>2267</v>
          </cell>
          <cell r="E47">
            <v>1</v>
          </cell>
        </row>
        <row r="48">
          <cell r="D48">
            <v>4825</v>
          </cell>
          <cell r="E48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 Men 50+"/>
      <sheetName val="Mas Women 40+"/>
      <sheetName val="Mas Men 40+"/>
      <sheetName val="U11 Girl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Z14">
            <v>1005</v>
          </cell>
          <cell r="AA14">
            <v>50</v>
          </cell>
        </row>
        <row r="15">
          <cell r="Z15">
            <v>1129</v>
          </cell>
          <cell r="AA15">
            <v>35</v>
          </cell>
        </row>
        <row r="16">
          <cell r="Z16">
            <v>1353</v>
          </cell>
          <cell r="AA16">
            <v>25</v>
          </cell>
        </row>
        <row r="17">
          <cell r="Z17">
            <v>1065</v>
          </cell>
          <cell r="AA17">
            <v>25</v>
          </cell>
        </row>
        <row r="18">
          <cell r="Z18">
            <v>1221</v>
          </cell>
          <cell r="AA18">
            <v>15</v>
          </cell>
        </row>
        <row r="19">
          <cell r="Z19">
            <v>1435</v>
          </cell>
          <cell r="AA19">
            <v>15</v>
          </cell>
        </row>
        <row r="20">
          <cell r="Z20">
            <v>1350</v>
          </cell>
          <cell r="AA20">
            <v>15</v>
          </cell>
        </row>
        <row r="21">
          <cell r="Z21">
            <v>4459</v>
          </cell>
          <cell r="AA21">
            <v>15</v>
          </cell>
        </row>
        <row r="22">
          <cell r="Z22">
            <v>2099</v>
          </cell>
          <cell r="AA22">
            <v>10</v>
          </cell>
        </row>
        <row r="23">
          <cell r="Z23">
            <v>2918</v>
          </cell>
          <cell r="AA23">
            <v>10</v>
          </cell>
        </row>
        <row r="24">
          <cell r="Z24">
            <v>1372</v>
          </cell>
          <cell r="AA24">
            <v>10</v>
          </cell>
        </row>
        <row r="25">
          <cell r="Z25">
            <v>3375</v>
          </cell>
          <cell r="AA25">
            <v>10</v>
          </cell>
        </row>
        <row r="26">
          <cell r="Z26">
            <v>3496</v>
          </cell>
          <cell r="AA26">
            <v>10</v>
          </cell>
        </row>
        <row r="27">
          <cell r="Z27">
            <v>3427</v>
          </cell>
          <cell r="AA27">
            <v>10</v>
          </cell>
        </row>
        <row r="28">
          <cell r="Z28">
            <v>3264</v>
          </cell>
          <cell r="AA28">
            <v>10</v>
          </cell>
        </row>
        <row r="29">
          <cell r="Z29">
            <v>3448</v>
          </cell>
          <cell r="AA29">
            <v>10</v>
          </cell>
        </row>
        <row r="30">
          <cell r="Z30" t="str">
            <v/>
          </cell>
        </row>
        <row r="31">
          <cell r="Z31">
            <v>1456</v>
          </cell>
          <cell r="AA31">
            <v>2</v>
          </cell>
        </row>
        <row r="32">
          <cell r="Z32">
            <v>3865</v>
          </cell>
          <cell r="AA32">
            <v>2</v>
          </cell>
        </row>
        <row r="33">
          <cell r="Z33">
            <v>4011</v>
          </cell>
          <cell r="AA33">
            <v>2</v>
          </cell>
        </row>
        <row r="34">
          <cell r="Z34">
            <v>3921</v>
          </cell>
          <cell r="AA34">
            <v>2</v>
          </cell>
        </row>
        <row r="35">
          <cell r="Z35">
            <v>4366</v>
          </cell>
          <cell r="AA35">
            <v>2</v>
          </cell>
        </row>
        <row r="36">
          <cell r="Z36">
            <v>2120</v>
          </cell>
          <cell r="AA36">
            <v>2</v>
          </cell>
        </row>
        <row r="37">
          <cell r="Z37">
            <v>1197</v>
          </cell>
          <cell r="AA37">
            <v>2</v>
          </cell>
        </row>
        <row r="38">
          <cell r="Z38" t="str">
            <v/>
          </cell>
        </row>
        <row r="39">
          <cell r="Z39">
            <v>4382</v>
          </cell>
          <cell r="AA39">
            <v>2</v>
          </cell>
        </row>
        <row r="40">
          <cell r="Z40">
            <v>3388</v>
          </cell>
          <cell r="AA40">
            <v>2</v>
          </cell>
        </row>
        <row r="41">
          <cell r="Z41">
            <v>2614</v>
          </cell>
          <cell r="AA41">
            <v>2</v>
          </cell>
        </row>
        <row r="42">
          <cell r="Z42">
            <v>2103</v>
          </cell>
          <cell r="AA42">
            <v>2</v>
          </cell>
        </row>
        <row r="43">
          <cell r="Z43">
            <v>3507</v>
          </cell>
          <cell r="AA43">
            <v>2</v>
          </cell>
        </row>
        <row r="44">
          <cell r="Z44">
            <v>3671</v>
          </cell>
          <cell r="AA44">
            <v>2</v>
          </cell>
        </row>
        <row r="48">
          <cell r="Z48">
            <v>3870</v>
          </cell>
          <cell r="AA48">
            <v>1</v>
          </cell>
        </row>
        <row r="49">
          <cell r="Z49">
            <v>4810</v>
          </cell>
          <cell r="AA49">
            <v>1</v>
          </cell>
        </row>
        <row r="50">
          <cell r="Z50">
            <v>4007</v>
          </cell>
          <cell r="AA50">
            <v>1</v>
          </cell>
        </row>
        <row r="51">
          <cell r="Z51">
            <v>2634</v>
          </cell>
          <cell r="AA51">
            <v>0</v>
          </cell>
        </row>
        <row r="52">
          <cell r="Z52">
            <v>4381</v>
          </cell>
          <cell r="AA52">
            <v>1</v>
          </cell>
        </row>
        <row r="54">
          <cell r="Z54">
            <v>3876</v>
          </cell>
          <cell r="AA54">
            <v>1</v>
          </cell>
        </row>
        <row r="55">
          <cell r="Z55">
            <v>4242</v>
          </cell>
          <cell r="AA55">
            <v>1</v>
          </cell>
        </row>
        <row r="56">
          <cell r="Z56">
            <v>4010</v>
          </cell>
          <cell r="AA56">
            <v>1</v>
          </cell>
        </row>
        <row r="57">
          <cell r="Z57">
            <v>3844</v>
          </cell>
          <cell r="AA57">
            <v>1</v>
          </cell>
        </row>
        <row r="58">
          <cell r="Z58">
            <v>3867</v>
          </cell>
          <cell r="AA58">
            <v>1</v>
          </cell>
        </row>
        <row r="59">
          <cell r="Z59">
            <v>3054</v>
          </cell>
          <cell r="AA59">
            <v>1</v>
          </cell>
        </row>
        <row r="60">
          <cell r="Z60">
            <v>3871</v>
          </cell>
          <cell r="AA60">
            <v>1</v>
          </cell>
        </row>
        <row r="61">
          <cell r="Z61">
            <v>3866</v>
          </cell>
          <cell r="AA61">
            <v>1</v>
          </cell>
        </row>
        <row r="62">
          <cell r="Z62">
            <v>3873</v>
          </cell>
          <cell r="AA62">
            <v>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9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Male Players"/>
      <sheetName val="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 Used"/>
      <sheetName val="Men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ALL MALE PLAYERS"/>
      <sheetName val="ALL FEMALE PLAYERS"/>
      <sheetName val="Rules"/>
      <sheetName val="Point Allocatio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E5">
            <v>7741</v>
          </cell>
          <cell r="F5" t="str">
            <v>SONDAY Rochica</v>
          </cell>
        </row>
        <row r="6">
          <cell r="E6">
            <v>7781</v>
          </cell>
          <cell r="F6" t="str">
            <v>SCHOLTZ Juane</v>
          </cell>
        </row>
        <row r="7">
          <cell r="E7">
            <v>8042</v>
          </cell>
          <cell r="F7" t="str">
            <v>DE VILLIER Adrunecia</v>
          </cell>
        </row>
        <row r="8">
          <cell r="E8">
            <v>7626</v>
          </cell>
          <cell r="F8" t="str">
            <v>TOTARAM Nitara</v>
          </cell>
        </row>
        <row r="9">
          <cell r="E9">
            <v>8043</v>
          </cell>
          <cell r="F9" t="str">
            <v>ABRAHAMS Suzaynia</v>
          </cell>
        </row>
        <row r="10">
          <cell r="E10">
            <v>7789</v>
          </cell>
          <cell r="F10" t="str">
            <v>SALIE Tamara</v>
          </cell>
        </row>
        <row r="11">
          <cell r="E11">
            <v>8025</v>
          </cell>
          <cell r="F11" t="str">
            <v>VAN AS Tamika</v>
          </cell>
        </row>
        <row r="12">
          <cell r="E12">
            <v>7787</v>
          </cell>
          <cell r="F12" t="str">
            <v>PIETERSEN Tazlin</v>
          </cell>
        </row>
        <row r="13">
          <cell r="E13">
            <v>8044</v>
          </cell>
          <cell r="F13" t="str">
            <v>SWARTZ Zainick</v>
          </cell>
        </row>
        <row r="14">
          <cell r="E14">
            <v>7290</v>
          </cell>
          <cell r="F14" t="str">
            <v xml:space="preserve">MAHLAMVU Simone </v>
          </cell>
        </row>
        <row r="15">
          <cell r="E15">
            <v>7944</v>
          </cell>
          <cell r="F15" t="str">
            <v>SOROUR Keira</v>
          </cell>
        </row>
        <row r="16">
          <cell r="E16">
            <v>8063</v>
          </cell>
          <cell r="F16" t="str">
            <v>TOTARAM Kritika</v>
          </cell>
        </row>
        <row r="17">
          <cell r="E17">
            <v>7458</v>
          </cell>
          <cell r="F17" t="str">
            <v>ANANDHPURI Khiara</v>
          </cell>
        </row>
        <row r="18">
          <cell r="E18">
            <v>7611</v>
          </cell>
          <cell r="F18" t="str">
            <v>MTSHAWULANA Banam</v>
          </cell>
        </row>
        <row r="19">
          <cell r="E19">
            <v>8131</v>
          </cell>
          <cell r="F19" t="str">
            <v>FAKEY Imaan</v>
          </cell>
        </row>
        <row r="20">
          <cell r="E20">
            <v>7259</v>
          </cell>
          <cell r="F20" t="str">
            <v>CARRASCO Ceira</v>
          </cell>
        </row>
        <row r="21">
          <cell r="E21">
            <v>8112</v>
          </cell>
          <cell r="F21" t="str">
            <v>NDLOVU Tshepiso</v>
          </cell>
        </row>
        <row r="22">
          <cell r="E22">
            <v>7819</v>
          </cell>
          <cell r="F22" t="str">
            <v>KOMETSI Khalalelo</v>
          </cell>
        </row>
        <row r="23">
          <cell r="E23">
            <v>8085</v>
          </cell>
          <cell r="F23" t="str">
            <v>PILLAY Veya</v>
          </cell>
        </row>
        <row r="24">
          <cell r="E24">
            <v>7856</v>
          </cell>
          <cell r="F24" t="str">
            <v>VUKUVUKU Sinesipho</v>
          </cell>
        </row>
        <row r="25">
          <cell r="E25">
            <v>8156</v>
          </cell>
          <cell r="F25" t="str">
            <v>NGAMBU Sibabaliwe</v>
          </cell>
        </row>
        <row r="26">
          <cell r="E26">
            <v>7172</v>
          </cell>
          <cell r="F26" t="str">
            <v>HLUBI Alwande</v>
          </cell>
        </row>
        <row r="27">
          <cell r="E27">
            <v>8074</v>
          </cell>
          <cell r="F27" t="str">
            <v>MOUTON Andrea</v>
          </cell>
        </row>
        <row r="28">
          <cell r="E28">
            <v>8086</v>
          </cell>
          <cell r="F28" t="str">
            <v>MORSNA Sarah</v>
          </cell>
        </row>
        <row r="29">
          <cell r="E29">
            <v>7801</v>
          </cell>
          <cell r="F29" t="str">
            <v>FOURIE Riana</v>
          </cell>
        </row>
        <row r="30">
          <cell r="E30">
            <v>8176</v>
          </cell>
          <cell r="F30" t="str">
            <v>Phoofolo Refiloe</v>
          </cell>
        </row>
        <row r="31">
          <cell r="E31">
            <v>7993</v>
          </cell>
          <cell r="F31" t="str">
            <v>MOCHABELA Refilwe</v>
          </cell>
        </row>
        <row r="32">
          <cell r="E32">
            <v>8097</v>
          </cell>
          <cell r="F32" t="str">
            <v>GOKUL Mahi</v>
          </cell>
        </row>
        <row r="33">
          <cell r="E33">
            <v>8098</v>
          </cell>
          <cell r="F33" t="str">
            <v>BHUGWANDIN Prajna</v>
          </cell>
        </row>
        <row r="34">
          <cell r="E34">
            <v>7991</v>
          </cell>
          <cell r="F34" t="str">
            <v>NKOMONYE Akhona</v>
          </cell>
        </row>
        <row r="35">
          <cell r="E35">
            <v>7984</v>
          </cell>
          <cell r="F35" t="str">
            <v>THEBE KEARABETSWE</v>
          </cell>
        </row>
        <row r="36">
          <cell r="E36">
            <v>7337</v>
          </cell>
          <cell r="F36" t="str">
            <v xml:space="preserve">MOLOINYANA Paballo </v>
          </cell>
        </row>
        <row r="37">
          <cell r="E37">
            <v>7951</v>
          </cell>
          <cell r="F37" t="str">
            <v>MZOLO Thandolwethu</v>
          </cell>
        </row>
        <row r="38">
          <cell r="E38">
            <v>7822</v>
          </cell>
          <cell r="F38" t="str">
            <v>MAJANE Rethabile</v>
          </cell>
        </row>
        <row r="39">
          <cell r="E39">
            <v>7836</v>
          </cell>
          <cell r="F39" t="str">
            <v>WENASE Lisakhanya</v>
          </cell>
        </row>
        <row r="40">
          <cell r="E40">
            <v>7788</v>
          </cell>
          <cell r="F40" t="str">
            <v>MOHATLI Chrestina</v>
          </cell>
        </row>
        <row r="41">
          <cell r="E41">
            <v>7338</v>
          </cell>
          <cell r="F41" t="str">
            <v xml:space="preserve">MOLOINYANA Lebogang </v>
          </cell>
        </row>
        <row r="42">
          <cell r="E42">
            <v>8073</v>
          </cell>
          <cell r="F42" t="str">
            <v>NTONDO Inga</v>
          </cell>
        </row>
        <row r="43">
          <cell r="E43">
            <v>7774</v>
          </cell>
          <cell r="F43" t="str">
            <v>MALLUKA Rhea</v>
          </cell>
        </row>
        <row r="44">
          <cell r="E44">
            <v>7797</v>
          </cell>
          <cell r="F44" t="str">
            <v>WESSON Angelique</v>
          </cell>
        </row>
        <row r="45">
          <cell r="E45">
            <v>8036</v>
          </cell>
          <cell r="F45" t="str">
            <v>JONES Shona</v>
          </cell>
        </row>
        <row r="46">
          <cell r="E46">
            <v>7608</v>
          </cell>
          <cell r="F46" t="str">
            <v>SANDOVANA Sinamandla</v>
          </cell>
        </row>
        <row r="47">
          <cell r="E47">
            <v>7782</v>
          </cell>
          <cell r="F47" t="str">
            <v>MODISENYANI Rhetabile</v>
          </cell>
        </row>
        <row r="48">
          <cell r="E48">
            <v>8107</v>
          </cell>
          <cell r="F48" t="str">
            <v>MACHI Azile</v>
          </cell>
        </row>
        <row r="49">
          <cell r="E49">
            <v>8037</v>
          </cell>
          <cell r="F49" t="str">
            <v>SCHOEMAN Zion</v>
          </cell>
        </row>
        <row r="50">
          <cell r="E50">
            <v>8038</v>
          </cell>
          <cell r="F50" t="str">
            <v>SCHOEMAN Jude</v>
          </cell>
        </row>
        <row r="51">
          <cell r="E51">
            <v>7740</v>
          </cell>
          <cell r="F51" t="str">
            <v>SONDAY Ganaan</v>
          </cell>
        </row>
        <row r="52">
          <cell r="E52">
            <v>7927</v>
          </cell>
          <cell r="F52" t="str">
            <v>KHOSANA Khanyisile</v>
          </cell>
        </row>
        <row r="53">
          <cell r="E53">
            <v>8071</v>
          </cell>
          <cell r="F53" t="str">
            <v>DEDZA Kimberly</v>
          </cell>
        </row>
        <row r="54">
          <cell r="E54">
            <v>8066</v>
          </cell>
          <cell r="F54" t="str">
            <v>ESACK Shazia</v>
          </cell>
        </row>
        <row r="55">
          <cell r="E55">
            <v>8070</v>
          </cell>
          <cell r="F55" t="str">
            <v>DE KLERK Amore</v>
          </cell>
        </row>
        <row r="56">
          <cell r="E56">
            <v>8087</v>
          </cell>
          <cell r="F56" t="str">
            <v>MATHABATHE Tshiamo</v>
          </cell>
        </row>
        <row r="57">
          <cell r="E57">
            <v>8099</v>
          </cell>
          <cell r="F57" t="str">
            <v>NAIDOO Deanna</v>
          </cell>
        </row>
        <row r="58">
          <cell r="E58">
            <v>8067</v>
          </cell>
          <cell r="F58" t="str">
            <v>BHUNDOO Ashriva</v>
          </cell>
        </row>
        <row r="59">
          <cell r="E59">
            <v>8100</v>
          </cell>
          <cell r="F59" t="str">
            <v xml:space="preserve">GOVENDER Kirsten </v>
          </cell>
        </row>
        <row r="60">
          <cell r="E60">
            <v>7800</v>
          </cell>
          <cell r="F60" t="str">
            <v>KGANARE Refilwe</v>
          </cell>
        </row>
        <row r="61">
          <cell r="E61">
            <v>7281</v>
          </cell>
          <cell r="F61" t="str">
            <v xml:space="preserve">MADONDO Amahle </v>
          </cell>
        </row>
        <row r="62">
          <cell r="E62">
            <v>7612</v>
          </cell>
          <cell r="F62" t="str">
            <v>ISAACS Zayaan</v>
          </cell>
        </row>
        <row r="63">
          <cell r="E63">
            <v>8120</v>
          </cell>
          <cell r="F63" t="str">
            <v>KOMETSI Khauhelo</v>
          </cell>
        </row>
        <row r="64">
          <cell r="E64">
            <v>8121</v>
          </cell>
          <cell r="F64" t="str">
            <v>FOURIE Daleen</v>
          </cell>
        </row>
        <row r="65">
          <cell r="E65">
            <v>8122</v>
          </cell>
          <cell r="F65" t="str">
            <v>KOKETSO Gaba</v>
          </cell>
        </row>
        <row r="66">
          <cell r="E66">
            <v>8118</v>
          </cell>
          <cell r="F66" t="str">
            <v>NYOKONG Keabetswe</v>
          </cell>
        </row>
        <row r="67">
          <cell r="E67">
            <v>8041</v>
          </cell>
          <cell r="F67" t="str">
            <v>SMITH Shiloh</v>
          </cell>
        </row>
        <row r="68">
          <cell r="E68">
            <v>7973</v>
          </cell>
          <cell r="F68" t="str">
            <v>JOUBERT Mornechia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60+"/>
      <sheetName val="Men 50+"/>
      <sheetName val="Men 40+"/>
      <sheetName val="Women 35+"/>
      <sheetName val="Women +35"/>
      <sheetName val="Women +40"/>
      <sheetName val="Women +50"/>
      <sheetName val="VETTS+40Men"/>
      <sheetName val="U19 Boys TT4-TT5"/>
      <sheetName val="U19 Boys TT6-TT10"/>
      <sheetName val="U19B TT11"/>
      <sheetName val="U19 G TT11 "/>
      <sheetName val="Women TT1-TT5 "/>
      <sheetName val="Women TT5"/>
      <sheetName val="Women TT6 -TT10"/>
      <sheetName val="Women TT11"/>
      <sheetName val="Women TT11 -DS"/>
      <sheetName val="Women DS"/>
      <sheetName val="MENS TT1-TT5"/>
      <sheetName val="MENS TT5"/>
      <sheetName val="MENS DEAF"/>
      <sheetName val="MENS TT6-TT10"/>
      <sheetName val="Mens TT7-TT10"/>
      <sheetName val="Mens TT 11"/>
      <sheetName val="Mens DS"/>
      <sheetName val="Male Players"/>
      <sheetName val="Female Players"/>
      <sheetName val="Rules"/>
      <sheetName val="Point Allocation"/>
      <sheetName val="National Masters &amp; PARA  Rank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K319" totalsRowShown="0" headerRowDxfId="518" dataDxfId="516" headerRowBorderDxfId="517" tableBorderDxfId="515" totalsRowBorderDxfId="514">
  <tableColumns count="11">
    <tableColumn id="1" xr3:uid="{00000000-0010-0000-0000-000001000000}" name="RANK" dataDxfId="513">
      <calculatedColumnFormula>A3+1</calculatedColumnFormula>
    </tableColumn>
    <tableColumn id="2" xr3:uid="{00000000-0010-0000-0000-000002000000}" name="MEN" dataDxfId="512">
      <calculatedColumnFormula>CONCATENATE(Men!E5," ",Men!F5)</calculatedColumnFormula>
    </tableColumn>
    <tableColumn id="3" xr3:uid="{00000000-0010-0000-0000-000003000000}" name="WOMEN" dataDxfId="511">
      <calculatedColumnFormula>CONCATENATE(Women!#REF!," ",Women!#REF!)</calculatedColumnFormula>
    </tableColumn>
    <tableColumn id="4" xr3:uid="{00000000-0010-0000-0000-000004000000}" name="U19 BOYS" dataDxfId="510">
      <calculatedColumnFormula>CONCATENATE('u19 boys'!F5," ",'u19 boys'!G5)</calculatedColumnFormula>
    </tableColumn>
    <tableColumn id="5" xr3:uid="{00000000-0010-0000-0000-000005000000}" name="U19 GIRLS" dataDxfId="509">
      <calculatedColumnFormula>CONCATENATE('u19 girls'!#REF!," ",'u19 girls'!#REF!)</calculatedColumnFormula>
    </tableColumn>
    <tableColumn id="6" xr3:uid="{00000000-0010-0000-0000-000006000000}" name="U15 BOYS" dataDxfId="508">
      <calculatedColumnFormula>CONCATENATE('u15 boys'!F5," ",'u15 boys'!G5)</calculatedColumnFormula>
    </tableColumn>
    <tableColumn id="7" xr3:uid="{00000000-0010-0000-0000-000007000000}" name="U15 GIRLS" dataDxfId="507">
      <calculatedColumnFormula>CONCATENATE('u15 girls'!F5," ",'u15 girls'!G5)</calculatedColumnFormula>
    </tableColumn>
    <tableColumn id="8" xr3:uid="{00000000-0010-0000-0000-000008000000}" name="U13 BOYS" dataDxfId="506">
      <calculatedColumnFormula>CONCATENATE('u13 boys'!#REF!," ",'u13 boys'!#REF!)</calculatedColumnFormula>
    </tableColumn>
    <tableColumn id="9" xr3:uid="{00000000-0010-0000-0000-000009000000}" name="U13 GIRLS" dataDxfId="505">
      <calculatedColumnFormula>CONCATENATE('u13 girls'!#REF!," ",'u13 girls'!#REF!)</calculatedColumnFormula>
    </tableColumn>
    <tableColumn id="14" xr3:uid="{00000000-0010-0000-0000-00000E000000}" name="U11 BOYS" dataDxfId="504">
      <calculatedColumnFormula>CONCATENATE('u11 boys'!F5," ",'u11 boys'!G5)</calculatedColumnFormula>
    </tableColumn>
    <tableColumn id="15" xr3:uid="{00000000-0010-0000-0000-00000F000000}" name="U11 GIRLS" dataDxfId="503">
      <calculatedColumnFormula>CONCATENATE('u11 girls'!#REF!," ",'u11 girls'!#REF!)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9000000}" name="Table818" displayName="Table818" ref="A4:AL146" totalsRowShown="0" headerRowDxfId="114" dataDxfId="113" totalsRowDxfId="112">
  <autoFilter ref="A4:AL146" xr:uid="{00000000-0009-0000-0100-000011000000}"/>
  <sortState xmlns:xlrd2="http://schemas.microsoft.com/office/spreadsheetml/2017/richdata2" ref="A5:AL147">
    <sortCondition descending="1" ref="J4:J147"/>
  </sortState>
  <tableColumns count="38">
    <tableColumn id="1" xr3:uid="{00000000-0010-0000-0900-000001000000}" name="Age Group Check" dataDxfId="111" totalsRowDxfId="110"/>
    <tableColumn id="13" xr3:uid="{00000000-0010-0000-0900-00000D000000}" name="Previous Rank" dataDxfId="109"/>
    <tableColumn id="15" xr3:uid="{00000000-0010-0000-0900-00000F000000}" name="Change in Rank" dataDxfId="108">
      <calculatedColumnFormula>+B5-D5</calculatedColumnFormula>
    </tableColumn>
    <tableColumn id="16" xr3:uid="{00000000-0010-0000-0900-000010000000}" name="Rank" dataDxfId="107"/>
    <tableColumn id="2" xr3:uid="{00000000-0010-0000-0900-000002000000}" name="Player No" dataDxfId="106" totalsRowDxfId="105"/>
    <tableColumn id="3" xr3:uid="{00000000-0010-0000-0900-000003000000}" name=" Surname, Name" dataDxfId="104" totalsRowDxfId="103"/>
    <tableColumn id="4" xr3:uid="{00000000-0010-0000-0900-000004000000}" name="Region " dataDxfId="102" totalsRowDxfId="101"/>
    <tableColumn id="11" xr3:uid="{00000000-0010-0000-0900-00000B000000}" name="Points 2024" dataDxfId="100" totalsRowDxfId="99"/>
    <tableColumn id="32" xr3:uid="{00000000-0010-0000-0900-000020000000}" name="Points 2025" dataDxfId="98"/>
    <tableColumn id="22" xr3:uid="{00000000-0010-0000-0900-000016000000}" name="Points 2026" dataDxfId="97">
      <calculatedColumnFormula>Table818[[#This Row],[Points 2025]]/2+SUM(Table818[[#This Row],[O1  ADMIN 2026]:[P2           WC         CT Open 2026]])</calculatedColumnFormula>
    </tableColumn>
    <tableColumn id="9" xr3:uid="{00000000-0010-0000-0900-000009000000}" name="Tournaments Played In" dataDxfId="96">
      <calculatedColumnFormula>COUNTIF(M5:P5,"&gt;0")</calculatedColumnFormula>
    </tableColumn>
    <tableColumn id="10" xr3:uid="{00000000-0010-0000-0900-00000A000000}" name="Total           No Shows" dataDxfId="95">
      <calculatedColumnFormula>COUNTIF(N5:AL5,"&lt;0")</calculatedColumnFormula>
    </tableColumn>
    <tableColumn id="23" xr3:uid="{00000000-0010-0000-0900-000017000000}" name="O1  ADMIN 2026" dataDxfId="94"/>
    <tableColumn id="38" xr3:uid="{00000000-0010-0000-0900-000026000000}" name="O1       GALAXY OPEN 2026" dataDxfId="93"/>
    <tableColumn id="37" xr3:uid="{00000000-0010-0000-0900-000025000000}" name="O1 TITANS Open 2026" dataDxfId="92">
      <calculatedColumnFormula>IFERROR(VALUE(IF(Table818[[#This Row],[Player No]]="","",IFERROR(VLOOKUP(Table818[[#This Row],[Player No]],'[2]U11 Boys'!$Z$14:$AB$16,2,FALSE)&amp;"",""))),"")</calculatedColumnFormula>
    </tableColumn>
    <tableColumn id="36" xr3:uid="{00000000-0010-0000-0900-000024000000}" name="P2           WC         CT Open 2026" dataDxfId="91"/>
    <tableColumn id="35" xr3:uid="{00000000-0010-0000-0900-000023000000}" name="P1         UMG  Open   20252" dataDxfId="90"/>
    <tableColumn id="6" xr3:uid="{00000000-0010-0000-0900-000006000000}" name="01         EDDELS Open   2025" dataDxfId="89"/>
    <tableColumn id="19" xr3:uid="{00000000-0010-0000-0900-000013000000}" name="01         GALAXY Open   2025" dataDxfId="88"/>
    <tableColumn id="20" xr3:uid="{00000000-0010-0000-0900-000014000000}" name="P2         ETTA Open   2025" dataDxfId="87"/>
    <tableColumn id="5" xr3:uid="{00000000-0010-0000-0900-000005000000}" name="01 TITANS            Open   2025" dataDxfId="86"/>
    <tableColumn id="18" xr3:uid="{00000000-0010-0000-0900-000012000000}" name="P2     FSTTF            Open   2025" dataDxfId="85"/>
    <tableColumn id="7" xr3:uid="{00000000-0010-0000-0900-000007000000}" name="01 CMCTTC            Open   2025" dataDxfId="84"/>
    <tableColumn id="14" xr3:uid="{00000000-0010-0000-0900-00000E000000}" name="01 EKU            Open   2025" dataDxfId="83"/>
    <tableColumn id="17" xr3:uid="{00000000-0010-0000-0900-000011000000}" name="01            SP SAINTS            Open   2025" dataDxfId="82"/>
    <tableColumn id="34" xr3:uid="{00000000-0010-0000-0900-000022000000}" name="P1           WC         CT Open 2025" dataDxfId="81"/>
    <tableColumn id="24" xr3:uid="{00000000-0010-0000-0900-000018000000}" name="A1           NAT         SA Open 2025" dataDxfId="80"/>
    <tableColumn id="12" xr3:uid="{00000000-0010-0000-0900-00000C000000}" name="O1           MTTC          Open 2025" dataDxfId="79"/>
    <tableColumn id="8" xr3:uid="{00000000-0010-0000-0900-000008000000}" name="P2           GAU         JTTA Open 2025" dataDxfId="78"/>
    <tableColumn id="21" xr3:uid="{00000000-0010-0000-0900-000015000000}" name="P2           GAU         JTTA Open 2026" dataDxfId="77"/>
    <tableColumn id="33" xr3:uid="{00000000-0010-0000-0900-000021000000}" name="P3                    GNTTB Open             2025" dataDxfId="76"/>
    <tableColumn id="25" xr3:uid="{00000000-0010-0000-0900-000019000000}" name="P1         KZN  Open   2024" dataDxfId="75"/>
    <tableColumn id="26" xr3:uid="{00000000-0010-0000-0900-00001A000000}" name="P2           WC         CT Open 2024" dataDxfId="74"/>
    <tableColumn id="31" xr3:uid="{00000000-0010-0000-0900-00001F000000}" name="P1           WC         Eden Open 2024" dataDxfId="73"/>
    <tableColumn id="28" xr3:uid="{00000000-0010-0000-0900-00001C000000}" name="A1_x000a_NAT_x000a_SA Open_x000a_2024" dataDxfId="72"/>
    <tableColumn id="27" xr3:uid="{00000000-0010-0000-0900-00001B000000}" name="O1           GAU         Maccabi 2024" dataDxfId="71"/>
    <tableColumn id="29" xr3:uid="{00000000-0010-0000-0900-00001D000000}" name="P1        GAU_x000a_JTTA Open  2024" dataDxfId="70"/>
    <tableColumn id="30" xr3:uid="{00000000-0010-0000-0900-00001E000000}" name="P2           GAU          Gau North Open             2024" dataDxfId="69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A000000}" name="Table917" displayName="Table917" ref="A4:AH120" totalsRowShown="0" headerRowDxfId="68" dataDxfId="67">
  <autoFilter ref="A4:AH120" xr:uid="{00000000-0009-0000-0100-000010000000}"/>
  <sortState xmlns:xlrd2="http://schemas.microsoft.com/office/spreadsheetml/2017/richdata2" ref="A5:AI119">
    <sortCondition descending="1" ref="I4:I119"/>
  </sortState>
  <tableColumns count="34">
    <tableColumn id="1" xr3:uid="{00000000-0010-0000-0A00-000001000000}" name="Age Group Check" dataDxfId="66">
      <calculatedColumnFormula>A4+1</calculatedColumnFormula>
    </tableColumn>
    <tableColumn id="14" xr3:uid="{00000000-0010-0000-0A00-00000E000000}" name="Previous Rank" dataDxfId="65"/>
    <tableColumn id="15" xr3:uid="{00000000-0010-0000-0A00-00000F000000}" name="Change in Rank" dataDxfId="64">
      <calculatedColumnFormula>+B5-D5</calculatedColumnFormula>
    </tableColumn>
    <tableColumn id="16" xr3:uid="{00000000-0010-0000-0A00-000010000000}" name="Rank" dataDxfId="63"/>
    <tableColumn id="2" xr3:uid="{00000000-0010-0000-0A00-000002000000}" name="Player No" dataDxfId="62"/>
    <tableColumn id="3" xr3:uid="{00000000-0010-0000-0A00-000003000000}" name=" Surname, Name" dataDxfId="61">
      <calculatedColumnFormula>IFERROR(VLOOKUP(Table917[[#This Row],[Player No]],Table11[[No]:[Province]],2,0),"")</calculatedColumnFormula>
    </tableColumn>
    <tableColumn id="4" xr3:uid="{00000000-0010-0000-0A00-000004000000}" name="Region" dataDxfId="60">
      <calculatedColumnFormula>IFERROR(VLOOKUP(Table917[[#This Row],[Player No]],Table11[[No]:[Province]],3,0),"")</calculatedColumnFormula>
    </tableColumn>
    <tableColumn id="30" xr3:uid="{00000000-0010-0000-0A00-00001E000000}" name="Points 2025" dataDxfId="59">
      <calculatedColumnFormula>+#REF!/2+SUM(Table917[[#This Row],[P1         UMG  Open   2025]:[P2        GAU
JTTA Open  2025]])</calculatedColumnFormula>
    </tableColumn>
    <tableColumn id="20" xr3:uid="{00000000-0010-0000-0A00-000014000000}" name="Points 2026" dataDxfId="58">
      <calculatedColumnFormula>Table917[[#This Row],[Points 2025]]/2+SUM(Table917[[#This Row],[O1  ADMIN 2026]:[P2         WC     Open   2026]])</calculatedColumnFormula>
    </tableColumn>
    <tableColumn id="9" xr3:uid="{00000000-0010-0000-0A00-000009000000}" name="Tournaments Played In" dataDxfId="57">
      <calculatedColumnFormula>COUNTIF(L5:O5,"&gt;0")</calculatedColumnFormula>
    </tableColumn>
    <tableColumn id="10" xr3:uid="{00000000-0010-0000-0A00-00000A000000}" name="Total       No Shows" dataDxfId="56">
      <calculatedColumnFormula>COUNTIF(P5:AA5,"&lt;0")</calculatedColumnFormula>
    </tableColumn>
    <tableColumn id="35" xr3:uid="{00000000-0010-0000-0A00-000023000000}" name="O1  ADMIN 2026" dataDxfId="55"/>
    <tableColumn id="34" xr3:uid="{00000000-0010-0000-0A00-000022000000}" name="O1       GALAXY OPEN 2026" dataDxfId="54"/>
    <tableColumn id="22" xr3:uid="{00000000-0010-0000-0A00-000016000000}" name="O1 TITANS Open 2026" dataDxfId="53"/>
    <tableColumn id="21" xr3:uid="{00000000-0010-0000-0A00-000015000000}" name="P2         WC     Open   2026" dataDxfId="52"/>
    <tableColumn id="33" xr3:uid="{00000000-0010-0000-0A00-000021000000}" name="P1         UMG  Open   2025" dataDxfId="51"/>
    <tableColumn id="8" xr3:uid="{00000000-0010-0000-0A00-000008000000}" name="01         EDDELS  Open   2025" dataDxfId="50"/>
    <tableColumn id="17" xr3:uid="{00000000-0010-0000-0A00-000011000000}" name="P2         ETTA Open   2025" dataDxfId="49"/>
    <tableColumn id="5" xr3:uid="{00000000-0010-0000-0A00-000005000000}" name="O1         TITANS  Open   2025" dataDxfId="48"/>
    <tableColumn id="13" xr3:uid="{00000000-0010-0000-0A00-00000D000000}" name="P2         FSTTF  Open   2025" dataDxfId="47"/>
    <tableColumn id="6" xr3:uid="{00000000-0010-0000-0A00-000006000000}" name="O1         CMCTTC  Open   2025" dataDxfId="46"/>
    <tableColumn id="7" xr3:uid="{00000000-0010-0000-0A00-000007000000}" name="O1           SP SAINTS  Open   2025" dataDxfId="45"/>
    <tableColumn id="32" xr3:uid="{00000000-0010-0000-0A00-000020000000}" name="P1           WC         CT Open 2025" dataDxfId="44"/>
    <tableColumn id="19" xr3:uid="{00000000-0010-0000-0A00-000013000000}" name="A1           NAT         SA Open 2025" dataDxfId="43"/>
    <tableColumn id="12" xr3:uid="{00000000-0010-0000-0A00-00000C000000}" name="01           MTTC          Open 2025" dataDxfId="42"/>
    <tableColumn id="18" xr3:uid="{00000000-0010-0000-0A00-000012000000}" name="P3           GNTTB          Open 2025" dataDxfId="41"/>
    <tableColumn id="31" xr3:uid="{00000000-0010-0000-0A00-00001F000000}" name="P2        GAU_x000a_JTTA Open  2025" dataDxfId="40"/>
    <tableColumn id="23" xr3:uid="{00000000-0010-0000-0A00-000017000000}" name="P1         KZN  Open   2024" dataDxfId="39"/>
    <tableColumn id="25" xr3:uid="{00000000-0010-0000-0A00-000019000000}" name="P2           WC         CT Open 2024" dataDxfId="38"/>
    <tableColumn id="29" xr3:uid="{00000000-0010-0000-0A00-00001D000000}" name="P1           WC         Eden Open 2024" dataDxfId="37"/>
    <tableColumn id="28" xr3:uid="{00000000-0010-0000-0A00-00001C000000}" name="A1_x000a_NAT_x000a_SA Open_x000a_2024" dataDxfId="36"/>
    <tableColumn id="24" xr3:uid="{00000000-0010-0000-0A00-000018000000}" name="O1           GAU         Maccabi 2024" dataDxfId="35"/>
    <tableColumn id="26" xr3:uid="{00000000-0010-0000-0A00-00001A000000}" name="P1        GAU_x000a_JTTA Open  2024" dataDxfId="34"/>
    <tableColumn id="27" xr3:uid="{00000000-0010-0000-0A00-00001B000000}" name="P2           GAU          Gau North Open             2024" dataDxfId="33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0" displayName="Table10" ref="A4:H6020" totalsRowShown="0" headerRowDxfId="30" dataDxfId="28" headerRowBorderDxfId="29" headerRowCellStyle="超連結_19980719_aksel">
  <autoFilter ref="A4:H6020" xr:uid="{00000000-0009-0000-0100-00000A000000}"/>
  <sortState xmlns:xlrd2="http://schemas.microsoft.com/office/spreadsheetml/2017/richdata2" ref="A5:H6020">
    <sortCondition ref="A4:A6020"/>
  </sortState>
  <tableColumns count="8">
    <tableColumn id="1" xr3:uid="{00000000-0010-0000-0B00-000001000000}" name="No" dataDxfId="27"/>
    <tableColumn id="2" xr3:uid="{00000000-0010-0000-0B00-000002000000}" name="SURNAME Name PROVINCE" dataDxfId="26"/>
    <tableColumn id="3" xr3:uid="{00000000-0010-0000-0B00-000003000000}" name="Province" dataDxfId="25"/>
    <tableColumn id="11" xr3:uid="{00000000-0010-0000-0B00-00000B000000}" name="Age Group" dataDxfId="24">
      <calculatedColumnFormula>IF(Table10[[#This Row],[Current Age]]&gt;19,"Men's",IF(E5&gt;15,"U19",IF(E5&gt;13,"U15",IF(E5&gt;0,"U13",IF(E5&gt;0,"U11",0)))))</calculatedColumnFormula>
    </tableColumn>
    <tableColumn id="9" xr3:uid="{00000000-0010-0000-0B00-000009000000}" name="Current Age" dataDxfId="23">
      <calculatedColumnFormula>IFERROR(IF(Table10[[#This Row],[Year]]&gt;0,$E$1-Table10[[#This Row],[Year]],0),"")</calculatedColumnFormula>
    </tableColumn>
    <tableColumn id="4" xr3:uid="{00000000-0010-0000-0B00-000004000000}" name="Year" dataDxfId="22"/>
    <tableColumn id="7" xr3:uid="{00000000-0010-0000-0B00-000007000000}" name="Month" dataDxfId="21"/>
    <tableColumn id="8" xr3:uid="{00000000-0010-0000-0B00-000008000000}" name="Day" dataDxfId="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1" displayName="Table11" ref="A4:H3017" totalsRowShown="0" headerRowDxfId="12" dataDxfId="10" headerRowBorderDxfId="11" tableBorderDxfId="9" totalsRowBorderDxfId="8">
  <autoFilter ref="A4:H3017" xr:uid="{00000000-0009-0000-0100-00000B000000}"/>
  <sortState xmlns:xlrd2="http://schemas.microsoft.com/office/spreadsheetml/2017/richdata2" ref="A5:H3017">
    <sortCondition ref="A4:A3017"/>
  </sortState>
  <tableColumns count="8">
    <tableColumn id="1" xr3:uid="{00000000-0010-0000-0C00-000001000000}" name="No" dataDxfId="7"/>
    <tableColumn id="2" xr3:uid="{00000000-0010-0000-0C00-000002000000}" name="SURNAME &amp; Name" dataDxfId="6"/>
    <tableColumn id="3" xr3:uid="{00000000-0010-0000-0C00-000003000000}" name="Province" dataDxfId="5"/>
    <tableColumn id="10" xr3:uid="{00000000-0010-0000-0C00-00000A000000}" name="Age Group" dataDxfId="4">
      <calculatedColumnFormula>IF(Table11[[#This Row],[Current Age]]&gt;19,"Women's",IF(E5&gt;15,"U19",IF(E5&gt;13,"U15",IF(E5&gt;11,"U13",IF(E5&gt;0,"U11",0)))))</calculatedColumnFormula>
    </tableColumn>
    <tableColumn id="7" xr3:uid="{00000000-0010-0000-0C00-000007000000}" name="Current Age" dataDxfId="3">
      <calculatedColumnFormula>IFERROR(IF([8]!Table11[[#This Row],[Year]]&gt;0,$E$1-[8]!Table11[[#This Row],[Year]],0),"")</calculatedColumnFormula>
    </tableColumn>
    <tableColumn id="8" xr3:uid="{00000000-0010-0000-0C00-000008000000}" name="Year" dataDxfId="2"/>
    <tableColumn id="9" xr3:uid="{00000000-0010-0000-0C00-000009000000}" name="Month" dataDxfId="1"/>
    <tableColumn id="4" xr3:uid="{00000000-0010-0000-0C00-000004000000}" name="Day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AK1012" totalsRowShown="0" headerRowDxfId="502" dataDxfId="501">
  <autoFilter ref="A4:AK1012" xr:uid="{00000000-0009-0000-0100-000002000000}"/>
  <sortState xmlns:xlrd2="http://schemas.microsoft.com/office/spreadsheetml/2017/richdata2" ref="A5:AL1012">
    <sortCondition descending="1" ref="H4:H1012"/>
  </sortState>
  <tableColumns count="37">
    <tableColumn id="24" xr3:uid="{00000000-0010-0000-0100-000018000000}" name="Previous Rank" dataDxfId="500"/>
    <tableColumn id="30" xr3:uid="{00000000-0010-0000-0100-00001E000000}" name="Change in Rank" dataDxfId="499">
      <calculatedColumnFormula>+A5-C5</calculatedColumnFormula>
    </tableColumn>
    <tableColumn id="32" xr3:uid="{00000000-0010-0000-0100-000020000000}" name="Rank" dataDxfId="498"/>
    <tableColumn id="2" xr3:uid="{00000000-0010-0000-0100-000002000000}" name="Player No" dataDxfId="497"/>
    <tableColumn id="3" xr3:uid="{00000000-0010-0000-0100-000003000000}" name=" Surname, Name" dataDxfId="496">
      <calculatedColumnFormula>IFERROR(VLOOKUP(Table2[[#This Row],[Player No]],Table10[[No]:[Province]],2,0),"")</calculatedColumnFormula>
    </tableColumn>
    <tableColumn id="4" xr3:uid="{00000000-0010-0000-0100-000004000000}" name="Region" dataDxfId="495">
      <calculatedColumnFormula>IFERROR(VLOOKUP(Table2[[#This Row],[Player No]],Table10[[No]:[Province]],3,0),"")</calculatedColumnFormula>
    </tableColumn>
    <tableColumn id="68" xr3:uid="{00000000-0010-0000-0100-000044000000}" name="Points 2025" dataDxfId="494"/>
    <tableColumn id="18" xr3:uid="{00000000-0010-0000-0100-000012000000}" name="Points 2026" dataDxfId="493">
      <calculatedColumnFormula>(Table2[[#This Row],[Points 2025]]/2)+SUM(Table2[[#This Row],[O1  ADMIN 2026]:[P2    CAPE TOWN OPEN 2026 ]])</calculatedColumnFormula>
    </tableColumn>
    <tableColumn id="9" xr3:uid="{00000000-0010-0000-0100-000009000000}" name="Tournaments Played In" dataDxfId="492">
      <calculatedColumnFormula>COUNTIF(K5:N5,"&gt;0")</calculatedColumnFormula>
    </tableColumn>
    <tableColumn id="10" xr3:uid="{00000000-0010-0000-0100-00000A000000}" name="Total     No Shows" dataDxfId="491">
      <calculatedColumnFormula>COUNTIF(O5:AB5,"&lt;0")</calculatedColumnFormula>
    </tableColumn>
    <tableColumn id="17" xr3:uid="{00000000-0010-0000-0100-000011000000}" name="O1  ADMIN 2026" dataDxfId="490">
      <calculatedColumnFormula>IFERROR(VALUE(IF(Table2[[#This Row],[Player No]]="","",IFERROR(VLOOKUP(Table2[[#This Row],[Player No]],[3]Men!$D$2:$E$48,2,FALSE)&amp;"",""))),"")</calculatedColumnFormula>
    </tableColumn>
    <tableColumn id="21" xr3:uid="{00000000-0010-0000-0100-000015000000}" name="O1       GALAXY OPEN 2026" dataDxfId="489">
      <calculatedColumnFormula>IFERROR(VALUE(IF(Table2[[#This Row],[Player No]]="","",IFERROR(VLOOKUP(Table2[[#This Row],[Player No]],[4]Men!$Z$14:$AB$62,2,FALSE)&amp;"",""))),"")</calculatedColumnFormula>
    </tableColumn>
    <tableColumn id="23" xr3:uid="{00000000-0010-0000-0100-000017000000}" name="O1      TITANS OPEN 2026" dataDxfId="488">
      <calculatedColumnFormula>IF(Table2[[#This Row],[Player No]]="","",IFERROR(VLOOKUP(Table2[[#This Row],[Player No]],[2]Men!$Z$14:$AB$96,2,FALSE)&amp;"",""))</calculatedColumnFormula>
    </tableColumn>
    <tableColumn id="19" xr3:uid="{00000000-0010-0000-0100-000013000000}" name="P2    CAPE TOWN OPEN 2026 " dataDxfId="487"/>
    <tableColumn id="74" xr3:uid="{00000000-0010-0000-0100-00004A000000}" name="P1       UMG OPEN 2025" dataDxfId="486"/>
    <tableColumn id="7" xr3:uid="{00000000-0010-0000-0100-000007000000}" name="01       EDDELS  OPEN 2025" dataDxfId="485"/>
    <tableColumn id="12" xr3:uid="{00000000-0010-0000-0100-00000C000000}" name=" 01 GALAXY OPEN 2025" dataDxfId="484"/>
    <tableColumn id="13" xr3:uid="{00000000-0010-0000-0100-00000D000000}" name=" P2      ETTA OPEN 2025" dataDxfId="483"/>
    <tableColumn id="1" xr3:uid="{00000000-0010-0000-0100-000001000000}" name="01       TITANS OPEN 2025" dataDxfId="482"/>
    <tableColumn id="8" xr3:uid="{00000000-0010-0000-0100-000008000000}" name="P2      FSTTF OPEN 2025" dataDxfId="481"/>
    <tableColumn id="6" xr3:uid="{00000000-0010-0000-0100-000006000000}" name="01 CMCTTC      OPEN 2025" dataDxfId="480"/>
    <tableColumn id="16" xr3:uid="{00000000-0010-0000-0100-000010000000}" name="P1    NMB      OPEN 2025" dataDxfId="479"/>
    <tableColumn id="15" xr3:uid="{00000000-0010-0000-0100-00000F000000}" name="A1     NAT      SA   OPEN 2025" dataDxfId="478"/>
    <tableColumn id="5" xr3:uid="{00000000-0010-0000-0100-000005000000}" name="01       MTTC OPEN 2025" dataDxfId="477"/>
    <tableColumn id="14" xr3:uid="{00000000-0010-0000-0100-00000E000000}" name="P3       GNTTB OPEN 2025" dataDxfId="476"/>
    <tableColumn id="71" xr3:uid="{00000000-0010-0000-0100-000047000000}" name="P 2      JTTA   OPEN 2025" dataDxfId="475"/>
    <tableColumn id="11" xr3:uid="{00000000-0010-0000-0100-00000B000000}" name="01         EKU    OPEN 2025" dataDxfId="474"/>
    <tableColumn id="70" xr3:uid="{00000000-0010-0000-0100-000046000000}" name="P1      CAPE TOWN OPEN 2025 " dataDxfId="473"/>
    <tableColumn id="61" xr3:uid="{00000000-0010-0000-0100-00003D000000}" name="P1         KZN  Open   2024" dataDxfId="472"/>
    <tableColumn id="62" xr3:uid="{00000000-0010-0000-0100-00003E000000}" name="O1         KZN Eddels Open   2024" dataDxfId="471"/>
    <tableColumn id="63" xr3:uid="{00000000-0010-0000-0100-00003F000000}" name="P2           WC         CT Open 2024" dataDxfId="470"/>
    <tableColumn id="67" xr3:uid="{00000000-0010-0000-0100-000043000000}" name="P1           WC         Eden Open 2024" dataDxfId="469"/>
    <tableColumn id="73" xr3:uid="{00000000-0010-0000-0100-000049000000}" name="A1        NAT           SA  Open 2024" dataDxfId="468"/>
    <tableColumn id="72" xr3:uid="{00000000-0010-0000-0100-000048000000}" name="01                    Khelo/   Raiders Open 2024" dataDxfId="467"/>
    <tableColumn id="64" xr3:uid="{00000000-0010-0000-0100-000040000000}" name="P1        GAU_x000a_JTTA Open  2024" dataDxfId="466"/>
    <tableColumn id="65" xr3:uid="{00000000-0010-0000-0100-000041000000}" name="P2           GAU          Gau North Open             2024" dataDxfId="465"/>
    <tableColumn id="66" xr3:uid="{00000000-0010-0000-0100-000042000000}" name="O1        GAU_x000a_MTTC Open  2024" dataDxfId="4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4:AK275" totalsRowShown="0" headerRowDxfId="463" dataDxfId="462">
  <autoFilter ref="A4:AK275" xr:uid="{00000000-0009-0000-0100-000003000000}"/>
  <sortState xmlns:xlrd2="http://schemas.microsoft.com/office/spreadsheetml/2017/richdata2" ref="A5:AL273">
    <sortCondition descending="1" ref="H4:H273"/>
  </sortState>
  <tableColumns count="37">
    <tableColumn id="23" xr3:uid="{00000000-0010-0000-0200-000017000000}" name="Previous Rank" dataDxfId="461"/>
    <tableColumn id="14" xr3:uid="{00000000-0010-0000-0200-00000E000000}" name="Change in Rank" dataDxfId="460">
      <calculatedColumnFormula xml:space="preserve"> +A5-C5</calculatedColumnFormula>
    </tableColumn>
    <tableColumn id="29" xr3:uid="{00000000-0010-0000-0200-00001D000000}" name="Rank" dataDxfId="459"/>
    <tableColumn id="2" xr3:uid="{00000000-0010-0000-0200-000002000000}" name="Player No" dataDxfId="458"/>
    <tableColumn id="3" xr3:uid="{00000000-0010-0000-0200-000003000000}" name=" Surname, Name" dataDxfId="457"/>
    <tableColumn id="4" xr3:uid="{00000000-0010-0000-0200-000004000000}" name="Region" dataDxfId="456"/>
    <tableColumn id="1" xr3:uid="{00000000-0010-0000-0200-000001000000}" name="Points 2025" dataDxfId="455"/>
    <tableColumn id="24" xr3:uid="{00000000-0010-0000-0200-000018000000}" name="Points 2026" dataDxfId="454">
      <calculatedColumnFormula>(Table3[[#This Row],[Points 2025]]/2)+SUM(Table3[[#This Row],[O1  ADMIN 2026]:[P2      CAPE TOWN OPEN 2026 ]])</calculatedColumnFormula>
    </tableColumn>
    <tableColumn id="9" xr3:uid="{00000000-0010-0000-0200-000009000000}" name="Tournaments Played In" dataDxfId="453">
      <calculatedColumnFormula>COUNTIF(K5:N5,"&gt;0")</calculatedColumnFormula>
    </tableColumn>
    <tableColumn id="10" xr3:uid="{00000000-0010-0000-0200-00000A000000}" name="Total     No Shows" dataDxfId="452">
      <calculatedColumnFormula>COUNTIF(O5:AK5,"&lt;0")</calculatedColumnFormula>
    </tableColumn>
    <tableColumn id="25" xr3:uid="{00000000-0010-0000-0200-000019000000}" name="O1  ADMIN 2026" dataDxfId="451"/>
    <tableColumn id="28" xr3:uid="{00000000-0010-0000-0200-00001C000000}" name="O1       GALAXY OPEN 2026" dataDxfId="450"/>
    <tableColumn id="27" xr3:uid="{00000000-0010-0000-0200-00001B000000}" name="O1 TITANS OPEN 2026" dataDxfId="449"/>
    <tableColumn id="26" xr3:uid="{00000000-0010-0000-0200-00001A000000}" name="P2      CAPE TOWN OPEN 2026 " dataDxfId="448"/>
    <tableColumn id="7" xr3:uid="{00000000-0010-0000-0200-000007000000}" name="P1       UMG OPEN 2025" dataDxfId="447"/>
    <tableColumn id="13" xr3:uid="{00000000-0010-0000-0200-00000D000000}" name="01       EDDELS OPEN 2025" dataDxfId="446"/>
    <tableColumn id="16" xr3:uid="{00000000-0010-0000-0200-000010000000}" name=" 01 GALAXY OPEN 2025" dataDxfId="445"/>
    <tableColumn id="18" xr3:uid="{00000000-0010-0000-0200-000012000000}" name=" P2      ETTA OPEN 2025" dataDxfId="444"/>
    <tableColumn id="8" xr3:uid="{00000000-0010-0000-0200-000008000000}" name="01       TITANS OPEN 2025" dataDxfId="443"/>
    <tableColumn id="17" xr3:uid="{00000000-0010-0000-0200-000011000000}" name="P2       FSTTF OPEN 2025" dataDxfId="442"/>
    <tableColumn id="11" xr3:uid="{00000000-0010-0000-0200-00000B000000}" name="01       CMCTTC OPEN 2025" dataDxfId="441"/>
    <tableColumn id="22" xr3:uid="{00000000-0010-0000-0200-000016000000}" name="P1       NMB OPEN 2025" dataDxfId="440"/>
    <tableColumn id="21" xr3:uid="{00000000-0010-0000-0200-000015000000}" name="A1       NAT        SA OPEN 2025" dataDxfId="439"/>
    <tableColumn id="15" xr3:uid="{00000000-0010-0000-0200-00000F000000}" name="01       EKU   OPEN 2025" dataDxfId="438"/>
    <tableColumn id="6" xr3:uid="{00000000-0010-0000-0200-000006000000}" name="P2       JTTA   OPEN 2025" dataDxfId="437"/>
    <tableColumn id="20" xr3:uid="{00000000-0010-0000-0200-000014000000}" name="P3    GNTTB   OPEN 2025" dataDxfId="436"/>
    <tableColumn id="12" xr3:uid="{00000000-0010-0000-0200-00000C000000}" name="01     MTTC   OPEN 2025" dataDxfId="435"/>
    <tableColumn id="5" xr3:uid="{00000000-0010-0000-0200-000005000000}" name="P1      CAPE TOWN OPEN 2025 " dataDxfId="434"/>
    <tableColumn id="59" xr3:uid="{00000000-0010-0000-0200-00003B000000}" name="P1         KZN  Open   2024" dataDxfId="433"/>
    <tableColumn id="61" xr3:uid="{00000000-0010-0000-0200-00003D000000}" name="O1         KZN Eddels Open   2024" dataDxfId="432"/>
    <tableColumn id="62" xr3:uid="{00000000-0010-0000-0200-00003E000000}" name="P2           WC         CT Open 2024" dataDxfId="431"/>
    <tableColumn id="66" xr3:uid="{00000000-0010-0000-0200-000042000000}" name="P1           WC         Eden Open 2024" dataDxfId="430"/>
    <tableColumn id="69" xr3:uid="{00000000-0010-0000-0200-000045000000}" name="A1           NAT         SA Open 2024" dataDxfId="429"/>
    <tableColumn id="68" xr3:uid="{00000000-0010-0000-0200-000044000000}" name="O1           GAU         KHELO /RAIDERS 2024" dataDxfId="428"/>
    <tableColumn id="63" xr3:uid="{00000000-0010-0000-0200-00003F000000}" name="P1        GAU_x000a_JTTA Open  2024" dataDxfId="427"/>
    <tableColumn id="64" xr3:uid="{00000000-0010-0000-0200-000040000000}" name="P2           GAU          Gau North Open             2024" dataDxfId="426"/>
    <tableColumn id="65" xr3:uid="{00000000-0010-0000-0200-000041000000}" name="O1        GAU_x000a_MTTC Open  2024" dataDxfId="42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B4:AO352" totalsRowShown="0" headerRowDxfId="423" dataDxfId="422">
  <autoFilter ref="B4:AO352" xr:uid="{00000000-0009-0000-0100-000004000000}"/>
  <sortState xmlns:xlrd2="http://schemas.microsoft.com/office/spreadsheetml/2017/richdata2" ref="B5:AO352">
    <sortCondition descending="1" ref="J4:J352"/>
  </sortState>
  <tableColumns count="40">
    <tableColumn id="24" xr3:uid="{00000000-0010-0000-0300-000018000000}" name="Previous Rank" dataDxfId="421"/>
    <tableColumn id="28" xr3:uid="{00000000-0010-0000-0300-00001C000000}" name="Change in Rank" dataDxfId="420">
      <calculatedColumnFormula>+B5-D5</calculatedColumnFormula>
    </tableColumn>
    <tableColumn id="29" xr3:uid="{00000000-0010-0000-0300-00001D000000}" name="Rank " dataDxfId="419"/>
    <tableColumn id="2" xr3:uid="{00000000-0010-0000-0300-000002000000}" name="Player No" dataDxfId="418"/>
    <tableColumn id="3" xr3:uid="{00000000-0010-0000-0300-000003000000}" name=" Surname, Name" dataDxfId="417"/>
    <tableColumn id="4" xr3:uid="{00000000-0010-0000-0300-000004000000}" name="Region" dataDxfId="416"/>
    <tableColumn id="52" xr3:uid="{00000000-0010-0000-0300-000034000000}" name="Points 2024" dataDxfId="415"/>
    <tableColumn id="64" xr3:uid="{00000000-0010-0000-0300-000040000000}" name="Points 2025" dataDxfId="414"/>
    <tableColumn id="18" xr3:uid="{00000000-0010-0000-0300-000012000000}" name="Points 2026" dataDxfId="413">
      <calculatedColumnFormula>(Table4[[#This Row],[Points 2025]]/2)+SUM(Table4[[#This Row],[O1  ADMIN 2026]:[P2         WC    Open 2026]])</calculatedColumnFormula>
    </tableColumn>
    <tableColumn id="9" xr3:uid="{00000000-0010-0000-0300-000009000000}" name="Tournaments Played In" dataDxfId="412">
      <calculatedColumnFormula>COUNTIF(M5:P5,"&gt;0")</calculatedColumnFormula>
    </tableColumn>
    <tableColumn id="10" xr3:uid="{00000000-0010-0000-0300-00000A000000}" name="Total     No Shows" dataDxfId="411">
      <calculatedColumnFormula>COUNTIF(N5:AO5,"&lt;0")</calculatedColumnFormula>
    </tableColumn>
    <tableColumn id="23" xr3:uid="{00000000-0010-0000-0300-000017000000}" name="O1  ADMIN 2026" dataDxfId="410"/>
    <tableColumn id="22" xr3:uid="{00000000-0010-0000-0300-000016000000}" name="O1       GALAXY OPEN 2026" dataDxfId="409"/>
    <tableColumn id="21" xr3:uid="{00000000-0010-0000-0300-000015000000}" name="O1 TITANS Open 2026" dataDxfId="408">
      <calculatedColumnFormula>IFERROR(VALUE(IF(Table4[[#This Row],[Player No]]="","",IFERROR(VLOOKUP(Table4[[#This Row],[Player No]],'[2]U19 Boys'!$Z$14:$AB$63,2,FALSE)&amp;"",""))),"")</calculatedColumnFormula>
    </tableColumn>
    <tableColumn id="19" xr3:uid="{00000000-0010-0000-0300-000013000000}" name="P2         WC    Open 2026" dataDxfId="407"/>
    <tableColumn id="67" xr3:uid="{00000000-0010-0000-0300-000043000000}" name="P1         UMG  Open   2025" dataDxfId="406"/>
    <tableColumn id="6" xr3:uid="{00000000-0010-0000-0300-000006000000}" name="01         EDELLS  Open   2025" dataDxfId="405"/>
    <tableColumn id="13" xr3:uid="{00000000-0010-0000-0300-00000D000000}" name="01         GALAXY  Open   2025" dataDxfId="404"/>
    <tableColumn id="14" xr3:uid="{00000000-0010-0000-0300-00000E000000}" name="P2         ETTA   Open   2025" dataDxfId="403"/>
    <tableColumn id="1" xr3:uid="{00000000-0010-0000-0300-000001000000}" name="O1         TITANS   Open   2025" dataDxfId="402"/>
    <tableColumn id="11" xr3:uid="{00000000-0010-0000-0300-00000B000000}" name="P2         FSTTF   Open   2025" dataDxfId="401"/>
    <tableColumn id="5" xr3:uid="{00000000-0010-0000-0300-000005000000}" name="O1         CMCTTC   Open   2025" dataDxfId="400"/>
    <tableColumn id="16" xr3:uid="{00000000-0010-0000-0300-000010000000}" name="A1       NAT      SA Open   2025" dataDxfId="399"/>
    <tableColumn id="17" xr3:uid="{00000000-0010-0000-0300-000011000000}" name="P1       NMB      Open   2025" dataDxfId="398"/>
    <tableColumn id="8" xr3:uid="{00000000-0010-0000-0300-000008000000}" name="O1         EKU   Open   2025" dataDxfId="397"/>
    <tableColumn id="7" xr3:uid="{00000000-0010-0000-0300-000007000000}" name="O1         MTTC   Open   2025" dataDxfId="396"/>
    <tableColumn id="15" xr3:uid="{00000000-0010-0000-0300-00000F000000}" name="P3         GNTTB  Open   2025" dataDxfId="395"/>
    <tableColumn id="66" xr3:uid="{00000000-0010-0000-0300-000042000000}" name="P2        GAU_x000a_JTTA Open  2025" dataDxfId="394"/>
    <tableColumn id="12" xr3:uid="{00000000-0010-0000-0300-00000C000000}" name="O1          SP SAINTS_x000a_ Open  2025" dataDxfId="393"/>
    <tableColumn id="65" xr3:uid="{00000000-0010-0000-0300-000041000000}" name="P1          WC         CT Open 2025" dataDxfId="392"/>
    <tableColumn id="20" xr3:uid="{00000000-0010-0000-0300-000014000000}" name="P1         KZN  Open   2024" dataDxfId="391"/>
    <tableColumn id="53" xr3:uid="{00000000-0010-0000-0300-000035000000}" name="O1         KZN Eddels Open   2024" dataDxfId="390"/>
    <tableColumn id="56" xr3:uid="{00000000-0010-0000-0300-000038000000}" name="P2           WC         CT Open 2024" dataDxfId="389"/>
    <tableColumn id="60" xr3:uid="{00000000-0010-0000-0300-00003C000000}" name="P1           WC         Eden Open 2024" dataDxfId="388"/>
    <tableColumn id="62" xr3:uid="{00000000-0010-0000-0300-00003E000000}" name="A1           NAT         SA Open       2024" dataDxfId="387"/>
    <tableColumn id="61" xr3:uid="{00000000-0010-0000-0300-00003D000000}" name="O1        GAU_x000a_Maccabi Open  2024" dataDxfId="386"/>
    <tableColumn id="63" xr3:uid="{00000000-0010-0000-0300-00003F000000}" name="O1        KHELO / RAIDERS_x000a_ Open  2024" dataDxfId="385"/>
    <tableColumn id="57" xr3:uid="{00000000-0010-0000-0300-000039000000}" name="P1        GAU_x000a_JTTA Open  2024" dataDxfId="384"/>
    <tableColumn id="58" xr3:uid="{00000000-0010-0000-0300-00003A000000}" name="P2           GAU          Gau North Open             2024" dataDxfId="383"/>
    <tableColumn id="59" xr3:uid="{00000000-0010-0000-0300-00003B000000}" name="O1        GAU_x000a_MTTC Open  2024" dataDxfId="38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4:AN187" totalsRowShown="0" headerRowDxfId="379" dataDxfId="378">
  <autoFilter ref="A4:AN187" xr:uid="{00000000-0009-0000-0100-000005000000}"/>
  <sortState xmlns:xlrd2="http://schemas.microsoft.com/office/spreadsheetml/2017/richdata2" ref="A5:AN187">
    <sortCondition descending="1" ref="J4:J187"/>
  </sortState>
  <tableColumns count="40">
    <tableColumn id="1" xr3:uid="{00000000-0010-0000-0400-000001000000}" name="Age Group Check" dataDxfId="377"/>
    <tableColumn id="26" xr3:uid="{00000000-0010-0000-0400-00001A000000}" name="Previous Rank" dataDxfId="376"/>
    <tableColumn id="28" xr3:uid="{00000000-0010-0000-0400-00001C000000}" name="Change in Rank" dataDxfId="375">
      <calculatedColumnFormula>+B5-D5</calculatedColumnFormula>
    </tableColumn>
    <tableColumn id="5" xr3:uid="{00000000-0010-0000-0400-000005000000}" name="Rank" dataDxfId="374"/>
    <tableColumn id="2" xr3:uid="{00000000-0010-0000-0400-000002000000}" name="Player No" dataDxfId="373"/>
    <tableColumn id="3" xr3:uid="{00000000-0010-0000-0400-000003000000}" name=" Surname, Name" dataDxfId="372"/>
    <tableColumn id="4" xr3:uid="{00000000-0010-0000-0400-000004000000}" name="Region" dataDxfId="371"/>
    <tableColumn id="18" xr3:uid="{00000000-0010-0000-0400-000012000000}" name="Points 2024" dataDxfId="370">
      <calculatedColumnFormula>+#REF!/2+SUM(Table5[[#This Row],[P1         KZN  Open   2024]:[O1        GAU
MTTC Open  2024]])</calculatedColumnFormula>
    </tableColumn>
    <tableColumn id="79" xr3:uid="{00000000-0010-0000-0400-00004F000000}" name="Points 2025" dataDxfId="369"/>
    <tableColumn id="23" xr3:uid="{00000000-0010-0000-0400-000017000000}" name="Points 2026" dataDxfId="368">
      <calculatedColumnFormula>Table5[[#This Row],[Points 2025]]/2+SUM(Table5[[#This Row],[O1  ADMIN 2026]:[P2           WC         CT Open 2026]])</calculatedColumnFormula>
    </tableColumn>
    <tableColumn id="9" xr3:uid="{00000000-0010-0000-0400-000009000000}" name="Tournaments Played In" dataDxfId="367">
      <calculatedColumnFormula>COUNTIF(M5:P5,"&gt;0")</calculatedColumnFormula>
    </tableColumn>
    <tableColumn id="10" xr3:uid="{00000000-0010-0000-0400-00000A000000}" name="Total     No Shows" dataDxfId="366">
      <calculatedColumnFormula>COUNTIF(N5:AN5,"&lt;0")</calculatedColumnFormula>
    </tableColumn>
    <tableColumn id="24" xr3:uid="{00000000-0010-0000-0400-000018000000}" name="O1  ADMIN 2026" dataDxfId="365"/>
    <tableColumn id="22" xr3:uid="{00000000-0010-0000-0400-000016000000}" name="O1       GALAXY OPEN 2026" dataDxfId="364"/>
    <tableColumn id="21" xr3:uid="{00000000-0010-0000-0400-000015000000}" name="O1 TITANS Open 2026" dataDxfId="363"/>
    <tableColumn id="20" xr3:uid="{00000000-0010-0000-0400-000014000000}" name="P2           WC         CT Open 2026" dataDxfId="362"/>
    <tableColumn id="82" xr3:uid="{00000000-0010-0000-0400-000052000000}" name="P1         UMG  Open   2025" dataDxfId="361"/>
    <tableColumn id="8" xr3:uid="{00000000-0010-0000-0400-000008000000}" name="01         EDDELS  Open   2025" dataDxfId="360"/>
    <tableColumn id="14" xr3:uid="{00000000-0010-0000-0400-00000E000000}" name="01    GALAXY        Open   2025" dataDxfId="359"/>
    <tableColumn id="15" xr3:uid="{00000000-0010-0000-0400-00000F000000}" name="P2      ETTA        Open   2025" dataDxfId="358"/>
    <tableColumn id="6" xr3:uid="{00000000-0010-0000-0400-000006000000}" name="01         TITANS  Open   2025" dataDxfId="357"/>
    <tableColumn id="7" xr3:uid="{00000000-0010-0000-0400-000007000000}" name="01        JOBURG OPEN     2025" dataDxfId="356"/>
    <tableColumn id="16" xr3:uid="{00000000-0010-0000-0400-000010000000}" name="P3         GNTTB OPEN     2025" dataDxfId="355"/>
    <tableColumn id="11" xr3:uid="{00000000-0010-0000-0400-00000B000000}" name="01     MTTC OPEN     2025" dataDxfId="354"/>
    <tableColumn id="19" xr3:uid="{00000000-0010-0000-0400-000013000000}" name="P1      NMB OPEN     2025" dataDxfId="353"/>
    <tableColumn id="17" xr3:uid="{00000000-0010-0000-0400-000011000000}" name="A1       NAT       SA    OPEN     2025" dataDxfId="352"/>
    <tableColumn id="13" xr3:uid="{00000000-0010-0000-0400-00000D000000}" name="P2     FSTTF OPEN     2025" dataDxfId="351"/>
    <tableColumn id="81" xr3:uid="{00000000-0010-0000-0400-000051000000}" name="01        MCTTC_x000a_ Open  2025" dataDxfId="350"/>
    <tableColumn id="12" xr3:uid="{00000000-0010-0000-0400-00000C000000}" name="01           SP SAINTS_x000a_ Open  2025" dataDxfId="349"/>
    <tableColumn id="80" xr3:uid="{00000000-0010-0000-0400-000050000000}" name="P1           WC         CT Open 20252" dataDxfId="348"/>
    <tableColumn id="56" xr3:uid="{00000000-0010-0000-0400-000038000000}" name="P1         KZN  Open   2024" dataDxfId="347"/>
    <tableColumn id="59" xr3:uid="{00000000-0010-0000-0400-00003B000000}" name="O1         KZN Eddels Open   2024" dataDxfId="346"/>
    <tableColumn id="60" xr3:uid="{00000000-0010-0000-0400-00003C000000}" name="P2           WC         CT Open 2024" dataDxfId="345"/>
    <tableColumn id="64" xr3:uid="{00000000-0010-0000-0400-000040000000}" name="P1           WC         Eden Open 2024" dataDxfId="344"/>
    <tableColumn id="67" xr3:uid="{00000000-0010-0000-0400-000043000000}" name="A1_x000a_NAT_x000a_SA Open_x000a_2024" dataDxfId="343"/>
    <tableColumn id="65" xr3:uid="{00000000-0010-0000-0400-000041000000}" name="O1        GAU_x000a_Maccabi Open  2024" dataDxfId="342"/>
    <tableColumn id="66" xr3:uid="{00000000-0010-0000-0400-000042000000}" name="O1        GAU  KHELO/ RAIDERS OPEN 2024" dataDxfId="341"/>
    <tableColumn id="61" xr3:uid="{00000000-0010-0000-0400-00003D000000}" name="P1        GAU_x000a_JTTA Open  2024" dataDxfId="340"/>
    <tableColumn id="62" xr3:uid="{00000000-0010-0000-0400-00003E000000}" name="P2           GAU          Gau North Open             2024" dataDxfId="339"/>
    <tableColumn id="63" xr3:uid="{00000000-0010-0000-0400-00003F000000}" name="O1        GAU_x000a_MTTC Open  2024" dataDxfId="338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4:AO345" totalsRowShown="0" headerRowDxfId="336" dataDxfId="334" headerRowBorderDxfId="335">
  <autoFilter ref="A4:AO345" xr:uid="{00000000-0009-0000-0100-000006000000}"/>
  <sortState xmlns:xlrd2="http://schemas.microsoft.com/office/spreadsheetml/2017/richdata2" ref="A5:AO345">
    <sortCondition descending="1" ref="J4:J345"/>
  </sortState>
  <tableColumns count="41">
    <tableColumn id="1" xr3:uid="{00000000-0010-0000-0500-000001000000}" name="Age Group Check" dataDxfId="333" totalsRowDxfId="332"/>
    <tableColumn id="30" xr3:uid="{00000000-0010-0000-0500-00001E000000}" name="Previous Rank" dataDxfId="331"/>
    <tableColumn id="33" xr3:uid="{00000000-0010-0000-0500-000021000000}" name="Change in Rank" dataDxfId="330">
      <calculatedColumnFormula>+B5-D5</calculatedColumnFormula>
    </tableColumn>
    <tableColumn id="6" xr3:uid="{00000000-0010-0000-0500-000006000000}" name="Rank" dataDxfId="329"/>
    <tableColumn id="2" xr3:uid="{00000000-0010-0000-0500-000002000000}" name="Player No" dataDxfId="328" totalsRowDxfId="327"/>
    <tableColumn id="3" xr3:uid="{00000000-0010-0000-0500-000003000000}" name=" Surname, Name" dataDxfId="326" totalsRowDxfId="325"/>
    <tableColumn id="4" xr3:uid="{00000000-0010-0000-0500-000004000000}" name="Region" dataDxfId="324" totalsRowDxfId="323"/>
    <tableColumn id="25" xr3:uid="{00000000-0010-0000-0500-000019000000}" name="Points 2024" dataDxfId="322" totalsRowDxfId="321">
      <calculatedColumnFormula>+#REF!/2+SUM(Table6[[#This Row],[P1           KZN  Open   2024]:[O1        GAU
MTTC Open  2024]])</calculatedColumnFormula>
    </tableColumn>
    <tableColumn id="26" xr3:uid="{00000000-0010-0000-0500-00001A000000}" name="Points 2025" dataDxfId="320" totalsRowDxfId="319"/>
    <tableColumn id="21" xr3:uid="{00000000-0010-0000-0500-000015000000}" name="Points 2026" dataDxfId="318">
      <calculatedColumnFormula>Table6[[#This Row],[Points 2025]]/2+SUM(Table6[[#This Row],[O1  ADMIN 2026]:[P2                           CT Open    2026]])</calculatedColumnFormula>
    </tableColumn>
    <tableColumn id="9" xr3:uid="{00000000-0010-0000-0500-000009000000}" name="Tournaments Played In" dataDxfId="317" totalsRowDxfId="316">
      <calculatedColumnFormula>COUNTIF(M5:P5,"&gt;0")</calculatedColumnFormula>
    </tableColumn>
    <tableColumn id="10" xr3:uid="{00000000-0010-0000-0500-00000A000000}" name="Total     No Shows" dataDxfId="315" totalsRowDxfId="314">
      <calculatedColumnFormula>COUNTIF(Q5:AE5,"&lt;0")</calculatedColumnFormula>
    </tableColumn>
    <tableColumn id="27" xr3:uid="{00000000-0010-0000-0500-00001B000000}" name="O1  ADMIN 2026" dataDxfId="313" totalsRowDxfId="312"/>
    <tableColumn id="24" xr3:uid="{00000000-0010-0000-0500-000018000000}" name="O1       GALAXY OPEN 2026" dataDxfId="311" totalsRowDxfId="310"/>
    <tableColumn id="23" xr3:uid="{00000000-0010-0000-0500-000017000000}" name="O1 TITANS Open 2026" dataDxfId="309" totalsRowDxfId="308"/>
    <tableColumn id="22" xr3:uid="{00000000-0010-0000-0500-000016000000}" name="P2                           CT Open    2026" dataDxfId="307" totalsRowDxfId="306"/>
    <tableColumn id="60" xr3:uid="{00000000-0010-0000-0500-00003C000000}" name="P1           UMG  Open   2025" dataDxfId="305"/>
    <tableColumn id="8" xr3:uid="{00000000-0010-0000-0500-000008000000}" name="01          EDDELS  Open   2025" dataDxfId="304" totalsRowDxfId="303"/>
    <tableColumn id="16" xr3:uid="{00000000-0010-0000-0500-000010000000}" name="01       GALAXY  Open   2025" dataDxfId="302"/>
    <tableColumn id="17" xr3:uid="{00000000-0010-0000-0500-000011000000}" name="01          ETTA    Open     2025" dataDxfId="301"/>
    <tableColumn id="5" xr3:uid="{00000000-0010-0000-0500-000005000000}" name="01           TITANS  Open   2025" dataDxfId="300"/>
    <tableColumn id="14" xr3:uid="{00000000-0010-0000-0500-00000E000000}" name="P2           FSTTF  Open    2025" dataDxfId="299"/>
    <tableColumn id="7" xr3:uid="{00000000-0010-0000-0500-000007000000}" name="01     CMCTTC       Open     2025" dataDxfId="298"/>
    <tableColumn id="20" xr3:uid="{00000000-0010-0000-0500-000014000000}" name="P1          NMB       Open     2025" dataDxfId="297"/>
    <tableColumn id="11" xr3:uid="{00000000-0010-0000-0500-00000B000000}" name="01            EKU       Open     2025" dataDxfId="296"/>
    <tableColumn id="19" xr3:uid="{00000000-0010-0000-0500-000013000000}" name="A1           NAT           SA Open     2025" dataDxfId="295"/>
    <tableColumn id="12" xr3:uid="{00000000-0010-0000-0500-00000C000000}" name="O1     MCTTC       Open     2025" dataDxfId="294"/>
    <tableColumn id="18" xr3:uid="{00000000-0010-0000-0500-000012000000}" name="P3      GNTTB       Open     2025" dataDxfId="293"/>
    <tableColumn id="58" xr3:uid="{00000000-0010-0000-0500-00003A000000}" name="P2        _x000a_JTTA  Open  2025" dataDxfId="292"/>
    <tableColumn id="15" xr3:uid="{00000000-0010-0000-0500-00000F000000}" name="01      _x000a_SP SAINTS  Open    2025" dataDxfId="291"/>
    <tableColumn id="13" xr3:uid="{00000000-0010-0000-0500-00000D000000}" name="P1               WC             CT Open    2025" dataDxfId="290"/>
    <tableColumn id="46" xr3:uid="{00000000-0010-0000-0500-00002E000000}" name="P1           KZN  Open   2024" dataDxfId="289" totalsRowDxfId="288"/>
    <tableColumn id="47" xr3:uid="{00000000-0010-0000-0500-00002F000000}" name="O1             KZN Eddels Open   2024" dataDxfId="287" totalsRowDxfId="286"/>
    <tableColumn id="49" xr3:uid="{00000000-0010-0000-0500-000031000000}" name="P2                  WC         CT Open 2024" dataDxfId="285" totalsRowDxfId="284"/>
    <tableColumn id="53" xr3:uid="{00000000-0010-0000-0500-000035000000}" name="P1           WC         Eden Open 2024" dataDxfId="283" totalsRowDxfId="282"/>
    <tableColumn id="55" xr3:uid="{00000000-0010-0000-0500-000037000000}" name="A1_x000a_NAT_x000a_SA Open_x000a_2024" dataDxfId="281" totalsRowDxfId="280"/>
    <tableColumn id="56" xr3:uid="{00000000-0010-0000-0500-000038000000}" name="O1_x000a_KHELO / RAIDERS_x000a_Open_x000a_2024" dataDxfId="279" totalsRowDxfId="278"/>
    <tableColumn id="54" xr3:uid="{00000000-0010-0000-0500-000036000000}" name="O1        GAU_x000a_Maccabi Open  2024" dataDxfId="277" totalsRowDxfId="276"/>
    <tableColumn id="50" xr3:uid="{00000000-0010-0000-0500-000032000000}" name="P1        GAU_x000a_JTTA  Open  2024" dataDxfId="275" totalsRowDxfId="274"/>
    <tableColumn id="51" xr3:uid="{00000000-0010-0000-0500-000033000000}" name="P2           GAU          Gau North Open             2024" dataDxfId="273" totalsRowDxfId="272"/>
    <tableColumn id="52" xr3:uid="{00000000-0010-0000-0500-000034000000}" name="O1        GAU_x000a_MTTC Open  2024" dataDxfId="271" totalsRowDxfId="27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4:AN193" totalsRowShown="0" headerRowDxfId="268" dataDxfId="267">
  <autoFilter ref="A4:AN193" xr:uid="{00000000-0009-0000-0100-000007000000}"/>
  <sortState xmlns:xlrd2="http://schemas.microsoft.com/office/spreadsheetml/2017/richdata2" ref="A5:AN193">
    <sortCondition descending="1" ref="J4:J193"/>
  </sortState>
  <tableColumns count="40">
    <tableColumn id="1" xr3:uid="{00000000-0010-0000-0600-000001000000}" name="Age Group Check" dataDxfId="266"/>
    <tableColumn id="26" xr3:uid="{00000000-0010-0000-0600-00001A000000}" name="Previous Rank" dataDxfId="265">
      <calculatedColumnFormula>VLOOKUP(Table7[[#This Row],[Player No]],'[7]u15 girls'!$E$5:$F$68,2,0)</calculatedColumnFormula>
    </tableColumn>
    <tableColumn id="28" xr3:uid="{00000000-0010-0000-0600-00001C000000}" name="Change in Rank" dataDxfId="264">
      <calculatedColumnFormula>+B5-D5</calculatedColumnFormula>
    </tableColumn>
    <tableColumn id="7" xr3:uid="{00000000-0010-0000-0600-000007000000}" name="Rank" dataDxfId="263"/>
    <tableColumn id="2" xr3:uid="{00000000-0010-0000-0600-000002000000}" name="Player No" dataDxfId="262"/>
    <tableColumn id="3" xr3:uid="{00000000-0010-0000-0600-000003000000}" name=" Surname, Name" dataDxfId="261">
      <calculatedColumnFormula>IFERROR(VLOOKUP(Table7[[#This Row],[Player No]],Table11[[No]:[Province]],2,0),"")</calculatedColumnFormula>
    </tableColumn>
    <tableColumn id="4" xr3:uid="{00000000-0010-0000-0600-000004000000}" name="Region" dataDxfId="260">
      <calculatedColumnFormula>IFERROR(VLOOKUP(Table7[[#This Row],[Player No]],Table11[[No]:[Province]],3,0),"")</calculatedColumnFormula>
    </tableColumn>
    <tableColumn id="19" xr3:uid="{00000000-0010-0000-0600-000013000000}" name="Points 2024" dataDxfId="259"/>
    <tableColumn id="53" xr3:uid="{00000000-0010-0000-0600-000035000000}" name="Points 2025" dataDxfId="258"/>
    <tableColumn id="24" xr3:uid="{00000000-0010-0000-0600-000018000000}" name="Points 2026" dataDxfId="257">
      <calculatedColumnFormula>Table7[[#This Row],[Points 2025]]/2+SUM(Table7[[#This Row],[O1  ADMIN 2026]:[P2           WC         CT Open 2026]])</calculatedColumnFormula>
    </tableColumn>
    <tableColumn id="9" xr3:uid="{00000000-0010-0000-0600-000009000000}" name="Tournaments Played In" dataDxfId="256">
      <calculatedColumnFormula>COUNTIF(M5:P5,"&gt;0")</calculatedColumnFormula>
    </tableColumn>
    <tableColumn id="10" xr3:uid="{00000000-0010-0000-0600-00000A000000}" name="Total                          No Shows" dataDxfId="255">
      <calculatedColumnFormula>COUNTIF(N5:AN5,"&lt;0")</calculatedColumnFormula>
    </tableColumn>
    <tableColumn id="25" xr3:uid="{00000000-0010-0000-0600-000019000000}" name="O1  ADMIN 2026" dataDxfId="254"/>
    <tableColumn id="23" xr3:uid="{00000000-0010-0000-0600-000017000000}" name="O1       GALAXY OPEN 2026" dataDxfId="253"/>
    <tableColumn id="22" xr3:uid="{00000000-0010-0000-0600-000016000000}" name="O1 TITANS Open 2026" dataDxfId="252"/>
    <tableColumn id="21" xr3:uid="{00000000-0010-0000-0600-000015000000}" name="P2           WC         CT Open 2026" dataDxfId="251"/>
    <tableColumn id="56" xr3:uid="{00000000-0010-0000-0600-000038000000}" name="P1         UMG Open   2025" dataDxfId="250"/>
    <tableColumn id="8" xr3:uid="{00000000-0010-0000-0600-000008000000}" name="01         EDDELS  Open   2025" dataDxfId="249"/>
    <tableColumn id="16" xr3:uid="{00000000-0010-0000-0600-000010000000}" name="01         GALAXY  Open   2025" dataDxfId="248"/>
    <tableColumn id="17" xr3:uid="{00000000-0010-0000-0600-000011000000}" name="P2         ETTA  Open   2025" dataDxfId="247"/>
    <tableColumn id="5" xr3:uid="{00000000-0010-0000-0600-000005000000}" name="01          TITANS Open   2025" dataDxfId="246"/>
    <tableColumn id="14" xr3:uid="{00000000-0010-0000-0600-00000E000000}" name="P2          FSTTF Open   2025" dataDxfId="245"/>
    <tableColumn id="6" xr3:uid="{00000000-0010-0000-0600-000006000000}" name="01         CMCTTC Open   2025" dataDxfId="244"/>
    <tableColumn id="20" xr3:uid="{00000000-0010-0000-0600-000014000000}" name="A1         NAT       SA Open   2025" dataDxfId="243"/>
    <tableColumn id="13" xr3:uid="{00000000-0010-0000-0600-00000D000000}" name="01           SP SAINTS Open   2025" dataDxfId="242"/>
    <tableColumn id="55" xr3:uid="{00000000-0010-0000-0600-000037000000}" name="P1           WC         CT Open 20252" dataDxfId="241"/>
    <tableColumn id="12" xr3:uid="{00000000-0010-0000-0600-00000C000000}" name="O1           EKU         Open 2025" dataDxfId="240"/>
    <tableColumn id="11" xr3:uid="{00000000-0010-0000-0600-00000B000000}" name="01           MTTC          Open 2025" dataDxfId="239"/>
    <tableColumn id="18" xr3:uid="{00000000-0010-0000-0600-000012000000}" name="P3           GNTTB          Open 2025" dataDxfId="238"/>
    <tableColumn id="54" xr3:uid="{00000000-0010-0000-0600-000036000000}" name="P2        GAU_x000a_JTTA Open  2025" dataDxfId="237"/>
    <tableColumn id="44" xr3:uid="{00000000-0010-0000-0600-00002C000000}" name="P1         KZN  Open   2024" dataDxfId="236"/>
    <tableColumn id="45" xr3:uid="{00000000-0010-0000-0600-00002D000000}" name="O1         KZN Eddels Open   2024" dataDxfId="235"/>
    <tableColumn id="46" xr3:uid="{00000000-0010-0000-0600-00002E000000}" name="P2           WC         CT Open 2024" dataDxfId="234"/>
    <tableColumn id="50" xr3:uid="{00000000-0010-0000-0600-000032000000}" name="P1           WC         Eden Open 2024" dataDxfId="233"/>
    <tableColumn id="52" xr3:uid="{00000000-0010-0000-0600-000034000000}" name="A1_x000a_NAT_x000a_SA Open_x000a_2024" dataDxfId="232"/>
    <tableColumn id="51" xr3:uid="{00000000-0010-0000-0600-000033000000}" name="O1           GAU         Maccabi Open 2024" dataDxfId="231"/>
    <tableColumn id="15" xr3:uid="{00000000-0010-0000-0600-00000F000000}" name="O1           GAU         KHELO/ RAIDERS Open 2024" dataDxfId="230"/>
    <tableColumn id="47" xr3:uid="{00000000-0010-0000-0600-00002F000000}" name="P1        GAU_x000a_JTTA Open  2024" dataDxfId="229"/>
    <tableColumn id="48" xr3:uid="{00000000-0010-0000-0600-000030000000}" name="P2           GAU          Gau North Open             2024" dataDxfId="228"/>
    <tableColumn id="49" xr3:uid="{00000000-0010-0000-0600-000031000000}" name="O1        GAU_x000a_MTTC Open  2024" dataDxfId="227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4:AM281" totalsRowShown="0" headerRowDxfId="226" dataDxfId="225" totalsRowDxfId="224">
  <autoFilter ref="A4:AM281" xr:uid="{00000000-0009-0000-0100-000008000000}"/>
  <sortState xmlns:xlrd2="http://schemas.microsoft.com/office/spreadsheetml/2017/richdata2" ref="A5:AN281">
    <sortCondition descending="1" ref="I4:I281"/>
  </sortState>
  <tableColumns count="39">
    <tableColumn id="1" xr3:uid="{00000000-0010-0000-0700-000001000000}" name="Age Group Check" dataDxfId="223" totalsRowDxfId="222"/>
    <tableColumn id="24" xr3:uid="{00000000-0010-0000-0700-000018000000}" name="Previous Rank" dataDxfId="221"/>
    <tableColumn id="27" xr3:uid="{00000000-0010-0000-0700-00001B000000}" name="Change in Rank" dataDxfId="220">
      <calculatedColumnFormula>+B5-D5</calculatedColumnFormula>
    </tableColumn>
    <tableColumn id="7" xr3:uid="{00000000-0010-0000-0700-000007000000}" name="Rank" dataDxfId="219"/>
    <tableColumn id="2" xr3:uid="{00000000-0010-0000-0700-000002000000}" name="Player No" dataDxfId="218" totalsRowDxfId="217"/>
    <tableColumn id="3" xr3:uid="{00000000-0010-0000-0700-000003000000}" name=" Surname, Name" dataDxfId="216" totalsRowDxfId="215">
      <calculatedColumnFormula>IFERROR(VLOOKUP(Table8[[#This Row],[Player No]],Table10[[No]:[Province]],2,0),"")</calculatedColumnFormula>
    </tableColumn>
    <tableColumn id="4" xr3:uid="{00000000-0010-0000-0700-000004000000}" name="Region " dataDxfId="214" totalsRowDxfId="213">
      <calculatedColumnFormula>IFERROR(VLOOKUP(Table8[[#This Row],[Player No]],Table10[[No]:[Province]],3,0),"")</calculatedColumnFormula>
    </tableColumn>
    <tableColumn id="58" xr3:uid="{00000000-0010-0000-0700-00003A000000}" name="Points 2025" dataDxfId="212" totalsRowDxfId="211">
      <calculatedColumnFormula>+#REF!/2+SUM(Table8[[#This Row],[P1         UMG  Open   2025]:[P1        GAU
JTTA Open  2025]])</calculatedColumnFormula>
    </tableColumn>
    <tableColumn id="21" xr3:uid="{00000000-0010-0000-0700-000015000000}" name="Points 2026" dataDxfId="210" totalsRowDxfId="209">
      <calculatedColumnFormula>Table8[[#This Row],[Points 2025]]/2+SUM(Table8[[#This Row],[O1  ADMIN 2026]:[P2           WC           CT Open   2026]])</calculatedColumnFormula>
    </tableColumn>
    <tableColumn id="9" xr3:uid="{00000000-0010-0000-0700-000009000000}" name="Tournaments Played In" dataDxfId="208" totalsRowDxfId="207">
      <calculatedColumnFormula>COUNTIF(L5:O5,"&gt;0")</calculatedColumnFormula>
    </tableColumn>
    <tableColumn id="10" xr3:uid="{00000000-0010-0000-0700-00000A000000}" name="Total     No Shows" dataDxfId="206" totalsRowDxfId="205">
      <calculatedColumnFormula>COUNTIF(M5:AM5,"&lt;0")</calculatedColumnFormula>
    </tableColumn>
    <tableColumn id="20" xr3:uid="{00000000-0010-0000-0700-000014000000}" name="O1  ADMIN 2026" dataDxfId="204" totalsRowDxfId="203"/>
    <tableColumn id="25" xr3:uid="{00000000-0010-0000-0700-000019000000}" name="O1       GALAXY OPEN 2026" dataDxfId="202" totalsRowDxfId="201"/>
    <tableColumn id="23" xr3:uid="{00000000-0010-0000-0700-000017000000}" name="O1 TITANS Open 2026" dataDxfId="200" totalsRowDxfId="199"/>
    <tableColumn id="22" xr3:uid="{00000000-0010-0000-0700-000016000000}" name="P2           WC           CT Open   2026" dataDxfId="198" totalsRowDxfId="197"/>
    <tableColumn id="61" xr3:uid="{00000000-0010-0000-0700-00003D000000}" name="P1         UMG  Open   2025" dataDxfId="196"/>
    <tableColumn id="8" xr3:uid="{00000000-0010-0000-0700-000008000000}" name="01         EDDELS  Open   2025" dataDxfId="195" totalsRowDxfId="194"/>
    <tableColumn id="14" xr3:uid="{00000000-0010-0000-0700-00000E000000}" name="01       GALAXY  Open   2025" dataDxfId="193"/>
    <tableColumn id="16" xr3:uid="{00000000-0010-0000-0700-000010000000}" name="01       ETTA  Open   2025" dataDxfId="192"/>
    <tableColumn id="5" xr3:uid="{00000000-0010-0000-0700-000005000000}" name="01         TITANS  Open   2025" dataDxfId="191" totalsRowDxfId="190"/>
    <tableColumn id="13" xr3:uid="{00000000-0010-0000-0700-00000D000000}" name="P2         FSTTF  Open   2025" dataDxfId="189"/>
    <tableColumn id="6" xr3:uid="{00000000-0010-0000-0700-000006000000}" name="01   CMCTTC        Open   2025" dataDxfId="188" totalsRowDxfId="187"/>
    <tableColumn id="12" xr3:uid="{00000000-0010-0000-0700-00000C000000}" name="01  SP SAINTS        Open   2025" dataDxfId="186"/>
    <tableColumn id="60" xr3:uid="{00000000-0010-0000-0700-00003C000000}" name="P2           WC         CT Open 2025" dataDxfId="185"/>
    <tableColumn id="19" xr3:uid="{00000000-0010-0000-0700-000013000000}" name="A1           NAT         SA  Open 2025" dataDxfId="184"/>
    <tableColumn id="18" xr3:uid="{00000000-0010-0000-0700-000012000000}" name="O1           NMB          Open 2025" dataDxfId="183"/>
    <tableColumn id="11" xr3:uid="{00000000-0010-0000-0700-00000B000000}" name="01           MTTC          Open 2025" dataDxfId="182"/>
    <tableColumn id="17" xr3:uid="{00000000-0010-0000-0700-000011000000}" name="P3           GNTTB          Open 2025" dataDxfId="181"/>
    <tableColumn id="59" xr3:uid="{00000000-0010-0000-0700-00003B000000}" name="P1        GAU_x000a_JTTA Open  2025" dataDxfId="180"/>
    <tableColumn id="44" xr3:uid="{00000000-0010-0000-0700-00002C000000}" name="P1         KZN  Open   2024" dataDxfId="179" totalsRowDxfId="178"/>
    <tableColumn id="45" xr3:uid="{00000000-0010-0000-0700-00002D000000}" name="O1         KZN Eddels Open   2024" dataDxfId="177" totalsRowDxfId="176"/>
    <tableColumn id="46" xr3:uid="{00000000-0010-0000-0700-00002E000000}" name="P2           WC         CT Open 2024" dataDxfId="175" totalsRowDxfId="174"/>
    <tableColumn id="54" xr3:uid="{00000000-0010-0000-0700-000036000000}" name="P1           WC         Eden Open 2024" dataDxfId="173" totalsRowDxfId="172"/>
    <tableColumn id="56" xr3:uid="{00000000-0010-0000-0700-000038000000}" name="A1_x000a_NAT_x000a_SA Open_x000a_2024" dataDxfId="171" totalsRowDxfId="170"/>
    <tableColumn id="55" xr3:uid="{00000000-0010-0000-0700-000037000000}" name="O1           GAU         Maccabi Open 2024" dataDxfId="169" totalsRowDxfId="168"/>
    <tableColumn id="57" xr3:uid="{00000000-0010-0000-0700-000039000000}" name="O1           GAU         KHELO / RAIDERS Open 2024" dataDxfId="167"/>
    <tableColumn id="47" xr3:uid="{00000000-0010-0000-0700-00002F000000}" name="P1        GAU_x000a_JTTA Open  2024" dataDxfId="166" totalsRowDxfId="165"/>
    <tableColumn id="48" xr3:uid="{00000000-0010-0000-0700-000030000000}" name="P2           GAU          Gau North Open             2024" dataDxfId="164" totalsRowDxfId="163"/>
    <tableColumn id="53" xr3:uid="{00000000-0010-0000-0700-000035000000}" name="O1        GAU_x000a_MTTC Open  2024" dataDxfId="162" totalsRowDxfId="161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4:AO207" totalsRowShown="0" headerRowDxfId="159" dataDxfId="158">
  <autoFilter ref="A4:AO207" xr:uid="{00000000-0009-0000-0100-000009000000}"/>
  <sortState xmlns:xlrd2="http://schemas.microsoft.com/office/spreadsheetml/2017/richdata2" ref="A5:AP207">
    <sortCondition descending="1" ref="I4:I207"/>
  </sortState>
  <tableColumns count="41">
    <tableColumn id="1" xr3:uid="{00000000-0010-0000-0800-000001000000}" name="Age Group Check" dataDxfId="157">
      <calculatedColumnFormula>A4+1</calculatedColumnFormula>
    </tableColumn>
    <tableColumn id="24" xr3:uid="{00000000-0010-0000-0800-000018000000}" name="Previous Rank" dataDxfId="156"/>
    <tableColumn id="25" xr3:uid="{00000000-0010-0000-0800-000019000000}" name="Change in Rank" dataDxfId="155">
      <calculatedColumnFormula>+B5-#REF!</calculatedColumnFormula>
    </tableColumn>
    <tableColumn id="23" xr3:uid="{00000000-0010-0000-0800-000017000000}" name="Rank" dataDxfId="154"/>
    <tableColumn id="2" xr3:uid="{00000000-0010-0000-0800-000002000000}" name="Player No" dataDxfId="153"/>
    <tableColumn id="3" xr3:uid="{00000000-0010-0000-0800-000003000000}" name=" Surname, Name" dataDxfId="152"/>
    <tableColumn id="4" xr3:uid="{00000000-0010-0000-0800-000004000000}" name="Region" dataDxfId="151"/>
    <tableColumn id="47" xr3:uid="{00000000-0010-0000-0800-00002F000000}" name="Points 2025" dataDxfId="150"/>
    <tableColumn id="21" xr3:uid="{00000000-0010-0000-0800-000015000000}" name="Points 2026" dataDxfId="149">
      <calculatedColumnFormula>Table9[[#This Row],[Points 2025]]/2+SUM(Table9[[#This Row],[O1  ADMIN 2026]:[P2       WC                   CT   Open 2026]])</calculatedColumnFormula>
    </tableColumn>
    <tableColumn id="9" xr3:uid="{00000000-0010-0000-0800-000009000000}" name="Tournaments Played In" dataDxfId="148">
      <calculatedColumnFormula>COUNTIF(L5:O5,"&gt;0")</calculatedColumnFormula>
    </tableColumn>
    <tableColumn id="10" xr3:uid="{00000000-0010-0000-0800-00000A000000}" name="Total     No Shows" dataDxfId="147">
      <calculatedColumnFormula>COUNTIF(M5:AO5,"&lt;0")</calculatedColumnFormula>
    </tableColumn>
    <tableColumn id="29" xr3:uid="{00000000-0010-0000-0800-00001D000000}" name="O1  ADMIN 2026" dataDxfId="146"/>
    <tableColumn id="28" xr3:uid="{00000000-0010-0000-0800-00001C000000}" name="O1       GALAXY OPEN 2026" dataDxfId="145"/>
    <tableColumn id="27" xr3:uid="{00000000-0010-0000-0800-00001B000000}" name="O1 TITANS Open 2026" dataDxfId="144"/>
    <tableColumn id="22" xr3:uid="{00000000-0010-0000-0800-000016000000}" name="P2       WC                   CT   Open 2026" dataDxfId="143"/>
    <tableColumn id="46" xr3:uid="{00000000-0010-0000-0800-00002E000000}" name="P1         UMG  Open   2025" dataDxfId="142"/>
    <tableColumn id="6" xr3:uid="{00000000-0010-0000-0800-000006000000}" name="01         EDDELS  Open   2025" dataDxfId="141"/>
    <tableColumn id="15" xr3:uid="{00000000-0010-0000-0800-00000F000000}" name="01       GALAXY  Open   2025" dataDxfId="140"/>
    <tableColumn id="16" xr3:uid="{00000000-0010-0000-0800-000010000000}" name="P2       ETTA  Open   2025" dataDxfId="139"/>
    <tableColumn id="8" xr3:uid="{00000000-0010-0000-0800-000008000000}" name="01         TITANS Open   2025" dataDxfId="138"/>
    <tableColumn id="12" xr3:uid="{00000000-0010-0000-0800-00000C000000}" name="P2          FS    Open   2025" dataDxfId="137"/>
    <tableColumn id="5" xr3:uid="{00000000-0010-0000-0800-000005000000}" name="01         CMCTTCOpen   2025" dataDxfId="136"/>
    <tableColumn id="20" xr3:uid="{00000000-0010-0000-0800-000014000000}" name="2         CMCTTCOpen   2025" dataDxfId="135"/>
    <tableColumn id="19" xr3:uid="{00000000-0010-0000-0800-000013000000}" name="A1      NAT       SA Open   2025" dataDxfId="134"/>
    <tableColumn id="13" xr3:uid="{00000000-0010-0000-0800-00000D000000}" name="01           SP SAINTS Open   2025" dataDxfId="133"/>
    <tableColumn id="14" xr3:uid="{00000000-0010-0000-0800-00000E000000}" name="P2           Duine fontein Open   2025" dataDxfId="132"/>
    <tableColumn id="45" xr3:uid="{00000000-0010-0000-0800-00002D000000}" name="P1                   CT   Open 20252" dataDxfId="131"/>
    <tableColumn id="11" xr3:uid="{00000000-0010-0000-0800-00000B000000}" name="01           EKU         Open 2025" dataDxfId="130"/>
    <tableColumn id="7" xr3:uid="{00000000-0010-0000-0800-000007000000}" name="O1          MTTC          Open 2025" dataDxfId="129"/>
    <tableColumn id="17" xr3:uid="{00000000-0010-0000-0800-000011000000}" name="P3         GNTTB          Open 2025" dataDxfId="128"/>
    <tableColumn id="44" xr3:uid="{00000000-0010-0000-0800-00002C000000}" name="P2        _x000a_JTTA Open  2025" dataDxfId="127"/>
    <tableColumn id="33" xr3:uid="{00000000-0010-0000-0800-000021000000}" name="P1         KZN  Open   2024" dataDxfId="126"/>
    <tableColumn id="34" xr3:uid="{00000000-0010-0000-0800-000022000000}" name="O1         KZN Eddels Open   2024" dataDxfId="125"/>
    <tableColumn id="35" xr3:uid="{00000000-0010-0000-0800-000023000000}" name="P2           WC         CT Open 2024" dataDxfId="124"/>
    <tableColumn id="41" xr3:uid="{00000000-0010-0000-0800-000029000000}" name="P1           WC         Eden Open 2024" dataDxfId="123"/>
    <tableColumn id="43" xr3:uid="{00000000-0010-0000-0800-00002B000000}" name="A1_x000a_NAT_x000a_SA Open_x000a_2024" dataDxfId="122"/>
    <tableColumn id="42" xr3:uid="{00000000-0010-0000-0800-00002A000000}" name="O1           GAU         Maccabi Open 2024" dataDxfId="121"/>
    <tableColumn id="26" xr3:uid="{00000000-0010-0000-0800-00001A000000}" name="O1           GAU         KHELO/ RAIDERS Open 2024" dataDxfId="120"/>
    <tableColumn id="38" xr3:uid="{00000000-0010-0000-0800-000026000000}" name="P1        GAU_x000a_JTTA Open  2024" dataDxfId="119"/>
    <tableColumn id="39" xr3:uid="{00000000-0010-0000-0800-000027000000}" name="P2           GAU          Gau North Open             2024" dataDxfId="118"/>
    <tableColumn id="40" xr3:uid="{00000000-0010-0000-0800-000028000000}" name="O1        GAU_x000a_MTTC Open  2024" dataDxfId="11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K394"/>
  <sheetViews>
    <sheetView tabSelected="1" zoomScale="50" zoomScaleNormal="50" workbookViewId="0">
      <selection activeCell="H154" sqref="H154"/>
    </sheetView>
  </sheetViews>
  <sheetFormatPr defaultColWidth="9.1796875" defaultRowHeight="14.5"/>
  <cols>
    <col min="1" max="1" width="10.81640625" style="143" bestFit="1" customWidth="1"/>
    <col min="2" max="2" width="44" style="143" bestFit="1" customWidth="1"/>
    <col min="3" max="3" width="50.1796875" style="218" bestFit="1" customWidth="1"/>
    <col min="4" max="4" width="48.453125" style="143" bestFit="1" customWidth="1"/>
    <col min="5" max="5" width="42.54296875" style="218" bestFit="1" customWidth="1"/>
    <col min="6" max="6" width="40.453125" style="143" bestFit="1" customWidth="1"/>
    <col min="7" max="7" width="51.26953125" style="218" bestFit="1" customWidth="1"/>
    <col min="8" max="8" width="44" style="143" bestFit="1" customWidth="1"/>
    <col min="9" max="9" width="41.26953125" style="218" bestFit="1" customWidth="1"/>
    <col min="10" max="10" width="50.1796875" style="143" bestFit="1" customWidth="1"/>
    <col min="11" max="11" width="48.453125" style="218" customWidth="1"/>
    <col min="12" max="16384" width="9.1796875" style="143"/>
  </cols>
  <sheetData>
    <row r="1" spans="1:11" ht="116.25" customHeight="1">
      <c r="A1" s="1117"/>
      <c r="B1" s="1117"/>
      <c r="C1" s="1117"/>
      <c r="D1" s="1117"/>
      <c r="E1" s="1117"/>
      <c r="F1" s="1117"/>
      <c r="G1" s="1117"/>
      <c r="H1" s="1117"/>
      <c r="I1" s="1117"/>
      <c r="J1" s="142"/>
      <c r="K1" s="223"/>
    </row>
    <row r="2" spans="1:11" ht="60" customHeight="1">
      <c r="A2" s="1118" t="s">
        <v>2428</v>
      </c>
      <c r="B2" s="1119"/>
      <c r="C2" s="1120"/>
      <c r="D2" s="214">
        <f>Tournaments!F3</f>
        <v>46113</v>
      </c>
      <c r="E2" s="219"/>
      <c r="F2" s="213"/>
      <c r="G2" s="219"/>
      <c r="H2" s="213"/>
      <c r="I2" s="219"/>
      <c r="J2" s="144"/>
      <c r="K2" s="224"/>
    </row>
    <row r="3" spans="1:11" s="147" customFormat="1" ht="36" customHeight="1">
      <c r="A3" s="145" t="s">
        <v>111</v>
      </c>
      <c r="B3" s="146" t="s">
        <v>109</v>
      </c>
      <c r="C3" s="215" t="s">
        <v>110</v>
      </c>
      <c r="D3" s="146" t="s">
        <v>3457</v>
      </c>
      <c r="E3" s="215" t="s">
        <v>3456</v>
      </c>
      <c r="F3" s="146" t="s">
        <v>105</v>
      </c>
      <c r="G3" s="215" t="s">
        <v>106</v>
      </c>
      <c r="H3" s="146" t="s">
        <v>107</v>
      </c>
      <c r="I3" s="215" t="s">
        <v>108</v>
      </c>
      <c r="J3" s="146" t="s">
        <v>3667</v>
      </c>
      <c r="K3" s="215" t="s">
        <v>3668</v>
      </c>
    </row>
    <row r="4" spans="1:11" s="147" customFormat="1" ht="40" customHeight="1">
      <c r="A4" s="148">
        <v>1</v>
      </c>
      <c r="B4" s="137" t="str">
        <f>CONCATENATE(Men!E5," ",Men!F5)</f>
        <v>ABRAHAMS Luke JTTA</v>
      </c>
      <c r="C4" s="216" t="str">
        <f>CONCATENATE(Women!E5," ",Women!F5)</f>
        <v>PATEL Danisha  JTTA</v>
      </c>
      <c r="D4" s="137" t="str">
        <f>CONCATENATE('u19 boys'!F5," ",'u19 boys'!G5)</f>
        <v>SCHOLTZ Ruan GN</v>
      </c>
      <c r="E4" s="221" t="str">
        <f>CONCATENATE('u19 girls'!F5," ",'u19 girls'!G5)</f>
        <v>PILLAY Karen UMG</v>
      </c>
      <c r="F4" s="137" t="str">
        <f>CONCATENATE('u15 boys'!F5," ",'u15 boys'!G5)</f>
        <v>SCHOLTZ Ruan GN</v>
      </c>
      <c r="G4" s="216" t="str">
        <f>CONCATENATE('u15 girls'!F5," ",'u15 girls'!G5)</f>
        <v>VAN AS Tamika CT</v>
      </c>
      <c r="H4" s="137" t="str">
        <f>CONCATENATE('u13 boys'!F5," ",'u13 boys'!G5)</f>
        <v>LEKORWE Reneilwe BOT</v>
      </c>
      <c r="I4" s="216" t="str">
        <f>CONCATENATE('u13 girls'!F5," ",'u13 girls'!G5)</f>
        <v>VAN AS Tamika CT</v>
      </c>
      <c r="J4" s="137" t="str">
        <f>CONCATENATE('u11 boys'!F5," ",'u11 boys'!G5)</f>
        <v>RAMCHURRAN Diyaan UMG</v>
      </c>
      <c r="K4" s="216" t="str">
        <f>CONCATENATE('u11 girls'!F5," ",'u11 girls'!G5)</f>
        <v>SIVNANNAN Syriana UMG</v>
      </c>
    </row>
    <row r="5" spans="1:11" s="147" customFormat="1" ht="40" customHeight="1">
      <c r="A5" s="148">
        <f>A4+1</f>
        <v>2</v>
      </c>
      <c r="B5" s="137" t="str">
        <f>CONCATENATE(Men!E6," ",Men!F6)</f>
        <v>NATHOO Chetan  JTTA</v>
      </c>
      <c r="C5" s="216" t="str">
        <f>CONCATENATE(Women!E6," ",Women!F6)</f>
        <v>KALAM Musfiquh  CT</v>
      </c>
      <c r="D5" s="137" t="str">
        <f>CONCATENATE('u19 boys'!F6," ",'u19 boys'!G6)</f>
        <v>ROYAPPEN Tayden UMG</v>
      </c>
      <c r="E5" s="221" t="str">
        <f>CONCATENATE('u19 girls'!F6," ",'u19 girls'!G6)</f>
        <v>SCHOLTZ Juane GN</v>
      </c>
      <c r="F5" s="137" t="str">
        <f>CONCATENATE('u15 boys'!F6," ",'u15 boys'!G6)</f>
        <v>BESTER Rupie FS</v>
      </c>
      <c r="G5" s="216" t="str">
        <f>CONCATENATE('u15 girls'!F6," ",'u15 girls'!G6)</f>
        <v>PILLAY Veya UMG</v>
      </c>
      <c r="H5" s="137" t="str">
        <f>CONCATENATE('u13 boys'!F6," ",'u13 boys'!G6)</f>
        <v>RAMCHURRAN Diyaan UMG</v>
      </c>
      <c r="I5" s="222" t="str">
        <f>CONCATENATE('u13 girls'!F6," ",'u13 girls'!G6)</f>
        <v>GOKAL Mahi ETK</v>
      </c>
      <c r="J5" s="137" t="str">
        <f>CONCATENATE('u11 boys'!F6," ",'u11 boys'!G6)</f>
        <v>GOKHALE Aakash GN</v>
      </c>
      <c r="K5" s="216" t="str">
        <f>CONCATENATE('u11 girls'!F6," ",'u11 girls'!G6)</f>
        <v>VERHEIJEN Danyelle GN</v>
      </c>
    </row>
    <row r="6" spans="1:11" s="147" customFormat="1" ht="40" customHeight="1">
      <c r="A6" s="148">
        <f t="shared" ref="A6:A69" si="0">A5+1</f>
        <v>3</v>
      </c>
      <c r="B6" s="137" t="str">
        <f>CONCATENATE(Men!E7," ",Men!F7)</f>
        <v>MATHOLE Terrance  JTTA</v>
      </c>
      <c r="C6" s="804" t="str">
        <f>CONCATENATE(Women!E7," ",Women!F7)</f>
        <v>PILLAY Karen UMG</v>
      </c>
      <c r="D6" s="137" t="str">
        <f>CONCATENATE('u19 boys'!F7," ",'u19 boys'!G7)</f>
        <v>LODEWYK Cuten  CT</v>
      </c>
      <c r="E6" s="221" t="str">
        <f>CONCATENATE('u19 girls'!F7," ",'u19 girls'!G7)</f>
        <v>TOTARAM Kritika UMG</v>
      </c>
      <c r="F6" s="784" t="str">
        <f>CONCATENATE('u15 boys'!F7," ",'u15 boys'!G7)</f>
        <v>BROWN Wayden CT</v>
      </c>
      <c r="G6" s="216" t="str">
        <f>CONCATENATE('u15 girls'!F7," ",'u15 girls'!G7)</f>
        <v>TOTARAM Kritika UMG</v>
      </c>
      <c r="H6" s="137" t="str">
        <f>CONCATENATE('u13 boys'!F7," ",'u13 boys'!G7)</f>
        <v>ZAIN EDDIN Kareem GN</v>
      </c>
      <c r="I6" s="222" t="str">
        <f>CONCATENATE('u13 girls'!F7," ",'u13 girls'!G7)</f>
        <v>JONES Shona CT</v>
      </c>
      <c r="J6" s="137" t="str">
        <f>CONCATENATE('u11 boys'!F7," ",'u11 boys'!G7)</f>
        <v>TIFFLIN Saeed JTTA</v>
      </c>
      <c r="K6" s="216" t="str">
        <f>CONCATENATE('u11 girls'!F7," ",'u11 girls'!G7)</f>
        <v>HUSVU Anotidaishe GN</v>
      </c>
    </row>
    <row r="7" spans="1:11" s="147" customFormat="1" ht="40" customHeight="1">
      <c r="A7" s="148">
        <f t="shared" si="0"/>
        <v>4</v>
      </c>
      <c r="B7" s="137" t="str">
        <f>CONCATENATE(Men!E8," ",Men!F8)</f>
        <v>BEUKES Liam  JTTA</v>
      </c>
      <c r="C7" s="804" t="str">
        <f>CONCATENATE(Women!E8," ",Women!F8)</f>
        <v>SCHOLTZ Juane GN</v>
      </c>
      <c r="D7" s="137" t="str">
        <f>CONCATENATE('u19 boys'!F8," ",'u19 boys'!G8)</f>
        <v>GALANT Jodie CT</v>
      </c>
      <c r="E7" s="221" t="str">
        <f>CONCATENATE('u19 girls'!F8," ",'u19 girls'!G8)</f>
        <v>SONDAY Rochica CT</v>
      </c>
      <c r="F7" s="784" t="str">
        <f>CONCATENATE('u15 boys'!F8," ",'u15 boys'!G8)</f>
        <v>SALIE Benyamin GN</v>
      </c>
      <c r="G7" s="216" t="str">
        <f>CONCATENATE('u15 girls'!F8," ",'u15 girls'!G8)</f>
        <v>MAHLAMVU Simone  FS</v>
      </c>
      <c r="H7" s="137" t="str">
        <f>CONCATENATE('u13 boys'!F8," ",'u13 boys'!G8)</f>
        <v>KATZ Milo CT</v>
      </c>
      <c r="I7" s="222" t="str">
        <f>CONCATENATE('u13 girls'!F8," ",'u13 girls'!G8)</f>
        <v>SIVNANNAN Syriana UMG</v>
      </c>
      <c r="J7" s="137" t="str">
        <f>CONCATENATE('u11 boys'!F8," ",'u11 boys'!G8)</f>
        <v>PADAYACHEE Vaishant JTTA</v>
      </c>
      <c r="K7" s="216" t="str">
        <f>CONCATENATE('u11 girls'!F8," ",'u11 girls'!G8)</f>
        <v>REDDY Jordyn UMG</v>
      </c>
    </row>
    <row r="8" spans="1:11" s="147" customFormat="1" ht="40" customHeight="1">
      <c r="A8" s="148">
        <f t="shared" si="0"/>
        <v>5</v>
      </c>
      <c r="B8" s="137" t="str">
        <f>CONCATENATE(Men!E9," ",Men!F9)</f>
        <v>COGILL Theo  CT</v>
      </c>
      <c r="C8" s="804" t="str">
        <f>CONCATENATE(Women!E9," ",Women!F9)</f>
        <v>EDWARDS Lailaa  JTTA</v>
      </c>
      <c r="D8" s="137" t="str">
        <f>CONCATENATE('u19 boys'!F9," ",'u19 boys'!G9)</f>
        <v>JIVRAJ Bimal JTTA</v>
      </c>
      <c r="E8" s="221" t="str">
        <f>CONCATENATE('u19 girls'!F9," ",'u19 girls'!G9)</f>
        <v>HEERALALL Bharvna  ETK</v>
      </c>
      <c r="F8" s="784" t="str">
        <f>CONCATENATE('u15 boys'!F9," ",'u15 boys'!G9)</f>
        <v>MOODLEY Saiyin UMG</v>
      </c>
      <c r="G8" s="216" t="str">
        <f>CONCATENATE('u15 girls'!F9," ",'u15 girls'!G9)</f>
        <v>Mofokeng Topollo ETK</v>
      </c>
      <c r="H8" s="137" t="str">
        <f>CONCATENATE('u13 boys'!F9," ",'u13 boys'!G9)</f>
        <v>DANSTER Luke CT</v>
      </c>
      <c r="I8" s="222" t="str">
        <f>CONCATENATE('u13 girls'!F9," ",'u13 girls'!G9)</f>
        <v>HUSVU Anotidaishe GN</v>
      </c>
      <c r="J8" s="137" t="str">
        <f>CONCATENATE('u11 boys'!F9," ",'u11 boys'!G9)</f>
        <v>SCHRIEFF Samuel CT</v>
      </c>
      <c r="K8" s="216" t="str">
        <f>CONCATENATE('u11 girls'!F9," ",'u11 girls'!G9)</f>
        <v>DADAKER Sameena CT</v>
      </c>
    </row>
    <row r="9" spans="1:11" s="147" customFormat="1" ht="40" customHeight="1">
      <c r="A9" s="148">
        <f t="shared" si="0"/>
        <v>6</v>
      </c>
      <c r="B9" s="137" t="str">
        <f>CONCATENATE(Men!E10," ",Men!F10)</f>
        <v>OVERMEYER Shane  CT</v>
      </c>
      <c r="C9" s="804" t="str">
        <f>CONCATENATE(Women!E10," ",Women!F10)</f>
        <v>SASMAN Jade CT</v>
      </c>
      <c r="D9" s="137" t="str">
        <f>CONCATENATE('u19 boys'!F10," ",'u19 boys'!G10)</f>
        <v>SITHOLE Siphelele ETTA</v>
      </c>
      <c r="E9" s="221" t="str">
        <f>CONCATENATE('u19 girls'!F10," ",'u19 girls'!G10)</f>
        <v>TOTARAM Nitara UMG</v>
      </c>
      <c r="F9" s="784" t="str">
        <f>CONCATENATE('u15 boys'!F10," ",'u15 boys'!G10)</f>
        <v>ABRAHAMS Asher Eli JTTA</v>
      </c>
      <c r="G9" s="216" t="str">
        <f>CONCATENATE('u15 girls'!F10," ",'u15 girls'!G10)</f>
        <v>CHINANC Nompilenhle ETK</v>
      </c>
      <c r="H9" s="137" t="str">
        <f>CONCATENATE('u13 boys'!F10," ",'u13 boys'!G10)</f>
        <v>LINGEVELDT Timothy CT</v>
      </c>
      <c r="I9" s="222" t="str">
        <f>CONCATENATE('u13 girls'!F10," ",'u13 girls'!G10)</f>
        <v>VERHEIJEN Alicia GN</v>
      </c>
      <c r="J9" s="137" t="str">
        <f>CONCATENATE('u11 boys'!F10," ",'u11 boys'!G10)</f>
        <v>VILAKAZI Mhlengi Kwanele ETTA</v>
      </c>
      <c r="K9" s="216" t="str">
        <f>CONCATENATE('u11 girls'!F10," ",'u11 girls'!G10)</f>
        <v>PARBHOODEEN Tarika Amber UMG</v>
      </c>
    </row>
    <row r="10" spans="1:11" s="147" customFormat="1" ht="40" customHeight="1">
      <c r="A10" s="148">
        <f t="shared" si="0"/>
        <v>7</v>
      </c>
      <c r="B10" s="137" t="str">
        <f>CONCATENATE(Men!E11," ",Men!F11)</f>
        <v>JAIMANGAL Yashil  ETTA</v>
      </c>
      <c r="C10" s="804" t="str">
        <f>CONCATENATE(Women!E11," ",Women!F11)</f>
        <v>SONDAY Rochica CT</v>
      </c>
      <c r="D10" s="137" t="str">
        <f>CONCATENATE('u19 boys'!F11," ",'u19 boys'!G11)</f>
        <v>PILLAY Himesh UMG</v>
      </c>
      <c r="E10" s="221" t="str">
        <f>CONCATENATE('u19 girls'!F11," ",'u19 girls'!G11)</f>
        <v>VAN AS Tamika CT</v>
      </c>
      <c r="F10" s="784" t="str">
        <f>CONCATENATE('u15 boys'!F11," ",'u15 boys'!G11)</f>
        <v>PATEL Umair UMG</v>
      </c>
      <c r="G10" s="216" t="str">
        <f>CONCATENATE('u15 girls'!F11," ",'u15 girls'!G11)</f>
        <v>TOTARAM Nitara UMG</v>
      </c>
      <c r="H10" s="137" t="str">
        <f>CONCATENATE('u13 boys'!F11," ",'u13 boys'!G11)</f>
        <v>PILLAY Keval UMG</v>
      </c>
      <c r="I10" s="222" t="str">
        <f>CONCATENATE('u13 girls'!F11," ",'u13 girls'!G11)</f>
        <v>CELE Anathi Yonenhle ETK</v>
      </c>
      <c r="J10" s="137" t="str">
        <f>CONCATENATE('u11 boys'!F11," ",'u11 boys'!G11)</f>
        <v>MARUMO Amogelang FS</v>
      </c>
      <c r="K10" s="216" t="str">
        <f>CONCATENATE('u11 girls'!F11," ",'u11 girls'!G11)</f>
        <v>HUSVU Tadiwanashi GN</v>
      </c>
    </row>
    <row r="11" spans="1:11" s="147" customFormat="1" ht="40" customHeight="1">
      <c r="A11" s="148">
        <f t="shared" si="0"/>
        <v>8</v>
      </c>
      <c r="B11" s="137" t="str">
        <f>CONCATENATE(Men!E12," ",Men!F12)</f>
        <v>LODEWYK Cowen  JTTA</v>
      </c>
      <c r="C11" s="804" t="str">
        <f>CONCATENATE(Women!E12," ",Women!F12)</f>
        <v>HEERALALL Bharvna  ETK</v>
      </c>
      <c r="D11" s="137" t="str">
        <f>CONCATENATE('u19 boys'!F12," ",'u19 boys'!G12)</f>
        <v>Williams Xhaiden EDEN</v>
      </c>
      <c r="E11" s="221" t="str">
        <f>CONCATENATE('u19 girls'!F12," ",'u19 girls'!G12)</f>
        <v>RAMALINGAM Shavishka UMG</v>
      </c>
      <c r="F11" s="784" t="str">
        <f>CONCATENATE('u15 boys'!F12," ",'u15 boys'!G12)</f>
        <v>PILLAY Keval UMG</v>
      </c>
      <c r="G11" s="216" t="str">
        <f>CONCATENATE('u15 girls'!F12," ",'u15 girls'!G12)</f>
        <v>Phoofolo Refilwe FS</v>
      </c>
      <c r="H11" s="137" t="str">
        <f>CONCATENATE('u13 boys'!F12," ",'u13 boys'!G12)</f>
        <v>PATEL Umair UMG</v>
      </c>
      <c r="I11" s="222" t="str">
        <f>CONCATENATE('u13 girls'!F12," ",'u13 girls'!G12)</f>
        <v>MKHIZE Elihleithemba  ETK</v>
      </c>
      <c r="J11" s="137" t="str">
        <f>CONCATENATE('u11 boys'!F12," ",'u11 boys'!G12)</f>
        <v>CAYDON Brigraj UMG</v>
      </c>
      <c r="K11" s="216" t="str">
        <f>CONCATENATE('u11 girls'!F12," ",'u11 girls'!G12)</f>
        <v xml:space="preserve">SIGANGA Likusasa EC </v>
      </c>
    </row>
    <row r="12" spans="1:11" s="147" customFormat="1" ht="40" customHeight="1">
      <c r="A12" s="148">
        <f t="shared" si="0"/>
        <v>9</v>
      </c>
      <c r="B12" s="137" t="str">
        <f>CONCATENATE(Men!E13," ",Men!F13)</f>
        <v>SCHOLTZ Ruan GN</v>
      </c>
      <c r="C12" s="804" t="str">
        <f>CONCATENATE(Women!E13," ",Women!F13)</f>
        <v>MAPHANGA Zodwa  GN</v>
      </c>
      <c r="D12" s="137" t="str">
        <f>CONCATENATE('u19 boys'!F13," ",'u19 boys'!G13)</f>
        <v>MNGADI Sphamandla  UMG</v>
      </c>
      <c r="E12" s="221" t="str">
        <f>CONCATENATE('u19 girls'!F13," ",'u19 girls'!G13)</f>
        <v>MTSHAWULANA Banam EC</v>
      </c>
      <c r="F12" s="784" t="str">
        <f>CONCATENATE('u15 boys'!F13," ",'u15 boys'!G13)</f>
        <v>PADAYACHEE Larushen JTTA</v>
      </c>
      <c r="G12" s="216" t="str">
        <f>CONCATENATE('u15 girls'!F13," ",'u15 girls'!G13)</f>
        <v>JONES Shona CT</v>
      </c>
      <c r="H12" s="137" t="str">
        <f>CONCATENATE('u13 boys'!F13," ",'u13 boys'!G13)</f>
        <v>CHETTY Saerin UMG</v>
      </c>
      <c r="I12" s="222" t="str">
        <f>CONCATENATE('u13 girls'!F13," ",'u13 girls'!G13)</f>
        <v>DADAKER Sameena CT</v>
      </c>
      <c r="J12" s="137" t="str">
        <f>CONCATENATE('u11 boys'!F13," ",'u11 boys'!G13)</f>
        <v>JONES Micah CT</v>
      </c>
      <c r="K12" s="216" t="str">
        <f>CONCATENATE('u11 girls'!F13," ",'u11 girls'!G13)</f>
        <v>CUPIDO Zahra-Skye CW</v>
      </c>
    </row>
    <row r="13" spans="1:11" s="147" customFormat="1" ht="40" customHeight="1">
      <c r="A13" s="148">
        <f t="shared" si="0"/>
        <v>10</v>
      </c>
      <c r="B13" s="137" t="str">
        <f>CONCATENATE(Men!E14," ",Men!F14)</f>
        <v>NAIDOO Preshen  UMG</v>
      </c>
      <c r="C13" s="804" t="str">
        <f>CONCATENATE(Women!E14," ",Women!F14)</f>
        <v>BAILEY Tayla  CT</v>
      </c>
      <c r="D13" s="137" t="str">
        <f>CONCATENATE('u19 boys'!F14," ",'u19 boys'!G14)</f>
        <v>MAKHAYE Mlungisi UMG</v>
      </c>
      <c r="E13" s="221" t="str">
        <f>CONCATENATE('u19 girls'!F14," ",'u19 girls'!G14)</f>
        <v>TOTARAM Mikayla  UMG</v>
      </c>
      <c r="F13" s="137" t="str">
        <f>CONCATENATE('u15 boys'!F14," ",'u15 boys'!G14)</f>
        <v>DOMINGO Adam CT</v>
      </c>
      <c r="G13" s="216" t="str">
        <f>CONCATENATE('u15 girls'!F14," ",'u15 girls'!G14)</f>
        <v>BATYO Yonela ETK</v>
      </c>
      <c r="H13" s="137" t="str">
        <f>CONCATENATE('u13 boys'!F14," ",'u13 boys'!G14)</f>
        <v>DOMINGO Adam CT</v>
      </c>
      <c r="I13" s="222" t="str">
        <f>CONCATENATE('u13 girls'!F14," ",'u13 girls'!G14)</f>
        <v>NAIDOO Deanne ETTA</v>
      </c>
      <c r="J13" s="137" t="str">
        <f>CONCATENATE('u11 boys'!F14," ",'u11 boys'!G14)</f>
        <v>JACOBS Umar CW</v>
      </c>
      <c r="K13" s="216" t="str">
        <f>CONCATENATE('u11 girls'!F14," ",'u11 girls'!G14)</f>
        <v xml:space="preserve">MARSHALL Lael JTTA </v>
      </c>
    </row>
    <row r="14" spans="1:11" s="147" customFormat="1" ht="40" customHeight="1">
      <c r="A14" s="148">
        <f t="shared" si="0"/>
        <v>11</v>
      </c>
      <c r="B14" s="137" t="str">
        <f>CONCATENATE(Men!E15," ",Men!F15)</f>
        <v>NAIDOO Brady  ETTA</v>
      </c>
      <c r="C14" s="804" t="str">
        <f>CONCATENATE(Women!E15," ",Women!F15)</f>
        <v>TOTARAM Nitara UMG</v>
      </c>
      <c r="D14" s="137" t="str">
        <f>CONCATENATE('u19 boys'!F15," ",'u19 boys'!G15)</f>
        <v>REDLINGHUYS Seth UMG</v>
      </c>
      <c r="E14" s="221" t="str">
        <f>CONCATENATE('u19 girls'!F15," ",'u19 girls'!G15)</f>
        <v>PILLAY Veya UMG</v>
      </c>
      <c r="F14" s="137" t="str">
        <f>CONCATENATE('u15 boys'!F15," ",'u15 boys'!G15)</f>
        <v>GUMEDE Oluhle ETTA</v>
      </c>
      <c r="G14" s="216" t="str">
        <f>CONCATENATE('u15 girls'!F15," ",'u15 girls'!G15)</f>
        <v>GOKAL Mahi ETK</v>
      </c>
      <c r="H14" s="137" t="str">
        <f>CONCATENATE('u13 boys'!F15," ",'u13 boys'!G15)</f>
        <v>DHRAMPAL Cole UMG</v>
      </c>
      <c r="I14" s="222" t="str">
        <f>CONCATENATE('u13 girls'!F15," ",'u13 girls'!G15)</f>
        <v>Aadilah Chohan UMG</v>
      </c>
      <c r="J14" s="137" t="str">
        <f>CONCATENATE('u11 boys'!F15," ",'u11 boys'!G15)</f>
        <v>NHLAPO Kwanda Okuhle ETTA</v>
      </c>
      <c r="K14" s="216" t="str">
        <f>CONCATENATE('u11 girls'!F15," ",'u11 girls'!G15)</f>
        <v>DOMINGO Imaan  CT</v>
      </c>
    </row>
    <row r="15" spans="1:11" s="147" customFormat="1" ht="40" customHeight="1">
      <c r="A15" s="148">
        <f t="shared" si="0"/>
        <v>12</v>
      </c>
      <c r="B15" s="137" t="str">
        <f>CONCATENATE(Men!E16," ",Men!F16)</f>
        <v>NGCOBO Luyanda  UMG</v>
      </c>
      <c r="C15" s="804" t="str">
        <f>CONCATENATE(Women!E16," ",Women!F16)</f>
        <v>MADAREE Arisha  ETK</v>
      </c>
      <c r="D15" s="137" t="str">
        <f>CONCATENATE('u19 boys'!F16," ",'u19 boys'!G16)</f>
        <v>LINGEVELDT Matthew CT</v>
      </c>
      <c r="E15" s="221" t="str">
        <f>CONCATENATE('u19 girls'!F16," ",'u19 girls'!G16)</f>
        <v>MOATI Confidence LIM</v>
      </c>
      <c r="F15" s="137" t="str">
        <f>CONCATENATE('u15 boys'!F16," ",'u15 boys'!G16)</f>
        <v>FERHELST Munier CT</v>
      </c>
      <c r="G15" s="216" t="str">
        <f>CONCATENATE('u15 girls'!F16," ",'u15 girls'!G16)</f>
        <v>RAMCHURRAN Leora UMG</v>
      </c>
      <c r="H15" s="137" t="str">
        <f>CONCATENATE('u13 boys'!F16," ",'u13 boys'!G16)</f>
        <v>CAYDON Brigraj UMG</v>
      </c>
      <c r="I15" s="222" t="str">
        <f>CONCATENATE('u13 girls'!F16," ",'u13 girls'!G16)</f>
        <v>PADAYACHEE Prisha UMG</v>
      </c>
      <c r="J15" s="137" t="str">
        <f>CONCATENATE('u11 boys'!F16," ",'u11 boys'!G16)</f>
        <v>NGAMBU Nzameko EC</v>
      </c>
      <c r="K15" s="216" t="str">
        <f>CONCATENATE('u11 girls'!F16," ",'u11 girls'!G16)</f>
        <v>JONES Shona CT</v>
      </c>
    </row>
    <row r="16" spans="1:11" s="147" customFormat="1" ht="40" customHeight="1">
      <c r="A16" s="148">
        <f t="shared" si="0"/>
        <v>13</v>
      </c>
      <c r="B16" s="137" t="str">
        <f>CONCATENATE(Men!E17," ",Men!F17)</f>
        <v>LINGEVELDT Kurt  UMG</v>
      </c>
      <c r="C16" s="804" t="str">
        <f>CONCATENATE(Women!E17," ",Women!F17)</f>
        <v>LINGERVELDT Caitlin  CT</v>
      </c>
      <c r="D16" s="137" t="str">
        <f>CONCATENATE('u19 boys'!F17," ",'u19 boys'!G17)</f>
        <v>PIENAAR Nashwin CT</v>
      </c>
      <c r="E16" s="221" t="str">
        <f>CONCATENATE('u19 girls'!F17," ",'u19 girls'!G17)</f>
        <v>MORSNER Sarah JTTA</v>
      </c>
      <c r="F16" s="137" t="str">
        <f>CONCATENATE('u15 boys'!F17," ",'u15 boys'!G17)</f>
        <v>KATZ Milo CT</v>
      </c>
      <c r="G16" s="216" t="str">
        <f>CONCATENATE('u15 girls'!F17," ",'u15 girls'!G17)</f>
        <v>SMITH Shiloh CT</v>
      </c>
      <c r="H16" s="137" t="str">
        <f>CONCATENATE('u13 boys'!F17," ",'u13 boys'!G17)</f>
        <v>MANUAL Yaqeen CT</v>
      </c>
      <c r="I16" s="222" t="str">
        <f>CONCATENATE('u13 girls'!F17," ",'u13 girls'!G17)</f>
        <v>MODIKA  Seipati Audrey  LIM</v>
      </c>
      <c r="J16" s="137" t="str">
        <f>CONCATENATE('u11 boys'!F17," ",'u11 boys'!G17)</f>
        <v xml:space="preserve"> SEBETLELA Agobakwe BOT</v>
      </c>
      <c r="K16" s="216" t="str">
        <f>CONCATENATE('u11 girls'!F17," ",'u11 girls'!G17)</f>
        <v>DOMINGO Farah  CT</v>
      </c>
    </row>
    <row r="17" spans="1:11" s="147" customFormat="1" ht="40" customHeight="1">
      <c r="A17" s="148">
        <f t="shared" si="0"/>
        <v>14</v>
      </c>
      <c r="B17" s="137" t="str">
        <f>CONCATENATE(Men!E18," ",Men!F18)</f>
        <v>NAIDOO Yukail  ETTA</v>
      </c>
      <c r="C17" s="804" t="str">
        <f>CONCATENATE(Women!E18," ",Women!F18)</f>
        <v>RAMALINGAM Shavishka UMG</v>
      </c>
      <c r="D17" s="137" t="str">
        <f>CONCATENATE('u19 boys'!F18," ",'u19 boys'!G18)</f>
        <v>MOODLEY Saiyin UMG</v>
      </c>
      <c r="E17" s="221" t="str">
        <f>CONCATENATE('u19 girls'!F18," ",'u19 girls'!G18)</f>
        <v>PILLAY Keona UMG</v>
      </c>
      <c r="F17" s="137" t="str">
        <f>CONCATENATE('u15 boys'!F18," ",'u15 boys'!G18)</f>
        <v>LEKORWE Reneilwe BOT</v>
      </c>
      <c r="G17" s="216" t="str">
        <f>CONCATENATE('u15 girls'!F18," ",'u15 girls'!G18)</f>
        <v>HUNKIN Sarah JTTA</v>
      </c>
      <c r="H17" s="137" t="str">
        <f>CONCATENATE('u13 boys'!F18," ",'u13 boys'!G18)</f>
        <v>PERUMAL Kiaran UMG</v>
      </c>
      <c r="I17" s="222" t="str">
        <f>CONCATENATE('u13 girls'!F18," ",'u13 girls'!G18)</f>
        <v>VILAKAZI Asanda Snothile ETK</v>
      </c>
      <c r="J17" s="137" t="str">
        <f>CONCATENATE('u11 boys'!F18," ",'u11 boys'!G18)</f>
        <v>PAKO Shaun  LIM</v>
      </c>
      <c r="K17" s="216" t="str">
        <f>CONCATENATE('u11 girls'!F18," ",'u11 girls'!G18)</f>
        <v>VERHEIJEN Alicia GN</v>
      </c>
    </row>
    <row r="18" spans="1:11" s="147" customFormat="1" ht="40" customHeight="1">
      <c r="A18" s="148">
        <f t="shared" si="0"/>
        <v>15</v>
      </c>
      <c r="B18" s="137" t="str">
        <f>CONCATENATE(Men!E19," ",Men!F19)</f>
        <v>SAPIRE Tevia JTTA</v>
      </c>
      <c r="C18" s="804" t="str">
        <f>CONCATENATE(Women!E19," ",Women!F19)</f>
        <v>HEERALALL Hashmika  ETK</v>
      </c>
      <c r="D18" s="137" t="str">
        <f>CONCATENATE('u19 boys'!F19," ",'u19 boys'!G19)</f>
        <v>VAN HEERDEN Gerswin EDEN</v>
      </c>
      <c r="E18" s="221" t="str">
        <f>CONCATENATE('u19 girls'!F19," ",'u19 girls'!G19)</f>
        <v>HARRIS Tazmin CT</v>
      </c>
      <c r="F18" s="137" t="str">
        <f>CONCATENATE('u15 boys'!F19," ",'u15 boys'!G19)</f>
        <v>DADAKER Mohammed CT</v>
      </c>
      <c r="G18" s="216" t="str">
        <f>CONCATENATE('u15 girls'!F19," ",'u15 girls'!G19)</f>
        <v>PARBHOODEEN Akshara Gemma UMG</v>
      </c>
      <c r="H18" s="137" t="str">
        <f>CONCATENATE('u13 boys'!F19," ",'u13 boys'!G19)</f>
        <v>GOKHALE Aakash GN</v>
      </c>
      <c r="I18" s="222" t="str">
        <f>CONCATENATE('u13 girls'!F19," ",'u13 girls'!G19)</f>
        <v>VERHEIJEN Danyelle GN</v>
      </c>
      <c r="J18" s="137" t="str">
        <f>CONCATENATE('u11 boys'!F19," ",'u11 boys'!G19)</f>
        <v>RANCK Turzo  CT</v>
      </c>
      <c r="K18" s="216" t="str">
        <f>CONCATENATE('u11 girls'!F19," ",'u11 girls'!G19)</f>
        <v>Princess Tichiwangani ZIM</v>
      </c>
    </row>
    <row r="19" spans="1:11" s="147" customFormat="1" ht="40" customHeight="1">
      <c r="A19" s="148">
        <f t="shared" si="0"/>
        <v>16</v>
      </c>
      <c r="B19" s="137" t="str">
        <f>CONCATENATE(Men!E20," ",Men!F20)</f>
        <v>GALANT Jodie CT</v>
      </c>
      <c r="C19" s="804" t="str">
        <f>CONCATENATE(Women!E20," ",Women!F20)</f>
        <v>TOTARAM Kritika UMG</v>
      </c>
      <c r="D19" s="137" t="str">
        <f>CONCATENATE('u19 boys'!F20," ",'u19 boys'!G20)</f>
        <v>PADAYACHEE Larushen JTTA</v>
      </c>
      <c r="E19" s="221" t="str">
        <f>CONCATENATE('u19 girls'!F20," ",'u19 girls'!G20)</f>
        <v>SALIE Tamara GN</v>
      </c>
      <c r="F19" s="137" t="str">
        <f>CONCATENATE('u15 boys'!F20," ",'u15 boys'!G20)</f>
        <v>MVULA Chumani EC</v>
      </c>
      <c r="G19" s="216" t="str">
        <f>CONCATENATE('u15 girls'!F20," ",'u15 girls'!G20)</f>
        <v>NJEMLA MBATHA Olwethu ETK</v>
      </c>
      <c r="H19" s="137" t="str">
        <f>CONCATENATE('u13 boys'!F20," ",'u13 boys'!G20)</f>
        <v>TIFFLIN Saeed JTTA</v>
      </c>
      <c r="I19" s="222" t="str">
        <f>CONCATENATE('u13 girls'!F20," ",'u13 girls'!G20)</f>
        <v>PARBHOODEEN Akshara Gemma UMG</v>
      </c>
      <c r="J19" s="137" t="str">
        <f>CONCATENATE('u11 boys'!F20," ",'u11 boys'!G20)</f>
        <v>BOCKS Sergiano WC</v>
      </c>
      <c r="K19" s="216" t="str">
        <f>CONCATENATE('u11 girls'!F20," ",'u11 girls'!G20)</f>
        <v xml:space="preserve">THUNGWANE Liyaphila EC </v>
      </c>
    </row>
    <row r="20" spans="1:11" s="147" customFormat="1" ht="40" customHeight="1">
      <c r="A20" s="148">
        <f t="shared" si="0"/>
        <v>17</v>
      </c>
      <c r="B20" s="137" t="str">
        <f>CONCATENATE(Men!E21," ",Men!F21)</f>
        <v>LODEWYK Cuten  CT</v>
      </c>
      <c r="C20" s="804" t="str">
        <f>CONCATENATE(Women!E21," ",Women!F21)</f>
        <v>MASHWABI Boipelo FS</v>
      </c>
      <c r="D20" s="137" t="str">
        <f>CONCATENATE('u19 boys'!F21," ",'u19 boys'!G21)</f>
        <v>MARTIN Ethan GN</v>
      </c>
      <c r="E20" s="221" t="str">
        <f>CONCATENATE('u19 girls'!F21," ",'u19 girls'!G21)</f>
        <v>MOUTON Andrea Eden</v>
      </c>
      <c r="F20" s="137" t="str">
        <f>CONCATENATE('u15 boys'!F21," ",'u15 boys'!G21)</f>
        <v>PATEL Ilyaas CT</v>
      </c>
      <c r="G20" s="216" t="str">
        <f>CONCATENATE('u15 girls'!F21," ",'u15 girls'!G21)</f>
        <v>ZIDE Iminam EC</v>
      </c>
      <c r="H20" s="137" t="str">
        <f>CONCATENATE('u13 boys'!F21," ",'u13 boys'!G21)</f>
        <v>MACKRILL Jordan CW</v>
      </c>
      <c r="I20" s="222" t="str">
        <f>CONCATENATE('u13 girls'!F21," ",'u13 girls'!G21)</f>
        <v>HUSVU Tadiwanashi GN</v>
      </c>
      <c r="J20" s="137" t="str">
        <f>CONCATENATE('u11 boys'!F21," ",'u11 boys'!G21)</f>
        <v>CELE Melokuhle ETTA</v>
      </c>
      <c r="K20" s="216" t="str">
        <f>CONCATENATE('u11 girls'!F21," ",'u11 girls'!G21)</f>
        <v>GOKAL Mahi ETK</v>
      </c>
    </row>
    <row r="21" spans="1:11" s="147" customFormat="1" ht="40" customHeight="1">
      <c r="A21" s="148">
        <f t="shared" si="0"/>
        <v>18</v>
      </c>
      <c r="B21" s="137" t="str">
        <f>CONCATENATE(Men!E22," ",Men!F22)</f>
        <v>SITHOLE Siphelele ETTA</v>
      </c>
      <c r="C21" s="804" t="str">
        <f>CONCATENATE(Women!E22," ",Women!F22)</f>
        <v>NOMDO Jesse-Leigh  CT</v>
      </c>
      <c r="D21" s="137" t="str">
        <f>CONCATENATE('u19 boys'!F22," ",'u19 boys'!G22)</f>
        <v>BESTER Rupie FS</v>
      </c>
      <c r="E21" s="221" t="str">
        <f>CONCATENATE('u19 girls'!F22," ",'u19 girls'!G22)</f>
        <v>SIVNANNAN Sivarna UMG</v>
      </c>
      <c r="F21" s="137" t="str">
        <f>CONCATENATE('u15 boys'!F22," ",'u15 boys'!G22)</f>
        <v>ZAIN EDDIN Kareem GN</v>
      </c>
      <c r="G21" s="216" t="str">
        <f>CONCATENATE('u15 girls'!F22," ",'u15 girls'!G22)</f>
        <v>MOUTON Andrea Eden</v>
      </c>
      <c r="H21" s="137" t="str">
        <f>CONCATENATE('u13 boys'!F22," ",'u13 boys'!G22)</f>
        <v>SITHENDE Lithalethu EC</v>
      </c>
      <c r="I21" s="222" t="str">
        <f>CONCATENATE('u13 girls'!F22," ",'u13 girls'!G22)</f>
        <v>PARBHOODEEN Tarika Amber UMG</v>
      </c>
      <c r="J21" s="137" t="str">
        <f>CONCATENATE('u11 boys'!F22," ",'u11 boys'!G22)</f>
        <v>REDDY Mikyle ETTA</v>
      </c>
      <c r="K21" s="216" t="str">
        <f>CONCATENATE('u11 girls'!F22," ",'u11 girls'!G22)</f>
        <v>Kee'ana Pillay UMG</v>
      </c>
    </row>
    <row r="22" spans="1:11" s="147" customFormat="1" ht="40" customHeight="1">
      <c r="A22" s="148">
        <f t="shared" si="0"/>
        <v>19</v>
      </c>
      <c r="B22" s="137" t="str">
        <f>CONCATENATE(Men!E23," ",Men!F23)</f>
        <v>LINGEVELDT Theo  CT</v>
      </c>
      <c r="C22" s="804" t="str">
        <f>CONCATENATE(Women!E23," ",Women!F23)</f>
        <v>TOTARAM Mikayla  UMG</v>
      </c>
      <c r="D22" s="137" t="str">
        <f>CONCATENATE('u19 boys'!F23," ",'u19 boys'!G23)</f>
        <v>NAIDOO Daniel ETTA</v>
      </c>
      <c r="E22" s="221" t="str">
        <f>CONCATENATE('u19 girls'!F23," ",'u19 girls'!G23)</f>
        <v>NTSULUNGO Caelyn CT</v>
      </c>
      <c r="F22" s="137" t="str">
        <f>CONCATENATE('u15 boys'!F23," ",'u15 boys'!G23)</f>
        <v>KAVONICH Naftali JTTA</v>
      </c>
      <c r="G22" s="216" t="str">
        <f>CONCATENATE('u15 girls'!F23," ",'u15 girls'!G23)</f>
        <v>DE VILLIER Adrunecia WC</v>
      </c>
      <c r="H22" s="137" t="str">
        <f>CONCATENATE('u13 boys'!F23," ",'u13 boys'!G23)</f>
        <v>PADAYACHEE Vaishant JTTA</v>
      </c>
      <c r="I22" s="222" t="str">
        <f>CONCATENATE('u13 girls'!F23," ",'u13 girls'!G23)</f>
        <v xml:space="preserve"> DAVID Carol BOT</v>
      </c>
      <c r="J22" s="137" t="str">
        <f>CONCATENATE('u11 boys'!F23," ",'u11 boys'!G23)</f>
        <v>MASHOKO Stuad GN</v>
      </c>
      <c r="K22" s="216" t="str">
        <f>CONCATENATE('u11 girls'!F23," ",'u11 girls'!G23)</f>
        <v>Jiya Naidoo UMG</v>
      </c>
    </row>
    <row r="23" spans="1:11" s="147" customFormat="1" ht="40" customHeight="1">
      <c r="A23" s="148">
        <f t="shared" si="0"/>
        <v>20</v>
      </c>
      <c r="B23" s="137" t="str">
        <f>CONCATENATE(Men!E24," ",Men!F24)</f>
        <v>MNGADI Sphamandla  UMG</v>
      </c>
      <c r="C23" s="804" t="str">
        <f>CONCATENATE(Women!E24," ",Women!F24)</f>
        <v>PILLAY Veya UMG</v>
      </c>
      <c r="D23" s="137" t="str">
        <f>CONCATENATE('u19 boys'!F24," ",'u19 boys'!G24)</f>
        <v>SALIE Benyamin GN</v>
      </c>
      <c r="E23" s="221" t="str">
        <f>CONCATENATE('u19 girls'!F24," ",'u19 girls'!G24)</f>
        <v>BATYO Yonela ETK</v>
      </c>
      <c r="F23" s="137" t="str">
        <f>CONCATENATE('u15 boys'!F24," ",'u15 boys'!G24)</f>
        <v>FRANK Callum UMG</v>
      </c>
      <c r="G23" s="216" t="str">
        <f>CONCATENATE('u15 girls'!F24," ",'u15 girls'!G24)</f>
        <v>Aadilah Chohan UMG</v>
      </c>
      <c r="H23" s="137" t="str">
        <f>CONCATENATE('u13 boys'!F24," ",'u13 boys'!G24)</f>
        <v>KRUGER Mikal GN</v>
      </c>
      <c r="I23" s="222" t="str">
        <f>CONCATENATE('u13 girls'!F24," ",'u13 girls'!G24)</f>
        <v>LETELE Katlego EKU</v>
      </c>
      <c r="J23" s="137" t="str">
        <f>CONCATENATE('u11 boys'!F24," ",'u11 boys'!G24)</f>
        <v>PHUTSISI Kabelo EKU</v>
      </c>
      <c r="K23" s="216" t="str">
        <f>CONCATENATE('u11 girls'!F24," ",'u11 girls'!G24)</f>
        <v>NKADIMENG Kgothatso  LIM</v>
      </c>
    </row>
    <row r="24" spans="1:11" s="147" customFormat="1" ht="40" customHeight="1">
      <c r="A24" s="148">
        <f t="shared" si="0"/>
        <v>21</v>
      </c>
      <c r="B24" s="137" t="str">
        <f>CONCATENATE(Men!E25," ",Men!F25)</f>
        <v>VANDAYAR Leneshan  ETTA</v>
      </c>
      <c r="C24" s="804" t="str">
        <f>CONCATENATE(Women!E25," ",Women!F25)</f>
        <v>EDWARDS Saadia  JTTA</v>
      </c>
      <c r="D24" s="137" t="str">
        <f>CONCATENATE('u19 boys'!F25," ",'u19 boys'!G25)</f>
        <v>Shrian Bandu  UMG</v>
      </c>
      <c r="E24" s="221" t="str">
        <f>CONCATENATE('u19 girls'!F25," ",'u19 girls'!G25)</f>
        <v>MAHLAMVU Simone  FS</v>
      </c>
      <c r="F24" s="137" t="str">
        <f>CONCATENATE('u15 boys'!F25," ",'u15 boys'!G25)</f>
        <v>NAIDOO Daniel ETTA</v>
      </c>
      <c r="G24" s="216" t="str">
        <f>CONCATENATE('u15 girls'!F25," ",'u15 girls'!G25)</f>
        <v>FAKEY Imaan GN</v>
      </c>
      <c r="H24" s="137" t="str">
        <f>CONCATENATE('u13 boys'!F25," ",'u13 boys'!G25)</f>
        <v>NHLAPO Kwanda Okuhle ETTA</v>
      </c>
      <c r="I24" s="222" t="str">
        <f>CONCATENATE('u13 girls'!F25," ",'u13 girls'!G25)</f>
        <v>JOSEPH Skylyn CT</v>
      </c>
      <c r="J24" s="137" t="str">
        <f>CONCATENATE('u11 boys'!F25," ",'u11 boys'!G25)</f>
        <v>Akhile JAYI EC</v>
      </c>
      <c r="K24" s="216" t="str">
        <f>CONCATENATE('u11 girls'!F25," ",'u11 girls'!G25)</f>
        <v>DAVIDS Rukaya  CT</v>
      </c>
    </row>
    <row r="25" spans="1:11" s="147" customFormat="1" ht="40" customHeight="1">
      <c r="A25" s="148">
        <f t="shared" si="0"/>
        <v>22</v>
      </c>
      <c r="B25" s="137" t="str">
        <f>CONCATENATE(Men!E26," ",Men!F26)</f>
        <v>RODGERS Darren  CT</v>
      </c>
      <c r="C25" s="804" t="str">
        <f>CONCATENATE(Women!E26," ",Women!F26)</f>
        <v>VAN AS Tamika CT</v>
      </c>
      <c r="D25" s="137" t="str">
        <f>CONCATENATE('u19 boys'!F26," ",'u19 boys'!G26)</f>
        <v>LAWRENCE Caleb CT</v>
      </c>
      <c r="E25" s="221" t="str">
        <f>CONCATENATE('u19 girls'!F26," ",'u19 girls'!G26)</f>
        <v>Phoofolo Refilwe FS</v>
      </c>
      <c r="F25" s="137" t="str">
        <f>CONCATENATE('u15 boys'!F26," ",'u15 boys'!G26)</f>
        <v>JACOBS Qaa-im CT</v>
      </c>
      <c r="G25" s="216" t="str">
        <f>CONCATENATE('u15 girls'!F26," ",'u15 girls'!G26)</f>
        <v>MKHIZE Elihleithemba  ETK</v>
      </c>
      <c r="H25" s="137" t="str">
        <f>CONCATENATE('u13 boys'!F26," ",'u13 boys'!G26)</f>
        <v>DADAKER Zaeem CT</v>
      </c>
      <c r="I25" s="222" t="str">
        <f>CONCATENATE('u13 girls'!F26," ",'u13 girls'!G26)</f>
        <v>Tamika Karra CT</v>
      </c>
      <c r="J25" s="137" t="str">
        <f>CONCATENATE('u11 boys'!F26," ",'u11 boys'!G26)</f>
        <v>JACOBS Umr  CW</v>
      </c>
      <c r="K25" s="216" t="str">
        <f>CONCATENATE('u11 girls'!F26," ",'u11 girls'!G26)</f>
        <v>Prudence Point Pashi ZIM</v>
      </c>
    </row>
    <row r="26" spans="1:11" s="147" customFormat="1" ht="40" customHeight="1">
      <c r="A26" s="148">
        <f t="shared" si="0"/>
        <v>23</v>
      </c>
      <c r="B26" s="137" t="str">
        <f>CONCATENATE(Men!E27," ",Men!F27)</f>
        <v>JOOSTE Keenen  CT</v>
      </c>
      <c r="C26" s="804" t="str">
        <f>CONCATENATE(Women!E27," ",Women!F27)</f>
        <v>MOOKREY Simeen  CT</v>
      </c>
      <c r="D26" s="137" t="str">
        <f>CONCATENATE('u19 boys'!F27," ",'u19 boys'!G27)</f>
        <v>NAIDOO David ETTA</v>
      </c>
      <c r="E26" s="221" t="str">
        <f>CONCATENATE('u19 girls'!F27," ",'u19 girls'!G27)</f>
        <v>CHINANC Nompilenhle ETK</v>
      </c>
      <c r="F26" s="137" t="str">
        <f>CONCATENATE('u15 boys'!F27," ",'u15 boys'!G27)</f>
        <v>JACOBS Owais CT</v>
      </c>
      <c r="G26" s="216" t="str">
        <f>CONCATENATE('u15 girls'!F27," ",'u15 girls'!G27)</f>
        <v>JOSEPH Skylyn CT</v>
      </c>
      <c r="H26" s="137" t="str">
        <f>CONCATENATE('u13 boys'!F27," ",'u13 boys'!G27)</f>
        <v>ALI Shameel UMG</v>
      </c>
      <c r="I26" s="222" t="str">
        <f>CONCATENATE('u13 girls'!F27," ",'u13 girls'!G27)</f>
        <v>VOSTER Raquelle CW</v>
      </c>
      <c r="J26" s="137" t="str">
        <f>CONCATENATE('u11 boys'!F27," ",'u11 boys'!G27)</f>
        <v>ZAROOZNY Remy CT</v>
      </c>
      <c r="K26" s="216" t="str">
        <f>CONCATENATE('u11 girls'!F27," ",'u11 girls'!G27)</f>
        <v>RADINGOANA Charity LIM</v>
      </c>
    </row>
    <row r="27" spans="1:11" s="147" customFormat="1" ht="40" customHeight="1">
      <c r="A27" s="148">
        <f t="shared" si="0"/>
        <v>24</v>
      </c>
      <c r="B27" s="137" t="str">
        <f>CONCATENATE(Men!E28," ",Men!F28)</f>
        <v>STEYN Kirshwin  CT</v>
      </c>
      <c r="C27" s="804" t="str">
        <f>CONCATENATE(Women!E28," ",Women!F28)</f>
        <v>MOLOI Lusanda UMG</v>
      </c>
      <c r="D27" s="137" t="str">
        <f>CONCATENATE('u19 boys'!F28," ",'u19 boys'!G28)</f>
        <v>GOKAL Dev Amar ETTA</v>
      </c>
      <c r="E27" s="221" t="str">
        <f>CONCATENATE('u19 girls'!F28," ",'u19 girls'!G28)</f>
        <v>HUNKIN Sarah JTTA</v>
      </c>
      <c r="F27" s="137" t="str">
        <f>CONCATENATE('u15 boys'!F28," ",'u15 boys'!G28)</f>
        <v>LINGEVELDT Timothy CT</v>
      </c>
      <c r="G27" s="216" t="str">
        <f>CONCATENATE('u15 girls'!F28," ",'u15 girls'!G28)</f>
        <v>KANNIE Jazmine UMG</v>
      </c>
      <c r="H27" s="796" t="str">
        <f>CONCATENATE('u13 boys'!F28," ",'u13 boys'!G28)</f>
        <v>RAGHUNAN Rysan ETTA</v>
      </c>
      <c r="I27" s="222" t="str">
        <f>CONCATENATE('u13 girls'!F28," ",'u13 girls'!G28)</f>
        <v>GOLOGOLO Latita FS</v>
      </c>
      <c r="J27" s="137" t="str">
        <f>CONCATENATE('u11 boys'!F28," ",'u11 boys'!G28)</f>
        <v>PAPU Thapelo EC</v>
      </c>
      <c r="K27" s="216" t="str">
        <f>CONCATENATE('u11 girls'!F28," ",'u11 girls'!G28)</f>
        <v>Zahraa Cassiem                 CT</v>
      </c>
    </row>
    <row r="28" spans="1:11" s="147" customFormat="1" ht="40" customHeight="1">
      <c r="A28" s="148">
        <f t="shared" si="0"/>
        <v>25</v>
      </c>
      <c r="B28" s="137" t="str">
        <f>CONCATENATE(Men!E29," ",Men!F29)</f>
        <v>PANDAY Navish  ETTA</v>
      </c>
      <c r="C28" s="804" t="str">
        <f>CONCATENATE(Women!E29," ",Women!F29)</f>
        <v>SIVNARAIN Keshmika  JTTA</v>
      </c>
      <c r="D28" s="137" t="str">
        <f>CONCATENATE('u19 boys'!F29," ",'u19 boys'!G29)</f>
        <v>MARSHALL Ariel JTTA</v>
      </c>
      <c r="E28" s="221" t="str">
        <f>CONCATENATE('u19 girls'!F29," ",'u19 girls'!G29)</f>
        <v>WILLIAMS Xoey CT</v>
      </c>
      <c r="F28" s="137" t="str">
        <f>CONCATENATE('u15 boys'!F29," ",'u15 boys'!G29)</f>
        <v>PRETORIUS Tony  EDEN</v>
      </c>
      <c r="G28" s="216" t="str">
        <f>CONCATENATE('u15 girls'!F29," ",'u15 girls'!G29)</f>
        <v>WILLIAMS Xoey CT</v>
      </c>
      <c r="H28" s="796" t="str">
        <f>CONCATENATE('u13 boys'!F29," ",'u13 boys'!G29)</f>
        <v>BECHOO Elijah Raphael ETTA</v>
      </c>
      <c r="I28" s="222" t="str">
        <f>CONCATENATE('u13 girls'!F29," ",'u13 girls'!G29)</f>
        <v>CHINANC Nompilenhle ETK</v>
      </c>
      <c r="J28" s="137" t="str">
        <f>CONCATENATE('u11 boys'!F29," ",'u11 boys'!G29)</f>
        <v>ALI Ahmed UMG</v>
      </c>
      <c r="K28" s="216" t="str">
        <f>CONCATENATE('u11 girls'!F29," ",'u11 girls'!G29)</f>
        <v>LALLO Azalea  CT</v>
      </c>
    </row>
    <row r="29" spans="1:11" s="147" customFormat="1" ht="40" customHeight="1">
      <c r="A29" s="148">
        <f t="shared" si="0"/>
        <v>26</v>
      </c>
      <c r="B29" s="137" t="str">
        <f>CONCATENATE(Men!E30," ",Men!F30)</f>
        <v>ROYAPPEN Tayden UMG</v>
      </c>
      <c r="C29" s="804" t="str">
        <f>CONCATENATE(Women!E30," ",Women!F30)</f>
        <v>SIVNANNAN Sivarna UMG</v>
      </c>
      <c r="D29" s="137" t="str">
        <f>CONCATENATE('u19 boys'!F30," ",'u19 boys'!G30)</f>
        <v>ABRAHAMS Asher Eli JTTA</v>
      </c>
      <c r="E29" s="221" t="str">
        <f>CONCATENATE('u19 girls'!F30," ",'u19 girls'!G30)</f>
        <v>SOROUR Keira JTTA</v>
      </c>
      <c r="F29" s="137" t="str">
        <f>CONCATENATE('u15 boys'!F30," ",'u15 boys'!G30)</f>
        <v>MAKHAYE Mlungisi UMG</v>
      </c>
      <c r="G29" s="216" t="str">
        <f>CONCATENATE('u15 girls'!F30," ",'u15 girls'!G30)</f>
        <v>Nevadya Rampersad UMG</v>
      </c>
      <c r="H29" s="796" t="str">
        <f>CONCATENATE('u13 boys'!F30," ",'u13 boys'!G30)</f>
        <v>JONES Trent JTTA</v>
      </c>
      <c r="I29" s="222" t="str">
        <f>CONCATENATE('u13 girls'!F30," ",'u13 girls'!G30)</f>
        <v>KANNIE Jazmine UMG</v>
      </c>
      <c r="J29" s="137" t="str">
        <f>CONCATENATE('u11 boys'!F30," ",'u11 boys'!G30)</f>
        <v>MATEKANE Onalenna FS</v>
      </c>
      <c r="K29" s="216" t="str">
        <f>CONCATENATE('u11 girls'!F30," ",'u11 girls'!G30)</f>
        <v>MARUOA Katleho FS</v>
      </c>
    </row>
    <row r="30" spans="1:11" s="147" customFormat="1" ht="40" customHeight="1">
      <c r="A30" s="148">
        <f t="shared" si="0"/>
        <v>27</v>
      </c>
      <c r="B30" s="137" t="str">
        <f>CONCATENATE(Men!E31," ",Men!F31)</f>
        <v>JONES Shaun  CT</v>
      </c>
      <c r="C30" s="804" t="str">
        <f>CONCATENATE(Women!E31," ",Women!F31)</f>
        <v>MORSNER Sarah JTTA</v>
      </c>
      <c r="D30" s="137" t="str">
        <f>CONCATENATE('u19 boys'!F31," ",'u19 boys'!G31)</f>
        <v>CILLIERS Jarrod GN</v>
      </c>
      <c r="E30" s="221" t="str">
        <f>CONCATENATE('u19 girls'!F31," ",'u19 girls'!G31)</f>
        <v>BHUNDOO Ashriya UMG</v>
      </c>
      <c r="F30" s="137" t="str">
        <f>CONCATENATE('u15 boys'!F31," ",'u15 boys'!G31)</f>
        <v>DZANIBE Kethukuthula ETTA</v>
      </c>
      <c r="G30" s="216" t="str">
        <f>CONCATENATE('u15 girls'!F31," ",'u15 girls'!G31)</f>
        <v>VERHEIJEN Alicia GN</v>
      </c>
      <c r="H30" s="796" t="str">
        <f>CONCATENATE('u13 boys'!F31," ",'u13 boys'!G31)</f>
        <v>CELE Melokuhle ETTA</v>
      </c>
      <c r="I30" s="222" t="str">
        <f>CONCATENATE('u13 girls'!F31," ",'u13 girls'!G31)</f>
        <v>PILLAY Veya UMG</v>
      </c>
      <c r="J30" s="137" t="str">
        <f>CONCATENATE('u11 boys'!F31," ",'u11 boys'!G31)</f>
        <v>DHRAMPAL Cole UMG</v>
      </c>
      <c r="K30" s="216" t="str">
        <f>CONCATENATE('u11 girls'!F31," ",'u11 girls'!G31)</f>
        <v>MOSALA Hlompho NW</v>
      </c>
    </row>
    <row r="31" spans="1:11" s="147" customFormat="1" ht="40" customHeight="1">
      <c r="A31" s="148">
        <f t="shared" si="0"/>
        <v>28</v>
      </c>
      <c r="B31" s="137" t="str">
        <f>CONCATENATE(Men!E32," ",Men!F32)</f>
        <v>GAYANDA Kavir JTTA</v>
      </c>
      <c r="C31" s="804" t="str">
        <f>CONCATENATE(Women!E32," ",Women!F32)</f>
        <v>THERON Hayley  EDEN</v>
      </c>
      <c r="D31" s="137" t="str">
        <f>CONCATENATE('u19 boys'!F32," ",'u19 boys'!G32)</f>
        <v>BROWN Wayden CT</v>
      </c>
      <c r="E31" s="221" t="str">
        <f>CONCATENATE('u19 girls'!F32," ",'u19 girls'!G32)</f>
        <v>Mofokeng Topollo ETK</v>
      </c>
      <c r="F31" s="137" t="str">
        <f>CONCATENATE('u15 boys'!F32," ",'u15 boys'!G32)</f>
        <v>NAIDOO David ETTA</v>
      </c>
      <c r="G31" s="216" t="str">
        <f>CONCATENATE('u15 girls'!F32," ",'u15 girls'!G32)</f>
        <v>Jyante Jacobs CT</v>
      </c>
      <c r="H31" s="796" t="str">
        <f>CONCATENATE('u13 boys'!F32," ",'u13 boys'!G32)</f>
        <v>HARIDASS Omkar UMG</v>
      </c>
      <c r="I31" s="222" t="str">
        <f>CONCATENATE('u13 girls'!F32," ",'u13 girls'!G32)</f>
        <v>Camryn Otto CT</v>
      </c>
      <c r="J31" s="137" t="str">
        <f>CONCATENATE('u11 boys'!F32," ",'u11 boys'!G32)</f>
        <v>MOKWENA Kwena  LIM</v>
      </c>
      <c r="K31" s="216" t="str">
        <f>CONCATENATE('u11 girls'!F32," ",'u11 girls'!G32)</f>
        <v>DE BRUYN Mishkah  CT</v>
      </c>
    </row>
    <row r="32" spans="1:11" s="147" customFormat="1" ht="40" customHeight="1">
      <c r="A32" s="148">
        <f t="shared" si="0"/>
        <v>29</v>
      </c>
      <c r="B32" s="137" t="str">
        <f>CONCATENATE(Men!E33," ",Men!F33)</f>
        <v>OCTOBER Lindsay  CT</v>
      </c>
      <c r="C32" s="804" t="str">
        <f>CONCATENATE(Women!E33," ",Women!F33)</f>
        <v>SWANEVELDER Ronel JTTA</v>
      </c>
      <c r="D32" s="137" t="str">
        <f>CONCATENATE('u19 boys'!F33," ",'u19 boys'!G33)</f>
        <v>MAQONDO Alungile EC</v>
      </c>
      <c r="E32" s="221" t="str">
        <f>CONCATENATE('u19 girls'!F33," ",'u19 girls'!G33)</f>
        <v>SMITH Shiloh CT</v>
      </c>
      <c r="F32" s="137" t="str">
        <f>CONCATENATE('u15 boys'!F33," ",'u15 boys'!G33)</f>
        <v>DHRAMPAL Cole UMG</v>
      </c>
      <c r="G32" s="216" t="str">
        <f>CONCATENATE('u15 girls'!F33," ",'u15 girls'!G33)</f>
        <v>MANYAMA  Nthabiseng  LIM</v>
      </c>
      <c r="H32" s="796" t="str">
        <f>CONCATENATE('u13 boys'!F33," ",'u13 boys'!G33)</f>
        <v xml:space="preserve">HURWITZ Channan JTTA </v>
      </c>
      <c r="I32" s="222" t="str">
        <f>CONCATENATE('u13 girls'!F33," ",'u13 girls'!G33)</f>
        <v>Motshabi Bopelo FS</v>
      </c>
      <c r="J32" s="137" t="str">
        <f>CONCATENATE('u11 boys'!F33," ",'u11 boys'!G33)</f>
        <v>TAYLIN Naipal UMG</v>
      </c>
      <c r="K32" s="216" t="str">
        <f>CONCATENATE('u11 girls'!F33," ",'u11 girls'!G33)</f>
        <v xml:space="preserve">MBOLAMBI Amila EC </v>
      </c>
    </row>
    <row r="33" spans="1:11" s="147" customFormat="1" ht="40" customHeight="1">
      <c r="A33" s="148">
        <f t="shared" si="0"/>
        <v>30</v>
      </c>
      <c r="B33" s="137" t="str">
        <f>CONCATENATE(Men!E34," ",Men!F34)</f>
        <v>SINGH Nilesh  JTTA</v>
      </c>
      <c r="C33" s="804" t="str">
        <f>CONCATENATE(Women!E34," ",Women!F34)</f>
        <v>MDA ATHI Aphiwe GN</v>
      </c>
      <c r="D33" s="137" t="str">
        <f>CONCATENATE('u19 boys'!F34," ",'u19 boys'!G34)</f>
        <v>CHAPMAN Kian CT</v>
      </c>
      <c r="E33" s="221" t="str">
        <f>CONCATENATE('u19 girls'!F34," ",'u19 girls'!G34)</f>
        <v>ANANDHPURI Khiara UMG</v>
      </c>
      <c r="F33" s="137" t="str">
        <f>CONCATENATE('u15 boys'!F34," ",'u15 boys'!G34)</f>
        <v>JONES Alexander CT</v>
      </c>
      <c r="G33" s="216" t="str">
        <f>CONCATENATE('u15 girls'!F34," ",'u15 girls'!G34)</f>
        <v>GOVENDER  Teme' Aureliah ETTA</v>
      </c>
      <c r="H33" s="796" t="str">
        <f>CONCATENATE('u13 boys'!F34," ",'u13 boys'!G34)</f>
        <v>Nathan MCKENZIE GN</v>
      </c>
      <c r="I33" s="222" t="str">
        <f>CONCATENATE('u13 girls'!F34," ",'u13 girls'!G34)</f>
        <v xml:space="preserve">MARSHALL Lael JTTA </v>
      </c>
      <c r="J33" s="137" t="str">
        <f>CONCATENATE('u11 boys'!F34," ",'u11 boys'!G34)</f>
        <v>ARBEE Muhammad Moosa UMG</v>
      </c>
      <c r="K33" s="216" t="str">
        <f>CONCATENATE('u11 girls'!F34," ",'u11 girls'!G34)</f>
        <v xml:space="preserve">MANXIWA Lunje EC </v>
      </c>
    </row>
    <row r="34" spans="1:11" s="147" customFormat="1" ht="40" customHeight="1">
      <c r="A34" s="148">
        <f t="shared" si="0"/>
        <v>31</v>
      </c>
      <c r="B34" s="137" t="str">
        <f>CONCATENATE(Men!E35," ",Men!F35)</f>
        <v>REDLINGHUYS Seth UMG</v>
      </c>
      <c r="C34" s="804" t="str">
        <f>CONCATENATE(Women!E35," ",Women!F35)</f>
        <v>MOTHUPI Boingotlo  FS</v>
      </c>
      <c r="D34" s="137" t="str">
        <f>CONCATENATE('u19 boys'!F35," ",'u19 boys'!G35)</f>
        <v>HUSVU Makomborero GN</v>
      </c>
      <c r="E34" s="221" t="str">
        <f>CONCATENATE('u19 girls'!F35," ",'u19 girls'!G35)</f>
        <v>BHARATH Shivadhna  GN</v>
      </c>
      <c r="F34" s="137" t="str">
        <f>CONCATENATE('u15 boys'!F35," ",'u15 boys'!G35)</f>
        <v>DANSTER Luke CT</v>
      </c>
      <c r="G34" s="216" t="str">
        <f>CONCATENATE('u15 girls'!F35," ",'u15 girls'!G35)</f>
        <v>SCHOEMAN Jude CT</v>
      </c>
      <c r="H34" s="796" t="str">
        <f>CONCATENATE('u13 boys'!F35," ",'u13 boys'!G35)</f>
        <v>MUSUNGISI Marvin CT</v>
      </c>
      <c r="I34" s="222" t="str">
        <f>CONCATENATE('u13 girls'!F35," ",'u13 girls'!G35)</f>
        <v>SHEZI Amanda ETK</v>
      </c>
      <c r="J34" s="137" t="str">
        <f>CONCATENATE('u11 boys'!F35," ",'u11 boys'!G35)</f>
        <v>ASULIN Ori JTTA</v>
      </c>
      <c r="K34" s="216" t="str">
        <f>CONCATENATE('u11 girls'!F35," ",'u11 girls'!G35)</f>
        <v xml:space="preserve">TOLBATI Olona EC </v>
      </c>
    </row>
    <row r="35" spans="1:11" s="147" customFormat="1" ht="40" customHeight="1">
      <c r="A35" s="148">
        <f t="shared" si="0"/>
        <v>32</v>
      </c>
      <c r="B35" s="137" t="str">
        <f>CONCATENATE(Men!E36," ",Men!F36)</f>
        <v>ENGELBRECHT Ettienne FS</v>
      </c>
      <c r="C35" s="804" t="str">
        <f>CONCATENATE(Women!E36," ",Women!F36)</f>
        <v>NTSULUNGO Caelyn CT</v>
      </c>
      <c r="D35" s="137" t="str">
        <f>CONCATENATE('u19 boys'!F36," ",'u19 boys'!G36)</f>
        <v>PHEKONYANE Kgalalelo FS</v>
      </c>
      <c r="E35" s="221" t="str">
        <f>CONCATENATE('u19 girls'!F36," ",'u19 girls'!G36)</f>
        <v>MOCHABELA Refilwe LIM</v>
      </c>
      <c r="F35" s="137" t="str">
        <f>CONCATENATE('u15 boys'!F36," ",'u15 boys'!G36)</f>
        <v>SISHI Yamkela  ETTA</v>
      </c>
      <c r="G35" s="216" t="str">
        <f>CONCATENATE('u15 girls'!F36," ",'u15 girls'!G36)</f>
        <v>Leranya Govender UMG</v>
      </c>
      <c r="H35" s="796" t="str">
        <f>CONCATENATE('u13 boys'!F36," ",'u13 boys'!G36)</f>
        <v>Tinashe DZVAKA BOT</v>
      </c>
      <c r="I35" s="222" t="str">
        <f>CONCATENATE('u13 girls'!F36," ",'u13 girls'!G36)</f>
        <v>NKELE Boitlamo BOT</v>
      </c>
      <c r="J35" s="137" t="str">
        <f>CONCATENATE('u11 boys'!F36," ",'u11 boys'!G36)</f>
        <v>SKIPPERS Chris-Will WC</v>
      </c>
      <c r="K35" s="216" t="str">
        <f>CONCATENATE('u11 girls'!F36," ",'u11 girls'!G36)</f>
        <v>Motshabi Bopelo FS</v>
      </c>
    </row>
    <row r="36" spans="1:11" s="147" customFormat="1" ht="40" customHeight="1">
      <c r="A36" s="148">
        <f t="shared" si="0"/>
        <v>33</v>
      </c>
      <c r="B36" s="137" t="str">
        <f>CONCATENATE(Men!E37," ",Men!F37)</f>
        <v>PILLAY Himesh UMG</v>
      </c>
      <c r="C36" s="804" t="str">
        <f>CONCATENATE(Women!E37," ",Women!F37)</f>
        <v>MAAL Sameera JTTA</v>
      </c>
      <c r="D36" s="137" t="str">
        <f>CONCATENATE('u19 boys'!F37," ",'u19 boys'!G37)</f>
        <v>CARRASCO Ricardo FS</v>
      </c>
      <c r="E36" s="221" t="str">
        <f>CONCATENATE('u19 girls'!F37," ",'u19 girls'!G37)</f>
        <v>NJEMLA MBATHA Olwethu ETK</v>
      </c>
      <c r="F36" s="137" t="str">
        <f>CONCATENATE('u15 boys'!F37," ",'u15 boys'!G37)</f>
        <v>NQGULA Nande CT</v>
      </c>
      <c r="G36" s="216" t="str">
        <f>CONCATENATE('u15 girls'!F37," ",'u15 girls'!G37)</f>
        <v>PILLAY Tarini UMG</v>
      </c>
      <c r="H36" s="796" t="str">
        <f>CONCATENATE('u13 boys'!F37," ",'u13 boys'!G37)</f>
        <v>ZHANG Derick FS</v>
      </c>
      <c r="I36" s="222" t="str">
        <f>CONCATENATE('u13 girls'!F37," ",'u13 girls'!G37)</f>
        <v>KESVAL Grace JTTA</v>
      </c>
      <c r="J36" s="137" t="str">
        <f>CONCATENATE('u11 boys'!F37," ",'u11 boys'!G37)</f>
        <v>ISAACS Zeeshan  CT</v>
      </c>
      <c r="K36" s="216" t="str">
        <f>CONCATENATE('u11 girls'!F37," ",'u11 girls'!G37)</f>
        <v>Likuwe SODANGWE EC</v>
      </c>
    </row>
    <row r="37" spans="1:11" s="147" customFormat="1" ht="40" customHeight="1">
      <c r="A37" s="148">
        <f t="shared" si="0"/>
        <v>34</v>
      </c>
      <c r="B37" s="137" t="str">
        <f>CONCATENATE(Men!E38," ",Men!F38)</f>
        <v>DOMINGO Wafeeq  CT</v>
      </c>
      <c r="C37" s="804" t="str">
        <f>CONCATENATE(Women!E38," ",Women!F38)</f>
        <v>MOUTON Andrea Eden</v>
      </c>
      <c r="D37" s="137" t="str">
        <f>CONCATENATE('u19 boys'!F38," ",'u19 boys'!G38)</f>
        <v>LEKALAKALA Motshele GN</v>
      </c>
      <c r="E37" s="221" t="str">
        <f>CONCATENATE('u19 girls'!F38," ",'u19 girls'!G38)</f>
        <v>MACHI Azile ETK</v>
      </c>
      <c r="F37" s="137" t="str">
        <f>CONCATENATE('u15 boys'!F38," ",'u15 boys'!G38)</f>
        <v>PERUMAL Kiaran UMG</v>
      </c>
      <c r="G37" s="216" t="str">
        <f>CONCATENATE('u15 girls'!F38," ",'u15 girls'!G38)</f>
        <v>KESVAL Grace JTTA</v>
      </c>
      <c r="H37" s="796" t="str">
        <f>CONCATENATE('u13 boys'!F38," ",'u13 boys'!G38)</f>
        <v>SCHRIEFF Samuel CT</v>
      </c>
      <c r="I37" s="222" t="str">
        <f>CONCATENATE('u13 girls'!F38," ",'u13 girls'!G38)</f>
        <v>DJEUDJE Akheela WC</v>
      </c>
      <c r="J37" s="137" t="str">
        <f>CONCATENATE('u11 boys'!F38," ",'u11 boys'!G38)</f>
        <v>DAFETI Kwanganathi EC</v>
      </c>
      <c r="K37" s="216" t="str">
        <f>CONCATENATE('u11 girls'!F38," ",'u11 girls'!G38)</f>
        <v>GOLOGOLO Milka FS</v>
      </c>
    </row>
    <row r="38" spans="1:11" s="147" customFormat="1" ht="40" customHeight="1">
      <c r="A38" s="148">
        <f t="shared" si="0"/>
        <v>35</v>
      </c>
      <c r="B38" s="137" t="str">
        <f>CONCATENATE(Men!E39," ",Men!F39)</f>
        <v>VAKELE Lunga  GN</v>
      </c>
      <c r="C38" s="804" t="str">
        <f>CONCATENATE(Women!E39," ",Women!F39)</f>
        <v>MAHLAMVU Simone  FS</v>
      </c>
      <c r="D38" s="137" t="str">
        <f>CONCATENATE('u19 boys'!F39," ",'u19 boys'!G39)</f>
        <v>MORAILE Oreneile FS</v>
      </c>
      <c r="E38" s="221" t="str">
        <f>CONCATENATE('u19 girls'!F39," ",'u19 girls'!G39)</f>
        <v>GOVENDER  Teme' Aureliah ETTA</v>
      </c>
      <c r="F38" s="137" t="str">
        <f>CONCATENATE('u15 boys'!F39," ",'u15 boys'!G39)</f>
        <v>MUSUNGISI Marvin CT</v>
      </c>
      <c r="G38" s="216" t="str">
        <f>CONCATENATE('u15 girls'!F39," ",'u15 girls'!G39)</f>
        <v>THEUNESSIN Jody CT</v>
      </c>
      <c r="H38" s="796" t="str">
        <f>CONCATENATE('u13 boys'!F39," ",'u13 boys'!G39)</f>
        <v>Phikolethu MBANDA EC</v>
      </c>
      <c r="I38" s="222" t="str">
        <f>CONCATENATE('u13 girls'!F39," ",'u13 girls'!G39)</f>
        <v>REDDY Jordyn UMG</v>
      </c>
      <c r="J38" s="137" t="str">
        <f>CONCATENATE('u11 boys'!F39," ",'u11 boys'!G39)</f>
        <v>Indiphile VOLIBI EC</v>
      </c>
      <c r="K38" s="216" t="str">
        <f>CONCATENATE('u11 girls'!F39," ",'u11 girls'!G39)</f>
        <v>PHOKI Esinayo EC</v>
      </c>
    </row>
    <row r="39" spans="1:11" s="147" customFormat="1" ht="40" customHeight="1">
      <c r="A39" s="148">
        <f t="shared" si="0"/>
        <v>36</v>
      </c>
      <c r="B39" s="137" t="str">
        <f>CONCATENATE(Men!E40," ",Men!F40)</f>
        <v>WILLIAMS Gershwin  EDEN</v>
      </c>
      <c r="C39" s="804" t="str">
        <f>CONCATENATE(Women!E40," ",Women!F40)</f>
        <v>NAIDU Saiisha  JTTA</v>
      </c>
      <c r="D39" s="137" t="str">
        <f>CONCATENATE('u19 boys'!F40," ",'u19 boys'!G40)</f>
        <v>MARSHALL Daniel JTTA</v>
      </c>
      <c r="E39" s="221" t="str">
        <f>CONCATENATE('u19 girls'!F40," ",'u19 girls'!G40)</f>
        <v>Nevadya Rampersad UMG</v>
      </c>
      <c r="F39" s="137" t="str">
        <f>CONCATENATE('u15 boys'!F40," ",'u15 boys'!G40)</f>
        <v>ALI Shameel UMG</v>
      </c>
      <c r="G39" s="216" t="str">
        <f>CONCATENATE('u15 girls'!F40," ",'u15 girls'!G40)</f>
        <v>FOURIE Riana FS</v>
      </c>
      <c r="H39" s="796" t="str">
        <f>CONCATENATE('u13 boys'!F40," ",'u13 boys'!G40)</f>
        <v>VILAKAZI Mhlengi Kwanele ETTA</v>
      </c>
      <c r="I39" s="222" t="str">
        <f>CONCATENATE('u13 girls'!F40," ",'u13 girls'!G40)</f>
        <v>VAN DER SCHYFF Kauthar CT</v>
      </c>
      <c r="J39" s="137" t="str">
        <f>CONCATENATE('u11 boys'!F40," ",'u11 boys'!G40)</f>
        <v>MABOKO  Kamogelo LIM</v>
      </c>
      <c r="K39" s="216" t="str">
        <f>CONCATENATE('u11 girls'!F40," ",'u11 girls'!G40)</f>
        <v>MABOKO  Keneilwe Motloge LIM</v>
      </c>
    </row>
    <row r="40" spans="1:11" s="147" customFormat="1" ht="40" customHeight="1">
      <c r="A40" s="148">
        <f t="shared" si="0"/>
        <v>37</v>
      </c>
      <c r="B40" s="137" t="str">
        <f>CONCATENATE(Men!E41," ",Men!F41)</f>
        <v>MAKHAYE Mlungisi UMG</v>
      </c>
      <c r="C40" s="804" t="str">
        <f>CONCATENATE(Women!E41," ",Women!F41)</f>
        <v>MTSHAWULANA Banam EC</v>
      </c>
      <c r="D40" s="137" t="str">
        <f>CONCATENATE('u19 boys'!F41," ",'u19 boys'!G41)</f>
        <v>KAVONICH Naftali JTTA</v>
      </c>
      <c r="E40" s="221" t="str">
        <f>CONCATENATE('u19 girls'!F41," ",'u19 girls'!G41)</f>
        <v>MOODLEY Suvaria UMG</v>
      </c>
      <c r="F40" s="137" t="str">
        <f>CONCATENATE('u15 boys'!F41," ",'u15 boys'!G41)</f>
        <v>RAGHUNAN Rysan ETTA</v>
      </c>
      <c r="G40" s="216" t="str">
        <f>CONCATENATE('u15 girls'!F41," ",'u15 girls'!G41)</f>
        <v>NAIDOO Deanne ETTA</v>
      </c>
      <c r="H40" s="796" t="str">
        <f>CONCATENATE('u13 boys'!F41," ",'u13 boys'!G41)</f>
        <v>BOOYSEN Marcus CW</v>
      </c>
      <c r="I40" s="222" t="str">
        <f>CONCATENATE('u13 girls'!F41," ",'u13 girls'!G41)</f>
        <v>Chinanga Mpilo Enhle ETK</v>
      </c>
      <c r="J40" s="137" t="str">
        <f>CONCATENATE('u11 boys'!F41," ",'u11 boys'!G41)</f>
        <v>DOMINGO Yaqoob CT</v>
      </c>
      <c r="K40" s="216" t="str">
        <f>CONCATENATE('u11 girls'!F41," ",'u11 girls'!G41)</f>
        <v>OSMAN Khadija FS</v>
      </c>
    </row>
    <row r="41" spans="1:11" s="147" customFormat="1" ht="40" customHeight="1">
      <c r="A41" s="148">
        <f t="shared" si="0"/>
        <v>38</v>
      </c>
      <c r="B41" s="137" t="str">
        <f>CONCATENATE(Men!E42," ",Men!F42)</f>
        <v>MAKHUNGA Ndlelanhle  UMG</v>
      </c>
      <c r="C41" s="804" t="str">
        <f>CONCATENATE(Women!E42," ",Women!F42)</f>
        <v>DE BRUYN Lee Che'  CT</v>
      </c>
      <c r="D41" s="137" t="str">
        <f>CONCATENATE('u19 boys'!F42," ",'u19 boys'!G42)</f>
        <v>DE BEER Derrick GN</v>
      </c>
      <c r="E41" s="221" t="str">
        <f>CONCATENATE('u19 girls'!F42," ",'u19 girls'!G42)</f>
        <v>KHOZA Simangele  ETK</v>
      </c>
      <c r="F41" s="137" t="str">
        <f>CONCATENATE('u15 boys'!F42," ",'u15 boys'!G42)</f>
        <v>GOKHALE Ishaan GN</v>
      </c>
      <c r="G41" s="216" t="str">
        <f>CONCATENATE('u15 girls'!F42," ",'u15 girls'!G42)</f>
        <v>HUSVU Anotidaishe GN</v>
      </c>
      <c r="H41" s="796" t="str">
        <f>CONCATENATE('u13 boys'!F42," ",'u13 boys'!G42)</f>
        <v>Indiphile VOLIBI EC</v>
      </c>
      <c r="I41" s="222" t="str">
        <f>CONCATENATE('u13 girls'!F42," ",'u13 girls'!G42)</f>
        <v>HEERALAL Arya ETTA</v>
      </c>
      <c r="J41" s="137" t="str">
        <f>CONCATENATE('u11 boys'!F42," ",'u11 boys'!G42)</f>
        <v>BEUKES Zian Eden</v>
      </c>
      <c r="K41" s="216" t="str">
        <f>CONCATENATE('u11 girls'!F42," ",'u11 girls'!G42)</f>
        <v>MATLOU Thandi NW</v>
      </c>
    </row>
    <row r="42" spans="1:11" s="147" customFormat="1" ht="40" customHeight="1">
      <c r="A42" s="148">
        <f t="shared" si="0"/>
        <v>39</v>
      </c>
      <c r="B42" s="137" t="str">
        <f>CONCATENATE(Men!E43," ",Men!F43)</f>
        <v>ARGAMAN Alon JTTA</v>
      </c>
      <c r="C42" s="804" t="str">
        <f>CONCATENATE(Women!E43," ",Women!F43)</f>
        <v>MOODLEY Suvaria UMG</v>
      </c>
      <c r="D42" s="137" t="str">
        <f>CONCATENATE('u19 boys'!F43," ",'u19 boys'!G43)</f>
        <v>DU TOIT JG GN</v>
      </c>
      <c r="E42" s="221" t="str">
        <f>CONCATENATE('u19 girls'!F43," ",'u19 girls'!G43)</f>
        <v>DE VILLIER Adrunecia WC</v>
      </c>
      <c r="F42" s="137" t="str">
        <f>CONCATENATE('u15 boys'!F43," ",'u15 boys'!G43)</f>
        <v>ARBEE Ahmed UMG</v>
      </c>
      <c r="G42" s="216" t="str">
        <f>CONCATENATE('u15 girls'!F43," ",'u15 girls'!G43)</f>
        <v>ABRAHAMS Suzaynia WC</v>
      </c>
      <c r="H42" s="796" t="str">
        <f>CONCATENATE('u13 boys'!F43," ",'u13 boys'!G43)</f>
        <v>JACOBS Umr  CW</v>
      </c>
      <c r="I42" s="222" t="str">
        <f>CONCATENATE('u13 girls'!F43," ",'u13 girls'!G43)</f>
        <v>PEDRO Dalzanthy Eden</v>
      </c>
      <c r="J42" s="137" t="str">
        <f>CONCATENATE('u11 boys'!F43," ",'u11 boys'!G43)</f>
        <v>SOHA Lesego EKU</v>
      </c>
      <c r="K42" s="216" t="str">
        <f>CONCATENATE('u11 girls'!F43," ",'u11 girls'!G43)</f>
        <v>REDCLIFFE Zureida EC</v>
      </c>
    </row>
    <row r="43" spans="1:11" s="147" customFormat="1" ht="40" customHeight="1">
      <c r="A43" s="148">
        <f t="shared" si="0"/>
        <v>40</v>
      </c>
      <c r="B43" s="137" t="str">
        <f>CONCATENATE(Men!E44," ",Men!F44)</f>
        <v>JAWITZ Ridhaa  NMB</v>
      </c>
      <c r="C43" s="804" t="str">
        <f>CONCATENATE(Women!E44," ",Women!F44)</f>
        <v>MOATI Confidence LIM</v>
      </c>
      <c r="D43" s="137" t="str">
        <f>CONCATENATE('u19 boys'!F44," ",'u19 boys'!G44)</f>
        <v>MGENGE Nelokuhle ETTA</v>
      </c>
      <c r="E43" s="221" t="str">
        <f>CONCATENATE('u19 girls'!F44," ",'u19 girls'!G44)</f>
        <v>SWARTZ Zainick WC</v>
      </c>
      <c r="F43" s="137" t="str">
        <f>CONCATENATE('u15 boys'!F44," ",'u15 boys'!G44)</f>
        <v>CHETTY Saerin UMG</v>
      </c>
      <c r="G43" s="216" t="str">
        <f>CONCATENATE('u15 girls'!F44," ",'u15 girls'!G44)</f>
        <v>NKOSI Ntando EKU</v>
      </c>
      <c r="H43" s="796" t="str">
        <f>CONCATENATE('u13 boys'!F44," ",'u13 boys'!G44)</f>
        <v>MOKWENA Kwena  LIM</v>
      </c>
      <c r="I43" s="222" t="str">
        <f>CONCATENATE('u13 girls'!F44," ",'u13 girls'!G44)</f>
        <v>PHOKI Esinayo EC</v>
      </c>
      <c r="J43" s="137" t="str">
        <f>CONCATENATE('u11 boys'!F44," ",'u11 boys'!G44)</f>
        <v>NQGULA Njongo CT</v>
      </c>
      <c r="K43" s="216" t="str">
        <f>CONCATENATE('u11 girls'!F44," ",'u11 girls'!G44)</f>
        <v>Inako NTSHONTSHO EC</v>
      </c>
    </row>
    <row r="44" spans="1:11" s="147" customFormat="1" ht="40" customHeight="1">
      <c r="A44" s="148">
        <f t="shared" si="0"/>
        <v>41</v>
      </c>
      <c r="B44" s="137" t="str">
        <f>CONCATENATE(Men!E45," ",Men!F45)</f>
        <v>OLOKWOKERE James JTTA</v>
      </c>
      <c r="C44" s="804" t="str">
        <f>CONCATENATE(Women!E45," ",Women!F45)</f>
        <v>TSAI Ashley FS</v>
      </c>
      <c r="D44" s="137" t="str">
        <f>CONCATENATE('u19 boys'!F45," ",'u19 boys'!G45)</f>
        <v>RAMTHOL Ashlyn ETTA</v>
      </c>
      <c r="E44" s="221" t="str">
        <f>CONCATENATE('u19 girls'!F45," ",'u19 girls'!G45)</f>
        <v>ISMAIL Taahira  Ilembe</v>
      </c>
      <c r="F44" s="137" t="str">
        <f>CONCATENATE('u15 boys'!F45," ",'u15 boys'!G45)</f>
        <v>CHOHAN Abdullah UMG</v>
      </c>
      <c r="G44" s="216" t="str">
        <f>CONCATENATE('u15 girls'!F45," ",'u15 girls'!G45)</f>
        <v>GOLOGOLO Latita FS</v>
      </c>
      <c r="H44" s="796" t="str">
        <f>CONCATENATE('u13 boys'!F45," ",'u13 boys'!G45)</f>
        <v>NQGULA Njongo CT</v>
      </c>
      <c r="I44" s="222" t="str">
        <f>CONCATENATE('u13 girls'!F45," ",'u13 girls'!G45)</f>
        <v>GOLOGOLO Milka FS</v>
      </c>
      <c r="J44" s="137" t="str">
        <f>CONCATENATE('u11 boys'!F45," ",'u11 boys'!G45)</f>
        <v>REDLINGHYS Ezra UMG</v>
      </c>
      <c r="K44" s="216" t="str">
        <f>CONCATENATE('u11 girls'!F45," ",'u11 girls'!G45)</f>
        <v>BABA Sisitha  WC</v>
      </c>
    </row>
    <row r="45" spans="1:11" s="147" customFormat="1" ht="40" customHeight="1">
      <c r="A45" s="148">
        <f t="shared" si="0"/>
        <v>42</v>
      </c>
      <c r="B45" s="137" t="str">
        <f>CONCATENATE(Men!E46," ",Men!F46)</f>
        <v>JIVRAJ Bimal JTTA</v>
      </c>
      <c r="C45" s="804" t="str">
        <f>CONCATENATE(Women!E46," ",Women!F46)</f>
        <v>NAIDOO Kiara ETK</v>
      </c>
      <c r="D45" s="137" t="str">
        <f>CONCATENATE('u19 boys'!F46," ",'u19 boys'!G46)</f>
        <v>FERHELST Munier CT</v>
      </c>
      <c r="E45" s="221" t="str">
        <f>CONCATENATE('u19 girls'!F46," ",'u19 girls'!G46)</f>
        <v>RAMCHURRAN Leora UMG</v>
      </c>
      <c r="F45" s="137" t="str">
        <f>CONCATENATE('u15 boys'!F46," ",'u15 boys'!G46)</f>
        <v>INCE Sloan UMG</v>
      </c>
      <c r="G45" s="216" t="str">
        <f>CONCATENATE('u15 girls'!F46," ",'u15 girls'!G46)</f>
        <v>PADAYACHEE Prisha UMG</v>
      </c>
      <c r="H45" s="796" t="str">
        <f>CONCATENATE('u13 boys'!F46," ",'u13 boys'!G46)</f>
        <v>JACOBS Owais CT</v>
      </c>
      <c r="I45" s="222" t="str">
        <f>CONCATENATE('u13 girls'!F46," ",'u13 girls'!G46)</f>
        <v>NGQEZA Minenhle EDEN</v>
      </c>
      <c r="J45" s="137" t="str">
        <f>CONCATENATE('u11 boys'!F46," ",'u11 boys'!G46)</f>
        <v>Zayd HOOSEN JTTA</v>
      </c>
      <c r="K45" s="216" t="str">
        <f>CONCATENATE('u11 girls'!F46," ",'u11 girls'!G46)</f>
        <v>JOSEPHS Grace  CT</v>
      </c>
    </row>
    <row r="46" spans="1:11" s="147" customFormat="1" ht="40" customHeight="1">
      <c r="A46" s="148">
        <f t="shared" si="0"/>
        <v>43</v>
      </c>
      <c r="B46" s="137" t="str">
        <f>CONCATENATE(Men!E47," ",Men!F47)</f>
        <v>WILLIAMS Mark JTTA</v>
      </c>
      <c r="C46" s="804" t="str">
        <f>CONCATENATE(Women!E47," ",Women!F47)</f>
        <v>PILLAY Kimeshni UMG</v>
      </c>
      <c r="D46" s="137" t="str">
        <f>CONCATENATE('u19 boys'!F47," ",'u19 boys'!G47)</f>
        <v>DICKASON Nathan UMG</v>
      </c>
      <c r="E46" s="221" t="str">
        <f>CONCATENATE('u19 girls'!F47," ",'u19 girls'!G47)</f>
        <v>PILLAY Tarini UMG</v>
      </c>
      <c r="F46" s="137" t="str">
        <f>CONCATENATE('u15 boys'!F47," ",'u15 boys'!G47)</f>
        <v>MORYA Vedansh GN</v>
      </c>
      <c r="G46" s="216" t="str">
        <f>CONCATENATE('u15 girls'!F47," ",'u15 girls'!G47)</f>
        <v>MOGOETSI Nkosazana EKU</v>
      </c>
      <c r="H46" s="796" t="str">
        <f>CONCATENATE('u13 boys'!F47," ",'u13 boys'!G47)</f>
        <v>KLEINTJIES Brodie CW</v>
      </c>
      <c r="I46" s="222" t="str">
        <f>CONCATENATE('u13 girls'!F47," ",'u13 girls'!G47)</f>
        <v>BABA Sisitha  WC</v>
      </c>
      <c r="J46" s="137" t="str">
        <f>CONCATENATE('u11 boys'!F47," ",'u11 boys'!G47)</f>
        <v>SINGH Yuvaan ETTA</v>
      </c>
      <c r="K46" s="216" t="str">
        <f>CONCATENATE('u11 girls'!F47," ",'u11 girls'!G47)</f>
        <v>NXUMALO  Olwethu   UMZ</v>
      </c>
    </row>
    <row r="47" spans="1:11" s="147" customFormat="1" ht="40" customHeight="1">
      <c r="A47" s="148">
        <f t="shared" si="0"/>
        <v>44</v>
      </c>
      <c r="B47" s="137" t="str">
        <f>CONCATENATE(Men!E48," ",Men!F48)</f>
        <v>Williams Xhaiden EDEN</v>
      </c>
      <c r="C47" s="804" t="str">
        <f>CONCATENATE(Women!E48," ",Women!F48)</f>
        <v>PILLAY Keona UMG</v>
      </c>
      <c r="D47" s="137" t="str">
        <f>CONCATENATE('u19 boys'!F48," ",'u19 boys'!G48)</f>
        <v>PHILANDER Nahum CT</v>
      </c>
      <c r="E47" s="221" t="str">
        <f>CONCATENATE('u19 girls'!F48," ",'u19 girls'!G48)</f>
        <v>SCHOEMAN Jude CT</v>
      </c>
      <c r="F47" s="137" t="str">
        <f>CONCATENATE('u15 boys'!F48," ",'u15 boys'!G48)</f>
        <v>SETHUNYA Koketso FS</v>
      </c>
      <c r="G47" s="216" t="str">
        <f>CONCATENATE('u15 girls'!F48," ",'u15 girls'!G48)</f>
        <v>MTSHAWULANA Banam EC</v>
      </c>
      <c r="H47" s="796" t="str">
        <f>CONCATENATE('u13 boys'!F48," ",'u13 boys'!G48)</f>
        <v>MTHWA Jacob  CT</v>
      </c>
      <c r="I47" s="222" t="str">
        <f>CONCATENATE('u13 girls'!F48," ",'u13 girls'!G48)</f>
        <v>BLOM Robin  CW</v>
      </c>
      <c r="J47" s="137" t="str">
        <f>CONCATENATE('u11 boys'!F48," ",'u11 boys'!G48)</f>
        <v>WINDVOGEL Kai Eden</v>
      </c>
      <c r="K47" s="216" t="str">
        <f>CONCATENATE('u11 girls'!F48," ",'u11 girls'!G48)</f>
        <v>BUISANYANG Sethunya BOT</v>
      </c>
    </row>
    <row r="48" spans="1:11" s="147" customFormat="1" ht="40" customHeight="1">
      <c r="A48" s="148">
        <f t="shared" si="0"/>
        <v>45</v>
      </c>
      <c r="B48" s="137" t="str">
        <f>CONCATENATE(Men!E49," ",Men!F49)</f>
        <v>WERNICH Johnathan  EKU</v>
      </c>
      <c r="C48" s="804" t="str">
        <f>CONCATENATE(Women!E49," ",Women!F49)</f>
        <v>WILLIAMS Xoey CT</v>
      </c>
      <c r="D48" s="137" t="str">
        <f>CONCATENATE('u19 boys'!F49," ",'u19 boys'!G49)</f>
        <v>Manqoba Nyamate JTTA</v>
      </c>
      <c r="E48" s="221" t="str">
        <f>CONCATENATE('u19 girls'!F49," ",'u19 girls'!G49)</f>
        <v>BENSON Precious JTTA</v>
      </c>
      <c r="F48" s="137" t="str">
        <f>CONCATENATE('u15 boys'!F49," ",'u15 boys'!G49)</f>
        <v>CELE Samkelo Ayabonga ETTA</v>
      </c>
      <c r="G48" s="216" t="str">
        <f>CONCATENATE('u15 girls'!F49," ",'u15 girls'!G49)</f>
        <v>BHUNDOO Ashriya UMG</v>
      </c>
      <c r="H48" s="796" t="str">
        <f>CONCATENATE('u13 boys'!F49," ",'u13 boys'!G49)</f>
        <v>JONES Micah CT</v>
      </c>
      <c r="I48" s="222" t="str">
        <f>CONCATENATE('u13 girls'!F49," ",'u13 girls'!G49)</f>
        <v>DINISO Likum  WC</v>
      </c>
      <c r="J48" s="137" t="str">
        <f>CONCATENATE('u11 boys'!F49," ",'u11 boys'!G49)</f>
        <v>MANUEL Abdullah  CT</v>
      </c>
      <c r="K48" s="216" t="str">
        <f>CONCATENATE('u11 girls'!F49," ",'u11 girls'!G49)</f>
        <v>Aneliswa KUNENE UMZ</v>
      </c>
    </row>
    <row r="49" spans="1:11" s="147" customFormat="1" ht="40" customHeight="1">
      <c r="A49" s="148">
        <f t="shared" si="0"/>
        <v>46</v>
      </c>
      <c r="B49" s="137" t="str">
        <f>CONCATENATE(Men!E50," ",Men!F50)</f>
        <v>NWAFOR David CT</v>
      </c>
      <c r="C49" s="804" t="str">
        <f>CONCATENATE(Women!E50," ",Women!F50)</f>
        <v>ANANDHPURI Khiara UMG</v>
      </c>
      <c r="D49" s="137" t="str">
        <f>CONCATENATE('u19 boys'!F50," ",'u19 boys'!G50)</f>
        <v>VAN DEN BERG Marlo GN</v>
      </c>
      <c r="E49" s="221" t="str">
        <f>CONCATENATE('u19 girls'!F50," ",'u19 girls'!G50)</f>
        <v>LE ROUX Madelize GN</v>
      </c>
      <c r="F49" s="137" t="str">
        <f>CONCATENATE('u15 boys'!F50," ",'u15 boys'!G50)</f>
        <v>HUSVU Makomborero GN</v>
      </c>
      <c r="G49" s="216" t="str">
        <f>CONCATENATE('u15 girls'!F50," ",'u15 girls'!G50)</f>
        <v>SIVNANNAN Sivarna UMG</v>
      </c>
      <c r="H49" s="796" t="str">
        <f>CONCATENATE('u13 boys'!F50," ",'u13 boys'!G50)</f>
        <v>BEUKES Zian Eden</v>
      </c>
      <c r="I49" s="222" t="str">
        <f>CONCATENATE('u13 girls'!F50," ",'u13 girls'!G50)</f>
        <v>MAILA Shantel LIM</v>
      </c>
      <c r="J49" s="137" t="str">
        <f>CONCATENATE('u11 boys'!F50," ",'u11 boys'!G50)</f>
        <v>NGOBESE Luyanda UMZ</v>
      </c>
      <c r="K49" s="216" t="str">
        <f>CONCATENATE('u11 girls'!F50," ",'u11 girls'!G50)</f>
        <v>LOUW Leyla EDEN</v>
      </c>
    </row>
    <row r="50" spans="1:11" s="147" customFormat="1" ht="40" customHeight="1">
      <c r="A50" s="148">
        <f t="shared" si="0"/>
        <v>47</v>
      </c>
      <c r="B50" s="137" t="str">
        <f>CONCATENATE(Men!E51," ",Men!F51)</f>
        <v>HAY Abdul JTTA</v>
      </c>
      <c r="C50" s="804" t="str">
        <f>CONCATENATE(Women!E51," ",Women!F51)</f>
        <v>STALLENBERG Eugene  NMB</v>
      </c>
      <c r="D50" s="137" t="str">
        <f>CONCATENATE('u19 boys'!F51," ",'u19 boys'!G51)</f>
        <v>BROWN Evan GN</v>
      </c>
      <c r="E50" s="221" t="str">
        <f>CONCATENATE('u19 girls'!F51," ",'u19 girls'!G51)</f>
        <v>BHUGWANDEEN Prajna UMG</v>
      </c>
      <c r="F50" s="137" t="str">
        <f>CONCATENATE('u15 boys'!F51," ",'u15 boys'!G51)</f>
        <v>ECCLES Sazi GN</v>
      </c>
      <c r="G50" s="216" t="str">
        <f>CONCATENATE('u15 girls'!F51," ",'u15 girls'!G51)</f>
        <v>MOATI Nthabiseng LIM</v>
      </c>
      <c r="H50" s="796" t="str">
        <f>CONCATENATE('u13 boys'!F51," ",'u13 boys'!G51)</f>
        <v>Ditebogo Tsoai  FS</v>
      </c>
      <c r="I50" s="222" t="str">
        <f>CONCATENATE('u13 girls'!F51," ",'u13 girls'!G51)</f>
        <v>FRANCIES Ashley-Ann Eden</v>
      </c>
      <c r="J50" s="137" t="str">
        <f>CONCATENATE('u11 boys'!F51," ",'u11 boys'!G51)</f>
        <v>MBOQO Olerato NWP</v>
      </c>
      <c r="K50" s="216" t="str">
        <f>CONCATENATE('u11 girls'!F51," ",'u11 girls'!G51)</f>
        <v>MSIMANGO  Tholwana ETTA</v>
      </c>
    </row>
    <row r="51" spans="1:11" s="147" customFormat="1" ht="40" customHeight="1">
      <c r="A51" s="148">
        <f t="shared" si="0"/>
        <v>48</v>
      </c>
      <c r="B51" s="137" t="str">
        <f>CONCATENATE(Men!E52," ",Men!F52)</f>
        <v>BARTLETT Brandon JTTA</v>
      </c>
      <c r="C51" s="804" t="str">
        <f>CONCATENATE(Women!E52," ",Women!F52)</f>
        <v>HARRIS Tazmin CT</v>
      </c>
      <c r="D51" s="137" t="str">
        <f>CONCATENATE('u19 boys'!F52," ",'u19 boys'!G52)</f>
        <v>FRANK Callum UMG</v>
      </c>
      <c r="E51" s="221" t="str">
        <f>CONCATENATE('u19 girls'!F52," ",'u19 girls'!G52)</f>
        <v>GOVINDER Saranon NMB</v>
      </c>
      <c r="F51" s="137" t="str">
        <f>CONCATENATE('u15 boys'!F52," ",'u15 boys'!G52)</f>
        <v>CAYDON Brigraj UMG</v>
      </c>
      <c r="G51" s="216" t="str">
        <f>CONCATENATE('u15 girls'!F52," ",'u15 girls'!G52)</f>
        <v>NGQEZA Minenhle EDEN</v>
      </c>
      <c r="H51" s="796" t="str">
        <f>CONCATENATE('u13 boys'!F52," ",'u13 boys'!G52)</f>
        <v>KEPPLER CJ GN</v>
      </c>
      <c r="I51" s="222" t="str">
        <f>CONCATENATE('u13 girls'!F52," ",'u13 girls'!G52)</f>
        <v>KRISTIN KATA JTTA</v>
      </c>
      <c r="J51" s="137" t="str">
        <f>CONCATENATE('u11 boys'!F52," ",'u11 boys'!G52)</f>
        <v>LEPHEANE Reamohetse FS</v>
      </c>
      <c r="K51" s="216" t="str">
        <f>CONCATENATE('u11 girls'!F52," ",'u11 girls'!G52)</f>
        <v>NAIDOO Deanne ETTA</v>
      </c>
    </row>
    <row r="52" spans="1:11" s="147" customFormat="1" ht="40" customHeight="1">
      <c r="A52" s="148">
        <f t="shared" si="0"/>
        <v>49</v>
      </c>
      <c r="B52" s="137" t="str">
        <f>CONCATENATE(Men!E53," ",Men!F53)</f>
        <v>KENNEDY Damien EDEN</v>
      </c>
      <c r="C52" s="804" t="str">
        <f>CONCATENATE(Women!E53," ",Women!F53)</f>
        <v>NYSSCHENS Chervon  NMB</v>
      </c>
      <c r="D52" s="137" t="str">
        <f>CONCATENATE('u19 boys'!F53," ",'u19 boys'!G53)</f>
        <v>VAN DER MERWE Ruan GN</v>
      </c>
      <c r="E52" s="221" t="str">
        <f>CONCATENATE('u19 girls'!F53," ",'u19 girls'!G53)</f>
        <v>Carlynne KROUTZ NMB</v>
      </c>
      <c r="F52" s="137" t="str">
        <f>CONCATENATE('u15 boys'!F53," ",'u15 boys'!G53)</f>
        <v>NAGARDAS Diyaan JTTA</v>
      </c>
      <c r="G52" s="216" t="str">
        <f>CONCATENATE('u15 girls'!F53," ",'u15 girls'!G53)</f>
        <v>Motshabi Bopelo FS</v>
      </c>
      <c r="H52" s="796" t="str">
        <f>CONCATENATE('u13 boys'!F53," ",'u13 boys'!G53)</f>
        <v>TAYLIN Naipal UMG</v>
      </c>
      <c r="I52" s="222" t="str">
        <f>CONCATENATE('u13 girls'!F53," ",'u13 girls'!G53)</f>
        <v>CUPIDO Zahra-Skye CW</v>
      </c>
      <c r="J52" s="137" t="str">
        <f>CONCATENATE('u11 boys'!F53," ",'u11 boys'!G53)</f>
        <v>kelvin Zvikomborero Maposa ZIM</v>
      </c>
      <c r="K52" s="216" t="str">
        <f>CONCATENATE('u11 girls'!F53," ",'u11 girls'!G53)</f>
        <v>ABRAHAMS Zuri JTTA</v>
      </c>
    </row>
    <row r="53" spans="1:11" s="147" customFormat="1" ht="40" customHeight="1">
      <c r="A53" s="148">
        <f t="shared" si="0"/>
        <v>50</v>
      </c>
      <c r="B53" s="137" t="str">
        <f>CONCATENATE(Men!E54," ",Men!F54)</f>
        <v>MOLAHLOE Itumeleng  GN</v>
      </c>
      <c r="C53" s="804" t="str">
        <f>CONCATENATE(Women!E54," ",Women!F54)</f>
        <v>BATYO Yonela ETK</v>
      </c>
      <c r="D53" s="137" t="str">
        <f>CONCATENATE('u19 boys'!F54," ",'u19 boys'!G54)</f>
        <v>JONES Alexander CT</v>
      </c>
      <c r="E53" s="221" t="str">
        <f>CONCATENATE('u19 girls'!F54," ",'u19 girls'!G54)</f>
        <v>MOHATLI Mpho LIM</v>
      </c>
      <c r="F53" s="137" t="str">
        <f>CONCATENATE('u15 boys'!F54," ",'u15 boys'!G54)</f>
        <v>MANUAL Yaqeen CT</v>
      </c>
      <c r="G53" s="216" t="str">
        <f>CONCATENATE('u15 girls'!F54," ",'u15 girls'!G54)</f>
        <v>FRANCIES Ashley-Ann Eden</v>
      </c>
      <c r="H53" s="796" t="str">
        <f>CONCATENATE('u13 boys'!F54," ",'u13 boys'!G54)</f>
        <v>JANSEN Kian CT</v>
      </c>
      <c r="I53" s="222" t="str">
        <f>CONCATENATE('u13 girls'!F54," ",'u13 girls'!G54)</f>
        <v>FOURIE Riana FS</v>
      </c>
      <c r="J53" s="137" t="str">
        <f>CONCATENATE('u11 boys'!F54," ",'u11 boys'!G54)</f>
        <v>Prencely Israel Gweru ZIM</v>
      </c>
      <c r="K53" s="216" t="str">
        <f>CONCATENATE('u11 girls'!F54," ",'u11 girls'!G54)</f>
        <v>SHORTLES Mia  CW</v>
      </c>
    </row>
    <row r="54" spans="1:11" s="147" customFormat="1" ht="40" customHeight="1">
      <c r="A54" s="148">
        <f t="shared" si="0"/>
        <v>51</v>
      </c>
      <c r="B54" s="137" t="str">
        <f>CONCATENATE(Men!E55," ",Men!F55)</f>
        <v>MOLETE Godfrey  FS</v>
      </c>
      <c r="C54" s="804" t="str">
        <f>CONCATENATE(Women!E55," ",Women!F55)</f>
        <v>NTLALI Zizipho  CT</v>
      </c>
      <c r="D54" s="137" t="str">
        <f>CONCATENATE('u19 boys'!F55," ",'u19 boys'!G55)</f>
        <v>BHUNDOO Aryik UMG</v>
      </c>
      <c r="E54" s="221" t="str">
        <f>CONCATENATE('u19 girls'!F55," ",'u19 girls'!G55)</f>
        <v>THEUNESSIN Jody CT</v>
      </c>
      <c r="F54" s="137" t="str">
        <f>CONCATENATE('u15 boys'!F55," ",'u15 boys'!G55)</f>
        <v>NYAMKHAZI Anethemba EC</v>
      </c>
      <c r="G54" s="216" t="str">
        <f>CONCATENATE('u15 girls'!F55," ",'u15 girls'!G55)</f>
        <v>MODIKA  Seipati Audrey  LIM</v>
      </c>
      <c r="H54" s="796" t="str">
        <f>CONCATENATE('u13 boys'!F55," ",'u13 boys'!G55)</f>
        <v>SETHUNYA Koketso FS</v>
      </c>
      <c r="I54" s="222" t="str">
        <f>CONCATENATE('u13 girls'!F55," ",'u13 girls'!G55)</f>
        <v>PHIRI Thato EKU</v>
      </c>
      <c r="J54" s="137" t="str">
        <f>CONCATENATE('u11 boys'!F55," ",'u11 boys'!G55)</f>
        <v>WAKENS Zeegon  CT</v>
      </c>
      <c r="K54" s="216" t="str">
        <f>CONCATENATE('u11 girls'!F55," ",'u11 girls'!G55)</f>
        <v>MODIKA  Michelle Trudy Vukona LIM</v>
      </c>
    </row>
    <row r="55" spans="1:11" s="147" customFormat="1" ht="40" customHeight="1">
      <c r="A55" s="148">
        <f t="shared" si="0"/>
        <v>52</v>
      </c>
      <c r="B55" s="137" t="str">
        <f>CONCATENATE(Men!E56," ",Men!F56)</f>
        <v>NXUMALO Luyanda  UMG</v>
      </c>
      <c r="C55" s="804" t="str">
        <f>CONCATENATE(Women!E56," ",Women!F56)</f>
        <v>Phoofolo Refilwe FS</v>
      </c>
      <c r="D55" s="137" t="str">
        <f>CONCATENATE('u19 boys'!F56," ",'u19 boys'!G56)</f>
        <v>JOUBERT Adriaan GN</v>
      </c>
      <c r="E55" s="221" t="str">
        <f>CONCATENATE('u19 girls'!F56," ",'u19 girls'!G56)</f>
        <v>ALEXANDER Jada CT</v>
      </c>
      <c r="F55" s="137" t="str">
        <f>CONCATENATE('u15 boys'!F56," ",'u15 boys'!G56)</f>
        <v>ISAACS Yaghya CT</v>
      </c>
      <c r="G55" s="216" t="str">
        <f>CONCATENATE('u15 girls'!F56," ",'u15 girls'!G56)</f>
        <v>REURINK Noa-Marie CW</v>
      </c>
      <c r="H55" s="796" t="str">
        <f>CONCATENATE('u13 boys'!F56," ",'u13 boys'!G56)</f>
        <v>ECCLES Sazi GN</v>
      </c>
      <c r="I55" s="222" t="str">
        <f>CONCATENATE('u13 girls'!F56," ",'u13 girls'!G56)</f>
        <v>Bokamoso Mojatau  FS</v>
      </c>
      <c r="J55" s="137" t="str">
        <f>CONCATENATE('u11 boys'!F56," ",'u11 boys'!G56)</f>
        <v>MOKHUTSANE Omphemetse DRKKTTA</v>
      </c>
      <c r="K55" s="216" t="str">
        <f>CONCATENATE('u11 girls'!F56," ",'u11 girls'!G56)</f>
        <v>Omphile Motsoari  FS</v>
      </c>
    </row>
    <row r="56" spans="1:11" s="147" customFormat="1" ht="40" customHeight="1">
      <c r="A56" s="148">
        <f t="shared" si="0"/>
        <v>53</v>
      </c>
      <c r="B56" s="137" t="str">
        <f>CONCATENATE(Men!E57," ",Men!F57)</f>
        <v>CHETTY Zachariah ETTA</v>
      </c>
      <c r="C56" s="804" t="str">
        <f>CONCATENATE(Women!E57," ",Women!F57)</f>
        <v>SALIE Tamara GN</v>
      </c>
      <c r="D56" s="137" t="str">
        <f>CONCATENATE('u19 boys'!F57," ",'u19 boys'!G57)</f>
        <v>RAMOLLO Mahlatse LIM</v>
      </c>
      <c r="E56" s="221" t="str">
        <f>CONCATENATE('u19 girls'!F57," ",'u19 girls'!G57)</f>
        <v>MOLOI Lusanda UMG</v>
      </c>
      <c r="F56" s="137" t="str">
        <f>CONCATENATE('u15 boys'!F57," ",'u15 boys'!G57)</f>
        <v>LETSOALO Kabelo LIM</v>
      </c>
      <c r="G56" s="216" t="str">
        <f>CONCATENATE('u15 girls'!F57," ",'u15 girls'!G57)</f>
        <v>SWARTZ Zainick WC</v>
      </c>
      <c r="H56" s="796" t="str">
        <f>CONCATENATE('u13 boys'!F57," ",'u13 boys'!G57)</f>
        <v>PAKO Shaun  LIM</v>
      </c>
      <c r="I56" s="222" t="str">
        <f>CONCATENATE('u13 girls'!F57," ",'u13 girls'!G57)</f>
        <v>MAJIEDT Logan CT</v>
      </c>
      <c r="J56" s="137" t="str">
        <f>CONCATENATE('u11 boys'!F57," ",'u11 boys'!G57)</f>
        <v>MOKWANA  Reabetswe LIM</v>
      </c>
      <c r="K56" s="216" t="str">
        <f>CONCATENATE('u11 girls'!F57," ",'u11 girls'!G57)</f>
        <v>Leche VERSTER GN</v>
      </c>
    </row>
    <row r="57" spans="1:11" s="147" customFormat="1" ht="40" customHeight="1">
      <c r="A57" s="148">
        <f t="shared" si="0"/>
        <v>54</v>
      </c>
      <c r="B57" s="137" t="str">
        <f>CONCATENATE(Men!E58," ",Men!F58)</f>
        <v>SWEATZ Denver  CT</v>
      </c>
      <c r="C57" s="804" t="str">
        <f>CONCATENATE(Women!E58," ",Women!F58)</f>
        <v>KUSE Anande  CT</v>
      </c>
      <c r="D57" s="137" t="str">
        <f>CONCATENATE('u19 boys'!F58," ",'u19 boys'!G58)</f>
        <v>RAGUMAN Raidan ETTA</v>
      </c>
      <c r="E57" s="221" t="str">
        <f>CONCATENATE('u19 girls'!F58," ",'u19 girls'!G58)</f>
        <v>MATSIE Halaletsang FS</v>
      </c>
      <c r="F57" s="137" t="str">
        <f>CONCATENATE('u15 boys'!F58," ",'u15 boys'!G58)</f>
        <v>MOOSA  Shiraaz FS</v>
      </c>
      <c r="G57" s="216" t="str">
        <f>CONCATENATE('u15 girls'!F58," ",'u15 girls'!G58)</f>
        <v>HOFFMAN Jae-Leigh Eden</v>
      </c>
      <c r="H57" s="796" t="str">
        <f>CONCATENATE('u13 boys'!F58," ",'u13 boys'!G58)</f>
        <v>KLAASEN Liam  CT</v>
      </c>
      <c r="I57" s="222" t="str">
        <f>CONCATENATE('u13 girls'!F58," ",'u13 girls'!G58)</f>
        <v>FAKEY Imaan GN</v>
      </c>
      <c r="J57" s="137" t="str">
        <f>CONCATENATE('u11 boys'!F58," ",'u11 boys'!G58)</f>
        <v>MBETHE Ayola EC</v>
      </c>
      <c r="K57" s="216" t="str">
        <f>CONCATENATE('u11 girls'!F58," ",'u11 girls'!G58)</f>
        <v>Reabetswe Tiro  NW</v>
      </c>
    </row>
    <row r="58" spans="1:11" s="147" customFormat="1" ht="40" customHeight="1">
      <c r="A58" s="148">
        <f t="shared" si="0"/>
        <v>55</v>
      </c>
      <c r="B58" s="137" t="str">
        <f>CONCATENATE(Men!E59," ",Men!F59)</f>
        <v>NDWABASII Ezile  EKU</v>
      </c>
      <c r="C58" s="804" t="str">
        <f>CONCATENATE(Women!E59," ",Women!F59)</f>
        <v>GOKAL Mahi ETK</v>
      </c>
      <c r="D58" s="137" t="str">
        <f>CONCATENATE('u19 boys'!F59," ",'u19 boys'!G59)</f>
        <v>MAAKE Tebogo LIM</v>
      </c>
      <c r="E58" s="221" t="str">
        <f>CONCATENATE('u19 girls'!F59," ",'u19 girls'!G59)</f>
        <v>MFUNDISI Naledi FS</v>
      </c>
      <c r="F58" s="137" t="str">
        <f>CONCATENATE('u15 boys'!F59," ",'u15 boys'!G59)</f>
        <v>RAMASAMY Nikhil NMB</v>
      </c>
      <c r="G58" s="216" t="str">
        <f>CONCATENATE('u15 girls'!F59," ",'u15 girls'!G59)</f>
        <v>Tamzin Human CW</v>
      </c>
      <c r="H58" s="796" t="str">
        <f>CONCATENATE('u13 boys'!F59," ",'u13 boys'!G59)</f>
        <v>WILSON Aiden  CT</v>
      </c>
      <c r="I58" s="222" t="str">
        <f>CONCATENATE('u13 girls'!F59," ",'u13 girls'!G59)</f>
        <v>NXUMALO  Olwethu   UMZ</v>
      </c>
      <c r="J58" s="137" t="str">
        <f>CONCATENATE('u11 boys'!F59," ",'u11 boys'!G59)</f>
        <v>ZHANG Derick FS</v>
      </c>
      <c r="K58" s="216" t="str">
        <f>CONCATENATE('u11 girls'!F59," ",'u11 girls'!G59)</f>
        <v>MAJIEDT Logan CT</v>
      </c>
    </row>
    <row r="59" spans="1:11" s="147" customFormat="1" ht="40" customHeight="1">
      <c r="A59" s="148">
        <f t="shared" si="0"/>
        <v>56</v>
      </c>
      <c r="B59" s="137" t="str">
        <f>CONCATENATE(Men!E60," ",Men!F60)</f>
        <v>AJIBADE Sunday ETTA</v>
      </c>
      <c r="C59" s="804" t="str">
        <f>CONCATENATE(Women!E60," ",Women!F60)</f>
        <v>Carlynne KROUTZ NMB</v>
      </c>
      <c r="D59" s="137" t="str">
        <f>CONCATENATE('u19 boys'!F60," ",'u19 boys'!G60)</f>
        <v>INCE Sloan UMG</v>
      </c>
      <c r="E59" s="221" t="str">
        <f>CONCATENATE('u19 girls'!F60," ",'u19 girls'!G60)</f>
        <v>FAKEY Imaan GN</v>
      </c>
      <c r="F59" s="137" t="str">
        <f>CONCATENATE('u15 boys'!F60," ",'u15 boys'!G60)</f>
        <v>RAMCHURRAN Diyaan UMG</v>
      </c>
      <c r="G59" s="216" t="str">
        <f>CONCATENATE('u15 girls'!F60," ",'u15 girls'!G60)</f>
        <v>HUSVU Tadiwanashi GN</v>
      </c>
      <c r="H59" s="796" t="str">
        <f>CONCATENATE('u13 boys'!F60," ",'u13 boys'!G60)</f>
        <v>LEEUW Mbulelo FS</v>
      </c>
      <c r="I59" s="222" t="str">
        <f>CONCATENATE('u13 girls'!F60," ",'u13 girls'!G60)</f>
        <v>SHORTLES Mia  CW</v>
      </c>
      <c r="J59" s="137" t="str">
        <f>CONCATENATE('u11 boys'!F60," ",'u11 boys'!G60)</f>
        <v>MOTSE Noge FS</v>
      </c>
      <c r="K59" s="216" t="str">
        <f>CONCATENATE('u11 girls'!F60," ",'u11 girls'!G60)</f>
        <v>JAYSON Raylin CT</v>
      </c>
    </row>
    <row r="60" spans="1:11" s="147" customFormat="1" ht="40" customHeight="1">
      <c r="A60" s="148">
        <f t="shared" si="0"/>
        <v>57</v>
      </c>
      <c r="B60" s="137" t="str">
        <f>CONCATENATE(Men!E61," ",Men!F61)</f>
        <v>BABA Tashreeq CT</v>
      </c>
      <c r="C60" s="804" t="str">
        <f>CONCATENATE(Women!E61," ",Women!F61)</f>
        <v>GOVINDER Saranon NMB</v>
      </c>
      <c r="D60" s="137" t="str">
        <f>CONCATENATE('u19 boys'!F61," ",'u19 boys'!G61)</f>
        <v>PADAYACHEE Rivaal UMG</v>
      </c>
      <c r="E60" s="221" t="str">
        <f>CONCATENATE('u19 girls'!F61," ",'u19 girls'!G61)</f>
        <v>Letshego PHEKONYANE FS</v>
      </c>
      <c r="F60" s="137" t="str">
        <f>CONCATENATE('u15 boys'!F61," ",'u15 boys'!G61)</f>
        <v>BECHOO Elijah Raphael ETTA</v>
      </c>
      <c r="G60" s="216" t="str">
        <f>CONCATENATE('u15 girls'!F61," ",'u15 girls'!G61)</f>
        <v>MACHI Azile ETK</v>
      </c>
      <c r="H60" s="796" t="str">
        <f>CONCATENATE('u13 boys'!F61," ",'u13 boys'!G61)</f>
        <v>METCALF Crispin UMG</v>
      </c>
      <c r="I60" s="222" t="str">
        <f>CONCATENATE('u13 girls'!F61," ",'u13 girls'!G61)</f>
        <v>CARRASCO Ceira FS</v>
      </c>
      <c r="J60" s="137" t="str">
        <f>CONCATENATE('u11 boys'!F61," ",'u11 boys'!G61)</f>
        <v>SITHENDE Lithalethu EC</v>
      </c>
      <c r="K60" s="216" t="str">
        <f>CONCATENATE('u11 girls'!F61," ",'u11 girls'!G61)</f>
        <v>PARBHOODEEN Akshara Gemma UMG</v>
      </c>
    </row>
    <row r="61" spans="1:11" s="147" customFormat="1" ht="40" customHeight="1">
      <c r="A61" s="148">
        <f t="shared" si="0"/>
        <v>58</v>
      </c>
      <c r="B61" s="137" t="str">
        <f>CONCATENATE(Men!E62," ",Men!F62)</f>
        <v>SIVNARAIN Kivesh  ETTA</v>
      </c>
      <c r="C61" s="804" t="str">
        <f>CONCATENATE(Women!E62," ",Women!F62)</f>
        <v>LYNERS Shireen  CT</v>
      </c>
      <c r="D61" s="137" t="str">
        <f>CONCATENATE('u19 boys'!F62," ",'u19 boys'!G62)</f>
        <v>BRANDON Faghrie NMB</v>
      </c>
      <c r="E61" s="221" t="str">
        <f>CONCATENATE('u19 girls'!F62," ",'u19 girls'!G62)</f>
        <v>MOGALADI Briana BOT</v>
      </c>
      <c r="F61" s="137" t="str">
        <f>CONCATENATE('u15 boys'!F62," ",'u15 boys'!G62)</f>
        <v>MNGADI Sinakhokonke  UMG</v>
      </c>
      <c r="G61" s="216" t="str">
        <f>CONCATENATE('u15 girls'!F62," ",'u15 girls'!G62)</f>
        <v>NJEMLA Olwethu   ETK</v>
      </c>
      <c r="H61" s="796" t="str">
        <f>CONCATENATE('u13 boys'!F62," ",'u13 boys'!G62)</f>
        <v>MARUMO Amogelang FS</v>
      </c>
      <c r="I61" s="222" t="str">
        <f>CONCATENATE('u13 girls'!F62," ",'u13 girls'!G62)</f>
        <v>JELE Jasmin JTTA</v>
      </c>
      <c r="J61" s="137" t="str">
        <f>CONCATENATE('u11 boys'!F62," ",'u11 boys'!G62)</f>
        <v>SEKIKE Kgotso FS</v>
      </c>
      <c r="K61" s="216" t="str">
        <f>CONCATENATE('u11 girls'!F62," ",'u11 girls'!G62)</f>
        <v>GOLOGOLO Latita FS</v>
      </c>
    </row>
    <row r="62" spans="1:11" s="147" customFormat="1" ht="40" customHeight="1">
      <c r="A62" s="148">
        <f t="shared" si="0"/>
        <v>59</v>
      </c>
      <c r="B62" s="137" t="str">
        <f>CONCATENATE(Men!E63," ",Men!F63)</f>
        <v>HUSSAIN Talal FS</v>
      </c>
      <c r="C62" s="804" t="str">
        <f>CONCATENATE(Women!E63," ",Women!F63)</f>
        <v>Nokubonga Mabaso (FS)  FS</v>
      </c>
      <c r="D62" s="137" t="str">
        <f>CONCATENATE('u19 boys'!F63," ",'u19 boys'!G63)</f>
        <v>RAMASAMY Mikhael NMB</v>
      </c>
      <c r="E62" s="221" t="str">
        <f>CONCATENATE('u19 girls'!F63," ",'u19 girls'!G63)</f>
        <v>Jyante Jacobs CT</v>
      </c>
      <c r="F62" s="137" t="str">
        <f>CONCATENATE('u15 boys'!F63," ",'u15 boys'!G63)</f>
        <v>MDEBUKA Nhlanhla  FS</v>
      </c>
      <c r="G62" s="216" t="str">
        <f>CONCATENATE('u15 girls'!F63," ",'u15 girls'!G63)</f>
        <v>CELE Anathi Yonenhle ETK</v>
      </c>
      <c r="H62" s="796" t="str">
        <f>CONCATENATE('u13 boys'!F63," ",'u13 boys'!G63)</f>
        <v>Theophilus ADDO GN</v>
      </c>
      <c r="I62" s="222" t="str">
        <f>CONCATENATE('u13 girls'!F63," ",'u13 girls'!G63)</f>
        <v>BHATYO Sibongile  ETK</v>
      </c>
      <c r="J62" s="137" t="str">
        <f>CONCATENATE('u11 boys'!F63," ",'u11 boys'!G63)</f>
        <v>Omphile Tsoai  FS</v>
      </c>
      <c r="K62" s="216" t="str">
        <f>CONCATENATE('u11 girls'!F63," ",'u11 girls'!G63)</f>
        <v>NGAMBU Asekhona EC</v>
      </c>
    </row>
    <row r="63" spans="1:11" s="147" customFormat="1" ht="40" customHeight="1">
      <c r="A63" s="148">
        <f t="shared" si="0"/>
        <v>60</v>
      </c>
      <c r="B63" s="137" t="str">
        <f>CONCATENATE(Men!E64," ",Men!F64)</f>
        <v>LINGEVELDT Matthew CT</v>
      </c>
      <c r="C63" s="804" t="str">
        <f>CONCATENATE(Women!E64," ",Women!F64)</f>
        <v>RAMPHAL Rashmika JTTA</v>
      </c>
      <c r="D63" s="137" t="str">
        <f>CONCATENATE('u19 boys'!F64," ",'u19 boys'!G64)</f>
        <v>ROCKMAN Thegan CT</v>
      </c>
      <c r="E63" s="221" t="str">
        <f>CONCATENATE('u19 girls'!F64," ",'u19 girls'!G64)</f>
        <v>MARAIS Taylor  CT</v>
      </c>
      <c r="F63" s="137" t="str">
        <f>CONCATENATE('u15 boys'!F64," ",'u15 boys'!G64)</f>
        <v>RAKAMOSO Sekele EKU</v>
      </c>
      <c r="G63" s="216" t="str">
        <f>CONCATENATE('u15 girls'!F64," ",'u15 girls'!G64)</f>
        <v>WAGH Aditi GN</v>
      </c>
      <c r="H63" s="796" t="str">
        <f>CONCATENATE('u13 boys'!F64," ",'u13 boys'!G64)</f>
        <v>REDDY Mikyle ETTA</v>
      </c>
      <c r="I63" s="222" t="str">
        <f>CONCATENATE('u13 girls'!F64," ",'u13 girls'!G64)</f>
        <v>Sinesipho MBOWENI EC</v>
      </c>
      <c r="J63" s="137" t="str">
        <f>CONCATENATE('u11 boys'!F64," ",'u11 boys'!G64)</f>
        <v>CJ VERSTER GN</v>
      </c>
      <c r="K63" s="216" t="str">
        <f>CONCATENATE('u11 girls'!F64," ",'u11 girls'!G64)</f>
        <v>MPHUNGA Amkele EC</v>
      </c>
    </row>
    <row r="64" spans="1:11" s="147" customFormat="1" ht="40" customHeight="1">
      <c r="A64" s="148">
        <f t="shared" si="0"/>
        <v>61</v>
      </c>
      <c r="B64" s="137" t="str">
        <f>CONCATENATE(Men!E65," ",Men!F65)</f>
        <v>MARTIN Ethan GN</v>
      </c>
      <c r="C64" s="804" t="str">
        <f>CONCATENATE(Women!E65," ",Women!F65)</f>
        <v>PILLAY Saihurie UMG</v>
      </c>
      <c r="D64" s="137" t="str">
        <f>CONCATENATE('u19 boys'!F65," ",'u19 boys'!G65)</f>
        <v>RAMASAMY Nikhil NMB</v>
      </c>
      <c r="E64" s="221" t="str">
        <f>CONCATENATE('u19 girls'!F65," ",'u19 girls'!G65)</f>
        <v>KANNIE Jazmine UMG</v>
      </c>
      <c r="F64" s="137" t="str">
        <f>CONCATENATE('u15 boys'!F65," ",'u15 boys'!G65)</f>
        <v>JACOBS Ghaneef CW</v>
      </c>
      <c r="G64" s="216" t="str">
        <f>CONCATENATE('u15 girls'!F65," ",'u15 girls'!G65)</f>
        <v>Thobeka Ntsolloane  FS</v>
      </c>
      <c r="H64" s="796" t="str">
        <f>CONCATENATE('u13 boys'!F65," ",'u13 boys'!G65)</f>
        <v>PENNELS Zain  CT</v>
      </c>
      <c r="I64" s="222" t="str">
        <f>CONCATENATE('u13 girls'!F65," ",'u13 girls'!G65)</f>
        <v>MOTLHABANE Masa BOT</v>
      </c>
      <c r="J64" s="137" t="str">
        <f>CONCATENATE('u11 boys'!F65," ",'u11 boys'!G65)</f>
        <v>HLASA Jafta EKU</v>
      </c>
      <c r="K64" s="216" t="str">
        <f>CONCATENATE('u11 girls'!F65," ",'u11 girls'!G65)</f>
        <v>MABILO Delite NW</v>
      </c>
    </row>
    <row r="65" spans="1:11" s="147" customFormat="1" ht="40" customHeight="1">
      <c r="A65" s="148">
        <f t="shared" si="0"/>
        <v>62</v>
      </c>
      <c r="B65" s="137" t="str">
        <f>CONCATENATE(Men!E66," ",Men!F66)</f>
        <v>NTSWELI Alizwa  EC</v>
      </c>
      <c r="C65" s="804" t="str">
        <f>CONCATENATE(Women!E66," ",Women!F66)</f>
        <v>Mofokeng Topollo ETK</v>
      </c>
      <c r="D65" s="137" t="str">
        <f>CONCATENATE('u19 boys'!F66," ",'u19 boys'!G66)</f>
        <v>SMIT Logan GN</v>
      </c>
      <c r="E65" s="221" t="str">
        <f>CONCATENATE('u19 girls'!F66," ",'u19 girls'!G66)</f>
        <v>CINGO  Anele  ETTA</v>
      </c>
      <c r="F65" s="137" t="str">
        <f>CONCATENATE('u15 boys'!F66," ",'u15 boys'!G66)</f>
        <v>RAMASAMY Mikhael NMB</v>
      </c>
      <c r="G65" s="216" t="str">
        <f>CONCATENATE('u15 girls'!F66," ",'u15 girls'!G66)</f>
        <v>L Mahlape  FS</v>
      </c>
      <c r="H65" s="796" t="str">
        <f>CONCATENATE('u13 boys'!F66," ",'u13 boys'!G66)</f>
        <v>NGWEU Samkelo ETTA</v>
      </c>
      <c r="I65" s="222" t="str">
        <f>CONCATENATE('u13 girls'!F66," ",'u13 girls'!G66)</f>
        <v>Reneiloe Mosoang  FS</v>
      </c>
      <c r="J65" s="137" t="str">
        <f>CONCATENATE('u11 boys'!F66," ",'u11 boys'!G66)</f>
        <v>MOETI Amohelang JTTA</v>
      </c>
      <c r="K65" s="216" t="str">
        <f>CONCATENATE('u11 girls'!F66," ",'u11 girls'!G66)</f>
        <v>LETELE Katlego EKU</v>
      </c>
    </row>
    <row r="66" spans="1:11" s="147" customFormat="1" ht="40" customHeight="1">
      <c r="A66" s="148">
        <f t="shared" si="0"/>
        <v>63</v>
      </c>
      <c r="B66" s="137" t="str">
        <f>CONCATENATE(Men!E67," ",Men!F67)</f>
        <v>SCHROEDER Mekhail  CT</v>
      </c>
      <c r="C66" s="804" t="str">
        <f>CONCATENATE(Women!E67," ",Women!F67)</f>
        <v>BHUNDOO Ashriya UMG</v>
      </c>
      <c r="D66" s="137" t="str">
        <f>CONCATENATE('u19 boys'!F67," ",'u19 boys'!G67)</f>
        <v>PATEL Umair UMG</v>
      </c>
      <c r="E66" s="221" t="str">
        <f>CONCATENATE('u19 girls'!F67," ",'u19 girls'!G67)</f>
        <v>NACKERDIEN Zahra CW</v>
      </c>
      <c r="F66" s="137" t="str">
        <f>CONCATENATE('u15 boys'!F67," ",'u15 boys'!G67)</f>
        <v>ROCKMAN Tiago NMB</v>
      </c>
      <c r="G66" s="216" t="str">
        <f>CONCATENATE('u15 girls'!F67," ",'u15 girls'!G67)</f>
        <v>NKELE Boitlamo BOT</v>
      </c>
      <c r="H66" s="796" t="str">
        <f>CONCATENATE('u13 boys'!F67," ",'u13 boys'!G67)</f>
        <v>NGIDI Bayanda ETTA</v>
      </c>
      <c r="I66" s="222" t="str">
        <f>CONCATENATE('u13 girls'!F67," ",'u13 girls'!G67)</f>
        <v>K Moroe  FS</v>
      </c>
      <c r="J66" s="137" t="str">
        <f>CONCATENATE('u11 boys'!F67," ",'u11 boys'!G67)</f>
        <v>MTHWA Jacob  CT</v>
      </c>
      <c r="K66" s="216" t="str">
        <f>CONCATENATE('u11 girls'!F67," ",'u11 girls'!G67)</f>
        <v>PHIRI Thato EKU</v>
      </c>
    </row>
    <row r="67" spans="1:11" s="147" customFormat="1" ht="40" customHeight="1">
      <c r="A67" s="148">
        <f t="shared" si="0"/>
        <v>64</v>
      </c>
      <c r="B67" s="137" t="str">
        <f>CONCATENATE(Men!E68," ",Men!F68)</f>
        <v>CARRASCO Vic  FS</v>
      </c>
      <c r="C67" s="804" t="str">
        <f>CONCATENATE(Women!E68," ",Women!F68)</f>
        <v>SHEIK-HOOSEN Salma  JTTA</v>
      </c>
      <c r="D67" s="137" t="str">
        <f>CONCATENATE('u19 boys'!F68," ",'u19 boys'!G68)</f>
        <v>MADIWA Michael Tinotenda ZIM</v>
      </c>
      <c r="E67" s="221" t="str">
        <f>CONCATENATE('u19 girls'!F68," ",'u19 girls'!G68)</f>
        <v>VUKUVUKU Sinesipho EC</v>
      </c>
      <c r="F67" s="137" t="str">
        <f>CONCATENATE('u15 boys'!F68," ",'u15 boys'!G68)</f>
        <v>NGWEU Samkelo ETTA</v>
      </c>
      <c r="G67" s="216" t="str">
        <f>CONCATENATE('u15 girls'!F68," ",'u15 girls'!G68)</f>
        <v xml:space="preserve"> DAVID Carol BOT</v>
      </c>
      <c r="H67" s="796" t="str">
        <f>CONCATENATE('u13 boys'!F68," ",'u13 boys'!G68)</f>
        <v>MANDLENKOSI Muthwa ETTA</v>
      </c>
      <c r="I67" s="222" t="str">
        <f>CONCATENATE('u13 girls'!F68," ",'u13 girls'!G68)</f>
        <v>MABOTJANE Mapaseka EKU</v>
      </c>
      <c r="J67" s="137" t="str">
        <f>CONCATENATE('u11 boys'!F68," ",'u11 boys'!G68)</f>
        <v>ADONIS Keagan EC</v>
      </c>
      <c r="K67" s="216" t="str">
        <f>CONCATENATE('u11 girls'!F68," ",'u11 girls'!G68)</f>
        <v>JAMESON  Sisanda FS</v>
      </c>
    </row>
    <row r="68" spans="1:11" s="147" customFormat="1" ht="40" customHeight="1">
      <c r="A68" s="148">
        <f t="shared" si="0"/>
        <v>65</v>
      </c>
      <c r="B68" s="137" t="str">
        <f>CONCATENATE(Men!E69," ",Men!F69)</f>
        <v>BADAT Ismail  JTTA</v>
      </c>
      <c r="C68" s="804" t="str">
        <f>CONCATENATE(Women!E69," ",Women!F69)</f>
        <v>BIGGAS Kaitlin  ETK</v>
      </c>
      <c r="D68" s="137" t="str">
        <f>CONCATENATE('u19 boys'!F69," ",'u19 boys'!G69)</f>
        <v>SWANEPOEL Shane GN</v>
      </c>
      <c r="E68" s="221" t="str">
        <f>CONCATENATE('u19 girls'!F69," ",'u19 girls'!G69)</f>
        <v xml:space="preserve">MARSHALL Lael JTTA </v>
      </c>
      <c r="F68" s="137" t="str">
        <f>CONCATENATE('u15 boys'!F69," ",'u15 boys'!G69)</f>
        <v>APPOLLIS Jayrin CW</v>
      </c>
      <c r="G68" s="216" t="str">
        <f>CONCATENATE('u15 girls'!F69," ",'u15 girls'!G69)</f>
        <v>MOGALADI Briana BOT</v>
      </c>
      <c r="H68" s="796" t="str">
        <f>CONCATENATE('u13 boys'!F69," ",'u13 boys'!G69)</f>
        <v>Yamkelo ETTA</v>
      </c>
      <c r="I68" s="222" t="str">
        <f>CONCATENATE('u13 girls'!F69," ",'u13 girls'!G69)</f>
        <v>MOTLOUNG Neo EKU</v>
      </c>
      <c r="J68" s="137" t="str">
        <f>CONCATENATE('u11 boys'!F69," ",'u11 boys'!G69)</f>
        <v>Indivile VOLIBI EC</v>
      </c>
      <c r="K68" s="216" t="str">
        <f>CONCATENATE('u11 girls'!F69," ",'u11 girls'!G69)</f>
        <v>Reneiloe Mosoang  FS</v>
      </c>
    </row>
    <row r="69" spans="1:11" s="147" customFormat="1" ht="40" customHeight="1">
      <c r="A69" s="148">
        <f t="shared" si="0"/>
        <v>66</v>
      </c>
      <c r="B69" s="137" t="str">
        <f>CONCATENATE(Men!E70," ",Men!F70)</f>
        <v>NAIDOO Daniel ETTA</v>
      </c>
      <c r="C69" s="804" t="str">
        <f>CONCATENATE(Women!E70," ",Women!F70)</f>
        <v>SASSU Judit JTTA</v>
      </c>
      <c r="D69" s="137" t="str">
        <f>CONCATENATE('u19 boys'!F70," ",'u19 boys'!G70)</f>
        <v>CELE Sbongakonke Wandile ETTA</v>
      </c>
      <c r="E69" s="221" t="str">
        <f>CONCATENATE('u19 girls'!F70," ",'u19 girls'!G70)</f>
        <v>HUSVU Anotidaishe GN</v>
      </c>
      <c r="F69" s="137" t="str">
        <f>CONCATENATE('u15 boys'!F70," ",'u15 boys'!G70)</f>
        <v>MAART Cughan CW</v>
      </c>
      <c r="G69" s="216" t="str">
        <f>CONCATENATE('u15 girls'!F70," ",'u15 girls'!G70)</f>
        <v>MOHATLI Dipheta LIM</v>
      </c>
      <c r="H69" s="796" t="str">
        <f>CONCATENATE('u13 boys'!F70," ",'u13 boys'!G70)</f>
        <v>PLASH Plan  ZIM</v>
      </c>
      <c r="I69" s="222" t="str">
        <f>CONCATENATE('u13 girls'!F70," ",'u13 girls'!G70)</f>
        <v>TSHABALALA Asemahle JTTA</v>
      </c>
      <c r="J69" s="137" t="str">
        <f>CONCATENATE('u11 boys'!F70," ",'u11 boys'!G70)</f>
        <v>DITHIPE N NWP</v>
      </c>
      <c r="K69" s="216" t="str">
        <f>CONCATENATE('u11 girls'!F70," ",'u11 girls'!G70)</f>
        <v>MOHANLAL Narisha UMG</v>
      </c>
    </row>
    <row r="70" spans="1:11" s="147" customFormat="1" ht="40" customHeight="1">
      <c r="A70" s="148">
        <f t="shared" ref="A70:A133" si="1">A69+1</f>
        <v>67</v>
      </c>
      <c r="B70" s="137" t="str">
        <f>CONCATENATE(Men!E71," ",Men!F71)</f>
        <v>JANHI Nick ZIM</v>
      </c>
      <c r="C70" s="804" t="str">
        <f>CONCATENATE(Women!E71," ",Women!F71)</f>
        <v>PREMRAJH Nirala ETK</v>
      </c>
      <c r="D70" s="137" t="str">
        <f>CONCATENATE('u19 boys'!F71," ",'u19 boys'!G71)</f>
        <v>DE KOCK Derrick GN</v>
      </c>
      <c r="E70" s="221" t="str">
        <f>CONCATENATE('u19 girls'!F71," ",'u19 girls'!G71)</f>
        <v>HUSVU Tadiwanashi GN</v>
      </c>
      <c r="F70" s="137" t="str">
        <f>CONCATENATE('u15 boys'!F71," ",'u15 boys'!G71)</f>
        <v>SIBIYA Vukile Mnqobi ETTA</v>
      </c>
      <c r="G70" s="216" t="str">
        <f>CONCATENATE('u15 girls'!F71," ",'u15 girls'!G71)</f>
        <v>KRISTIN KATA JTTA</v>
      </c>
      <c r="H70" s="796" t="str">
        <f>CONCATENATE('u13 boys'!F71," ",'u13 boys'!G71)</f>
        <v>Kundai Oswald Goremushandu ZIM</v>
      </c>
      <c r="I70" s="222" t="str">
        <f>CONCATENATE('u13 girls'!F71," ",'u13 girls'!G71)</f>
        <v>MATSENA  Karabo LIM</v>
      </c>
      <c r="J70" s="137" t="str">
        <f>CONCATENATE('u11 boys'!F71," ",'u11 boys'!G71)</f>
        <v>Yibanathi MTHIKRAKRA EC</v>
      </c>
      <c r="K70" s="216" t="str">
        <f>CONCATENATE('u11 girls'!F71," ",'u11 girls'!G71)</f>
        <v>KONRAD Kya JTTA</v>
      </c>
    </row>
    <row r="71" spans="1:11" s="147" customFormat="1" ht="40" customHeight="1">
      <c r="A71" s="148">
        <f t="shared" si="1"/>
        <v>68</v>
      </c>
      <c r="B71" s="137" t="str">
        <f>CONCATENATE(Men!E72," ",Men!F72)</f>
        <v>DU PLOOY Joshua  CT</v>
      </c>
      <c r="C71" s="804" t="str">
        <f>CONCATENATE(Women!E72," ",Women!F72)</f>
        <v>MNYANDU Sthabile ETK</v>
      </c>
      <c r="D71" s="137" t="str">
        <f>CONCATENATE('u19 boys'!F72," ",'u19 boys'!G72)</f>
        <v>JACOBS Qaa-im CT</v>
      </c>
      <c r="E71" s="221" t="str">
        <f>CONCATENATE('u19 girls'!F72," ",'u19 girls'!G72)</f>
        <v>SALIE Zahra JTTA</v>
      </c>
      <c r="F71" s="137" t="str">
        <f>CONCATENATE('u15 boys'!F72," ",'u15 boys'!G72)</f>
        <v>NQGULA Njongo CT</v>
      </c>
      <c r="G71" s="216" t="str">
        <f>CONCATENATE('u15 girls'!F72," ",'u15 girls'!G72)</f>
        <v>SONDAY Ganaan CT</v>
      </c>
      <c r="H71" s="796" t="str">
        <f>CONCATENATE('u13 boys'!F72," ",'u13 boys'!G72)</f>
        <v>kelvin Zvikomborero Maposa ZIM</v>
      </c>
      <c r="I71" s="222" t="str">
        <f>CONCATENATE('u13 girls'!F72," ",'u13 girls'!G72)</f>
        <v>NJEMLA MBATHA Olwethu ETK</v>
      </c>
      <c r="J71" s="137" t="str">
        <f>CONCATENATE('u11 boys'!F72," ",'u11 boys'!G72)</f>
        <v>PARBHOO Shyaam GN</v>
      </c>
      <c r="K71" s="216" t="str">
        <f>CONCATENATE('u11 girls'!F72," ",'u11 girls'!G72)</f>
        <v>LIYEMA Dilesi EC</v>
      </c>
    </row>
    <row r="72" spans="1:11" s="147" customFormat="1" ht="40" customHeight="1">
      <c r="A72" s="148">
        <f t="shared" si="1"/>
        <v>69</v>
      </c>
      <c r="B72" s="137" t="str">
        <f>CONCATENATE(Men!E73," ",Men!F73)</f>
        <v>VENTER Ruan GN</v>
      </c>
      <c r="C72" s="804" t="str">
        <f>CONCATENATE(Women!E73," ",Women!F73)</f>
        <v>LEKAY Marie CT</v>
      </c>
      <c r="D72" s="137" t="str">
        <f>CONCATENATE('u19 boys'!F73," ",'u19 boys'!G73)</f>
        <v>KHOZA Simangaliso  ETTA</v>
      </c>
      <c r="E72" s="221" t="str">
        <f>CONCATENATE('u19 girls'!F73," ",'u19 girls'!G73)</f>
        <v>ABRAHAMS Zuri JTTA</v>
      </c>
      <c r="F72" s="137" t="str">
        <f>CONCATENATE('u15 boys'!F73," ",'u15 boys'!G73)</f>
        <v>REDDY Samuel UMG</v>
      </c>
      <c r="G72" s="216" t="str">
        <f>CONCATENATE('u15 girls'!F73," ",'u15 girls'!G73)</f>
        <v>NDLOVU Tshepiso ETK</v>
      </c>
      <c r="H72" s="796" t="str">
        <f>CONCATENATE('u13 boys'!F73," ",'u13 boys'!G73)</f>
        <v>Theophilus ADDO GN</v>
      </c>
      <c r="I72" s="222" t="str">
        <f>CONCATENATE('u13 girls'!F73," ",'u13 girls'!G73)</f>
        <v>DIBILOANE Katleho EKU</v>
      </c>
      <c r="J72" s="137" t="str">
        <f>CONCATENATE('u11 boys'!F73," ",'u11 boys'!G73)</f>
        <v>PHUTI Mohau FS</v>
      </c>
      <c r="K72" s="216" t="str">
        <f>CONCATENATE('u11 girls'!F73," ",'u11 girls'!G73)</f>
        <v>KUNGAWE Jwambi EC</v>
      </c>
    </row>
    <row r="73" spans="1:11" s="147" customFormat="1" ht="40" customHeight="1">
      <c r="A73" s="148">
        <f t="shared" si="1"/>
        <v>70</v>
      </c>
      <c r="B73" s="137" t="str">
        <f>CONCATENATE(Men!E74," ",Men!F74)</f>
        <v>HUSVU Makomborero GN</v>
      </c>
      <c r="C73" s="804" t="str">
        <f>CONCATENATE(Women!E74," ",Women!F74)</f>
        <v>GOKAL Rakhee ETK</v>
      </c>
      <c r="D73" s="137" t="str">
        <f>CONCATENATE('u19 boys'!F74," ",'u19 boys'!G74)</f>
        <v>LEKORWE Reneilwe BOT</v>
      </c>
      <c r="E73" s="221" t="str">
        <f>CONCATENATE('u19 girls'!F74," ",'u19 girls'!G74)</f>
        <v>Emerenthia Williams Eden</v>
      </c>
      <c r="F73" s="137" t="str">
        <f>CONCATENATE('u15 boys'!F74," ",'u15 boys'!G74)</f>
        <v>KLAASEN Liam  CT</v>
      </c>
      <c r="G73" s="216" t="str">
        <f>CONCATENATE('u15 girls'!F74," ",'u15 girls'!G74)</f>
        <v>BULLEN Isabel JTTA</v>
      </c>
      <c r="H73" s="796" t="str">
        <f>CONCATENATE('u13 boys'!F74," ",'u13 boys'!G74)</f>
        <v>MATETA Thomas LIM</v>
      </c>
      <c r="I73" s="222" t="str">
        <f>CONCATENATE('u13 girls'!F74," ",'u13 girls'!G74)</f>
        <v>ABRAHAMS Zuri JTTA</v>
      </c>
      <c r="J73" s="137" t="e">
        <f>CONCATENATE('u11 boys'!#REF!," ",'u11 boys'!#REF!)</f>
        <v>#REF!</v>
      </c>
      <c r="K73" s="216" t="str">
        <f>CONCATENATE('u11 girls'!F74," ",'u11 girls'!G74)</f>
        <v>NTLOKOMO Nkxankxa EC</v>
      </c>
    </row>
    <row r="74" spans="1:11" s="147" customFormat="1" ht="40" customHeight="1">
      <c r="A74" s="148">
        <f t="shared" si="1"/>
        <v>71</v>
      </c>
      <c r="B74" s="137" t="str">
        <f>CONCATENATE(Men!E75," ",Men!F75)</f>
        <v>BOOI Sipho  FS</v>
      </c>
      <c r="C74" s="804" t="str">
        <f>CONCATENATE(Women!E75," ",Women!F75)</f>
        <v>MAKAULA Azikile  EC</v>
      </c>
      <c r="D74" s="137" t="str">
        <f>CONCATENATE('u19 boys'!F75," ",'u19 boys'!G75)</f>
        <v>CELE Samkelo Ayabonga ETTA</v>
      </c>
      <c r="E74" s="221" t="str">
        <f>CONCATENATE('u19 girls'!F75," ",'u19 girls'!G75)</f>
        <v>PILLAY Saihurie UMG</v>
      </c>
      <c r="F74" s="137" t="str">
        <f>CONCATENATE('u15 boys'!F75," ",'u15 boys'!G75)</f>
        <v>SEWKISSON Tarit UMG</v>
      </c>
      <c r="G74" s="216" t="str">
        <f>CONCATENATE('u15 girls'!F75," ",'u15 girls'!G75)</f>
        <v>JOHNSON Leandre' CT</v>
      </c>
      <c r="H74" s="796" t="str">
        <f>CONCATENATE('u13 boys'!F75," ",'u13 boys'!G75)</f>
        <v>DAYYAN Franks ETTA</v>
      </c>
      <c r="I74" s="222" t="str">
        <f>CONCATENATE('u13 girls'!F75," ",'u13 girls'!G75)</f>
        <v>ZIDE Iminam EC</v>
      </c>
      <c r="J74" s="137" t="str">
        <f>CONCATENATE('u11 boys'!F74," ",'u11 boys'!G74)</f>
        <v>PHORE Tshegofatso  FS</v>
      </c>
      <c r="K74" s="216" t="str">
        <f>CONCATENATE('u11 girls'!F75," ",'u11 girls'!G75)</f>
        <v>BHENGU Sinakho   ETK</v>
      </c>
    </row>
    <row r="75" spans="1:11" s="147" customFormat="1" ht="40" customHeight="1">
      <c r="A75" s="148">
        <f t="shared" si="1"/>
        <v>72</v>
      </c>
      <c r="B75" s="137" t="str">
        <f>CONCATENATE(Men!E76," ",Men!F76)</f>
        <v>PHILANDER Adrian  CT</v>
      </c>
      <c r="C75" s="804" t="str">
        <f>CONCATENATE(Women!E76," ",Women!F76)</f>
        <v>KGANEDI Thamia NW</v>
      </c>
      <c r="D75" s="137" t="str">
        <f>CONCATENATE('u19 boys'!F76," ",'u19 boys'!G76)</f>
        <v>PERRANG Hayden WC</v>
      </c>
      <c r="E75" s="221" t="str">
        <f>CONCATENATE('u19 girls'!F76," ",'u19 girls'!G76)</f>
        <v>MUNSAMY Alyssa  ETK</v>
      </c>
      <c r="F75" s="137" t="str">
        <f>CONCATENATE('u15 boys'!F76," ",'u15 boys'!G76)</f>
        <v>VD WESTHUIZEN Ruhayden CW</v>
      </c>
      <c r="G75" s="216" t="str">
        <f>CONCATENATE('u15 girls'!F76," ",'u15 girls'!G76)</f>
        <v>KWEYEYE Indiphe EC</v>
      </c>
      <c r="H75" s="796" t="str">
        <f>CONCATENATE('u13 boys'!F76," ",'u13 boys'!G76)</f>
        <v>Mpho Mokgutle  FS</v>
      </c>
      <c r="I75" s="222" t="str">
        <f>CONCATENATE('u13 girls'!F76," ",'u13 girls'!G76)</f>
        <v>MTHANTI  Siphokazi  UMZ</v>
      </c>
      <c r="J75" s="137" t="str">
        <f>CONCATENATE('u11 boys'!F75," ",'u11 boys'!G75)</f>
        <v>LEKHOTLA Lebohang FS</v>
      </c>
      <c r="K75" s="216" t="str">
        <f>CONCATENATE('u11 girls'!F76," ",'u11 girls'!G76)</f>
        <v>DJEUDJE Akheela WC</v>
      </c>
    </row>
    <row r="76" spans="1:11" s="147" customFormat="1" ht="40" customHeight="1">
      <c r="A76" s="148">
        <f t="shared" si="1"/>
        <v>73</v>
      </c>
      <c r="B76" s="137" t="str">
        <f>CONCATENATE(Men!E77," ",Men!F77)</f>
        <v>LIPSHITZ Simon JTTA</v>
      </c>
      <c r="C76" s="804" t="str">
        <f>CONCATENATE(Women!E77," ",Women!F77)</f>
        <v>MADLALA Khanyisile  EKU</v>
      </c>
      <c r="D76" s="137" t="str">
        <f>CONCATENATE('u19 boys'!F77," ",'u19 boys'!G77)</f>
        <v>BAGIRATHI Advay UMG</v>
      </c>
      <c r="E76" s="221" t="str">
        <f>CONCATENATE('u19 girls'!F77," ",'u19 girls'!G77)</f>
        <v>MOATI Nthabiseng LIM</v>
      </c>
      <c r="F76" s="137" t="str">
        <f>CONCATENATE('u15 boys'!F77," ",'u15 boys'!G77)</f>
        <v>MACKRILL Jordan CW</v>
      </c>
      <c r="G76" s="216" t="str">
        <f>CONCATENATE('u15 girls'!F77," ",'u15 girls'!G77)</f>
        <v>NJEMLA Olwethu ETK</v>
      </c>
      <c r="H76" s="796" t="str">
        <f>CONCATENATE('u13 boys'!F77," ",'u13 boys'!G77)</f>
        <v>L Lekgotla  FS</v>
      </c>
      <c r="I76" s="222" t="str">
        <f>CONCATENATE('u13 girls'!F77," ",'u13 girls'!G77)</f>
        <v>Mofokeng Topollo ETK</v>
      </c>
      <c r="J76" s="137" t="str">
        <f>CONCATENATE('u11 boys'!F76," ",'u11 boys'!G76)</f>
        <v>ZWENI Endinako EC</v>
      </c>
      <c r="K76" s="216" t="str">
        <f>CONCATENATE('u11 girls'!F77," ",'u11 girls'!G77)</f>
        <v>EBRHAIM Nasreen JTTA</v>
      </c>
    </row>
    <row r="77" spans="1:11" s="147" customFormat="1" ht="40" customHeight="1">
      <c r="A77" s="148">
        <f t="shared" si="1"/>
        <v>74</v>
      </c>
      <c r="B77" s="137" t="str">
        <f>CONCATENATE(Men!E78," ",Men!F78)</f>
        <v>ABRAHAMS Byrone  CT</v>
      </c>
      <c r="C77" s="804" t="str">
        <f>CONCATENATE(Women!E78," ",Women!F78)</f>
        <v>HENDRICKS Chloe  CT</v>
      </c>
      <c r="D77" s="137" t="str">
        <f>CONCATENATE('u19 boys'!F78," ",'u19 boys'!G78)</f>
        <v>VAN DYK Nur  CT</v>
      </c>
      <c r="E77" s="221" t="str">
        <f>CONCATENATE('u19 girls'!F78," ",'u19 girls'!G78)</f>
        <v>Titus Faithlin EDEN</v>
      </c>
      <c r="F77" s="137" t="str">
        <f>CONCATENATE('u15 boys'!F78," ",'u15 boys'!G78)</f>
        <v>TROUT Elijah Yasu CT</v>
      </c>
      <c r="G77" s="216" t="str">
        <f>CONCATENATE('u15 girls'!F78," ",'u15 girls'!G78)</f>
        <v>NDAKANA Naledi EKU</v>
      </c>
      <c r="H77" s="796" t="str">
        <f>CONCATENATE('u13 boys'!F78," ",'u13 boys'!G78)</f>
        <v>NAIDOO Christian ETTA</v>
      </c>
      <c r="I77" s="222" t="str">
        <f>CONCATENATE('u13 girls'!F78," ",'u13 girls'!G78)</f>
        <v>TOTARAM Kritika UMG</v>
      </c>
      <c r="J77" s="137" t="str">
        <f>CONCATENATE('u11 boys'!F77," ",'u11 boys'!G77)</f>
        <v>MADANGATYA limise EC</v>
      </c>
      <c r="K77" s="216" t="str">
        <f>CONCATENATE('u11 girls'!F78," ",'u11 girls'!G78)</f>
        <v>KHAN Diyanah Bibi JTTA</v>
      </c>
    </row>
    <row r="78" spans="1:11" s="147" customFormat="1" ht="40" customHeight="1">
      <c r="A78" s="148">
        <f t="shared" si="1"/>
        <v>75</v>
      </c>
      <c r="B78" s="137" t="str">
        <f>CONCATENATE(Men!E79," ",Men!F79)</f>
        <v>ISSA Ziyaad  FS</v>
      </c>
      <c r="C78" s="804" t="str">
        <f>CONCATENATE(Women!E79," ",Women!F79)</f>
        <v>R Molisenyane (FS)  FS</v>
      </c>
      <c r="D78" s="137" t="str">
        <f>CONCATENATE('u19 boys'!F79," ",'u19 boys'!G79)</f>
        <v>HENDRICKS Leighton CW</v>
      </c>
      <c r="E78" s="221" t="str">
        <f>CONCATENATE('u19 girls'!F79," ",'u19 girls'!G79)</f>
        <v>MATROOS Zoey WC</v>
      </c>
      <c r="F78" s="137" t="str">
        <f>CONCATENATE('u15 boys'!F79," ",'u15 boys'!G79)</f>
        <v>ENGEL Liam CT</v>
      </c>
      <c r="G78" s="216" t="str">
        <f>CONCATENATE('u15 girls'!F79," ",'u15 girls'!G79)</f>
        <v>Reabetswe MORUDU EKU</v>
      </c>
      <c r="H78" s="796" t="str">
        <f>CONCATENATE('u13 boys'!F79," ",'u13 boys'!G79)</f>
        <v>ASULIN  Shachar JTTA</v>
      </c>
      <c r="I78" s="222" t="str">
        <f>CONCATENATE('u13 girls'!F79," ",'u13 girls'!G79)</f>
        <v>Jiya Naidoo UMG</v>
      </c>
      <c r="J78" s="137" t="str">
        <f>CONCATENATE('u11 boys'!F78," ",'u11 boys'!G78)</f>
        <v>RANTSHO Atlegang NWP</v>
      </c>
      <c r="K78" s="216" t="str">
        <f>CONCATENATE('u11 girls'!F79," ",'u11 girls'!G79)</f>
        <v>SMITH Willow CT</v>
      </c>
    </row>
    <row r="79" spans="1:11" s="147" customFormat="1" ht="40" customHeight="1">
      <c r="A79" s="148">
        <f t="shared" si="1"/>
        <v>76</v>
      </c>
      <c r="B79" s="137" t="str">
        <f>CONCATENATE(Men!E80," ",Men!F80)</f>
        <v>COETZEE Dirk CT</v>
      </c>
      <c r="C79" s="804" t="str">
        <f>CONCATENATE(Women!E80," ",Women!F80)</f>
        <v>Mamokgethi DINTSO EKU</v>
      </c>
      <c r="D79" s="137" t="str">
        <f>CONCATENATE('u19 boys'!F80," ",'u19 boys'!G80)</f>
        <v>GOKHALE Aakash GN</v>
      </c>
      <c r="E79" s="221" t="str">
        <f>CONCATENATE('u19 girls'!F80," ",'u19 girls'!G80)</f>
        <v>NTONDO Inga EDEN</v>
      </c>
      <c r="F79" s="137" t="str">
        <f>CONCATENATE('u15 boys'!F80," ",'u15 boys'!G80)</f>
        <v>KLEINTJIES Brodie CW</v>
      </c>
      <c r="G79" s="216" t="str">
        <f>CONCATENATE('u15 girls'!F80," ",'u15 girls'!G80)</f>
        <v>MOHATLI Chrestina LIM</v>
      </c>
      <c r="H79" s="796" t="str">
        <f>CONCATENATE('u13 boys'!F80," ",'u13 boys'!G80)</f>
        <v>BOCKS Sergiano WC</v>
      </c>
      <c r="I79" s="222" t="str">
        <f>CONCATENATE('u13 girls'!F80," ",'u13 girls'!G80)</f>
        <v>MODJADJI Lerato  LIM</v>
      </c>
      <c r="J79" s="137" t="str">
        <f>CONCATENATE('u11 boys'!F79," ",'u11 boys'!G79)</f>
        <v>APPLESAMY Kaylin ETTA</v>
      </c>
      <c r="K79" s="216" t="str">
        <f>CONCATENATE('u11 girls'!F80," ",'u11 girls'!G80)</f>
        <v>RADEBE Onalerona FS</v>
      </c>
    </row>
    <row r="80" spans="1:11" s="147" customFormat="1" ht="40" customHeight="1">
      <c r="A80" s="148">
        <f t="shared" si="1"/>
        <v>77</v>
      </c>
      <c r="B80" s="137" t="str">
        <f>CONCATENATE(Men!E81," ",Men!F81)</f>
        <v>GOKAL Dev Amar ETTA</v>
      </c>
      <c r="C80" s="804" t="str">
        <f>CONCATENATE(Women!E81," ",Women!F81)</f>
        <v>MAKIVA Phumza  EC</v>
      </c>
      <c r="D80" s="137" t="str">
        <f>CONCATENATE('u19 boys'!F81," ",'u19 boys'!G81)</f>
        <v>NQGULA Nande CT</v>
      </c>
      <c r="E80" s="221" t="str">
        <f>CONCATENATE('u19 girls'!F81," ",'u19 girls'!G81)</f>
        <v>WILLEMSE Kelly GN</v>
      </c>
      <c r="F80" s="137" t="str">
        <f>CONCATENATE('u15 boys'!F81," ",'u15 boys'!G81)</f>
        <v>MADORO Trust  ZIM</v>
      </c>
      <c r="G80" s="216" t="str">
        <f>CONCATENATE('u15 girls'!F81," ",'u15 girls'!G81)</f>
        <v>MKOLWANA Elihle EC</v>
      </c>
      <c r="H80" s="796" t="str">
        <f>CONCATENATE('u13 boys'!F81," ",'u13 boys'!G81)</f>
        <v>GAREEB Emilio ETTA</v>
      </c>
      <c r="I80" s="222" t="str">
        <f>CONCATENATE('u13 girls'!F81," ",'u13 girls'!G81)</f>
        <v>DOMINGO Farah  CT</v>
      </c>
      <c r="J80" s="137" t="str">
        <f>CONCATENATE('u11 boys'!F80," ",'u11 boys'!G80)</f>
        <v>CHETTY Saerin UMG</v>
      </c>
      <c r="K80" s="216" t="str">
        <f>CONCATENATE('u11 girls'!F81," ",'u11 girls'!G81)</f>
        <v>TSHWETSHWELA Elona ETK</v>
      </c>
    </row>
    <row r="81" spans="1:11" s="147" customFormat="1" ht="40" customHeight="1">
      <c r="A81" s="148">
        <f t="shared" si="1"/>
        <v>78</v>
      </c>
      <c r="B81" s="137" t="str">
        <f>CONCATENATE(Men!E82," ",Men!F82)</f>
        <v>MXOLISI Mthabela ETTA</v>
      </c>
      <c r="C81" s="804" t="str">
        <f>CONCATENATE(Women!E82," ",Women!F82)</f>
        <v>LE ROUX Madelize GN</v>
      </c>
      <c r="D81" s="137" t="str">
        <f>CONCATENATE('u19 boys'!F82," ",'u19 boys'!G82)</f>
        <v>CAROLUS Rewaldo CT</v>
      </c>
      <c r="E81" s="221" t="str">
        <f>CONCATENATE('u19 girls'!F82," ",'u19 girls'!G82)</f>
        <v>Caylee MTSHALI JTTA</v>
      </c>
      <c r="F81" s="137" t="str">
        <f>CONCATENATE('u15 boys'!F82," ",'u15 boys'!G82)</f>
        <v>VAN DEN BERG Marlo GN</v>
      </c>
      <c r="G81" s="216" t="str">
        <f>CONCATENATE('u15 girls'!F82," ",'u15 girls'!G82)</f>
        <v>VILAKAZI Asanda Snothile ETK</v>
      </c>
      <c r="H81" s="796" t="str">
        <f>CONCATENATE('u13 boys'!F82," ",'u13 boys'!G82)</f>
        <v>NGWENZE Hlomla  WC</v>
      </c>
      <c r="I81" s="222" t="str">
        <f>CONCATENATE('u13 girls'!F82," ",'u13 girls'!G82)</f>
        <v>MAOME Reitumetse LES</v>
      </c>
      <c r="J81" s="137" t="str">
        <f>CONCATENATE('u11 boys'!F81," ",'u11 boys'!G81)</f>
        <v>MATEANE  Thabang FS</v>
      </c>
      <c r="K81" s="216" t="str">
        <f>CONCATENATE('u11 girls'!F82," ",'u11 girls'!G82)</f>
        <v>OMPHILE Motseki FS</v>
      </c>
    </row>
    <row r="82" spans="1:11" s="147" customFormat="1" ht="40" customHeight="1">
      <c r="A82" s="148">
        <f t="shared" si="1"/>
        <v>79</v>
      </c>
      <c r="B82" s="137" t="str">
        <f>CONCATENATE(Men!E83," ",Men!F83)</f>
        <v>BENTING Bradley  CT</v>
      </c>
      <c r="C82" s="804" t="str">
        <f>CONCATENATE(Women!E83," ",Women!F83)</f>
        <v>MARTIN Stephany CW</v>
      </c>
      <c r="D82" s="137" t="str">
        <f>CONCATENATE('u19 boys'!F83," ",'u19 boys'!G83)</f>
        <v>KATZ Joseph CT</v>
      </c>
      <c r="E82" s="221" t="str">
        <f>CONCATENATE('u19 girls'!F83," ",'u19 girls'!G83)</f>
        <v>Sibabaliwe NGAMBU EC</v>
      </c>
      <c r="F82" s="137" t="str">
        <f>CONCATENATE('u15 boys'!F83," ",'u15 boys'!G83)</f>
        <v>ASULIN Amichai JTTA</v>
      </c>
      <c r="G82" s="216" t="str">
        <f>CONCATENATE('u15 girls'!F83," ",'u15 girls'!G83)</f>
        <v>SIBANDA Sinenhlanhla EKU</v>
      </c>
      <c r="H82" s="796" t="str">
        <f>CONCATENATE('u13 boys'!F83," ",'u13 boys'!G83)</f>
        <v>JACOBS Umar CW</v>
      </c>
      <c r="I82" s="222" t="str">
        <f>CONCATENATE('u13 girls'!F83," ",'u13 girls'!G83)</f>
        <v>K Mpata  FS</v>
      </c>
      <c r="J82" s="137" t="str">
        <f>CONCATENATE('u11 boys'!F82," ",'u11 boys'!G82)</f>
        <v>K Sekike  FS</v>
      </c>
      <c r="K82" s="216" t="str">
        <f>CONCATENATE('u11 girls'!F83," ",'u11 girls'!G83)</f>
        <v>Swazi Ngwenya UTH</v>
      </c>
    </row>
    <row r="83" spans="1:11" s="147" customFormat="1" ht="40" customHeight="1">
      <c r="A83" s="148">
        <f t="shared" si="1"/>
        <v>80</v>
      </c>
      <c r="B83" s="137" t="str">
        <f>CONCATENATE(Men!E84," ",Men!F84)</f>
        <v>NAIDOO David ETTA</v>
      </c>
      <c r="C83" s="804" t="str">
        <f>CONCATENATE(Women!E84," ",Women!F84)</f>
        <v>NCITSHANA Zoliswa EC</v>
      </c>
      <c r="D83" s="137" t="str">
        <f>CONCATENATE('u19 boys'!F84," ",'u19 boys'!G84)</f>
        <v>NAIDOO Ezra Timothy UMG</v>
      </c>
      <c r="E83" s="221" t="str">
        <f>CONCATENATE('u19 girls'!F84," ",'u19 girls'!G84)</f>
        <v>Halaletsang Matsie (FS)  FS</v>
      </c>
      <c r="F83" s="137" t="str">
        <f>CONCATENATE('u15 boys'!F84," ",'u15 boys'!G84)</f>
        <v>TAVARIA Kian JTTA</v>
      </c>
      <c r="G83" s="216" t="str">
        <f>CONCATENATE('u15 girls'!F84," ",'u15 girls'!G84)</f>
        <v>XABA Melokuhle EKU</v>
      </c>
      <c r="H83" s="796" t="str">
        <f>CONCATENATE('u13 boys'!F84," ",'u13 boys'!G84)</f>
        <v>SO Sze Hin Dickson ETTA</v>
      </c>
      <c r="I83" s="222" t="str">
        <f>CONCATENATE('u13 girls'!F84," ",'u13 girls'!G84)</f>
        <v>R Kantoane  FS</v>
      </c>
      <c r="J83" s="137" t="str">
        <f>CONCATENATE('u11 boys'!F83," ",'u11 boys'!G83)</f>
        <v>LEEUW Mbulelo FS</v>
      </c>
      <c r="K83" s="216" t="str">
        <f>CONCATENATE('u11 girls'!F84," ",'u11 girls'!G84)</f>
        <v>MORAKABI Neo FS</v>
      </c>
    </row>
    <row r="84" spans="1:11" s="147" customFormat="1" ht="40" customHeight="1">
      <c r="A84" s="148">
        <f t="shared" si="1"/>
        <v>81</v>
      </c>
      <c r="B84" s="137" t="str">
        <f>CONCATENATE(Men!E85," ",Men!F85)</f>
        <v>MUDIE Andrew NMB</v>
      </c>
      <c r="C84" s="804" t="str">
        <f>CONCATENATE(Women!E85," ",Women!F85)</f>
        <v>NAIDOO Purushu GN</v>
      </c>
      <c r="D84" s="137" t="str">
        <f>CONCATENATE('u19 boys'!F85," ",'u19 boys'!G85)</f>
        <v>VD WESTHUIZEN Ruhayden CW</v>
      </c>
      <c r="E84" s="221" t="str">
        <f>CONCATENATE('u19 girls'!F85," ",'u19 girls'!G85)</f>
        <v>T Ntsolloane (FS)  FS</v>
      </c>
      <c r="F84" s="137" t="str">
        <f>CONCATENATE('u15 boys'!F85," ",'u15 boys'!G85)</f>
        <v>Phikolethu MBANDA EC</v>
      </c>
      <c r="G84" s="216" t="str">
        <f>CONCATENATE('u15 girls'!F85," ",'u15 girls'!G85)</f>
        <v>GOVENDER  Diara ETTA</v>
      </c>
      <c r="H84" s="796" t="str">
        <f>CONCATENATE('u13 boys'!F85," ",'u13 boys'!G85)</f>
        <v>SELEKE Oratile NWP</v>
      </c>
      <c r="I84" s="222" t="str">
        <f>CONCATENATE('u13 girls'!F85," ",'u13 girls'!G85)</f>
        <v>K Lephoo  FS</v>
      </c>
      <c r="J84" s="137" t="str">
        <f>CONCATENATE('u11 boys'!F84," ",'u11 boys'!G84)</f>
        <v>Idris Abrahams  JTTA</v>
      </c>
      <c r="K84" s="216" t="str">
        <f>CONCATENATE('u11 girls'!F85," ",'u11 girls'!G85)</f>
        <v>0 0</v>
      </c>
    </row>
    <row r="85" spans="1:11" s="147" customFormat="1" ht="40" customHeight="1">
      <c r="A85" s="148">
        <f t="shared" si="1"/>
        <v>82</v>
      </c>
      <c r="B85" s="137" t="str">
        <f>CONCATENATE(Men!E86," ",Men!F86)</f>
        <v>WESSON Ashley  SANDF</v>
      </c>
      <c r="C85" s="804" t="str">
        <f>CONCATENATE(Women!E86," ",Women!F86)</f>
        <v>DINTSHO Mamogethi  EKU</v>
      </c>
      <c r="D85" s="137" t="str">
        <f>CONCATENATE('u19 boys'!F86," ",'u19 boys'!G86)</f>
        <v>MADORO Trust  ZIM</v>
      </c>
      <c r="E85" s="221" t="str">
        <f>CONCATENATE('u19 girls'!F86," ",'u19 girls'!G86)</f>
        <v>BYREN Kirsten CT</v>
      </c>
      <c r="F85" s="137" t="str">
        <f>CONCATENATE('u15 boys'!F86," ",'u15 boys'!G86)</f>
        <v>MOHATLI  Mapiti LIM</v>
      </c>
      <c r="G85" s="216" t="str">
        <f>CONCATENATE('u15 girls'!F86," ",'u15 girls'!G86)</f>
        <v>CARRASCO Ceira FS</v>
      </c>
      <c r="H85" s="796" t="str">
        <f>CONCATENATE('u13 boys'!F86," ",'u13 boys'!G86)</f>
        <v>ARBEE Ahmed UMG</v>
      </c>
      <c r="I85" s="222" t="str">
        <f>CONCATENATE('u13 girls'!F86," ",'u13 girls'!G86)</f>
        <v>L Molisenyane FS</v>
      </c>
      <c r="J85" s="137" t="str">
        <f>CONCATENATE('u11 boys'!F85," ",'u11 boys'!G85)</f>
        <v>PETOVSKY Pavol Usman  JTTA</v>
      </c>
      <c r="K85" s="216" t="str">
        <f>CONCATENATE('u11 girls'!F86," ",'u11 girls'!G86)</f>
        <v>MANYAMA Nthabiseng LIM</v>
      </c>
    </row>
    <row r="86" spans="1:11" s="147" customFormat="1" ht="40" customHeight="1">
      <c r="A86" s="148">
        <f t="shared" si="1"/>
        <v>83</v>
      </c>
      <c r="B86" s="137" t="str">
        <f>CONCATENATE(Men!E87," ",Men!F87)</f>
        <v>MGENGE Nelokuhle ETTA</v>
      </c>
      <c r="C86" s="804" t="str">
        <f>CONCATENATE(Women!E87," ",Women!F87)</f>
        <v>ISMAIL Taahira  Ilembe</v>
      </c>
      <c r="D86" s="137" t="str">
        <f>CONCATENATE('u19 boys'!F87," ",'u19 boys'!G87)</f>
        <v>BECKER Gustav CW</v>
      </c>
      <c r="E86" s="221" t="str">
        <f>CONCATENATE('u19 girls'!F87," ",'u19 girls'!G87)</f>
        <v>MC CLEOD Michelle GN</v>
      </c>
      <c r="F86" s="137" t="str">
        <f>CONCATENATE('u15 boys'!F87," ",'u15 boys'!G87)</f>
        <v>KGONGWANA Thato BOT</v>
      </c>
      <c r="G86" s="216" t="str">
        <f>CONCATENATE('u15 girls'!F87," ",'u15 girls'!G87)</f>
        <v>CELE Ziyanda Favour ETK</v>
      </c>
      <c r="H86" s="796" t="str">
        <f>CONCATENATE('u13 boys'!F87," ",'u13 boys'!G87)</f>
        <v>GUMEDE Oluhle ETTA</v>
      </c>
      <c r="I86" s="222" t="str">
        <f>CONCATENATE('u13 girls'!F87," ",'u13 girls'!G87)</f>
        <v xml:space="preserve"> MOLEFE Lesedi EKU</v>
      </c>
      <c r="J86" s="137" t="str">
        <f>CONCATENATE('u11 boys'!F86," ",'u11 boys'!G86)</f>
        <v>KLAASEN Liam  CT</v>
      </c>
      <c r="K86" s="216" t="str">
        <f>CONCATENATE('u11 girls'!F87," ",'u11 girls'!G87)</f>
        <v>MKHWANAZI Botshelo GN</v>
      </c>
    </row>
    <row r="87" spans="1:11" s="147" customFormat="1" ht="40" customHeight="1">
      <c r="A87" s="148">
        <f t="shared" si="1"/>
        <v>84</v>
      </c>
      <c r="B87" s="137" t="str">
        <f>CONCATENATE(Men!E88," ",Men!F88)</f>
        <v>PILLAY KAEL ETTA</v>
      </c>
      <c r="C87" s="805" t="str">
        <f>CONCATENATE(Women!E88," ",Women!F88)</f>
        <v>RABATENNE Tshepiso  BOT</v>
      </c>
      <c r="D87" s="137" t="str">
        <f>CONCATENATE('u19 boys'!F88," ",'u19 boys'!G88)</f>
        <v>PAN Enjun JTTA</v>
      </c>
      <c r="E87" s="221" t="str">
        <f>CONCATENATE('u19 girls'!F88," ",'u19 girls'!G88)</f>
        <v>THABETHE Amogelang EKU</v>
      </c>
      <c r="F87" s="137" t="str">
        <f>CONCATENATE('u15 boys'!F88," ",'u15 boys'!G88)</f>
        <v>MPOSULABongani EKU</v>
      </c>
      <c r="G87" s="216" t="str">
        <f>CONCATENATE('u15 girls'!F88," ",'u15 girls'!G88)</f>
        <v>NAIDOO Shreya  UMG</v>
      </c>
      <c r="H87" s="796" t="str">
        <f>CONCATENATE('u13 boys'!F88," ",'u13 boys'!G88)</f>
        <v>Cephas OFORI GN</v>
      </c>
      <c r="I87" s="222" t="str">
        <f>CONCATENATE('u13 girls'!F88," ",'u13 girls'!G88)</f>
        <v>MOHLAMBI Lethabo EKU</v>
      </c>
      <c r="J87" s="137" t="str">
        <f>CONCATENATE('u11 boys'!F87," ",'u11 boys'!G87)</f>
        <v>SEMETSO Boitshepo NMMTTA</v>
      </c>
      <c r="K87" s="216" t="str">
        <f>CONCATENATE('u11 girls'!F88," ",'u11 girls'!G88)</f>
        <v>MOKOARI Omphile  FS</v>
      </c>
    </row>
    <row r="88" spans="1:11" s="147" customFormat="1" ht="40" customHeight="1">
      <c r="A88" s="148">
        <f t="shared" si="1"/>
        <v>85</v>
      </c>
      <c r="B88" s="137" t="str">
        <f>CONCATENATE(Men!E89," ",Men!F89)</f>
        <v>FRANSMAN Andre CT</v>
      </c>
      <c r="C88" s="805" t="str">
        <f>CONCATENATE(Women!E89," ",Women!F89)</f>
        <v>GOBINDLALL Sarah-lee  ETK</v>
      </c>
      <c r="D88" s="137" t="str">
        <f>CONCATENATE('u19 boys'!F89," ",'u19 boys'!G89)</f>
        <v>LETJOU Temoso Brenden  LIM</v>
      </c>
      <c r="E88" s="221" t="str">
        <f>CONCATENATE('u19 girls'!F89," ",'u19 girls'!G89)</f>
        <v>NHLAPO Lwazi ETTA</v>
      </c>
      <c r="F88" s="137" t="str">
        <f>CONCATENATE('u15 boys'!F89," ",'u15 boys'!G89)</f>
        <v>MOKHELE Mohau LES</v>
      </c>
      <c r="G88" s="216" t="str">
        <f>CONCATENATE('u15 girls'!F89," ",'u15 girls'!G89)</f>
        <v>PEDRO Irisha Eden</v>
      </c>
      <c r="H88" s="796" t="str">
        <f>CONCATENATE('u13 boys'!F89," ",'u13 boys'!G89)</f>
        <v>Tyrelle KISTAN GN</v>
      </c>
      <c r="I88" s="222" t="str">
        <f>CONCATENATE('u13 girls'!F89," ",'u13 girls'!G89)</f>
        <v>MCWETYANA Anothando EKU</v>
      </c>
      <c r="J88" s="137" t="str">
        <f>CONCATENATE('u11 boys'!F88," ",'u11 boys'!G88)</f>
        <v>DE WET Christo GN</v>
      </c>
      <c r="K88" s="216" t="str">
        <f>CONCATENATE('u11 girls'!F89," ",'u11 girls'!G89)</f>
        <v>MOSALA Paballo NW</v>
      </c>
    </row>
    <row r="89" spans="1:11" s="147" customFormat="1" ht="40" customHeight="1">
      <c r="A89" s="148">
        <f t="shared" si="1"/>
        <v>86</v>
      </c>
      <c r="B89" s="137" t="str">
        <f>CONCATENATE(Men!E89," ",Men!F89)</f>
        <v>FRANSMAN Andre CT</v>
      </c>
      <c r="C89" s="805" t="str">
        <f>CONCATENATE(Women!E90," ",Women!F90)</f>
        <v>Nevadya Rampersad UMG</v>
      </c>
      <c r="D89" s="137" t="str">
        <f>CONCATENATE('u19 boys'!F90," ",'u19 boys'!G90)</f>
        <v>Lethukuthula MTHABISA EC</v>
      </c>
      <c r="E89" s="221" t="str">
        <f>CONCATENATE('u19 girls'!F90," ",'u19 girls'!G90)</f>
        <v>RANGATA Terriwoki JTTA</v>
      </c>
      <c r="F89" s="137" t="str">
        <f>CONCATENATE('u15 boys'!F90," ",'u15 boys'!G90)</f>
        <v>OSMAN Muhummed  FS</v>
      </c>
      <c r="G89" s="216" t="str">
        <f>CONCATENATE('u15 girls'!F90," ",'u15 girls'!G90)</f>
        <v xml:space="preserve">MARSHALL Lael JTTA </v>
      </c>
      <c r="H89" s="796" t="str">
        <f>CONCATENATE('u13 boys'!F90," ",'u13 boys'!G90)</f>
        <v>PRINCE Micah  CT</v>
      </c>
      <c r="I89" s="222" t="str">
        <f>CONCATENATE('u13 girls'!F90," ",'u13 girls'!G90)</f>
        <v>MANYAMA Nthabiseng LIM</v>
      </c>
      <c r="J89" s="137" t="str">
        <f>CONCATENATE('u11 boys'!F89," ",'u11 boys'!G89)</f>
        <v>DE WET Michael GN</v>
      </c>
      <c r="K89" s="216" t="str">
        <f>CONCATENATE('u11 girls'!F90," ",'u11 girls'!G90)</f>
        <v>NDLOVU Simthandile Zonke ETK</v>
      </c>
    </row>
    <row r="90" spans="1:11" s="147" customFormat="1" ht="40" customHeight="1">
      <c r="A90" s="148">
        <f t="shared" si="1"/>
        <v>87</v>
      </c>
      <c r="B90" s="137" t="str">
        <f>CONCATENATE(Men!E90," ",Men!F90)</f>
        <v>SHANGASE Andiswa  UTH</v>
      </c>
      <c r="C90" s="805" t="str">
        <f>CONCATENATE(Women!E91," ",Women!F91)</f>
        <v>PRICE Linda  JTTA</v>
      </c>
      <c r="D90" s="137" t="str">
        <f>CONCATENATE('u19 boys'!F91," ",'u19 boys'!G91)</f>
        <v>ZULU Awande JTTA</v>
      </c>
      <c r="E90" s="221" t="str">
        <f>CONCATENATE('u19 girls'!F91," ",'u19 girls'!G91)</f>
        <v>ZIDE Iminam EC</v>
      </c>
      <c r="F90" s="137" t="str">
        <f>CONCATENATE('u15 boys'!F91," ",'u15 boys'!G91)</f>
        <v>KRUGER Mikal GN</v>
      </c>
      <c r="G90" s="216" t="str">
        <f>CONCATENATE('u15 girls'!F91," ",'u15 girls'!G91)</f>
        <v>BAIJNATH Preeti UMG</v>
      </c>
      <c r="H90" s="796" t="str">
        <f>CONCATENATE('u13 boys'!F91," ",'u13 boys'!G91)</f>
        <v>NOMDO Joshua CT</v>
      </c>
      <c r="I90" s="222" t="str">
        <f>CONCATENATE('u13 girls'!F91," ",'u13 girls'!G91)</f>
        <v>NKOBANG Lindela NC</v>
      </c>
      <c r="J90" s="137" t="str">
        <f>CONCATENATE('u11 boys'!F90," ",'u11 boys'!G90)</f>
        <v>Muaaz HOOSEN JTTA</v>
      </c>
      <c r="K90" s="216" t="str">
        <f>CONCATENATE('u11 girls'!F91," ",'u11 girls'!G91)</f>
        <v>SEKETE Nthabeleng DRKKTTA</v>
      </c>
    </row>
    <row r="91" spans="1:11" s="147" customFormat="1" ht="40" customHeight="1">
      <c r="A91" s="148">
        <f t="shared" si="1"/>
        <v>88</v>
      </c>
      <c r="B91" s="137" t="str">
        <f>CONCATENATE(Men!E91," ",Men!F91)</f>
        <v>OLIVIER Danie GN</v>
      </c>
      <c r="C91" s="805" t="str">
        <f>CONCATENATE(Women!E92," ",Women!F92)</f>
        <v>NCITSHANA Zoliswa  EC</v>
      </c>
      <c r="D91" s="137" t="str">
        <f>CONCATENATE('u19 boys'!F92," ",'u19 boys'!G92)</f>
        <v>MNTAMBO Lunga NED</v>
      </c>
      <c r="E91" s="221" t="str">
        <f>CONCATENATE('u19 girls'!F92," ",'u19 girls'!G92)</f>
        <v>GAOTLOPE Dimakatso  LIM</v>
      </c>
      <c r="F91" s="137" t="str">
        <f>CONCATENATE('u15 boys'!F92," ",'u15 boys'!G92)</f>
        <v>BRIGRAJ Tyriq UMG</v>
      </c>
      <c r="G91" s="216" t="str">
        <f>CONCATENATE('u15 girls'!F92," ",'u15 girls'!G92)</f>
        <v>NDLOVU Khanyisile  NW</v>
      </c>
      <c r="H91" s="796" t="str">
        <f>CONCATENATE('u13 boys'!F92," ",'u13 boys'!G92)</f>
        <v>BESTER George FS</v>
      </c>
      <c r="I91" s="222" t="str">
        <f>CONCATENATE('u13 girls'!F92," ",'u13 girls'!G92)</f>
        <v>REURINK Noa-Marie CW</v>
      </c>
      <c r="J91" s="137" t="str">
        <f>CONCATENATE('u11 boys'!F91," ",'u11 boys'!G91)</f>
        <v>VAN DER SCHYFF Yaseen CT</v>
      </c>
      <c r="K91" s="216" t="str">
        <f>CONCATENATE('u11 girls'!F92," ",'u11 girls'!G92)</f>
        <v>TAMPE Kobamelo NW</v>
      </c>
    </row>
    <row r="92" spans="1:11" s="147" customFormat="1" ht="40" customHeight="1">
      <c r="A92" s="148">
        <f t="shared" si="1"/>
        <v>89</v>
      </c>
      <c r="B92" s="137" t="str">
        <f>CONCATENATE(Men!E92," ",Men!F92)</f>
        <v>MORKEL Marius GN</v>
      </c>
      <c r="C92" s="805" t="str">
        <f>CONCATENATE(Women!E93," ",Women!F93)</f>
        <v>NTSOKOANE Itumeleng EKU</v>
      </c>
      <c r="D92" s="137" t="str">
        <f>CONCATENATE('u19 boys'!F93," ",'u19 boys'!G93)</f>
        <v>ISMAIL Abdul Qadir  CT</v>
      </c>
      <c r="E92" s="221" t="str">
        <f>CONCATENATE('u19 girls'!F93," ",'u19 girls'!G93)</f>
        <v>HECHTER Natalie JTTA</v>
      </c>
      <c r="F92" s="137" t="str">
        <f>CONCATENATE('u15 boys'!F93," ",'u15 boys'!G93)</f>
        <v>TITUS Skyler CT</v>
      </c>
      <c r="G92" s="216" t="str">
        <f>CONCATENATE('u15 girls'!F93," ",'u15 girls'!G93)</f>
        <v>GAOTLOPE Dimakatso  LIM</v>
      </c>
      <c r="H92" s="796" t="str">
        <f>CONCATENATE('u13 boys'!F93," ",'u13 boys'!G93)</f>
        <v>WINDVOGEL Kai Eden</v>
      </c>
      <c r="I92" s="222" t="str">
        <f>CONCATENATE('u13 girls'!F93," ",'u13 girls'!G93)</f>
        <v>GUMEDE Luyanda ETK</v>
      </c>
      <c r="J92" s="137" t="str">
        <f>CONCATENATE('u11 boys'!F92," ",'u11 boys'!G92)</f>
        <v>STANDER Arren  CT</v>
      </c>
      <c r="K92" s="216" t="str">
        <f>CONCATENATE('u11 girls'!F93," ",'u11 girls'!G93)</f>
        <v>NAIDOO Zyva UMG</v>
      </c>
    </row>
    <row r="93" spans="1:11" s="147" customFormat="1" ht="40" customHeight="1">
      <c r="A93" s="148">
        <f t="shared" si="1"/>
        <v>90</v>
      </c>
      <c r="B93" s="137" t="str">
        <f>CONCATENATE(Men!E93," ",Men!F93)</f>
        <v>MOODLEY Saiyin UMG</v>
      </c>
      <c r="C93" s="805" t="str">
        <f>CONCATENATE(Women!E94," ",Women!F94)</f>
        <v>HARRY PARSAD Nimmi UMG</v>
      </c>
      <c r="D93" s="137" t="str">
        <f>CONCATENATE('u19 boys'!F94," ",'u19 boys'!G94)</f>
        <v>BUCHLING Eddy JTTA</v>
      </c>
      <c r="E93" s="221" t="str">
        <f>CONCATENATE('u19 girls'!F94," ",'u19 girls'!G94)</f>
        <v>WILLIAMS Miyah CT</v>
      </c>
      <c r="F93" s="137" t="str">
        <f>CONCATENATE('u15 boys'!F94," ",'u15 boys'!G94)</f>
        <v>KAYSER Marquin Eden</v>
      </c>
      <c r="G93" s="216" t="str">
        <f>CONCATENATE('u15 girls'!F94," ",'u15 girls'!G94)</f>
        <v>ZALIGOBE Iviwe EC</v>
      </c>
      <c r="H93" s="796" t="str">
        <f>CONCATENATE('u13 boys'!F94," ",'u13 boys'!G94)</f>
        <v>SUBBIAH Keivaan UMG</v>
      </c>
      <c r="I93" s="222" t="str">
        <f>CONCATENATE('u13 girls'!F94," ",'u13 girls'!G94)</f>
        <v>MOATI Nthabiseng LIM</v>
      </c>
      <c r="J93" s="137" t="str">
        <f>CONCATENATE('u11 boys'!F93," ",'u11 boys'!G93)</f>
        <v>CUPIDO Caden  CT</v>
      </c>
      <c r="K93" s="216" t="str">
        <f>CONCATENATE('u11 girls'!F94," ",'u11 girls'!G94)</f>
        <v>Sumayya HANSROD JTTA</v>
      </c>
    </row>
    <row r="94" spans="1:11" s="147" customFormat="1" ht="40" customHeight="1">
      <c r="A94" s="148">
        <f t="shared" si="1"/>
        <v>91</v>
      </c>
      <c r="B94" s="137" t="str">
        <f>CONCATENATE(Men!E94," ",Men!F94)</f>
        <v>HUANG Shun GN</v>
      </c>
      <c r="C94" s="805" t="str">
        <f>CONCATENATE(Women!E95," ",Women!F95)</f>
        <v>PHILLIPS Suzie  CT</v>
      </c>
      <c r="D94" s="137" t="str">
        <f>CONCATENATE('u19 boys'!F95," ",'u19 boys'!G95)</f>
        <v>PILLAY Keval UMG</v>
      </c>
      <c r="E94" s="221" t="str">
        <f>CONCATENATE('u19 girls'!F95," ",'u19 girls'!G95)</f>
        <v>Smangele Khoza ETK</v>
      </c>
      <c r="F94" s="567" t="str">
        <f>CONCATENATE('u15 boys'!F95," ",'u15 boys'!G95)</f>
        <v>SIEFF Daniel JTTA</v>
      </c>
      <c r="G94" s="216" t="str">
        <f>CONCATENATE('u15 girls'!F95," ",'u15 girls'!G95)</f>
        <v>CHOMA Masello LIM</v>
      </c>
      <c r="H94" s="796" t="str">
        <f>CONCATENATE('u13 boys'!F95," ",'u13 boys'!G95)</f>
        <v>HEMRAJ Yasthir ETTA</v>
      </c>
      <c r="I94" s="222" t="str">
        <f>CONCATENATE('u13 girls'!F95," ",'u13 girls'!G95)</f>
        <v>BATYO Yonela ETK</v>
      </c>
      <c r="J94" s="137" t="str">
        <f>CONCATENATE('u11 boys'!F94," ",'u11 boys'!G94)</f>
        <v>KUSE Junior  CT</v>
      </c>
      <c r="K94" s="216" t="str">
        <f>CONCATENATE('u11 girls'!F95," ",'u11 girls'!G95)</f>
        <v>Arya Singh UMG</v>
      </c>
    </row>
    <row r="95" spans="1:11" s="147" customFormat="1" ht="40" customHeight="1">
      <c r="A95" s="148">
        <f t="shared" si="1"/>
        <v>92</v>
      </c>
      <c r="B95" s="137" t="str">
        <f>CONCATENATE(Men!E95," ",Men!F95)</f>
        <v>LEVY Dean  JTTA</v>
      </c>
      <c r="C95" s="805" t="str">
        <f>CONCATENATE(Women!E96," ",Women!F96)</f>
        <v>WILLEMSE Logan WC</v>
      </c>
      <c r="D95" s="137" t="str">
        <f>CONCATENATE('u19 boys'!F96," ",'u19 boys'!G96)</f>
        <v>MC LEOD Leonard GN</v>
      </c>
      <c r="E95" s="221" t="str">
        <f>CONCATENATE('u19 girls'!F96," ",'u19 girls'!G96)</f>
        <v>WILLEMSE Logan WC</v>
      </c>
      <c r="F95" s="567" t="str">
        <f>CONCATENATE('u15 boys'!F96," ",'u15 boys'!G96)</f>
        <v>Gilchrist Matt JTTA</v>
      </c>
      <c r="G95" s="216" t="str">
        <f>CONCATENATE('u15 girls'!F96," ",'u15 girls'!G96)</f>
        <v>MATSOSO Tshegofatso FS</v>
      </c>
      <c r="H95" s="796" t="str">
        <f>CONCATENATE('u13 boys'!F96," ",'u13 boys'!G96)</f>
        <v>SOLOMONS Kaiba CW</v>
      </c>
      <c r="I95" s="222" t="str">
        <f>CONCATENATE('u13 girls'!F96," ",'u13 girls'!G96)</f>
        <v>MBONISENI Sinesipho EC</v>
      </c>
      <c r="J95" s="137" t="str">
        <f>CONCATENATE('u11 boys'!F95," ",'u11 boys'!G95)</f>
        <v>WILSON Aiden  CT</v>
      </c>
      <c r="K95" s="216" t="str">
        <f>CONCATENATE('u11 girls'!F96," ",'u11 girls'!G96)</f>
        <v>APPELS Phatsimo NW</v>
      </c>
    </row>
    <row r="96" spans="1:11" s="147" customFormat="1" ht="40" customHeight="1">
      <c r="A96" s="148">
        <f t="shared" si="1"/>
        <v>93</v>
      </c>
      <c r="B96" s="137" t="str">
        <f>CONCATENATE(Men!E96," ",Men!F96)</f>
        <v>Ntuthuzelo LUSITHI  CT</v>
      </c>
      <c r="C96" s="805" t="str">
        <f>CONCATENATE(Women!E97," ",Women!F97)</f>
        <v>RAMCHURRAN Leora UMG</v>
      </c>
      <c r="D96" s="137" t="str">
        <f>CONCATENATE('u19 boys'!F97," ",'u19 boys'!G97)</f>
        <v>Franco VAN STADEN GN</v>
      </c>
      <c r="E96" s="221" t="str">
        <f>CONCATENATE('u19 girls'!F97," ",'u19 girls'!G97)</f>
        <v xml:space="preserve">MASENTILE Imange EC </v>
      </c>
      <c r="F96" s="567" t="str">
        <f>CONCATENATE('u15 boys'!F97," ",'u15 boys'!G97)</f>
        <v>ZAMA Uyabonelela UMG</v>
      </c>
      <c r="G96" s="216" t="str">
        <f>CONCATENATE('u15 girls'!F97," ",'u15 girls'!G97)</f>
        <v>ANANDHPURI Khiara UMG</v>
      </c>
      <c r="H96" s="796" t="str">
        <f>CONCATENATE('u13 boys'!F97," ",'u13 boys'!G97)</f>
        <v>LOUW Kellan CT</v>
      </c>
      <c r="I96" s="222" t="str">
        <f>CONCATENATE('u13 girls'!F97," ",'u13 girls'!G97)</f>
        <v>NJEMLA Olwethu ETK</v>
      </c>
      <c r="J96" s="137" t="str">
        <f>CONCATENATE('u11 boys'!F96," ",'u11 boys'!G96)</f>
        <v>NGWENZE Hlomla  WC</v>
      </c>
      <c r="K96" s="216" t="str">
        <f>CONCATENATE('u11 girls'!F97," ",'u11 girls'!G97)</f>
        <v>SIBISI Aphelele EKU</v>
      </c>
    </row>
    <row r="97" spans="1:11" s="147" customFormat="1" ht="40" customHeight="1">
      <c r="A97" s="148">
        <f t="shared" si="1"/>
        <v>94</v>
      </c>
      <c r="B97" s="137" t="str">
        <f>CONCATENATE(Men!E97," ",Men!F97)</f>
        <v>MODISE Cedric  FS</v>
      </c>
      <c r="C97" s="805" t="str">
        <f>CONCATENATE(Women!E98," ",Women!F98)</f>
        <v>BRUINERS Whinley EDEN</v>
      </c>
      <c r="D97" s="137" t="str">
        <f>CONCATENATE('u19 boys'!F98," ",'u19 boys'!G98)</f>
        <v>NAGARDAS Diyaan JTTA</v>
      </c>
      <c r="E97" s="221" t="str">
        <f>CONCATENATE('u19 girls'!F98," ",'u19 girls'!G98)</f>
        <v>NAIDOO Shreya  UMG</v>
      </c>
      <c r="F97" s="567" t="str">
        <f>CONCATENATE('u15 boys'!F98," ",'u15 boys'!G98)</f>
        <v>TAYLIN Naipal UMG</v>
      </c>
      <c r="G97" s="216" t="str">
        <f>CONCATENATE('u15 girls'!F98," ",'u15 girls'!G98)</f>
        <v>BHUGWANDEEN Prajna UMG</v>
      </c>
      <c r="H97" s="796" t="str">
        <f>CONCATENATE('u13 boys'!F98," ",'u13 boys'!G98)</f>
        <v>VAN HELDEN Leo CT</v>
      </c>
      <c r="I97" s="222" t="str">
        <f>CONCATENATE('u13 girls'!F98," ",'u13 girls'!G98)</f>
        <v>THEBEHALE Palesa JTTA</v>
      </c>
      <c r="J97" s="137" t="str">
        <f>CONCATENATE('u11 boys'!F97," ",'u11 boys'!G97)</f>
        <v>LEEUW Jayden FS</v>
      </c>
      <c r="K97" s="216" t="str">
        <f>CONCATENATE('u11 girls'!F98," ",'u11 girls'!G98)</f>
        <v>MATUBA Kamohelo EKU</v>
      </c>
    </row>
    <row r="98" spans="1:11" s="147" customFormat="1" ht="40" customHeight="1">
      <c r="A98" s="148">
        <f t="shared" si="1"/>
        <v>95</v>
      </c>
      <c r="B98" s="137" t="str">
        <f>CONCATENATE(Men!E98," ",Men!F98)</f>
        <v>STEYN Yusuf  SAVETTS</v>
      </c>
      <c r="C98" s="805" t="str">
        <f>CONCATENATE(Women!E99," ",Women!F99)</f>
        <v>Ramagapu Olorato  BOT</v>
      </c>
      <c r="D98" s="137" t="str">
        <f>CONCATENATE('u19 boys'!F99," ",'u19 boys'!G99)</f>
        <v>Dharmil Jeram Nathoo JTTA</v>
      </c>
      <c r="E98" s="221" t="str">
        <f>CONCATENATE('u19 girls'!F99," ",'u19 girls'!G99)</f>
        <v>JONES Michan CT</v>
      </c>
      <c r="F98" s="567" t="str">
        <f>CONCATENATE('u15 boys'!F99," ",'u15 boys'!G99)</f>
        <v>MORAILE Oreneile FS</v>
      </c>
      <c r="G98" s="216" t="str">
        <f>CONCATENATE('u15 girls'!F99," ",'u15 girls'!G99)</f>
        <v>Mhlongo Sanele ETK</v>
      </c>
      <c r="H98" s="796" t="str">
        <f>CONCATENATE('u13 boys'!F99," ",'u13 boys'!G99)</f>
        <v>MKIVA Junior  CT</v>
      </c>
      <c r="I98" s="222" t="str">
        <f>CONCATENATE('u13 girls'!F99," ",'u13 girls'!G99)</f>
        <v>KEITLHABILE Reneilwe NW</v>
      </c>
      <c r="J98" s="137" t="str">
        <f>CONCATENATE('u11 boys'!F98," ",'u11 boys'!G98)</f>
        <v>SHAIK Haneef JTTA</v>
      </c>
      <c r="K98" s="216" t="str">
        <f>CONCATENATE('u11 girls'!F99," ",'u11 girls'!G99)</f>
        <v>MANYAMA  Karabo LIM</v>
      </c>
    </row>
    <row r="99" spans="1:11" s="147" customFormat="1" ht="40" customHeight="1">
      <c r="A99" s="148">
        <f t="shared" si="1"/>
        <v>96</v>
      </c>
      <c r="B99" s="137" t="str">
        <f>CONCATENATE(Men!E99," ",Men!F99)</f>
        <v>ISAACS Zahier  SAVETTS</v>
      </c>
      <c r="C99" s="805" t="str">
        <f>CONCATENATE(Women!E100," ",Women!F100)</f>
        <v>NJEMLA MBATHA Olwethu ETK</v>
      </c>
      <c r="D99" s="137" t="str">
        <f>CONCATENATE('u19 boys'!F100," ",'u19 boys'!G100)</f>
        <v>MUSUNGISI Marvin CT</v>
      </c>
      <c r="E99" s="221" t="str">
        <f>CONCATENATE('u19 girls'!F100," ",'u19 girls'!G100)</f>
        <v>Serante Naipal UMG</v>
      </c>
      <c r="F99" s="567" t="str">
        <f>CONCATENATE('u15 boys'!F100," ",'u15 boys'!G100)</f>
        <v>ROYAPPEN Tayden UMG</v>
      </c>
      <c r="G99" s="216" t="str">
        <f>CONCATENATE('u15 girls'!F100," ",'u15 girls'!G100)</f>
        <v>Reabetswe Tiro  NW</v>
      </c>
      <c r="H99" s="796" t="str">
        <f>CONCATENATE('u13 boys'!F100," ",'u13 boys'!G100)</f>
        <v>SHAIK Hameed JTTA</v>
      </c>
      <c r="I99" s="222" t="str">
        <f>CONCATENATE('u13 girls'!F100," ",'u13 girls'!G100)</f>
        <v>RAMPEDI  Morongwa LIM</v>
      </c>
      <c r="J99" s="137" t="str">
        <f>CONCATENATE('u11 boys'!F99," ",'u11 boys'!G99)</f>
        <v>SINGH Amerish ETTA</v>
      </c>
      <c r="K99" s="216" t="str">
        <f>CONCATENATE('u11 girls'!F100," ",'u11 girls'!G100)</f>
        <v>NCITSHANA Ovuyo EC</v>
      </c>
    </row>
    <row r="100" spans="1:11" s="147" customFormat="1" ht="40" customHeight="1">
      <c r="A100" s="148">
        <f t="shared" si="1"/>
        <v>97</v>
      </c>
      <c r="B100" s="137" t="str">
        <f>CONCATENATE(Men!E100," ",Men!F100)</f>
        <v>KARIM Muhammed  GN</v>
      </c>
      <c r="C100" s="805" t="str">
        <f>CONCATENATE(Women!E101," ",Women!F101)</f>
        <v>SIVNANNAN Syriana UMG</v>
      </c>
      <c r="D100" s="137" t="str">
        <f>CONCATENATE('u19 boys'!F101," ",'u19 boys'!G101)</f>
        <v>NOMDO Jay  CT</v>
      </c>
      <c r="E100" s="221" t="str">
        <f>CONCATENATE('u19 girls'!F101," ",'u19 girls'!G101)</f>
        <v>MODISENYANI Rhetabile FS</v>
      </c>
      <c r="F100" s="567" t="str">
        <f>CONCATENATE('u15 boys'!F101," ",'u15 boys'!G101)</f>
        <v>MEYER Shane CT</v>
      </c>
      <c r="G100" s="216" t="str">
        <f>CONCATENATE('u15 girls'!F101," ",'u15 girls'!G101)</f>
        <v>VAN DER SCHYFF Kauthar CT</v>
      </c>
      <c r="H100" s="796" t="str">
        <f>CONCATENATE('u13 boys'!F101," ",'u13 boys'!G101)</f>
        <v>K Kuputsa  FS</v>
      </c>
      <c r="I100" s="222" t="str">
        <f>CONCATENATE('u13 girls'!F101," ",'u13 girls'!G101)</f>
        <v>MALITI Lumphumlo  WC</v>
      </c>
      <c r="J100" s="137" t="str">
        <f>CONCATENATE('u11 boys'!F100," ",'u11 boys'!G100)</f>
        <v>MACHI Bongisipho  ETTA</v>
      </c>
      <c r="K100" s="216" t="str">
        <f>CONCATENATE('u11 girls'!F101," ",'u11 girls'!G101)</f>
        <v>Rizwana VALLI JTTA</v>
      </c>
    </row>
    <row r="101" spans="1:11" s="147" customFormat="1" ht="40" customHeight="1">
      <c r="A101" s="148">
        <f t="shared" si="1"/>
        <v>98</v>
      </c>
      <c r="B101" s="137" t="str">
        <f>CONCATENATE(Men!E101," ",Men!F101)</f>
        <v>DE KOCK Michael  NMB</v>
      </c>
      <c r="C101" s="805" t="str">
        <f>CONCATENATE(Women!E102," ",Women!F102)</f>
        <v>CHINANC Nompilenhle ETK</v>
      </c>
      <c r="D101" s="137" t="str">
        <f>CONCATENATE('u19 boys'!F102," ",'u19 boys'!G102)</f>
        <v>SWANEPOEL Keanen GN</v>
      </c>
      <c r="E101" s="221" t="str">
        <f>CONCATENATE('u19 girls'!F102," ",'u19 girls'!G102)</f>
        <v>MADVIRAKARE Lerato JTTA</v>
      </c>
      <c r="F101" s="567" t="str">
        <f>CONCATENATE('u15 boys'!F102," ",'u15 boys'!G102)</f>
        <v>Faizan HOOSEN JTTA</v>
      </c>
      <c r="G101" s="216" t="str">
        <f>CONCATENATE('u15 girls'!F102," ",'u15 girls'!G102)</f>
        <v>SEBOPEL Keletso NW</v>
      </c>
      <c r="H101" s="796" t="str">
        <f>CONCATENATE('u13 boys'!F102," ",'u13 boys'!G102)</f>
        <v>O Mothabeng  FS</v>
      </c>
      <c r="I101" s="222" t="str">
        <f>CONCATENATE('u13 girls'!F102," ",'u13 girls'!G102)</f>
        <v>Aneliswa KUNENE UMZ</v>
      </c>
      <c r="J101" s="137" t="str">
        <f>CONCATENATE('u11 boys'!F101," ",'u11 boys'!G101)</f>
        <v>MTHABISA Lithabile EC</v>
      </c>
      <c r="K101" s="216" t="str">
        <f>CONCATENATE('u11 girls'!F102," ",'u11 girls'!G102)</f>
        <v>MUSINGUZI Shivan  CT</v>
      </c>
    </row>
    <row r="102" spans="1:11" s="147" customFormat="1" ht="40" customHeight="1">
      <c r="A102" s="148">
        <f t="shared" si="1"/>
        <v>99</v>
      </c>
      <c r="B102" s="137" t="str">
        <f>CONCATENATE(Men!E102," ",Men!F102)</f>
        <v>JOB Marvin GN</v>
      </c>
      <c r="C102" s="805" t="str">
        <f>CONCATENATE(Women!E103," ",Women!F103)</f>
        <v>Letshego PHEKONYANE FS</v>
      </c>
      <c r="D102" s="137" t="str">
        <f>CONCATENATE('u19 boys'!F103," ",'u19 boys'!G103)</f>
        <v>FREDERICKS Filippus CT</v>
      </c>
      <c r="E102" s="221" t="str">
        <f>CONCATENATE('u19 girls'!F103," ",'u19 girls'!G103)</f>
        <v>BARON Jody  CT</v>
      </c>
      <c r="F102" s="567" t="str">
        <f>CONCATENATE('u15 boys'!F103," ",'u15 boys'!G103)</f>
        <v>VILAKAZI Mhlengi Kwanele ETTA</v>
      </c>
      <c r="G102" s="216" t="str">
        <f>CONCATENATE('u15 girls'!F103," ",'u15 girls'!G103)</f>
        <v>KHAN Diyanah Bibi JTTA</v>
      </c>
      <c r="H102" s="796" t="str">
        <f>CONCATENATE('u13 boys'!F103," ",'u13 boys'!G103)</f>
        <v>T Mateane  FS</v>
      </c>
      <c r="I102" s="222" t="str">
        <f>CONCATENATE('u13 girls'!F103," ",'u13 girls'!G103)</f>
        <v>MOHANLAL Narisha UMG</v>
      </c>
      <c r="J102" s="137" t="str">
        <f>CONCATENATE('u11 boys'!F102," ",'u11 boys'!G102)</f>
        <v>MOKOLOKO Amogelang FS</v>
      </c>
      <c r="K102" s="216" t="str">
        <f>CONCATENATE('u11 girls'!F103," ",'u11 girls'!G103)</f>
        <v>KORTJAAS Sisanda Enzokuhle  UMG</v>
      </c>
    </row>
    <row r="103" spans="1:11" s="147" customFormat="1" ht="40" customHeight="1">
      <c r="A103" s="148">
        <f t="shared" si="1"/>
        <v>100</v>
      </c>
      <c r="B103" s="137" t="str">
        <f>CONCATENATE(Men!E103," ",Men!F103)</f>
        <v>RAMSUTH Cameron  ETTA</v>
      </c>
      <c r="C103" s="805" t="str">
        <f>CONCATENATE(Women!E104," ",Women!F104)</f>
        <v>MC CLEOD Michelle GN</v>
      </c>
      <c r="D103" s="137" t="str">
        <f>CONCATENATE('u19 boys'!F104," ",'u19 boys'!G104)</f>
        <v>POGGENPOEL Christian CT</v>
      </c>
      <c r="E103" s="221" t="str">
        <f>CONCATENATE('u19 girls'!F104," ",'u19 girls'!G104)</f>
        <v>KARIM Nasiha  GN</v>
      </c>
      <c r="F103" s="567" t="str">
        <f>CONCATENATE('u15 boys'!F104," ",'u15 boys'!G104)</f>
        <v>DU PREEZ Liam JTTA</v>
      </c>
      <c r="G103" s="216" t="str">
        <f>CONCATENATE('u15 girls'!F104," ",'u15 girls'!G104)</f>
        <v>KHANYE Dineo DRRSMTTA</v>
      </c>
      <c r="H103" s="796" t="str">
        <f>CONCATENATE('u13 boys'!F104," ",'u13 boys'!G104)</f>
        <v>O Matekane  FS</v>
      </c>
      <c r="I103" s="222" t="str">
        <f>CONCATENATE('u13 girls'!F104," ",'u13 girls'!G104)</f>
        <v>DOMINGO Imaan  CT</v>
      </c>
      <c r="J103" s="137" t="str">
        <f>CONCATENATE('u11 boys'!F103," ",'u11 boys'!G103)</f>
        <v>MOSESE Luvuyo FS</v>
      </c>
      <c r="K103" s="216" t="str">
        <f>CONCATENATE('u11 girls'!F104," ",'u11 girls'!G104)</f>
        <v>BOOYSEN Des-Leigh  WC</v>
      </c>
    </row>
    <row r="104" spans="1:11" s="147" customFormat="1" ht="40" customHeight="1">
      <c r="A104" s="148">
        <f t="shared" si="1"/>
        <v>101</v>
      </c>
      <c r="B104" s="137" t="str">
        <f>CONCATENATE(Men!E104," ",Men!F104)</f>
        <v>MAY Riaan NMB</v>
      </c>
      <c r="C104" s="805" t="str">
        <f>CONCATENATE(Women!E105," ",Women!F105)</f>
        <v>PARBHOODEEN Akshara Gemma UMG</v>
      </c>
      <c r="D104" s="137" t="str">
        <f>CONCATENATE('u19 boys'!F105," ",'u19 boys'!G105)</f>
        <v>PHUNGULA Themba UMG</v>
      </c>
      <c r="E104" s="221" t="str">
        <f>CONCATENATE('u19 girls'!F105," ",'u19 girls'!G105)</f>
        <v>Tessa Johnstone JTTA</v>
      </c>
      <c r="F104" s="567" t="str">
        <f>CONCATENATE('u15 boys'!F105," ",'u15 boys'!G105)</f>
        <v>VAN HELDEN Leo CT</v>
      </c>
      <c r="G104" s="216" t="str">
        <f>CONCATENATE('u15 girls'!F105," ",'u15 girls'!G105)</f>
        <v>MADUMELA Ndango LIM</v>
      </c>
      <c r="H104" s="796" t="str">
        <f>CONCATENATE('u13 boys'!F105," ",'u13 boys'!G105)</f>
        <v>PETOVSKY Pavol Usman  JTTA</v>
      </c>
      <c r="I104" s="222" t="str">
        <f>CONCATENATE('u13 girls'!F105," ",'u13 girls'!G105)</f>
        <v>BATSHOLENG Shephanie BOT</v>
      </c>
      <c r="J104" s="137" t="str">
        <f>CONCATENATE('u11 boys'!F104," ",'u11 boys'!G104)</f>
        <v>KHOPE Soyama WC</v>
      </c>
      <c r="K104" s="216" t="str">
        <f>CONCATENATE('u11 girls'!F105," ",'u11 girls'!G105)</f>
        <v>ROTWANA  Lisakhanya EC</v>
      </c>
    </row>
    <row r="105" spans="1:11" s="147" customFormat="1" ht="40" customHeight="1">
      <c r="A105" s="148">
        <f t="shared" si="1"/>
        <v>102</v>
      </c>
      <c r="B105" s="137" t="str">
        <f>CONCATENATE(Men!E105," ",Men!F105)</f>
        <v>Shrian Bandu  UMG</v>
      </c>
      <c r="C105" s="805" t="str">
        <f>CONCATENATE(Women!E106," ",Women!F106)</f>
        <v>BHUGWANDEEN Prajna UMG</v>
      </c>
      <c r="D105" s="137" t="str">
        <f>CONCATENATE('u19 boys'!F106," ",'u19 boys'!G106)</f>
        <v>MAART Cughan CW</v>
      </c>
      <c r="E105" s="221" t="str">
        <f>CONCATENATE('u19 girls'!F106," ",'u19 girls'!G106)</f>
        <v>DAVIDS Daylin  CT</v>
      </c>
      <c r="F105" s="567" t="str">
        <f>CONCATENATE('u15 boys'!F106," ",'u15 boys'!G106)</f>
        <v>NOMDO Joshua CT</v>
      </c>
      <c r="G105" s="216" t="str">
        <f>CONCATENATE('u15 girls'!F106," ",'u15 girls'!G106)</f>
        <v>HEERALAL Arya ETTA</v>
      </c>
      <c r="H105" s="796" t="str">
        <f>CONCATENATE('u13 boys'!F106," ",'u13 boys'!G106)</f>
        <v>NAIDOO Xavien ETTA</v>
      </c>
      <c r="I105" s="222" t="str">
        <f>CONCATENATE('u13 girls'!F106," ",'u13 girls'!G106)</f>
        <v>Princess Tichiwangani ZIM</v>
      </c>
      <c r="J105" s="137" t="str">
        <f>CONCATENATE('u11 boys'!F105," ",'u11 boys'!G105)</f>
        <v>VAN DER MEULEN Max JTTA</v>
      </c>
      <c r="K105" s="216" t="str">
        <f>CONCATENATE('u11 girls'!F106," ",'u11 girls'!G106)</f>
        <v>ISAACS Rushaan WC</v>
      </c>
    </row>
    <row r="106" spans="1:11" s="147" customFormat="1" ht="40" customHeight="1">
      <c r="A106" s="148">
        <f t="shared" si="1"/>
        <v>103</v>
      </c>
      <c r="B106" s="137" t="str">
        <f>CONCATENATE(Men!E106," ",Men!F106)</f>
        <v>BROWNLEY Timothy JTTA</v>
      </c>
      <c r="C106" s="805" t="str">
        <f>CONCATENATE(Women!E107," ",Women!F107)</f>
        <v>GOVENDER Mikayla ETK</v>
      </c>
      <c r="D106" s="137" t="str">
        <f>CONCATENATE('u19 boys'!F107," ",'u19 boys'!G107)</f>
        <v>APPOLLIS Jayrin CW</v>
      </c>
      <c r="E106" s="221" t="str">
        <f>CONCATENATE('u19 girls'!F107," ",'u19 girls'!G107)</f>
        <v>NGAMBU Sibabaliwe EC</v>
      </c>
      <c r="F106" s="567" t="str">
        <f>CONCATENATE('u15 boys'!F107," ",'u15 boys'!G107)</f>
        <v>Kamogelo METSWAMERE NWP</v>
      </c>
      <c r="G106" s="216" t="str">
        <f>CONCATENATE('u15 girls'!F107," ",'u15 girls'!G107)</f>
        <v>DADAKER Sameena CT</v>
      </c>
      <c r="H106" s="796" t="str">
        <f>CONCATENATE('u13 boys'!F107," ",'u13 boys'!G107)</f>
        <v>FORTUIN Teswill  WC</v>
      </c>
      <c r="I106" s="222" t="str">
        <f>CONCATENATE('u13 girls'!F107," ",'u13 girls'!G107)</f>
        <v>SEKETE Nthabeleng DRKKTTA</v>
      </c>
      <c r="J106" s="137" t="str">
        <f>CONCATENATE('u11 boys'!F106," ",'u11 boys'!G106)</f>
        <v>LEKWENE One DRRSMTTA</v>
      </c>
      <c r="K106" s="216" t="str">
        <f>CONCATENATE('u11 girls'!F107," ",'u11 girls'!G107)</f>
        <v>MMUTLANYANA Omphilelesedi FS</v>
      </c>
    </row>
    <row r="107" spans="1:11" s="147" customFormat="1" ht="40" customHeight="1">
      <c r="A107" s="148">
        <f t="shared" si="1"/>
        <v>104</v>
      </c>
      <c r="B107" s="137" t="str">
        <f>CONCATENATE(Men!E107," ",Men!F107)</f>
        <v>ISAACS Munier  SANDF</v>
      </c>
      <c r="C107" s="805" t="str">
        <f>CONCATENATE(Women!E108," ",Women!F108)</f>
        <v>MOHATLI Mpho LIM</v>
      </c>
      <c r="D107" s="137" t="str">
        <f>CONCATENATE('u19 boys'!F108," ",'u19 boys'!G108)</f>
        <v>SINGH Mungal Keshav JTTA</v>
      </c>
      <c r="E107" s="221" t="str">
        <f>CONCATENATE('u19 girls'!F108," ",'u19 girls'!G108)</f>
        <v>ERASMUS Nické GN</v>
      </c>
      <c r="F107" s="567" t="str">
        <f>CONCATENATE('u15 boys'!F108," ",'u15 boys'!G108)</f>
        <v>KLEINBOOI Evano Eden</v>
      </c>
      <c r="G107" s="216" t="str">
        <f>CONCATENATE('u15 girls'!F108," ",'u15 girls'!G108)</f>
        <v>BAIJNATH Aditi UMG</v>
      </c>
      <c r="H107" s="796" t="str">
        <f>CONCATENATE('u13 boys'!F108," ",'u13 boys'!G108)</f>
        <v>CJ VERSTER GN</v>
      </c>
      <c r="I107" s="222" t="str">
        <f>CONCATENATE('u13 girls'!F108," ",'u13 girls'!G108)</f>
        <v>Zahraa Cassiem                 CT</v>
      </c>
      <c r="J107" s="137" t="str">
        <f>CONCATENATE('u11 boys'!F107," ",'u11 boys'!G107)</f>
        <v>MOABI Oageng DRRSMTTA</v>
      </c>
      <c r="K107" s="216" t="str">
        <f>CONCATENATE('u11 girls'!F108," ",'u11 girls'!G108)</f>
        <v>NGIDI Lubanzi UMG</v>
      </c>
    </row>
    <row r="108" spans="1:11" s="147" customFormat="1" ht="40" customHeight="1">
      <c r="A108" s="148">
        <f t="shared" si="1"/>
        <v>105</v>
      </c>
      <c r="B108" s="137" t="str">
        <f>CONCATENATE(Men!E108," ",Men!F108)</f>
        <v>PADAYACHEE Rivaal UMG</v>
      </c>
      <c r="C108" s="805" t="str">
        <f>CONCATENATE(Women!E109," ",Women!F109)</f>
        <v>HUNKIN Sarah JTTA</v>
      </c>
      <c r="D108" s="137" t="str">
        <f>CONCATENATE('u19 boys'!F109," ",'u19 boys'!G109)</f>
        <v>KRUGER Luan GN</v>
      </c>
      <c r="E108" s="221" t="str">
        <f>CONCATENATE('u19 girls'!F109," ",'u19 girls'!G109)</f>
        <v>Cassie Stevens Eden</v>
      </c>
      <c r="F108" s="567" t="str">
        <f>CONCATENATE('u15 boys'!F109," ",'u15 boys'!G109)</f>
        <v>HOFSTA Luke CW</v>
      </c>
      <c r="G108" s="216" t="str">
        <f>CONCATENATE('u15 girls'!F109," ",'u15 girls'!G109)</f>
        <v>KOMETSI Khalalelo FS</v>
      </c>
      <c r="H108" s="796" t="str">
        <f>CONCATENATE('u13 boys'!F109," ",'u13 boys'!G109)</f>
        <v>CARESLSE Tyrone  CT</v>
      </c>
      <c r="I108" s="222" t="str">
        <f>CONCATENATE('u13 girls'!F109," ",'u13 girls'!G109)</f>
        <v>BULLEN Isabel JTTA</v>
      </c>
      <c r="J108" s="137" t="str">
        <f>CONCATENATE('u11 boys'!F108," ",'u11 boys'!G108)</f>
        <v>ONKARABETSE Sam NWP</v>
      </c>
      <c r="K108" s="216" t="str">
        <f>CONCATENATE('u11 girls'!F109," ",'u11 girls'!G109)</f>
        <v>SITHOLE Lisakhanya UMG</v>
      </c>
    </row>
    <row r="109" spans="1:11" s="147" customFormat="1" ht="40" customHeight="1">
      <c r="A109" s="148">
        <f t="shared" si="1"/>
        <v>106</v>
      </c>
      <c r="B109" s="137" t="str">
        <f>CONCATENATE(Men!E109," ",Men!F109)</f>
        <v>PHILANDER Nahum CT</v>
      </c>
      <c r="C109" s="805" t="str">
        <f>CONCATENATE(Women!E110," ",Women!F110)</f>
        <v>WOOD Angeline  CT</v>
      </c>
      <c r="D109" s="137" t="str">
        <f>CONCATENATE('u19 boys'!F110," ",'u19 boys'!G110)</f>
        <v>GUMEDE Oluhle ETTA</v>
      </c>
      <c r="E109" s="221" t="str">
        <f>CONCATENATE('u19 girls'!F110," ",'u19 girls'!G110)</f>
        <v>DAVIS SMITH Zoe JTTA</v>
      </c>
      <c r="F109" s="567" t="str">
        <f>CONCATENATE('u15 boys'!F110," ",'u15 boys'!G110)</f>
        <v>FOURIE Barend FS</v>
      </c>
      <c r="G109" s="216" t="str">
        <f>CONCATENATE('u15 girls'!F110," ",'u15 girls'!G110)</f>
        <v>Chinanga Mpilo Enhle ETK</v>
      </c>
      <c r="H109" s="796" t="str">
        <f>CONCATENATE('u13 boys'!F110," ",'u13 boys'!G110)</f>
        <v>BAKU Yantle  CT</v>
      </c>
      <c r="I109" s="222" t="str">
        <f>CONCATENATE('u13 girls'!F110," ",'u13 girls'!G110)</f>
        <v>JAYSON Raylin CT</v>
      </c>
      <c r="J109" s="137" t="str">
        <f>CONCATENATE('u11 boys'!F109," ",'u11 boys'!G109)</f>
        <v>Kholomanyane Keamogetswe  NWP</v>
      </c>
      <c r="K109" s="216" t="str">
        <f>CONCATENATE('u11 girls'!F110," ",'u11 girls'!G110)</f>
        <v>Tamicah Nudlall UMG</v>
      </c>
    </row>
    <row r="110" spans="1:11" s="147" customFormat="1" ht="40" customHeight="1">
      <c r="A110" s="148">
        <f t="shared" si="1"/>
        <v>107</v>
      </c>
      <c r="B110" s="137" t="str">
        <f>CONCATENATE(Men!E110," ",Men!F110)</f>
        <v>BEEBY Damon JTTA</v>
      </c>
      <c r="C110" s="805" t="str">
        <f>CONCATENATE(Women!E111," ",Women!F111)</f>
        <v>THABETHE Amogelang EKU</v>
      </c>
      <c r="D110" s="137" t="str">
        <f>CONCATENATE('u19 boys'!F111," ",'u19 boys'!G111)</f>
        <v>CEDRAS Sharief  CT</v>
      </c>
      <c r="E110" s="221" t="str">
        <f>CONCATENATE('u19 girls'!F111," ",'u19 girls'!G111)</f>
        <v>MOLOINYANA Paballo  NW</v>
      </c>
      <c r="F110" s="567" t="str">
        <f>CONCATENATE('u15 boys'!F111," ",'u15 boys'!G111)</f>
        <v>WILLIAMS Cody CT</v>
      </c>
      <c r="G110" s="216" t="str">
        <f>CONCATENATE('u15 girls'!F111," ",'u15 girls'!G111)</f>
        <v>MADVIRAKARE Lerato JTTA</v>
      </c>
      <c r="H110" s="796" t="str">
        <f>CONCATENATE('u13 boys'!F111," ",'u13 boys'!G111)</f>
        <v>DJEUDJE Keanen WC</v>
      </c>
      <c r="I110" s="222" t="str">
        <f>CONCATENATE('u13 girls'!F111," ",'u13 girls'!G111)</f>
        <v>FOURIE Daleen FS</v>
      </c>
      <c r="J110" s="137" t="str">
        <f>CONCATENATE('u11 boys'!F110," ",'u11 boys'!G110)</f>
        <v>MANANA Siphelele UTH</v>
      </c>
      <c r="K110" s="216" t="str">
        <f>CONCATENATE('u11 girls'!F111," ",'u11 girls'!G111)</f>
        <v>Ameera Chohan UMG</v>
      </c>
    </row>
    <row r="111" spans="1:11" s="147" customFormat="1" ht="40" customHeight="1">
      <c r="A111" s="148">
        <f t="shared" si="1"/>
        <v>108</v>
      </c>
      <c r="B111" s="137" t="str">
        <f>CONCATENATE(Men!E111," ",Men!F111)</f>
        <v>BRICKHILL Jason JTTA</v>
      </c>
      <c r="C111" s="805" t="str">
        <f>CONCATENATE(Women!E112," ",Women!F112)</f>
        <v>MACHI Azile ETK</v>
      </c>
      <c r="D111" s="137" t="str">
        <f>CONCATENATE('u19 boys'!F112," ",'u19 boys'!G112)</f>
        <v>ZAIN EDDIN Kareem GN</v>
      </c>
      <c r="E111" s="221" t="str">
        <f>CONCATENATE('u19 girls'!F112," ",'u19 girls'!G112)</f>
        <v>MOLOINYANA Lebogang  NW</v>
      </c>
      <c r="F111" s="567" t="str">
        <f>CONCATENATE('u15 boys'!F112," ",'u15 boys'!G112)</f>
        <v>PHEKONYANE Kgalalelo FS</v>
      </c>
      <c r="G111" s="216" t="str">
        <f>CONCATENATE('u15 girls'!F112," ",'u15 girls'!G112)</f>
        <v>Carline RAUTENBACH GN</v>
      </c>
      <c r="H111" s="796" t="str">
        <f>CONCATENATE('u13 boys'!F112," ",'u13 boys'!G112)</f>
        <v>ZIQUBU  Siyanda  UMZ</v>
      </c>
      <c r="I111" s="222" t="str">
        <f>CONCATENATE('u13 girls'!F112," ",'u13 girls'!G112)</f>
        <v>SIVNANNAN Sivarna UMG</v>
      </c>
      <c r="J111" s="137" t="str">
        <f>CONCATENATE('u11 boys'!F111," ",'u11 boys'!G111)</f>
        <v>DIKGALE Mpho LIM</v>
      </c>
      <c r="K111" s="216" t="str">
        <f>CONCATENATE('u11 girls'!F112," ",'u11 girls'!G112)</f>
        <v xml:space="preserve"> MOLEFE Lesedi EKU</v>
      </c>
    </row>
    <row r="112" spans="1:11" s="147" customFormat="1" ht="40" customHeight="1">
      <c r="A112" s="148">
        <f t="shared" si="1"/>
        <v>109</v>
      </c>
      <c r="B112" s="137" t="str">
        <f>CONCATENATE(Men!E112," ",Men!F112)</f>
        <v xml:space="preserve">AGBAZO Evans Eric EC </v>
      </c>
      <c r="C112" s="805" t="str">
        <f>CONCATENATE(Women!E113," ",Women!F113)</f>
        <v>KUSWANI Connie  BOT</v>
      </c>
      <c r="D112" s="137" t="str">
        <f>CONCATENATE('u19 boys'!F113," ",'u19 boys'!G113)</f>
        <v>JACOBS Owais CT</v>
      </c>
      <c r="E112" s="221" t="str">
        <f>CONCATENATE('u19 girls'!F113," ",'u19 girls'!G113)</f>
        <v>Motshabi Bopelo FS</v>
      </c>
      <c r="F112" s="567" t="str">
        <f>CONCATENATE('u15 boys'!F113," ",'u15 boys'!G113)</f>
        <v>TIFFLIN Saeed JTTA</v>
      </c>
      <c r="G112" s="216" t="str">
        <f>CONCATENATE('u15 girls'!F113," ",'u15 girls'!G113)</f>
        <v>HLUBI Alwande UTH</v>
      </c>
      <c r="H112" s="796" t="str">
        <f>CONCATENATE('u13 boys'!F113," ",'u13 boys'!G113)</f>
        <v>SCHEEPERS Sohail  WC</v>
      </c>
      <c r="I112" s="222" t="str">
        <f>CONCATENATE('u13 girls'!F113," ",'u13 girls'!G113)</f>
        <v>EBRHAIM Nasreen JTTA</v>
      </c>
      <c r="J112" s="137" t="str">
        <f>CONCATENATE('u11 boys'!F112," ",'u11 boys'!G112)</f>
        <v>TEMA Tebogo David LIM</v>
      </c>
      <c r="K112" s="216" t="str">
        <f>CONCATENATE('u11 girls'!F113," ",'u11 girls'!G113)</f>
        <v>NAIDOO Isabella ETK</v>
      </c>
    </row>
    <row r="113" spans="1:11" s="147" customFormat="1" ht="40" customHeight="1">
      <c r="A113" s="148">
        <f t="shared" si="1"/>
        <v>110</v>
      </c>
      <c r="B113" s="137" t="str">
        <f>CONCATENATE(Men!E113," ",Men!F113)</f>
        <v>FARIA Tiago CT</v>
      </c>
      <c r="C113" s="805" t="str">
        <f>CONCATENATE(Women!E114," ",Women!F114)</f>
        <v>Lungiswa METHULA JTTA</v>
      </c>
      <c r="D113" s="137" t="str">
        <f>CONCATENATE('u19 boys'!F114," ",'u19 boys'!G114)</f>
        <v>O' RYAN Alex CT</v>
      </c>
      <c r="E113" s="221" t="str">
        <f>CONCATENATE('u19 girls'!F114," ",'u19 girls'!G114)</f>
        <v>KGALANYANE Patricia NW</v>
      </c>
      <c r="F113" s="567" t="str">
        <f>CONCATENATE('u15 boys'!F114," ",'u15 boys'!G114)</f>
        <v>EBRAHIM Niyaaz  CT</v>
      </c>
      <c r="G113" s="216" t="str">
        <f>CONCATENATE('u15 girls'!F114," ",'u15 girls'!G114)</f>
        <v>VUKUVUKU Sinesipho EC</v>
      </c>
      <c r="H113" s="796" t="str">
        <f>CONCATENATE('u13 boys'!F114," ",'u13 boys'!G114)</f>
        <v>MOODLEY Saiyin UMG</v>
      </c>
      <c r="I113" s="222" t="str">
        <f>CONCATENATE('u13 girls'!F114," ",'u13 girls'!G114)</f>
        <v>BHUNDOO Ashriya UMG</v>
      </c>
      <c r="J113" s="137" t="str">
        <f>CONCATENATE('u11 boys'!F113," ",'u11 boys'!G113)</f>
        <v>KEAGILE Ofentse NWP</v>
      </c>
      <c r="K113" s="216" t="str">
        <f>CONCATENATE('u11 girls'!F114," ",'u11 girls'!G114)</f>
        <v>MOTSONENG Karabo ETK</v>
      </c>
    </row>
    <row r="114" spans="1:11" s="147" customFormat="1" ht="40" customHeight="1">
      <c r="A114" s="148">
        <f t="shared" si="1"/>
        <v>111</v>
      </c>
      <c r="B114" s="137" t="str">
        <f>CONCATENATE(Men!E114," ",Men!F114)</f>
        <v>HUI Starn GN</v>
      </c>
      <c r="C114" s="805" t="str">
        <f>CONCATENATE(Women!E115," ",Women!F115)</f>
        <v>REDDY Jasmine  UMG</v>
      </c>
      <c r="D114" s="137" t="str">
        <f>CONCATENATE('u19 boys'!F115," ",'u19 boys'!G115)</f>
        <v>PATEL Ilyaas CT</v>
      </c>
      <c r="E114" s="221" t="str">
        <f>CONCATENATE('u19 girls'!F115," ",'u19 girls'!G115)</f>
        <v>HOFFMAN Jae-Leigh Eden</v>
      </c>
      <c r="F114" s="567" t="str">
        <f>CONCATENATE('u15 boys'!F115," ",'u15 boys'!G115)</f>
        <v>SOLOMONS Kyle CW</v>
      </c>
      <c r="G114" s="216" t="str">
        <f>CONCATENATE('u15 girls'!F115," ",'u15 girls'!G115)</f>
        <v>NGAMBU Sibabaliwe EC</v>
      </c>
      <c r="H114" s="796" t="str">
        <f>CONCATENATE('u13 boys'!F115," ",'u13 boys'!G115)</f>
        <v>PARBHOO Ishaan GN</v>
      </c>
      <c r="I114" s="222" t="str">
        <f>CONCATENATE('u13 girls'!F115," ",'u13 girls'!G115)</f>
        <v>TSHWETSHWELA Elona ETK</v>
      </c>
      <c r="J114" s="137" t="str">
        <f>CONCATENATE('u11 boys'!F114," ",'u11 boys'!G114)</f>
        <v>MPEHLE Imanathi EKU</v>
      </c>
      <c r="K114" s="216" t="str">
        <f>CONCATENATE('u11 girls'!F115," ",'u11 girls'!G115)</f>
        <v>KGOMOTSO Matlakeng FS</v>
      </c>
    </row>
    <row r="115" spans="1:11" s="147" customFormat="1" ht="40" customHeight="1">
      <c r="A115" s="148">
        <f t="shared" si="1"/>
        <v>112</v>
      </c>
      <c r="B115" s="137" t="str">
        <f>CONCATENATE(Men!E115," ",Men!F115)</f>
        <v>NAIDOO Kyan UMG</v>
      </c>
      <c r="C115" s="805" t="str">
        <f>CONCATENATE(Women!E116," ",Women!F116)</f>
        <v>THUSI Lindelwa UMG</v>
      </c>
      <c r="D115" s="137" t="str">
        <f>CONCATENATE('u19 boys'!F116," ",'u19 boys'!G116)</f>
        <v>KGONGWANA Thato BOT</v>
      </c>
      <c r="E115" s="221" t="str">
        <f>CONCATENATE('u19 girls'!F116," ",'u19 girls'!G116)</f>
        <v>PEDRO Irisha Eden</v>
      </c>
      <c r="F115" s="567" t="str">
        <f>CONCATENATE('u15 boys'!F116," ",'u15 boys'!G116)</f>
        <v>DJEUDJE Keanen WC</v>
      </c>
      <c r="G115" s="216" t="str">
        <f>CONCATENATE('u15 girls'!F116," ",'u15 girls'!G116)</f>
        <v>PERRANG Deonay WC</v>
      </c>
      <c r="H115" s="796" t="str">
        <f>CONCATENATE('u13 boys'!F116," ",'u13 boys'!G116)</f>
        <v>ONKARABETSE Sam NWP</v>
      </c>
      <c r="I115" s="222" t="str">
        <f>CONCATENATE('u13 girls'!F116," ",'u13 girls'!G116)</f>
        <v>OMPHILE Motseki FS</v>
      </c>
      <c r="J115" s="137" t="str">
        <f>CONCATENATE('u11 boys'!F115," ",'u11 boys'!G115)</f>
        <v>MKHONTO Karabo EKU</v>
      </c>
      <c r="K115" s="216" t="str">
        <f>CONCATENATE('u11 girls'!F116," ",'u11 girls'!G116)</f>
        <v>GOITSEMANG Shago FS</v>
      </c>
    </row>
    <row r="116" spans="1:11" s="147" customFormat="1" ht="40" customHeight="1">
      <c r="A116" s="148">
        <f t="shared" si="1"/>
        <v>113</v>
      </c>
      <c r="B116" s="137" t="str">
        <f>CONCATENATE(Men!E116," ",Men!F116)</f>
        <v>MAY Daylin  CT</v>
      </c>
      <c r="C116" s="805" t="str">
        <f>CONCATENATE(Women!E117," ",Women!F117)</f>
        <v>KHOZA Simangele  ETK</v>
      </c>
      <c r="D116" s="137" t="str">
        <f>CONCATENATE('u19 boys'!F117," ",'u19 boys'!G117)</f>
        <v>KENNY Saalih  CT</v>
      </c>
      <c r="E116" s="221" t="str">
        <f>CONCATENATE('u19 girls'!F117," ",'u19 girls'!G117)</f>
        <v>MKHIZE Elihleithemba  ETK</v>
      </c>
      <c r="F116" s="567" t="str">
        <f>CONCATENATE('u15 boys'!F117," ",'u15 boys'!G117)</f>
        <v>ZHANG Derick FS</v>
      </c>
      <c r="G116" s="216" t="str">
        <f>CONCATENATE('u15 girls'!F117," ",'u15 girls'!G117)</f>
        <v>MOCHABELA Refilwe LIM</v>
      </c>
      <c r="H116" s="796" t="str">
        <f>CONCATENATE('u13 boys'!F117," ",'u13 boys'!G117)</f>
        <v>XHOBOZA Thembe NWP</v>
      </c>
      <c r="I116" s="222" t="str">
        <f>CONCATENATE('u13 girls'!F117," ",'u13 girls'!G117)</f>
        <v>GOLOLOSEGO Nyokong FS</v>
      </c>
      <c r="J116" s="137" t="str">
        <f>CONCATENATE('u11 boys'!F116," ",'u11 boys'!G116)</f>
        <v>MOGWENYA Mthokozisi GN</v>
      </c>
      <c r="K116" s="216" t="str">
        <f>CONCATENATE('u11 girls'!F117," ",'u11 girls'!G117)</f>
        <v>MAKHOSI Thabang LES</v>
      </c>
    </row>
    <row r="117" spans="1:11" s="147" customFormat="1" ht="40" customHeight="1">
      <c r="A117" s="148">
        <f t="shared" si="1"/>
        <v>114</v>
      </c>
      <c r="B117" s="137" t="str">
        <f>CONCATENATE(Men!E117," ",Men!F117)</f>
        <v>HIMANSHU Kapoor ETTA</v>
      </c>
      <c r="C117" s="805" t="str">
        <f>CONCATENATE(Women!E118," ",Women!F118)</f>
        <v>MOILANYANE Rorisang  NW</v>
      </c>
      <c r="D117" s="137" t="str">
        <f>CONCATENATE('u19 boys'!F118," ",'u19 boys'!G118)</f>
        <v xml:space="preserve">AWOOD Cole  CT </v>
      </c>
      <c r="E117" s="221" t="str">
        <f>CONCATENATE('u19 girls'!F118," ",'u19 girls'!G118)</f>
        <v>MANYAMA  Nthabiseng  LIM</v>
      </c>
      <c r="F117" s="567" t="str">
        <f>CONCATENATE('u15 boys'!F118," ",'u15 boys'!G118)</f>
        <v>M Mpobole  FS</v>
      </c>
      <c r="G117" s="216" t="str">
        <f>CONCATENATE('u15 girls'!F118," ",'u15 girls'!G118)</f>
        <v>PEDRO Dalzanthy Eden</v>
      </c>
      <c r="H117" s="796" t="str">
        <f>CONCATENATE('u13 boys'!F118," ",'u13 boys'!G118)</f>
        <v>NYAMKHAZI Anethemba EC</v>
      </c>
      <c r="I117" s="222" t="str">
        <f>CONCATENATE('u13 girls'!F118," ",'u13 girls'!G118)</f>
        <v>MFUNDISI Nalelo FS</v>
      </c>
      <c r="J117" s="137" t="str">
        <f>CONCATENATE('u11 boys'!F117," ",'u11 boys'!G117)</f>
        <v>RAMOCHEKI  Brandon Stan LIM</v>
      </c>
      <c r="K117" s="216" t="str">
        <f>CONCATENATE('u11 girls'!F118," ",'u11 girls'!G118)</f>
        <v>MOLEFE Thando FS</v>
      </c>
    </row>
    <row r="118" spans="1:11" s="147" customFormat="1" ht="40" customHeight="1">
      <c r="A118" s="148">
        <f t="shared" si="1"/>
        <v>115</v>
      </c>
      <c r="B118" s="137" t="str">
        <f>CONCATENATE(Men!E118," ",Men!F118)</f>
        <v>THEUNISSEN Niezaam CT</v>
      </c>
      <c r="C118" s="805" t="str">
        <f>CONCATENATE(Women!E119," ",Women!F119)</f>
        <v>MODISENYANI Rhetabile FS</v>
      </c>
      <c r="D118" s="137" t="str">
        <f>CONCATENATE('u19 boys'!F119," ",'u19 boys'!G119)</f>
        <v>ABRAHAMS Saeed  CT</v>
      </c>
      <c r="E118" s="221" t="str">
        <f>CONCATENATE('u19 girls'!F119," ",'u19 girls'!G119)</f>
        <v>Nomcebo SIKHOKHANE UMZ</v>
      </c>
      <c r="F118" s="567" t="str">
        <f>CONCATENATE('u15 boys'!F119," ",'u15 boys'!G119)</f>
        <v>DZANIBE Khethukuthula ETTA</v>
      </c>
      <c r="G118" s="216" t="str">
        <f>CONCATENATE('u15 girls'!F119," ",'u15 girls'!G119)</f>
        <v>LEHLOO Tshepiso NW</v>
      </c>
      <c r="H118" s="796" t="str">
        <f>CONCATENATE('u13 boys'!F119," ",'u13 boys'!G119)</f>
        <v>MORSI Sohayb JTTA</v>
      </c>
      <c r="I118" s="222" t="str">
        <f>CONCATENATE('u13 girls'!F119," ",'u13 girls'!G119)</f>
        <v>KGOMOTSO Matlakeng FS</v>
      </c>
      <c r="J118" s="137" t="str">
        <f>CONCATENATE('u11 boys'!F118," ",'u11 boys'!G118)</f>
        <v>MARAIS Barry GN</v>
      </c>
      <c r="K118" s="216" t="str">
        <f>CONCATENATE('u11 girls'!F119," ",'u11 girls'!G119)</f>
        <v>VAN DER SCHYFF Kauthar CT</v>
      </c>
    </row>
    <row r="119" spans="1:11" s="147" customFormat="1" ht="40" customHeight="1">
      <c r="A119" s="148">
        <f t="shared" si="1"/>
        <v>116</v>
      </c>
      <c r="B119" s="137" t="str">
        <f>CONCATENATE(Men!E119," ",Men!F119)</f>
        <v>LEKALAKALA Motshele GN</v>
      </c>
      <c r="C119" s="805" t="str">
        <f>CONCATENATE(Women!E120," ",Women!F120)</f>
        <v>R Zangele (FS)  FS</v>
      </c>
      <c r="D119" s="137" t="str">
        <f>CONCATENATE('u19 boys'!F120," ",'u19 boys'!G120)</f>
        <v>HOFFMAN Luizin  CW</v>
      </c>
      <c r="E119" s="221" t="str">
        <f>CONCATENATE('u19 girls'!F120," ",'u19 girls'!G120)</f>
        <v>PAKO  Modjadji LIM</v>
      </c>
      <c r="F119" s="567" t="str">
        <f>CONCATENATE('u15 boys'!F120," ",'u15 boys'!G120)</f>
        <v>KHOZA Simangaliso  ETTA</v>
      </c>
      <c r="G119" s="216" t="str">
        <f>CONCATENATE('u15 girls'!F120," ",'u15 girls'!G120)</f>
        <v>RUITERS Taylor EDEN</v>
      </c>
      <c r="H119" s="796" t="str">
        <f>CONCATENATE('u13 boys'!F120," ",'u13 boys'!G120)</f>
        <v>OWIES Lucian CW</v>
      </c>
      <c r="I119" s="222" t="str">
        <f>CONCATENATE('u13 girls'!F120," ",'u13 girls'!G120)</f>
        <v>ONELISA Dumezela EC</v>
      </c>
      <c r="J119" s="137" t="str">
        <f>CONCATENATE('u11 boys'!F119," ",'u11 boys'!G119)</f>
        <v>Faizan HOOSEN JTTA</v>
      </c>
      <c r="K119" s="216" t="str">
        <f>CONCATENATE('u11 girls'!F120," ",'u11 girls'!G120)</f>
        <v xml:space="preserve"> </v>
      </c>
    </row>
    <row r="120" spans="1:11" s="147" customFormat="1" ht="40" customHeight="1">
      <c r="A120" s="148">
        <f t="shared" si="1"/>
        <v>117</v>
      </c>
      <c r="B120" s="137" t="str">
        <f>CONCATENATE(Men!E120," ",Men!F120)</f>
        <v>MAPESHOANE Hareteke FS</v>
      </c>
      <c r="C120" s="805" t="str">
        <f>CONCATENATE(Women!E121," ",Women!F121)</f>
        <v>DIEDERICKS Aaminah CW</v>
      </c>
      <c r="D120" s="137" t="str">
        <f>CONCATENATE('u19 boys'!F121," ",'u19 boys'!G121)</f>
        <v>ANTHONY Auburn CW</v>
      </c>
      <c r="E120" s="221" t="str">
        <f>CONCATENATE('u19 girls'!F121," ",'u19 girls'!G121)</f>
        <v>PARBHOODEEN Akshara Gemma UMG</v>
      </c>
      <c r="F120" s="567" t="str">
        <f>CONCATENATE('u15 boys'!F121," ",'u15 boys'!G121)</f>
        <v>NHLAPO Mbusowezulu ETTA</v>
      </c>
      <c r="G120" s="216" t="str">
        <f>CONCATENATE('u15 girls'!F121," ",'u15 girls'!G121)</f>
        <v>Manhattan  Kholofelo Mokgadi  LIM</v>
      </c>
      <c r="H120" s="796" t="str">
        <f>CONCATENATE('u13 boys'!F121," ",'u13 boys'!G121)</f>
        <v>KOATALA Simphiwe NWP</v>
      </c>
      <c r="I120" s="222" t="str">
        <f>CONCATENATE('u13 girls'!F121," ",'u13 girls'!G121)</f>
        <v>RAMPEDI Morongwa LIM</v>
      </c>
      <c r="J120" s="137" t="str">
        <f>CONCATENATE('u11 boys'!F120," ",'u11 boys'!G120)</f>
        <v>CASSIEM Umr  CT</v>
      </c>
      <c r="K120" s="216" t="str">
        <f>CONCATENATE('u11 girls'!F121," ",'u11 girls'!G121)</f>
        <v xml:space="preserve"> </v>
      </c>
    </row>
    <row r="121" spans="1:11" s="147" customFormat="1" ht="40" customHeight="1">
      <c r="A121" s="148">
        <f t="shared" si="1"/>
        <v>118</v>
      </c>
      <c r="B121" s="137" t="str">
        <f>CONCATENATE(Men!E121," ",Men!F121)</f>
        <v>MAJOE  Tshepo  EKU</v>
      </c>
      <c r="C121" s="805" t="str">
        <f>CONCATENATE(Women!E122," ",Women!F122)</f>
        <v>Eleen Meyer CW</v>
      </c>
      <c r="D121" s="137" t="str">
        <f>CONCATENATE('u19 boys'!F122," ",'u19 boys'!G122)</f>
        <v>FOURIE Barend FS</v>
      </c>
      <c r="E121" s="221" t="str">
        <f>CONCATENATE('u19 girls'!F122," ",'u19 girls'!G122)</f>
        <v>GOLOGOLO Latita FS</v>
      </c>
      <c r="F121" s="567" t="str">
        <f>CONCATENATE('u15 boys'!F122," ",'u15 boys'!G122)</f>
        <v>MUYIKWA Given Moses JTTA</v>
      </c>
      <c r="G121" s="216" t="str">
        <f>CONCATENATE('u15 girls'!F122," ",'u15 girls'!G122)</f>
        <v>GOVINDSAMY Letai-Shai Anne ETTA</v>
      </c>
      <c r="H121" s="796" t="str">
        <f>CONCATENATE('u13 boys'!F122," ",'u13 boys'!G122)</f>
        <v>NQGULA Nande CT</v>
      </c>
      <c r="I121" s="222" t="str">
        <f>CONCATENATE('u13 girls'!F122," ",'u13 girls'!G122)</f>
        <v>PERRANG Megarle WC</v>
      </c>
      <c r="J121" s="137" t="str">
        <f>CONCATENATE('u11 boys'!F121," ",'u11 boys'!G121)</f>
        <v>SHORTLES Eli  CW</v>
      </c>
      <c r="K121" s="216" t="str">
        <f>CONCATENATE('u11 girls'!F122," ",'u11 girls'!G122)</f>
        <v xml:space="preserve"> </v>
      </c>
    </row>
    <row r="122" spans="1:11" s="147" customFormat="1" ht="40" customHeight="1">
      <c r="A122" s="148">
        <f t="shared" si="1"/>
        <v>119</v>
      </c>
      <c r="B122" s="137" t="str">
        <f>CONCATENATE(Men!E122," ",Men!F122)</f>
        <v>VAN HEERDEN Gerswin EDEN</v>
      </c>
      <c r="C122" s="805" t="str">
        <f>CONCATENATE(Women!E123," ",Women!F123)</f>
        <v>MANUAL Nurul Hudaa  CT</v>
      </c>
      <c r="D122" s="137" t="str">
        <f>CONCATENATE('u19 boys'!F123," ",'u19 boys'!G123)</f>
        <v>SOLOMONS Kyle CW</v>
      </c>
      <c r="E122" s="221" t="str">
        <f>CONCATENATE('u19 girls'!F123," ",'u19 girls'!G123)</f>
        <v>BAIJNATH Preeti UMG</v>
      </c>
      <c r="F122" s="567" t="str">
        <f>CONCATENATE('u15 boys'!F123," ",'u15 boys'!G123)</f>
        <v>SU Tony  JTTA</v>
      </c>
      <c r="G122" s="216" t="str">
        <f>CONCATENATE('u15 girls'!F123," ",'u15 girls'!G123)</f>
        <v xml:space="preserve">VENTER  Jada GN </v>
      </c>
      <c r="H122" s="796" t="str">
        <f>CONCATENATE('u13 boys'!F123," ",'u13 boys'!G123)</f>
        <v>ENGEL Liam CT</v>
      </c>
      <c r="I122" s="222" t="str">
        <f>CONCATENATE('u13 girls'!F123," ",'u13 girls'!G123)</f>
        <v>ZALIGOBE Iviwe EC</v>
      </c>
      <c r="J122" s="137" t="str">
        <f>CONCATENATE('u11 boys'!F122," ",'u11 boys'!G122)</f>
        <v>SWEATZ Caden CT</v>
      </c>
      <c r="K122" s="216" t="str">
        <f>CONCATENATE('u11 girls'!F123," ",'u11 girls'!G123)</f>
        <v xml:space="preserve"> </v>
      </c>
    </row>
    <row r="123" spans="1:11" s="147" customFormat="1" ht="40" customHeight="1">
      <c r="A123" s="148">
        <f t="shared" si="1"/>
        <v>120</v>
      </c>
      <c r="B123" s="137" t="str">
        <f>CONCATENATE(Men!E123," ",Men!F123)</f>
        <v>TITUS Jamaine  CT</v>
      </c>
      <c r="C123" s="805" t="str">
        <f>CONCATENATE(Women!E124," ",Women!F124)</f>
        <v>BHARATH Shivadhna  GN</v>
      </c>
      <c r="D123" s="137" t="str">
        <f>CONCATENATE('u19 boys'!F124," ",'u19 boys'!G124)</f>
        <v>ECCLES Sazi GN</v>
      </c>
      <c r="E123" s="221" t="str">
        <f>CONCATENATE('u19 girls'!F124," ",'u19 girls'!G124)</f>
        <v>BAIJNATH Aditi UMG</v>
      </c>
      <c r="F123" s="567" t="str">
        <f>CONCATENATE('u15 boys'!F124," ",'u15 boys'!G124)</f>
        <v>ASULIN Shachar JTTA</v>
      </c>
      <c r="G123" s="216" t="str">
        <f>CONCATENATE('u15 girls'!F124," ",'u15 girls'!G124)</f>
        <v xml:space="preserve">MATILOSE Yonwaba EC </v>
      </c>
      <c r="H123" s="796" t="str">
        <f>CONCATENATE('u13 boys'!F124," ",'u13 boys'!G124)</f>
        <v>LAS Davian Eden</v>
      </c>
      <c r="I123" s="222" t="str">
        <f>CONCATENATE('u13 girls'!F124," ",'u13 girls'!G124)</f>
        <v>NJTTAobo Smangele ETK</v>
      </c>
      <c r="J123" s="137" t="str">
        <f>CONCATENATE('u11 boys'!F123," ",'u11 boys'!G123)</f>
        <v>FORTUIN Teswill  WC</v>
      </c>
      <c r="K123" s="216" t="str">
        <f>CONCATENATE('u11 girls'!F124," ",'u11 girls'!G124)</f>
        <v xml:space="preserve"> </v>
      </c>
    </row>
    <row r="124" spans="1:11" s="147" customFormat="1" ht="40" customHeight="1">
      <c r="A124" s="148">
        <f t="shared" si="1"/>
        <v>121</v>
      </c>
      <c r="B124" s="137" t="str">
        <f>CONCATENATE(Men!E124," ",Men!F124)</f>
        <v>WAGNER Ashlyn  SAVETTS</v>
      </c>
      <c r="C124" s="805" t="str">
        <f>CONCATENATE(Women!E125," ",Women!F125)</f>
        <v>WITBOOI Melissa CT</v>
      </c>
      <c r="D124" s="137" t="str">
        <f>CONCATENATE('u19 boys'!F125," ",'u19 boys'!G125)</f>
        <v>HUI Zhibo JTTA</v>
      </c>
      <c r="E124" s="221" t="str">
        <f>CONCATENATE('u19 girls'!F125," ",'u19 girls'!G125)</f>
        <v>FOURIE Riana FS</v>
      </c>
      <c r="F124" s="567" t="str">
        <f>CONCATENATE('u15 boys'!F125," ",'u15 boys'!G125)</f>
        <v>SISHI Yamkela ETTA</v>
      </c>
      <c r="G124" s="216" t="str">
        <f>CONCATENATE('u15 girls'!F125," ",'u15 girls'!G125)</f>
        <v xml:space="preserve">BONGA Inam EC </v>
      </c>
      <c r="H124" s="796" t="str">
        <f>CONCATENATE('u13 boys'!F125," ",'u13 boys'!G125)</f>
        <v>Asakhe MAQONDO EC</v>
      </c>
      <c r="I124" s="222" t="str">
        <f>CONCATENATE('u13 girls'!F125," ",'u13 girls'!G125)</f>
        <v>KUNENE  Minenhle  UMZ</v>
      </c>
      <c r="J124" s="137" t="str">
        <f>CONCATENATE('u11 boys'!F124," ",'u11 boys'!G124)</f>
        <v>CARELSE WIAN CT</v>
      </c>
      <c r="K124" s="216" t="str">
        <f>CONCATENATE('u11 girls'!F125," ",'u11 girls'!G125)</f>
        <v xml:space="preserve"> </v>
      </c>
    </row>
    <row r="125" spans="1:11" s="147" customFormat="1" ht="40" customHeight="1">
      <c r="A125" s="148">
        <f t="shared" si="1"/>
        <v>122</v>
      </c>
      <c r="B125" s="137" t="str">
        <f>CONCATENATE(Men!E125," ",Men!F125)</f>
        <v>GOVINDOOSAMY Kadin  ETTA</v>
      </c>
      <c r="C125" s="805" t="str">
        <f>CONCATENATE(Women!E126," ",Women!F126)</f>
        <v>Chinanga Mpilo Enhle ETK</v>
      </c>
      <c r="D125" s="137" t="str">
        <f>CONCATENATE('u19 boys'!F126," ",'u19 boys'!G126)</f>
        <v>DIEDERICKS Edwin JTTA</v>
      </c>
      <c r="E125" s="221" t="str">
        <f>CONCATENATE('u19 girls'!F126," ",'u19 girls'!G126)</f>
        <v>MADONDO Amahle  UTH</v>
      </c>
      <c r="F125" s="567" t="str">
        <f>CONCATENATE('u15 boys'!F126," ",'u15 boys'!G126)</f>
        <v>VACHIAT Eesa  SED</v>
      </c>
      <c r="G125" s="216" t="str">
        <f>CONCATENATE('u15 girls'!F126," ",'u15 girls'!G126)</f>
        <v>Aphiwe MAKHUBU UMZ</v>
      </c>
      <c r="H125" s="796" t="str">
        <f>CONCATENATE('u13 boys'!F126," ",'u13 boys'!G126)</f>
        <v>Eduvie POTOKRI GN</v>
      </c>
      <c r="I125" s="222" t="e">
        <f>CONCATENATE('u13 girls'!#REF!," ",'u13 girls'!#REF!)</f>
        <v>#REF!</v>
      </c>
      <c r="J125" s="137" t="str">
        <f>CONCATENATE('u11 boys'!F125," ",'u11 boys'!G125)</f>
        <v>ERASMUS Zakariya  CT</v>
      </c>
      <c r="K125" s="216" t="str">
        <f>CONCATENATE('u11 girls'!F124," ",'u11 girls'!G124)</f>
        <v xml:space="preserve"> </v>
      </c>
    </row>
    <row r="126" spans="1:11" s="147" customFormat="1" ht="40" customHeight="1">
      <c r="A126" s="148">
        <f>A125+1</f>
        <v>123</v>
      </c>
      <c r="B126" s="137" t="str">
        <f>CONCATENATE(Men!E126," ",Men!F126)</f>
        <v>HUMAN Ashley NMB</v>
      </c>
      <c r="C126" s="805" t="str">
        <f>CONCATENATE(Women!E127," ",Women!F127)</f>
        <v>MANSINH Avashnee ETK</v>
      </c>
      <c r="D126" s="137" t="str">
        <f>CONCATENATE('u19 boys'!F127," ",'u19 boys'!G127)</f>
        <v>MOHAMMED Sajaid Eden</v>
      </c>
      <c r="E126" s="221" t="str">
        <f>CONCATENATE('u19 girls'!F127," ",'u19 girls'!G127)</f>
        <v>SANDOVANA Sinamandla EC</v>
      </c>
      <c r="F126" s="567" t="str">
        <f>CONCATENATE('u15 boys'!F127," ",'u15 boys'!G127)</f>
        <v>SEEGERS Shiloh  CT</v>
      </c>
      <c r="G126" s="216" t="str">
        <f>CONCATENATE('u15 girls'!F127," ",'u15 girls'!G127)</f>
        <v>GOLOGOLO Milka FS</v>
      </c>
      <c r="H126" s="796" t="str">
        <f>CONCATENATE('u13 boys'!F127," ",'u13 boys'!G127)</f>
        <v>Peroe RAATHS GN</v>
      </c>
      <c r="I126" s="222" t="str">
        <f>CONCATENATE('u13 girls'!F126," ",'u13 girls'!G126)</f>
        <v>MOJATAU Bokamoso FS</v>
      </c>
      <c r="J126" s="137" t="str">
        <f>CONCATENATE('u11 boys'!F126," ",'u11 boys'!G126)</f>
        <v>JOSEPH Carl WC</v>
      </c>
      <c r="K126" s="216" t="str">
        <f>CONCATENATE('u11 girls'!F125," ",'u11 girls'!G125)</f>
        <v xml:space="preserve"> </v>
      </c>
    </row>
    <row r="127" spans="1:11" s="147" customFormat="1" ht="40" customHeight="1">
      <c r="A127" s="148">
        <f t="shared" si="1"/>
        <v>124</v>
      </c>
      <c r="B127" s="137" t="str">
        <f>CONCATENATE(Men!E127," ",Men!F127)</f>
        <v>RAMTHOL Ashlyn ETTA</v>
      </c>
      <c r="C127" s="805" t="str">
        <f>CONCATENATE(Women!E128," ",Women!F128)</f>
        <v>SAIT Janine  CT</v>
      </c>
      <c r="D127" s="137" t="str">
        <f>CONCATENATE('u19 boys'!F128," ",'u19 boys'!G128)</f>
        <v>JOSEPH Amaru WC</v>
      </c>
      <c r="E127" s="221" t="str">
        <f>CONCATENATE('u19 girls'!F128," ",'u19 girls'!G128)</f>
        <v>NYOKONG Keabetswe FS</v>
      </c>
      <c r="F127" s="567" t="str">
        <f>CONCATENATE('u15 boys'!F128," ",'u15 boys'!G128)</f>
        <v>PENNELS Zain  CT</v>
      </c>
      <c r="G127" s="216" t="str">
        <f>CONCATENATE('u15 girls'!F128," ",'u15 girls'!G128)</f>
        <v>Jiya Naidoo UMG</v>
      </c>
      <c r="H127" s="796" t="str">
        <f>CONCATENATE('u13 boys'!F128," ",'u13 boys'!G128)</f>
        <v>Kudakwashe RUTOPE GN</v>
      </c>
      <c r="I127" s="222" t="e">
        <f>CONCATENATE('u13 girls'!#REF!," ",'u13 girls'!#REF!)</f>
        <v>#REF!</v>
      </c>
      <c r="J127" s="137" t="str">
        <f>CONCATENATE('u11 boys'!F127," ",'u11 boys'!G127)</f>
        <v>RAMPERSAD Deyal UMG</v>
      </c>
      <c r="K127" s="216" t="str">
        <f>CONCATENATE('u11 girls'!F126," ",'u11 girls'!G126)</f>
        <v xml:space="preserve"> </v>
      </c>
    </row>
    <row r="128" spans="1:11" s="147" customFormat="1" ht="40" customHeight="1">
      <c r="A128" s="148">
        <f t="shared" si="1"/>
        <v>125</v>
      </c>
      <c r="B128" s="807" t="str">
        <f>CONCATENATE(Men!E128," ",Men!F128)</f>
        <v>BROWN Merlin  CT</v>
      </c>
      <c r="C128" s="805" t="str">
        <f>CONCATENATE(Women!E129," ",Women!F129)</f>
        <v>NAIR Alyssa UMG</v>
      </c>
      <c r="D128" s="137" t="str">
        <f>CONCATENATE('u19 boys'!F129," ",'u19 boys'!G129)</f>
        <v>PHILANDER Deagan CW</v>
      </c>
      <c r="E128" s="221" t="str">
        <f>CONCATENATE('u19 girls'!F129," ",'u19 girls'!G129)</f>
        <v>THEBE KEARABETSWE NW</v>
      </c>
      <c r="F128" s="567" t="str">
        <f>CONCATENATE('u15 boys'!F129," ",'u15 boys'!G129)</f>
        <v>MADAREE Akhil ETTA</v>
      </c>
      <c r="G128" s="216" t="str">
        <f>CONCATENATE('u15 girls'!F129," ",'u15 girls'!G129)</f>
        <v>ALI Nuralhuda JTTA</v>
      </c>
      <c r="H128" s="796" t="str">
        <f>CONCATENATE('u13 boys'!F129," ",'u13 boys'!G129)</f>
        <v>MADANGATYA limise EC</v>
      </c>
      <c r="I128" s="222" t="str">
        <f>CONCATENATE('u13 girls'!F127," ",'u13 girls'!G127)</f>
        <v>GOVINDSAMY Letai-Shai Anne ETTA</v>
      </c>
      <c r="J128" s="137" t="str">
        <f>CONCATENATE('u11 boys'!F128," ",'u11 boys'!G128)</f>
        <v>MEMON Muhammad UMG</v>
      </c>
      <c r="K128" s="216" t="str">
        <f>CONCATENATE('u11 girls'!F127," ",'u11 girls'!G127)</f>
        <v xml:space="preserve"> </v>
      </c>
    </row>
    <row r="129" spans="1:11" s="147" customFormat="1" ht="40" customHeight="1">
      <c r="A129" s="148">
        <f t="shared" si="1"/>
        <v>126</v>
      </c>
      <c r="B129" s="807" t="str">
        <f>CONCATENATE(Men!E129," ",Men!F129)</f>
        <v>EBRAHIM Mujeeb GN</v>
      </c>
      <c r="C129" s="805" t="str">
        <f>CONCATENATE(Women!E130," ",Women!F130)</f>
        <v>SOROUR Keira JTTA</v>
      </c>
      <c r="D129" s="137" t="str">
        <f>CONCATENATE('u19 boys'!F130," ",'u19 boys'!G130)</f>
        <v>LETSOALO  Ranti LIM</v>
      </c>
      <c r="E129" s="221" t="str">
        <f>CONCATENATE('u19 girls'!F130," ",'u19 girls'!G130)</f>
        <v>PEKEUR Shaninque CW</v>
      </c>
      <c r="F129" s="567" t="str">
        <f>CONCATENATE('u15 boys'!F130," ",'u15 boys'!G130)</f>
        <v>SLIEDRECHT Kal-El  CT</v>
      </c>
      <c r="G129" s="216" t="str">
        <f>CONCATENATE('u15 girls'!F130," ",'u15 girls'!G130)</f>
        <v>Cassie Stevens Eden</v>
      </c>
      <c r="H129" s="796" t="str">
        <f>CONCATENATE('u13 boys'!F130," ",'u13 boys'!G130)</f>
        <v>MBOQO Olerato NWP</v>
      </c>
      <c r="I129" s="222" t="str">
        <f>CONCATENATE('u13 girls'!F128," ",'u13 girls'!G128)</f>
        <v>OSMAN Khadija FS</v>
      </c>
      <c r="J129" s="137" t="str">
        <f>CONCATENATE('u11 boys'!F129," ",'u11 boys'!G129)</f>
        <v>NAIDOO Xavian ETTA</v>
      </c>
      <c r="K129" s="216" t="str">
        <f>CONCATENATE('u11 girls'!F128," ",'u11 girls'!G128)</f>
        <v xml:space="preserve"> </v>
      </c>
    </row>
    <row r="130" spans="1:11" s="147" customFormat="1" ht="40" customHeight="1">
      <c r="A130" s="148">
        <f t="shared" si="1"/>
        <v>127</v>
      </c>
      <c r="B130" s="807" t="str">
        <f>CONCATENATE(Men!E130," ",Men!F130)</f>
        <v xml:space="preserve"> SEKIKE Pusetso JTTA</v>
      </c>
      <c r="C130" s="805" t="str">
        <f>CONCATENATE(Women!E131," ",Women!F131)</f>
        <v>KANNIE Jazmine UMG</v>
      </c>
      <c r="D130" s="137" t="str">
        <f>CONCATENATE('u19 boys'!F131," ",'u19 boys'!G131)</f>
        <v>S Moosa  FS</v>
      </c>
      <c r="E130" s="221" t="str">
        <f>CONCATENATE('u19 girls'!F131," ",'u19 girls'!G131)</f>
        <v>WILDEBEES Bontle FS</v>
      </c>
      <c r="F130" s="567" t="str">
        <f>CONCATENATE('u15 boys'!F131," ",'u15 boys'!G131)</f>
        <v>SASMAN Abu Bakr  CT</v>
      </c>
      <c r="G130" s="216" t="str">
        <f>CONCATENATE('u15 girls'!F131," ",'u15 girls'!G131)</f>
        <v>THEBE KEARABETSWE NW</v>
      </c>
      <c r="H130" s="796" t="str">
        <f>CONCATENATE('u13 boys'!F131," ",'u13 boys'!G131)</f>
        <v>REDLINGHYS Ezra UMG</v>
      </c>
      <c r="I130" s="222" t="str">
        <f>CONCATENATE('u13 girls'!F129," ",'u13 girls'!G129)</f>
        <v>MABILO Delite NW</v>
      </c>
      <c r="J130" s="137" t="str">
        <f>CONCATENATE('u11 boys'!F130," ",'u11 boys'!G130)</f>
        <v>KARTHIK Dhaarmic  GN</v>
      </c>
      <c r="K130" s="216" t="str">
        <f>CONCATENATE('u11 girls'!F129," ",'u11 girls'!G129)</f>
        <v xml:space="preserve"> </v>
      </c>
    </row>
    <row r="131" spans="1:11" s="147" customFormat="1" ht="40" customHeight="1">
      <c r="A131" s="148">
        <f t="shared" si="1"/>
        <v>128</v>
      </c>
      <c r="B131" s="807" t="str">
        <f>CONCATENATE(Men!E131," ",Men!F131)</f>
        <v>DE BEER Derrick GN</v>
      </c>
      <c r="C131" s="805" t="str">
        <f>CONCATENATE(Women!E132," ",Women!F132)</f>
        <v>Smangele Khoza ETK</v>
      </c>
      <c r="D131" s="137" t="str">
        <f>CONCATENATE('u19 boys'!F132," ",'u19 boys'!G132)</f>
        <v>NOVEMBER  Bulelani EKU</v>
      </c>
      <c r="E131" s="221" t="str">
        <f>CONCATENATE('u19 girls'!F132," ",'u19 girls'!G132)</f>
        <v>MONNANA Tshepiso NW</v>
      </c>
      <c r="F131" s="567" t="str">
        <f>CONCATENATE('u15 boys'!F132," ",'u15 boys'!G132)</f>
        <v>MOHAMMED Sajaid Eden</v>
      </c>
      <c r="G131" s="216" t="str">
        <f>CONCATENATE('u15 girls'!F132," ",'u15 girls'!G132)</f>
        <v>NKOMONYE Akhona EC</v>
      </c>
      <c r="H131" s="796" t="str">
        <f>CONCATENATE('u13 boys'!F132," ",'u13 boys'!G132)</f>
        <v>MATEKANE Onalenna FS</v>
      </c>
      <c r="I131" s="222" t="str">
        <f>CONCATENATE('u13 girls'!F130," ",'u13 girls'!G130)</f>
        <v>MATLOU Thandi NW</v>
      </c>
      <c r="J131" s="137" t="str">
        <f>CONCATENATE('u11 boys'!F131," ",'u11 boys'!G131)</f>
        <v>Reamogetswe LEPHEANA FS</v>
      </c>
      <c r="K131" s="216" t="str">
        <f>CONCATENATE('u11 girls'!F130," ",'u11 girls'!G130)</f>
        <v xml:space="preserve"> </v>
      </c>
    </row>
    <row r="132" spans="1:11" s="147" customFormat="1" ht="40" customHeight="1">
      <c r="A132" s="148">
        <f t="shared" si="1"/>
        <v>129</v>
      </c>
      <c r="B132" s="807" t="str">
        <f>CONCATENATE(Men!E132," ",Men!F132)</f>
        <v>LOUW Tian CT</v>
      </c>
      <c r="C132" s="805" t="str">
        <f>CONCATENATE(Women!E133," ",Women!F133)</f>
        <v>MTSHOELIBE Mthabiseng  UTH</v>
      </c>
      <c r="D132" s="137" t="str">
        <f>CONCATENATE('u19 boys'!F133," ",'u19 boys'!G133)</f>
        <v>PADAYACHEE Vaishant JTTA</v>
      </c>
      <c r="E132" s="221" t="str">
        <f>CONCATENATE('u19 girls'!F133," ",'u19 girls'!G133)</f>
        <v>BEFU Nomthandazo NW</v>
      </c>
      <c r="F132" s="567" t="str">
        <f>CONCATENATE('u15 boys'!F133," ",'u15 boys'!G133)</f>
        <v>MNIKATHI Siyamamukela UMG</v>
      </c>
      <c r="G132" s="216" t="str">
        <f>CONCATENATE('u15 girls'!F133," ",'u15 girls'!G133)</f>
        <v>MOLOINYANA Lebogang  NW</v>
      </c>
      <c r="H132" s="796" t="str">
        <f>CONCATENATE('u13 boys'!F133," ",'u13 boys'!G133)</f>
        <v>LOUW Lian EDEN</v>
      </c>
      <c r="I132" s="222" t="str">
        <f>CONCATENATE('u13 girls'!F131," ",'u13 girls'!G131)</f>
        <v>LOUW Leyla EDEN</v>
      </c>
      <c r="J132" s="137" t="str">
        <f>CONCATENATE('u11 boys'!F132," ",'u11 boys'!G132)</f>
        <v>Oratilwe STALLERNBERG FS</v>
      </c>
      <c r="K132" s="216" t="str">
        <f>CONCATENATE('u11 girls'!F131," ",'u11 girls'!G131)</f>
        <v xml:space="preserve"> </v>
      </c>
    </row>
    <row r="133" spans="1:11" s="147" customFormat="1" ht="40" customHeight="1">
      <c r="A133" s="148">
        <f t="shared" si="1"/>
        <v>130</v>
      </c>
      <c r="B133" s="807" t="str">
        <f>CONCATENATE(Men!E133," ",Men!F133)</f>
        <v>ROYAPPEN Denzil  UMG</v>
      </c>
      <c r="C133" s="805" t="str">
        <f>CONCATENATE(Women!E134," ",Women!F134)</f>
        <v>THABETHE Nthabiseng EKU</v>
      </c>
      <c r="D133" s="137" t="str">
        <f>CONCATENATE('u19 boys'!F134," ",'u19 boys'!G134)</f>
        <v>DAVIDS Liam CT</v>
      </c>
      <c r="E133" s="221" t="str">
        <f>CONCATENATE('u19 girls'!F134," ",'u19 girls'!G134)</f>
        <v>BEFU Luyanda NW</v>
      </c>
      <c r="F133" s="567" t="str">
        <f>CONCATENATE('u15 boys'!F134," ",'u15 boys'!G134)</f>
        <v>BAGIRATHI Advay UMG</v>
      </c>
      <c r="G133" s="216" t="str">
        <f>CONCATENATE('u15 girls'!F134," ",'u15 girls'!G134)</f>
        <v>MAJANE Rethabile FS</v>
      </c>
      <c r="H133" s="796" t="str">
        <f>CONCATENATE('u13 boys'!F134," ",'u13 boys'!G134)</f>
        <v>MOKOENA Sechaba FS</v>
      </c>
      <c r="I133" s="222" t="str">
        <f>CONCATENATE('u13 girls'!F132," ",'u13 girls'!G132)</f>
        <v>RUITERS Taylor EDEN</v>
      </c>
      <c r="J133" s="137" t="str">
        <f>CONCATENATE('u11 boys'!F133," ",'u11 boys'!G133)</f>
        <v>WANG Xingkong JTTA</v>
      </c>
      <c r="K133" s="216" t="str">
        <f>CONCATENATE('u11 girls'!F132," ",'u11 girls'!G132)</f>
        <v xml:space="preserve"> </v>
      </c>
    </row>
    <row r="134" spans="1:11" s="147" customFormat="1" ht="40" customHeight="1">
      <c r="A134" s="148">
        <f t="shared" ref="A134:A197" si="2">A133+1</f>
        <v>131</v>
      </c>
      <c r="B134" s="807" t="str">
        <f>CONCATENATE(Men!E134," ",Men!F134)</f>
        <v>DIAMANT Simon GN</v>
      </c>
      <c r="C134" s="805" t="str">
        <f>CONCATENATE(Women!E135," ",Women!F135)</f>
        <v>GOVENDER  Teme' Aureliah ETTA</v>
      </c>
      <c r="D134" s="137" t="str">
        <f>CONCATENATE('u19 boys'!F135," ",'u19 boys'!G135)</f>
        <v>JANSEN Evan Eden</v>
      </c>
      <c r="E134" s="221" t="str">
        <f>CONCATENATE('u19 girls'!F135," ",'u19 girls'!G135)</f>
        <v>THOMAS Bontle NW</v>
      </c>
      <c r="F134" s="567" t="str">
        <f>CONCATENATE('u15 boys'!F135," ",'u15 boys'!G135)</f>
        <v>JONKER Aren UMG</v>
      </c>
      <c r="G134" s="216" t="str">
        <f>CONCATENATE('u15 girls'!F135," ",'u15 girls'!G135)</f>
        <v>WENASE Lisakhanya JTTA</v>
      </c>
      <c r="H134" s="796" t="str">
        <f>CONCATENATE('u13 boys'!F135," ",'u13 boys'!G135)</f>
        <v>MTHEMBU Junior UMZ</v>
      </c>
      <c r="I134" s="222" t="str">
        <f>CONCATENATE('u13 girls'!F133," ",'u13 girls'!G133)</f>
        <v>Leranya Govender UMG</v>
      </c>
      <c r="J134" s="137" t="str">
        <f>CONCATENATE('u11 boys'!F134," ",'u11 boys'!G134)</f>
        <v>ADAMS Carter  CT</v>
      </c>
      <c r="K134" s="216" t="str">
        <f>CONCATENATE('u11 girls'!F133," ",'u11 girls'!G133)</f>
        <v xml:space="preserve"> </v>
      </c>
    </row>
    <row r="135" spans="1:11" s="147" customFormat="1" ht="40" customHeight="1">
      <c r="A135" s="148">
        <f t="shared" si="2"/>
        <v>132</v>
      </c>
      <c r="B135" s="807" t="str">
        <f>CONCATENATE(Men!E135," ",Men!F135)</f>
        <v>DAVIES Jerome  CT</v>
      </c>
      <c r="C135" s="805" t="str">
        <f>CONCATENATE(Women!E136," ",Women!F136)</f>
        <v>PARBHOODEEN Tarika Amber UMG</v>
      </c>
      <c r="D135" s="137" t="str">
        <f>CONCATENATE('u19 boys'!F136," ",'u19 boys'!G136)</f>
        <v>THEBEYAME Kgotla BOT</v>
      </c>
      <c r="E135" s="221" t="str">
        <f>CONCATENATE('u19 girls'!F136," ",'u19 girls'!G136)</f>
        <v>MUSEVE Tricia EKU</v>
      </c>
      <c r="F135" s="567" t="str">
        <f>CONCATENATE('u15 boys'!F136," ",'u15 boys'!G136)</f>
        <v>KOOPMAN Cadiff WC</v>
      </c>
      <c r="G135" s="216" t="str">
        <f>CONCATENATE('u15 girls'!F136," ",'u15 girls'!G136)</f>
        <v>MZOLO Thandolwethu UTH</v>
      </c>
      <c r="H135" s="796" t="str">
        <f>CONCATENATE('u13 boys'!F136," ",'u13 boys'!G136)</f>
        <v>MAKHAYE Mlungisi UMG</v>
      </c>
      <c r="I135" s="222" t="str">
        <f>CONCATENATE('u13 girls'!F134," ",'u13 girls'!G134)</f>
        <v>Prudence Point Pashi ZIM</v>
      </c>
      <c r="J135" s="137" t="str">
        <f>CONCATENATE('u11 boys'!F135," ",'u11 boys'!G135)</f>
        <v>MADAREE Keval ETTA</v>
      </c>
      <c r="K135" s="216" t="str">
        <f>CONCATENATE('u11 girls'!F134," ",'u11 girls'!G134)</f>
        <v xml:space="preserve"> </v>
      </c>
    </row>
    <row r="136" spans="1:11" s="147" customFormat="1" ht="40" customHeight="1">
      <c r="A136" s="148">
        <f t="shared" si="2"/>
        <v>133</v>
      </c>
      <c r="B136" s="807" t="str">
        <f>CONCATENATE(Men!E136," ",Men!F136)</f>
        <v>MAKHUNGA Thandanani  HG</v>
      </c>
      <c r="C136" s="805" t="str">
        <f>CONCATENATE(Women!E137," ",Women!F137)</f>
        <v>BENSON Precious JTTA</v>
      </c>
      <c r="D136" s="137" t="str">
        <f>CONCATENATE('u19 boys'!F137," ",'u19 boys'!G137)</f>
        <v>GRABE Victor CT</v>
      </c>
      <c r="E136" s="221" t="str">
        <f>CONCATENATE('u19 girls'!F137," ",'u19 girls'!G137)</f>
        <v>MORATSHETLA Nonhlanhla EKU</v>
      </c>
      <c r="F136" s="567" t="str">
        <f>CONCATENATE('u15 boys'!F137," ",'u15 boys'!G137)</f>
        <v>B Seseane  FS</v>
      </c>
      <c r="G136" s="216" t="str">
        <f>CONCATENATE('u15 girls'!F137," ",'u15 girls'!G137)</f>
        <v>NTONDO Inga EDEN</v>
      </c>
      <c r="H136" s="796" t="str">
        <f>CONCATENATE('u13 boys'!F137," ",'u13 boys'!G137)</f>
        <v>SHAIK Haneef JTTA</v>
      </c>
      <c r="I136" s="222" t="str">
        <f>CONCATENATE('u13 girls'!F134," ",'u13 girls'!G134)</f>
        <v>Prudence Point Pashi ZIM</v>
      </c>
      <c r="J136" s="137" t="str">
        <f>CONCATENATE('u11 boys'!F136," ",'u11 boys'!G136)</f>
        <v>NAIDOO Xavier ETTA</v>
      </c>
      <c r="K136" s="216" t="str">
        <f>CONCATENATE('u11 girls'!F135," ",'u11 girls'!G135)</f>
        <v xml:space="preserve"> </v>
      </c>
    </row>
    <row r="137" spans="1:11" s="147" customFormat="1" ht="40" customHeight="1">
      <c r="A137" s="148">
        <f t="shared" si="2"/>
        <v>134</v>
      </c>
      <c r="B137" s="807" t="str">
        <f>CONCATENATE(Men!E137," ",Men!F137)</f>
        <v>SWANEVELDER Dewalt GN</v>
      </c>
      <c r="C137" s="805" t="str">
        <f>CONCATENATE(Women!E138," ",Women!F138)</f>
        <v>JANTJIES Oyena  CT</v>
      </c>
      <c r="D137" s="137" t="str">
        <f>CONCATENATE('u19 boys'!F138," ",'u19 boys'!G138)</f>
        <v>MNIKATHI Siyamamukela UMG</v>
      </c>
      <c r="E137" s="221" t="str">
        <f>CONCATENATE('u19 girls'!F138," ",'u19 girls'!G138)</f>
        <v>MASHININI Khanyisile EKU</v>
      </c>
      <c r="F137" s="567" t="str">
        <f>CONCATENATE('u15 boys'!F138," ",'u15 boys'!G138)</f>
        <v>DE KOCK Derrick GN</v>
      </c>
      <c r="G137" s="216" t="str">
        <f>CONCATENATE('u15 girls'!F138," ",'u15 girls'!G138)</f>
        <v>LEIGH Jamie  CW</v>
      </c>
      <c r="H137" s="796" t="str">
        <f>CONCATENATE('u13 boys'!F138," ",'u13 boys'!G138)</f>
        <v>KLEINBOOI Evano Eden</v>
      </c>
      <c r="I137" s="222" t="str">
        <f>CONCATENATE('u13 girls'!F135," ",'u13 girls'!G135)</f>
        <v>Leche VERSTER GN</v>
      </c>
      <c r="J137" s="137" t="str">
        <f>CONCATENATE('u11 boys'!F137," ",'u11 boys'!G137)</f>
        <v>RAGHUNAN Roman ETTA</v>
      </c>
      <c r="K137" s="216" t="str">
        <f>CONCATENATE('u11 girls'!F136," ",'u11 girls'!G136)</f>
        <v xml:space="preserve"> </v>
      </c>
    </row>
    <row r="138" spans="1:11" s="147" customFormat="1" ht="40" customHeight="1">
      <c r="A138" s="148">
        <f t="shared" si="2"/>
        <v>135</v>
      </c>
      <c r="B138" s="807" t="str">
        <f>CONCATENATE(Men!E138," ",Men!F138)</f>
        <v>NOTSHE Samkelo  CT</v>
      </c>
      <c r="C138" s="805" t="str">
        <f>CONCATENATE(Women!E139," ",Women!F139)</f>
        <v>SALIE Zahra JTTA</v>
      </c>
      <c r="D138" s="137" t="str">
        <f>CONCATENATE('u19 boys'!F139," ",'u19 boys'!G139)</f>
        <v>DITHIPE Orapeleng NWP</v>
      </c>
      <c r="E138" s="221" t="str">
        <f>CONCATENATE('u19 girls'!F139," ",'u19 girls'!G139)</f>
        <v xml:space="preserve">Katlego KHABELA NW </v>
      </c>
      <c r="F138" s="567" t="str">
        <f>CONCATENATE('u15 boys'!F139," ",'u15 boys'!G139)</f>
        <v>TLHAMAMO Lecoko FS</v>
      </c>
      <c r="G138" s="216" t="str">
        <f>CONCATENATE('u15 girls'!F139," ",'u15 girls'!G139)</f>
        <v>VOSTER Raquelle CW</v>
      </c>
      <c r="H138" s="796" t="str">
        <f>CONCATENATE('u13 boys'!F139," ",'u13 boys'!G139)</f>
        <v>MANANA Siphelele UTH</v>
      </c>
      <c r="I138" s="222" t="str">
        <f>CONCATENATE('u13 girls'!F136," ",'u13 girls'!G136)</f>
        <v>MAKOKOE Solofelang NMMTTA</v>
      </c>
      <c r="J138" s="137" t="str">
        <f>CONCATENATE('u11 boys'!F138," ",'u11 boys'!G138)</f>
        <v>DELPORT Timothy Eden</v>
      </c>
      <c r="K138" s="216" t="str">
        <f>CONCATENATE('u11 girls'!F137," ",'u11 girls'!G137)</f>
        <v xml:space="preserve"> </v>
      </c>
    </row>
    <row r="139" spans="1:11" s="147" customFormat="1" ht="40" customHeight="1">
      <c r="A139" s="148">
        <f t="shared" si="2"/>
        <v>136</v>
      </c>
      <c r="B139" s="807" t="str">
        <f>CONCATENATE(Men!E139," ",Men!F139)</f>
        <v>KOETAAN Gaston  SANDF</v>
      </c>
      <c r="C139" s="805" t="str">
        <f>CONCATENATE(Women!E140," ",Women!F140)</f>
        <v>SINAMANDLA  CT</v>
      </c>
      <c r="D139" s="137" t="str">
        <f>CONCATENATE('u19 boys'!F140," ",'u19 boys'!G140)</f>
        <v>SHKUDSY Ben JTTA</v>
      </c>
      <c r="E139" s="221" t="str">
        <f>CONCATENATE('u19 girls'!F140," ",'u19 girls'!G140)</f>
        <v>LEIGH Jamie  CW</v>
      </c>
      <c r="F139" s="567" t="str">
        <f>CONCATENATE('u15 boys'!F140," ",'u15 boys'!G140)</f>
        <v>MAQONDO Alungile EC</v>
      </c>
      <c r="G139" s="216" t="str">
        <f>CONCATENATE('u15 girls'!F140," ",'u15 girls'!G140)</f>
        <v>LEBELO Tshepang NW</v>
      </c>
      <c r="H139" s="796" t="str">
        <f>CONCATENATE('u13 boys'!F140," ",'u13 boys'!G140)</f>
        <v>KAYSER Marquin Eden</v>
      </c>
      <c r="I139" s="222" t="str">
        <f>CONCATENATE('u13 girls'!F137," ",'u13 girls'!G137)</f>
        <v>MAGOPA Molebatse  LIM</v>
      </c>
      <c r="J139" s="137" t="str">
        <f>CONCATENATE('u11 boys'!F139," ",'u11 boys'!G139)</f>
        <v>KUSE Iviwe  CT</v>
      </c>
      <c r="K139" s="216" t="str">
        <f>CONCATENATE('u11 girls'!F138," ",'u11 girls'!G138)</f>
        <v xml:space="preserve"> </v>
      </c>
    </row>
    <row r="140" spans="1:11" s="147" customFormat="1" ht="40" customHeight="1">
      <c r="A140" s="148">
        <f t="shared" si="2"/>
        <v>137</v>
      </c>
      <c r="B140" s="807" t="str">
        <f>CONCATENATE(Men!E140," ",Men!F140)</f>
        <v>BAI Barney JTTA</v>
      </c>
      <c r="C140" s="805" t="str">
        <f>CONCATENATE(Women!E141," ",Women!F141)</f>
        <v>BOFELO Reaboka LSO</v>
      </c>
      <c r="D140" s="137" t="str">
        <f>CONCATENATE('u19 boys'!F141," ",'u19 boys'!G141)</f>
        <v>SIGABI Zukisani EC</v>
      </c>
      <c r="E140" s="221" t="str">
        <f>CONCATENATE('u19 girls'!F141," ",'u19 girls'!G141)</f>
        <v>VAN DER SCHYFF Layla  CT</v>
      </c>
      <c r="F140" s="567" t="str">
        <f>CONCATENATE('u15 boys'!F141," ",'u15 boys'!G141)</f>
        <v>VEGODA Moshe JTTA</v>
      </c>
      <c r="G140" s="216" t="str">
        <f>CONCATENATE('u15 girls'!F141," ",'u15 girls'!G141)</f>
        <v>KGALANYANE Patricia NW</v>
      </c>
      <c r="H140" s="796" t="str">
        <f>CONCATENATE('u13 boys'!F141," ",'u13 boys'!G141)</f>
        <v>Nickolas Fabianraj JTTA</v>
      </c>
      <c r="I140" s="222" t="str">
        <f>CONCATENATE('u13 girls'!F138," ",'u13 girls'!G138)</f>
        <v>INCE Skylar UMG</v>
      </c>
      <c r="J140" s="137" t="str">
        <f>CONCATENATE('u11 boys'!F140," ",'u11 boys'!G140)</f>
        <v>MNGUNI Bokang  CT</v>
      </c>
      <c r="K140" s="216" t="str">
        <f>CONCATENATE('u11 girls'!F139," ",'u11 girls'!G139)</f>
        <v xml:space="preserve"> </v>
      </c>
    </row>
    <row r="141" spans="1:11" s="147" customFormat="1" ht="40" customHeight="1">
      <c r="A141" s="148">
        <f t="shared" si="2"/>
        <v>138</v>
      </c>
      <c r="B141" s="807" t="str">
        <f>CONCATENATE(Men!E141," ",Men!F141)</f>
        <v>RAGUMAN Raidan ETTA</v>
      </c>
      <c r="C141" s="805" t="str">
        <f>CONCATENATE(Women!E142," ",Women!F142)</f>
        <v>MATSIE Halaletsang FS</v>
      </c>
      <c r="D141" s="137" t="str">
        <f>CONCATENATE('u19 boys'!F142," ",'u19 boys'!G142)</f>
        <v>NYAMATE Manqoba JTTA</v>
      </c>
      <c r="E141" s="221" t="str">
        <f>CONCATENATE('u19 girls'!F142," ",'u19 girls'!G142)</f>
        <v>PIETERSEN Tazlin CT</v>
      </c>
      <c r="F141" s="567" t="str">
        <f>CONCATENATE('u15 boys'!F142," ",'u15 boys'!G142)</f>
        <v>DLAMINI Philasande ETTA</v>
      </c>
      <c r="G141" s="216" t="str">
        <f>CONCATENATE('u15 girls'!F142," ",'u15 girls'!G142)</f>
        <v>MOGOFE Lebogang NW</v>
      </c>
      <c r="H141" s="796" t="str">
        <f>CONCATENATE('u13 boys'!F142," ",'u13 boys'!G142)</f>
        <v>Rogan FORTUIN CT</v>
      </c>
      <c r="I141" s="222" t="str">
        <f>CONCATENATE('u13 girls'!F139," ",'u13 girls'!G139)</f>
        <v>Rashieda Abrahams Eden</v>
      </c>
      <c r="J141" s="137" t="str">
        <f>CONCATENATE('u11 boys'!F141," ",'u11 boys'!G141)</f>
        <v>RUITERS Levi CT</v>
      </c>
      <c r="K141" s="216" t="str">
        <f>CONCATENATE('u11 girls'!F140," ",'u11 girls'!G140)</f>
        <v xml:space="preserve"> </v>
      </c>
    </row>
    <row r="142" spans="1:11" s="147" customFormat="1" ht="40" customHeight="1">
      <c r="A142" s="148">
        <f t="shared" si="2"/>
        <v>139</v>
      </c>
      <c r="B142" s="807" t="str">
        <f>CONCATENATE(Men!E142," ",Men!F142)</f>
        <v>SLOSTER Chris  CT</v>
      </c>
      <c r="C142" s="805" t="str">
        <f>CONCATENATE(Women!E143," ",Women!F143)</f>
        <v>JOOSTE Samantha  CT</v>
      </c>
      <c r="D142" s="137" t="str">
        <f>CONCATENATE('u19 boys'!F143," ",'u19 boys'!G143)</f>
        <v>SINGH Yash UMG</v>
      </c>
      <c r="E142" s="221" t="str">
        <f>CONCATENATE('u19 girls'!F143," ",'u19 girls'!G143)</f>
        <v>REURINK Noa-Marie CW</v>
      </c>
      <c r="F142" s="567" t="str">
        <f>CONCATENATE('u15 boys'!F143," ",'u15 boys'!G143)</f>
        <v>MKONTWANE Simphiwe ETTA</v>
      </c>
      <c r="G142" s="216" t="str">
        <f>CONCATENATE('u15 girls'!F143," ",'u15 girls'!G143)</f>
        <v>MADUNA  Thandeka GN</v>
      </c>
      <c r="H142" s="796" t="str">
        <f>CONCATENATE('u13 boys'!F143," ",'u13 boys'!G143)</f>
        <v>DOMINGO Yaqoob CT</v>
      </c>
      <c r="I142" s="222" t="str">
        <f>CONCATENATE('u13 girls'!F140," ",'u13 girls'!G140)</f>
        <v>NDLOVU Khanyisile  NW</v>
      </c>
      <c r="J142" s="137" t="str">
        <f>CONCATENATE('u11 boys'!F142," ",'u11 boys'!G142)</f>
        <v>Emmanuel Tichiwangani ZIM</v>
      </c>
      <c r="K142" s="216" t="str">
        <f>CONCATENATE('u11 girls'!F141," ",'u11 girls'!G141)</f>
        <v xml:space="preserve"> </v>
      </c>
    </row>
    <row r="143" spans="1:11" s="147" customFormat="1" ht="40" customHeight="1">
      <c r="A143" s="148">
        <f t="shared" si="2"/>
        <v>140</v>
      </c>
      <c r="B143" s="807" t="str">
        <f>CONCATENATE(Men!E143," ",Men!F143)</f>
        <v>DRY Mnikelo  FS</v>
      </c>
      <c r="C143" s="805" t="str">
        <f>CONCATENATE(Women!E144," ",Women!F144)</f>
        <v>BOGATSU Precious NW</v>
      </c>
      <c r="D143" s="137" t="str">
        <f>CONCATENATE('u19 boys'!F144," ",'u19 boys'!G144)</f>
        <v>SISHI Yamkela  ETTA</v>
      </c>
      <c r="E143" s="221" t="str">
        <f>CONCATENATE('u19 girls'!F144," ",'u19 girls'!G144)</f>
        <v>TABA Siphesihle  WC</v>
      </c>
      <c r="F143" s="567" t="str">
        <f>CONCATENATE('u15 boys'!F144," ",'u15 boys'!G144)</f>
        <v>BOOYSEN Marcus CW</v>
      </c>
      <c r="G143" s="216" t="str">
        <f>CONCATENATE('u15 girls'!F144," ",'u15 girls'!G144)</f>
        <v>MALINGA Princess GN</v>
      </c>
      <c r="H143" s="796" t="str">
        <f>CONCATENATE('u13 boys'!F144," ",'u13 boys'!G144)</f>
        <v>DARSON Omrao UMG</v>
      </c>
      <c r="I143" s="222" t="str">
        <f>CONCATENATE('u13 girls'!F141," ",'u13 girls'!G141)</f>
        <v>NDLOVU Tshepiso ETK</v>
      </c>
      <c r="J143" s="137" t="str">
        <f>CONCATENATE('u11 boys'!F143," ",'u11 boys'!G143)</f>
        <v>MTHEMBU Junior UMZ</v>
      </c>
      <c r="K143" s="216" t="str">
        <f>CONCATENATE('u11 girls'!F142," ",'u11 girls'!G142)</f>
        <v xml:space="preserve"> </v>
      </c>
    </row>
    <row r="144" spans="1:11" s="147" customFormat="1" ht="40" customHeight="1">
      <c r="A144" s="148">
        <f t="shared" si="2"/>
        <v>141</v>
      </c>
      <c r="B144" s="807" t="str">
        <f>CONCATENATE(Men!E144," ",Men!F144)</f>
        <v>STEWE Bernard CT</v>
      </c>
      <c r="C144" s="805" t="str">
        <f>CONCATENATE(Women!E145," ",Women!F145)</f>
        <v>NTSOKOANE Ithumeleng  EKU</v>
      </c>
      <c r="D144" s="137" t="str">
        <f>CONCATENATE('u19 boys'!F145," ",'u19 boys'!G145)</f>
        <v>TONGWANE Kaone Phenyo NC</v>
      </c>
      <c r="E144" s="221" t="str">
        <f>CONCATENATE('u19 girls'!F145," ",'u19 girls'!G145)</f>
        <v>NAIDOO Deanne ETTA</v>
      </c>
      <c r="F144" s="567" t="str">
        <f>CONCATENATE('u15 boys'!F145," ",'u15 boys'!G145)</f>
        <v>JOUBERT Reynaldo Eden</v>
      </c>
      <c r="G144" s="216" t="str">
        <f>CONCATENATE('u15 girls'!F145," ",'u15 girls'!G145)</f>
        <v>WILLEMSE Kelly GN</v>
      </c>
      <c r="H144" s="796" t="str">
        <f>CONCATENATE('u13 boys'!F145," ",'u13 boys'!G145)</f>
        <v>JACOBS Mika CT</v>
      </c>
      <c r="I144" s="222" t="str">
        <f>CONCATENATE('u13 girls'!F142," ",'u13 girls'!G142)</f>
        <v>NOMANDLA Skhosana UTH</v>
      </c>
      <c r="J144" s="137" t="str">
        <f>CONCATENATE('u11 boys'!F144," ",'u11 boys'!G144)</f>
        <v>Phikolethu MBANDA EC</v>
      </c>
      <c r="K144" s="216" t="str">
        <f>CONCATENATE('u11 girls'!F143," ",'u11 girls'!G143)</f>
        <v xml:space="preserve"> </v>
      </c>
    </row>
    <row r="145" spans="1:11" s="147" customFormat="1" ht="40" customHeight="1">
      <c r="A145" s="148">
        <f t="shared" si="2"/>
        <v>142</v>
      </c>
      <c r="B145" s="807" t="str">
        <f>CONCATENATE(Men!E145," ",Men!F145)</f>
        <v>Kamogelo Qavan  FS</v>
      </c>
      <c r="C145" s="805" t="str">
        <f>CONCATENATE(Women!E146," ",Women!F146)</f>
        <v>MOCHABELA Refilwe LIM</v>
      </c>
      <c r="D145" s="137" t="str">
        <f>CONCATENATE('u19 boys'!F146," ",'u19 boys'!G146)</f>
        <v>BESTER Benjie FS</v>
      </c>
      <c r="E145" s="221" t="str">
        <f>CONCATENATE('u19 girls'!F146," ",'u19 girls'!G146)</f>
        <v>HEERALAL Arya ETTA</v>
      </c>
      <c r="F145" s="567" t="str">
        <f>CONCATENATE('u15 boys'!F146," ",'u15 boys'!G146)</f>
        <v>MOODLEY Yadarshan UMG</v>
      </c>
      <c r="G145" s="216" t="str">
        <f>CONCATENATE('u15 girls'!F146," ",'u15 girls'!G146)</f>
        <v>Nomcebo SIKHOKHANE UMZ</v>
      </c>
      <c r="H145" s="796" t="str">
        <f>CONCATENATE('u13 boys'!F146," ",'u13 boys'!G146)</f>
        <v>BRINK Brendan 0</v>
      </c>
      <c r="I145" s="222" t="str">
        <f>CONCATENATE('u13 girls'!F143," ",'u13 girls'!G143)</f>
        <v>VELEM Nozipho UTH</v>
      </c>
      <c r="J145" s="137" t="str">
        <f>CONCATENATE('u11 boys'!F145," ",'u11 boys'!G145)</f>
        <v>Katleho STALLERNBERG FS</v>
      </c>
      <c r="K145" s="216" t="str">
        <f>CONCATENATE('u11 girls'!F144," ",'u11 girls'!G144)</f>
        <v xml:space="preserve"> </v>
      </c>
    </row>
    <row r="146" spans="1:11" s="147" customFormat="1" ht="40" customHeight="1">
      <c r="A146" s="148">
        <f t="shared" si="2"/>
        <v>143</v>
      </c>
      <c r="B146" s="807" t="str">
        <f>CONCATENATE(Men!E146," ",Men!F146)</f>
        <v>KULU Lwanele  EKU</v>
      </c>
      <c r="C146" s="805" t="str">
        <f>CONCATENATE(Women!E147," ",Women!F147)</f>
        <v>TSOKOANE Itumeleng JTTA</v>
      </c>
      <c r="D146" s="137" t="str">
        <f>CONCATENATE('u19 boys'!F147," ",'u19 boys'!G147)</f>
        <v>GUNTELACH Noah CW</v>
      </c>
      <c r="E146" s="221" t="str">
        <f>CONCATENATE('u19 girls'!F147," ",'u19 girls'!G147)</f>
        <v>Leranya Govender UMG</v>
      </c>
      <c r="F146" s="567" t="str">
        <f>CONCATENATE('u15 boys'!F147," ",'u15 boys'!G147)</f>
        <v>BOOYENS Ewan GN</v>
      </c>
      <c r="G146" s="216" t="str">
        <f>CONCATENATE('u15 girls'!F147," ",'u15 girls'!G147)</f>
        <v>Humaira KAKA JTTA</v>
      </c>
      <c r="H146" s="796" t="str">
        <f>CONCATENATE('u13 boys'!F147," ",'u13 boys'!G147)</f>
        <v>SINGH Miqule ETTA</v>
      </c>
      <c r="I146" s="222" t="str">
        <f>CONCATENATE('u13 girls'!F144," ",'u13 girls'!G144)</f>
        <v>MKOLWANA Elihle EC</v>
      </c>
      <c r="J146" s="137" t="str">
        <f>CONCATENATE('u11 boys'!F146," ",'u11 boys'!G146)</f>
        <v xml:space="preserve"> </v>
      </c>
      <c r="K146" s="216" t="str">
        <f>CONCATENATE('u11 girls'!F145," ",'u11 girls'!G145)</f>
        <v xml:space="preserve"> </v>
      </c>
    </row>
    <row r="147" spans="1:11" s="147" customFormat="1" ht="40" customHeight="1">
      <c r="A147" s="148">
        <f t="shared" si="2"/>
        <v>144</v>
      </c>
      <c r="B147" s="807" t="str">
        <f>CONCATENATE(Men!E147," ",Men!F147)</f>
        <v>FORTUIN Craig  CT</v>
      </c>
      <c r="C147" s="805" t="str">
        <f>CONCATENATE(Women!E148," ",Women!F148)</f>
        <v>VAN RENSBURG Paula Janse GN</v>
      </c>
      <c r="D147" s="137" t="str">
        <f>CONCATENATE('u19 boys'!F148," ",'u19 boys'!G148)</f>
        <v>SIQUNA Mzwanele EC</v>
      </c>
      <c r="E147" s="221" t="str">
        <f>CONCATENATE('u19 girls'!F148," ",'u19 girls'!G148)</f>
        <v>VERHEIJEN Danyelle GN</v>
      </c>
      <c r="F147" s="567" t="str">
        <f>CONCATENATE('u15 boys'!F148," ",'u15 boys'!G148)</f>
        <v>Liam van Kralingen UMG</v>
      </c>
      <c r="G147" s="216" t="str">
        <f>CONCATENATE('u15 girls'!F148," ",'u15 girls'!G148)</f>
        <v>Meetay PARAG UMZ</v>
      </c>
      <c r="H147" s="796" t="str">
        <f>CONCATENATE('u13 boys'!F148," ",'u13 boys'!G148)</f>
        <v>LEBURU Tshiamo NC</v>
      </c>
      <c r="I147" s="222" t="str">
        <f>CONCATENATE('u13 girls'!F145," ",'u13 girls'!G145)</f>
        <v>HANU Unathi  EC</v>
      </c>
      <c r="J147" s="137" t="str">
        <f>CONCATENATE('u11 boys'!F147," ",'u11 boys'!G147)</f>
        <v xml:space="preserve"> </v>
      </c>
      <c r="K147" s="216" t="str">
        <f>CONCATENATE('u11 girls'!F146," ",'u11 girls'!G146)</f>
        <v xml:space="preserve"> </v>
      </c>
    </row>
    <row r="148" spans="1:11" s="147" customFormat="1" ht="40" customHeight="1">
      <c r="A148" s="148">
        <f t="shared" si="2"/>
        <v>145</v>
      </c>
      <c r="B148" s="807" t="str">
        <f>CONCATENATE(Men!E148," ",Men!F148)</f>
        <v>MUDASHIRA AKEEM ETTA</v>
      </c>
      <c r="C148" s="805" t="str">
        <f>CONCATENATE(Women!E149," ",Women!F149)</f>
        <v>PILLAY Tarini UMG</v>
      </c>
      <c r="D148" s="137" t="str">
        <f>CONCATENATE('u19 boys'!F149," ",'u19 boys'!G149)</f>
        <v>SEWLALL Jatin UMG</v>
      </c>
      <c r="E148" s="221" t="str">
        <f>CONCATENATE('u19 girls'!F149," ",'u19 girls'!G149)</f>
        <v>KHAN Diyanah Bibi JTTA</v>
      </c>
      <c r="F148" s="567" t="str">
        <f>CONCATENATE('u15 boys'!F149," ",'u15 boys'!G149)</f>
        <v>SITHOLE Siphelele ETTA</v>
      </c>
      <c r="G148" s="216" t="str">
        <f>CONCATENATE('u15 girls'!F149," ",'u15 girls'!G149)</f>
        <v>Mayeni NJOKO UMZ</v>
      </c>
      <c r="H148" s="796" t="str">
        <f>CONCATENATE('u13 boys'!F149," ",'u13 boys'!G149)</f>
        <v>Ramona Siyabonga FS</v>
      </c>
      <c r="I148" s="222" t="str">
        <f>CONCATENATE('u13 girls'!F146," ",'u13 girls'!G146)</f>
        <v>MOHATLI Dipheta LIM</v>
      </c>
      <c r="J148" s="137" t="str">
        <f>CONCATENATE('u11 boys'!F148," ",'u11 boys'!G148)</f>
        <v xml:space="preserve"> </v>
      </c>
      <c r="K148" s="216" t="str">
        <f>CONCATENATE('u11 girls'!F147," ",'u11 girls'!G147)</f>
        <v xml:space="preserve"> </v>
      </c>
    </row>
    <row r="149" spans="1:11" s="147" customFormat="1" ht="40" customHeight="1">
      <c r="A149" s="148">
        <f t="shared" si="2"/>
        <v>146</v>
      </c>
      <c r="B149" s="807" t="str">
        <f>CONCATENATE(Men!E149," ",Men!F149)</f>
        <v>GOKAL Amar ETTA</v>
      </c>
      <c r="C149" s="805" t="str">
        <f>CONCATENATE(Women!E150," ",Women!F150)</f>
        <v>LI Xiuyan  EC</v>
      </c>
      <c r="D149" s="137" t="str">
        <f>CONCATENATE('u19 boys'!F150," ",'u19 boys'!G150)</f>
        <v>HOFFMAN Mujahid CT</v>
      </c>
      <c r="E149" s="221" t="str">
        <f>CONCATENATE('u19 girls'!F150," ",'u19 girls'!G150)</f>
        <v>LETELE Katlego EKU</v>
      </c>
      <c r="F149" s="567" t="str">
        <f>CONCATENATE('u15 boys'!F150," ",'u15 boys'!G150)</f>
        <v>GRABE Victor CT</v>
      </c>
      <c r="G149" s="216" t="str">
        <f>CONCATENATE('u15 girls'!F150," ",'u15 girls'!G150)</f>
        <v>DANIELS Zaitoon CW</v>
      </c>
      <c r="H149" s="796" t="str">
        <f>CONCATENATE('u13 boys'!F150," ",'u13 boys'!G150)</f>
        <v>MORAKE Kamogelo FS</v>
      </c>
      <c r="I149" s="222" t="str">
        <f>CONCATENATE('u13 girls'!F147," ",'u13 girls'!G147)</f>
        <v>DAVIDS Rukaya  CT</v>
      </c>
      <c r="J149" s="137" t="str">
        <f>CONCATENATE('u11 boys'!F149," ",'u11 boys'!G149)</f>
        <v xml:space="preserve"> </v>
      </c>
      <c r="K149" s="216" t="str">
        <f>CONCATENATE('u11 girls'!F148," ",'u11 girls'!G148)</f>
        <v xml:space="preserve"> </v>
      </c>
    </row>
    <row r="150" spans="1:11" s="147" customFormat="1" ht="40" customHeight="1">
      <c r="A150" s="148">
        <f t="shared" si="2"/>
        <v>147</v>
      </c>
      <c r="B150" s="807" t="str">
        <f>CONCATENATE(Men!E150," ",Men!F150)</f>
        <v>ADAMS Muaath CT</v>
      </c>
      <c r="C150" s="805" t="str">
        <f>CONCATENATE(Women!E151," ",Women!F151)</f>
        <v>GOVENDER Shivasthi  ETK</v>
      </c>
      <c r="D150" s="137" t="str">
        <f>CONCATENATE('u19 boys'!F151," ",'u19 boys'!G151)</f>
        <v>KUSE Amyoli CT</v>
      </c>
      <c r="E150" s="221" t="str">
        <f>CONCATENATE('u19 girls'!F151," ",'u19 girls'!G151)</f>
        <v>SCHOEMAN Zion CT</v>
      </c>
      <c r="F150" s="567" t="str">
        <f>CONCATENATE('u15 boys'!F151," ",'u15 boys'!G151)</f>
        <v>ONKARABETSE Sam NWP</v>
      </c>
      <c r="G150" s="216" t="str">
        <f>CONCATENATE('u15 girls'!F151," ",'u15 girls'!G151)</f>
        <v>BLOM Robin  CW</v>
      </c>
      <c r="H150" s="796" t="str">
        <f>CONCATENATE('u13 boys'!F151," ",'u13 boys'!G151)</f>
        <v>STUURMAN Luthando FS</v>
      </c>
      <c r="I150" s="222" t="str">
        <f>CONCATENATE('u13 girls'!F148," ",'u13 girls'!G148)</f>
        <v>NAIDOO Isabella Rose ETTA</v>
      </c>
      <c r="J150" s="137" t="str">
        <f>CONCATENATE('u11 boys'!F150," ",'u11 boys'!G150)</f>
        <v xml:space="preserve"> </v>
      </c>
      <c r="K150" s="216" t="str">
        <f>CONCATENATE('u11 girls'!F149," ",'u11 girls'!G149)</f>
        <v xml:space="preserve"> </v>
      </c>
    </row>
    <row r="151" spans="1:11" s="147" customFormat="1" ht="40" customHeight="1">
      <c r="A151" s="148">
        <f t="shared" si="2"/>
        <v>148</v>
      </c>
      <c r="B151" s="807" t="str">
        <f>CONCATENATE(Men!E151," ",Men!F151)</f>
        <v>MOOSA Nizaam  CT</v>
      </c>
      <c r="C151" s="805" t="str">
        <f>CONCATENATE(Women!E152," ",Women!F152)</f>
        <v>MTSHOELIBE Palesa  UTH</v>
      </c>
      <c r="D151" s="137" t="str">
        <f>CONCATENATE('u19 boys'!F152," ",'u19 boys'!G152)</f>
        <v>MTHABISA Lethukuthula EC</v>
      </c>
      <c r="E151" s="221" t="str">
        <f>CONCATENATE('u19 girls'!F152," ",'u19 girls'!G152)</f>
        <v>VERMAAK Marcelle CW</v>
      </c>
      <c r="F151" s="567" t="str">
        <f>CONCATENATE('u15 boys'!F152," ",'u15 boys'!G152)</f>
        <v>MATETA Thomas LIM</v>
      </c>
      <c r="G151" s="216" t="str">
        <f>CONCATENATE('u15 girls'!F152," ",'u15 girls'!G152)</f>
        <v>FORTUIN Tamlin  CW</v>
      </c>
      <c r="H151" s="796" t="str">
        <f>CONCATENATE('u13 boys'!F152," ",'u13 boys'!G152)</f>
        <v>MKHOMBENI Baphelele FS</v>
      </c>
      <c r="I151" s="222" t="str">
        <f>CONCATENATE('u13 girls'!F149," ",'u13 girls'!G149)</f>
        <v>JOHNSON Leandre' CT</v>
      </c>
      <c r="J151" s="137" t="str">
        <f>CONCATENATE('u11 boys'!F151," ",'u11 boys'!G151)</f>
        <v xml:space="preserve"> </v>
      </c>
      <c r="K151" s="216" t="str">
        <f>CONCATENATE('u11 girls'!F150," ",'u11 girls'!G150)</f>
        <v xml:space="preserve"> </v>
      </c>
    </row>
    <row r="152" spans="1:11" s="147" customFormat="1" ht="40" customHeight="1">
      <c r="A152" s="148">
        <f t="shared" si="2"/>
        <v>149</v>
      </c>
      <c r="B152" s="807" t="str">
        <f>CONCATENATE(Men!E152," ",Men!F152)</f>
        <v>ZAINEDDIN Omar  GN</v>
      </c>
      <c r="C152" s="805" t="str">
        <f>CONCATENATE(Women!E153," ",Women!F153)</f>
        <v>Cassie Stevens Eden</v>
      </c>
      <c r="D152" s="137" t="str">
        <f>CONCATENATE('u19 boys'!F153," ",'u19 boys'!G153)</f>
        <v>JACOBS Ghaneef CW</v>
      </c>
      <c r="E152" s="221" t="str">
        <f>CONCATENATE('u19 girls'!F153," ",'u19 girls'!G153)</f>
        <v>MASCHAKA Geneve NMB</v>
      </c>
      <c r="F152" s="567" t="str">
        <f>CONCATENATE('u15 boys'!F153," ",'u15 boys'!G153)</f>
        <v>PLASH Plan  ZIM</v>
      </c>
      <c r="G152" s="216" t="str">
        <f>CONCATENATE('u15 girls'!F153," ",'u15 girls'!G153)</f>
        <v>NAIDOO Isabella Rose ETTA</v>
      </c>
      <c r="H152" s="796" t="str">
        <f>CONCATENATE('u13 boys'!F153," ",'u13 boys'!G153)</f>
        <v>NENE Bayana UMG</v>
      </c>
      <c r="I152" s="222" t="str">
        <f>CONCATENATE('u13 girls'!F150," ",'u13 girls'!G150)</f>
        <v>NDLOVU Nonhlelelo UTH</v>
      </c>
      <c r="J152" s="137" t="str">
        <f>CONCATENATE('u11 boys'!F155," ",'u11 boys'!G155)</f>
        <v xml:space="preserve"> </v>
      </c>
      <c r="K152" s="216" t="str">
        <f>CONCATENATE('u11 girls'!F151," ",'u11 girls'!G151)</f>
        <v xml:space="preserve"> </v>
      </c>
    </row>
    <row r="153" spans="1:11" s="147" customFormat="1" ht="40" customHeight="1">
      <c r="A153" s="148">
        <f t="shared" si="2"/>
        <v>150</v>
      </c>
      <c r="B153" s="807" t="str">
        <f>CONCATENATE(Men!E153," ",Men!F153)</f>
        <v>Seth Samuel UMG</v>
      </c>
      <c r="C153" s="805" t="str">
        <f>CONCATENATE(Women!E154," ",Women!F154)</f>
        <v>LENYAI KARABO   NW</v>
      </c>
      <c r="D153" s="137" t="str">
        <f>CONCATENATE('u19 boys'!F154," ",'u19 boys'!G154)</f>
        <v>ZULU Andiswa JTTA</v>
      </c>
      <c r="E153" s="221" t="str">
        <f>CONCATENATE('u19 girls'!F154," ",'u19 girls'!G154)</f>
        <v>MCHUNU Zesuliwe UTH</v>
      </c>
      <c r="F153" s="567" t="str">
        <f>CONCATENATE('u15 boys'!F154," ",'u15 boys'!G154)</f>
        <v>Nathan MCKENZIE GN</v>
      </c>
      <c r="G153" s="216" t="str">
        <f>CONCATENATE('u15 girls'!F154," ",'u15 girls'!G154)</f>
        <v>NAIDOO Kimiya UMG</v>
      </c>
      <c r="H153" s="796" t="str">
        <f>CONCATENATE('u13 boys'!F154," ",'u13 boys'!G154)</f>
        <v>REDDY Rylan UMG</v>
      </c>
      <c r="I153" s="222" t="str">
        <f>CONCATENATE('u13 girls'!F151," ",'u13 girls'!G151)</f>
        <v>KUNENE  Aneliswa   UMZ</v>
      </c>
      <c r="J153" s="137" t="str">
        <f>CONCATENATE('u11 boys'!F156," ",'u11 boys'!G156)</f>
        <v xml:space="preserve"> </v>
      </c>
      <c r="K153" s="216" t="str">
        <f>CONCATENATE('u11 girls'!F152," ",'u11 girls'!G152)</f>
        <v xml:space="preserve"> </v>
      </c>
    </row>
    <row r="154" spans="1:11" s="147" customFormat="1" ht="40" customHeight="1">
      <c r="A154" s="148">
        <f t="shared" si="2"/>
        <v>151</v>
      </c>
      <c r="B154" s="807" t="str">
        <f>CONCATENATE(Men!E154," ",Men!F154)</f>
        <v>PHILLIPS Amien  CT</v>
      </c>
      <c r="C154" s="805" t="str">
        <f>CONCATENATE(Women!E155," ",Women!F155)</f>
        <v>Swanepoel Marlene EDEN</v>
      </c>
      <c r="D154" s="137" t="str">
        <f>CONCATENATE('u19 boys'!F155," ",'u19 boys'!G155)</f>
        <v>KHAN Saad JTTA</v>
      </c>
      <c r="E154" s="221" t="str">
        <f>CONCATENATE('u19 girls'!F155," ",'u19 girls'!G155)</f>
        <v>FORTUIN Jovermia CW</v>
      </c>
      <c r="F154" s="567" t="str">
        <f>CONCATENATE('u15 boys'!F155," ",'u15 boys'!G155)</f>
        <v>MARAIS Barry GN</v>
      </c>
      <c r="G154" s="216" t="str">
        <f>CONCATENATE('u15 girls'!F155," ",'u15 girls'!G155)</f>
        <v>INCE Skylar UMG</v>
      </c>
      <c r="H154" s="796" t="str">
        <f>CONCATENATE('u13 boys'!F155," ",'u13 boys'!G155)</f>
        <v>MLABA Sphelele UTH</v>
      </c>
      <c r="I154" s="222" t="str">
        <f>CONCATENATE('u13 girls'!F152," ",'u13 girls'!G152)</f>
        <v>LEHLOO Tshepiso NW</v>
      </c>
      <c r="J154" s="137" t="str">
        <f>CONCATENATE('u11 boys'!F157," ",'u11 boys'!G157)</f>
        <v xml:space="preserve"> </v>
      </c>
      <c r="K154" s="216" t="str">
        <f>CONCATENATE('u11 girls'!F153," ",'u11 girls'!G153)</f>
        <v xml:space="preserve"> </v>
      </c>
    </row>
    <row r="155" spans="1:11" s="147" customFormat="1" ht="40" customHeight="1">
      <c r="A155" s="148">
        <f t="shared" si="2"/>
        <v>152</v>
      </c>
      <c r="B155" s="807" t="str">
        <f>CONCATENATE(Men!E155," ",Men!F155)</f>
        <v>FITZGIBBON Timothy  CT</v>
      </c>
      <c r="C155" s="805" t="str">
        <f>CONCATENATE(Women!E156," ",Women!F156)</f>
        <v>BOCKS Jamima WC</v>
      </c>
      <c r="D155" s="137" t="str">
        <f>CONCATENATE('u19 boys'!F156," ",'u19 boys'!G156)</f>
        <v>BIGGAS Jared ETTA</v>
      </c>
      <c r="E155" s="221" t="str">
        <f>CONCATENATE('u19 girls'!F156," ",'u19 girls'!G156)</f>
        <v>BEUKES Beyonce WC</v>
      </c>
      <c r="F155" s="567" t="str">
        <f>CONCATENATE('u15 boys'!F156," ",'u15 boys'!G156)</f>
        <v>PETOVSKY Pavol Usman  JTTA</v>
      </c>
      <c r="G155" s="216" t="str">
        <f>CONCATENATE('u15 girls'!F156," ",'u15 girls'!G156)</f>
        <v>KADOO Arya  UMG</v>
      </c>
      <c r="H155" s="796" t="str">
        <f>CONCATENATE('u13 boys'!F156," ",'u13 boys'!G156)</f>
        <v>MABASO Nhlakanipho UTH</v>
      </c>
      <c r="I155" s="222" t="str">
        <f>CONCATENATE('u13 girls'!F153," ",'u13 girls'!G153)</f>
        <v>SEBOPEL Keletso NW</v>
      </c>
      <c r="J155" s="137" t="str">
        <f>CONCATENATE('u11 boys'!F158," ",'u11 boys'!G158)</f>
        <v xml:space="preserve"> </v>
      </c>
      <c r="K155" s="216" t="str">
        <f>CONCATENATE('u11 girls'!F154," ",'u11 girls'!G154)</f>
        <v xml:space="preserve"> </v>
      </c>
    </row>
    <row r="156" spans="1:11" s="147" customFormat="1" ht="40" customHeight="1">
      <c r="A156" s="148">
        <f t="shared" si="2"/>
        <v>153</v>
      </c>
      <c r="B156" s="807" t="str">
        <f>CONCATENATE(Men!E156," ",Men!F156)</f>
        <v>NCUNCU Indiphile  EC</v>
      </c>
      <c r="C156" s="805" t="str">
        <f>CONCATENATE(Women!E157," ",Women!F157)</f>
        <v>DITHEJANE Kgomotso  NW</v>
      </c>
      <c r="D156" s="137" t="str">
        <f>CONCATENATE('u19 boys'!F157," ",'u19 boys'!G157)</f>
        <v>Berkowitz Jesse JTTA</v>
      </c>
      <c r="E156" s="221" t="str">
        <f>CONCATENATE('u19 girls'!F157," ",'u19 girls'!G157)</f>
        <v>YANGA Mkholwana EC</v>
      </c>
      <c r="F156" s="567" t="str">
        <f>CONCATENATE('u15 boys'!F157," ",'u15 boys'!G157)</f>
        <v>SMITH Elgin EC</v>
      </c>
      <c r="G156" s="216" t="str">
        <f>CONCATENATE('u15 girls'!F157," ",'u15 girls'!G157)</f>
        <v>SANDOVANA Sinamandla EC</v>
      </c>
      <c r="H156" s="796" t="str">
        <f>CONCATENATE('u13 boys'!F157," ",'u13 boys'!G157)</f>
        <v>MBADA Phikolwethu EC</v>
      </c>
      <c r="I156" s="222" t="str">
        <f>CONCATENATE('u13 girls'!F154," ",'u13 girls'!G154)</f>
        <v>MADUNA  Thandeka GN</v>
      </c>
      <c r="J156" s="137" t="str">
        <f>CONCATENATE('u11 boys'!F159," ",'u11 boys'!G159)</f>
        <v xml:space="preserve"> </v>
      </c>
      <c r="K156" s="216" t="str">
        <f>CONCATENATE('u11 girls'!F155," ",'u11 girls'!G155)</f>
        <v xml:space="preserve"> </v>
      </c>
    </row>
    <row r="157" spans="1:11" s="147" customFormat="1" ht="40" customHeight="1">
      <c r="A157" s="148">
        <f t="shared" si="2"/>
        <v>154</v>
      </c>
      <c r="B157" s="807" t="str">
        <f>CONCATENATE(Men!E157," ",Men!F157)</f>
        <v>Hans Devon EDEN</v>
      </c>
      <c r="C157" s="805" t="str">
        <f>CONCATENATE(Women!E158," ",Women!F158)</f>
        <v>DUMA N R SANDF</v>
      </c>
      <c r="D157" s="137" t="str">
        <f>CONCATENATE('u19 boys'!F158," ",'u19 boys'!G158)</f>
        <v>MORENNE Kamogelo NC</v>
      </c>
      <c r="E157" s="216" t="str">
        <f>CONCATENATE('u19 girls'!F158," ",'u19 girls'!G158)</f>
        <v>FAVAGER Chloe JTTA</v>
      </c>
      <c r="F157" s="567" t="str">
        <f>CONCATENATE('u15 boys'!F158," ",'u15 boys'!G158)</f>
        <v>MAFOO Leon LIM</v>
      </c>
      <c r="G157" s="216" t="str">
        <f>CONCATENATE('u15 girls'!F158," ",'u15 girls'!G158)</f>
        <v>VERMAAK Marcelle CW</v>
      </c>
      <c r="H157" s="796" t="str">
        <f>CONCATENATE('u13 boys'!F158," ",'u13 boys'!G158)</f>
        <v>MVULA Chumani EC</v>
      </c>
      <c r="I157" s="222" t="str">
        <f>CONCATENATE('u13 girls'!F155," ",'u13 girls'!G155)</f>
        <v>RAMCHURRAN Leora UMG</v>
      </c>
      <c r="J157" s="137" t="str">
        <f>CONCATENATE('u11 boys'!F160," ",'u11 boys'!G160)</f>
        <v xml:space="preserve"> </v>
      </c>
      <c r="K157" s="216" t="str">
        <f>CONCATENATE('u11 girls'!F156," ",'u11 girls'!G156)</f>
        <v xml:space="preserve"> </v>
      </c>
    </row>
    <row r="158" spans="1:11" s="147" customFormat="1" ht="40" customHeight="1">
      <c r="A158" s="148">
        <f t="shared" si="2"/>
        <v>155</v>
      </c>
      <c r="B158" s="807" t="str">
        <f>CONCATENATE(Men!E158," ",Men!F158)</f>
        <v>NAIDOO Pravalan UMG</v>
      </c>
      <c r="C158" s="805" t="str">
        <f>CONCATENATE(Women!E159," ",Women!F159)</f>
        <v>Emerenthia Williams Eden</v>
      </c>
      <c r="D158" s="137" t="str">
        <f>CONCATENATE('u19 boys'!F159," ",'u19 boys'!G159)</f>
        <v>TONGWANE Leboga NC</v>
      </c>
      <c r="E158" s="216" t="str">
        <f>CONCATENATE('u19 girls'!F159," ",'u19 girls'!G159)</f>
        <v>MZOLO  Thandolwethu  UMZ</v>
      </c>
      <c r="F158" s="567" t="str">
        <f>CONCATENATE('u15 boys'!F159," ",'u15 boys'!G159)</f>
        <v>BATYO Nhlaknipho ETTA</v>
      </c>
      <c r="G158" s="216" t="str">
        <f>CONCATENATE('u15 girls'!F159," ",'u15 girls'!G159)</f>
        <v>MODISENYANI Rhetabile FS</v>
      </c>
      <c r="H158" s="796" t="str">
        <f>CONCATENATE('u13 boys'!F159," ",'u13 boys'!G159)</f>
        <v>MAGWINYA Olwami UMG</v>
      </c>
      <c r="I158" s="222" t="str">
        <f>CONCATENATE('u13 girls'!F156," ",'u13 girls'!G156)</f>
        <v>MPATA Keabetswe FS</v>
      </c>
      <c r="J158" s="137" t="str">
        <f>CONCATENATE('u11 boys'!F161," ",'u11 boys'!G161)</f>
        <v xml:space="preserve"> </v>
      </c>
      <c r="K158" s="216" t="str">
        <f>CONCATENATE('u11 girls'!F157," ",'u11 girls'!G157)</f>
        <v xml:space="preserve"> </v>
      </c>
    </row>
    <row r="159" spans="1:11" s="147" customFormat="1" ht="40" customHeight="1">
      <c r="A159" s="148">
        <f t="shared" si="2"/>
        <v>156</v>
      </c>
      <c r="B159" s="807" t="str">
        <f>CONCATENATE(Men!E159," ",Men!F159)</f>
        <v>NACKERDIEN Zahrier CW</v>
      </c>
      <c r="C159" s="805" t="str">
        <f>CONCATENATE(Women!E160," ",Women!F160)</f>
        <v>SENYE Tidimalo  FS</v>
      </c>
      <c r="D159" s="137" t="str">
        <f>CONCATENATE('u19 boys'!F160," ",'u19 boys'!G160)</f>
        <v>KING Ruwaan EC</v>
      </c>
      <c r="E159" s="216" t="str">
        <f>CONCATENATE('u19 girls'!F160," ",'u19 girls'!G160)</f>
        <v>SHABALALA  Andiswa    UMZ</v>
      </c>
      <c r="F159" s="567" t="str">
        <f>CONCATENATE('u15 boys'!F160," ",'u15 boys'!G160)</f>
        <v>MAKKINK Henrico GN</v>
      </c>
      <c r="G159" s="216" t="str">
        <f>CONCATENATE('u15 girls'!F160," ",'u15 girls'!G160)</f>
        <v>NYOKONG Keabetswe FS</v>
      </c>
      <c r="H159" s="796" t="str">
        <f>CONCATENATE('u13 boys'!F160," ",'u13 boys'!G160)</f>
        <v>Muhammad BHOLAT JTTA</v>
      </c>
      <c r="I159" s="222" t="str">
        <f>CONCATENATE('u13 girls'!F157," ",'u13 girls'!G157)</f>
        <v>MUSINGUZI Shivan  CT</v>
      </c>
      <c r="J159" s="137" t="str">
        <f>CONCATENATE('u11 boys'!F162," ",'u11 boys'!G162)</f>
        <v xml:space="preserve"> </v>
      </c>
      <c r="K159" s="216" t="str">
        <f>CONCATENATE('u11 girls'!F158," ",'u11 girls'!G158)</f>
        <v xml:space="preserve"> </v>
      </c>
    </row>
    <row r="160" spans="1:11" s="147" customFormat="1" ht="40" customHeight="1">
      <c r="A160" s="148">
        <f t="shared" si="2"/>
        <v>157</v>
      </c>
      <c r="B160" s="807" t="str">
        <f>CONCATENATE(Men!E160," ",Men!F160)</f>
        <v xml:space="preserve">SHANGASE Fundokuhle JTTA </v>
      </c>
      <c r="C160" s="805" t="str">
        <f>CONCATENATE(Women!E161," ",Women!F161)</f>
        <v>TOM Lizalise EC</v>
      </c>
      <c r="D160" s="137" t="str">
        <f>CONCATENATE('u19 boys'!F161," ",'u19 boys'!G161)</f>
        <v>DU PREEZ Liam JTTA</v>
      </c>
      <c r="E160" s="216" t="str">
        <f>CONCATENATE('u19 girls'!F161," ",'u19 girls'!G161)</f>
        <v>GOVENDER Shivasthi  ETK</v>
      </c>
      <c r="F160" s="567" t="str">
        <f>CONCATENATE('u15 boys'!F161," ",'u15 boys'!G161)</f>
        <v>REDLINGHUYS Seth UMG</v>
      </c>
      <c r="G160" s="216" t="str">
        <f>CONCATENATE('u15 girls'!F161," ",'u15 girls'!G161)</f>
        <v>Dumisa Elihle ETK</v>
      </c>
      <c r="H160" s="796" t="str">
        <f>CONCATENATE('u13 boys'!F161," ",'u13 boys'!G161)</f>
        <v>MANSFIELD Joshua Eden</v>
      </c>
      <c r="I160" s="222" t="str">
        <f>CONCATENATE('u13 girls'!F158," ",'u13 girls'!G158)</f>
        <v>Boitumelo PHELEU EKU</v>
      </c>
      <c r="J160" s="137" t="str">
        <f>CONCATENATE('u11 boys'!F163," ",'u11 boys'!G163)</f>
        <v xml:space="preserve"> </v>
      </c>
      <c r="K160" s="216" t="str">
        <f>CONCATENATE('u11 girls'!F159," ",'u11 girls'!G159)</f>
        <v xml:space="preserve"> </v>
      </c>
    </row>
    <row r="161" spans="1:11" s="147" customFormat="1" ht="40" customHeight="1">
      <c r="A161" s="148">
        <f t="shared" si="2"/>
        <v>158</v>
      </c>
      <c r="B161" s="807" t="str">
        <f>CONCATENATE(Men!E161," ",Men!F161)</f>
        <v>RAFUBE William  FS</v>
      </c>
      <c r="C161" s="805" t="str">
        <f>CONCATENATE(Women!E162," ",Women!F162)</f>
        <v>SIKUTSHWA Nandipa UMG</v>
      </c>
      <c r="D161" s="137" t="str">
        <f>CONCATENATE('u19 boys'!F162," ",'u19 boys'!G162)</f>
        <v>ROSSOUW Jonathan GN</v>
      </c>
      <c r="E161" s="216" t="str">
        <f>CONCATENATE('u19 girls'!F162," ",'u19 girls'!G162)</f>
        <v>GOKAL Rakhee ETK</v>
      </c>
      <c r="F161" s="567" t="str">
        <f>CONCATENATE('u15 boys'!F162," ",'u15 boys'!G162)</f>
        <v>NTSHONTSO Ongeziwe EC</v>
      </c>
      <c r="G161" s="216" t="str">
        <f>CONCATENATE('u15 girls'!F162," ",'u15 girls'!G162)</f>
        <v>BATYO Yolanda  ETK</v>
      </c>
      <c r="H161" s="796" t="str">
        <f>CONCATENATE('u13 boys'!F162," ",'u13 boys'!G162)</f>
        <v>LEKHOTLA Lebohang FS</v>
      </c>
      <c r="I161" s="222" t="str">
        <f>CONCATENATE('u13 girls'!F159," ",'u13 girls'!G159)</f>
        <v>BULL .H UMG</v>
      </c>
      <c r="J161" s="137" t="str">
        <f>CONCATENATE('u11 boys'!F164," ",'u11 boys'!G164)</f>
        <v xml:space="preserve"> </v>
      </c>
      <c r="K161" s="216" t="str">
        <f>CONCATENATE('u11 girls'!F160," ",'u11 girls'!G160)</f>
        <v xml:space="preserve"> </v>
      </c>
    </row>
    <row r="162" spans="1:11" s="147" customFormat="1" ht="40" customHeight="1">
      <c r="A162" s="148">
        <f t="shared" si="2"/>
        <v>159</v>
      </c>
      <c r="B162" s="807" t="str">
        <f>CONCATENATE(Men!E162," ",Men!F162)</f>
        <v>INCE Sloan UMG</v>
      </c>
      <c r="C162" s="805" t="str">
        <f>CONCATENATE(Women!E163," ",Women!F163)</f>
        <v>MOLIFI Tshegofatso  NC</v>
      </c>
      <c r="D162" s="137" t="str">
        <f>CONCATENATE('u19 boys'!F163," ",'u19 boys'!G163)</f>
        <v>EJIMS Daniel GN</v>
      </c>
      <c r="E162" s="216" t="str">
        <f>CONCATENATE('u19 girls'!F163," ",'u19 girls'!G163)</f>
        <v>BULLEN Isabel JTTA</v>
      </c>
      <c r="F162" s="567" t="str">
        <f>CONCATENATE('u15 boys'!F163," ",'u15 boys'!G163)</f>
        <v>MQENGE Mnelisi ETTA</v>
      </c>
      <c r="G162" s="216" t="str">
        <f>CONCATENATE('u15 girls'!F163," ",'u15 girls'!G163)</f>
        <v>ZWANE Ziyanda ETK</v>
      </c>
      <c r="H162" s="796" t="str">
        <f>CONCATENATE('u13 boys'!F163," ",'u13 boys'!G163)</f>
        <v>Faizan HOOSEN JTTA</v>
      </c>
      <c r="I162" s="222" t="str">
        <f>CONCATENATE('u13 girls'!F160," ",'u13 girls'!G160)</f>
        <v>DE BRUYN Mishkah  CT</v>
      </c>
      <c r="J162" s="137" t="str">
        <f>CONCATENATE('u11 boys'!F165," ",'u11 boys'!G165)</f>
        <v xml:space="preserve"> </v>
      </c>
      <c r="K162" s="216" t="str">
        <f>CONCATENATE('u11 girls'!F161," ",'u11 girls'!G161)</f>
        <v xml:space="preserve"> </v>
      </c>
    </row>
    <row r="163" spans="1:11" s="147" customFormat="1" ht="40" customHeight="1">
      <c r="A163" s="148">
        <f t="shared" si="2"/>
        <v>160</v>
      </c>
      <c r="B163" s="807" t="str">
        <f>CONCATENATE(Men!E163," ",Men!F163)</f>
        <v>KATS Ruan GN</v>
      </c>
      <c r="C163" s="805" t="str">
        <f>CONCATENATE(Women!E164," ",Women!F164)</f>
        <v>MORAR Meenal  JTTA</v>
      </c>
      <c r="D163" s="137" t="str">
        <f>CONCATENATE('u19 boys'!F164," ",'u19 boys'!G164)</f>
        <v>HUANG Yu Kae 0</v>
      </c>
      <c r="E163" s="216" t="str">
        <f>CONCATENATE('u19 girls'!F164," ",'u19 girls'!G164)</f>
        <v>ZWANE Ziyanda ETK</v>
      </c>
      <c r="F163" s="567" t="str">
        <f>CONCATENATE('u15 boys'!F164," ",'u15 boys'!G164)</f>
        <v>BRECHER Rolf GN</v>
      </c>
      <c r="G163" s="216" t="str">
        <f>CONCATENATE('u15 girls'!F164," ",'u15 girls'!G164)</f>
        <v>PARBHOODEEN Tarika Amber UMG</v>
      </c>
      <c r="H163" s="796" t="str">
        <f>CONCATENATE('u13 boys'!F164," ",'u13 boys'!G164)</f>
        <v>Zayd HOOSEN JTTA</v>
      </c>
      <c r="I163" s="222" t="str">
        <f>CONCATENATE('u13 girls'!F161," ",'u13 girls'!G161)</f>
        <v>ALI Nuralhuda JTTA</v>
      </c>
      <c r="J163" s="137" t="str">
        <f>CONCATENATE('u11 boys'!F166," ",'u11 boys'!G166)</f>
        <v xml:space="preserve"> </v>
      </c>
      <c r="K163" s="216" t="str">
        <f>CONCATENATE('u11 girls'!F162," ",'u11 girls'!G162)</f>
        <v xml:space="preserve"> </v>
      </c>
    </row>
    <row r="164" spans="1:11" s="147" customFormat="1" ht="40" customHeight="1">
      <c r="A164" s="148">
        <f t="shared" si="2"/>
        <v>161</v>
      </c>
      <c r="B164" s="807" t="str">
        <f>CONCATENATE(Men!E164," ",Men!F164)</f>
        <v>SATHYANAND Sherwin ETTA</v>
      </c>
      <c r="C164" s="805" t="str">
        <f>CONCATENATE(Women!E165," ",Women!F165)</f>
        <v>GOLOGOLO Latita FS</v>
      </c>
      <c r="D164" s="137" t="str">
        <f>CONCATENATE('u19 boys'!F165," ",'u19 boys'!G165)</f>
        <v>ISMAIL Muzza JTTA</v>
      </c>
      <c r="E164" s="216" t="str">
        <f>CONCATENATE('u19 girls'!F165," ",'u19 girls'!G165)</f>
        <v>Tarini Pillay UMG</v>
      </c>
      <c r="F164" s="567" t="str">
        <f>CONCATENATE('u15 boys'!F165," ",'u15 boys'!G165)</f>
        <v>CHETTY Japhet Cayo ETTA</v>
      </c>
      <c r="G164" s="216" t="str">
        <f>CONCATENATE('u15 girls'!F165," ",'u15 girls'!G165)</f>
        <v>SWARTS Ledinia CW</v>
      </c>
      <c r="H164" s="796" t="str">
        <f>CONCATENATE('u13 boys'!F165," ",'u13 boys'!G165)</f>
        <v>PAUL Ishaan ETTA</v>
      </c>
      <c r="I164" s="222" t="str">
        <f>CONCATENATE('u13 girls'!F162," ",'u13 girls'!G162)</f>
        <v>Tamzin Human CW</v>
      </c>
      <c r="J164" s="137" t="str">
        <f>CONCATENATE('u11 boys'!F167," ",'u11 boys'!G167)</f>
        <v xml:space="preserve"> </v>
      </c>
      <c r="K164" s="216" t="str">
        <f>CONCATENATE('u11 girls'!F163," ",'u11 girls'!G163)</f>
        <v xml:space="preserve"> </v>
      </c>
    </row>
    <row r="165" spans="1:11" s="147" customFormat="1" ht="40" customHeight="1">
      <c r="A165" s="148">
        <f t="shared" si="2"/>
        <v>162</v>
      </c>
      <c r="B165" s="807" t="str">
        <f>CONCATENATE(Men!E165," ",Men!F165)</f>
        <v>CHAN Mubeen JTTA</v>
      </c>
      <c r="C165" s="805" t="str">
        <f>CONCATENATE(Women!E166," ",Women!F166)</f>
        <v>Serante Naipal UMG</v>
      </c>
      <c r="D165" s="137" t="str">
        <f>CONCATENATE('u19 boys'!F166," ",'u19 boys'!G166)</f>
        <v>RAZIYA Lihle EKU</v>
      </c>
      <c r="E165" s="216" t="str">
        <f>CONCATENATE('u19 girls'!F166," ",'u19 girls'!G166)</f>
        <v>Olwethu Njemla ETK</v>
      </c>
      <c r="F165" s="567" t="str">
        <f>CONCATENATE('u15 boys'!F166," ",'u15 boys'!G166)</f>
        <v>MKHONTWANA Simpiwe ETTA</v>
      </c>
      <c r="G165" s="216" t="str">
        <f>CONCATENATE('u15 girls'!F167," ",'u15 girls'!G167)</f>
        <v>MOJATAU Bokamoso FS</v>
      </c>
      <c r="H165" s="796" t="str">
        <f>CONCATENATE('u13 boys'!F166," ",'u13 boys'!G166)</f>
        <v>ALONSO Rajiah ETTA</v>
      </c>
      <c r="I165" s="222" t="str">
        <f>CONCATENATE('u13 girls'!F163," ",'u13 girls'!G163)</f>
        <v>SWARTS Ledinia CW</v>
      </c>
      <c r="J165" s="137" t="str">
        <f>CONCATENATE('u11 boys'!F168," ",'u11 boys'!G168)</f>
        <v xml:space="preserve"> </v>
      </c>
      <c r="K165" s="216" t="str">
        <f>CONCATENATE('u11 girls'!F164," ",'u11 girls'!G164)</f>
        <v xml:space="preserve"> </v>
      </c>
    </row>
    <row r="166" spans="1:11" s="147" customFormat="1" ht="40" customHeight="1">
      <c r="A166" s="148">
        <f t="shared" si="2"/>
        <v>163</v>
      </c>
      <c r="B166" s="807" t="str">
        <f>CONCATENATE(Men!E166," ",Men!F166)</f>
        <v>HAJEE Mubeen JTTA</v>
      </c>
      <c r="C166" s="805" t="str">
        <f>CONCATENATE(Women!E167," ",Women!F167)</f>
        <v>BAIJNATH Aditi UMG</v>
      </c>
      <c r="D166" s="137" t="str">
        <f>CONCATENATE('u19 boys'!F167," ",'u19 boys'!G167)</f>
        <v>SESEANE Bahumi FS</v>
      </c>
      <c r="E166" s="216" t="str">
        <f>CONCATENATE('u19 girls'!F167," ",'u19 girls'!G167)</f>
        <v>Carline RAUTENBACH GN</v>
      </c>
      <c r="F166" s="567" t="str">
        <f>CONCATENATE('u15 boys'!F167," ",'u15 boys'!G167)</f>
        <v>HANUMAN Aryan UMG</v>
      </c>
      <c r="G166" s="216" t="str">
        <f>CONCATENATE('u15 girls'!F168," ",'u15 girls'!G168)</f>
        <v>S Jameson  FS</v>
      </c>
      <c r="H166" s="796" t="str">
        <f>CONCATENATE('u13 boys'!F167," ",'u13 boys'!G167)</f>
        <v>PILLAY Joshua ETTA</v>
      </c>
      <c r="I166" s="222" t="str">
        <f>CONCATENATE('u13 girls'!F164," ",'u13 girls'!G164)</f>
        <v>Hassanah Arbee UMG</v>
      </c>
      <c r="J166" s="137" t="str">
        <f>CONCATENATE('u11 boys'!F169," ",'u11 boys'!G169)</f>
        <v xml:space="preserve"> </v>
      </c>
      <c r="K166" s="216" t="str">
        <f>CONCATENATE('u11 girls'!F165," ",'u11 girls'!G165)</f>
        <v xml:space="preserve"> </v>
      </c>
    </row>
    <row r="167" spans="1:11" s="147" customFormat="1" ht="40" customHeight="1">
      <c r="A167" s="148">
        <f t="shared" si="2"/>
        <v>164</v>
      </c>
      <c r="B167" s="807" t="str">
        <f>CONCATENATE(Men!E167," ",Men!F167)</f>
        <v>PILLAY Sishen UMG</v>
      </c>
      <c r="C167" s="805" t="str">
        <f>CONCATENATE(Women!E168," ",Women!F168)</f>
        <v>BAIJNATH Preeti UMG</v>
      </c>
      <c r="D167" s="137" t="str">
        <f>CONCATENATE('u19 boys'!F168," ",'u19 boys'!G168)</f>
        <v>BECHOO Elijah Raphael ETTA</v>
      </c>
      <c r="E167" s="216" t="str">
        <f>CONCATENATE('u19 girls'!F168," ",'u19 girls'!G168)</f>
        <v>PALESA Moeng  JTTA</v>
      </c>
      <c r="F167" s="567" t="str">
        <f>CONCATENATE('u15 boys'!F168," ",'u15 boys'!G168)</f>
        <v>ZULU Andiswa JTTA</v>
      </c>
      <c r="G167" s="216" t="str">
        <f>CONCATENATE('u15 girls'!F169," ",'u15 girls'!G169)</f>
        <v>B Motshabi  FS</v>
      </c>
      <c r="H167" s="796" t="str">
        <f>CONCATENATE('u13 boys'!F168," ",'u13 boys'!G168)</f>
        <v>Prencely Israel Gweru ZIM</v>
      </c>
      <c r="I167" s="222" t="str">
        <f>CONCATENATE('u13 girls'!F165," ",'u13 girls'!G165)</f>
        <v>R Ntombela  FS</v>
      </c>
      <c r="J167" s="137" t="str">
        <f>CONCATENATE('u11 boys'!F170," ",'u11 boys'!G170)</f>
        <v xml:space="preserve"> </v>
      </c>
      <c r="K167" s="216" t="str">
        <f>CONCATENATE('u11 girls'!F166," ",'u11 girls'!G166)</f>
        <v xml:space="preserve"> </v>
      </c>
    </row>
    <row r="168" spans="1:11" s="147" customFormat="1" ht="40" customHeight="1">
      <c r="A168" s="148">
        <f t="shared" si="2"/>
        <v>165</v>
      </c>
      <c r="B168" s="807" t="str">
        <f>CONCATENATE(Men!E168," ",Men!F168)</f>
        <v>MAFOO Tshepo  LIM</v>
      </c>
      <c r="C168" s="805" t="str">
        <f>CONCATENATE(Women!E169," ",Women!F169)</f>
        <v>HEERALAL Arya ETTA</v>
      </c>
      <c r="D168" s="137" t="str">
        <f>CONCATENATE('u19 boys'!F168," ",'u19 boys'!G168)</f>
        <v>BECHOO Elijah Raphael ETTA</v>
      </c>
      <c r="E168" s="216" t="str">
        <f>CONCATENATE('u19 girls'!F169," ",'u19 girls'!G169)</f>
        <v>SILOMA Nicole  JTTA</v>
      </c>
      <c r="F168" s="567" t="str">
        <f>CONCATENATE('u15 boys'!F169," ",'u15 boys'!G169)</f>
        <v>CEDRAS Sharief  CT</v>
      </c>
      <c r="G168" s="216" t="str">
        <f>CONCATENATE('u15 girls'!F170," ",'u15 girls'!G170)</f>
        <v>G Masopa  FS</v>
      </c>
      <c r="H168" s="796" t="str">
        <f>CONCATENATE('u13 boys'!F169," ",'u13 boys'!G169)</f>
        <v>Emmanuel Tichiwangani ZIM</v>
      </c>
      <c r="I168" s="222" t="str">
        <f>CONCATENATE('u13 girls'!F166," ",'u13 girls'!G166)</f>
        <v>O Mokoari  FS</v>
      </c>
      <c r="J168" s="137" t="str">
        <f>CONCATENATE('u11 boys'!F171," ",'u11 boys'!G171)</f>
        <v xml:space="preserve"> </v>
      </c>
      <c r="K168" s="216" t="str">
        <f>CONCATENATE('u11 girls'!F167," ",'u11 girls'!G167)</f>
        <v xml:space="preserve"> </v>
      </c>
    </row>
    <row r="169" spans="1:11" s="147" customFormat="1" ht="40" customHeight="1">
      <c r="A169" s="148">
        <f t="shared" si="2"/>
        <v>166</v>
      </c>
      <c r="B169" s="807" t="str">
        <f>CONCATENATE(Men!E169," ",Men!F169)</f>
        <v>LOMBARD Mario  CW</v>
      </c>
      <c r="C169" s="805" t="str">
        <f>CONCATENATE(Women!E170," ",Women!F170)</f>
        <v>MAHARAJ Sandhya  ETK</v>
      </c>
      <c r="D169" s="137" t="str">
        <f>CONCATENATE('u19 boys'!F170," ",'u19 boys'!G170)</f>
        <v>WILLIAMS Deveigon Eden</v>
      </c>
      <c r="E169" s="216" t="str">
        <f>CONCATENATE('u19 girls'!F170," ",'u19 girls'!G170)</f>
        <v>CASSIM Zahraa  JTTA</v>
      </c>
      <c r="F169" s="567" t="str">
        <f>CONCATENATE('u15 boys'!F170," ",'u15 boys'!G170)</f>
        <v>BEUKES Zian Eden</v>
      </c>
      <c r="G169" s="216" t="str">
        <f>CONCATENATE('u15 girls'!F171," ",'u15 girls'!G171)</f>
        <v>B Letsokodi  FS</v>
      </c>
      <c r="H169" s="796" t="str">
        <f>CONCATENATE('u13 boys'!F170," ",'u13 boys'!G170)</f>
        <v>PHUSHUDI Thatayaone DRKKTTA</v>
      </c>
      <c r="I169" s="222" t="str">
        <f>CONCATENATE('u13 girls'!F167," ",'u13 girls'!G167)</f>
        <v>T Mojonothoano  FS</v>
      </c>
      <c r="J169" s="137" t="str">
        <f>CONCATENATE('u11 boys'!F172," ",'u11 boys'!G172)</f>
        <v xml:space="preserve"> </v>
      </c>
      <c r="K169" s="216" t="str">
        <f>CONCATENATE('u11 girls'!F168," ",'u11 girls'!G168)</f>
        <v xml:space="preserve"> </v>
      </c>
    </row>
    <row r="170" spans="1:11" s="147" customFormat="1" ht="40" customHeight="1">
      <c r="A170" s="148">
        <f t="shared" si="2"/>
        <v>167</v>
      </c>
      <c r="B170" s="807" t="str">
        <f>CONCATENATE(Men!E170," ",Men!F170)</f>
        <v>REDDY Kogasan ETTA</v>
      </c>
      <c r="C170" s="805" t="str">
        <f>CONCATENATE(Women!E171," ",Women!F171)</f>
        <v>MBALENHLE Felicia GN</v>
      </c>
      <c r="D170" s="137" t="str">
        <f>CONCATENATE('u19 boys'!F171," ",'u19 boys'!G171)</f>
        <v>MAART Dominiqwin Eden</v>
      </c>
      <c r="E170" s="216" t="str">
        <f>CONCATENATE('u19 girls'!F171," ",'u19 girls'!G171)</f>
        <v>SUNDUZA Nonhlanhla  JTTA</v>
      </c>
      <c r="F170" s="567" t="str">
        <f>CONCATENATE('u15 boys'!F171," ",'u15 boys'!G171)</f>
        <v>MQENGE Nelokuhle ETTA</v>
      </c>
      <c r="G170" s="216" t="str">
        <f>CONCATENATE('u15 girls'!F172," ",'u15 girls'!G172)</f>
        <v>RANGATA Terriwoki JTTA</v>
      </c>
      <c r="H170" s="796" t="str">
        <f>CONCATENATE('u13 boys'!F171," ",'u13 boys'!G171)</f>
        <v>ZUMA Khwezi ETTA</v>
      </c>
      <c r="I170" s="222" t="str">
        <f>CONCATENATE('u13 girls'!F168," ",'u13 girls'!G168)</f>
        <v>B. Jones  FS</v>
      </c>
      <c r="J170" s="137" t="str">
        <f>CONCATENATE('u11 boys'!F173," ",'u11 boys'!G173)</f>
        <v xml:space="preserve"> </v>
      </c>
      <c r="K170" s="216" t="str">
        <f>CONCATENATE('u11 girls'!F169," ",'u11 girls'!G169)</f>
        <v xml:space="preserve"> </v>
      </c>
    </row>
    <row r="171" spans="1:11" s="147" customFormat="1" ht="40" customHeight="1">
      <c r="A171" s="148">
        <f t="shared" si="2"/>
        <v>168</v>
      </c>
      <c r="B171" s="807" t="str">
        <f>CONCATENATE(Men!E171," ",Men!F171)</f>
        <v>Opelo GUMBALUME BOT</v>
      </c>
      <c r="C171" s="805" t="str">
        <f>CONCATENATE(Women!E172," ",Women!F172)</f>
        <v>MOKOMELE Tsholofelo  NC</v>
      </c>
      <c r="D171" s="137" t="str">
        <f>CONCATENATE('u19 boys'!F172," ",'u19 boys'!G172)</f>
        <v>MAART Hulon Eden</v>
      </c>
      <c r="E171" s="216" t="str">
        <f>CONCATENATE('u19 girls'!F172," ",'u19 girls'!G172)</f>
        <v>RAUBENHEIMER Mereldiah NMB</v>
      </c>
      <c r="F171" s="567" t="str">
        <f>CONCATENATE('u15 boys'!F172," ",'u15 boys'!G172)</f>
        <v>BRINK Brendan 0</v>
      </c>
      <c r="G171" s="216" t="str">
        <f>CONCATENATE('u15 girls'!F173," ",'u15 girls'!G173)</f>
        <v>Thabeka NTSOLLOANE FS</v>
      </c>
      <c r="H171" s="796" t="str">
        <f>CONCATENATE('u13 boys'!F172," ",'u13 boys'!G172)</f>
        <v>MAICHOTLO Atlegang DRKKTTA</v>
      </c>
      <c r="I171" s="222" t="str">
        <f>CONCATENATE('u13 girls'!F169," ",'u13 girls'!G169)</f>
        <v>MDLULI Bonolo EKU</v>
      </c>
      <c r="J171" s="137" t="str">
        <f>CONCATENATE('u11 boys'!F174," ",'u11 boys'!G174)</f>
        <v xml:space="preserve"> </v>
      </c>
      <c r="K171" s="216" t="str">
        <f>CONCATENATE('u11 girls'!F170," ",'u11 girls'!G170)</f>
        <v xml:space="preserve"> </v>
      </c>
    </row>
    <row r="172" spans="1:11" s="147" customFormat="1" ht="40" customHeight="1">
      <c r="A172" s="148">
        <f t="shared" si="2"/>
        <v>169</v>
      </c>
      <c r="B172" s="807" t="str">
        <f>CONCATENATE(Men!E172," ",Men!F172)</f>
        <v>Tebogo Dlamini  FS</v>
      </c>
      <c r="C172" s="805" t="str">
        <f>CONCATENATE(Women!E173," ",Women!F173)</f>
        <v>MAHARAJ Prianna  UMG</v>
      </c>
      <c r="D172" s="137" t="str">
        <f>CONCATENATE('u19 boys'!F173," ",'u19 boys'!G173)</f>
        <v>MOOSA  Shiraaz FS</v>
      </c>
      <c r="E172" s="216" t="str">
        <f>CONCATENATE('u19 girls'!F173," ",'u19 girls'!G173)</f>
        <v>Tamzin Human CW</v>
      </c>
      <c r="F172" s="567" t="str">
        <f>CONCATENATE('u15 boys'!F173," ",'u15 boys'!G173)</f>
        <v>CARRASCO Ricardo FS</v>
      </c>
      <c r="G172" s="216" t="str">
        <f>CONCATENATE('u15 girls'!F174," ",'u15 girls'!G174)</f>
        <v>ABRAHAMS Zuri JTTA</v>
      </c>
      <c r="H172" s="796" t="str">
        <f>CONCATENATE('u13 boys'!F173," ",'u13 boys'!G173)</f>
        <v>RAMOCHEKI Dimpho LIM</v>
      </c>
      <c r="I172" s="222" t="str">
        <f>CONCATENATE('u13 girls'!F170," ",'u13 girls'!G170)</f>
        <v>SEOLA Relebohile  EKU</v>
      </c>
      <c r="J172" s="137" t="str">
        <f>CONCATENATE('u11 boys'!F175," ",'u11 boys'!G175)</f>
        <v xml:space="preserve"> </v>
      </c>
      <c r="K172" s="216" t="str">
        <f>CONCATENATE('u11 girls'!F171," ",'u11 girls'!G171)</f>
        <v xml:space="preserve"> </v>
      </c>
    </row>
    <row r="173" spans="1:11" s="147" customFormat="1" ht="40" customHeight="1">
      <c r="A173" s="148">
        <f t="shared" si="2"/>
        <v>170</v>
      </c>
      <c r="B173" s="807" t="str">
        <f>CONCATENATE(Men!E173," ",Men!F173)</f>
        <v>NAIDOO Ezra Timothy UMG</v>
      </c>
      <c r="C173" s="805" t="str">
        <f>CONCATENATE(Women!E174," ",Women!F174)</f>
        <v>PILLAY Judy CT</v>
      </c>
      <c r="D173" s="137" t="str">
        <f>CONCATENATE('u19 boys'!F174," ",'u19 boys'!G174)</f>
        <v>ABRAHAMS Yaaseen  EC</v>
      </c>
      <c r="E173" s="216" t="str">
        <f>CONCATENATE('u19 girls'!F174," ",'u19 girls'!G174)</f>
        <v>MOLELEKOA Bokang NC</v>
      </c>
      <c r="F173" s="567" t="str">
        <f>CONCATENATE('u15 boys'!F174," ",'u15 boys'!G174)</f>
        <v>RAMOLLO Mahlatse LIM</v>
      </c>
      <c r="G173" s="216" t="str">
        <f>CONCATENATE('u15 girls'!F175," ",'u15 girls'!G175)</f>
        <v>KHOSANA Khanyisile NC</v>
      </c>
      <c r="H173" s="796" t="str">
        <f>CONCATENATE('u13 boys'!F174," ",'u13 boys'!G174)</f>
        <v>NGOBESE Luyanda UMZ</v>
      </c>
      <c r="I173" s="222" t="str">
        <f>CONCATENATE('u13 girls'!F174," ",'u13 girls'!G174)</f>
        <v>SMITH Willow CT</v>
      </c>
      <c r="J173" s="137" t="str">
        <f>CONCATENATE('u11 boys'!F176," ",'u11 boys'!G176)</f>
        <v xml:space="preserve"> </v>
      </c>
      <c r="K173" s="216" t="str">
        <f>CONCATENATE('u11 girls'!F172," ",'u11 girls'!G172)</f>
        <v xml:space="preserve"> </v>
      </c>
    </row>
    <row r="174" spans="1:11" s="147" customFormat="1" ht="40" customHeight="1">
      <c r="A174" s="148">
        <f t="shared" si="2"/>
        <v>171</v>
      </c>
      <c r="B174" s="807" t="str">
        <f>CONCATENATE(Men!E174," ",Men!F174)</f>
        <v>DA SILVA Jose GN</v>
      </c>
      <c r="C174" s="805" t="str">
        <f>CONCATENATE(Women!E175," ",Women!F175)</f>
        <v>ALEXANDER Jada CT</v>
      </c>
      <c r="D174" s="137" t="str">
        <f>CONCATENATE('u19 boys'!F175," ",'u19 boys'!G175)</f>
        <v>KHOZA Sipho  EKR</v>
      </c>
      <c r="E174" s="216" t="str">
        <f>CONCATENATE('u19 girls'!F175," ",'u19 girls'!G175)</f>
        <v>BARNARD Martelize 0</v>
      </c>
      <c r="F174" s="567" t="str">
        <f>CONCATENATE('u15 boys'!F175," ",'u15 boys'!G175)</f>
        <v>COETZEE Shadrian WC</v>
      </c>
      <c r="G174" s="216" t="str">
        <f>CONCATENATE('u15 girls'!F176," ",'u15 girls'!G176)</f>
        <v>DEDZA Kimberly CT</v>
      </c>
      <c r="H174" s="796" t="str">
        <f>CONCATENATE('u13 boys'!F175," ",'u13 boys'!G175)</f>
        <v>ZAR Benjamin JTTA</v>
      </c>
      <c r="I174" s="222" t="str">
        <f>CONCATENATE('u13 girls'!F175," ",'u13 girls'!G175)</f>
        <v>RAJCOOMAR Sairah  UMG</v>
      </c>
      <c r="J174" s="137" t="str">
        <f>CONCATENATE('u11 boys'!F177," ",'u11 boys'!G177)</f>
        <v xml:space="preserve"> </v>
      </c>
      <c r="K174" s="216" t="str">
        <f>CONCATENATE('u11 girls'!F173," ",'u11 girls'!G173)</f>
        <v xml:space="preserve"> </v>
      </c>
    </row>
    <row r="175" spans="1:11" s="147" customFormat="1" ht="40" customHeight="1">
      <c r="A175" s="148">
        <f t="shared" si="2"/>
        <v>172</v>
      </c>
      <c r="B175" s="807" t="str">
        <f>CONCATENATE(Men!E175," ",Men!F175)</f>
        <v>NAIKER Cliffy UMG</v>
      </c>
      <c r="C175" s="805" t="str">
        <f>CONCATENATE(Women!E176," ",Women!F176)</f>
        <v>EBERHARDT Kayla NMB</v>
      </c>
      <c r="D175" s="137" t="str">
        <f>CONCATENATE('u19 boys'!F176," ",'u19 boys'!G176)</f>
        <v>KUBAYI Xihlobo LIM</v>
      </c>
      <c r="E175" s="216" t="str">
        <f>CONCATENATE('u19 girls'!F176," ",'u19 girls'!G176)</f>
        <v>DEAIR Yasmin UMG</v>
      </c>
      <c r="F175" s="567" t="str">
        <f>CONCATENATE('u15 boys'!F176," ",'u15 boys'!G176)</f>
        <v>MDLADLA Sibonga UTH</v>
      </c>
      <c r="G175" s="216" t="str">
        <f>CONCATENATE('u15 girls'!F177," ",'u15 girls'!G177)</f>
        <v>HECHTER Natalie JTTA</v>
      </c>
      <c r="H175" s="796" t="str">
        <f>CONCATENATE('u13 boys'!F176," ",'u13 boys'!G176)</f>
        <v>DAWES Harry  CT</v>
      </c>
      <c r="I175" s="222" t="str">
        <f>CONCATENATE('u13 girls'!F176," ",'u13 girls'!G176)</f>
        <v>RADEBE Onalerona FS</v>
      </c>
      <c r="J175" s="137" t="str">
        <f>CONCATENATE('u11 boys'!F178," ",'u11 boys'!G178)</f>
        <v xml:space="preserve"> </v>
      </c>
      <c r="K175" s="216" t="str">
        <f>CONCATENATE('u11 girls'!F174," ",'u11 girls'!G174)</f>
        <v xml:space="preserve"> </v>
      </c>
    </row>
    <row r="176" spans="1:11" s="147" customFormat="1" ht="40" customHeight="1">
      <c r="A176" s="148">
        <f t="shared" si="2"/>
        <v>173</v>
      </c>
      <c r="B176" s="807" t="str">
        <f>CONCATENATE(Men!E176," ",Men!F176)</f>
        <v>MBAMBASE Mpilo ETTA</v>
      </c>
      <c r="C176" s="805" t="str">
        <f>CONCATENATE(Women!E177," ",Women!F177)</f>
        <v>LINA Marinova 0</v>
      </c>
      <c r="D176" s="137" t="str">
        <f>CONCATENATE('u19 boys'!F177," ",'u19 boys'!G177)</f>
        <v>MADONYELA Azola EC</v>
      </c>
      <c r="E176" s="216"/>
      <c r="F176" s="567" t="str">
        <f>CONCATENATE('u15 boys'!F177," ",'u15 boys'!G177)</f>
        <v>POTGIETER Markus 0</v>
      </c>
      <c r="G176" s="216" t="str">
        <f>CONCATENATE('u15 girls'!F178," ",'u15 girls'!G178)</f>
        <v>LETSABA Oratile EKU</v>
      </c>
      <c r="H176" s="796" t="str">
        <f>CONCATENATE('u13 boys'!F177," ",'u13 boys'!G177)</f>
        <v>WAGIET Jihad CT</v>
      </c>
      <c r="I176" s="222" t="str">
        <f>CONCATENATE('u13 girls'!F177," ",'u13 girls'!G177)</f>
        <v>DE KLERK Amore WC</v>
      </c>
      <c r="J176" s="137" t="str">
        <f>CONCATENATE('u11 boys'!F179," ",'u11 boys'!G179)</f>
        <v xml:space="preserve"> </v>
      </c>
      <c r="K176" s="216" t="str">
        <f>CONCATENATE('u11 girls'!F175," ",'u11 girls'!G175)</f>
        <v xml:space="preserve"> </v>
      </c>
    </row>
    <row r="177" spans="1:11" s="147" customFormat="1" ht="40" customHeight="1">
      <c r="A177" s="148">
        <f t="shared" si="2"/>
        <v>174</v>
      </c>
      <c r="B177" s="807" t="str">
        <f>CONCATENATE(Men!E177," ",Men!F177)</f>
        <v>ADAMS Thabiet  SAVETTS</v>
      </c>
      <c r="C177" s="805" t="str">
        <f>CONCATENATE(Women!E178," ",Women!F178)</f>
        <v>LUNGU Omega 0</v>
      </c>
      <c r="D177" s="137" t="str">
        <f>CONCATENATE('u19 boys'!F178," ",'u19 boys'!G178)</f>
        <v>PETERSEN Jay Jay CT</v>
      </c>
      <c r="E177" s="216"/>
      <c r="F177" s="567" t="str">
        <f>CONCATENATE('u15 boys'!F178," ",'u15 boys'!G178)</f>
        <v>SEUTLWALI Kamohelo FS</v>
      </c>
      <c r="G177" s="216" t="str">
        <f>CONCATENATE('u15 girls'!F179," ",'u15 girls'!G179)</f>
        <v>Annika STANDER GN</v>
      </c>
      <c r="H177" s="796" t="str">
        <f>CONCATENATE('u13 boys'!F178," ",'u13 boys'!G178)</f>
        <v>NAIDOO Thirushan UMG</v>
      </c>
      <c r="I177" s="222" t="str">
        <f>CONCATENATE('u13 girls'!F178," ",'u13 girls'!G178)</f>
        <v>NAROTAM Sajal 0</v>
      </c>
      <c r="J177" s="137" t="str">
        <f>CONCATENATE('u11 boys'!F180," ",'u11 boys'!G180)</f>
        <v xml:space="preserve"> </v>
      </c>
      <c r="K177" s="216" t="str">
        <f>CONCATENATE('u11 girls'!F176," ",'u11 girls'!G176)</f>
        <v xml:space="preserve"> </v>
      </c>
    </row>
    <row r="178" spans="1:11" s="147" customFormat="1" ht="40" customHeight="1">
      <c r="A178" s="148">
        <f t="shared" si="2"/>
        <v>175</v>
      </c>
      <c r="B178" s="807" t="str">
        <f>CONCATENATE(Men!E178," ",Men!F178)</f>
        <v>SEPTEMBER Stephen CW</v>
      </c>
      <c r="C178" s="805" t="str">
        <f>CONCATENATE(Women!E179," ",Women!F179)</f>
        <v>MOKHOBO Bonolo  0</v>
      </c>
      <c r="D178" s="137" t="str">
        <f>CONCATENATE('u19 boys'!F179," ",'u19 boys'!G179)</f>
        <v>KOTOPO Tebogo BOT</v>
      </c>
      <c r="E178" s="216"/>
      <c r="F178" s="567" t="str">
        <f>CONCATENATE('u15 boys'!F179," ",'u15 boys'!G179)</f>
        <v>ALI Uwys JTTA</v>
      </c>
      <c r="G178" s="216" t="str">
        <f>CONCATENATE('u15 girls'!F180," ",'u15 girls'!G180)</f>
        <v>MOHANLAL Narisha UMG</v>
      </c>
      <c r="H178" s="796" t="str">
        <f>CONCATENATE('u13 boys'!F179," ",'u13 boys'!G179)</f>
        <v>ALI Uwys JTTA</v>
      </c>
      <c r="I178" s="222" t="str">
        <f>CONCATENATE('u13 girls'!F179," ",'u13 girls'!G179)</f>
        <v>FISHER Tamsyn UMG</v>
      </c>
      <c r="J178" s="137" t="str">
        <f>CONCATENATE('u11 boys'!F181," ",'u11 boys'!G181)</f>
        <v xml:space="preserve"> </v>
      </c>
      <c r="K178" s="216" t="str">
        <f>CONCATENATE('u11 girls'!F177," ",'u11 girls'!G177)</f>
        <v xml:space="preserve"> </v>
      </c>
    </row>
    <row r="179" spans="1:11" s="147" customFormat="1" ht="40" customHeight="1">
      <c r="A179" s="148">
        <f t="shared" si="2"/>
        <v>176</v>
      </c>
      <c r="B179" s="807" t="str">
        <f>CONCATENATE(Men!E179," ",Men!F179)</f>
        <v>SMIT Logan GN</v>
      </c>
      <c r="C179" s="805" t="str">
        <f>CONCATENATE(Women!E180," ",Women!F180)</f>
        <v>MUTONKOLE Banze WC</v>
      </c>
      <c r="D179" s="137" t="str">
        <f>CONCATENATE('u19 boys'!F180," ",'u19 boys'!G180)</f>
        <v>MEYER Shane CT</v>
      </c>
      <c r="E179" s="216"/>
      <c r="F179" s="567" t="str">
        <f>CONCATENATE('u15 boys'!F180," ",'u15 boys'!G180)</f>
        <v>JACOBS Evan JTTA</v>
      </c>
      <c r="G179" s="216" t="str">
        <f>CONCATENATE('u15 girls'!F181," ",'u15 girls'!G181)</f>
        <v>RAJCOOMAR Sairah  UMG</v>
      </c>
      <c r="H179" s="796" t="str">
        <f>CONCATENATE('u13 boys'!F180," ",'u13 boys'!G180)</f>
        <v>NGCOBO  Awonke   UMZ</v>
      </c>
      <c r="I179" s="222" t="str">
        <f>CONCATENATE('u13 girls'!F180," ",'u13 girls'!G180)</f>
        <v>NAIDOO Sonali UMG</v>
      </c>
      <c r="J179" s="137" t="str">
        <f>CONCATENATE('u11 boys'!F182," ",'u11 boys'!G182)</f>
        <v xml:space="preserve"> </v>
      </c>
      <c r="K179" s="216" t="str">
        <f>CONCATENATE('u11 girls'!F178," ",'u11 girls'!G178)</f>
        <v xml:space="preserve"> </v>
      </c>
    </row>
    <row r="180" spans="1:11" s="147" customFormat="1" ht="40" customHeight="1">
      <c r="A180" s="148">
        <f t="shared" si="2"/>
        <v>177</v>
      </c>
      <c r="B180" s="807" t="str">
        <f>CONCATENATE(Men!E180," ",Men!F180)</f>
        <v>LINGEVELDT Keagan CT</v>
      </c>
      <c r="C180" s="805" t="str">
        <f>CONCATENATE(Women!E181," ",Women!F181)</f>
        <v>YANE Tshegofatso  NW</v>
      </c>
      <c r="D180" s="137" t="str">
        <f>CONCATENATE('u19 boys'!F181," ",'u19 boys'!G181)</f>
        <v>THWALA Slyabonga UMZ</v>
      </c>
      <c r="E180" s="216"/>
      <c r="F180" s="567" t="str">
        <f>CONCATENATE('u15 boys'!F181," ",'u15 boys'!G181)</f>
        <v>HARIDASS Omkar UMG</v>
      </c>
      <c r="G180" s="216" t="str">
        <f>CONCATENATE('u15 girls'!F182," ",'u15 girls'!G182)</f>
        <v>ESACK Shazia CT</v>
      </c>
      <c r="H180" s="796" t="str">
        <f>CONCATENATE('u13 boys'!F181," ",'u13 boys'!G181)</f>
        <v>MASIMULA  Sibongwa   UMZ</v>
      </c>
      <c r="I180" s="222" t="str">
        <f>CONCATENATE('u13 girls'!F181," ",'u13 girls'!G181)</f>
        <v>MARION Keren UMG</v>
      </c>
      <c r="J180" s="137" t="str">
        <f>CONCATENATE('u11 boys'!F183," ",'u11 boys'!G183)</f>
        <v xml:space="preserve"> </v>
      </c>
      <c r="K180" s="216" t="str">
        <f>CONCATENATE('u11 girls'!F179," ",'u11 girls'!G179)</f>
        <v xml:space="preserve"> </v>
      </c>
    </row>
    <row r="181" spans="1:11" s="147" customFormat="1" ht="40" customHeight="1">
      <c r="A181" s="148">
        <f t="shared" si="2"/>
        <v>178</v>
      </c>
      <c r="B181" s="807" t="str">
        <f>CONCATENATE(Men!E181," ",Men!F181)</f>
        <v>RUDIMULDU Wesley  CT</v>
      </c>
      <c r="C181" s="805" t="str">
        <f>CONCATENATE(Women!E182," ",Women!F182)</f>
        <v>JASSIEM Jamiela  CT</v>
      </c>
      <c r="D181" s="137" t="str">
        <f>CONCATENATE('u19 boys'!F182," ",'u19 boys'!G182)</f>
        <v>KHABELA Katlego DRRSMTTA</v>
      </c>
      <c r="E181" s="216"/>
      <c r="F181" s="567" t="str">
        <f>CONCATENATE('u15 boys'!F182," ",'u15 boys'!G182)</f>
        <v>NAIDOO Keane Dane ETTA</v>
      </c>
      <c r="G181" s="216" t="str">
        <f>CONCATENATE('u15 girls'!F183," ",'u15 girls'!G183)</f>
        <v>DE KLERK Amore WC</v>
      </c>
      <c r="H181" s="796" t="str">
        <f>CONCATENATE('u13 boys'!F182," ",'u13 boys'!G182)</f>
        <v>VISSER Schalk CW</v>
      </c>
      <c r="I181" s="222" t="str">
        <f>CONCATENATE('u13 girls'!F182," ",'u13 girls'!G182)</f>
        <v>MOTAKE Mara FS</v>
      </c>
      <c r="J181" s="137" t="str">
        <f>CONCATENATE('u11 boys'!F184," ",'u11 boys'!G184)</f>
        <v xml:space="preserve"> </v>
      </c>
      <c r="K181" s="216" t="str">
        <f>CONCATENATE('u11 girls'!F180," ",'u11 girls'!G180)</f>
        <v xml:space="preserve"> </v>
      </c>
    </row>
    <row r="182" spans="1:11" s="147" customFormat="1" ht="40" customHeight="1">
      <c r="A182" s="148">
        <f t="shared" si="2"/>
        <v>179</v>
      </c>
      <c r="B182" s="807" t="str">
        <f>CONCATENATE(Men!E182," ",Men!F182)</f>
        <v>PIETERSE Thys  FS</v>
      </c>
      <c r="C182" s="805" t="str">
        <f>CONCATENATE(Women!E183," ",Women!F183)</f>
        <v>DOLLIE Nadia UMG</v>
      </c>
      <c r="D182" s="137" t="str">
        <f>CONCATENATE('u19 boys'!F183," ",'u19 boys'!G183)</f>
        <v>TEMA Tebogo David LIM</v>
      </c>
      <c r="E182" s="216"/>
      <c r="F182" s="567" t="str">
        <f>CONCATENATE('u15 boys'!F183," ",'u15 boys'!G183)</f>
        <v>SESEANE Bahumi FS</v>
      </c>
      <c r="G182" s="216" t="str">
        <f>CONCATENATE('u15 girls'!F184," ",'u15 girls'!G184)</f>
        <v>MATHABATHE Tshiamo 0</v>
      </c>
      <c r="H182" s="796" t="str">
        <f>CONCATENATE('u13 boys'!F183," ",'u13 boys'!G183)</f>
        <v>OBAKENG Senye  NWP</v>
      </c>
      <c r="I182" s="222" t="str">
        <f>CONCATENATE('u13 girls'!F183," ",'u13 girls'!G183)</f>
        <v>MOSOLENG Lebohang FS</v>
      </c>
      <c r="J182" s="137" t="str">
        <f>CONCATENATE('u11 boys'!F185," ",'u11 boys'!G185)</f>
        <v xml:space="preserve"> </v>
      </c>
      <c r="K182" s="216" t="str">
        <f>CONCATENATE('u11 girls'!F181," ",'u11 girls'!G181)</f>
        <v xml:space="preserve"> </v>
      </c>
    </row>
    <row r="183" spans="1:11" s="147" customFormat="1" ht="40" customHeight="1">
      <c r="A183" s="148">
        <f t="shared" si="2"/>
        <v>180</v>
      </c>
      <c r="B183" s="807" t="str">
        <f>CONCATENATE(Men!E183," ",Men!F183)</f>
        <v>ALEXANDER Dale  CW</v>
      </c>
      <c r="C183" s="805" t="str">
        <f>CONCATENATE(Women!E184," ",Women!F184)</f>
        <v xml:space="preserve"> NKONE Grace NW </v>
      </c>
      <c r="D183" s="137" t="str">
        <f>CONCATENATE('u19 boys'!F184," ",'u19 boys'!G184)</f>
        <v>LEWUS Liav JTTA</v>
      </c>
      <c r="E183" s="216"/>
      <c r="F183" s="567" t="str">
        <f>CONCATENATE('u15 boys'!F184," ",'u15 boys'!G184)</f>
        <v>BHUNDOO Aryik UMG</v>
      </c>
      <c r="G183" s="216" t="str">
        <f>CONCATENATE('u15 girls'!F185," ",'u15 girls'!G185)</f>
        <v>GOVENDER Kirsten  UMG</v>
      </c>
      <c r="H183" s="796" t="str">
        <f>CONCATENATE('u13 boys'!F184," ",'u13 boys'!G184)</f>
        <v>NAIDOO Daniel ETTA</v>
      </c>
      <c r="I183" s="222" t="str">
        <f>CONCATENATE('u13 girls'!F184," ",'u13 girls'!G184)</f>
        <v>RALEI Nthabiseng LES</v>
      </c>
      <c r="J183" s="137" t="str">
        <f>CONCATENATE('u11 boys'!F186," ",'u11 boys'!G186)</f>
        <v xml:space="preserve"> </v>
      </c>
      <c r="K183" s="216" t="str">
        <f>CONCATENATE('u11 girls'!F182," ",'u11 girls'!G182)</f>
        <v xml:space="preserve"> </v>
      </c>
    </row>
    <row r="184" spans="1:11" s="147" customFormat="1" ht="40" customHeight="1">
      <c r="A184" s="148">
        <f t="shared" si="2"/>
        <v>181</v>
      </c>
      <c r="B184" s="807" t="str">
        <f>CONCATENATE(Men!E184," ",Men!F184)</f>
        <v>PETEREN Jerome CW</v>
      </c>
      <c r="C184" s="805" t="str">
        <f>CONCATENATE(Women!E185," ",Women!F185)</f>
        <v>BUFFEL V N SANDF</v>
      </c>
      <c r="D184" s="137" t="str">
        <f>CONCATENATE('u19 boys'!F185," ",'u19 boys'!G185)</f>
        <v>KAVONICH Levi JTTA</v>
      </c>
      <c r="E184" s="216"/>
      <c r="F184" s="567" t="str">
        <f>CONCATENATE('u15 boys'!F185," ",'u15 boys'!G185)</f>
        <v>DA SILVA Michael JTTA</v>
      </c>
      <c r="G184" s="216" t="str">
        <f>CONCATENATE('u15 girls'!F186," ",'u15 girls'!G186)</f>
        <v>KOMETSI Khauhelo FS</v>
      </c>
      <c r="H184" s="796" t="str">
        <f>CONCATENATE('u13 boys'!F185," ",'u13 boys'!G185)</f>
        <v>MDLADLA Sibonga UTH</v>
      </c>
      <c r="I184" s="222" t="str">
        <f>CONCATENATE('u13 girls'!F185," ",'u13 girls'!G185)</f>
        <v>MAPHUZA Tshwarelo FS</v>
      </c>
      <c r="J184" s="137" t="str">
        <f>CONCATENATE('u11 boys'!F187," ",'u11 boys'!G187)</f>
        <v xml:space="preserve"> </v>
      </c>
      <c r="K184" s="216" t="str">
        <f>CONCATENATE('u11 girls'!F183," ",'u11 girls'!G183)</f>
        <v xml:space="preserve"> </v>
      </c>
    </row>
    <row r="185" spans="1:11" s="147" customFormat="1" ht="40" customHeight="1">
      <c r="A185" s="148">
        <f t="shared" si="2"/>
        <v>182</v>
      </c>
      <c r="B185" s="807" t="str">
        <f>CONCATENATE(Men!E185," ",Men!F185)</f>
        <v>CILLIERS Jarrod GN</v>
      </c>
      <c r="C185" s="805" t="str">
        <f>CONCATENATE(Women!E186," ",Women!F186)</f>
        <v>BURIJNS Melanie NMB</v>
      </c>
      <c r="D185" s="137" t="str">
        <f>CONCATENATE('u19 boys'!F186," ",'u19 boys'!G186)</f>
        <v>SIEFF Daniel JTTA</v>
      </c>
      <c r="E185" s="216"/>
      <c r="F185" s="567" t="str">
        <f>CONCATENATE('u15 boys'!F186," ",'u15 boys'!G186)</f>
        <v>ALLY Sa'ad JTTA</v>
      </c>
      <c r="G185" s="216" t="str">
        <f>CONCATENATE('u15 girls'!F187," ",'u15 girls'!G187)</f>
        <v>FOURIE Daleen FS</v>
      </c>
      <c r="H185" s="796" t="str">
        <f>CONCATENATE('u13 boys'!F186," ",'u13 boys'!G186)</f>
        <v>NGCEMBELE Asibone EC</v>
      </c>
      <c r="I185" s="222" t="str">
        <f>CONCATENATE('u13 girls'!F186," ",'u13 girls'!G186)</f>
        <v>CHAKOSE Lesedi FS</v>
      </c>
      <c r="J185" s="137" t="str">
        <f>CONCATENATE('u11 boys'!F188," ",'u11 boys'!G188)</f>
        <v xml:space="preserve"> </v>
      </c>
      <c r="K185" s="216" t="str">
        <f>CONCATENATE('u11 girls'!F184," ",'u11 girls'!G184)</f>
        <v xml:space="preserve"> </v>
      </c>
    </row>
    <row r="186" spans="1:11" s="147" customFormat="1" ht="40" customHeight="1">
      <c r="A186" s="148">
        <f t="shared" si="2"/>
        <v>183</v>
      </c>
      <c r="B186" s="807" t="str">
        <f>CONCATENATE(Men!E186," ",Men!F186)</f>
        <v>BHUNDOO Aryik UMG</v>
      </c>
      <c r="C186" s="805" t="str">
        <f>CONCATENATE(Women!E187," ",Women!F187)</f>
        <v>Emmah LELATISITSWE BOT</v>
      </c>
      <c r="D186" s="137" t="str">
        <f>CONCATENATE('u19 boys'!F187," ",'u19 boys'!G187)</f>
        <v>NAIDOO Kyan UMG</v>
      </c>
      <c r="E186" s="216"/>
      <c r="F186" s="567" t="str">
        <f>CONCATENATE('u15 boys'!F187," ",'u15 boys'!G187)</f>
        <v>SUBAN Muawiyah JTTA</v>
      </c>
      <c r="G186" s="216" t="str">
        <f>CONCATENATE('u15 girls'!F188," ",'u15 girls'!G188)</f>
        <v>KOKETSO Gaba FS</v>
      </c>
      <c r="H186" s="796" t="str">
        <f>CONCATENATE('u13 boys'!F187," ",'u13 boys'!G187)</f>
        <v>HOFSTA Luke CW</v>
      </c>
      <c r="I186" s="216" t="str">
        <f>CONCATENATE('u13 girls'!F170," ",'u13 girls'!G170)</f>
        <v>SEOLA Relebohile  EKU</v>
      </c>
      <c r="J186" s="137" t="str">
        <f>CONCATENATE('u11 boys'!F189," ",'u11 boys'!G189)</f>
        <v xml:space="preserve"> </v>
      </c>
      <c r="K186" s="216" t="str">
        <f>CONCATENATE('u11 girls'!F185," ",'u11 girls'!G185)</f>
        <v xml:space="preserve"> </v>
      </c>
    </row>
    <row r="187" spans="1:11" s="147" customFormat="1" ht="40" customHeight="1">
      <c r="A187" s="148">
        <f t="shared" si="2"/>
        <v>184</v>
      </c>
      <c r="B187" s="807" t="str">
        <f>CONCATENATE(Men!E187," ",Men!F187)</f>
        <v>YAGHYA Refai  CT</v>
      </c>
      <c r="C187" s="805" t="str">
        <f>CONCATENATE(Women!E188," ",Women!F188)</f>
        <v>HOFFMAN Jae-Leigh Eden</v>
      </c>
      <c r="D187" s="137" t="str">
        <f>CONCATENATE('u19 boys'!F188," ",'u19 boys'!G188)</f>
        <v>ROMAN Kgothatso NWP</v>
      </c>
      <c r="E187" s="216"/>
      <c r="F187" s="567" t="str">
        <f>CONCATENATE('u15 boys'!F188," ",'u15 boys'!G188)</f>
        <v>Mehul Ajay Morar JTTA</v>
      </c>
      <c r="G187" s="216" t="str">
        <f>CONCATENATE('u15 girls'!F189," ",'u15 girls'!G189)</f>
        <v>TSHANE T NW</v>
      </c>
      <c r="H187" s="796" t="str">
        <f>CONCATENATE('u13 boys'!F188," ",'u13 boys'!G188)</f>
        <v>SEEGERS Shiloh  CT</v>
      </c>
      <c r="I187" s="216" t="str">
        <f>CONCATENATE('u13 girls'!F174," ",'u13 girls'!G174)</f>
        <v>SMITH Willow CT</v>
      </c>
      <c r="J187" s="137" t="str">
        <f>CONCATENATE('u11 boys'!F190," ",'u11 boys'!G190)</f>
        <v xml:space="preserve"> </v>
      </c>
      <c r="K187" s="216" t="str">
        <f>CONCATENATE('u11 girls'!F186," ",'u11 girls'!G186)</f>
        <v xml:space="preserve"> </v>
      </c>
    </row>
    <row r="188" spans="1:11" s="147" customFormat="1" ht="40" customHeight="1">
      <c r="A188" s="148">
        <f t="shared" si="2"/>
        <v>185</v>
      </c>
      <c r="B188" s="807" t="str">
        <f>CONCATENATE(Men!E188," ",Men!F188)</f>
        <v>CARRASCO Ricardo FS</v>
      </c>
      <c r="C188" s="805" t="str">
        <f>CONCATENATE(Women!E189," ",Women!F189)</f>
        <v>JEPHTA Chante CW</v>
      </c>
      <c r="D188" s="137" t="str">
        <f>CONCATENATE('u19 boys'!F189," ",'u19 boys'!G189)</f>
        <v>ALLY Sa'ad JTTA</v>
      </c>
      <c r="E188" s="216"/>
      <c r="F188" s="567" t="str">
        <f>CONCATENATE('u15 boys'!F189," ",'u15 boys'!G189)</f>
        <v>Mohnish JTTA</v>
      </c>
      <c r="G188" s="216" t="str">
        <f>CONCATENATE('u15 girls'!F190," ",'u15 girls'!G190)</f>
        <v>Thandolwethu TSHAWE EKU</v>
      </c>
      <c r="H188" s="796" t="str">
        <f>CONCATENATE('u13 boys'!F189," ",'u13 boys'!G189)</f>
        <v>JOSEPH Michael CT</v>
      </c>
      <c r="I188" s="216" t="str">
        <f>CONCATENATE('u13 girls'!F175," ",'u13 girls'!G175)</f>
        <v>RAJCOOMAR Sairah  UMG</v>
      </c>
      <c r="J188" s="137" t="str">
        <f>CONCATENATE('u11 boys'!F191," ",'u11 boys'!G191)</f>
        <v xml:space="preserve"> </v>
      </c>
      <c r="K188" s="216" t="str">
        <f>CONCATENATE('u11 girls'!F187," ",'u11 girls'!G187)</f>
        <v xml:space="preserve"> </v>
      </c>
    </row>
    <row r="189" spans="1:11" s="147" customFormat="1" ht="40" customHeight="1">
      <c r="A189" s="148">
        <f t="shared" si="2"/>
        <v>186</v>
      </c>
      <c r="B189" s="807" t="str">
        <f>CONCATENATE(Men!E189," ",Men!F189)</f>
        <v>OSOBA Abbey  JTTA</v>
      </c>
      <c r="C189" s="805" t="str">
        <f>CONCATENATE(Women!E190," ",Women!F190)</f>
        <v>MABASO Nokubonga  FS</v>
      </c>
      <c r="D189" s="137" t="str">
        <f>CONCATENATE('u19 boys'!F190," ",'u19 boys'!G190)</f>
        <v>KAYSER Marquin Eden</v>
      </c>
      <c r="E189" s="216"/>
      <c r="F189" s="567" t="str">
        <f>CONCATENATE('u15 boys'!F190," ",'u15 boys'!G190)</f>
        <v>LAS Davian Eden</v>
      </c>
      <c r="G189" s="216" t="str">
        <f>CONCATENATE('u15 girls'!F192," ",'u15 girls'!G192)</f>
        <v>NKOBANG Lindela NC</v>
      </c>
      <c r="H189" s="796" t="str">
        <f>CONCATENATE('u13 boys'!F190," ",'u13 boys'!G190)</f>
        <v>VAN ROOY Moray CT</v>
      </c>
      <c r="I189" s="216" t="str">
        <f>CONCATENATE('u13 girls'!F176," ",'u13 girls'!G176)</f>
        <v>RADEBE Onalerona FS</v>
      </c>
      <c r="J189" s="137" t="str">
        <f>CONCATENATE('u11 boys'!F192," ",'u11 boys'!G192)</f>
        <v xml:space="preserve"> </v>
      </c>
      <c r="K189" s="216" t="str">
        <f>CONCATENATE('u11 girls'!F188," ",'u11 girls'!G188)</f>
        <v xml:space="preserve"> </v>
      </c>
    </row>
    <row r="190" spans="1:11" s="147" customFormat="1" ht="40" customHeight="1">
      <c r="A190" s="148">
        <f t="shared" si="2"/>
        <v>187</v>
      </c>
      <c r="B190" s="807" t="str">
        <f>CONCATENATE(Men!E190," ",Men!F190)</f>
        <v>KUNANE Itumaleng  FS</v>
      </c>
      <c r="C190" s="805" t="str">
        <f>CONCATENATE(Women!E191," ",Women!F191)</f>
        <v>MALAMATSE Rebeca SANDF</v>
      </c>
      <c r="D190" s="137" t="str">
        <f>CONCATENATE('u19 boys'!F191," ",'u19 boys'!G191)</f>
        <v>Caywyn Sevalingam JTTA</v>
      </c>
      <c r="E190" s="216"/>
      <c r="F190" s="567" t="str">
        <f>CONCATENATE('u15 boys'!F191," ",'u15 boys'!G191)</f>
        <v>DITHEJANE Thato NWP</v>
      </c>
      <c r="G190" s="216" t="str">
        <f>CONCATENATE('u15 girls'!F193," ",'u15 girls'!G193)</f>
        <v>Laaibah KHAN UMZ</v>
      </c>
      <c r="H190" s="796" t="str">
        <f>CONCATENATE('u13 boys'!F191," ",'u13 boys'!G191)</f>
        <v>TEMA Tebogo David LIM</v>
      </c>
      <c r="I190" s="216" t="str">
        <f>CONCATENATE('u13 girls'!F177," ",'u13 girls'!G177)</f>
        <v>DE KLERK Amore WC</v>
      </c>
      <c r="J190" s="137" t="str">
        <f>CONCATENATE('u11 boys'!F193," ",'u11 boys'!G193)</f>
        <v xml:space="preserve"> </v>
      </c>
      <c r="K190" s="216" t="str">
        <f>CONCATENATE('u11 girls'!F189," ",'u11 girls'!G189)</f>
        <v xml:space="preserve"> </v>
      </c>
    </row>
    <row r="191" spans="1:11" s="147" customFormat="1" ht="40" customHeight="1">
      <c r="A191" s="148">
        <f t="shared" si="2"/>
        <v>188</v>
      </c>
      <c r="B191" s="807" t="str">
        <f>CONCATENATE(Men!E191," ",Men!F191)</f>
        <v>ISAACS Moeneeb  CT</v>
      </c>
      <c r="C191" s="805" t="str">
        <f>CONCATENATE(Women!E192," ",Women!F192)</f>
        <v>MASHA Reshoketswe LIM</v>
      </c>
      <c r="D191" s="137" t="str">
        <f>CONCATENATE('u19 boys'!F192," ",'u19 boys'!G192)</f>
        <v>Siyabonga MOTLOUNG UMZ</v>
      </c>
      <c r="E191" s="216"/>
      <c r="F191" s="567" t="str">
        <f>CONCATENATE('u15 boys'!F192," ",'u15 boys'!G192)</f>
        <v>MASIMULA  Sibongwa   UMZ</v>
      </c>
      <c r="G191" s="216" t="str">
        <f>CONCATENATE('u15 girls'!F194," ",'u15 girls'!G194)</f>
        <v xml:space="preserve"> </v>
      </c>
      <c r="H191" s="796" t="str">
        <f>CONCATENATE('u13 boys'!F192," ",'u13 boys'!G192)</f>
        <v>MODANA Mosa EKU</v>
      </c>
      <c r="I191" s="216" t="str">
        <f>CONCATENATE('u13 girls'!F178," ",'u13 girls'!G178)</f>
        <v>NAROTAM Sajal 0</v>
      </c>
      <c r="J191" s="137" t="str">
        <f>CONCATENATE('u11 boys'!F194," ",'u11 boys'!G194)</f>
        <v xml:space="preserve"> </v>
      </c>
      <c r="K191" s="216" t="str">
        <f>CONCATENATE('u11 girls'!F190," ",'u11 girls'!G190)</f>
        <v xml:space="preserve"> </v>
      </c>
    </row>
    <row r="192" spans="1:11" s="147" customFormat="1" ht="40" customHeight="1">
      <c r="A192" s="148">
        <f t="shared" si="2"/>
        <v>189</v>
      </c>
      <c r="B192" s="807" t="str">
        <f>CONCATENATE(Men!E192," ",Men!F192)</f>
        <v>RAMOLLO Mahlatse LIM</v>
      </c>
      <c r="C192" s="805" t="str">
        <f>CONCATENATE(Women!E193," ",Women!F193)</f>
        <v>MAY Jayda SANDF</v>
      </c>
      <c r="D192" s="137" t="str">
        <f>CONCATENATE('u19 boys'!F193," ",'u19 boys'!G193)</f>
        <v>Siddeeq BUCKUS UMZ</v>
      </c>
      <c r="E192" s="216"/>
      <c r="F192" s="567" t="str">
        <f>CONCATENATE('u15 boys'!F193," ",'u15 boys'!G193)</f>
        <v>ZIQUBU  Siyanda  UMZ</v>
      </c>
      <c r="G192" s="216" t="str">
        <f>CONCATENATE('u15 girls'!F195," ",'u15 girls'!G195)</f>
        <v xml:space="preserve"> </v>
      </c>
      <c r="H192" s="796" t="str">
        <f>CONCATENATE('u13 boys'!F193," ",'u13 boys'!G193)</f>
        <v>WILLIAMS Cody CT</v>
      </c>
      <c r="I192" s="216" t="str">
        <f>CONCATENATE('u13 girls'!F179," ",'u13 girls'!G179)</f>
        <v>FISHER Tamsyn UMG</v>
      </c>
      <c r="J192" s="137" t="str">
        <f>CONCATENATE('u11 boys'!F195," ",'u11 boys'!G195)</f>
        <v xml:space="preserve"> </v>
      </c>
      <c r="K192" s="216" t="str">
        <f>CONCATENATE('u11 girls'!F191," ",'u11 girls'!G191)</f>
        <v xml:space="preserve"> </v>
      </c>
    </row>
    <row r="193" spans="1:11" s="147" customFormat="1" ht="40" customHeight="1">
      <c r="A193" s="148">
        <f t="shared" si="2"/>
        <v>190</v>
      </c>
      <c r="B193" s="807" t="str">
        <f>CONCATENATE(Men!E193," ",Men!F193)</f>
        <v>MONNAHELA R  NWP</v>
      </c>
      <c r="C193" s="805" t="str">
        <f>CONCATENATE(Women!E194," ",Women!F194)</f>
        <v>MHLANDENI Sisipho EC</v>
      </c>
      <c r="D193" s="137" t="str">
        <f>CONCATENATE('u19 boys'!F194," ",'u19 boys'!G194)</f>
        <v>KAMALDIEN Keyaam  CT</v>
      </c>
      <c r="E193" s="216"/>
      <c r="F193" s="567" t="str">
        <f>CONCATENATE('u15 boys'!F194," ",'u15 boys'!G194)</f>
        <v>Siphephelo MGENGE ETTA</v>
      </c>
      <c r="G193" s="216" t="str">
        <f>CONCATENATE('u15 girls'!F196," ",'u15 girls'!G196)</f>
        <v xml:space="preserve">  </v>
      </c>
      <c r="H193" s="796" t="str">
        <f>CONCATENATE('u13 boys'!F194," ",'u13 boys'!G194)</f>
        <v>SEKIKE Kgotso FS</v>
      </c>
      <c r="I193" s="216" t="str">
        <f>CONCATENATE('u13 girls'!F180," ",'u13 girls'!G180)</f>
        <v>NAIDOO Sonali UMG</v>
      </c>
      <c r="J193" s="137" t="str">
        <f>CONCATENATE('u11 boys'!F196," ",'u11 boys'!G196)</f>
        <v xml:space="preserve"> </v>
      </c>
      <c r="K193" s="216" t="str">
        <f>CONCATENATE('u11 girls'!F192," ",'u11 girls'!G192)</f>
        <v xml:space="preserve"> </v>
      </c>
    </row>
    <row r="194" spans="1:11" s="147" customFormat="1" ht="40" customHeight="1">
      <c r="A194" s="148">
        <f t="shared" si="2"/>
        <v>191</v>
      </c>
      <c r="B194" s="807" t="str">
        <f>CONCATENATE(Men!E194," ",Men!F194)</f>
        <v>MADORO Trust  ZIM</v>
      </c>
      <c r="C194" s="805" t="str">
        <f>CONCATENATE(Women!E195," ",Women!F195)</f>
        <v>MOLUGWENI Anathi EC</v>
      </c>
      <c r="D194" s="137" t="str">
        <f>CONCATENATE('u19 boys'!F195," ",'u19 boys'!G195)</f>
        <v>WANG Qianfei  JTTA</v>
      </c>
      <c r="E194" s="216"/>
      <c r="F194" s="567" t="str">
        <f>CONCATENATE('u15 boys'!F195," ",'u15 boys'!G195)</f>
        <v>LOUW Lian EDEN</v>
      </c>
      <c r="G194" s="216" t="str">
        <f>CONCATENATE('u15 girls'!F197," ",'u15 girls'!G197)</f>
        <v xml:space="preserve"> </v>
      </c>
      <c r="H194" s="796" t="str">
        <f>CONCATENATE('u13 boys'!F195," ",'u13 boys'!G195)</f>
        <v>Siphephelo MGENGE ETTA</v>
      </c>
      <c r="I194" s="216" t="str">
        <f>CONCATENATE('u13 girls'!F181," ",'u13 girls'!G181)</f>
        <v>MARION Keren UMG</v>
      </c>
      <c r="J194" s="137" t="str">
        <f>CONCATENATE('u11 boys'!F197," ",'u11 boys'!G197)</f>
        <v xml:space="preserve"> </v>
      </c>
      <c r="K194" s="216" t="str">
        <f>CONCATENATE('u11 girls'!F193," ",'u11 girls'!G193)</f>
        <v xml:space="preserve"> </v>
      </c>
    </row>
    <row r="195" spans="1:11" s="147" customFormat="1" ht="40" customHeight="1">
      <c r="A195" s="148">
        <f t="shared" si="2"/>
        <v>192</v>
      </c>
      <c r="B195" s="807" t="str">
        <f>CONCATENATE(Men!E195," ",Men!F195)</f>
        <v>PHEKONYANE Kgalalelo FS</v>
      </c>
      <c r="C195" s="805" t="str">
        <f>CONCATENATE(Women!E196," ",Women!F196)</f>
        <v>RIDDLES Chantel SANDF</v>
      </c>
      <c r="D195" s="137" t="str">
        <f>CONCATENATE('u19 boys'!F196," ",'u19 boys'!G196)</f>
        <v>NAIDOO Keane Dane ETTA</v>
      </c>
      <c r="E195" s="216"/>
      <c r="F195" s="567" t="str">
        <f>CONCATENATE('u15 boys'!F196," ",'u15 boys'!G196)</f>
        <v>S Nklaone  FS</v>
      </c>
      <c r="G195" s="216" t="str">
        <f>CONCATENATE('u15 girls'!F198," ",'u15 girls'!G198)</f>
        <v xml:space="preserve"> </v>
      </c>
      <c r="H195" s="796" t="str">
        <f>CONCATENATE('u13 boys'!F196," ",'u13 boys'!G196)</f>
        <v>Easa VACHIAT JTTA</v>
      </c>
      <c r="I195" s="216" t="str">
        <f>CONCATENATE('u13 girls'!F182," ",'u13 girls'!G182)</f>
        <v>MOTAKE Mara FS</v>
      </c>
      <c r="J195" s="137" t="str">
        <f>CONCATENATE('u11 boys'!F198," ",'u11 boys'!G198)</f>
        <v xml:space="preserve"> </v>
      </c>
      <c r="K195" s="216" t="str">
        <f>CONCATENATE('u11 girls'!F194," ",'u11 girls'!G194)</f>
        <v xml:space="preserve"> </v>
      </c>
    </row>
    <row r="196" spans="1:11" s="147" customFormat="1" ht="40" customHeight="1">
      <c r="A196" s="148">
        <f t="shared" si="2"/>
        <v>193</v>
      </c>
      <c r="B196" s="807" t="str">
        <f>CONCATENATE(Men!E196," ",Men!F196)</f>
        <v>EBRAHIM Rameez  GN</v>
      </c>
      <c r="C196" s="805" t="str">
        <f>CONCATENATE(Women!E197," ",Women!F197)</f>
        <v>JOHNSON Lekeasha  CT</v>
      </c>
      <c r="D196" s="137" t="str">
        <f>CONCATENATE('u19 boys'!F197," ",'u19 boys'!G197)</f>
        <v>MALEPA Siyabonga NMMTTA</v>
      </c>
      <c r="E196" s="216"/>
      <c r="F196" s="567" t="str">
        <f>CONCATENATE('u15 boys'!F197," ",'u15 boys'!G197)</f>
        <v>PAUL Ishaan ETTA</v>
      </c>
      <c r="G196" s="216" t="str">
        <f>CONCATENATE('u15 girls'!F199," ",'u15 girls'!G199)</f>
        <v xml:space="preserve"> </v>
      </c>
      <c r="H196" s="796" t="str">
        <f>CONCATENATE('u13 boys'!F197," ",'u13 boys'!G197)</f>
        <v>GANI Ormar LIM</v>
      </c>
      <c r="I196" s="216" t="str">
        <f>CONCATENATE('u13 girls'!F183," ",'u13 girls'!G183)</f>
        <v>MOSOLENG Lebohang FS</v>
      </c>
      <c r="J196" s="137" t="str">
        <f>CONCATENATE('u11 boys'!F199," ",'u11 boys'!G199)</f>
        <v xml:space="preserve"> </v>
      </c>
      <c r="K196" s="216" t="str">
        <f>CONCATENATE('u11 girls'!F195," ",'u11 girls'!G195)</f>
        <v xml:space="preserve"> </v>
      </c>
    </row>
    <row r="197" spans="1:11" s="147" customFormat="1" ht="40" customHeight="1">
      <c r="A197" s="148">
        <f t="shared" si="2"/>
        <v>194</v>
      </c>
      <c r="B197" s="807" t="str">
        <f>CONCATENATE(Men!E197," ",Men!F197)</f>
        <v>MADIWA Michael Tinotenda ZIM</v>
      </c>
      <c r="C197" s="805" t="str">
        <f>CONCATENATE(Women!E198," ",Women!F198)</f>
        <v>DHLEWAYO Felicia  GN</v>
      </c>
      <c r="D197" s="137" t="str">
        <f>CONCATENATE('u19 boys'!F198," ",'u19 boys'!G198)</f>
        <v>BABEDI Elrio BOJTTA</v>
      </c>
      <c r="E197" s="216"/>
      <c r="F197" s="567" t="str">
        <f>CONCATENATE('u15 boys'!F198," ",'u15 boys'!G198)</f>
        <v>OSMAN Muhummed FS</v>
      </c>
      <c r="G197" s="216" t="str">
        <f>CONCATENATE('u15 girls'!F200," ",'u15 girls'!G200)</f>
        <v xml:space="preserve"> </v>
      </c>
      <c r="H197" s="796" t="str">
        <f>CONCATENATE('u13 boys'!F198," ",'u13 boys'!G198)</f>
        <v>SWEATZ Caden CT</v>
      </c>
      <c r="I197" s="216" t="str">
        <f>CONCATENATE('u13 girls'!F184," ",'u13 girls'!G184)</f>
        <v>RALEI Nthabiseng LES</v>
      </c>
      <c r="J197" s="137" t="str">
        <f>CONCATENATE('u11 boys'!F200," ",'u11 boys'!G200)</f>
        <v xml:space="preserve"> </v>
      </c>
      <c r="K197" s="216" t="str">
        <f>CONCATENATE('u11 girls'!F196," ",'u11 girls'!G196)</f>
        <v xml:space="preserve"> </v>
      </c>
    </row>
    <row r="198" spans="1:11" s="147" customFormat="1" ht="40" customHeight="1">
      <c r="A198" s="148">
        <f t="shared" ref="A198:A261" si="3">A197+1</f>
        <v>195</v>
      </c>
      <c r="B198" s="807" t="str">
        <f>CONCATENATE(Men!E198," ",Men!F198)</f>
        <v>MOJAKISANE Thato DRKKTTA</v>
      </c>
      <c r="C198" s="805" t="str">
        <f>CONCATENATE(Women!E199," ",Women!F199)</f>
        <v>ADAMS Jessica CT</v>
      </c>
      <c r="D198" s="137" t="str">
        <f>CONCATENATE('u19 boys'!F199," ",'u19 boys'!G199)</f>
        <v>NHLAPO Mbusowezulu ETTA</v>
      </c>
      <c r="E198" s="216"/>
      <c r="F198" s="567" t="str">
        <f>CONCATENATE('u15 boys'!F199," ",'u15 boys'!G199)</f>
        <v>Kundai Oswald Goremushandu ZIM</v>
      </c>
      <c r="G198" s="216" t="str">
        <f>CONCATENATE('u15 girls'!F201," ",'u15 girls'!G201)</f>
        <v xml:space="preserve"> </v>
      </c>
      <c r="H198" s="796" t="str">
        <f>CONCATENATE('u13 boys'!F199," ",'u13 boys'!G199)</f>
        <v>BUYS Logan CW</v>
      </c>
      <c r="I198" s="216" t="str">
        <f>CONCATENATE('u13 girls'!F185," ",'u13 girls'!G185)</f>
        <v>MAPHUZA Tshwarelo FS</v>
      </c>
      <c r="J198" s="137" t="str">
        <f>CONCATENATE('u11 boys'!F201," ",'u11 boys'!G201)</f>
        <v xml:space="preserve"> </v>
      </c>
      <c r="K198" s="216" t="str">
        <f>CONCATENATE('u11 girls'!F197," ",'u11 girls'!G197)</f>
        <v xml:space="preserve"> </v>
      </c>
    </row>
    <row r="199" spans="1:11" s="147" customFormat="1" ht="40" customHeight="1">
      <c r="A199" s="148">
        <f t="shared" si="3"/>
        <v>196</v>
      </c>
      <c r="B199" s="807" t="str">
        <f>CONCATENATE(Men!E199," ",Men!F199)</f>
        <v>MWATSIKA Propheser  ZIM</v>
      </c>
      <c r="C199" s="805" t="str">
        <f>CONCATENATE(Women!E200," ",Women!F200)</f>
        <v>JALI Ntokoze EC</v>
      </c>
      <c r="D199" s="137" t="str">
        <f>CONCATENATE('u19 boys'!F200," ",'u19 boys'!G200)</f>
        <v>MWATSIKA Propheser  ZIM</v>
      </c>
      <c r="E199" s="216"/>
      <c r="F199" s="567" t="str">
        <f>CONCATENATE('u15 boys'!F200," ",'u15 boys'!G200)</f>
        <v>SEMETSA Tlhalefo NMMTTA</v>
      </c>
      <c r="G199" s="216" t="str">
        <f>CONCATENATE('u15 girls'!F202," ",'u15 girls'!G202)</f>
        <v xml:space="preserve"> </v>
      </c>
      <c r="H199" s="796" t="str">
        <f>CONCATENATE('u13 boys'!F200," ",'u13 boys'!G200)</f>
        <v>HEMRAJ Yasthir ETTA</v>
      </c>
      <c r="I199" s="216" t="str">
        <f>CONCATENATE('u13 girls'!F186," ",'u13 girls'!G186)</f>
        <v>CHAKOSE Lesedi FS</v>
      </c>
      <c r="J199" s="137" t="str">
        <f>CONCATENATE('u11 boys'!F202," ",'u11 boys'!G202)</f>
        <v xml:space="preserve"> </v>
      </c>
      <c r="K199" s="216" t="str">
        <f>CONCATENATE('u11 girls'!F198," ",'u11 girls'!G198)</f>
        <v xml:space="preserve"> </v>
      </c>
    </row>
    <row r="200" spans="1:11" s="147" customFormat="1" ht="40" customHeight="1">
      <c r="A200" s="148">
        <f t="shared" si="3"/>
        <v>197</v>
      </c>
      <c r="B200" s="807" t="str">
        <f>CONCATENATE(Men!E200," ",Men!F200)</f>
        <v>Van Rooyen Llewellyn EDEN</v>
      </c>
      <c r="C200" s="805" t="str">
        <f>CONCATENATE(Women!E201," ",Women!F201)</f>
        <v>JANTJIES Washiela CT</v>
      </c>
      <c r="D200" s="137" t="str">
        <f>CONCATENATE('u19 boys'!F201," ",'u19 boys'!G201)</f>
        <v xml:space="preserve">LETSOALO Lethabo LIM  </v>
      </c>
      <c r="E200" s="216"/>
      <c r="F200" s="567" t="str">
        <f>CONCATENATE('u15 boys'!F201," ",'u15 boys'!G201)</f>
        <v>MABOYA  Wanga LIM</v>
      </c>
      <c r="G200" s="216" t="str">
        <f>CONCATENATE('u15 girls'!F203," ",'u15 girls'!G203)</f>
        <v xml:space="preserve"> </v>
      </c>
      <c r="H200" s="796" t="str">
        <f>CONCATENATE('u13 boys'!F201," ",'u13 boys'!G201)</f>
        <v>Luan MALAN GN</v>
      </c>
      <c r="I200" s="216" t="str">
        <f>CONCATENATE('u13 girls'!F187," ",'u13 girls'!G187)</f>
        <v>MOTHOANA Katleho FS</v>
      </c>
      <c r="J200" s="137" t="str">
        <f>CONCATENATE('u11 boys'!F203," ",'u11 boys'!G203)</f>
        <v xml:space="preserve"> </v>
      </c>
      <c r="K200" s="216" t="str">
        <f>CONCATENATE('u11 girls'!F199," ",'u11 girls'!G199)</f>
        <v xml:space="preserve"> </v>
      </c>
    </row>
    <row r="201" spans="1:11" s="147" customFormat="1" ht="40" customHeight="1">
      <c r="A201" s="148">
        <f t="shared" si="3"/>
        <v>198</v>
      </c>
      <c r="B201" s="807" t="str">
        <f>CONCATENATE(Men!E201," ",Men!F201)</f>
        <v>MINAAR Eltonio  CT</v>
      </c>
      <c r="C201" s="805" t="str">
        <f>CONCATENATE(Women!E202," ",Women!F202)</f>
        <v>MADIKIZELA Onamanla EC</v>
      </c>
      <c r="D201" s="137" t="str">
        <f>CONCATENATE('u19 boys'!F202," ",'u19 boys'!G202)</f>
        <v>Saul EPHRON JTTA</v>
      </c>
      <c r="E201" s="216"/>
      <c r="F201" s="567" t="str">
        <f>CONCATENATE('u15 boys'!F202," ",'u15 boys'!G202)</f>
        <v>PASQUALLE Martino  CW</v>
      </c>
      <c r="G201" s="216" t="str">
        <f>CONCATENATE('u15 girls'!F204," ",'u15 girls'!G204)</f>
        <v xml:space="preserve"> </v>
      </c>
      <c r="H201" s="796" t="str">
        <f>CONCATENATE('u13 boys'!F202," ",'u13 boys'!G202)</f>
        <v>LEHETLA Boitumelo FS</v>
      </c>
      <c r="I201" s="216" t="str">
        <f>CONCATENATE('u13 girls'!F188," ",'u13 girls'!G188)</f>
        <v>MOKHELE Mosa EKU</v>
      </c>
      <c r="J201" s="137" t="str">
        <f>CONCATENATE('u11 boys'!F204," ",'u11 boys'!G204)</f>
        <v xml:space="preserve"> </v>
      </c>
      <c r="K201" s="216" t="str">
        <f>CONCATENATE('u11 girls'!F200," ",'u11 girls'!G200)</f>
        <v xml:space="preserve"> </v>
      </c>
    </row>
    <row r="202" spans="1:11" s="147" customFormat="1" ht="40" customHeight="1">
      <c r="A202" s="148">
        <f t="shared" si="3"/>
        <v>199</v>
      </c>
      <c r="B202" s="807" t="str">
        <f>CONCATENATE(Men!E202," ",Men!F202)</f>
        <v>VENTER Christo GN</v>
      </c>
      <c r="C202" s="805" t="str">
        <f>CONCATENATE(Women!E210," ",Women!F210)</f>
        <v>BULLEN Isabel JTTA</v>
      </c>
      <c r="D202" s="137" t="str">
        <f>CONCATENATE('u19 boys'!F203," ",'u19 boys'!G203)</f>
        <v>TROMP Luthando EC</v>
      </c>
      <c r="E202" s="216"/>
      <c r="F202" s="567" t="str">
        <f>CONCATENATE('u15 boys'!F203," ",'u15 boys'!G203)</f>
        <v>MACHI Bongisipho  ETTA</v>
      </c>
      <c r="G202" s="216" t="str">
        <f>CONCATENATE('u15 girls'!F205," ",'u15 girls'!G205)</f>
        <v xml:space="preserve"> </v>
      </c>
      <c r="H202" s="796" t="str">
        <f>CONCATENATE('u13 boys'!F203," ",'u13 boys'!G203)</f>
        <v>SHORTLES Eli  CW</v>
      </c>
      <c r="I202" s="216" t="str">
        <f>CONCATENATE('u13 girls'!F208," ",'u13 girls'!G208)</f>
        <v xml:space="preserve"> </v>
      </c>
      <c r="J202" s="137" t="str">
        <f>CONCATENATE('u11 boys'!F205," ",'u11 boys'!G205)</f>
        <v xml:space="preserve"> </v>
      </c>
      <c r="K202" s="216" t="str">
        <f>CONCATENATE('u11 girls'!F201," ",'u11 girls'!G201)</f>
        <v xml:space="preserve"> </v>
      </c>
    </row>
    <row r="203" spans="1:11" s="147" customFormat="1" ht="40" customHeight="1">
      <c r="A203" s="148">
        <f t="shared" si="3"/>
        <v>200</v>
      </c>
      <c r="B203" s="807" t="str">
        <f>CONCATENATE(Men!E203," ",Men!F203)</f>
        <v>RAZIYA Lihle EKU</v>
      </c>
      <c r="C203" s="805" t="str">
        <f>CONCATENATE(Women!E211," ",Women!F211)</f>
        <v xml:space="preserve">MARSHALL Lael JTTA </v>
      </c>
      <c r="D203" s="137" t="str">
        <f>CONCATENATE('u19 boys'!F204," ",'u19 boys'!G204)</f>
        <v>MORYA Vedansh GN</v>
      </c>
      <c r="E203" s="216"/>
      <c r="F203" s="567" t="str">
        <f>CONCATENATE('u15 boys'!F204," ",'u15 boys'!G204)</f>
        <v>SWANEPOEL Shane GN</v>
      </c>
      <c r="G203" s="216" t="str">
        <f>CONCATENATE('u15 girls'!F206," ",'u15 girls'!G206)</f>
        <v xml:space="preserve"> </v>
      </c>
      <c r="H203" s="796" t="str">
        <f>CONCATENATE('u13 boys'!F204," ",'u13 boys'!G204)</f>
        <v>PILLAY Joshua  ETTA</v>
      </c>
      <c r="I203" s="216" t="str">
        <f>CONCATENATE('u13 girls'!F209," ",'u13 girls'!G209)</f>
        <v xml:space="preserve"> </v>
      </c>
      <c r="J203" s="137" t="str">
        <f>CONCATENATE('u11 boys'!F206," ",'u11 boys'!G206)</f>
        <v xml:space="preserve"> </v>
      </c>
      <c r="K203" s="216" t="str">
        <f>CONCATENATE('u11 girls'!F202," ",'u11 girls'!G202)</f>
        <v xml:space="preserve"> </v>
      </c>
    </row>
    <row r="204" spans="1:11" s="147" customFormat="1" ht="40" customHeight="1">
      <c r="A204" s="148">
        <f t="shared" si="3"/>
        <v>201</v>
      </c>
      <c r="B204" s="807" t="str">
        <f>CONCATENATE(Men!E204," ",Men!F204)</f>
        <v>Mnikelo Dry  FS</v>
      </c>
      <c r="C204" s="805" t="str">
        <f>CONCATENATE(Women!E212," ",Women!F212)</f>
        <v>NAUDE Stephanie  CW</v>
      </c>
      <c r="D204" s="137" t="str">
        <f>CONCATENATE('u19 boys'!F205," ",'u19 boys'!G205)</f>
        <v>MTHEMBU Lethigugu UMG</v>
      </c>
      <c r="E204" s="216"/>
      <c r="F204" s="567" t="str">
        <f>CONCATENATE('u15 boys'!F205," ",'u15 boys'!G205)</f>
        <v>PETERSEN Jay Jay CT</v>
      </c>
      <c r="G204" s="216" t="str">
        <f>CONCATENATE('u15 girls'!F207," ",'u15 girls'!G207)</f>
        <v xml:space="preserve"> </v>
      </c>
      <c r="H204" s="796" t="str">
        <f>CONCATENATE('u13 boys'!F205," ",'u13 boys'!G205)</f>
        <v>ENOUS Yaseen  CT</v>
      </c>
      <c r="I204" s="216" t="str">
        <f>CONCATENATE('u13 girls'!F210," ",'u13 girls'!G210)</f>
        <v xml:space="preserve"> </v>
      </c>
      <c r="J204" s="137" t="str">
        <f>CONCATENATE('u11 boys'!F207," ",'u11 boys'!G207)</f>
        <v xml:space="preserve"> </v>
      </c>
      <c r="K204" s="216" t="str">
        <f>CONCATENATE('u11 girls'!F203," ",'u11 girls'!G203)</f>
        <v xml:space="preserve"> </v>
      </c>
    </row>
    <row r="205" spans="1:11" s="147" customFormat="1" ht="40" customHeight="1">
      <c r="A205" s="148">
        <f t="shared" si="3"/>
        <v>202</v>
      </c>
      <c r="B205" s="807" t="str">
        <f>CONCATENATE(Men!E205," ",Men!F205)</f>
        <v>JACOBS Elroy  EDEN</v>
      </c>
      <c r="C205" s="805" t="str">
        <f>CONCATENATE(Women!E213," ",Women!F213)</f>
        <v>KARIM Nasiha  GN</v>
      </c>
      <c r="D205" s="137" t="str">
        <f>CONCATENATE('u19 boys'!F206," ",'u19 boys'!G206)</f>
        <v>HANUMAN Aryan UMG</v>
      </c>
      <c r="E205" s="216"/>
      <c r="F205" s="567" t="str">
        <f>CONCATENATE('u15 boys'!F206," ",'u15 boys'!G206)</f>
        <v>WESSON Liam CT</v>
      </c>
      <c r="G205" s="216" t="str">
        <f>CONCATENATE('u15 girls'!F208," ",'u15 girls'!G208)</f>
        <v xml:space="preserve"> </v>
      </c>
      <c r="H205" s="796" t="str">
        <f>CONCATENATE('u13 boys'!F206," ",'u13 boys'!G206)</f>
        <v>DANIELS Joshua  CW</v>
      </c>
      <c r="I205" s="216" t="str">
        <f>CONCATENATE('u13 girls'!F211," ",'u13 girls'!G211)</f>
        <v xml:space="preserve"> </v>
      </c>
      <c r="J205" s="137" t="str">
        <f>CONCATENATE('u11 boys'!F208," ",'u11 boys'!G208)</f>
        <v xml:space="preserve"> </v>
      </c>
      <c r="K205" s="216" t="str">
        <f>CONCATENATE('u11 girls'!F204," ",'u11 girls'!G204)</f>
        <v xml:space="preserve"> </v>
      </c>
    </row>
    <row r="206" spans="1:11" s="147" customFormat="1" ht="40" customHeight="1">
      <c r="A206" s="148">
        <f t="shared" si="3"/>
        <v>203</v>
      </c>
      <c r="B206" s="807" t="str">
        <f>CONCATENATE(Men!E206," ",Men!F206)</f>
        <v>MOKHUTLE Lehlohonlo  SANDF</v>
      </c>
      <c r="C206" s="805" t="str">
        <f>CONCATENATE(Women!E214," ",Women!F214)</f>
        <v>MAHARAJ Prashni Ilembe</v>
      </c>
      <c r="D206" s="137" t="str">
        <f>CONCATENATE('u19 boys'!F207," ",'u19 boys'!G207)</f>
        <v>PERUMAL Kiaran UMG</v>
      </c>
      <c r="E206" s="216"/>
      <c r="F206" s="567" t="str">
        <f>CONCATENATE('u15 boys'!F207," ",'u15 boys'!G207)</f>
        <v>REDLINGHYS Ezra UMG</v>
      </c>
      <c r="G206" s="216" t="str">
        <f>CONCATENATE('u15 girls'!F209," ",'u15 girls'!G209)</f>
        <v xml:space="preserve"> </v>
      </c>
      <c r="H206" s="796" t="str">
        <f>CONCATENATE('u13 boys'!F207," ",'u13 boys'!G207)</f>
        <v>SKIPPERS Chris-Will  WC</v>
      </c>
      <c r="I206" s="216" t="str">
        <f>CONCATENATE('u13 girls'!F212," ",'u13 girls'!G212)</f>
        <v xml:space="preserve"> </v>
      </c>
      <c r="J206" s="137" t="str">
        <f>CONCATENATE('u11 boys'!F209," ",'u11 boys'!G209)</f>
        <v xml:space="preserve"> </v>
      </c>
      <c r="K206" s="216" t="str">
        <f>CONCATENATE('u11 girls'!F205," ",'u11 girls'!G205)</f>
        <v xml:space="preserve"> </v>
      </c>
    </row>
    <row r="207" spans="1:11" s="147" customFormat="1" ht="40" customHeight="1">
      <c r="A207" s="148">
        <f t="shared" si="3"/>
        <v>204</v>
      </c>
      <c r="B207" s="807" t="str">
        <f>CONCATENATE(Men!E207," ",Men!F207)</f>
        <v>SANDLANA Iva EC</v>
      </c>
      <c r="C207" s="805" t="str">
        <f>CONCATENATE(Women!E215," ",Women!F215)</f>
        <v>MOSOLENG Lebohang FS</v>
      </c>
      <c r="D207" s="137" t="str">
        <f>CONCATENATE('u19 boys'!F208," ",'u19 boys'!G208)</f>
        <v>Franco PRETORIUS GN</v>
      </c>
      <c r="E207" s="216"/>
      <c r="F207" s="567" t="str">
        <f>CONCATENATE('u15 boys'!F208," ",'u15 boys'!G208)</f>
        <v>VAN DER MERWE Ruan GN</v>
      </c>
      <c r="G207" s="216" t="str">
        <f>CONCATENATE('u15 girls'!F210," ",'u15 girls'!G210)</f>
        <v xml:space="preserve"> </v>
      </c>
      <c r="H207" s="796" t="str">
        <f>CONCATENATE('u13 boys'!F208," ",'u13 boys'!G208)</f>
        <v>MENTOOR Nahum  CT</v>
      </c>
      <c r="I207" s="216" t="str">
        <f>CONCATENATE('u13 girls'!F213," ",'u13 girls'!G213)</f>
        <v xml:space="preserve"> </v>
      </c>
      <c r="J207" s="137" t="str">
        <f>CONCATENATE('u11 boys'!F210," ",'u11 boys'!G210)</f>
        <v xml:space="preserve"> </v>
      </c>
      <c r="K207" s="216" t="str">
        <f>CONCATENATE('u11 girls'!F206," ",'u11 girls'!G206)</f>
        <v xml:space="preserve"> </v>
      </c>
    </row>
    <row r="208" spans="1:11" s="147" customFormat="1" ht="40" customHeight="1">
      <c r="A208" s="148">
        <f t="shared" si="3"/>
        <v>205</v>
      </c>
      <c r="B208" s="807" t="str">
        <f>CONCATENATE(Men!E208," ",Men!F208)</f>
        <v>MONTAZ Villian  JTTA</v>
      </c>
      <c r="C208" s="805" t="str">
        <f>CONCATENATE(Women!E218," ",Women!F218)</f>
        <v>VAN WYK Waylisha CW</v>
      </c>
      <c r="D208" s="137" t="str">
        <f>CONCATENATE('u19 boys'!F209," ",'u19 boys'!G209)</f>
        <v>SINOMSO Liqhawe CT</v>
      </c>
      <c r="E208" s="216"/>
      <c r="F208" s="567" t="str">
        <f>CONCATENATE('u15 boys'!F209," ",'u15 boys'!G209)</f>
        <v>MADONYELA Azola EC</v>
      </c>
      <c r="G208" s="216" t="str">
        <f>CONCATENATE('u15 girls'!F211," ",'u15 girls'!G211)</f>
        <v xml:space="preserve"> </v>
      </c>
      <c r="H208" s="796" t="str">
        <f>CONCATENATE('u13 boys'!F209," ",'u13 boys'!G209)</f>
        <v>WILLIAMS Fayaaz  CT</v>
      </c>
      <c r="I208" s="216" t="str">
        <f>CONCATENATE('u13 girls'!F214," ",'u13 girls'!G214)</f>
        <v xml:space="preserve"> </v>
      </c>
      <c r="J208" s="137" t="str">
        <f>CONCATENATE('u11 boys'!F211," ",'u11 boys'!G211)</f>
        <v xml:space="preserve"> </v>
      </c>
      <c r="K208" s="216" t="str">
        <f>CONCATENATE('u11 girls'!F207," ",'u11 girls'!G207)</f>
        <v xml:space="preserve"> </v>
      </c>
    </row>
    <row r="209" spans="1:11" s="147" customFormat="1" ht="40" customHeight="1">
      <c r="A209" s="148">
        <f t="shared" si="3"/>
        <v>206</v>
      </c>
      <c r="B209" s="807" t="str">
        <f>CONCATENATE(Men!E209," ",Men!F209)</f>
        <v>MURUGASEN Shayurin  ETTA</v>
      </c>
      <c r="C209" s="805" t="str">
        <f>CONCATENATE(Women!E219," ",Women!F219)</f>
        <v>WENTZEL Berenice CW</v>
      </c>
      <c r="D209" s="137" t="str">
        <f>CONCATENATE('u19 boys'!F210," ",'u19 boys'!G210)</f>
        <v>MAPHUNYE Rorisang NWP</v>
      </c>
      <c r="E209" s="216"/>
      <c r="F209" s="567" t="str">
        <f>CONCATENATE('u15 boys'!F210," ",'u15 boys'!G210)</f>
        <v>MKHIZE Bandile UTH</v>
      </c>
      <c r="G209" s="216" t="str">
        <f>CONCATENATE('u15 girls'!F212," ",'u15 girls'!G212)</f>
        <v xml:space="preserve"> </v>
      </c>
      <c r="H209" s="796" t="str">
        <f>CONCATENATE('u13 boys'!F210," ",'u13 boys'!G210)</f>
        <v>SASMAN Abu Bakr  CT</v>
      </c>
      <c r="I209" s="216" t="str">
        <f>CONCATENATE('u13 girls'!F215," ",'u13 girls'!G215)</f>
        <v xml:space="preserve"> </v>
      </c>
      <c r="J209" s="137" t="str">
        <f>CONCATENATE('u11 boys'!F212," ",'u11 boys'!G212)</f>
        <v xml:space="preserve"> </v>
      </c>
      <c r="K209" s="216" t="str">
        <f>CONCATENATE('u11 girls'!F208," ",'u11 girls'!G208)</f>
        <v xml:space="preserve"> </v>
      </c>
    </row>
    <row r="210" spans="1:11" s="147" customFormat="1" ht="40" customHeight="1">
      <c r="A210" s="148">
        <f t="shared" si="3"/>
        <v>207</v>
      </c>
      <c r="B210" s="807" t="str">
        <f>CONCATENATE(Men!E210," ",Men!F210)</f>
        <v>SINGH Yash UMG</v>
      </c>
      <c r="C210" s="805" t="str">
        <f>CONCATENATE(Women!E220," ",Women!F220)</f>
        <v>FORTUIN Dawne  EC</v>
      </c>
      <c r="D210" s="137" t="str">
        <f>CONCATENATE('u19 boys'!F211," ",'u19 boys'!G211)</f>
        <v>ZENZILE Anele EC</v>
      </c>
      <c r="E210" s="216"/>
      <c r="F210" s="567" t="str">
        <f>CONCATENATE('u15 boys'!F211," ",'u15 boys'!G211)</f>
        <v>MOTAZE Quenzy JTTA</v>
      </c>
      <c r="G210" s="216" t="str">
        <f>CONCATENATE('u15 girls'!F213," ",'u15 girls'!G213)</f>
        <v xml:space="preserve"> </v>
      </c>
      <c r="H210" s="796" t="str">
        <f>CONCATENATE('u13 boys'!F211," ",'u13 boys'!G211)</f>
        <v>ADAMS Liam  CT</v>
      </c>
      <c r="I210" s="216" t="str">
        <f>CONCATENATE('u13 girls'!F216," ",'u13 girls'!G216)</f>
        <v xml:space="preserve"> </v>
      </c>
      <c r="J210" s="137" t="str">
        <f>CONCATENATE('u11 boys'!F213," ",'u11 boys'!G213)</f>
        <v xml:space="preserve"> </v>
      </c>
      <c r="K210" s="216" t="str">
        <f>CONCATENATE('u11 girls'!F209," ",'u11 girls'!G209)</f>
        <v xml:space="preserve"> </v>
      </c>
    </row>
    <row r="211" spans="1:11" s="147" customFormat="1" ht="40" customHeight="1">
      <c r="A211" s="148">
        <f t="shared" si="3"/>
        <v>208</v>
      </c>
      <c r="B211" s="807" t="str">
        <f>CONCATENATE(Men!E211," ",Men!F211)</f>
        <v>LANGFORD Devon  NMB</v>
      </c>
      <c r="C211" s="805" t="str">
        <f>CONCATENATE(Women!E221," ",Women!F221)</f>
        <v>ABRAHAMS Zuri JTTA</v>
      </c>
      <c r="D211" s="137" t="str">
        <f>CONCATENATE('u19 boys'!F212," ",'u19 boys'!G212)</f>
        <v>DEKOP Sean BOT</v>
      </c>
      <c r="E211" s="216"/>
      <c r="F211" s="567" t="str">
        <f>CONCATENATE('u15 boys'!F212," ",'u15 boys'!G212)</f>
        <v>MOTAZE Priss JTTA</v>
      </c>
      <c r="G211" s="216" t="str">
        <f>CONCATENATE('u15 girls'!F214," ",'u15 girls'!G214)</f>
        <v xml:space="preserve"> </v>
      </c>
      <c r="H211" s="796" t="str">
        <f>CONCATENATE('u13 boys'!F212," ",'u13 boys'!G212)</f>
        <v>ARRIES Ethan  WC</v>
      </c>
      <c r="I211" s="216" t="str">
        <f>CONCATENATE('u13 girls'!F217," ",'u13 girls'!G217)</f>
        <v xml:space="preserve"> </v>
      </c>
      <c r="J211" s="137" t="str">
        <f>CONCATENATE('u11 boys'!F214," ",'u11 boys'!G214)</f>
        <v xml:space="preserve"> </v>
      </c>
      <c r="K211" s="216" t="str">
        <f>CONCATENATE('u11 girls'!F210," ",'u11 girls'!G210)</f>
        <v xml:space="preserve"> </v>
      </c>
    </row>
    <row r="212" spans="1:11" s="147" customFormat="1" ht="40" customHeight="1">
      <c r="A212" s="148">
        <f t="shared" si="3"/>
        <v>209</v>
      </c>
      <c r="B212" s="807" t="str">
        <f>CONCATENATE(Men!E212," ",Men!F212)</f>
        <v>WESSELS Braam CT</v>
      </c>
      <c r="C212" s="805" t="str">
        <f>CONCATENATE(Women!E222," ",Women!F222)</f>
        <v>Carla LATEGAN FS</v>
      </c>
      <c r="D212" s="137" t="str">
        <f>CONCATENATE('u19 boys'!F213," ",'u19 boys'!G213)</f>
        <v>GOVIND Shaneel JTTA</v>
      </c>
      <c r="E212" s="216"/>
      <c r="F212" s="567" t="str">
        <f>CONCATENATE('u15 boys'!F213," ",'u15 boys'!G213)</f>
        <v>MABONGO Lunezo EC</v>
      </c>
      <c r="G212" s="216" t="str">
        <f>CONCATENATE('u15 girls'!F215," ",'u15 girls'!G215)</f>
        <v xml:space="preserve"> </v>
      </c>
      <c r="H212" s="796" t="str">
        <f>CONCATENATE('u13 boys'!F213," ",'u13 boys'!G213)</f>
        <v>GABASHANE Lesego  NWP</v>
      </c>
      <c r="I212" s="216" t="str">
        <f>CONCATENATE('u13 girls'!F218," ",'u13 girls'!G218)</f>
        <v xml:space="preserve"> </v>
      </c>
      <c r="J212" s="137" t="str">
        <f>CONCATENATE('u11 boys'!F215," ",'u11 boys'!G215)</f>
        <v xml:space="preserve"> </v>
      </c>
      <c r="K212" s="216" t="str">
        <f>CONCATENATE('u11 girls'!F211," ",'u11 girls'!G211)</f>
        <v xml:space="preserve"> </v>
      </c>
    </row>
    <row r="213" spans="1:11" s="147" customFormat="1" ht="40" customHeight="1">
      <c r="A213" s="148">
        <f t="shared" si="3"/>
        <v>210</v>
      </c>
      <c r="B213" s="807" t="str">
        <f>CONCATENATE(Men!E213," ",Men!F213)</f>
        <v>KATZ Joseph CT</v>
      </c>
      <c r="C213" s="805" t="str">
        <f>CONCATENATE(Women!E223," ",Women!F223)</f>
        <v>CINGO  Anele  ETTA</v>
      </c>
      <c r="D213" s="137" t="str">
        <f>CONCATENATE('u19 boys'!F214," ",'u19 boys'!G214)</f>
        <v>JANSEN VAN RENSBURG Reuben JTTA</v>
      </c>
      <c r="E213" s="216"/>
      <c r="F213" s="567" t="str">
        <f>CONCATENATE('u15 boys'!F214," ",'u15 boys'!G214)</f>
        <v>GQIRHANA Linam EC</v>
      </c>
      <c r="G213" s="216" t="str">
        <f>CONCATENATE('u15 girls'!F216," ",'u15 girls'!G216)</f>
        <v xml:space="preserve"> </v>
      </c>
      <c r="H213" s="796" t="str">
        <f>CONCATENATE('u13 boys'!F214," ",'u13 boys'!G214)</f>
        <v>NTSHONTSO Ongeziwe EC</v>
      </c>
      <c r="I213" s="216" t="str">
        <f>CONCATENATE('u13 girls'!F219," ",'u13 girls'!G219)</f>
        <v xml:space="preserve"> </v>
      </c>
      <c r="J213" s="137" t="str">
        <f>CONCATENATE('u11 boys'!F216," ",'u11 boys'!G216)</f>
        <v xml:space="preserve"> </v>
      </c>
      <c r="K213" s="216" t="str">
        <f>CONCATENATE('u11 girls'!F212," ",'u11 girls'!G212)</f>
        <v xml:space="preserve"> </v>
      </c>
    </row>
    <row r="214" spans="1:11" s="147" customFormat="1" ht="40" customHeight="1">
      <c r="A214" s="148">
        <f t="shared" si="3"/>
        <v>211</v>
      </c>
      <c r="B214" s="807" t="str">
        <f>CONCATENATE(Men!E214," ",Men!F214)</f>
        <v>KLEINTJIES Mark CW</v>
      </c>
      <c r="C214" s="805" t="str">
        <f>CONCATENATE(Women!E224," ",Women!F224)</f>
        <v>DE BRUYN Mishkah  CT</v>
      </c>
      <c r="D214" s="137" t="str">
        <f>CONCATENATE('u19 boys'!F215," ",'u19 boys'!G215)</f>
        <v>DZANIBE Kethukuthula ETTA</v>
      </c>
      <c r="E214" s="216"/>
      <c r="F214" s="567" t="str">
        <f>CONCATENATE('u15 boys'!F215," ",'u15 boys'!G215)</f>
        <v>OLIGIE Jeremiah LIM</v>
      </c>
      <c r="G214" s="216" t="str">
        <f>CONCATENATE('u15 girls'!F217," ",'u15 girls'!G217)</f>
        <v xml:space="preserve"> </v>
      </c>
      <c r="H214" s="796" t="e">
        <f>CONCATENATE('u13 boys'!#REF!," ",'u13 boys'!#REF!)</f>
        <v>#REF!</v>
      </c>
      <c r="I214" s="216" t="str">
        <f>CONCATENATE('u13 girls'!F220," ",'u13 girls'!G220)</f>
        <v xml:space="preserve"> </v>
      </c>
      <c r="J214" s="137" t="str">
        <f>CONCATENATE('u11 boys'!F217," ",'u11 boys'!G217)</f>
        <v xml:space="preserve"> </v>
      </c>
      <c r="K214" s="216" t="str">
        <f>CONCATENATE('u11 girls'!F213," ",'u11 girls'!G213)</f>
        <v xml:space="preserve"> </v>
      </c>
    </row>
    <row r="215" spans="1:11" s="147" customFormat="1" ht="40" customHeight="1">
      <c r="A215" s="148">
        <f t="shared" si="3"/>
        <v>212</v>
      </c>
      <c r="B215" s="807" t="str">
        <f>CONCATENATE(Men!E215," ",Men!F215)</f>
        <v>BECKER Gustav CW</v>
      </c>
      <c r="C215" s="805" t="str">
        <f>CONCATENATE(Women!E225," ",Women!F225)</f>
        <v>HUSVU Anotidaishe GN</v>
      </c>
      <c r="D215" s="137" t="str">
        <f>CONCATENATE('u19 boys'!F216," ",'u19 boys'!G216)</f>
        <v>MOHANLALL Ryan ETTA</v>
      </c>
      <c r="E215" s="216"/>
      <c r="F215" s="567" t="str">
        <f>CONCATENATE('u15 boys'!F216," ",'u15 boys'!G216)</f>
        <v>SEWLALL Jatin UMG</v>
      </c>
      <c r="G215" s="216" t="str">
        <f>CONCATENATE('u15 girls'!F218," ",'u15 girls'!G218)</f>
        <v xml:space="preserve"> </v>
      </c>
      <c r="H215" s="796" t="str">
        <f>CONCATENATE('u13 boys'!F215," ",'u13 boys'!G215)</f>
        <v>PARBHOO Shyaam GN</v>
      </c>
      <c r="I215" s="216" t="str">
        <f>CONCATENATE('u13 girls'!F221," ",'u13 girls'!G221)</f>
        <v xml:space="preserve"> </v>
      </c>
      <c r="J215" s="137" t="str">
        <f>CONCATENATE('u11 boys'!F218," ",'u11 boys'!G218)</f>
        <v xml:space="preserve"> </v>
      </c>
      <c r="K215" s="216" t="str">
        <f>CONCATENATE('u11 girls'!F214," ",'u11 girls'!G214)</f>
        <v xml:space="preserve"> </v>
      </c>
    </row>
    <row r="216" spans="1:11" s="147" customFormat="1" ht="40" customHeight="1">
      <c r="A216" s="148">
        <f t="shared" si="3"/>
        <v>213</v>
      </c>
      <c r="B216" s="807" t="str">
        <f>CONCATENATE(Men!E216," ",Men!F216)</f>
        <v>Gift Hlatshwayo  FS</v>
      </c>
      <c r="C216" s="805" t="str">
        <f>CONCATENATE(Women!E226," ",Women!F226)</f>
        <v>HUSVU Tadiwanashi GN</v>
      </c>
      <c r="D216" s="137" t="str">
        <f>CONCATENATE('u19 boys'!F217," ",'u19 boys'!G217)</f>
        <v>MKONTWANE Simphiwe ETTA</v>
      </c>
      <c r="E216" s="216"/>
      <c r="F216" s="567" t="str">
        <f>CONCATENATE('u15 boys'!F217," ",'u15 boys'!G217)</f>
        <v>REDDY Fabian Emanuel  ETTA</v>
      </c>
      <c r="G216" s="216" t="str">
        <f>CONCATENATE('u15 girls'!F219," ",'u15 girls'!G219)</f>
        <v xml:space="preserve"> </v>
      </c>
      <c r="H216" s="796" t="e">
        <f>CONCATENATE('u13 boys'!#REF!," ",'u13 boys'!#REF!)</f>
        <v>#REF!</v>
      </c>
      <c r="I216" s="216" t="str">
        <f>CONCATENATE('u13 girls'!F222," ",'u13 girls'!G222)</f>
        <v xml:space="preserve"> </v>
      </c>
      <c r="J216" s="137" t="str">
        <f>CONCATENATE('u11 boys'!F219," ",'u11 boys'!G219)</f>
        <v xml:space="preserve"> </v>
      </c>
      <c r="K216" s="216" t="str">
        <f>CONCATENATE('u11 girls'!F215," ",'u11 girls'!G215)</f>
        <v xml:space="preserve"> </v>
      </c>
    </row>
    <row r="217" spans="1:11" s="147" customFormat="1" ht="40" customHeight="1">
      <c r="A217" s="148">
        <f t="shared" si="3"/>
        <v>214</v>
      </c>
      <c r="B217" s="807" t="str">
        <f>CONCATENATE(Men!E217," ",Men!F217)</f>
        <v>PILLAY Keval UMG</v>
      </c>
      <c r="C217" s="805" t="str">
        <f>CONCATENATE(Women!E227," ",Women!F227)</f>
        <v>Lisbi LATEGAN FS</v>
      </c>
      <c r="D217" s="137" t="str">
        <f>CONCATENATE('u19 boys'!F218," ",'u19 boys'!G218)</f>
        <v>MANSOER Zaheer CT</v>
      </c>
      <c r="E217" s="216"/>
      <c r="F217" s="567" t="str">
        <f>CONCATENATE('u15 boys'!F218," ",'u15 boys'!G218)</f>
        <v>KADAVIALEI Fahim JTTA</v>
      </c>
      <c r="G217" s="216" t="str">
        <f>CONCATENATE('u15 girls'!F220," ",'u15 girls'!G220)</f>
        <v xml:space="preserve"> </v>
      </c>
      <c r="H217" s="796" t="str">
        <f>CONCATENATE('u13 boys'!F216," ",'u13 boys'!G216)</f>
        <v>REGASSA Solomon LIM</v>
      </c>
      <c r="I217" s="216" t="str">
        <f>CONCATENATE('u13 girls'!F223," ",'u13 girls'!G223)</f>
        <v xml:space="preserve"> </v>
      </c>
      <c r="J217" s="137" t="str">
        <f>CONCATENATE('u11 boys'!F220," ",'u11 boys'!G220)</f>
        <v xml:space="preserve"> </v>
      </c>
      <c r="K217" s="216" t="str">
        <f>CONCATENATE('u11 girls'!F216," ",'u11 girls'!G216)</f>
        <v xml:space="preserve"> </v>
      </c>
    </row>
    <row r="218" spans="1:11" s="147" customFormat="1" ht="40" customHeight="1">
      <c r="A218" s="148">
        <f t="shared" si="3"/>
        <v>215</v>
      </c>
      <c r="B218" s="807" t="str">
        <f>CONCATENATE(Men!E218," ",Men!F218)</f>
        <v>HATA Tankiso FS</v>
      </c>
      <c r="C218" s="805" t="str">
        <f>CONCATENATE(Women!E228," ",Women!F228)</f>
        <v>Mamolatuli Mpesi FS</v>
      </c>
      <c r="D218" s="137" t="str">
        <f>CONCATENATE('u19 boys'!F219," ",'u19 boys'!G219)</f>
        <v>KING Rashaad EC</v>
      </c>
      <c r="E218" s="216"/>
      <c r="F218" s="567" t="str">
        <f>CONCATENATE('u15 boys'!F219," ",'u15 boys'!G219)</f>
        <v>Shabbir Chohan UMG</v>
      </c>
      <c r="G218" s="216" t="str">
        <f>CONCATENATE('u15 girls'!F221," ",'u15 girls'!G221)</f>
        <v xml:space="preserve"> </v>
      </c>
      <c r="H218" s="796" t="str">
        <f>CONCATENATE('u13 boys'!F217," ",'u13 boys'!G217)</f>
        <v>MBATHA  Emihle  UMZ</v>
      </c>
      <c r="I218" s="216" t="str">
        <f>CONCATENATE('u13 girls'!F224," ",'u13 girls'!G224)</f>
        <v xml:space="preserve"> </v>
      </c>
      <c r="J218" s="137" t="str">
        <f>CONCATENATE('u11 boys'!F221," ",'u11 boys'!G221)</f>
        <v xml:space="preserve"> </v>
      </c>
      <c r="K218" s="216" t="str">
        <f>CONCATENATE('u11 girls'!F217," ",'u11 girls'!G217)</f>
        <v xml:space="preserve"> </v>
      </c>
    </row>
    <row r="219" spans="1:11" s="147" customFormat="1" ht="40" customHeight="1">
      <c r="A219" s="148">
        <f t="shared" si="3"/>
        <v>216</v>
      </c>
      <c r="B219" s="807" t="str">
        <f>CONCATENATE(Men!E219," ",Men!F219)</f>
        <v>STEWART Dane  CT</v>
      </c>
      <c r="C219" s="805" t="str">
        <f>CONCATENATE(Women!E229," ",Women!F229)</f>
        <v>NHLAPO Lwazi ETTA</v>
      </c>
      <c r="D219" s="137" t="str">
        <f>CONCATENATE('u19 boys'!F220," ",'u19 boys'!G220)</f>
        <v>MOREMEDI Thuto  NWP</v>
      </c>
      <c r="E219" s="216"/>
      <c r="F219" s="567" t="str">
        <f>CONCATENATE('u15 boys'!F220," ",'u15 boys'!G220)</f>
        <v>ADRIAAN MJ WC</v>
      </c>
      <c r="G219" s="216" t="str">
        <f>CONCATENATE('u15 girls'!F222," ",'u15 girls'!G222)</f>
        <v xml:space="preserve"> </v>
      </c>
      <c r="H219" s="796" t="str">
        <f>CONCATENATE('u13 boys'!F218," ",'u13 boys'!G218)</f>
        <v>Morne PRETORIUS GN</v>
      </c>
      <c r="I219" s="216" t="str">
        <f>CONCATENATE('u13 girls'!F225," ",'u13 girls'!G225)</f>
        <v xml:space="preserve"> </v>
      </c>
      <c r="J219" s="137" t="str">
        <f>CONCATENATE('u11 boys'!F222," ",'u11 boys'!G222)</f>
        <v xml:space="preserve"> </v>
      </c>
      <c r="K219" s="216" t="str">
        <f>CONCATENATE('u11 girls'!F218," ",'u11 girls'!G218)</f>
        <v xml:space="preserve"> </v>
      </c>
    </row>
    <row r="220" spans="1:11" s="147" customFormat="1" ht="40" customHeight="1">
      <c r="A220" s="148">
        <f t="shared" si="3"/>
        <v>217</v>
      </c>
      <c r="B220" s="807" t="str">
        <f>CONCATENATE(Men!E220," ",Men!F220)</f>
        <v xml:space="preserve">OCTOBER Denzel EC </v>
      </c>
      <c r="C220" s="805" t="str">
        <f>CONCATENATE(Women!E230," ",Women!F230)</f>
        <v>PILLAY Karon UMG</v>
      </c>
      <c r="D220" s="137" t="str">
        <f>CONCATENATE('u19 boys'!F221," ",'u19 boys'!G221)</f>
        <v>TIETIES Carlo WC</v>
      </c>
      <c r="E220" s="216"/>
      <c r="F220" s="567" t="str">
        <f>CONCATENATE('u15 boys'!F221," ",'u15 boys'!G221)</f>
        <v>O' RYAN Alex CT</v>
      </c>
      <c r="G220" s="216" t="str">
        <f>CONCATENATE('u15 girls'!F223," ",'u15 girls'!G223)</f>
        <v xml:space="preserve"> </v>
      </c>
      <c r="H220" s="796" t="str">
        <f>CONCATENATE('u13 boys'!F219," ",'u13 boys'!G219)</f>
        <v>Oarabile MOTSHABI OTHER</v>
      </c>
      <c r="I220" s="216" t="str">
        <f>CONCATENATE('u13 girls'!F226," ",'u13 girls'!G226)</f>
        <v xml:space="preserve"> </v>
      </c>
      <c r="J220" s="137" t="str">
        <f>CONCATENATE('u11 boys'!F223," ",'u11 boys'!G223)</f>
        <v xml:space="preserve"> </v>
      </c>
      <c r="K220" s="216" t="str">
        <f>CONCATENATE('u11 girls'!F219," ",'u11 girls'!G219)</f>
        <v xml:space="preserve"> </v>
      </c>
    </row>
    <row r="221" spans="1:11" s="147" customFormat="1" ht="40" customHeight="1">
      <c r="A221" s="148">
        <f t="shared" si="3"/>
        <v>218</v>
      </c>
      <c r="B221" s="807" t="str">
        <f>CONCATENATE(Men!E221," ",Men!F221)</f>
        <v>BARTLETT Llewellyn CT</v>
      </c>
      <c r="C221" s="805" t="str">
        <f>CONCATENATE(Women!E231," ",Women!F231)</f>
        <v>Rethabile Modisenyane FS</v>
      </c>
      <c r="D221" s="137" t="str">
        <f>CONCATENATE('u19 boys'!F222," ",'u19 boys'!G222)</f>
        <v>MATTHYSSEN Huzzayr CT</v>
      </c>
      <c r="E221" s="220"/>
      <c r="F221" s="567" t="str">
        <f>CONCATENATE('u15 boys'!F222," ",'u15 boys'!G222)</f>
        <v>GOVENDER Bradwyn UMG</v>
      </c>
      <c r="G221" s="216" t="str">
        <f>CONCATENATE('u15 girls'!F224," ",'u15 girls'!G224)</f>
        <v xml:space="preserve"> </v>
      </c>
      <c r="H221" s="796" t="str">
        <f>CONCATENATE('u13 boys'!F220," ",'u13 boys'!G220)</f>
        <v>DLADLA Siphiwe  ETTA</v>
      </c>
      <c r="I221" s="216" t="str">
        <f>CONCATENATE('u13 girls'!F227," ",'u13 girls'!G227)</f>
        <v xml:space="preserve"> </v>
      </c>
      <c r="J221" s="137" t="str">
        <f>CONCATENATE('u11 boys'!F224," ",'u11 boys'!G224)</f>
        <v xml:space="preserve"> </v>
      </c>
      <c r="K221" s="216" t="str">
        <f>CONCATENATE('u11 girls'!F220," ",'u11 girls'!G220)</f>
        <v xml:space="preserve"> </v>
      </c>
    </row>
    <row r="222" spans="1:11" s="147" customFormat="1" ht="40" customHeight="1">
      <c r="A222" s="148">
        <f t="shared" si="3"/>
        <v>219</v>
      </c>
      <c r="B222" s="807" t="str">
        <f>CONCATENATE(Men!E222," ",Men!F222)</f>
        <v>PEKEUR Keanan  CT</v>
      </c>
      <c r="C222" s="805" t="str">
        <f>CONCATENATE(Women!E232," ",Women!F232)</f>
        <v>BODIBE Mmathapelo  JTTA</v>
      </c>
      <c r="D222" s="137" t="str">
        <f>CONCATENATE('u19 boys'!F223," ",'u19 boys'!G223)</f>
        <v>VISAGIE Dale WC</v>
      </c>
      <c r="E222" s="220"/>
      <c r="F222" s="567" t="str">
        <f>CONCATENATE('u15 boys'!F223," ",'u15 boys'!G223)</f>
        <v>PETERS Marvin CT</v>
      </c>
      <c r="G222" s="216" t="str">
        <f>CONCATENATE('u15 girls'!F225," ",'u15 girls'!G225)</f>
        <v xml:space="preserve"> </v>
      </c>
      <c r="H222" s="796" t="str">
        <f>CONCATENATE('u13 boys'!F221," ",'u13 boys'!G221)</f>
        <v>KHUZWAYO Neo ETTA</v>
      </c>
      <c r="I222" s="216" t="str">
        <f>CONCATENATE('u13 girls'!F228," ",'u13 girls'!G228)</f>
        <v xml:space="preserve"> </v>
      </c>
      <c r="J222" s="137" t="str">
        <f>CONCATENATE('u11 boys'!F225," ",'u11 boys'!G225)</f>
        <v xml:space="preserve"> </v>
      </c>
      <c r="K222" s="216" t="str">
        <f>CONCATENATE('u11 girls'!F221," ",'u11 girls'!G221)</f>
        <v xml:space="preserve"> </v>
      </c>
    </row>
    <row r="223" spans="1:11" s="147" customFormat="1" ht="40" customHeight="1">
      <c r="A223" s="148">
        <f t="shared" si="3"/>
        <v>220</v>
      </c>
      <c r="B223" s="807" t="str">
        <f>CONCATENATE(Men!E223," ",Men!F223)</f>
        <v>DAWOOD Saleem ETTA</v>
      </c>
      <c r="C223" s="805" t="str">
        <f>CONCATENATE(Women!E233," ",Women!F233)</f>
        <v>MAY Alvina CW</v>
      </c>
      <c r="D223" s="137" t="str">
        <f>CONCATENATE('u19 boys'!F224," ",'u19 boys'!G224)</f>
        <v>NAIKER Uveshan ETTA</v>
      </c>
      <c r="E223" s="220"/>
      <c r="F223" s="567" t="str">
        <f>CONCATENATE('u15 boys'!F224," ",'u15 boys'!G224)</f>
        <v>Sibani NKOSI UMZ</v>
      </c>
      <c r="G223" s="216" t="str">
        <f>CONCATENATE('u15 girls'!F226," ",'u15 girls'!G226)</f>
        <v xml:space="preserve"> </v>
      </c>
      <c r="H223" s="798" t="str">
        <f>CONCATENATE('u13 boys'!F222," ",'u13 boys'!G222)</f>
        <v>DZANIBE Kethukuthula ETTA</v>
      </c>
      <c r="I223" s="216" t="str">
        <f>CONCATENATE('u13 girls'!F229," ",'u13 girls'!G229)</f>
        <v xml:space="preserve"> </v>
      </c>
      <c r="J223" s="137" t="str">
        <f>CONCATENATE('u11 boys'!F226," ",'u11 boys'!G226)</f>
        <v xml:space="preserve"> </v>
      </c>
      <c r="K223" s="216" t="str">
        <f>CONCATENATE('u11 girls'!F222," ",'u11 girls'!G222)</f>
        <v xml:space="preserve"> </v>
      </c>
    </row>
    <row r="224" spans="1:11" s="147" customFormat="1" ht="40" customHeight="1">
      <c r="A224" s="148">
        <f t="shared" si="3"/>
        <v>221</v>
      </c>
      <c r="B224" s="807" t="str">
        <f>CONCATENATE(Men!E224," ",Men!F224)</f>
        <v>DAWOOD Abdullah  JTTA</v>
      </c>
      <c r="C224" s="805" t="str">
        <f>CONCATENATE(Women!E234," ",Women!F234)</f>
        <v>NACKERDIEN Zahra CW</v>
      </c>
      <c r="D224" s="137" t="str">
        <f>CONCATENATE('u19 boys'!F225," ",'u19 boys'!G225)</f>
        <v>GOVENDER Bradwyn UMG</v>
      </c>
      <c r="E224" s="217"/>
      <c r="F224" s="567" t="str">
        <f>CONCATENATE('u15 boys'!F225," ",'u15 boys'!G225)</f>
        <v>Sinakhokonke DUBE UMZ</v>
      </c>
      <c r="G224" s="216" t="str">
        <f>CONCATENATE('u15 girls'!F227," ",'u15 girls'!G227)</f>
        <v xml:space="preserve"> </v>
      </c>
      <c r="H224" s="798" t="str">
        <f>CONCATENATE('u13 boys'!F223," ",'u13 boys'!G223)</f>
        <v>NARAIN Matthew Eden</v>
      </c>
      <c r="I224" s="216" t="str">
        <f>CONCATENATE('u13 girls'!F230," ",'u13 girls'!G230)</f>
        <v xml:space="preserve"> </v>
      </c>
      <c r="J224" s="137" t="str">
        <f>CONCATENATE('u11 boys'!F227," ",'u11 boys'!G227)</f>
        <v xml:space="preserve"> </v>
      </c>
      <c r="K224" s="216" t="str">
        <f>CONCATENATE('u11 girls'!F223," ",'u11 girls'!G223)</f>
        <v xml:space="preserve"> </v>
      </c>
    </row>
    <row r="225" spans="1:11" s="147" customFormat="1" ht="40" customHeight="1">
      <c r="A225" s="148">
        <f t="shared" si="3"/>
        <v>222</v>
      </c>
      <c r="B225" s="807" t="str">
        <f>CONCATENATE(Men!E225," ",Men!F225)</f>
        <v>RAMLAGAN Romel ETTA</v>
      </c>
      <c r="C225" s="805" t="str">
        <f>CONCATENATE(Women!E235," ",Women!F235)</f>
        <v>Nazeema Khan  CW</v>
      </c>
      <c r="D225" s="137" t="str">
        <f>CONCATENATE('u19 boys'!F226," ",'u19 boys'!G226)</f>
        <v>Moganisi Ofentse NWP</v>
      </c>
      <c r="E225" s="217"/>
      <c r="F225" s="567" t="str">
        <f>CONCATENATE('u15 boys'!F226," ",'u15 boys'!G226)</f>
        <v>Siyabonga MOTLOUNG UMZ</v>
      </c>
      <c r="G225" s="216" t="str">
        <f>CONCATENATE('u15 girls'!F228," ",'u15 girls'!G228)</f>
        <v xml:space="preserve"> </v>
      </c>
      <c r="H225" s="798" t="str">
        <f>CONCATENATE('u13 boys'!F224," ",'u13 boys'!G224)</f>
        <v>NOOR Hanad Eden</v>
      </c>
      <c r="I225" s="216" t="str">
        <f>CONCATENATE('u13 girls'!F231," ",'u13 girls'!G231)</f>
        <v xml:space="preserve"> </v>
      </c>
      <c r="J225" s="137" t="str">
        <f>CONCATENATE('u11 boys'!F228," ",'u11 boys'!G228)</f>
        <v xml:space="preserve"> </v>
      </c>
      <c r="K225" s="216" t="str">
        <f>CONCATENATE('u11 girls'!F224," ",'u11 girls'!G224)</f>
        <v xml:space="preserve"> </v>
      </c>
    </row>
    <row r="226" spans="1:11" s="147" customFormat="1" ht="40" customHeight="1">
      <c r="A226" s="148">
        <f t="shared" si="3"/>
        <v>223</v>
      </c>
      <c r="B226" s="807" t="str">
        <f>CONCATENATE(Men!E226," ",Men!F226)</f>
        <v>SHERATON Ferrol ETTA</v>
      </c>
      <c r="C226" s="805" t="str">
        <f>CONCATENATE(Women!E237," ",Women!F237)</f>
        <v>PATSELA Confidance  JTTA</v>
      </c>
      <c r="D226" s="137" t="str">
        <f>CONCATENATE('u19 boys'!F227," ",'u19 boys'!G227)</f>
        <v>GETACHEW Ebenezer JTTA</v>
      </c>
      <c r="E226" s="217"/>
      <c r="F226" s="567" t="str">
        <f>CONCATENATE('u15 boys'!F227," ",'u15 boys'!G227)</f>
        <v>MLAMBO Lethabo Nicky LIM</v>
      </c>
      <c r="G226" s="216" t="str">
        <f>CONCATENATE('u15 girls'!F229," ",'u15 girls'!G229)</f>
        <v xml:space="preserve"> </v>
      </c>
      <c r="H226" s="798" t="str">
        <f>CONCATENATE('u13 boys'!F225," ",'u13 boys'!G225)</f>
        <v>TALLA John JTTA</v>
      </c>
      <c r="I226" s="216" t="str">
        <f>CONCATENATE('u13 girls'!F232," ",'u13 girls'!G232)</f>
        <v xml:space="preserve"> </v>
      </c>
      <c r="J226" s="137" t="str">
        <f>CONCATENATE('u11 boys'!F229," ",'u11 boys'!G229)</f>
        <v xml:space="preserve"> </v>
      </c>
      <c r="K226" s="216" t="str">
        <f>CONCATENATE('u11 girls'!F225," ",'u11 girls'!G225)</f>
        <v xml:space="preserve"> </v>
      </c>
    </row>
    <row r="227" spans="1:11" s="147" customFormat="1" ht="40" customHeight="1">
      <c r="A227" s="148">
        <f t="shared" si="3"/>
        <v>224</v>
      </c>
      <c r="B227" s="807" t="str">
        <f>CONCATENATE(Men!E227," ",Men!F227)</f>
        <v>ABRAHAMS Jermaine  CW</v>
      </c>
      <c r="C227" s="805" t="str">
        <f>CONCATENATE(Women!E238," ",Women!F238)</f>
        <v>PEKEUR Shaninque CW</v>
      </c>
      <c r="D227" s="137" t="str">
        <f>CONCATENATE('u19 boys'!F228," ",'u19 boys'!G228)</f>
        <v>LESIE Goitsemodimo NWP</v>
      </c>
      <c r="E227" s="217"/>
      <c r="F227" s="567" t="str">
        <f>CONCATENATE('u15 boys'!F228," ",'u15 boys'!G228)</f>
        <v>NTSHONTSHO Ongeziwe EC</v>
      </c>
      <c r="G227" s="216" t="str">
        <f>CONCATENATE('u15 girls'!F230," ",'u15 girls'!G230)</f>
        <v xml:space="preserve"> </v>
      </c>
      <c r="H227" s="798" t="str">
        <f>CONCATENATE('u13 boys'!F226," ",'u13 boys'!G226)</f>
        <v>PRETORIUS Ratau CW</v>
      </c>
      <c r="I227" s="216" t="str">
        <f>CONCATENATE('u13 girls'!F233," ",'u13 girls'!G233)</f>
        <v xml:space="preserve"> </v>
      </c>
      <c r="J227" s="137" t="str">
        <f>CONCATENATE('u11 boys'!F230," ",'u11 boys'!G230)</f>
        <v xml:space="preserve"> </v>
      </c>
      <c r="K227" s="216" t="str">
        <f>CONCATENATE('u11 girls'!F226," ",'u11 girls'!G226)</f>
        <v xml:space="preserve"> </v>
      </c>
    </row>
    <row r="228" spans="1:11" s="147" customFormat="1" ht="40" customHeight="1">
      <c r="A228" s="148">
        <f t="shared" si="3"/>
        <v>225</v>
      </c>
      <c r="B228" s="807" t="str">
        <f>CONCATENATE(Men!E228," ",Men!F228)</f>
        <v>GOVINDASAMY Morganathan UMG</v>
      </c>
      <c r="C228" s="805" t="str">
        <f>CONCATENATE(Women!E240," ",Women!F240)</f>
        <v>SILOMA Nicole  JTTA</v>
      </c>
      <c r="D228" s="137" t="str">
        <f>CONCATENATE('u19 boys'!F229," ",'u19 boys'!G229)</f>
        <v>NXUMALO Ntando EKU</v>
      </c>
      <c r="E228" s="217"/>
      <c r="F228" s="567" t="str">
        <f>CONCATENATE('u15 boys'!F229," ",'u15 boys'!G229)</f>
        <v>TOPOL Alon JTTA</v>
      </c>
      <c r="G228" s="216" t="str">
        <f>CONCATENATE('u15 girls'!F231," ",'u15 girls'!G231)</f>
        <v xml:space="preserve"> </v>
      </c>
      <c r="H228" s="798" t="str">
        <f>CONCATENATE('u13 boys'!F227," ",'u13 boys'!G227)</f>
        <v>JACOBS Ghaneef CW</v>
      </c>
      <c r="I228" s="216" t="str">
        <f>CONCATENATE('u13 girls'!F234," ",'u13 girls'!G234)</f>
        <v xml:space="preserve"> </v>
      </c>
      <c r="J228" s="137" t="str">
        <f>CONCATENATE('u11 boys'!F231," ",'u11 boys'!G231)</f>
        <v xml:space="preserve"> </v>
      </c>
      <c r="K228" s="216" t="str">
        <f>CONCATENATE('u11 girls'!F227," ",'u11 girls'!G227)</f>
        <v xml:space="preserve"> </v>
      </c>
    </row>
    <row r="229" spans="1:11" s="147" customFormat="1" ht="40" customHeight="1">
      <c r="A229" s="148">
        <f t="shared" si="3"/>
        <v>226</v>
      </c>
      <c r="B229" s="807" t="str">
        <f>CONCATENATE(Men!E229," ",Men!F229)</f>
        <v>CHAPMAN Kian CT</v>
      </c>
      <c r="C229" s="805" t="str">
        <f>CONCATENATE(Women!E241," ",Women!F241)</f>
        <v>SITHLABE Masego  JTTA</v>
      </c>
      <c r="D229" s="137" t="str">
        <f>CONCATENATE('u19 boys'!F230," ",'u19 boys'!G230)</f>
        <v>SESOANE Siyabulela EKU</v>
      </c>
      <c r="E229" s="217"/>
      <c r="F229" s="567" t="str">
        <f>CONCATENATE('u15 boys'!F230," ",'u15 boys'!G230)</f>
        <v>MEYERSON Benji JTTA</v>
      </c>
      <c r="G229" s="216" t="str">
        <f>CONCATENATE('u15 girls'!F232," ",'u15 girls'!G232)</f>
        <v xml:space="preserve"> </v>
      </c>
      <c r="H229" s="798" t="str">
        <f>CONCATENATE('u13 boys'!F228," ",'u13 boys'!G228)</f>
        <v>JOUBERT Reynaldo Eden</v>
      </c>
      <c r="I229" s="216" t="str">
        <f>CONCATENATE('u13 girls'!F235," ",'u13 girls'!G235)</f>
        <v xml:space="preserve"> </v>
      </c>
      <c r="J229" s="137" t="str">
        <f>CONCATENATE('u11 boys'!F232," ",'u11 boys'!G232)</f>
        <v xml:space="preserve"> </v>
      </c>
      <c r="K229" s="216" t="str">
        <f>CONCATENATE('u11 girls'!F228," ",'u11 girls'!G228)</f>
        <v xml:space="preserve"> </v>
      </c>
    </row>
    <row r="230" spans="1:11" s="147" customFormat="1" ht="40" customHeight="1">
      <c r="A230" s="148">
        <f t="shared" si="3"/>
        <v>227</v>
      </c>
      <c r="B230" s="807" t="str">
        <f>CONCATENATE(Men!E230," ",Men!F230)</f>
        <v>HOHL Uwe JTTA</v>
      </c>
      <c r="C230" s="805" t="str">
        <f>CONCATENATE(Women!E243," ",Women!F243)</f>
        <v>SOULS Siyabulela NW</v>
      </c>
      <c r="D230" s="137" t="str">
        <f>CONCATENATE('u19 boys'!F231," ",'u19 boys'!G231)</f>
        <v>NKOSI Tshepo EKU</v>
      </c>
      <c r="E230" s="217"/>
      <c r="F230" s="567" t="str">
        <f>CONCATENATE('u15 boys'!F231," ",'u15 boys'!G231)</f>
        <v>BONOKWANE Boitumelo NWP</v>
      </c>
      <c r="G230" s="216" t="str">
        <f>CONCATENATE('u15 girls'!F233," ",'u15 girls'!G233)</f>
        <v xml:space="preserve"> </v>
      </c>
      <c r="H230" s="798" t="str">
        <f>CONCATENATE('u13 boys'!F229," ",'u13 boys'!G229)</f>
        <v>MARAIS Barry GN</v>
      </c>
      <c r="I230" s="216" t="str">
        <f>CONCATENATE('u13 girls'!F236," ",'u13 girls'!G236)</f>
        <v xml:space="preserve"> </v>
      </c>
      <c r="J230" s="137" t="str">
        <f>CONCATENATE('u11 boys'!F233," ",'u11 boys'!G233)</f>
        <v xml:space="preserve"> </v>
      </c>
      <c r="K230" s="216" t="str">
        <f>CONCATENATE('u11 girls'!F229," ",'u11 girls'!G229)</f>
        <v xml:space="preserve"> </v>
      </c>
    </row>
    <row r="231" spans="1:11" s="147" customFormat="1" ht="40" customHeight="1">
      <c r="A231" s="148">
        <f t="shared" si="3"/>
        <v>228</v>
      </c>
      <c r="B231" s="807" t="str">
        <f>CONCATENATE(Men!E231," ",Men!F231)</f>
        <v>MWEZENI Sibabalwe EC</v>
      </c>
      <c r="C231" s="805" t="str">
        <f>CONCATENATE(Women!E244," ",Women!F244)</f>
        <v>GIKWA Fezeke  CW</v>
      </c>
      <c r="D231" s="137" t="str">
        <f>CONCATENATE('u19 boys'!F232," ",'u19 boys'!G232)</f>
        <v>Tsepang MOKWANE UMZ</v>
      </c>
      <c r="E231" s="217"/>
      <c r="F231" s="567" t="str">
        <f>CONCATENATE('u15 boys'!F232," ",'u15 boys'!G232)</f>
        <v>HLAHANE Bonolo NWP</v>
      </c>
      <c r="G231" s="216" t="str">
        <f>CONCATENATE('u15 girls'!F234," ",'u15 girls'!G234)</f>
        <v xml:space="preserve"> </v>
      </c>
      <c r="H231" s="798" t="str">
        <f>CONCATENATE('u13 boys'!F230," ",'u13 boys'!G230)</f>
        <v>HANSROD Muhammed  SED</v>
      </c>
      <c r="I231" s="216" t="str">
        <f>CONCATENATE('u13 girls'!F237," ",'u13 girls'!G237)</f>
        <v xml:space="preserve"> </v>
      </c>
      <c r="J231" s="137" t="str">
        <f>CONCATENATE('u11 boys'!F234," ",'u11 boys'!G234)</f>
        <v xml:space="preserve"> </v>
      </c>
      <c r="K231" s="216" t="str">
        <f>CONCATENATE('u11 girls'!F230," ",'u11 girls'!G230)</f>
        <v xml:space="preserve"> </v>
      </c>
    </row>
    <row r="232" spans="1:11" s="147" customFormat="1" ht="40" customHeight="1">
      <c r="A232" s="148">
        <f t="shared" si="3"/>
        <v>229</v>
      </c>
      <c r="B232" s="807" t="str">
        <f>CONCATENATE(Men!E232," ",Men!F232)</f>
        <v>KLEINTJES Charles CW</v>
      </c>
      <c r="C232" s="805" t="str">
        <f>CONCATENATE(Women!E245," ",Women!F245)</f>
        <v>JONES Shona CT</v>
      </c>
      <c r="D232" s="137" t="str">
        <f>CONCATENATE('u19 boys'!F233," ",'u19 boys'!G233)</f>
        <v>Kamohelo MOLAPISI EKU</v>
      </c>
      <c r="E232" s="217"/>
      <c r="F232" s="567" t="str">
        <f>CONCATENATE('u15 boys'!F233," ",'u15 boys'!G233)</f>
        <v>MOKWA K NWP</v>
      </c>
      <c r="G232" s="216" t="str">
        <f>CONCATENATE('u15 girls'!F235," ",'u15 girls'!G235)</f>
        <v xml:space="preserve"> </v>
      </c>
      <c r="H232" s="798" t="str">
        <f>CONCATENATE('u13 boys'!F231," ",'u13 boys'!G231)</f>
        <v>Muaaz HOOSEN JTTA</v>
      </c>
      <c r="I232" s="216" t="str">
        <f>CONCATENATE('u13 girls'!F238," ",'u13 girls'!G238)</f>
        <v xml:space="preserve"> </v>
      </c>
      <c r="J232" s="137" t="str">
        <f>CONCATENATE('u11 boys'!F235," ",'u11 boys'!G235)</f>
        <v xml:space="preserve"> </v>
      </c>
      <c r="K232" s="216" t="str">
        <f>CONCATENATE('u11 girls'!F231," ",'u11 girls'!G231)</f>
        <v xml:space="preserve"> </v>
      </c>
    </row>
    <row r="233" spans="1:11" s="147" customFormat="1" ht="40" customHeight="1">
      <c r="A233" s="148">
        <f t="shared" si="3"/>
        <v>230</v>
      </c>
      <c r="B233" s="807" t="str">
        <f>CONCATENATE(Men!E233," ",Men!F233)</f>
        <v>DICKASON Nathan UMG</v>
      </c>
      <c r="C233" s="805" t="str">
        <f>CONCATENATE(Women!E246," ",Women!F246)</f>
        <v>MADVIRAKARE Lerato JTTA</v>
      </c>
      <c r="D233" s="137" t="str">
        <f>CONCATENATE('u19 boys'!F234," ",'u19 boys'!G234)</f>
        <v>Obaid KARBELKER UMZ</v>
      </c>
      <c r="E233" s="217"/>
      <c r="F233" s="567" t="str">
        <f>CONCATENATE('u15 boys'!F234," ",'u15 boys'!G234)</f>
        <v>GAGOITSIWE Oarabile NWP</v>
      </c>
      <c r="G233" s="216" t="str">
        <f>CONCATENATE('u15 girls'!F236," ",'u15 girls'!G236)</f>
        <v xml:space="preserve"> </v>
      </c>
      <c r="H233" s="798" t="str">
        <f>CONCATENATE('u13 boys'!F232," ",'u13 boys'!G232)</f>
        <v>Jordan HARTNICK CT</v>
      </c>
      <c r="I233" s="216" t="str">
        <f>CONCATENATE('u13 girls'!F239," ",'u13 girls'!G239)</f>
        <v xml:space="preserve"> </v>
      </c>
      <c r="J233" s="137" t="str">
        <f>CONCATENATE('u11 boys'!F236," ",'u11 boys'!G236)</f>
        <v xml:space="preserve"> </v>
      </c>
      <c r="K233" s="216" t="str">
        <f>CONCATENATE('u11 girls'!F232," ",'u11 girls'!G232)</f>
        <v xml:space="preserve"> </v>
      </c>
    </row>
    <row r="234" spans="1:11" s="147" customFormat="1" ht="40" customHeight="1">
      <c r="A234" s="148">
        <f t="shared" si="3"/>
        <v>231</v>
      </c>
      <c r="B234" s="807" t="str">
        <f>CONCATENATE(Men!E234," ",Men!F234)</f>
        <v>LIU Mo JTTA</v>
      </c>
      <c r="C234" s="805" t="str">
        <f>CONCATENATE(Women!E247," ",Women!F247)</f>
        <v>MARSHALL Rebekah JTTA</v>
      </c>
      <c r="D234" s="137" t="str">
        <f>CONCATENATE('u19 boys'!F235," ",'u19 boys'!G235)</f>
        <v>SINGISELO Loyiso  CT</v>
      </c>
      <c r="E234" s="217"/>
      <c r="F234" s="567" t="str">
        <f>CONCATENATE('u15 boys'!F235," ",'u15 boys'!G235)</f>
        <v>MPEHLE Imanathi EKU</v>
      </c>
      <c r="G234" s="216" t="str">
        <f>CONCATENATE('u15 girls'!F237," ",'u15 girls'!G237)</f>
        <v xml:space="preserve"> </v>
      </c>
      <c r="H234" s="798" t="str">
        <f>CONCATENATE('u13 boys'!F233," ",'u13 boys'!G233)</f>
        <v>PADAYACHEE Taariq UMG</v>
      </c>
      <c r="I234" s="216" t="str">
        <f>CONCATENATE('u13 girls'!F240," ",'u13 girls'!G240)</f>
        <v xml:space="preserve"> </v>
      </c>
      <c r="J234" s="137" t="str">
        <f>CONCATENATE('u11 boys'!F237," ",'u11 boys'!G237)</f>
        <v xml:space="preserve"> </v>
      </c>
      <c r="K234" s="216" t="str">
        <f>CONCATENATE('u11 girls'!F233," ",'u11 girls'!G233)</f>
        <v xml:space="preserve"> </v>
      </c>
    </row>
    <row r="235" spans="1:11" s="147" customFormat="1" ht="40" customHeight="1">
      <c r="A235" s="148">
        <f t="shared" si="3"/>
        <v>232</v>
      </c>
      <c r="B235" s="807" t="str">
        <f>CONCATENATE(Men!E235," ",Men!F235)</f>
        <v>TILUK Shivaal UMG</v>
      </c>
      <c r="C235" s="805" t="str">
        <f>CONCATENATE(Women!E248," ",Women!F248)</f>
        <v>MOTLOUNG Palesa FS</v>
      </c>
      <c r="D235" s="137" t="str">
        <f>CONCATENATE('u19 boys'!F236," ",'u19 boys'!G236)</f>
        <v>JACOBS Rushin  CT</v>
      </c>
      <c r="E235" s="217"/>
      <c r="F235" s="567" t="str">
        <f>CONCATENATE('u15 boys'!F236," ",'u15 boys'!G236)</f>
        <v>DZINGA Thamsanqa EKU</v>
      </c>
      <c r="G235" s="216" t="str">
        <f>CONCATENATE('u15 girls'!F238," ",'u15 girls'!G238)</f>
        <v xml:space="preserve"> </v>
      </c>
      <c r="H235" s="798" t="str">
        <f>CONCATENATE('u13 boys'!F234," ",'u13 boys'!G234)</f>
        <v>T Sehantle  FS</v>
      </c>
      <c r="I235" s="216" t="str">
        <f>CONCATENATE('u13 girls'!F241," ",'u13 girls'!G241)</f>
        <v xml:space="preserve"> </v>
      </c>
      <c r="J235" s="137" t="str">
        <f>CONCATENATE('u11 boys'!F238," ",'u11 boys'!G238)</f>
        <v xml:space="preserve"> </v>
      </c>
      <c r="K235" s="216" t="str">
        <f>CONCATENATE('u11 girls'!F234," ",'u11 girls'!G234)</f>
        <v xml:space="preserve"> </v>
      </c>
    </row>
    <row r="236" spans="1:11" s="147" customFormat="1" ht="40" customHeight="1">
      <c r="A236" s="148">
        <f t="shared" si="3"/>
        <v>233</v>
      </c>
      <c r="B236" s="807" t="str">
        <f>CONCATENATE(Men!E236," ",Men!F236)</f>
        <v>SPAHR Frank Eden</v>
      </c>
      <c r="C236" s="805" t="str">
        <f>CONCATENATE(Women!E249," ",Women!F249)</f>
        <v>OOSTHUIZEN Shantell GN</v>
      </c>
      <c r="D236" s="137" t="str">
        <f>CONCATENATE('u19 boys'!F237," ",'u19 boys'!G237)</f>
        <v>ISAACS Daleel  CT</v>
      </c>
      <c r="E236" s="217"/>
      <c r="F236" s="567" t="str">
        <f>CONCATENATE('u15 boys'!F237," ",'u15 boys'!G237)</f>
        <v>NTEKANA Gosiame EKU</v>
      </c>
      <c r="G236" s="216" t="str">
        <f>CONCATENATE('u15 girls'!F239," ",'u15 girls'!G239)</f>
        <v xml:space="preserve"> </v>
      </c>
      <c r="H236" s="798" t="str">
        <f>CONCATENATE('u13 boys'!F235," ",'u13 boys'!G235)</f>
        <v>S Nklaone  FS</v>
      </c>
      <c r="I236" s="216" t="str">
        <f>CONCATENATE('u13 girls'!F242," ",'u13 girls'!G242)</f>
        <v xml:space="preserve"> </v>
      </c>
      <c r="J236" s="137" t="str">
        <f>CONCATENATE('u11 boys'!F239," ",'u11 boys'!G239)</f>
        <v xml:space="preserve"> </v>
      </c>
      <c r="K236" s="216" t="str">
        <f>CONCATENATE('u11 girls'!F235," ",'u11 girls'!G235)</f>
        <v xml:space="preserve"> </v>
      </c>
    </row>
    <row r="237" spans="1:11" s="147" customFormat="1" ht="40" customHeight="1">
      <c r="A237" s="148">
        <f t="shared" si="3"/>
        <v>234</v>
      </c>
      <c r="B237" s="807" t="str">
        <f>CONCATENATE(Men!E237," ",Men!F237)</f>
        <v>Manqoba Nyamate JTTA</v>
      </c>
      <c r="C237" s="805" t="str">
        <f>CONCATENATE(Women!E250," ",Women!F250)</f>
        <v>PETERSEN Renee  CW</v>
      </c>
      <c r="D237" s="137" t="str">
        <f>CONCATENATE('u19 boys'!F238," ",'u19 boys'!G238)</f>
        <v>JONES Gustav  JTTA</v>
      </c>
      <c r="E237" s="217"/>
      <c r="F237" s="567" t="str">
        <f>CONCATENATE('u15 boys'!F238," ",'u15 boys'!G238)</f>
        <v>MADONSELA Lwandile EKU</v>
      </c>
      <c r="G237" s="216" t="str">
        <f>CONCATENATE('u15 girls'!F240," ",'u15 girls'!G240)</f>
        <v xml:space="preserve"> </v>
      </c>
      <c r="H237" s="798" t="str">
        <f>CONCATENATE('u13 boys'!F236," ",'u13 boys'!G236)</f>
        <v>SINGH Nikash JTTA</v>
      </c>
      <c r="I237" s="216" t="str">
        <f>CONCATENATE('u13 girls'!F243," ",'u13 girls'!G243)</f>
        <v xml:space="preserve"> </v>
      </c>
      <c r="J237" s="137" t="str">
        <f>CONCATENATE('u11 boys'!F240," ",'u11 boys'!G240)</f>
        <v xml:space="preserve"> </v>
      </c>
      <c r="K237" s="216" t="str">
        <f>CONCATENATE('u11 girls'!F236," ",'u11 girls'!G236)</f>
        <v xml:space="preserve"> </v>
      </c>
    </row>
    <row r="238" spans="1:11" s="147" customFormat="1" ht="40" customHeight="1">
      <c r="A238" s="148">
        <f t="shared" si="3"/>
        <v>235</v>
      </c>
      <c r="B238" s="807" t="str">
        <f>CONCATENATE(Men!E238," ",Men!F238)</f>
        <v>PILLAY Devan UMG</v>
      </c>
      <c r="C238" s="805" t="str">
        <f>CONCATENATE(Women!E251," ",Women!F251)</f>
        <v>SAYED Fahima  JTTA</v>
      </c>
      <c r="D238" s="137" t="str">
        <f>CONCATENATE('u19 boys'!F239," ",'u19 boys'!G239)</f>
        <v>HENDRICKS Andrew  CW</v>
      </c>
      <c r="E238" s="216"/>
      <c r="F238" s="567" t="str">
        <f>CONCATENATE('u15 boys'!F239," ",'u15 boys'!G239)</f>
        <v>SIGABI Zukisani EC</v>
      </c>
      <c r="G238" s="216" t="str">
        <f>CONCATENATE('u15 girls'!F241," ",'u15 girls'!G241)</f>
        <v xml:space="preserve"> </v>
      </c>
      <c r="H238" s="798" t="str">
        <f>CONCATENATE('u13 boys'!F237," ",'u13 boys'!G237)</f>
        <v>Darshan SINGH JTTA</v>
      </c>
      <c r="I238" s="216" t="str">
        <f>CONCATENATE('u13 girls'!F244," ",'u13 girls'!G244)</f>
        <v xml:space="preserve"> </v>
      </c>
      <c r="J238" s="137" t="str">
        <f>CONCATENATE('u11 boys'!F241," ",'u11 boys'!G241)</f>
        <v xml:space="preserve"> </v>
      </c>
      <c r="K238" s="216" t="str">
        <f>CONCATENATE('u11 girls'!F237," ",'u11 girls'!G237)</f>
        <v xml:space="preserve"> </v>
      </c>
    </row>
    <row r="239" spans="1:11" s="147" customFormat="1" ht="40" customHeight="1">
      <c r="A239" s="148">
        <f t="shared" si="3"/>
        <v>236</v>
      </c>
      <c r="B239" s="807" t="str">
        <f>CONCATENATE(Men!E239," ",Men!F239)</f>
        <v>MANUEL Nas JTTA</v>
      </c>
      <c r="C239" s="805" t="str">
        <f>CONCATENATE(Women!E252," ",Women!F252)</f>
        <v>ZUMA Thembelihle  UTH</v>
      </c>
      <c r="D239" s="137" t="str">
        <f>CONCATENATE('u19 boys'!F240," ",'u19 boys'!G240)</f>
        <v xml:space="preserve"> GOLIATH Rowan NMB</v>
      </c>
      <c r="E239" s="216" t="s">
        <v>4722</v>
      </c>
      <c r="F239" s="567" t="str">
        <f>CONCATENATE('u15 boys'!F240," ",'u15 boys'!G240)</f>
        <v>BOOYSEN Marius  CW</v>
      </c>
      <c r="G239" s="216" t="str">
        <f>CONCATENATE('u15 girls'!F242," ",'u15 girls'!G242)</f>
        <v xml:space="preserve"> </v>
      </c>
      <c r="H239" s="798" t="str">
        <f>CONCATENATE('u13 boys'!F238," ",'u13 boys'!G238)</f>
        <v>K Sekike  FS</v>
      </c>
      <c r="I239" s="216" t="str">
        <f>CONCATENATE('u13 girls'!F245," ",'u13 girls'!G245)</f>
        <v xml:space="preserve"> </v>
      </c>
      <c r="J239" s="137" t="str">
        <f>CONCATENATE('u11 boys'!F242," ",'u11 boys'!G242)</f>
        <v xml:space="preserve"> </v>
      </c>
      <c r="K239" s="216" t="str">
        <f>CONCATENATE('u11 girls'!F238," ",'u11 girls'!G238)</f>
        <v xml:space="preserve"> </v>
      </c>
    </row>
    <row r="240" spans="1:11" s="147" customFormat="1" ht="40" customHeight="1">
      <c r="A240" s="148">
        <f t="shared" si="3"/>
        <v>237</v>
      </c>
      <c r="B240" s="807" t="str">
        <f>CONCATENATE(Men!E240," ",Men!F240)</f>
        <v>ILORI Samuel JTTA</v>
      </c>
      <c r="C240" s="805" t="str">
        <f>CONCATENATE(Women!E253," ",Women!F253)</f>
        <v>CHERE Matshediso LES</v>
      </c>
      <c r="D240" s="137" t="str">
        <f>CONCATENATE('u19 boys'!F241," ",'u19 boys'!G241)</f>
        <v>O'BRIEN Zachron NMB</v>
      </c>
      <c r="E240" s="216" t="s">
        <v>4722</v>
      </c>
      <c r="F240" s="567" t="str">
        <f>CONCATENATE('u15 boys'!F241," ",'u15 boys'!G241)</f>
        <v>DAVIDS Dorian  CT</v>
      </c>
      <c r="G240" s="216" t="str">
        <f>CONCATENATE('u15 girls'!F243," ",'u15 girls'!G243)</f>
        <v xml:space="preserve"> </v>
      </c>
      <c r="H240" s="798" t="str">
        <f>CONCATENATE('u13 boys'!F239," ",'u13 boys'!G239)</f>
        <v>MOHAMED Sudais  JTTA</v>
      </c>
      <c r="I240" s="216" t="str">
        <f>CONCATENATE('u13 girls'!F246," ",'u13 girls'!G246)</f>
        <v xml:space="preserve"> </v>
      </c>
      <c r="J240" s="137" t="str">
        <f>CONCATENATE('u11 boys'!F243," ",'u11 boys'!G243)</f>
        <v xml:space="preserve"> </v>
      </c>
      <c r="K240" s="216" t="str">
        <f>CONCATENATE('u11 girls'!F239," ",'u11 girls'!G239)</f>
        <v xml:space="preserve"> </v>
      </c>
    </row>
    <row r="241" spans="1:11" s="147" customFormat="1" ht="40" customHeight="1">
      <c r="A241" s="148">
        <f t="shared" si="3"/>
        <v>238</v>
      </c>
      <c r="B241" s="807" t="str">
        <f>CONCATENATE(Men!E241," ",Men!F241)</f>
        <v>WILLIAMS Darryl  CT</v>
      </c>
      <c r="C241" s="805" t="str">
        <f>CONCATENATE(Women!E254," ",Women!F256)</f>
        <v>GWE Namhla NW</v>
      </c>
      <c r="D241" s="137" t="str">
        <f>CONCATENATE('u19 boys'!F242," ",'u19 boys'!G242)</f>
        <v>PRINCE Zaine NMB</v>
      </c>
      <c r="E241" s="216" t="s">
        <v>4722</v>
      </c>
      <c r="F241" s="567" t="str">
        <f>CONCATENATE('u15 boys'!F242," ",'u15 boys'!G242)</f>
        <v>HURLING Caleb  CT</v>
      </c>
      <c r="G241" s="216" t="str">
        <f>CONCATENATE('u15 girls'!F244," ",'u15 girls'!G244)</f>
        <v xml:space="preserve"> </v>
      </c>
      <c r="H241" s="798" t="str">
        <f>CONCATENATE('u13 boys'!F240," ",'u13 boys'!G240)</f>
        <v>MIROSLAV Joe JTTA</v>
      </c>
      <c r="I241" s="216" t="str">
        <f>CONCATENATE('u13 girls'!F247," ",'u13 girls'!G247)</f>
        <v xml:space="preserve"> </v>
      </c>
      <c r="J241" s="137" t="str">
        <f>CONCATENATE('u11 boys'!F244," ",'u11 boys'!G244)</f>
        <v xml:space="preserve"> </v>
      </c>
      <c r="K241" s="216" t="str">
        <f>CONCATENATE('u11 girls'!F240," ",'u11 girls'!G240)</f>
        <v xml:space="preserve"> </v>
      </c>
    </row>
    <row r="242" spans="1:11" s="147" customFormat="1" ht="40" customHeight="1">
      <c r="A242" s="148">
        <f t="shared" si="3"/>
        <v>239</v>
      </c>
      <c r="B242" s="807" t="str">
        <f>CONCATENATE(Men!E242," ",Men!F242)</f>
        <v>VAN DER MERWE Nico GN</v>
      </c>
      <c r="C242" s="805" t="str">
        <f>CONCATENATE(Women!E255," ",Women!F255)</f>
        <v>KUTU Dineo NC</v>
      </c>
      <c r="D242" s="137" t="str">
        <f>CONCATENATE('u19 boys'!F243," ",'u19 boys'!G243)</f>
        <v>GERTZE Zanick NMB</v>
      </c>
      <c r="E242" s="216" t="s">
        <v>4722</v>
      </c>
      <c r="F242" s="567" t="str">
        <f>CONCATENATE('u15 boys'!F243," ",'u15 boys'!G243)</f>
        <v>PADAYACHEE Vaishant JTTA</v>
      </c>
      <c r="G242" s="216" t="str">
        <f>CONCATENATE('u15 girls'!F245," ",'u15 girls'!G245)</f>
        <v xml:space="preserve"> </v>
      </c>
      <c r="H242" s="798" t="str">
        <f>CONCATENATE('u13 boys'!F241," ",'u13 boys'!G241)</f>
        <v>Idris Abrahams  JTTA</v>
      </c>
      <c r="I242" s="216" t="str">
        <f>CONCATENATE('u13 girls'!F248," ",'u13 girls'!G248)</f>
        <v xml:space="preserve"> </v>
      </c>
      <c r="J242" s="137" t="str">
        <f>CONCATENATE('u11 boys'!F245," ",'u11 boys'!G245)</f>
        <v xml:space="preserve"> </v>
      </c>
      <c r="K242" s="216" t="str">
        <f>CONCATENATE('u11 girls'!F241," ",'u11 girls'!G241)</f>
        <v xml:space="preserve"> </v>
      </c>
    </row>
    <row r="243" spans="1:11" s="147" customFormat="1" ht="40" customHeight="1">
      <c r="A243" s="148">
        <f t="shared" si="3"/>
        <v>240</v>
      </c>
      <c r="B243" s="807" t="str">
        <f>CONCATENATE(Men!E243," ",Men!F243)</f>
        <v>DU TOIT JG GN</v>
      </c>
      <c r="C243" s="805" t="str">
        <f>CONCATENATE(Women!E256," ",Women!F256)</f>
        <v>MAGOPE Thlogi NW</v>
      </c>
      <c r="D243" s="137" t="str">
        <f>CONCATENATE('u19 boys'!F244," ",'u19 boys'!G244)</f>
        <v>PATEL Owais NMB</v>
      </c>
      <c r="E243" s="216" t="s">
        <v>4722</v>
      </c>
      <c r="F243" s="567" t="str">
        <f>CONCATENATE('u15 boys'!F244," ",'u15 boys'!G244)</f>
        <v>MKIVA Junior  CT</v>
      </c>
      <c r="G243" s="216" t="str">
        <f>CONCATENATE('u15 girls'!F246," ",'u15 girls'!G246)</f>
        <v xml:space="preserve"> </v>
      </c>
      <c r="H243" s="798" t="str">
        <f>CONCATENATE('u13 boys'!F242," ",'u13 boys'!G242)</f>
        <v>Sipho NKHOANE FS</v>
      </c>
      <c r="I243" s="216" t="str">
        <f>CONCATENATE('u13 girls'!F249," ",'u13 girls'!G249)</f>
        <v xml:space="preserve"> </v>
      </c>
      <c r="J243" s="137" t="str">
        <f>CONCATENATE('u11 boys'!F246," ",'u11 boys'!G246)</f>
        <v xml:space="preserve"> </v>
      </c>
      <c r="K243" s="216" t="str">
        <f>CONCATENATE('u11 girls'!F242," ",'u11 girls'!G242)</f>
        <v xml:space="preserve"> </v>
      </c>
    </row>
    <row r="244" spans="1:11" s="147" customFormat="1" ht="40" customHeight="1">
      <c r="A244" s="148">
        <f t="shared" si="3"/>
        <v>241</v>
      </c>
      <c r="B244" s="807" t="str">
        <f>CONCATENATE(Men!E244," ",Men!F244)</f>
        <v>STRYDOM  Le Roux USSA</v>
      </c>
      <c r="C244" s="805" t="str">
        <f>CONCATENATE(Women!E261," ",Women!F261)</f>
        <v>MONCHO Keitumetse NC</v>
      </c>
      <c r="D244" s="137" t="str">
        <f>CONCATENATE('u19 boys'!F245," ",'u19 boys'!G245)</f>
        <v>MADUNGOZI Ahluma  EC</v>
      </c>
      <c r="E244" s="216" t="s">
        <v>4722</v>
      </c>
      <c r="F244" s="567" t="str">
        <f>CONCATENATE('u15 boys'!F245," ",'u15 boys'!G245)</f>
        <v>PHILANDER Nickairo WC</v>
      </c>
      <c r="G244" s="216" t="str">
        <f>CONCATENATE('u15 girls'!F247," ",'u15 girls'!G247)</f>
        <v xml:space="preserve"> </v>
      </c>
      <c r="H244" s="798" t="str">
        <f>CONCATENATE('u13 boys'!F243," ",'u13 boys'!G243)</f>
        <v>Karabo MOALUSI FS</v>
      </c>
      <c r="I244" s="216" t="str">
        <f>CONCATENATE('u13 girls'!F250," ",'u13 girls'!G250)</f>
        <v xml:space="preserve"> </v>
      </c>
      <c r="J244" s="137" t="str">
        <f>CONCATENATE('u11 boys'!F247," ",'u11 boys'!G247)</f>
        <v xml:space="preserve"> </v>
      </c>
      <c r="K244" s="216" t="str">
        <f>CONCATENATE('u11 girls'!F243," ",'u11 girls'!G243)</f>
        <v xml:space="preserve"> </v>
      </c>
    </row>
    <row r="245" spans="1:11" s="147" customFormat="1" ht="40" customHeight="1">
      <c r="A245" s="148">
        <f t="shared" si="3"/>
        <v>242</v>
      </c>
      <c r="B245" s="807" t="str">
        <f>CONCATENATE(Men!E245," ",Men!F245)</f>
        <v>MOODLEY Philo NMB</v>
      </c>
      <c r="C245" s="805" t="str">
        <f>CONCATENATE(Women!E262," ",Women!F262)</f>
        <v>POTGIETER Miemie FS</v>
      </c>
      <c r="D245" s="137" t="str">
        <f>CONCATENATE('u19 boys'!F246," ",'u19 boys'!G246)</f>
        <v>COOK Matthew Mak NMB</v>
      </c>
      <c r="E245" s="216" t="s">
        <v>4722</v>
      </c>
      <c r="F245" s="567" t="str">
        <f>CONCATENATE('u15 boys'!F246," ",'u15 boys'!G246)</f>
        <v>MASUMOTHE Retshepile OTHER</v>
      </c>
      <c r="G245" s="216" t="str">
        <f>CONCATENATE('u15 girls'!F248," ",'u15 girls'!G248)</f>
        <v xml:space="preserve"> </v>
      </c>
      <c r="H245" s="798" t="str">
        <f>CONCATENATE('u13 boys'!F244," ",'u13 boys'!G244)</f>
        <v>PAMPLIN Blake  CT</v>
      </c>
      <c r="I245" s="216" t="str">
        <f>CONCATENATE('u13 girls'!F251," ",'u13 girls'!G251)</f>
        <v xml:space="preserve"> </v>
      </c>
      <c r="J245" s="137" t="str">
        <f>CONCATENATE('u11 boys'!F248," ",'u11 boys'!G248)</f>
        <v xml:space="preserve"> </v>
      </c>
      <c r="K245" s="216" t="str">
        <f>CONCATENATE('u11 girls'!F244," ",'u11 girls'!G244)</f>
        <v xml:space="preserve"> </v>
      </c>
    </row>
    <row r="246" spans="1:11" s="147" customFormat="1" ht="40" customHeight="1">
      <c r="A246" s="148">
        <f t="shared" si="3"/>
        <v>243</v>
      </c>
      <c r="B246" s="807" t="str">
        <f>CONCATENATE(Men!E246," ",Men!F246)</f>
        <v>FRANK Callum UMG</v>
      </c>
      <c r="C246" s="805" t="str">
        <f>CONCATENATE(Women!E263," ",Women!F263)</f>
        <v>SAUNDERS Jessica CT</v>
      </c>
      <c r="D246" s="137" t="str">
        <f>CONCATENATE('u19 boys'!F247," ",'u19 boys'!G247)</f>
        <v>RUITERS Jerenza NMB</v>
      </c>
      <c r="E246" s="216" t="s">
        <v>4722</v>
      </c>
      <c r="F246" s="567" t="str">
        <f>CONCATENATE('u15 boys'!F247," ",'u15 boys'!G247)</f>
        <v>SIVAK Zakariya  CT</v>
      </c>
      <c r="G246" s="216" t="str">
        <f>CONCATENATE('u15 girls'!F249," ",'u15 girls'!G249)</f>
        <v xml:space="preserve"> </v>
      </c>
      <c r="H246" s="798" t="str">
        <f>CONCATENATE('u13 boys'!F245," ",'u13 boys'!G245)</f>
        <v>SASMAN Abubakr  CT</v>
      </c>
      <c r="I246" s="216" t="str">
        <f>CONCATENATE('u13 girls'!F252," ",'u13 girls'!G252)</f>
        <v xml:space="preserve"> </v>
      </c>
      <c r="J246" s="137" t="str">
        <f>CONCATENATE('u11 boys'!F249," ",'u11 boys'!G249)</f>
        <v xml:space="preserve"> </v>
      </c>
      <c r="K246" s="216" t="str">
        <f>CONCATENATE('u11 girls'!F245," ",'u11 girls'!G245)</f>
        <v xml:space="preserve"> </v>
      </c>
    </row>
    <row r="247" spans="1:11" s="147" customFormat="1" ht="40" customHeight="1">
      <c r="A247" s="148">
        <f t="shared" si="3"/>
        <v>244</v>
      </c>
      <c r="B247" s="807" t="str">
        <f>CONCATENATE(Men!E247," ",Men!F247)</f>
        <v>BAGIRATHI Advay UMG</v>
      </c>
      <c r="C247" s="805" t="str">
        <f>CONCATENATE(Women!E264," ",Women!F264)</f>
        <v>SELEONE Refilwe CT</v>
      </c>
      <c r="D247" s="137" t="str">
        <f>CONCATENATE('u19 boys'!F248," ",'u19 boys'!G248)</f>
        <v>CRUYWAGEN Matthew GNTTB</v>
      </c>
      <c r="E247" s="216" t="s">
        <v>4722</v>
      </c>
      <c r="F247" s="567" t="str">
        <f>CONCATENATE('u15 boys'!F248," ",'u15 boys'!G248)</f>
        <v>MOHAMED Sofian  CT</v>
      </c>
      <c r="G247" s="216" t="str">
        <f>CONCATENATE('u15 girls'!F250," ",'u15 girls'!G250)</f>
        <v xml:space="preserve"> </v>
      </c>
      <c r="H247" s="798" t="str">
        <f>CONCATENATE('u13 boys'!F246," ",'u13 boys'!G246)</f>
        <v>MENTOR Nahum  CT</v>
      </c>
      <c r="I247" s="216" t="str">
        <f>CONCATENATE('u13 girls'!F253," ",'u13 girls'!G253)</f>
        <v xml:space="preserve"> </v>
      </c>
      <c r="J247" s="137" t="str">
        <f>CONCATENATE('u11 boys'!F250," ",'u11 boys'!G250)</f>
        <v xml:space="preserve"> </v>
      </c>
      <c r="K247" s="216" t="str">
        <f>CONCATENATE('u11 girls'!F246," ",'u11 girls'!G246)</f>
        <v xml:space="preserve"> </v>
      </c>
    </row>
    <row r="248" spans="1:11" s="147" customFormat="1" ht="40" customHeight="1">
      <c r="A248" s="148">
        <f t="shared" si="3"/>
        <v>245</v>
      </c>
      <c r="B248" s="807" t="str">
        <f>CONCATENATE(Men!E248," ",Men!F248)</f>
        <v>ABRAHAMS Sedick  CT</v>
      </c>
      <c r="C248" s="805" t="str">
        <f>CONCATENATE(Women!E265," ",Women!F265)</f>
        <v>SELOTLEGENG Boingotlo NW</v>
      </c>
      <c r="D248" s="137" t="str">
        <f>CONCATENATE('u19 boys'!F249," ",'u19 boys'!G249)</f>
        <v>PHILANDER Nickairo WC</v>
      </c>
      <c r="E248" s="216" t="s">
        <v>4722</v>
      </c>
      <c r="F248" s="567" t="str">
        <f>CONCATENATE('u15 boys'!F249," ",'u15 boys'!G249)</f>
        <v>ADAMS Darawees  CT</v>
      </c>
      <c r="G248" s="216" t="str">
        <f>CONCATENATE('u15 girls'!F251," ",'u15 girls'!G251)</f>
        <v xml:space="preserve"> </v>
      </c>
      <c r="H248" s="798" t="str">
        <f>CONCATENATE('u13 boys'!F247," ",'u13 boys'!G247)</f>
        <v>Sechaba MOKOENA FS</v>
      </c>
      <c r="I248" s="216" t="str">
        <f>CONCATENATE('u13 girls'!F254," ",'u13 girls'!G254)</f>
        <v xml:space="preserve"> </v>
      </c>
      <c r="J248" s="137" t="str">
        <f>CONCATENATE('u11 boys'!F251," ",'u11 boys'!G251)</f>
        <v xml:space="preserve"> </v>
      </c>
      <c r="K248" s="216" t="str">
        <f>CONCATENATE('u11 girls'!F247," ",'u11 girls'!G247)</f>
        <v xml:space="preserve"> </v>
      </c>
    </row>
    <row r="249" spans="1:11" s="147" customFormat="1" ht="40" customHeight="1">
      <c r="A249" s="148">
        <f t="shared" si="3"/>
        <v>246</v>
      </c>
      <c r="B249" s="807" t="str">
        <f>CONCATENATE(Men!E249," ",Men!F249)</f>
        <v>BOOYSEN Martin-Junior WC</v>
      </c>
      <c r="C249" s="805" t="str">
        <f>CONCATENATE(Women!E266," ",Women!F266)</f>
        <v>ISAACS Amaarah 0</v>
      </c>
      <c r="D249" s="137" t="str">
        <f>CONCATENATE('u19 boys'!F250," ",'u19 boys'!G250)</f>
        <v>MKHONTWANA Simpiwe ETTA</v>
      </c>
      <c r="E249" s="216" t="s">
        <v>4722</v>
      </c>
      <c r="F249" s="567" t="str">
        <f>CONCATENATE('u15 boys'!F250," ",'u15 boys'!G250)</f>
        <v>HARTLE Jared  CT</v>
      </c>
      <c r="G249" s="216" t="str">
        <f>CONCATENATE('u15 girls'!F252," ",'u15 girls'!G252)</f>
        <v xml:space="preserve"> </v>
      </c>
      <c r="H249" s="798" t="str">
        <f>CONCATENATE('u13 boys'!F248," ",'u13 boys'!G248)</f>
        <v>Mpho MOKHUAMATHE FS</v>
      </c>
      <c r="I249" s="216" t="str">
        <f>CONCATENATE('u13 girls'!F255," ",'u13 girls'!G255)</f>
        <v xml:space="preserve"> </v>
      </c>
      <c r="J249" s="137" t="str">
        <f>CONCATENATE('u11 boys'!F252," ",'u11 boys'!G252)</f>
        <v xml:space="preserve"> </v>
      </c>
      <c r="K249" s="216" t="str">
        <f>CONCATENATE('u11 girls'!F248," ",'u11 girls'!G248)</f>
        <v xml:space="preserve"> </v>
      </c>
    </row>
    <row r="250" spans="1:11" s="147" customFormat="1" ht="40" customHeight="1">
      <c r="A250" s="148">
        <f t="shared" si="3"/>
        <v>247</v>
      </c>
      <c r="B250" s="807" t="str">
        <f>CONCATENATE(Men!E250," ",Men!F250)</f>
        <v>VERHEIJEN Peter GN</v>
      </c>
      <c r="C250" s="804" t="str">
        <f>CONCATENATE(Women!E267," ",Women!F267)</f>
        <v>STEYN Amanda GN</v>
      </c>
      <c r="D250" s="137" t="str">
        <f>CONCATENATE('u19 boys'!F251," ",'u19 boys'!G251)</f>
        <v>MOHAMED Sofian  CT</v>
      </c>
      <c r="E250" s="216" t="s">
        <v>4722</v>
      </c>
      <c r="F250" s="567" t="str">
        <f>CONCATENATE('u15 boys'!F251," ",'u15 boys'!G251)</f>
        <v>ISAACS Niyaaz  CT</v>
      </c>
      <c r="G250" s="216" t="str">
        <f>CONCATENATE('u15 girls'!F253," ",'u15 girls'!G253)</f>
        <v xml:space="preserve"> </v>
      </c>
      <c r="H250" s="798" t="str">
        <f>CONCATENATE('u13 boys'!F249," ",'u13 boys'!G249)</f>
        <v>KARTHIK Dhaarmic  GN</v>
      </c>
      <c r="I250" s="216" t="str">
        <f>CONCATENATE('u13 girls'!F256," ",'u13 girls'!G256)</f>
        <v xml:space="preserve"> </v>
      </c>
      <c r="J250" s="137" t="str">
        <f>CONCATENATE('u11 boys'!F253," ",'u11 boys'!G253)</f>
        <v xml:space="preserve"> </v>
      </c>
      <c r="K250" s="216" t="str">
        <f>CONCATENATE('u11 girls'!F249," ",'u11 girls'!G249)</f>
        <v xml:space="preserve"> </v>
      </c>
    </row>
    <row r="251" spans="1:11" s="147" customFormat="1" ht="40" customHeight="1">
      <c r="A251" s="148">
        <f t="shared" si="3"/>
        <v>248</v>
      </c>
      <c r="B251" s="807" t="str">
        <f>CONCATENATE(Men!E251," ",Men!F251)</f>
        <v>ORR Darren  CT</v>
      </c>
      <c r="C251" s="803"/>
      <c r="D251" s="137" t="str">
        <f>CONCATENATE('u19 boys'!F252," ",'u19 boys'!G252)</f>
        <v>ADAMS Darawees  CT</v>
      </c>
      <c r="E251" s="216"/>
      <c r="F251" s="567" t="str">
        <f>CONCATENATE('u15 boys'!F252," ",'u15 boys'!G252)</f>
        <v>PRICE Hayden  CT</v>
      </c>
      <c r="G251" s="216" t="str">
        <f>CONCATENATE('u15 girls'!F254," ",'u15 girls'!G254)</f>
        <v xml:space="preserve"> </v>
      </c>
      <c r="H251" s="798" t="str">
        <f>CONCATENATE('u13 boys'!F250," ",'u13 boys'!G250)</f>
        <v>SINGH Qudane UMG</v>
      </c>
      <c r="I251" s="216" t="str">
        <f>CONCATENATE('u13 girls'!F257," ",'u13 girls'!G257)</f>
        <v xml:space="preserve"> </v>
      </c>
      <c r="J251" s="137" t="str">
        <f>CONCATENATE('u11 boys'!F254," ",'u11 boys'!G254)</f>
        <v xml:space="preserve"> </v>
      </c>
      <c r="K251" s="216" t="str">
        <f>CONCATENATE('u11 girls'!F250," ",'u11 girls'!G250)</f>
        <v xml:space="preserve"> </v>
      </c>
    </row>
    <row r="252" spans="1:11" s="147" customFormat="1" ht="40" customHeight="1">
      <c r="A252" s="148">
        <f t="shared" si="3"/>
        <v>249</v>
      </c>
      <c r="B252" s="807" t="str">
        <f>CONCATENATE(Men!E252," ",Men!F252)</f>
        <v>PIETERSEN Jerome CW</v>
      </c>
      <c r="C252" s="803"/>
      <c r="D252" s="137" t="str">
        <f>CONCATENATE('u19 boys'!F253," ",'u19 boys'!G253)</f>
        <v>GUNTSHO Batandwa  CW</v>
      </c>
      <c r="E252" s="216"/>
      <c r="F252" s="567" t="str">
        <f>CONCATENATE('u15 boys'!F253," ",'u15 boys'!G253)</f>
        <v>NHLAPO Kwanda Okuhle ETTA</v>
      </c>
      <c r="G252" s="216" t="str">
        <f>CONCATENATE('u15 girls'!F255," ",'u15 girls'!G255)</f>
        <v xml:space="preserve"> </v>
      </c>
      <c r="H252" s="798" t="str">
        <f>CONCATENATE('u13 boys'!F251," ",'u13 boys'!G251)</f>
        <v>WAGNER Samuel CT</v>
      </c>
      <c r="I252" s="216" t="str">
        <f>CONCATENATE('u13 girls'!F258," ",'u13 girls'!G258)</f>
        <v xml:space="preserve"> </v>
      </c>
      <c r="J252" s="137" t="str">
        <f>CONCATENATE('u11 boys'!F255," ",'u11 boys'!G255)</f>
        <v xml:space="preserve"> </v>
      </c>
      <c r="K252" s="216" t="str">
        <f>CONCATENATE('u11 girls'!F251," ",'u11 girls'!G251)</f>
        <v xml:space="preserve"> </v>
      </c>
    </row>
    <row r="253" spans="1:11" s="147" customFormat="1" ht="40" customHeight="1">
      <c r="A253" s="148">
        <f t="shared" si="3"/>
        <v>250</v>
      </c>
      <c r="B253" s="807" t="str">
        <f>CONCATENATE(Men!E253," ",Men!F253)</f>
        <v>GUNTELACH Noah CW</v>
      </c>
      <c r="C253" s="803"/>
      <c r="D253" s="137" t="str">
        <f>CONCATENATE('u19 boys'!F254," ",'u19 boys'!G254)</f>
        <v>TAHO Zingce  CT</v>
      </c>
      <c r="E253" s="216"/>
      <c r="F253" s="567" t="str">
        <f>CONCATENATE('u15 boys'!F254," ",'u15 boys'!G254)</f>
        <v>REDDY Rylan UMG</v>
      </c>
      <c r="G253" s="216" t="str">
        <f>CONCATENATE('u15 girls'!F256," ",'u15 girls'!G256)</f>
        <v xml:space="preserve"> </v>
      </c>
      <c r="H253" s="798" t="str">
        <f>CONCATENATE('u13 boys'!F252," ",'u13 boys'!G252)</f>
        <v>PRETORIUS Nathan CT</v>
      </c>
      <c r="I253" s="216" t="str">
        <f>CONCATENATE('u13 girls'!F259," ",'u13 girls'!G259)</f>
        <v xml:space="preserve"> </v>
      </c>
      <c r="J253" s="137" t="str">
        <f>CONCATENATE('u11 boys'!F256," ",'u11 boys'!G256)</f>
        <v xml:space="preserve"> </v>
      </c>
      <c r="K253" s="216" t="str">
        <f>CONCATENATE('u11 girls'!F252," ",'u11 girls'!G252)</f>
        <v xml:space="preserve"> </v>
      </c>
    </row>
    <row r="254" spans="1:11" s="147" customFormat="1" ht="40" customHeight="1">
      <c r="A254" s="148">
        <f t="shared" si="3"/>
        <v>251</v>
      </c>
      <c r="B254" s="807" t="str">
        <f>CONCATENATE(Men!E254," ",Men!F254)</f>
        <v>WESSELS Gabba JTTA</v>
      </c>
      <c r="C254" s="216" t="str">
        <f>CONCATENATE(Women!E268," ",Women!F268)</f>
        <v>CHILOANE Basetsana EKU</v>
      </c>
      <c r="D254" s="137" t="str">
        <f>CONCATENATE('u19 boys'!F255," ",'u19 boys'!G255)</f>
        <v>JOHAADIEN Tashriq  CT</v>
      </c>
      <c r="E254" s="216"/>
      <c r="F254" s="567" t="str">
        <f>CONCATENATE('u15 boys'!F255," ",'u15 boys'!G255)</f>
        <v>REDDY Mikyle ETTA</v>
      </c>
      <c r="G254" s="216" t="str">
        <f>CONCATENATE('u15 girls'!F257," ",'u15 girls'!G257)</f>
        <v xml:space="preserve"> </v>
      </c>
      <c r="H254" s="798" t="str">
        <f>CONCATENATE('u13 boys'!F253," ",'u13 boys'!G253)</f>
        <v>PATEL Ilyaas CT</v>
      </c>
      <c r="I254" s="216" t="str">
        <f>CONCATENATE('u13 girls'!F260," ",'u13 girls'!G260)</f>
        <v xml:space="preserve"> </v>
      </c>
      <c r="J254" s="137" t="str">
        <f>CONCATENATE('u11 boys'!F257," ",'u11 boys'!G257)</f>
        <v xml:space="preserve"> </v>
      </c>
      <c r="K254" s="216" t="str">
        <f>CONCATENATE('u11 girls'!F253," ",'u11 girls'!G253)</f>
        <v xml:space="preserve"> </v>
      </c>
    </row>
    <row r="255" spans="1:11" s="147" customFormat="1" ht="40" customHeight="1">
      <c r="A255" s="148">
        <f t="shared" si="3"/>
        <v>252</v>
      </c>
      <c r="B255" s="807" t="str">
        <f>CONCATENATE(Men!E255," ",Men!F255)</f>
        <v>SANTO Moffat NWP</v>
      </c>
      <c r="C255" s="216" t="str">
        <f>CONCATENATE(Women!E269," ",Women!F269)</f>
        <v>MAOME Reitumetse LES</v>
      </c>
      <c r="D255" s="137" t="str">
        <f>CONCATENATE('u19 boys'!F256," ",'u19 boys'!G256)</f>
        <v>BUTLER Malaki  CT</v>
      </c>
      <c r="E255" s="216"/>
      <c r="F255" s="567" t="str">
        <f>CONCATENATE('u15 boys'!F256," ",'u15 boys'!G256)</f>
        <v>BAKU Yantle  CT</v>
      </c>
      <c r="G255" s="216" t="str">
        <f>CONCATENATE('u15 girls'!F258," ",'u15 girls'!G258)</f>
        <v xml:space="preserve"> </v>
      </c>
      <c r="H255" s="798" t="str">
        <f>CONCATENATE('u13 boys'!F254," ",'u13 boys'!G254)</f>
        <v>DU PLESSIS Coert GN</v>
      </c>
      <c r="I255" s="216" t="str">
        <f>CONCATENATE('u13 girls'!F261," ",'u13 girls'!G261)</f>
        <v xml:space="preserve"> </v>
      </c>
      <c r="J255" s="137" t="str">
        <f>CONCATENATE('u11 boys'!F258," ",'u11 boys'!G258)</f>
        <v xml:space="preserve"> </v>
      </c>
      <c r="K255" s="216" t="str">
        <f>CONCATENATE('u11 girls'!F254," ",'u11 girls'!G254)</f>
        <v xml:space="preserve"> </v>
      </c>
    </row>
    <row r="256" spans="1:11" s="147" customFormat="1" ht="40" customHeight="1">
      <c r="A256" s="148">
        <f t="shared" si="3"/>
        <v>253</v>
      </c>
      <c r="B256" s="807" t="str">
        <f>CONCATENATE(Men!E256," ",Men!F256)</f>
        <v>LOUW Terrence GN</v>
      </c>
      <c r="C256" s="216" t="str">
        <f>CONCATENATE(Women!E270," ",Women!F270)</f>
        <v>MECWI Tsholofelo  NC</v>
      </c>
      <c r="D256" s="137" t="str">
        <f>CONCATENATE('u19 boys'!F257," ",'u19 boys'!G257)</f>
        <v>JANSEN Cruz  CT</v>
      </c>
      <c r="E256" s="691"/>
      <c r="F256" s="567" t="str">
        <f>CONCATENATE('u15 boys'!F257," ",'u15 boys'!G257)</f>
        <v>MENTOOR Nahum  CT</v>
      </c>
      <c r="G256" s="216" t="str">
        <f>CONCATENATE('u15 girls'!F259," ",'u15 girls'!G259)</f>
        <v xml:space="preserve"> </v>
      </c>
      <c r="H256" s="798" t="str">
        <f>CONCATENATE('u13 boys'!F255," ",'u13 boys'!G255)</f>
        <v>BRECHER Rolf GN</v>
      </c>
      <c r="I256" s="216" t="str">
        <f>CONCATENATE('u13 girls'!F262," ",'u13 girls'!G262)</f>
        <v xml:space="preserve"> </v>
      </c>
      <c r="J256" s="137" t="str">
        <f>CONCATENATE('u11 boys'!F259," ",'u11 boys'!G259)</f>
        <v xml:space="preserve"> </v>
      </c>
      <c r="K256" s="216" t="str">
        <f>CONCATENATE('u11 girls'!F255," ",'u11 girls'!G255)</f>
        <v xml:space="preserve"> </v>
      </c>
    </row>
    <row r="257" spans="1:11" s="147" customFormat="1" ht="40" customHeight="1">
      <c r="A257" s="148">
        <f t="shared" si="3"/>
        <v>254</v>
      </c>
      <c r="B257" s="807" t="str">
        <f>CONCATENATE(Men!E257," ",Men!F257)</f>
        <v>Swanepoel Pierre EDEN</v>
      </c>
      <c r="C257" s="216" t="str">
        <f>CONCATENATE(Women!E271," ",Women!F271)</f>
        <v>MOKEKI Nthabeleng LES</v>
      </c>
      <c r="D257" s="137" t="str">
        <f>CONCATENATE('u19 boys'!F258," ",'u19 boys'!G258)</f>
        <v>SYKES Zeeshan  CT</v>
      </c>
      <c r="E257" s="691"/>
      <c r="F257" s="567" t="str">
        <f>CONCATENATE('u15 boys'!F258," ",'u15 boys'!G258)</f>
        <v>SHKUDSY Ben JTTA</v>
      </c>
      <c r="G257" s="216" t="str">
        <f>CONCATENATE('u15 girls'!F260," ",'u15 girls'!G260)</f>
        <v xml:space="preserve"> </v>
      </c>
      <c r="H257" s="798" t="str">
        <f>CONCATENATE('u13 boys'!F256," ",'u13 boys'!G256)</f>
        <v>HECHTER Nathan JTTA</v>
      </c>
      <c r="I257" s="216" t="str">
        <f>CONCATENATE('u13 girls'!F263," ",'u13 girls'!G263)</f>
        <v xml:space="preserve"> </v>
      </c>
      <c r="J257" s="137" t="str">
        <f>CONCATENATE('u11 boys'!F260," ",'u11 boys'!G260)</f>
        <v xml:space="preserve"> </v>
      </c>
      <c r="K257" s="216" t="str">
        <f>CONCATENATE('u11 girls'!F256," ",'u11 girls'!G256)</f>
        <v xml:space="preserve"> </v>
      </c>
    </row>
    <row r="258" spans="1:11" s="147" customFormat="1" ht="40" customHeight="1">
      <c r="A258" s="148">
        <f t="shared" si="3"/>
        <v>255</v>
      </c>
      <c r="B258" s="807" t="str">
        <f>CONCATENATE(Men!E258," ",Men!F258)</f>
        <v>PILLAY Nathan JTTA</v>
      </c>
      <c r="C258" s="216" t="str">
        <f>CONCATENATE(Women!E272," ",Women!F272)</f>
        <v>MONTEWA Nyakallo NW</v>
      </c>
      <c r="D258" s="137" t="str">
        <f>CONCATENATE('u19 boys'!F259," ",'u19 boys'!G259)</f>
        <v>FATAAR Yaaseen  CT</v>
      </c>
      <c r="E258" s="691"/>
      <c r="F258" s="567" t="str">
        <f>CONCATENATE('u15 boys'!F259," ",'u15 boys'!G259)</f>
        <v>Reshalin Govender JTTA</v>
      </c>
      <c r="G258" s="216" t="str">
        <f>CONCATENATE('u15 girls'!F261," ",'u15 girls'!G261)</f>
        <v xml:space="preserve"> </v>
      </c>
      <c r="H258" s="798" t="str">
        <f>CONCATENATE('u13 boys'!F257," ",'u13 boys'!G257)</f>
        <v>MUYIKWA Given Moses JTTA</v>
      </c>
      <c r="I258" s="216" t="str">
        <f>CONCATENATE('u13 girls'!F264," ",'u13 girls'!G264)</f>
        <v xml:space="preserve"> </v>
      </c>
      <c r="J258" s="137" t="str">
        <f>CONCATENATE('u11 boys'!F261," ",'u11 boys'!G261)</f>
        <v xml:space="preserve"> </v>
      </c>
      <c r="K258" s="216" t="str">
        <f>CONCATENATE('u11 girls'!F257," ",'u11 girls'!G257)</f>
        <v xml:space="preserve"> </v>
      </c>
    </row>
    <row r="259" spans="1:11" s="147" customFormat="1" ht="40" customHeight="1">
      <c r="A259" s="148">
        <f t="shared" si="3"/>
        <v>256</v>
      </c>
      <c r="B259" s="807" t="str">
        <f>CONCATENATE(Men!E259," ",Men!F259)</f>
        <v>CELE Lungisani Sinethemba ETTA</v>
      </c>
      <c r="C259" s="216" t="str">
        <f>CONCATENATE(Women!E273," ",Women!F273)</f>
        <v>WENASE Lisakhanya JTTA</v>
      </c>
      <c r="D259" s="137" t="str">
        <f>CONCATENATE('u19 boys'!F260," ",'u19 boys'!G260)</f>
        <v>BAARTMAN Riedwaan  CW</v>
      </c>
      <c r="E259" s="691"/>
      <c r="F259" s="567" t="str">
        <f>CONCATENATE('u15 boys'!F260," ",'u15 boys'!G260)</f>
        <v>MOREMEDI Thuto  NWP</v>
      </c>
      <c r="G259" s="216" t="str">
        <f>CONCATENATE('u15 girls'!F262," ",'u15 girls'!G262)</f>
        <v xml:space="preserve"> </v>
      </c>
      <c r="H259" s="798" t="str">
        <f>CONCATENATE('u13 boys'!F258," ",'u13 boys'!G258)</f>
        <v>KANNAI Umesh UMG</v>
      </c>
      <c r="I259" s="216" t="str">
        <f>CONCATENATE('u13 girls'!F265," ",'u13 girls'!G265)</f>
        <v xml:space="preserve"> </v>
      </c>
      <c r="J259" s="137" t="str">
        <f>CONCATENATE('u11 boys'!F262," ",'u11 boys'!G262)</f>
        <v xml:space="preserve"> </v>
      </c>
      <c r="K259" s="216" t="str">
        <f>CONCATENATE('u11 girls'!F258," ",'u11 girls'!G258)</f>
        <v xml:space="preserve"> </v>
      </c>
    </row>
    <row r="260" spans="1:11" s="147" customFormat="1" ht="40" customHeight="1">
      <c r="A260" s="148">
        <f t="shared" si="3"/>
        <v>257</v>
      </c>
      <c r="B260" s="807" t="str">
        <f>CONCATENATE(Men!E260," ",Men!F260)</f>
        <v>MAKHALEMA Aaron JTTA</v>
      </c>
      <c r="C260" s="216" t="str">
        <f>CONCATENATE(Women!E274," ",Women!F274)</f>
        <v xml:space="preserve"> </v>
      </c>
      <c r="D260" s="137" t="str">
        <f>CONCATENATE('u19 boys'!F261," ",'u19 boys'!G261)</f>
        <v>CHETTY Japhet Cayo ETTA</v>
      </c>
      <c r="E260" s="691"/>
      <c r="F260" s="567" t="str">
        <f>CONCATENATE('u15 boys'!F261," ",'u15 boys'!G261)</f>
        <v>XABA Asanda UTH</v>
      </c>
      <c r="G260" s="216" t="str">
        <f>CONCATENATE('u15 girls'!F263," ",'u15 girls'!G263)</f>
        <v xml:space="preserve"> </v>
      </c>
      <c r="H260" s="798" t="str">
        <f>CONCATENATE('u13 boys'!F259," ",'u13 boys'!G259)</f>
        <v>VAN DER MEULEN Max JTTA</v>
      </c>
      <c r="I260" s="216" t="str">
        <f>CONCATENATE('u13 girls'!F266," ",'u13 girls'!G266)</f>
        <v xml:space="preserve"> </v>
      </c>
      <c r="J260" s="137" t="str">
        <f>CONCATENATE('u11 boys'!F263," ",'u11 boys'!G263)</f>
        <v xml:space="preserve"> </v>
      </c>
      <c r="K260" s="216" t="str">
        <f>CONCATENATE('u11 girls'!F259," ",'u11 girls'!G259)</f>
        <v xml:space="preserve"> </v>
      </c>
    </row>
    <row r="261" spans="1:11" s="147" customFormat="1" ht="40" customHeight="1">
      <c r="A261" s="148">
        <f t="shared" si="3"/>
        <v>258</v>
      </c>
      <c r="B261" s="807" t="str">
        <f>CONCATENATE(Men!E261," ",Men!F261)</f>
        <v>Pranav KANJEE JTTA</v>
      </c>
      <c r="C261" s="216" t="str">
        <f>CONCATENATE(Women!E275," ",Women!F275)</f>
        <v xml:space="preserve"> </v>
      </c>
      <c r="D261" s="137" t="str">
        <f>CONCATENATE('u19 boys'!F262," ",'u19 boys'!G262)</f>
        <v>MAHLANGU Sihle CT</v>
      </c>
      <c r="E261" s="691"/>
      <c r="F261" s="567" t="str">
        <f>CONCATENATE('u15 boys'!F262," ",'u15 boys'!G262)</f>
        <v>LAMONT Bentley Eden</v>
      </c>
      <c r="G261" s="216" t="str">
        <f>CONCATENATE('u15 girls'!F264," ",'u15 girls'!G264)</f>
        <v xml:space="preserve"> </v>
      </c>
      <c r="H261" s="798" t="str">
        <f>CONCATENATE('u13 boys'!F260," ",'u13 boys'!G260)</f>
        <v>Shivank Seethiraju JTTA</v>
      </c>
      <c r="I261" s="216" t="str">
        <f>CONCATENATE('u13 girls'!F267," ",'u13 girls'!G267)</f>
        <v xml:space="preserve"> </v>
      </c>
      <c r="J261" s="137" t="str">
        <f>CONCATENATE('u11 boys'!F264," ",'u11 boys'!G264)</f>
        <v xml:space="preserve"> </v>
      </c>
      <c r="K261" s="216" t="str">
        <f>CONCATENATE('u11 girls'!F260," ",'u11 girls'!G260)</f>
        <v xml:space="preserve"> </v>
      </c>
    </row>
    <row r="262" spans="1:11" s="147" customFormat="1" ht="40" customHeight="1">
      <c r="A262" s="148">
        <f t="shared" ref="A262:A319" si="4">A261+1</f>
        <v>259</v>
      </c>
      <c r="B262" s="807" t="str">
        <f>CONCATENATE(Men!E262," ",Men!F262)</f>
        <v>KHOZA Simangaliso  ETTA</v>
      </c>
      <c r="C262" s="216" t="str">
        <f>CONCATENATE(Women!E276," ",Women!F276)</f>
        <v xml:space="preserve"> </v>
      </c>
      <c r="D262" s="137" t="str">
        <f>CONCATENATE('u19 boys'!F263," ",'u19 boys'!G263)</f>
        <v>NGWEU Samkelo ETTA</v>
      </c>
      <c r="E262" s="691"/>
      <c r="F262" s="567" t="str">
        <f>CONCATENATE('u15 boys'!F263," ",'u15 boys'!G263)</f>
        <v>L Lekgotla  FS</v>
      </c>
      <c r="G262" s="216" t="str">
        <f>CONCATENATE('u15 girls'!F265," ",'u15 girls'!G265)</f>
        <v xml:space="preserve"> </v>
      </c>
      <c r="H262" s="798" t="str">
        <f>CONCATENATE('u13 boys'!F261," ",'u13 boys'!G261)</f>
        <v>ADAMS Carter  CT</v>
      </c>
      <c r="I262" s="216" t="str">
        <f>CONCATENATE('u13 girls'!F268," ",'u13 girls'!G268)</f>
        <v xml:space="preserve"> </v>
      </c>
      <c r="J262" s="137" t="str">
        <f>CONCATENATE('u11 boys'!F265," ",'u11 boys'!G265)</f>
        <v xml:space="preserve"> </v>
      </c>
      <c r="K262" s="216" t="str">
        <f>CONCATENATE('u11 girls'!F261," ",'u11 girls'!G261)</f>
        <v xml:space="preserve"> </v>
      </c>
    </row>
    <row r="263" spans="1:11" s="147" customFormat="1" ht="40" customHeight="1">
      <c r="A263" s="148">
        <f t="shared" si="4"/>
        <v>260</v>
      </c>
      <c r="B263" s="807" t="str">
        <f>CONCATENATE(Men!E263," ",Men!F263)</f>
        <v>PATEL Umair UMG</v>
      </c>
      <c r="C263" s="216" t="str">
        <f>CONCATENATE(Women!E277," ",Women!F277)</f>
        <v xml:space="preserve"> </v>
      </c>
      <c r="D263" s="137" t="str">
        <f>CONCATENATE('u19 boys'!F264," ",'u19 boys'!G264)</f>
        <v>STODART Rouan GN</v>
      </c>
      <c r="E263" s="691"/>
      <c r="F263" s="567" t="str">
        <f>CONCATENATE('u15 boys'!F264," ",'u15 boys'!G264)</f>
        <v>T Lichaba  FS</v>
      </c>
      <c r="G263" s="216" t="str">
        <f>CONCATENATE('u15 girls'!F266," ",'u15 girls'!G266)</f>
        <v xml:space="preserve"> </v>
      </c>
      <c r="H263" s="798" t="str">
        <f>CONCATENATE('u13 boys'!F262," ",'u13 boys'!G262)</f>
        <v>LEO Gabriel  CT</v>
      </c>
      <c r="I263" s="216" t="str">
        <f>CONCATENATE('u13 girls'!F269," ",'u13 girls'!G269)</f>
        <v xml:space="preserve"> </v>
      </c>
      <c r="J263" s="137" t="str">
        <f>CONCATENATE('u11 boys'!F266," ",'u11 boys'!G266)</f>
        <v xml:space="preserve"> </v>
      </c>
      <c r="K263" s="216" t="str">
        <f>CONCATENATE('u11 girls'!F262," ",'u11 girls'!G262)</f>
        <v xml:space="preserve"> </v>
      </c>
    </row>
    <row r="264" spans="1:11" s="147" customFormat="1" ht="40" customHeight="1">
      <c r="A264" s="148">
        <f t="shared" si="4"/>
        <v>261</v>
      </c>
      <c r="B264" s="807" t="str">
        <f>CONCATENATE(Men!E264," ",Men!F264)</f>
        <v>PADAYACHEE Larushen JTTA</v>
      </c>
      <c r="C264" s="216" t="str">
        <f>CONCATENATE(Women!E278," ",Women!F278)</f>
        <v xml:space="preserve"> </v>
      </c>
      <c r="D264" s="137" t="str">
        <f>CONCATENATE('u19 boys'!F265," ",'u19 boys'!G265)</f>
        <v>SANTANA Logan GN</v>
      </c>
      <c r="E264" s="691"/>
      <c r="F264" s="567" t="str">
        <f>CONCATENATE('u15 boys'!F265," ",'u15 boys'!G265)</f>
        <v>J van Jaarsveldt  FS</v>
      </c>
      <c r="G264" s="216" t="str">
        <f>CONCATENATE('u15 girls'!F267," ",'u15 girls'!G267)</f>
        <v xml:space="preserve"> </v>
      </c>
      <c r="H264" s="798" t="str">
        <f>CONCATENATE('u13 boys'!F263," ",'u13 boys'!G263)</f>
        <v>STOMPIES Charles  CT</v>
      </c>
      <c r="I264" s="216" t="str">
        <f>CONCATENATE('u13 girls'!F270," ",'u13 girls'!G270)</f>
        <v xml:space="preserve"> </v>
      </c>
      <c r="J264" s="137" t="str">
        <f>CONCATENATE('u11 boys'!F267," ",'u11 boys'!G267)</f>
        <v xml:space="preserve"> </v>
      </c>
      <c r="K264" s="216" t="str">
        <f>CONCATENATE('u11 girls'!F263," ",'u11 girls'!G263)</f>
        <v xml:space="preserve"> </v>
      </c>
    </row>
    <row r="265" spans="1:11" s="147" customFormat="1" ht="40" customHeight="1">
      <c r="A265" s="148">
        <f t="shared" si="4"/>
        <v>262</v>
      </c>
      <c r="B265" s="807" t="str">
        <f>CONCATENATE(Men!E265," ",Men!F265)</f>
        <v>SUBBIAH Shishendren UMG</v>
      </c>
      <c r="C265" s="216" t="str">
        <f>CONCATENATE(Women!E279," ",Women!F279)</f>
        <v xml:space="preserve"> </v>
      </c>
      <c r="D265" s="137" t="str">
        <f>CONCATENATE('u19 boys'!F266," ",'u19 boys'!G266)</f>
        <v>STODART Reuben GN</v>
      </c>
      <c r="E265" s="691"/>
      <c r="F265" s="567" t="str">
        <f>CONCATENATE('u15 boys'!F266," ",'u15 boys'!G266)</f>
        <v>G Stone FS</v>
      </c>
      <c r="G265" s="216" t="str">
        <f>CONCATENATE('u15 girls'!F268," ",'u15 girls'!G268)</f>
        <v xml:space="preserve"> </v>
      </c>
      <c r="H265" s="798" t="str">
        <f>CONCATENATE('u13 boys'!F264," ",'u13 boys'!G264)</f>
        <v>ZAROOZNY Remy  CT</v>
      </c>
      <c r="I265" s="216" t="str">
        <f>CONCATENATE('u13 girls'!F271," ",'u13 girls'!G271)</f>
        <v xml:space="preserve"> </v>
      </c>
      <c r="J265" s="137" t="str">
        <f>CONCATENATE('u11 boys'!F268," ",'u11 boys'!G268)</f>
        <v xml:space="preserve"> </v>
      </c>
      <c r="K265" s="216" t="str">
        <f>CONCATENATE('u11 girls'!F264," ",'u11 girls'!G264)</f>
        <v xml:space="preserve"> </v>
      </c>
    </row>
    <row r="266" spans="1:11" s="147" customFormat="1" ht="40" customHeight="1">
      <c r="A266" s="148">
        <f t="shared" si="4"/>
        <v>263</v>
      </c>
      <c r="B266" s="807" t="str">
        <f>CONCATENATE(Men!E266," ",Men!F266)</f>
        <v>PETERS Cade  CT</v>
      </c>
      <c r="C266" s="216" t="str">
        <f>CONCATENATE(Women!E280," ",Women!F280)</f>
        <v xml:space="preserve"> </v>
      </c>
      <c r="D266" s="137" t="str">
        <f>CONCATENATE('u19 boys'!F267," ",'u19 boys'!G267)</f>
        <v>DU PLESSIS Valentine GN</v>
      </c>
      <c r="E266" s="691"/>
      <c r="F266" s="567" t="str">
        <f>CONCATENATE('u15 boys'!F267," ",'u15 boys'!G267)</f>
        <v>VISSER Schalk CW</v>
      </c>
      <c r="G266" s="216" t="str">
        <f>CONCATENATE('u15 girls'!F269," ",'u15 girls'!G269)</f>
        <v xml:space="preserve"> </v>
      </c>
      <c r="H266" s="798" t="str">
        <f>CONCATENATE('u13 boys'!F265," ",'u13 boys'!G265)</f>
        <v>KOETSER Zac CT</v>
      </c>
      <c r="I266" s="216" t="str">
        <f>CONCATENATE('u13 girls'!F272," ",'u13 girls'!G272)</f>
        <v xml:space="preserve"> </v>
      </c>
      <c r="J266" s="137" t="str">
        <f>CONCATENATE('u11 boys'!F269," ",'u11 boys'!G269)</f>
        <v xml:space="preserve"> </v>
      </c>
      <c r="K266" s="216" t="str">
        <f>CONCATENATE('u11 girls'!F265," ",'u11 girls'!G265)</f>
        <v xml:space="preserve"> </v>
      </c>
    </row>
    <row r="267" spans="1:11" s="147" customFormat="1" ht="40" customHeight="1">
      <c r="A267" s="148">
        <f t="shared" si="4"/>
        <v>264</v>
      </c>
      <c r="B267" s="807" t="str">
        <f>CONCATENATE(Men!E267," ",Men!F267)</f>
        <v>BALOYI Amukelani JTTA</v>
      </c>
      <c r="C267" s="216" t="str">
        <f>CONCATENATE(Women!E281," ",Women!F281)</f>
        <v xml:space="preserve"> </v>
      </c>
      <c r="D267" s="137" t="str">
        <f>CONCATENATE('u19 boys'!F268," ",'u19 boys'!G268)</f>
        <v>TSIANE Makhosi FS</v>
      </c>
      <c r="E267" s="691"/>
      <c r="F267" s="567" t="str">
        <f>CONCATENATE('u15 boys'!F268," ",'u15 boys'!G268)</f>
        <v>NURAIN Alexander Eden</v>
      </c>
      <c r="G267" s="216" t="str">
        <f>CONCATENATE('u15 girls'!F270," ",'u15 girls'!G270)</f>
        <v xml:space="preserve"> </v>
      </c>
      <c r="H267" s="798" t="str">
        <f>CONCATENATE('u13 boys'!F266," ",'u13 boys'!G266)</f>
        <v>MILLER Eshaam CT</v>
      </c>
      <c r="I267" s="216" t="str">
        <f>CONCATENATE('u13 girls'!F273," ",'u13 girls'!G273)</f>
        <v xml:space="preserve"> </v>
      </c>
      <c r="J267" s="137" t="str">
        <f>CONCATENATE('u11 boys'!F270," ",'u11 boys'!G270)</f>
        <v xml:space="preserve"> </v>
      </c>
      <c r="K267" s="216" t="str">
        <f>CONCATENATE('u11 girls'!F266," ",'u11 girls'!G266)</f>
        <v xml:space="preserve"> </v>
      </c>
    </row>
    <row r="268" spans="1:11" s="147" customFormat="1" ht="40" customHeight="1">
      <c r="A268" s="148">
        <f t="shared" si="4"/>
        <v>265</v>
      </c>
      <c r="B268" s="807" t="str">
        <f>CONCATENATE(Men!E268," ",Men!F268)</f>
        <v>JABAAR Saaliegh CT</v>
      </c>
      <c r="C268" s="216" t="str">
        <f>CONCATENATE(Women!E282," ",Women!F282)</f>
        <v xml:space="preserve"> </v>
      </c>
      <c r="D268" s="137" t="str">
        <f>CONCATENATE('u19 boys'!F269," ",'u19 boys'!G269)</f>
        <v>UYS Lavras GN</v>
      </c>
      <c r="E268" s="691"/>
      <c r="F268" s="567" t="str">
        <f>CONCATENATE('u15 boys'!F269," ",'u15 boys'!G269)</f>
        <v>SO Sze Hin Dickson ETTA</v>
      </c>
      <c r="G268" s="216" t="str">
        <f>CONCATENATE('u15 girls'!F271," ",'u15 girls'!G271)</f>
        <v xml:space="preserve"> </v>
      </c>
      <c r="H268" s="798" t="str">
        <f>CONCATENATE('u13 boys'!F267," ",'u13 boys'!G267)</f>
        <v>HARTNICK Jordan CT</v>
      </c>
      <c r="I268" s="216" t="str">
        <f>CONCATENATE('u13 girls'!F274," ",'u13 girls'!G274)</f>
        <v xml:space="preserve"> </v>
      </c>
      <c r="J268" s="137" t="str">
        <f>CONCATENATE('u11 boys'!F271," ",'u11 boys'!G271)</f>
        <v xml:space="preserve"> </v>
      </c>
      <c r="K268" s="216" t="str">
        <f>CONCATENATE('u11 girls'!F267," ",'u11 girls'!G267)</f>
        <v xml:space="preserve"> </v>
      </c>
    </row>
    <row r="269" spans="1:11" s="147" customFormat="1" ht="40" customHeight="1">
      <c r="A269" s="148">
        <f t="shared" si="4"/>
        <v>266</v>
      </c>
      <c r="B269" s="807" t="str">
        <f>CONCATENATE(Men!E269," ",Men!F269)</f>
        <v>QADIR Abdul  Mohamed ETTA</v>
      </c>
      <c r="C269" s="216" t="str">
        <f>CONCATENATE(Women!E283," ",Women!F283)</f>
        <v xml:space="preserve"> </v>
      </c>
      <c r="D269" s="137" t="str">
        <f>CONCATENATE('u19 boys'!F270," ",'u19 boys'!G270)</f>
        <v>Tyrelle KISTAN GN</v>
      </c>
      <c r="E269" s="691"/>
      <c r="F269" s="567" t="str">
        <f>CONCATENATE('u15 boys'!F270," ",'u15 boys'!G270)</f>
        <v>PRETORIUS Ratau CW</v>
      </c>
      <c r="G269" s="216" t="str">
        <f>CONCATENATE('u15 girls'!F272," ",'u15 girls'!G272)</f>
        <v xml:space="preserve"> </v>
      </c>
      <c r="H269" s="798" t="str">
        <f>CONCATENATE('u13 boys'!F268," ",'u13 boys'!G268)</f>
        <v>PANSEGROW Conroy 0</v>
      </c>
      <c r="I269" s="216" t="str">
        <f>CONCATENATE('u13 girls'!F275," ",'u13 girls'!G275)</f>
        <v xml:space="preserve"> </v>
      </c>
      <c r="J269" s="137" t="str">
        <f>CONCATENATE('u11 boys'!F272," ",'u11 boys'!G272)</f>
        <v xml:space="preserve"> </v>
      </c>
      <c r="K269" s="216" t="str">
        <f>CONCATENATE('u11 girls'!F268," ",'u11 girls'!G268)</f>
        <v xml:space="preserve"> </v>
      </c>
    </row>
    <row r="270" spans="1:11" s="147" customFormat="1" ht="40" customHeight="1">
      <c r="A270" s="148">
        <f t="shared" si="4"/>
        <v>267</v>
      </c>
      <c r="B270" s="807" t="str">
        <f>CONCATENATE(Men!E270," ",Men!F270)</f>
        <v>TITUS Anton CT</v>
      </c>
      <c r="C270" s="216" t="str">
        <f>CONCATENATE(Women!E284," ",Women!F284)</f>
        <v xml:space="preserve"> </v>
      </c>
      <c r="D270" s="137" t="str">
        <f>CONCATENATE('u19 boys'!F271," ",'u19 boys'!G271)</f>
        <v>GOKHALE Ishaan GN</v>
      </c>
      <c r="E270" s="691"/>
      <c r="F270" s="567" t="str">
        <f>CONCATENATE('u15 boys'!F271," ",'u15 boys'!G271)</f>
        <v>OWIES Lucian CW</v>
      </c>
      <c r="G270" s="216" t="str">
        <f>CONCATENATE('u15 girls'!F273," ",'u15 girls'!G273)</f>
        <v xml:space="preserve"> </v>
      </c>
      <c r="H270" s="137" t="str">
        <f>CONCATENATE('u13 boys'!F269," ",'u13 boys'!G269)</f>
        <v>VANDAYAR Varique UMG</v>
      </c>
      <c r="I270" s="216" t="str">
        <f>CONCATENATE('u13 girls'!F276," ",'u13 girls'!G276)</f>
        <v xml:space="preserve"> </v>
      </c>
      <c r="J270" s="137" t="str">
        <f>CONCATENATE('u11 boys'!F273," ",'u11 boys'!G273)</f>
        <v xml:space="preserve"> </v>
      </c>
      <c r="K270" s="216" t="str">
        <f>CONCATENATE('u11 girls'!F269," ",'u11 girls'!G269)</f>
        <v xml:space="preserve"> </v>
      </c>
    </row>
    <row r="271" spans="1:11" s="147" customFormat="1" ht="40" customHeight="1">
      <c r="A271" s="148">
        <f t="shared" si="4"/>
        <v>268</v>
      </c>
      <c r="B271" s="807" t="str">
        <f>CONCATENATE(Men!E271," ",Men!F271)</f>
        <v>NXUMALO Khulekani EKU</v>
      </c>
      <c r="C271" s="216" t="str">
        <f>CONCATENATE(Women!E285," ",Women!F285)</f>
        <v xml:space="preserve"> </v>
      </c>
      <c r="D271" s="137" t="str">
        <f>CONCATENATE('u19 boys'!F272," ",'u19 boys'!G272)</f>
        <v>Reshalin Govender JTTA</v>
      </c>
      <c r="E271" s="691"/>
      <c r="F271" s="567" t="str">
        <f>CONCATENATE('u15 boys'!F272," ",'u15 boys'!G272)</f>
        <v>MAART Dominiqwin Eden</v>
      </c>
      <c r="G271" s="216" t="str">
        <f>CONCATENATE('u15 girls'!F274," ",'u15 girls'!G274)</f>
        <v xml:space="preserve"> </v>
      </c>
      <c r="H271" s="137" t="str">
        <f>CONCATENATE('u13 boys'!F270," ",'u13 boys'!G270)</f>
        <v>HARRYBARAN Myuir UMG</v>
      </c>
      <c r="I271" s="216" t="str">
        <f>CONCATENATE('u13 girls'!F277," ",'u13 girls'!G277)</f>
        <v xml:space="preserve"> </v>
      </c>
      <c r="J271" s="137" t="str">
        <f>CONCATENATE('u11 boys'!F274," ",'u11 boys'!G274)</f>
        <v xml:space="preserve"> </v>
      </c>
      <c r="K271" s="216" t="str">
        <f>CONCATENATE('u11 girls'!F270," ",'u11 girls'!G270)</f>
        <v xml:space="preserve"> </v>
      </c>
    </row>
    <row r="272" spans="1:11" s="147" customFormat="1" ht="40" customHeight="1">
      <c r="A272" s="148">
        <f t="shared" si="4"/>
        <v>269</v>
      </c>
      <c r="B272" s="807" t="str">
        <f>CONCATENATE(Men!E272," ",Men!F272)</f>
        <v>EBRAHIM Kameel  CT</v>
      </c>
      <c r="C272" s="216" t="str">
        <f>CONCATENATE(Women!E286," ",Women!F286)</f>
        <v xml:space="preserve"> </v>
      </c>
      <c r="D272" s="137" t="str">
        <f>CONCATENATE('u19 boys'!F273," ",'u19 boys'!G273)</f>
        <v>VILLET Troy  CT</v>
      </c>
      <c r="E272" s="691"/>
      <c r="F272" s="567" t="str">
        <f>CONCATENATE('u15 boys'!F273," ",'u15 boys'!G273)</f>
        <v>JANSEN Evan Eden</v>
      </c>
      <c r="G272" s="216" t="str">
        <f>CONCATENATE('u15 girls'!F275," ",'u15 girls'!G275)</f>
        <v xml:space="preserve"> </v>
      </c>
      <c r="H272" s="137" t="str">
        <f>CONCATENATE('u13 boys'!F271," ",'u13 boys'!G271)</f>
        <v>MOLEHE Lesego  FS</v>
      </c>
      <c r="I272" s="216" t="str">
        <f>CONCATENATE('u13 girls'!F278," ",'u13 girls'!G278)</f>
        <v xml:space="preserve"> </v>
      </c>
      <c r="J272" s="137" t="str">
        <f>CONCATENATE('u11 boys'!F275," ",'u11 boys'!G275)</f>
        <v xml:space="preserve"> </v>
      </c>
      <c r="K272" s="216" t="str">
        <f>CONCATENATE('u11 girls'!F271," ",'u11 girls'!G271)</f>
        <v xml:space="preserve"> </v>
      </c>
    </row>
    <row r="273" spans="1:11" s="147" customFormat="1" ht="40" customHeight="1">
      <c r="A273" s="148">
        <f t="shared" si="4"/>
        <v>270</v>
      </c>
      <c r="B273" s="807" t="str">
        <f>CONCATENATE(Men!E273," ",Men!F273)</f>
        <v>PILLAY Ruvershan UMG</v>
      </c>
      <c r="C273" s="216" t="str">
        <f>CONCATENATE(Women!E287," ",Women!F287)</f>
        <v xml:space="preserve"> </v>
      </c>
      <c r="D273" s="137" t="str">
        <f>CONCATENATE('u19 boys'!F274," ",'u19 boys'!G274)</f>
        <v>RABSON Tebogo JTTA</v>
      </c>
      <c r="E273" s="691"/>
      <c r="F273" s="567" t="str">
        <f>CONCATENATE('u15 boys'!F274," ",'u15 boys'!G274)</f>
        <v>MANSFIELD Joshua Eden</v>
      </c>
      <c r="G273" s="216" t="str">
        <f>CONCATENATE('u15 girls'!F276," ",'u15 girls'!G276)</f>
        <v xml:space="preserve"> </v>
      </c>
      <c r="H273" s="137" t="str">
        <f>CONCATENATE('u13 boys'!F272," ",'u13 boys'!G272)</f>
        <v>MOKWA Otsile FS</v>
      </c>
      <c r="I273" s="216" t="str">
        <f>CONCATENATE('u13 girls'!F279," ",'u13 girls'!G279)</f>
        <v xml:space="preserve"> </v>
      </c>
      <c r="J273" s="137" t="str">
        <f>CONCATENATE('u11 boys'!F276," ",'u11 boys'!G276)</f>
        <v xml:space="preserve"> </v>
      </c>
      <c r="K273" s="216" t="str">
        <f>CONCATENATE('u11 girls'!F272," ",'u11 girls'!G272)</f>
        <v xml:space="preserve"> </v>
      </c>
    </row>
    <row r="274" spans="1:11" s="147" customFormat="1" ht="40" customHeight="1">
      <c r="A274" s="148">
        <f t="shared" si="4"/>
        <v>271</v>
      </c>
      <c r="B274" s="137" t="str">
        <f>CONCATENATE(Men!E274," ",Men!F274)</f>
        <v>SALIE Nabiel EDEN</v>
      </c>
      <c r="C274" s="216" t="str">
        <f>CONCATENATE(Women!E288," ",Women!F288)</f>
        <v xml:space="preserve"> </v>
      </c>
      <c r="D274" s="137" t="str">
        <f>CONCATENATE('u19 boys'!F275," ",'u19 boys'!G275)</f>
        <v>PHATELI Tshepang JTTA</v>
      </c>
      <c r="E274" s="691"/>
      <c r="F274" s="567" t="str">
        <f>CONCATENATE('u15 boys'!F275," ",'u15 boys'!G275)</f>
        <v>LICHABA Thuso FS</v>
      </c>
      <c r="G274" s="216" t="str">
        <f>CONCATENATE('u15 girls'!F277," ",'u15 girls'!G277)</f>
        <v xml:space="preserve"> </v>
      </c>
      <c r="H274" s="137" t="str">
        <f>CONCATENATE('u13 boys'!F273," ",'u13 boys'!G273)</f>
        <v>SOTYATO Mercy FS</v>
      </c>
      <c r="I274" s="216" t="str">
        <f>CONCATENATE('u13 girls'!F280," ",'u13 girls'!G280)</f>
        <v xml:space="preserve"> </v>
      </c>
      <c r="J274" s="137" t="str">
        <f>CONCATENATE('u11 boys'!F277," ",'u11 boys'!G277)</f>
        <v xml:space="preserve"> </v>
      </c>
      <c r="K274" s="216" t="str">
        <f>CONCATENATE('u11 girls'!F273," ",'u11 girls'!G273)</f>
        <v xml:space="preserve"> </v>
      </c>
    </row>
    <row r="275" spans="1:11" s="147" customFormat="1" ht="40" customHeight="1">
      <c r="A275" s="148">
        <f t="shared" si="4"/>
        <v>272</v>
      </c>
      <c r="B275" s="137" t="str">
        <f>CONCATENATE(Men!E275," ",Men!F275)</f>
        <v>JANSEN Russel  CT</v>
      </c>
      <c r="C275" s="216" t="str">
        <f>CONCATENATE(Women!E289," ",Women!F289)</f>
        <v xml:space="preserve"> </v>
      </c>
      <c r="D275" s="137" t="str">
        <f>CONCATENATE('u19 boys'!F276," ",'u19 boys'!G276)</f>
        <v>MDEBUKA Nhlanhla  FS</v>
      </c>
      <c r="E275" s="797"/>
      <c r="F275" s="567" t="str">
        <f>CONCATENATE('u15 boys'!F276," ",'u15 boys'!G276)</f>
        <v>MPOBOLE Tshepang FS</v>
      </c>
      <c r="G275" s="216" t="str">
        <f>CONCATENATE('u15 girls'!F278," ",'u15 girls'!G278)</f>
        <v xml:space="preserve"> </v>
      </c>
      <c r="H275" s="796" t="str">
        <f>CONCATENATE('u13 boys'!F274," ",'u13 boys'!G274)</f>
        <v>KHAMBOLA Relebohile FS</v>
      </c>
      <c r="I275" s="216" t="str">
        <f>CONCATENATE('u13 girls'!F281," ",'u13 girls'!G281)</f>
        <v xml:space="preserve"> </v>
      </c>
      <c r="J275" s="137" t="str">
        <f>CONCATENATE('u11 boys'!F278," ",'u11 boys'!G278)</f>
        <v xml:space="preserve"> </v>
      </c>
      <c r="K275" s="216" t="str">
        <f>CONCATENATE('u11 girls'!F274," ",'u11 girls'!G274)</f>
        <v xml:space="preserve"> </v>
      </c>
    </row>
    <row r="276" spans="1:11" s="147" customFormat="1" ht="40" customHeight="1">
      <c r="A276" s="148">
        <f t="shared" si="4"/>
        <v>273</v>
      </c>
      <c r="B276" s="807" t="str">
        <f>CONCATENATE(Men!E276," ",Men!F276)</f>
        <v>KGATITWE Tebogo JTTA</v>
      </c>
      <c r="C276" s="216" t="str">
        <f>CONCATENATE(Women!E290," ",Women!F290)</f>
        <v xml:space="preserve"> </v>
      </c>
      <c r="D276" s="137" t="str">
        <f>CONCATENATE('u19 boys'!F277," ",'u19 boys'!G277)</f>
        <v>KENNEDY Damien EDEN</v>
      </c>
      <c r="E276" s="797"/>
      <c r="F276" s="567" t="str">
        <f>CONCATENATE('u15 boys'!F277," ",'u15 boys'!G277)</f>
        <v>LEKHOTLA Lebohang FS</v>
      </c>
      <c r="G276" s="216" t="str">
        <f>CONCATENATE('u15 girls'!F279," ",'u15 girls'!G279)</f>
        <v xml:space="preserve"> </v>
      </c>
      <c r="H276" s="795"/>
      <c r="I276" s="216" t="str">
        <f>CONCATENATE('u13 girls'!F282," ",'u13 girls'!G282)</f>
        <v xml:space="preserve"> </v>
      </c>
      <c r="J276" s="137" t="str">
        <f>CONCATENATE('u11 boys'!F279," ",'u11 boys'!G279)</f>
        <v xml:space="preserve"> </v>
      </c>
      <c r="K276" s="216" t="str">
        <f>CONCATENATE('u11 girls'!F275," ",'u11 girls'!G275)</f>
        <v xml:space="preserve"> </v>
      </c>
    </row>
    <row r="277" spans="1:11" s="147" customFormat="1" ht="40" customHeight="1">
      <c r="A277" s="148">
        <f t="shared" si="4"/>
        <v>274</v>
      </c>
      <c r="B277" s="807" t="str">
        <f>CONCATENATE(Men!E277," ",Men!F277)</f>
        <v>SMITH Kelvin  CT</v>
      </c>
      <c r="C277" s="216" t="str">
        <f>CONCATENATE(Women!E291," ",Women!F291)</f>
        <v xml:space="preserve"> </v>
      </c>
      <c r="D277" s="137" t="str">
        <f>CONCATENATE('u19 boys'!F278," ",'u19 boys'!G278)</f>
        <v>WILDEMANS Ethan EDEN</v>
      </c>
      <c r="E277" s="216" t="str">
        <f>CONCATENATE('u19 girls'!F177," ",'u19 girls'!G177)</f>
        <v>PILLAY Caidyn UMG</v>
      </c>
      <c r="F277" s="567" t="str">
        <f>CONCATENATE('u15 boys'!F278," ",'u15 boys'!G278)</f>
        <v>JOHANESSEN Antonio  CT</v>
      </c>
      <c r="G277" s="216" t="str">
        <f>CONCATENATE('u15 girls'!F280," ",'u15 girls'!G280)</f>
        <v xml:space="preserve"> </v>
      </c>
      <c r="H277" s="795"/>
      <c r="I277" s="216" t="str">
        <f>CONCATENATE('u13 girls'!F283," ",'u13 girls'!G283)</f>
        <v xml:space="preserve"> </v>
      </c>
      <c r="J277" s="137" t="str">
        <f>CONCATENATE('u11 boys'!F280," ",'u11 boys'!G280)</f>
        <v xml:space="preserve"> </v>
      </c>
      <c r="K277" s="216" t="str">
        <f>CONCATENATE('u11 girls'!F276," ",'u11 girls'!G276)</f>
        <v xml:space="preserve"> </v>
      </c>
    </row>
    <row r="278" spans="1:11" s="147" customFormat="1" ht="40" customHeight="1">
      <c r="A278" s="148">
        <f t="shared" si="4"/>
        <v>275</v>
      </c>
      <c r="B278" s="807" t="str">
        <f>CONCATENATE(Men!E278," ",Men!F278)</f>
        <v>MUKHTAR Muzammil FS</v>
      </c>
      <c r="C278" s="216" t="str">
        <f>CONCATENATE(Women!E292," ",Women!F292)</f>
        <v xml:space="preserve"> </v>
      </c>
      <c r="D278" s="137" t="str">
        <f>CONCATENATE('u19 boys'!F279," ",'u19 boys'!G279)</f>
        <v>PHUNGULA Nkululeko  UTH</v>
      </c>
      <c r="E278" s="216" t="str">
        <f>CONCATENATE('u19 girls'!F178," ",'u19 girls'!G178)</f>
        <v>GOVENDER Chloe UMG</v>
      </c>
      <c r="F278" s="567" t="str">
        <f>CONCATENATE('u15 boys'!F279," ",'u15 boys'!G279)</f>
        <v>Jihan JACOBS CT</v>
      </c>
      <c r="G278" s="216" t="str">
        <f>CONCATENATE('u15 girls'!F281," ",'u15 girls'!G281)</f>
        <v xml:space="preserve"> </v>
      </c>
      <c r="H278" s="795"/>
      <c r="I278" s="216" t="str">
        <f>CONCATENATE('u13 girls'!F284," ",'u13 girls'!G284)</f>
        <v xml:space="preserve"> </v>
      </c>
      <c r="J278" s="137" t="str">
        <f>CONCATENATE('u11 boys'!F281," ",'u11 boys'!G281)</f>
        <v xml:space="preserve"> </v>
      </c>
      <c r="K278" s="216" t="str">
        <f>CONCATENATE('u11 girls'!F277," ",'u11 girls'!G277)</f>
        <v xml:space="preserve"> </v>
      </c>
    </row>
    <row r="279" spans="1:11" s="147" customFormat="1" ht="40" customHeight="1">
      <c r="A279" s="148">
        <f t="shared" si="4"/>
        <v>276</v>
      </c>
      <c r="B279" s="807" t="str">
        <f>CONCATENATE(Men!E279," ",Men!F279)</f>
        <v>MOTOANG Evans  NWP</v>
      </c>
      <c r="C279" s="216" t="str">
        <f>CONCATENATE(Women!E293," ",Women!F293)</f>
        <v xml:space="preserve"> </v>
      </c>
      <c r="D279" s="137" t="str">
        <f>CONCATENATE('u19 boys'!F280," ",'u19 boys'!G280)</f>
        <v>MHLONGO Khethokuhle  UTH</v>
      </c>
      <c r="E279" s="216" t="str">
        <f>CONCATENATE('u19 girls'!F179," ",'u19 girls'!G179)</f>
        <v>GOVENDER Nikayla UMG</v>
      </c>
      <c r="F279" s="567" t="str">
        <f>CONCATENATE('u15 boys'!F280," ",'u15 boys'!G280)</f>
        <v>GOVENDER Ethan ETTA</v>
      </c>
      <c r="G279" s="216" t="str">
        <f>CONCATENATE('u15 girls'!F282," ",'u15 girls'!G282)</f>
        <v xml:space="preserve"> </v>
      </c>
      <c r="H279" s="795"/>
      <c r="I279" s="216" t="str">
        <f>CONCATENATE('u13 girls'!F285," ",'u13 girls'!G285)</f>
        <v xml:space="preserve"> </v>
      </c>
      <c r="J279" s="137" t="str">
        <f>CONCATENATE('u11 boys'!F282," ",'u11 boys'!G282)</f>
        <v xml:space="preserve"> </v>
      </c>
      <c r="K279" s="216" t="str">
        <f>CONCATENATE('u11 girls'!F278," ",'u11 girls'!G278)</f>
        <v xml:space="preserve"> </v>
      </c>
    </row>
    <row r="280" spans="1:11" s="147" customFormat="1" ht="40" customHeight="1">
      <c r="A280" s="148">
        <f t="shared" si="4"/>
        <v>277</v>
      </c>
      <c r="B280" s="807" t="str">
        <f>CONCATENATE(Men!E280," ",Men!F280)</f>
        <v>MALOKA Bakang BOT</v>
      </c>
      <c r="C280" s="216" t="str">
        <f>CONCATENATE(Women!E294," ",Women!F294)</f>
        <v xml:space="preserve"> </v>
      </c>
      <c r="D280" s="137" t="str">
        <f>CONCATENATE('u19 boys'!F281," ",'u19 boys'!G281)</f>
        <v>MAFOO Leon LIM</v>
      </c>
      <c r="E280" s="216" t="str">
        <f>CONCATENATE('u19 girls'!F180," ",'u19 girls'!G180)</f>
        <v>KUTU Dineo NC</v>
      </c>
      <c r="F280" s="567" t="str">
        <f>CONCATENATE('u15 boys'!F281," ",'u15 boys'!G281)</f>
        <v>MOODLEY Kiashan ETTA</v>
      </c>
      <c r="G280" s="216" t="str">
        <f>CONCATENATE('u15 girls'!F283," ",'u15 girls'!G283)</f>
        <v xml:space="preserve"> </v>
      </c>
      <c r="H280" s="137" t="str">
        <f>CONCATENATE('u13 boys'!F275," ",'u13 boys'!G275)</f>
        <v>RALEFIFI Dimpho FS</v>
      </c>
      <c r="I280" s="216" t="str">
        <f>CONCATENATE('u13 girls'!F286," ",'u13 girls'!G286)</f>
        <v xml:space="preserve"> </v>
      </c>
      <c r="J280" s="137" t="str">
        <f>CONCATENATE('u11 boys'!F283," ",'u11 boys'!G283)</f>
        <v xml:space="preserve"> </v>
      </c>
      <c r="K280" s="216" t="str">
        <f>CONCATENATE('u11 girls'!F279," ",'u11 girls'!G279)</f>
        <v xml:space="preserve"> </v>
      </c>
    </row>
    <row r="281" spans="1:11" s="147" customFormat="1" ht="40" customHeight="1">
      <c r="A281" s="148">
        <f t="shared" si="4"/>
        <v>278</v>
      </c>
      <c r="B281" s="807" t="str">
        <f>CONCATENATE(Men!E281," ",Men!F281)</f>
        <v>VAN HEERDEN Bradwil EDEN</v>
      </c>
      <c r="C281" s="216" t="str">
        <f>CONCATENATE(Women!E295," ",Women!F295)</f>
        <v xml:space="preserve"> </v>
      </c>
      <c r="D281" s="137" t="str">
        <f>CONCATENATE('u19 boys'!F282," ",'u19 boys'!G282)</f>
        <v>PETERSEN Ashton CT</v>
      </c>
      <c r="E281" s="216" t="str">
        <f>CONCATENATE('u19 girls'!F181," ",'u19 girls'!G181)</f>
        <v>MABATHOANA Kanenelo LES</v>
      </c>
      <c r="F281" s="566"/>
      <c r="G281" s="216" t="str">
        <f>CONCATENATE('u15 girls'!F284," ",'u15 girls'!G284)</f>
        <v xml:space="preserve"> </v>
      </c>
      <c r="H281" s="137" t="str">
        <f>CONCATENATE('u13 boys'!F276," ",'u13 boys'!G276)</f>
        <v>MOTOANG Thabang FS</v>
      </c>
      <c r="I281" s="216" t="str">
        <f>CONCATENATE('u13 girls'!F287," ",'u13 girls'!G287)</f>
        <v xml:space="preserve"> </v>
      </c>
      <c r="J281" s="137" t="str">
        <f>CONCATENATE('u11 boys'!F284," ",'u11 boys'!G284)</f>
        <v xml:space="preserve"> </v>
      </c>
      <c r="K281" s="216" t="str">
        <f>CONCATENATE('u11 girls'!F280," ",'u11 girls'!G280)</f>
        <v xml:space="preserve"> </v>
      </c>
    </row>
    <row r="282" spans="1:11" s="147" customFormat="1" ht="40" customHeight="1">
      <c r="A282" s="148">
        <f t="shared" si="4"/>
        <v>279</v>
      </c>
      <c r="B282" s="807" t="str">
        <f>CONCATENATE(Men!E282," ",Men!F282)</f>
        <v>MASOPHA Winston NWP</v>
      </c>
      <c r="C282" s="216" t="str">
        <f>CONCATENATE(Women!E296," ",Women!F296)</f>
        <v xml:space="preserve"> </v>
      </c>
      <c r="D282" s="137" t="str">
        <f>CONCATENATE('u19 boys'!F283," ",'u19 boys'!G283)</f>
        <v>MBATHA Lwazi UMZ</v>
      </c>
      <c r="E282" s="216" t="str">
        <f>CONCATENATE('u19 girls'!F182," ",'u19 girls'!G182)</f>
        <v>MAKOLOTE Amogelang  NW</v>
      </c>
      <c r="F282" s="212"/>
      <c r="G282" s="216" t="str">
        <f>CONCATENATE('u15 girls'!F285," ",'u15 girls'!G285)</f>
        <v xml:space="preserve"> </v>
      </c>
      <c r="H282" s="137" t="str">
        <f>CONCATENATE('u13 boys'!F277," ",'u13 boys'!G277)</f>
        <v>MOFOKENG Kabelo FS</v>
      </c>
      <c r="I282" s="216" t="str">
        <f>CONCATENATE('u13 girls'!F288," ",'u13 girls'!G288)</f>
        <v xml:space="preserve"> </v>
      </c>
      <c r="J282" s="137" t="str">
        <f>CONCATENATE('u11 boys'!F285," ",'u11 boys'!G285)</f>
        <v xml:space="preserve"> </v>
      </c>
      <c r="K282" s="216" t="str">
        <f>CONCATENATE('u11 girls'!F281," ",'u11 girls'!G281)</f>
        <v xml:space="preserve"> </v>
      </c>
    </row>
    <row r="283" spans="1:11" s="147" customFormat="1" ht="40" customHeight="1">
      <c r="A283" s="148">
        <f t="shared" si="4"/>
        <v>280</v>
      </c>
      <c r="B283" s="807" t="str">
        <f>CONCATENATE(Men!E283," ",Men!F283)</f>
        <v>CAROLLISEN Brenton  SANDF</v>
      </c>
      <c r="C283" s="216" t="str">
        <f>CONCATENATE(Women!E297," ",Women!F297)</f>
        <v xml:space="preserve"> </v>
      </c>
      <c r="D283" s="137" t="str">
        <f>CONCATENATE('u19 boys'!F284," ",'u19 boys'!G284)</f>
        <v>TEBOHO Lesoetsa LIM</v>
      </c>
      <c r="E283" s="216" t="str">
        <f>CONCATENATE('u19 girls'!F183," ",'u19 girls'!G183)</f>
        <v>WENASE Lisakhanya JTTA</v>
      </c>
      <c r="F283" s="212"/>
      <c r="G283" s="216" t="str">
        <f>CONCATENATE('u15 girls'!F286," ",'u15 girls'!G286)</f>
        <v xml:space="preserve"> </v>
      </c>
      <c r="H283" s="137" t="str">
        <f>CONCATENATE('u13 boys'!F278," ",'u13 boys'!G278)</f>
        <v>RUITERS Levi CT</v>
      </c>
      <c r="I283" s="216" t="str">
        <f>CONCATENATE('u13 girls'!F289," ",'u13 girls'!G289)</f>
        <v xml:space="preserve"> </v>
      </c>
      <c r="J283" s="137" t="str">
        <f>CONCATENATE('u11 boys'!F286," ",'u11 boys'!G286)</f>
        <v xml:space="preserve"> </v>
      </c>
      <c r="K283" s="216" t="str">
        <f>CONCATENATE('u11 girls'!F282," ",'u11 girls'!G282)</f>
        <v xml:space="preserve"> </v>
      </c>
    </row>
    <row r="284" spans="1:11" s="147" customFormat="1" ht="40" customHeight="1">
      <c r="A284" s="148">
        <f t="shared" si="4"/>
        <v>281</v>
      </c>
      <c r="B284" s="807" t="str">
        <f>CONCATENATE(Men!E284," ",Men!F284)</f>
        <v>PHUNGULA Themba UMG</v>
      </c>
      <c r="C284" s="216" t="str">
        <f>CONCATENATE(Women!E298," ",Women!F298)</f>
        <v xml:space="preserve"> </v>
      </c>
      <c r="D284" s="137" t="str">
        <f>CONCATENATE('u19 boys'!F285," ",'u19 boys'!G285)</f>
        <v>EBRAHIM Rameez  GN</v>
      </c>
      <c r="E284" s="216" t="str">
        <f>CONCATENATE('u19 girls'!F184," ",'u19 girls'!G184)</f>
        <v>MOHANLAL Narisha UMG</v>
      </c>
      <c r="F284" s="137" t="s">
        <v>4722</v>
      </c>
      <c r="G284" s="216" t="str">
        <f>CONCATENATE('u15 girls'!F287," ",'u15 girls'!G287)</f>
        <v xml:space="preserve"> </v>
      </c>
      <c r="H284" s="137" t="str">
        <f>CONCATENATE('u13 boys'!F279," ",'u13 boys'!G279)</f>
        <v>KARTHIK Dhaarmic  GN</v>
      </c>
      <c r="I284" s="216" t="str">
        <f>CONCATENATE('u13 girls'!F290," ",'u13 girls'!G290)</f>
        <v xml:space="preserve"> </v>
      </c>
      <c r="J284" s="137" t="str">
        <f>CONCATENATE('u11 boys'!F287," ",'u11 boys'!G287)</f>
        <v xml:space="preserve"> </v>
      </c>
      <c r="K284" s="216" t="str">
        <f>CONCATENATE('u11 girls'!F283," ",'u11 girls'!G283)</f>
        <v xml:space="preserve"> </v>
      </c>
    </row>
    <row r="285" spans="1:11" s="147" customFormat="1" ht="40" customHeight="1">
      <c r="A285" s="148">
        <f t="shared" si="4"/>
        <v>282</v>
      </c>
      <c r="B285" s="807" t="str">
        <f>CONCATENATE(Men!E285," ",Men!F285)</f>
        <v>MUKHTAR Muddathir FS</v>
      </c>
      <c r="C285" s="216"/>
      <c r="D285" s="137" t="str">
        <f>CONCATENATE('u19 boys'!F286," ",'u19 boys'!G286)</f>
        <v>MLAMBO Lethabo Nicky LIM</v>
      </c>
      <c r="E285" s="216"/>
      <c r="F285" s="212"/>
      <c r="G285" s="216"/>
      <c r="H285" s="137" t="str">
        <f>CONCATENATE('u13 boys'!F280," ",'u13 boys'!G280)</f>
        <v>NAIDOO Xavian ETTA</v>
      </c>
      <c r="I285" s="216"/>
      <c r="J285" s="137"/>
      <c r="K285" s="216"/>
    </row>
    <row r="286" spans="1:11" ht="23.5">
      <c r="A286" s="148">
        <f t="shared" si="4"/>
        <v>283</v>
      </c>
      <c r="B286" s="807" t="str">
        <f>CONCATENATE(Men!E286," ",Men!F286)</f>
        <v>MATSENA Jerry  LIM</v>
      </c>
      <c r="C286" s="217"/>
      <c r="D286" s="212"/>
      <c r="E286" s="217"/>
      <c r="F286" s="212"/>
      <c r="G286" s="217"/>
      <c r="H286" s="137" t="str">
        <f>CONCATENATE('u13 boys'!F282," ",'u13 boys'!G282)</f>
        <v xml:space="preserve"> </v>
      </c>
      <c r="I286" s="217"/>
      <c r="J286" s="212"/>
      <c r="K286" s="217"/>
    </row>
    <row r="287" spans="1:11" ht="23.5">
      <c r="A287" s="148">
        <f t="shared" si="4"/>
        <v>284</v>
      </c>
      <c r="B287" s="807" t="str">
        <f>CONCATENATE(Men!E287," ",Men!F287)</f>
        <v>CHUANG Tony JTTA</v>
      </c>
      <c r="C287" s="217"/>
      <c r="D287" s="212"/>
      <c r="E287" s="217"/>
      <c r="F287" s="212"/>
      <c r="G287" s="217"/>
      <c r="H287" s="137" t="str">
        <f>CONCATENATE('u13 boys'!F283," ",'u13 boys'!G283)</f>
        <v xml:space="preserve"> </v>
      </c>
      <c r="I287" s="217"/>
      <c r="J287" s="212"/>
      <c r="K287" s="217"/>
    </row>
    <row r="288" spans="1:11" ht="23.5">
      <c r="A288" s="148">
        <f t="shared" si="4"/>
        <v>285</v>
      </c>
      <c r="B288" s="807" t="str">
        <f>CONCATENATE(Men!E288," ",Men!F288)</f>
        <v>SEJAMOHOLO Kagiso NWP</v>
      </c>
      <c r="C288" s="217"/>
      <c r="D288" s="212"/>
      <c r="E288" s="217"/>
      <c r="F288" s="212"/>
      <c r="G288" s="217"/>
      <c r="H288" s="137" t="str">
        <f>CONCATENATE('u13 boys'!F284," ",'u13 boys'!G284)</f>
        <v xml:space="preserve"> </v>
      </c>
      <c r="I288" s="217"/>
      <c r="J288" s="212"/>
      <c r="K288" s="217"/>
    </row>
    <row r="289" spans="1:11" ht="23.5">
      <c r="A289" s="148">
        <f t="shared" si="4"/>
        <v>286</v>
      </c>
      <c r="B289" s="807" t="str">
        <f>CONCATENATE(Men!E289," ",Men!F289)</f>
        <v>KAVONICH Naftali JTTA</v>
      </c>
      <c r="C289" s="217"/>
      <c r="D289" s="212"/>
      <c r="E289" s="217"/>
      <c r="F289" s="212"/>
      <c r="G289" s="217"/>
      <c r="H289" s="137" t="str">
        <f>CONCATENATE('u13 boys'!F285," ",'u13 boys'!G285)</f>
        <v xml:space="preserve"> </v>
      </c>
      <c r="I289" s="217"/>
      <c r="J289" s="212"/>
      <c r="K289" s="217"/>
    </row>
    <row r="290" spans="1:11" ht="23.5">
      <c r="A290" s="148">
        <f t="shared" si="4"/>
        <v>287</v>
      </c>
      <c r="B290" s="807" t="str">
        <f>CONCATENATE(Men!E290," ",Men!F290)</f>
        <v>MNGADI Sinakhokonke  UMG</v>
      </c>
      <c r="C290" s="217"/>
      <c r="D290" s="212"/>
      <c r="E290" s="217"/>
      <c r="F290" s="212"/>
      <c r="G290" s="217"/>
      <c r="H290" s="137" t="str">
        <f>CONCATENATE('u13 boys'!F286," ",'u13 boys'!G286)</f>
        <v xml:space="preserve"> </v>
      </c>
      <c r="I290" s="217"/>
      <c r="J290" s="212"/>
      <c r="K290" s="217"/>
    </row>
    <row r="291" spans="1:11" ht="23.5">
      <c r="A291" s="148">
        <f t="shared" si="4"/>
        <v>288</v>
      </c>
      <c r="B291" s="807" t="str">
        <f>CONCATENATE(Men!E291," ",Men!F291)</f>
        <v>Saurabh Mishra JTTA</v>
      </c>
      <c r="C291" s="217"/>
      <c r="D291" s="212"/>
      <c r="E291" s="217"/>
      <c r="F291" s="212"/>
      <c r="G291" s="217"/>
      <c r="H291" s="137" t="str">
        <f>CONCATENATE('u13 boys'!F287," ",'u13 boys'!G287)</f>
        <v xml:space="preserve"> </v>
      </c>
      <c r="I291" s="217"/>
      <c r="J291" s="212"/>
      <c r="K291" s="217"/>
    </row>
    <row r="292" spans="1:11" ht="23.5">
      <c r="A292" s="148">
        <f t="shared" si="4"/>
        <v>289</v>
      </c>
      <c r="B292" s="807" t="str">
        <f>CONCATENATE(Men!E292," ",Men!F292)</f>
        <v>MO ALEX JTTA</v>
      </c>
      <c r="C292" s="217"/>
      <c r="D292" s="212"/>
      <c r="E292" s="217"/>
      <c r="F292" s="212"/>
      <c r="G292" s="217"/>
      <c r="H292" s="137" t="str">
        <f>CONCATENATE('u13 boys'!F288," ",'u13 boys'!G288)</f>
        <v xml:space="preserve"> </v>
      </c>
      <c r="I292" s="217"/>
      <c r="J292" s="212"/>
      <c r="K292" s="217"/>
    </row>
    <row r="293" spans="1:11" ht="23.5">
      <c r="A293" s="148">
        <f t="shared" si="4"/>
        <v>290</v>
      </c>
      <c r="B293" s="807" t="str">
        <f>CONCATENATE(Men!E293," ",Men!F293)</f>
        <v>Han Zhen Low JTTA</v>
      </c>
      <c r="C293" s="217"/>
      <c r="D293" s="212"/>
      <c r="E293" s="217"/>
      <c r="F293" s="212"/>
      <c r="G293" s="217"/>
      <c r="H293" s="137" t="str">
        <f>CONCATENATE('u13 boys'!F289," ",'u13 boys'!G289)</f>
        <v xml:space="preserve"> </v>
      </c>
      <c r="I293" s="217"/>
      <c r="J293" s="212"/>
      <c r="K293" s="217"/>
    </row>
    <row r="294" spans="1:11" ht="23.5">
      <c r="A294" s="148">
        <f t="shared" si="4"/>
        <v>291</v>
      </c>
      <c r="B294" s="807" t="str">
        <f>CONCATENATE(Men!E294," ",Men!F294)</f>
        <v>HU HUAYUN JTTA</v>
      </c>
      <c r="C294" s="217"/>
      <c r="D294" s="212"/>
      <c r="E294" s="217"/>
      <c r="F294" s="212"/>
      <c r="G294" s="217"/>
      <c r="H294" s="137" t="str">
        <f>CONCATENATE('u13 boys'!F290," ",'u13 boys'!G290)</f>
        <v xml:space="preserve"> </v>
      </c>
      <c r="I294" s="217"/>
      <c r="J294" s="212"/>
      <c r="K294" s="217"/>
    </row>
    <row r="295" spans="1:11" ht="23.5">
      <c r="A295" s="148">
        <f t="shared" si="4"/>
        <v>292</v>
      </c>
      <c r="B295" s="807" t="str">
        <f>CONCATENATE(Men!E295," ",Men!F295)</f>
        <v>Siddeeq BUCKUS UMZ</v>
      </c>
      <c r="C295" s="217"/>
      <c r="D295" s="212"/>
      <c r="E295" s="217"/>
      <c r="F295" s="212"/>
      <c r="G295" s="217"/>
      <c r="H295" s="137" t="str">
        <f>CONCATENATE('u13 boys'!F291," ",'u13 boys'!G291)</f>
        <v xml:space="preserve"> </v>
      </c>
      <c r="I295" s="217"/>
      <c r="J295" s="212"/>
      <c r="K295" s="217"/>
    </row>
    <row r="296" spans="1:11" ht="23.5">
      <c r="A296" s="148">
        <f t="shared" si="4"/>
        <v>293</v>
      </c>
      <c r="B296" s="807" t="str">
        <f>CONCATENATE(Men!E296," ",Men!F296)</f>
        <v>Quentin THOMAS CT</v>
      </c>
      <c r="C296" s="217"/>
      <c r="D296" s="212"/>
      <c r="E296" s="217"/>
      <c r="F296" s="212"/>
      <c r="G296" s="217"/>
      <c r="H296" s="212"/>
      <c r="I296" s="217"/>
      <c r="J296" s="212"/>
      <c r="K296" s="217"/>
    </row>
    <row r="297" spans="1:11" ht="23.5">
      <c r="A297" s="148">
        <f t="shared" si="4"/>
        <v>294</v>
      </c>
      <c r="B297" s="807" t="str">
        <f>CONCATENATE(Men!E297," ",Men!F297)</f>
        <v>Ebrahim Shuaib JTTA</v>
      </c>
      <c r="C297" s="217"/>
      <c r="D297" s="212"/>
      <c r="E297" s="217"/>
      <c r="F297" s="212"/>
      <c r="G297" s="217"/>
      <c r="H297" s="212"/>
      <c r="I297" s="217"/>
      <c r="J297" s="212"/>
      <c r="K297" s="217"/>
    </row>
    <row r="298" spans="1:11" ht="23.5">
      <c r="A298" s="148">
        <f t="shared" si="4"/>
        <v>295</v>
      </c>
      <c r="B298" s="807" t="str">
        <f>CONCATENATE(Men!E298," ",Men!F298)</f>
        <v>RAFUBE William FS</v>
      </c>
      <c r="C298" s="217"/>
      <c r="D298" s="212"/>
      <c r="E298" s="217"/>
      <c r="F298" s="212"/>
      <c r="G298" s="217"/>
      <c r="H298" s="212"/>
      <c r="I298" s="217"/>
      <c r="J298" s="212"/>
      <c r="K298" s="217"/>
    </row>
    <row r="299" spans="1:11" ht="23.5">
      <c r="A299" s="148">
        <f t="shared" si="4"/>
        <v>296</v>
      </c>
      <c r="B299" s="807" t="str">
        <f>CONCATENATE(Men!E299," ",Men!F299)</f>
        <v>HOLNESS David ETTA</v>
      </c>
      <c r="C299" s="217"/>
      <c r="D299" s="212"/>
      <c r="E299" s="217"/>
      <c r="F299" s="212"/>
      <c r="G299" s="217"/>
      <c r="H299" s="212"/>
      <c r="I299" s="217"/>
      <c r="J299" s="212"/>
      <c r="K299" s="217"/>
    </row>
    <row r="300" spans="1:11" ht="23.5">
      <c r="A300" s="148">
        <f t="shared" si="4"/>
        <v>297</v>
      </c>
      <c r="B300" s="807" t="str">
        <f>CONCATENATE(Men!E300," ",Men!F300)</f>
        <v>KHAN Ameer  ETTA</v>
      </c>
      <c r="C300" s="217"/>
      <c r="D300" s="212"/>
      <c r="E300" s="217"/>
      <c r="F300" s="212"/>
      <c r="G300" s="217"/>
      <c r="H300" s="212"/>
      <c r="I300" s="217"/>
      <c r="J300" s="212"/>
      <c r="K300" s="217"/>
    </row>
    <row r="301" spans="1:11" ht="23.5">
      <c r="A301" s="148">
        <f t="shared" si="4"/>
        <v>298</v>
      </c>
      <c r="B301" s="807" t="str">
        <f>CONCATENATE(Men!E301," ",Men!F301)</f>
        <v>MBANJWA Mfanafuti  ETTA</v>
      </c>
      <c r="C301" s="217"/>
      <c r="D301" s="212"/>
      <c r="E301" s="217"/>
      <c r="F301" s="212"/>
      <c r="G301" s="217"/>
      <c r="H301" s="212"/>
      <c r="I301" s="217"/>
      <c r="J301" s="212"/>
      <c r="K301" s="217"/>
    </row>
    <row r="302" spans="1:11" ht="23.5">
      <c r="A302" s="148">
        <f t="shared" si="4"/>
        <v>299</v>
      </c>
      <c r="B302" s="807" t="str">
        <f>CONCATENATE(Men!E302," ",Men!F302)</f>
        <v>FORTUIN Pedro  CT</v>
      </c>
      <c r="C302" s="217"/>
      <c r="D302" s="212"/>
      <c r="E302" s="217"/>
      <c r="F302" s="212"/>
      <c r="G302" s="217"/>
      <c r="H302" s="212"/>
      <c r="I302" s="217"/>
      <c r="J302" s="212"/>
      <c r="K302" s="217"/>
    </row>
    <row r="303" spans="1:11" ht="23.5">
      <c r="A303" s="148">
        <f t="shared" si="4"/>
        <v>300</v>
      </c>
      <c r="B303" s="807" t="str">
        <f>CONCATENATE(Men!E303," ",Men!F303)</f>
        <v>KATZEF Stephen  CT</v>
      </c>
      <c r="C303" s="217"/>
      <c r="D303" s="212"/>
      <c r="E303" s="217"/>
      <c r="F303" s="212"/>
      <c r="G303" s="217"/>
      <c r="H303" s="212"/>
      <c r="I303" s="217"/>
      <c r="J303" s="212"/>
      <c r="K303" s="217"/>
    </row>
    <row r="304" spans="1:11" ht="23.5">
      <c r="A304" s="148">
        <f t="shared" si="4"/>
        <v>301</v>
      </c>
      <c r="B304" s="807" t="str">
        <f>CONCATENATE(Men!E304," ",Men!F304)</f>
        <v>CRONJE Abraham  CT</v>
      </c>
      <c r="C304" s="217"/>
      <c r="D304" s="212"/>
      <c r="E304" s="217"/>
      <c r="F304" s="212"/>
      <c r="G304" s="217"/>
      <c r="H304" s="212"/>
      <c r="I304" s="217"/>
      <c r="J304" s="212"/>
      <c r="K304" s="217"/>
    </row>
    <row r="305" spans="1:11" ht="23.5">
      <c r="A305" s="148">
        <f t="shared" si="4"/>
        <v>302</v>
      </c>
      <c r="B305" s="807" t="str">
        <f>CONCATENATE(Men!E305," ",Men!F305)</f>
        <v>HASSAN Yaseen  CT</v>
      </c>
      <c r="C305" s="217"/>
      <c r="D305" s="212"/>
      <c r="E305" s="217"/>
      <c r="F305" s="212"/>
      <c r="G305" s="217"/>
      <c r="H305" s="212"/>
      <c r="I305" s="217"/>
      <c r="J305" s="212"/>
      <c r="K305" s="217"/>
    </row>
    <row r="306" spans="1:11" ht="23.5">
      <c r="A306" s="148">
        <f t="shared" si="4"/>
        <v>303</v>
      </c>
      <c r="B306" s="807" t="str">
        <f>CONCATENATE(Men!E306," ",Men!F306)</f>
        <v>VAN SENSIE Angelo EC</v>
      </c>
      <c r="C306" s="217"/>
      <c r="D306" s="212"/>
      <c r="E306" s="217"/>
      <c r="F306" s="212"/>
      <c r="G306" s="217"/>
      <c r="H306" s="212"/>
      <c r="I306" s="217"/>
      <c r="J306" s="212"/>
      <c r="K306" s="217"/>
    </row>
    <row r="307" spans="1:11" ht="23.5">
      <c r="A307" s="148">
        <f t="shared" si="4"/>
        <v>304</v>
      </c>
      <c r="B307" s="807" t="str">
        <f>CONCATENATE(Men!E307," ",Men!F307)</f>
        <v>TIMMIE Chadley CT</v>
      </c>
      <c r="C307" s="217"/>
      <c r="D307" s="212"/>
      <c r="E307" s="217"/>
      <c r="F307" s="212"/>
      <c r="G307" s="217"/>
      <c r="H307" s="212"/>
      <c r="I307" s="217"/>
      <c r="J307" s="212"/>
      <c r="K307" s="217"/>
    </row>
    <row r="308" spans="1:11" ht="23.5">
      <c r="A308" s="148">
        <f t="shared" si="4"/>
        <v>305</v>
      </c>
      <c r="B308" s="807" t="str">
        <f>CONCATENATE(Men!E308," ",Men!F308)</f>
        <v>PARKER Thomas CT</v>
      </c>
      <c r="C308" s="217"/>
      <c r="D308" s="212"/>
      <c r="E308" s="217"/>
      <c r="F308" s="212"/>
      <c r="G308" s="217"/>
      <c r="H308" s="212"/>
      <c r="I308" s="217"/>
      <c r="J308" s="212"/>
      <c r="K308" s="217"/>
    </row>
    <row r="309" spans="1:11" ht="23.5">
      <c r="A309" s="148">
        <f t="shared" si="4"/>
        <v>306</v>
      </c>
      <c r="B309" s="807" t="str">
        <f>CONCATENATE(Men!E309," ",Men!F309)</f>
        <v>JOUBERT Adriaan GN</v>
      </c>
      <c r="C309" s="217"/>
      <c r="D309" s="212"/>
      <c r="E309" s="217"/>
      <c r="F309" s="212"/>
      <c r="G309" s="217"/>
      <c r="H309" s="212"/>
      <c r="I309" s="217"/>
      <c r="J309" s="212"/>
      <c r="K309" s="217"/>
    </row>
    <row r="310" spans="1:11" ht="23.5">
      <c r="A310" s="148">
        <f t="shared" si="4"/>
        <v>307</v>
      </c>
      <c r="B310" s="807" t="str">
        <f>CONCATENATE(Men!E310," ",Men!F310)</f>
        <v>SALIE Benyamin GN</v>
      </c>
      <c r="C310" s="217"/>
      <c r="D310" s="212"/>
      <c r="E310" s="217"/>
      <c r="F310" s="212"/>
      <c r="G310" s="217"/>
      <c r="H310" s="212"/>
      <c r="I310" s="217"/>
      <c r="J310" s="212"/>
      <c r="K310" s="217"/>
    </row>
    <row r="311" spans="1:11" ht="23.5">
      <c r="A311" s="148">
        <f t="shared" si="4"/>
        <v>308</v>
      </c>
      <c r="B311" s="807" t="str">
        <f>CONCATENATE(Men!E311," ",Men!F311)</f>
        <v>MAY Shaun  CT</v>
      </c>
      <c r="C311" s="217"/>
      <c r="D311" s="212"/>
      <c r="E311" s="217"/>
      <c r="F311" s="212"/>
      <c r="G311" s="217"/>
      <c r="H311" s="212"/>
      <c r="I311" s="217"/>
      <c r="J311" s="212"/>
      <c r="K311" s="217"/>
    </row>
    <row r="312" spans="1:11" ht="23.5">
      <c r="A312" s="148">
        <f t="shared" si="4"/>
        <v>309</v>
      </c>
      <c r="B312" s="807" t="str">
        <f>CONCATENATE(Men!E312," ",Men!F312)</f>
        <v>TOFA Rafiek  CT</v>
      </c>
      <c r="C312" s="217"/>
      <c r="D312" s="212"/>
      <c r="E312" s="217"/>
      <c r="F312" s="212"/>
      <c r="G312" s="217"/>
      <c r="H312" s="212"/>
      <c r="I312" s="217"/>
      <c r="J312" s="212"/>
      <c r="K312" s="217"/>
    </row>
    <row r="313" spans="1:11" ht="23.5">
      <c r="A313" s="148">
        <f t="shared" si="4"/>
        <v>310</v>
      </c>
      <c r="B313" s="807" t="str">
        <f>CONCATENATE(Men!E313," ",Men!F313)</f>
        <v>STEWARD Kader  JTTA</v>
      </c>
      <c r="C313" s="217"/>
      <c r="D313" s="212"/>
      <c r="E313" s="217"/>
      <c r="F313" s="212"/>
      <c r="G313" s="217"/>
      <c r="H313" s="212"/>
      <c r="I313" s="217"/>
      <c r="J313" s="212"/>
      <c r="K313" s="217"/>
    </row>
    <row r="314" spans="1:11" ht="23.5">
      <c r="A314" s="148">
        <f t="shared" si="4"/>
        <v>311</v>
      </c>
      <c r="B314" s="807" t="str">
        <f>CONCATENATE(Men!E314," ",Men!F314)</f>
        <v>MATAKALATSE Johnny SANDF</v>
      </c>
      <c r="C314" s="217"/>
      <c r="D314" s="212"/>
      <c r="E314" s="217"/>
      <c r="F314" s="212"/>
      <c r="G314" s="217"/>
      <c r="H314" s="212"/>
      <c r="I314" s="217"/>
      <c r="J314" s="212"/>
      <c r="K314" s="217"/>
    </row>
    <row r="315" spans="1:11" ht="23.5">
      <c r="A315" s="148">
        <f t="shared" si="4"/>
        <v>312</v>
      </c>
      <c r="B315" s="807" t="str">
        <f>CONCATENATE(Men!E315," ",Men!F315)</f>
        <v>VAN SCHAIK CJ GN</v>
      </c>
      <c r="C315" s="217"/>
      <c r="D315" s="212"/>
      <c r="E315" s="217"/>
      <c r="F315" s="212"/>
      <c r="G315" s="217"/>
      <c r="H315" s="212"/>
      <c r="I315" s="217"/>
      <c r="J315" s="212"/>
      <c r="K315" s="217"/>
    </row>
    <row r="316" spans="1:11" ht="23.5">
      <c r="A316" s="148">
        <f t="shared" si="4"/>
        <v>313</v>
      </c>
      <c r="B316" s="807" t="str">
        <f>CONCATENATE(Men!E316," ",Men!F316)</f>
        <v>JOHARDIEN Shahied CT</v>
      </c>
      <c r="C316" s="217"/>
      <c r="D316" s="212"/>
      <c r="E316" s="217"/>
      <c r="F316" s="212"/>
      <c r="G316" s="217"/>
      <c r="H316" s="212"/>
      <c r="I316" s="217"/>
      <c r="J316" s="212"/>
      <c r="K316" s="217"/>
    </row>
    <row r="317" spans="1:11" ht="23.5">
      <c r="A317" s="148">
        <f t="shared" si="4"/>
        <v>314</v>
      </c>
      <c r="B317" s="807" t="str">
        <f>CONCATENATE(Men!E317," ",Men!F317)</f>
        <v>McCarthy David EDEN</v>
      </c>
      <c r="C317" s="217"/>
      <c r="D317" s="212"/>
      <c r="E317" s="217"/>
      <c r="F317" s="212"/>
      <c r="G317" s="217"/>
      <c r="H317" s="212"/>
      <c r="I317" s="217"/>
      <c r="J317" s="212"/>
      <c r="K317" s="217"/>
    </row>
    <row r="318" spans="1:11" ht="23.5">
      <c r="A318" s="148">
        <f t="shared" si="4"/>
        <v>315</v>
      </c>
      <c r="B318" s="806"/>
      <c r="C318" s="217"/>
      <c r="D318" s="212"/>
      <c r="E318" s="217"/>
      <c r="F318" s="212"/>
      <c r="G318" s="217"/>
      <c r="H318" s="212"/>
      <c r="I318" s="217"/>
      <c r="J318" s="212"/>
      <c r="K318" s="217"/>
    </row>
    <row r="319" spans="1:11" ht="23.5">
      <c r="A319" s="148">
        <f t="shared" si="4"/>
        <v>316</v>
      </c>
      <c r="B319" s="808"/>
      <c r="C319" s="217"/>
      <c r="D319" s="212"/>
      <c r="E319" s="217"/>
      <c r="F319" s="212"/>
      <c r="G319" s="217"/>
      <c r="H319" s="212"/>
      <c r="I319" s="217"/>
      <c r="J319" s="212"/>
      <c r="K319" s="217"/>
    </row>
    <row r="394" spans="11:11">
      <c r="K394" s="218">
        <v>1</v>
      </c>
    </row>
  </sheetData>
  <sheetProtection algorithmName="SHA-512" hashValue="44DNoQkzCa1ZTA5zhD1Npk8DH2h3lq5IO29iF4S+4KlH7iyGqxIyqPJWXUr/ZIqjdXIhn66uZ05l55RZocQ2MA==" saltValue="6Ng2t8YMcKCTSW0yywHviw==" spinCount="100000" sheet="1" objects="1" scenarios="1" sort="0" autoFilter="0"/>
  <mergeCells count="2">
    <mergeCell ref="A1:I1"/>
    <mergeCell ref="A2:C2"/>
  </mergeCells>
  <phoneticPr fontId="33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4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HF281"/>
  <sheetViews>
    <sheetView workbookViewId="0">
      <pane ySplit="4" topLeftCell="A5" activePane="bottomLeft" state="frozen"/>
      <selection activeCell="D4" sqref="D4"/>
      <selection pane="bottomLeft" activeCell="B1" sqref="B1:B1048576"/>
    </sheetView>
  </sheetViews>
  <sheetFormatPr defaultColWidth="8.81640625" defaultRowHeight="15.5" outlineLevelRow="1" outlineLevelCol="1"/>
  <cols>
    <col min="1" max="1" width="10.453125" style="59" hidden="1" customWidth="1" outlineLevel="1"/>
    <col min="2" max="2" width="12.26953125" style="59" hidden="1" customWidth="1" outlineLevel="1"/>
    <col min="3" max="3" width="13.1796875" style="59" hidden="1" customWidth="1"/>
    <col min="4" max="4" width="5.7265625" style="59" customWidth="1"/>
    <col min="5" max="5" width="9" style="73" customWidth="1"/>
    <col min="6" max="6" width="30.453125" style="81" customWidth="1"/>
    <col min="7" max="7" width="7.7265625" style="73" customWidth="1"/>
    <col min="8" max="9" width="10" style="56" customWidth="1"/>
    <col min="10" max="10" width="11.81640625" style="56" customWidth="1" outlineLevel="1"/>
    <col min="11" max="14" width="8.81640625" style="56" customWidth="1" outlineLevel="1"/>
    <col min="15" max="15" width="10" style="56" customWidth="1" outlineLevel="1"/>
    <col min="16" max="39" width="8.81640625" style="56" customWidth="1" outlineLevel="1"/>
    <col min="40" max="40" width="8.81640625" style="81" customWidth="1"/>
    <col min="41" max="16384" width="8.81640625" style="81"/>
  </cols>
  <sheetData>
    <row r="1" spans="1:42" ht="123.75" customHeight="1" thickBo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2" ht="28.5" thickBot="1">
      <c r="A2" s="82" t="s">
        <v>4722</v>
      </c>
      <c r="B2" s="82"/>
      <c r="C2" s="1218">
        <f>Tournaments!F3</f>
        <v>46113</v>
      </c>
      <c r="D2" s="1219"/>
      <c r="E2" s="1219"/>
      <c r="F2" s="1219"/>
      <c r="G2" s="1220"/>
      <c r="H2" s="922"/>
      <c r="I2" s="938"/>
      <c r="J2" s="926"/>
      <c r="K2" s="925"/>
      <c r="L2" s="1182">
        <v>2026</v>
      </c>
      <c r="M2" s="1183"/>
      <c r="N2" s="1183"/>
      <c r="O2" s="1184"/>
      <c r="P2" s="1182">
        <v>2025</v>
      </c>
      <c r="Q2" s="1183"/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4"/>
      <c r="AD2" s="1182">
        <v>2024</v>
      </c>
      <c r="AE2" s="1183"/>
      <c r="AF2" s="1183"/>
      <c r="AG2" s="1183"/>
      <c r="AH2" s="1183"/>
      <c r="AI2" s="1183"/>
      <c r="AJ2" s="1183"/>
      <c r="AK2" s="1183"/>
      <c r="AL2" s="1183"/>
      <c r="AM2" s="1184"/>
    </row>
    <row r="3" spans="1:42" ht="25" thickBot="1">
      <c r="A3" s="70" t="s">
        <v>4722</v>
      </c>
      <c r="B3" s="70"/>
      <c r="C3" s="1221" t="s">
        <v>5168</v>
      </c>
      <c r="D3" s="1222"/>
      <c r="E3" s="1222"/>
      <c r="F3" s="1222"/>
      <c r="G3" s="1223"/>
      <c r="H3" s="923"/>
      <c r="I3" s="939"/>
      <c r="J3" s="927"/>
      <c r="K3" s="928"/>
      <c r="L3" s="980" t="s">
        <v>3453</v>
      </c>
      <c r="M3" s="1189" t="s">
        <v>2406</v>
      </c>
      <c r="N3" s="1190"/>
      <c r="O3" s="842" t="s">
        <v>1914</v>
      </c>
      <c r="P3" s="1188" t="s">
        <v>2406</v>
      </c>
      <c r="Q3" s="1189"/>
      <c r="R3" s="1189"/>
      <c r="S3" s="1189"/>
      <c r="T3" s="1190"/>
      <c r="U3" s="1188" t="s">
        <v>251</v>
      </c>
      <c r="V3" s="1190"/>
      <c r="W3" s="1188" t="s">
        <v>1914</v>
      </c>
      <c r="X3" s="1190"/>
      <c r="Y3" s="740" t="s">
        <v>3452</v>
      </c>
      <c r="Z3" s="785" t="s">
        <v>3750</v>
      </c>
      <c r="AA3" s="1188" t="s">
        <v>3453</v>
      </c>
      <c r="AB3" s="1189"/>
      <c r="AC3" s="1190"/>
      <c r="AD3" s="1185" t="s">
        <v>2406</v>
      </c>
      <c r="AE3" s="1186"/>
      <c r="AF3" s="1185" t="s">
        <v>1914</v>
      </c>
      <c r="AG3" s="1186"/>
      <c r="AH3" s="228" t="s">
        <v>3452</v>
      </c>
      <c r="AI3" s="1185" t="s">
        <v>3453</v>
      </c>
      <c r="AJ3" s="1187"/>
      <c r="AK3" s="1187"/>
      <c r="AL3" s="1187"/>
      <c r="AM3" s="1186"/>
    </row>
    <row r="4" spans="1:42" ht="87.5" outlineLevel="1" thickBot="1">
      <c r="A4" s="249" t="s">
        <v>3279</v>
      </c>
      <c r="B4" s="102" t="s">
        <v>3751</v>
      </c>
      <c r="C4" s="119" t="s">
        <v>3874</v>
      </c>
      <c r="D4" s="119" t="s">
        <v>80</v>
      </c>
      <c r="E4" s="119" t="s">
        <v>113</v>
      </c>
      <c r="F4" s="120" t="s">
        <v>3076</v>
      </c>
      <c r="G4" s="119" t="s">
        <v>3502</v>
      </c>
      <c r="H4" s="981" t="s">
        <v>4930</v>
      </c>
      <c r="I4" s="981" t="s">
        <v>6139</v>
      </c>
      <c r="J4" s="981" t="s">
        <v>219</v>
      </c>
      <c r="K4" s="981" t="s">
        <v>220</v>
      </c>
      <c r="L4" s="924" t="s">
        <v>6209</v>
      </c>
      <c r="M4" s="122" t="s">
        <v>6155</v>
      </c>
      <c r="N4" s="122" t="s">
        <v>6157</v>
      </c>
      <c r="O4" s="122" t="s">
        <v>6148</v>
      </c>
      <c r="P4" s="122" t="s">
        <v>6143</v>
      </c>
      <c r="Q4" s="122" t="s">
        <v>5252</v>
      </c>
      <c r="R4" s="122" t="s">
        <v>5650</v>
      </c>
      <c r="S4" s="122" t="s">
        <v>5694</v>
      </c>
      <c r="T4" s="122" t="s">
        <v>5015</v>
      </c>
      <c r="U4" s="122" t="s">
        <v>5631</v>
      </c>
      <c r="V4" s="122" t="s">
        <v>5217</v>
      </c>
      <c r="W4" s="122" t="s">
        <v>5517</v>
      </c>
      <c r="X4" s="122" t="s">
        <v>4934</v>
      </c>
      <c r="Y4" s="122" t="s">
        <v>6065</v>
      </c>
      <c r="Z4" s="122" t="s">
        <v>6116</v>
      </c>
      <c r="AA4" s="122" t="s">
        <v>5409</v>
      </c>
      <c r="AB4" s="122" t="s">
        <v>5767</v>
      </c>
      <c r="AC4" s="122" t="s">
        <v>4933</v>
      </c>
      <c r="AD4" s="104" t="s">
        <v>4935</v>
      </c>
      <c r="AE4" s="104" t="s">
        <v>4397</v>
      </c>
      <c r="AF4" s="104" t="s">
        <v>4327</v>
      </c>
      <c r="AG4" s="104" t="s">
        <v>4329</v>
      </c>
      <c r="AH4" s="102" t="s">
        <v>4845</v>
      </c>
      <c r="AI4" s="104" t="s">
        <v>4504</v>
      </c>
      <c r="AJ4" s="104" t="s">
        <v>4848</v>
      </c>
      <c r="AK4" s="104" t="s">
        <v>4721</v>
      </c>
      <c r="AL4" s="104" t="s">
        <v>4326</v>
      </c>
      <c r="AM4" s="104" t="s">
        <v>4328</v>
      </c>
    </row>
    <row r="5" spans="1:42" s="83" customFormat="1">
      <c r="A5" s="106" t="str">
        <f>IFERROR(VLOOKUP(Table8[[#This Row],[Player No]],Table10[[#All],[No]:[Age Group]],4,0),"")</f>
        <v>U13</v>
      </c>
      <c r="B5" s="112">
        <v>11</v>
      </c>
      <c r="C5" s="77">
        <f>+B5-D5</f>
        <v>10</v>
      </c>
      <c r="D5" s="63">
        <v>1</v>
      </c>
      <c r="E5" s="63">
        <v>1759</v>
      </c>
      <c r="F5" s="64" t="str">
        <f>IFERROR(VLOOKUP(Table8[[#This Row],[Player No]],Table10[[No]:[Province]],2,0),"")</f>
        <v>LEKORWE Reneilwe</v>
      </c>
      <c r="G5" s="76" t="str">
        <f>IFERROR(VLOOKUP(Table8[[#This Row],[Player No]],Table10[[No]:[Province]],3,0),"")</f>
        <v>BOT</v>
      </c>
      <c r="H5" s="124">
        <v>522</v>
      </c>
      <c r="I5" s="789">
        <f>Table8[[#This Row],[Points 2025]]/2+SUM(Table8[[#This Row],[O1  ADMIN 2026]:[P2           WC           CT Open   2026]])</f>
        <v>261</v>
      </c>
      <c r="J5" s="63">
        <f t="shared" ref="J5:J68" si="0">COUNTIF(L5:O5,"&gt;0")</f>
        <v>0</v>
      </c>
      <c r="K5" s="63">
        <f t="shared" ref="K5:K68" si="1">COUNTIF(M5:AM5,"&lt;0")</f>
        <v>0</v>
      </c>
      <c r="L5" s="708" t="s">
        <v>6083</v>
      </c>
      <c r="M5" s="708" t="s">
        <v>6083</v>
      </c>
      <c r="N5" s="708" t="s">
        <v>6083</v>
      </c>
      <c r="O5" s="708"/>
      <c r="P5" s="63">
        <v>150</v>
      </c>
      <c r="Q5" s="63"/>
      <c r="R5" s="114"/>
      <c r="S5" s="114"/>
      <c r="T5" s="63"/>
      <c r="U5" s="114"/>
      <c r="V5" s="63"/>
      <c r="W5" s="114"/>
      <c r="X5" s="63"/>
      <c r="Y5" s="636">
        <v>175</v>
      </c>
      <c r="Z5" s="114"/>
      <c r="AA5" s="63">
        <v>50</v>
      </c>
      <c r="AB5" s="114"/>
      <c r="AC5" s="63">
        <v>100</v>
      </c>
      <c r="AD5" s="63"/>
      <c r="AE5" s="63"/>
      <c r="AF5" s="63"/>
      <c r="AG5" s="63"/>
      <c r="AH5" s="63"/>
      <c r="AI5" s="63"/>
      <c r="AJ5" s="63"/>
      <c r="AK5" s="63"/>
      <c r="AL5" s="63">
        <v>50</v>
      </c>
      <c r="AM5" s="63"/>
      <c r="AO5" s="708"/>
      <c r="AP5" s="708"/>
    </row>
    <row r="6" spans="1:42" s="83" customFormat="1">
      <c r="A6" s="63" t="str">
        <f>IFERROR(VLOOKUP(Table8[[#This Row],[Player No]],Table10[[#All],[No]:[Age Group]],4,0),"")</f>
        <v>U11</v>
      </c>
      <c r="B6" s="61"/>
      <c r="C6" s="77"/>
      <c r="D6" s="63">
        <f>D5+1</f>
        <v>2</v>
      </c>
      <c r="E6" s="63">
        <v>4010</v>
      </c>
      <c r="F6" s="64" t="str">
        <f>IFERROR(VLOOKUP(Table8[[#This Row],[Player No]],Table10[[No]:[Province]],2,0),"")</f>
        <v>RAMCHURRAN Diyaan</v>
      </c>
      <c r="G6" s="76" t="str">
        <f>IFERROR(VLOOKUP(Table8[[#This Row],[Player No]],Table10[[No]:[Province]],3,0),"")</f>
        <v>UMG</v>
      </c>
      <c r="H6" s="124">
        <v>297.5</v>
      </c>
      <c r="I6" s="789">
        <f>Table8[[#This Row],[Points 2025]]/2+SUM(Table8[[#This Row],[O1  ADMIN 2026]:[P2           WC           CT Open   2026]])</f>
        <v>248.75</v>
      </c>
      <c r="J6" s="63">
        <f t="shared" si="0"/>
        <v>2</v>
      </c>
      <c r="K6" s="63">
        <f t="shared" si="1"/>
        <v>0</v>
      </c>
      <c r="L6" s="708" t="s">
        <v>6083</v>
      </c>
      <c r="M6" s="708">
        <v>50</v>
      </c>
      <c r="N6" s="708">
        <v>50</v>
      </c>
      <c r="O6" s="708"/>
      <c r="P6" s="63">
        <v>75</v>
      </c>
      <c r="Q6" s="63">
        <v>25</v>
      </c>
      <c r="R6" s="114">
        <v>25</v>
      </c>
      <c r="S6" s="114"/>
      <c r="T6" s="63">
        <v>25</v>
      </c>
      <c r="U6" s="114"/>
      <c r="V6" s="63"/>
      <c r="W6" s="114"/>
      <c r="X6" s="63"/>
      <c r="Y6" s="636">
        <v>50</v>
      </c>
      <c r="Z6" s="114"/>
      <c r="AA6" s="63"/>
      <c r="AB6" s="114">
        <v>35</v>
      </c>
      <c r="AC6" s="63">
        <v>50</v>
      </c>
      <c r="AD6" s="63"/>
      <c r="AE6" s="63"/>
      <c r="AF6" s="63"/>
      <c r="AG6" s="63"/>
      <c r="AH6" s="63">
        <v>25</v>
      </c>
      <c r="AI6" s="63"/>
      <c r="AJ6" s="63"/>
      <c r="AK6" s="63"/>
      <c r="AL6" s="63"/>
      <c r="AM6" s="63"/>
      <c r="AO6" s="708"/>
      <c r="AP6" s="708"/>
    </row>
    <row r="7" spans="1:42" s="83" customFormat="1">
      <c r="A7" s="63">
        <f>IFERROR(VLOOKUP(Table8[[#This Row],[Player No]],Table10[[#All],[No]:[Age Group]],4,0),"")</f>
        <v>0</v>
      </c>
      <c r="B7" s="61">
        <v>16</v>
      </c>
      <c r="C7" s="77">
        <f t="shared" ref="C7:C12" si="2">+B7-D7</f>
        <v>13</v>
      </c>
      <c r="D7" s="63">
        <f t="shared" ref="D7:D70" si="3">D6+1</f>
        <v>3</v>
      </c>
      <c r="E7" s="63">
        <v>1587</v>
      </c>
      <c r="F7" s="64" t="str">
        <f>IFERROR(VLOOKUP(Table8[[#This Row],[Player No]],Table10[[No]:[Province]],2,0),"")</f>
        <v>ZAIN EDDIN Kareem</v>
      </c>
      <c r="G7" s="76" t="str">
        <f>IFERROR(VLOOKUP(Table8[[#This Row],[Player No]],Table10[[No]:[Province]],3,0),"")</f>
        <v>GN</v>
      </c>
      <c r="H7" s="124">
        <v>381.625</v>
      </c>
      <c r="I7" s="789">
        <f>Table8[[#This Row],[Points 2025]]/2+SUM(Table8[[#This Row],[O1  ADMIN 2026]:[P2           WC           CT Open   2026]])</f>
        <v>190.8125</v>
      </c>
      <c r="J7" s="63">
        <f t="shared" si="0"/>
        <v>0</v>
      </c>
      <c r="K7" s="63">
        <f t="shared" si="1"/>
        <v>0</v>
      </c>
      <c r="L7" s="708" t="s">
        <v>6083</v>
      </c>
      <c r="M7" s="708" t="s">
        <v>6083</v>
      </c>
      <c r="N7" s="708" t="s">
        <v>6083</v>
      </c>
      <c r="O7" s="708"/>
      <c r="P7" s="63"/>
      <c r="Q7" s="63"/>
      <c r="R7" s="114"/>
      <c r="S7" s="114"/>
      <c r="T7" s="63"/>
      <c r="U7" s="114">
        <v>50</v>
      </c>
      <c r="V7" s="63"/>
      <c r="W7" s="114"/>
      <c r="X7" s="63"/>
      <c r="Y7" s="636">
        <v>125</v>
      </c>
      <c r="Z7" s="114"/>
      <c r="AA7" s="63">
        <v>25</v>
      </c>
      <c r="AB7" s="114">
        <v>75</v>
      </c>
      <c r="AC7" s="63">
        <v>50</v>
      </c>
      <c r="AD7" s="63"/>
      <c r="AE7" s="63"/>
      <c r="AF7" s="63"/>
      <c r="AG7" s="63"/>
      <c r="AH7" s="63">
        <v>25</v>
      </c>
      <c r="AI7" s="63">
        <v>25</v>
      </c>
      <c r="AJ7" s="63">
        <v>25</v>
      </c>
      <c r="AK7" s="63"/>
      <c r="AL7" s="63">
        <v>25</v>
      </c>
      <c r="AM7" s="63"/>
      <c r="AO7" s="708"/>
      <c r="AP7" s="708"/>
    </row>
    <row r="8" spans="1:42" s="83" customFormat="1">
      <c r="A8" s="63">
        <f>IFERROR(VLOOKUP(Table8[[#This Row],[Player No]],Table10[[#All],[No]:[Age Group]],4,0),"")</f>
        <v>0</v>
      </c>
      <c r="B8" s="61">
        <v>28</v>
      </c>
      <c r="C8" s="77">
        <f t="shared" si="2"/>
        <v>24</v>
      </c>
      <c r="D8" s="63">
        <f t="shared" si="3"/>
        <v>4</v>
      </c>
      <c r="E8" s="63">
        <v>3417</v>
      </c>
      <c r="F8" s="64" t="str">
        <f>IFERROR(VLOOKUP(Table8[[#This Row],[Player No]],Table10[[No]:[Province]],2,0),"")</f>
        <v>KATZ Milo</v>
      </c>
      <c r="G8" s="76" t="str">
        <f>IFERROR(VLOOKUP(Table8[[#This Row],[Player No]],Table10[[No]:[Province]],3,0),"")</f>
        <v>CT</v>
      </c>
      <c r="H8" s="124">
        <v>375.75</v>
      </c>
      <c r="I8" s="789">
        <f>Table8[[#This Row],[Points 2025]]/2+SUM(Table8[[#This Row],[O1  ADMIN 2026]:[P2           WC           CT Open   2026]])</f>
        <v>187.875</v>
      </c>
      <c r="J8" s="63">
        <f t="shared" si="0"/>
        <v>0</v>
      </c>
      <c r="K8" s="63">
        <f t="shared" si="1"/>
        <v>0</v>
      </c>
      <c r="L8" s="708" t="s">
        <v>6083</v>
      </c>
      <c r="M8" s="708" t="s">
        <v>6083</v>
      </c>
      <c r="N8" s="708" t="s">
        <v>6083</v>
      </c>
      <c r="O8" s="708"/>
      <c r="P8" s="63">
        <v>100</v>
      </c>
      <c r="Q8" s="63"/>
      <c r="R8" s="114"/>
      <c r="S8" s="114">
        <v>150</v>
      </c>
      <c r="T8" s="63"/>
      <c r="U8" s="114"/>
      <c r="V8" s="63"/>
      <c r="W8" s="114">
        <v>7.5</v>
      </c>
      <c r="X8" s="63">
        <v>2</v>
      </c>
      <c r="Y8" s="636">
        <v>75</v>
      </c>
      <c r="Z8" s="114"/>
      <c r="AA8" s="63"/>
      <c r="AB8" s="114"/>
      <c r="AC8" s="63"/>
      <c r="AD8" s="63"/>
      <c r="AE8" s="63"/>
      <c r="AF8" s="63"/>
      <c r="AG8" s="63">
        <v>50</v>
      </c>
      <c r="AH8" s="63"/>
      <c r="AI8" s="63"/>
      <c r="AJ8" s="63"/>
      <c r="AK8" s="63"/>
      <c r="AL8" s="63"/>
      <c r="AM8" s="63"/>
      <c r="AO8" s="708"/>
      <c r="AP8" s="708"/>
    </row>
    <row r="9" spans="1:42" s="83" customFormat="1">
      <c r="A9" s="63">
        <f>IFERROR(VLOOKUP(Table8[[#This Row],[Player No]],Table10[[#All],[No]:[Age Group]],4,0),"")</f>
        <v>0</v>
      </c>
      <c r="B9" s="61">
        <v>168</v>
      </c>
      <c r="C9" s="77">
        <f t="shared" si="2"/>
        <v>163</v>
      </c>
      <c r="D9" s="63">
        <f t="shared" si="3"/>
        <v>5</v>
      </c>
      <c r="E9" s="63">
        <v>3940</v>
      </c>
      <c r="F9" s="64" t="str">
        <f>IFERROR(VLOOKUP(Table8[[#This Row],[Player No]],Table10[[No]:[Province]],2,0),"")</f>
        <v>DANSTER Luke</v>
      </c>
      <c r="G9" s="76" t="str">
        <f>IFERROR(VLOOKUP(Table8[[#This Row],[Player No]],Table10[[No]:[Province]],3,0),"")</f>
        <v>CT</v>
      </c>
      <c r="H9" s="124">
        <v>355</v>
      </c>
      <c r="I9" s="789">
        <f>Table8[[#This Row],[Points 2025]]/2+SUM(Table8[[#This Row],[O1  ADMIN 2026]:[P2           WC           CT Open   2026]])</f>
        <v>177.5</v>
      </c>
      <c r="J9" s="63">
        <f t="shared" si="0"/>
        <v>0</v>
      </c>
      <c r="K9" s="63">
        <f t="shared" si="1"/>
        <v>0</v>
      </c>
      <c r="L9" s="708" t="s">
        <v>6083</v>
      </c>
      <c r="M9" s="708" t="s">
        <v>6083</v>
      </c>
      <c r="N9" s="708" t="s">
        <v>6083</v>
      </c>
      <c r="O9" s="708"/>
      <c r="P9" s="63"/>
      <c r="Q9" s="63"/>
      <c r="R9" s="114"/>
      <c r="S9" s="114"/>
      <c r="T9" s="63"/>
      <c r="U9" s="114"/>
      <c r="V9" s="63"/>
      <c r="W9" s="114">
        <v>17.5</v>
      </c>
      <c r="X9" s="63">
        <v>75</v>
      </c>
      <c r="Y9" s="636">
        <v>250</v>
      </c>
      <c r="Z9" s="114"/>
      <c r="AA9" s="63"/>
      <c r="AB9" s="114"/>
      <c r="AC9" s="63"/>
      <c r="AD9" s="63"/>
      <c r="AE9" s="63"/>
      <c r="AF9" s="63"/>
      <c r="AG9" s="63">
        <v>25</v>
      </c>
      <c r="AH9" s="63"/>
      <c r="AI9" s="63"/>
      <c r="AJ9" s="63"/>
      <c r="AK9" s="63"/>
      <c r="AL9" s="63"/>
      <c r="AM9" s="63"/>
      <c r="AO9" s="708"/>
      <c r="AP9" s="708"/>
    </row>
    <row r="10" spans="1:42" s="83" customFormat="1">
      <c r="A10" s="63">
        <f>IFERROR(VLOOKUP(Table8[[#This Row],[Player No]],Table10[[#All],[No]:[Age Group]],4,0),"")</f>
        <v>0</v>
      </c>
      <c r="B10" s="61">
        <v>18</v>
      </c>
      <c r="C10" s="77">
        <f t="shared" si="2"/>
        <v>12</v>
      </c>
      <c r="D10" s="63">
        <f t="shared" si="3"/>
        <v>6</v>
      </c>
      <c r="E10" s="63">
        <v>3331</v>
      </c>
      <c r="F10" s="64" t="str">
        <f>IFERROR(VLOOKUP(Table8[[#This Row],[Player No]],Table10[[No]:[Province]],2,0),"")</f>
        <v>LINGEVELDT Timothy</v>
      </c>
      <c r="G10" s="76" t="str">
        <f>IFERROR(VLOOKUP(Table8[[#This Row],[Player No]],Table10[[No]:[Province]],3,0),"")</f>
        <v>CT</v>
      </c>
      <c r="H10" s="124">
        <v>327.75</v>
      </c>
      <c r="I10" s="789">
        <f>Table8[[#This Row],[Points 2025]]/2+SUM(Table8[[#This Row],[O1  ADMIN 2026]:[P2           WC           CT Open   2026]])</f>
        <v>163.875</v>
      </c>
      <c r="J10" s="63">
        <f t="shared" si="0"/>
        <v>0</v>
      </c>
      <c r="K10" s="63">
        <f t="shared" si="1"/>
        <v>0</v>
      </c>
      <c r="L10" s="708" t="s">
        <v>6083</v>
      </c>
      <c r="M10" s="708" t="s">
        <v>6083</v>
      </c>
      <c r="N10" s="708" t="s">
        <v>6083</v>
      </c>
      <c r="O10" s="708"/>
      <c r="P10" s="63"/>
      <c r="Q10" s="63"/>
      <c r="R10" s="114"/>
      <c r="S10" s="114"/>
      <c r="T10" s="63"/>
      <c r="U10" s="114">
        <v>100</v>
      </c>
      <c r="V10" s="63"/>
      <c r="W10" s="114">
        <v>25</v>
      </c>
      <c r="X10" s="63">
        <v>50</v>
      </c>
      <c r="Y10" s="636">
        <v>75</v>
      </c>
      <c r="Z10" s="114"/>
      <c r="AA10" s="63"/>
      <c r="AB10" s="114"/>
      <c r="AC10" s="63"/>
      <c r="AD10" s="63"/>
      <c r="AE10" s="63"/>
      <c r="AF10" s="63"/>
      <c r="AG10" s="63">
        <v>25</v>
      </c>
      <c r="AH10" s="63">
        <v>75</v>
      </c>
      <c r="AI10" s="63"/>
      <c r="AJ10" s="63"/>
      <c r="AK10" s="63"/>
      <c r="AL10" s="63"/>
      <c r="AM10" s="63"/>
      <c r="AO10" s="708"/>
      <c r="AP10" s="708"/>
    </row>
    <row r="11" spans="1:42" s="83" customFormat="1">
      <c r="A11" s="63">
        <f>IFERROR(VLOOKUP(Table8[[#This Row],[Player No]],Table10[[#All],[No]:[Age Group]],4,0),"")</f>
        <v>0</v>
      </c>
      <c r="B11" s="61">
        <v>17</v>
      </c>
      <c r="C11" s="77">
        <f t="shared" si="2"/>
        <v>10</v>
      </c>
      <c r="D11" s="63">
        <f t="shared" si="3"/>
        <v>7</v>
      </c>
      <c r="E11" s="63">
        <v>3844</v>
      </c>
      <c r="F11" s="64" t="str">
        <f>IFERROR(VLOOKUP(Table8[[#This Row],[Player No]],Table10[[No]:[Province]],2,0),"")</f>
        <v>PILLAY Keval</v>
      </c>
      <c r="G11" s="76" t="str">
        <f>IFERROR(VLOOKUP(Table8[[#This Row],[Player No]],Table10[[No]:[Province]],3,0),"")</f>
        <v>UMG</v>
      </c>
      <c r="H11" s="124">
        <v>302.5</v>
      </c>
      <c r="I11" s="789">
        <f>Table8[[#This Row],[Points 2025]]/2+SUM(Table8[[#This Row],[O1  ADMIN 2026]:[P2           WC           CT Open   2026]])</f>
        <v>151.25</v>
      </c>
      <c r="J11" s="63">
        <f t="shared" si="0"/>
        <v>0</v>
      </c>
      <c r="K11" s="63">
        <f t="shared" si="1"/>
        <v>0</v>
      </c>
      <c r="L11" s="708" t="s">
        <v>6083</v>
      </c>
      <c r="M11" s="708" t="s">
        <v>6083</v>
      </c>
      <c r="N11" s="708" t="s">
        <v>6083</v>
      </c>
      <c r="O11" s="708"/>
      <c r="P11" s="63">
        <v>50</v>
      </c>
      <c r="Q11" s="63">
        <v>35</v>
      </c>
      <c r="R11" s="114">
        <v>50</v>
      </c>
      <c r="S11" s="114">
        <v>50</v>
      </c>
      <c r="T11" s="63">
        <v>25</v>
      </c>
      <c r="U11" s="114"/>
      <c r="V11" s="63"/>
      <c r="W11" s="114"/>
      <c r="X11" s="63"/>
      <c r="Y11" s="636">
        <v>50</v>
      </c>
      <c r="Z11" s="114"/>
      <c r="AA11" s="63"/>
      <c r="AB11" s="114"/>
      <c r="AC11" s="63"/>
      <c r="AD11" s="63"/>
      <c r="AE11" s="63">
        <v>35</v>
      </c>
      <c r="AF11" s="63"/>
      <c r="AG11" s="63"/>
      <c r="AH11" s="63">
        <v>25</v>
      </c>
      <c r="AI11" s="63"/>
      <c r="AJ11" s="63"/>
      <c r="AK11" s="63"/>
      <c r="AL11" s="63">
        <v>25</v>
      </c>
      <c r="AM11" s="63"/>
      <c r="AO11" s="708"/>
      <c r="AP11" s="708"/>
    </row>
    <row r="12" spans="1:42" s="83" customFormat="1">
      <c r="A12" s="63">
        <f>IFERROR(VLOOKUP(Table8[[#This Row],[Player No]],Table10[[#All],[No]:[Age Group]],4,0),"")</f>
        <v>0</v>
      </c>
      <c r="B12" s="61">
        <v>73</v>
      </c>
      <c r="C12" s="77">
        <f t="shared" si="2"/>
        <v>65</v>
      </c>
      <c r="D12" s="63">
        <f t="shared" si="3"/>
        <v>8</v>
      </c>
      <c r="E12" s="63">
        <v>3876</v>
      </c>
      <c r="F12" s="64" t="str">
        <f>IFERROR(VLOOKUP(Table8[[#This Row],[Player No]],Table10[[No]:[Province]],2,0),"")</f>
        <v>PATEL Umair</v>
      </c>
      <c r="G12" s="76" t="str">
        <f>IFERROR(VLOOKUP(Table8[[#This Row],[Player No]],Table10[[No]:[Province]],3,0),"")</f>
        <v>UMG</v>
      </c>
      <c r="H12" s="124">
        <v>302.5</v>
      </c>
      <c r="I12" s="789">
        <f>Table8[[#This Row],[Points 2025]]/2+SUM(Table8[[#This Row],[O1  ADMIN 2026]:[P2           WC           CT Open   2026]])</f>
        <v>151.25</v>
      </c>
      <c r="J12" s="63">
        <f t="shared" si="0"/>
        <v>0</v>
      </c>
      <c r="K12" s="63">
        <f t="shared" si="1"/>
        <v>0</v>
      </c>
      <c r="L12" s="708" t="s">
        <v>6083</v>
      </c>
      <c r="M12" s="708" t="s">
        <v>6083</v>
      </c>
      <c r="N12" s="708" t="s">
        <v>6083</v>
      </c>
      <c r="O12" s="708"/>
      <c r="P12" s="63">
        <v>25</v>
      </c>
      <c r="Q12" s="63">
        <v>50</v>
      </c>
      <c r="R12" s="114"/>
      <c r="S12" s="114">
        <v>75</v>
      </c>
      <c r="T12" s="63">
        <v>50</v>
      </c>
      <c r="U12" s="114"/>
      <c r="V12" s="63"/>
      <c r="W12" s="114"/>
      <c r="X12" s="63">
        <v>50</v>
      </c>
      <c r="Y12" s="636">
        <v>25</v>
      </c>
      <c r="Z12" s="114"/>
      <c r="AA12" s="63"/>
      <c r="AB12" s="114">
        <v>20</v>
      </c>
      <c r="AC12" s="63"/>
      <c r="AD12" s="63"/>
      <c r="AE12" s="63">
        <v>10</v>
      </c>
      <c r="AF12" s="63"/>
      <c r="AG12" s="63"/>
      <c r="AH12" s="63">
        <v>5</v>
      </c>
      <c r="AI12" s="63"/>
      <c r="AJ12" s="63"/>
      <c r="AK12" s="63"/>
      <c r="AL12" s="63"/>
      <c r="AM12" s="63"/>
      <c r="AO12" s="708"/>
      <c r="AP12" s="708"/>
    </row>
    <row r="13" spans="1:42" s="83" customFormat="1">
      <c r="A13" s="63" t="str">
        <f>IFERROR(VLOOKUP(Table8[[#This Row],[Player No]],Table10[[#All],[No]:[Age Group]],4,0),"")</f>
        <v>U13</v>
      </c>
      <c r="B13" s="61">
        <v>131</v>
      </c>
      <c r="C13" s="77"/>
      <c r="D13" s="63">
        <f t="shared" si="3"/>
        <v>9</v>
      </c>
      <c r="E13" s="63">
        <v>4007</v>
      </c>
      <c r="F13" s="64" t="str">
        <f>IFERROR(VLOOKUP(Table8[[#This Row],[Player No]],Table10[[No]:[Province]],2,0),"")</f>
        <v>CHETTY Saerin</v>
      </c>
      <c r="G13" s="76" t="str">
        <f>IFERROR(VLOOKUP(Table8[[#This Row],[Player No]],Table10[[No]:[Province]],3,0),"")</f>
        <v>UMG</v>
      </c>
      <c r="H13" s="124">
        <v>155</v>
      </c>
      <c r="I13" s="789">
        <f>Table8[[#This Row],[Points 2025]]/2+SUM(Table8[[#This Row],[O1  ADMIN 2026]:[P2           WC           CT Open   2026]])</f>
        <v>127.5</v>
      </c>
      <c r="J13" s="63">
        <f t="shared" si="0"/>
        <v>2</v>
      </c>
      <c r="K13" s="63">
        <f t="shared" si="1"/>
        <v>0</v>
      </c>
      <c r="L13" s="708" t="s">
        <v>6083</v>
      </c>
      <c r="M13" s="708">
        <v>15</v>
      </c>
      <c r="N13" s="708">
        <v>35</v>
      </c>
      <c r="O13" s="708"/>
      <c r="P13" s="63">
        <v>25</v>
      </c>
      <c r="Q13" s="63">
        <v>15</v>
      </c>
      <c r="R13" s="114">
        <v>35</v>
      </c>
      <c r="S13" s="114">
        <v>15</v>
      </c>
      <c r="T13" s="63">
        <v>15</v>
      </c>
      <c r="U13" s="114"/>
      <c r="V13" s="63"/>
      <c r="W13" s="114"/>
      <c r="X13" s="63"/>
      <c r="Y13" s="636">
        <v>50</v>
      </c>
      <c r="Z13" s="114"/>
      <c r="AA13" s="63"/>
      <c r="AB13" s="114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O13" s="708"/>
      <c r="AP13" s="708"/>
    </row>
    <row r="14" spans="1:42" s="83" customFormat="1">
      <c r="A14" s="63" t="str">
        <f>IFERROR(VLOOKUP(Table8[[#This Row],[Player No]],Table10[[#All],[No]:[Age Group]],4,0),"")</f>
        <v>U13</v>
      </c>
      <c r="B14" s="61">
        <v>15</v>
      </c>
      <c r="C14" s="77">
        <f>+B14-D14</f>
        <v>5</v>
      </c>
      <c r="D14" s="63">
        <f t="shared" si="3"/>
        <v>10</v>
      </c>
      <c r="E14" s="63">
        <v>2288</v>
      </c>
      <c r="F14" s="64" t="str">
        <f>IFERROR(VLOOKUP(Table8[[#This Row],[Player No]],Table10[[No]:[Province]],2,0),"")</f>
        <v>DOMINGO Adam</v>
      </c>
      <c r="G14" s="76" t="str">
        <f>IFERROR(VLOOKUP(Table8[[#This Row],[Player No]],Table10[[No]:[Province]],3,0),"")</f>
        <v>CT</v>
      </c>
      <c r="H14" s="124">
        <v>246.078125</v>
      </c>
      <c r="I14" s="789">
        <f>Table8[[#This Row],[Points 2025]]/2+SUM(Table8[[#This Row],[O1  ADMIN 2026]:[P2           WC           CT Open   2026]])</f>
        <v>123.0390625</v>
      </c>
      <c r="J14" s="63">
        <f t="shared" si="0"/>
        <v>0</v>
      </c>
      <c r="K14" s="63">
        <f t="shared" si="1"/>
        <v>0</v>
      </c>
      <c r="L14" s="708" t="s">
        <v>6083</v>
      </c>
      <c r="M14" s="708" t="s">
        <v>6083</v>
      </c>
      <c r="N14" s="708" t="s">
        <v>6083</v>
      </c>
      <c r="O14" s="708"/>
      <c r="P14" s="63"/>
      <c r="Q14" s="63"/>
      <c r="R14" s="114"/>
      <c r="S14" s="114"/>
      <c r="T14" s="63"/>
      <c r="U14" s="114"/>
      <c r="V14" s="63"/>
      <c r="W14" s="114">
        <v>12.5</v>
      </c>
      <c r="X14" s="63">
        <v>100</v>
      </c>
      <c r="Y14" s="636">
        <v>25</v>
      </c>
      <c r="Z14" s="114"/>
      <c r="AA14" s="63"/>
      <c r="AB14" s="114"/>
      <c r="AC14" s="63"/>
      <c r="AD14" s="63"/>
      <c r="AE14" s="63"/>
      <c r="AF14" s="63"/>
      <c r="AG14" s="63">
        <v>75</v>
      </c>
      <c r="AH14" s="63">
        <v>75</v>
      </c>
      <c r="AI14" s="63"/>
      <c r="AJ14" s="63"/>
      <c r="AK14" s="63">
        <f>50-50</f>
        <v>0</v>
      </c>
      <c r="AL14" s="63"/>
      <c r="AM14" s="63"/>
      <c r="AO14" s="708"/>
      <c r="AP14" s="708"/>
    </row>
    <row r="15" spans="1:42" s="83" customFormat="1">
      <c r="A15" s="63">
        <f>IFERROR(VLOOKUP(Table8[[#This Row],[Player No]],Table10[[#All],[No]:[Age Group]],4,0),"")</f>
        <v>0</v>
      </c>
      <c r="B15" s="61">
        <v>7</v>
      </c>
      <c r="C15" s="77">
        <f>+B15-D15</f>
        <v>-4</v>
      </c>
      <c r="D15" s="63">
        <f t="shared" si="3"/>
        <v>11</v>
      </c>
      <c r="E15" s="63">
        <v>3604</v>
      </c>
      <c r="F15" s="64" t="str">
        <f>IFERROR(VLOOKUP(Table8[[#This Row],[Player No]],Table10[[No]:[Province]],2,0),"")</f>
        <v>DHRAMPAL Cole</v>
      </c>
      <c r="G15" s="76" t="str">
        <f>IFERROR(VLOOKUP(Table8[[#This Row],[Player No]],Table10[[No]:[Province]],3,0),"")</f>
        <v>UMG</v>
      </c>
      <c r="H15" s="124">
        <v>193.5</v>
      </c>
      <c r="I15" s="789">
        <f>Table8[[#This Row],[Points 2025]]/2+SUM(Table8[[#This Row],[O1  ADMIN 2026]:[P2           WC           CT Open   2026]])</f>
        <v>121.75</v>
      </c>
      <c r="J15" s="63">
        <f t="shared" si="0"/>
        <v>1</v>
      </c>
      <c r="K15" s="63">
        <f t="shared" si="1"/>
        <v>0</v>
      </c>
      <c r="L15" s="708" t="s">
        <v>6083</v>
      </c>
      <c r="M15" s="708">
        <v>25</v>
      </c>
      <c r="N15" s="708" t="s">
        <v>6083</v>
      </c>
      <c r="O15" s="708"/>
      <c r="P15" s="63">
        <v>50</v>
      </c>
      <c r="Q15" s="63">
        <v>15</v>
      </c>
      <c r="R15" s="114">
        <v>15</v>
      </c>
      <c r="S15" s="114">
        <v>1</v>
      </c>
      <c r="T15" s="63">
        <v>35</v>
      </c>
      <c r="U15" s="114"/>
      <c r="V15" s="63"/>
      <c r="W15" s="114"/>
      <c r="X15" s="63"/>
      <c r="Y15" s="636"/>
      <c r="Z15" s="114"/>
      <c r="AA15" s="63"/>
      <c r="AB15" s="114"/>
      <c r="AC15" s="63"/>
      <c r="AD15" s="63">
        <v>75</v>
      </c>
      <c r="AE15" s="63">
        <v>50</v>
      </c>
      <c r="AF15" s="63"/>
      <c r="AG15" s="63"/>
      <c r="AH15" s="63">
        <v>25</v>
      </c>
      <c r="AI15" s="63"/>
      <c r="AJ15" s="63"/>
      <c r="AK15" s="63"/>
      <c r="AL15" s="63"/>
      <c r="AM15" s="63"/>
      <c r="AO15" s="708"/>
      <c r="AP15" s="708"/>
    </row>
    <row r="16" spans="1:42" s="83" customFormat="1">
      <c r="A16" s="155"/>
      <c r="B16" s="155"/>
      <c r="C16" s="160">
        <f>+B16-D16</f>
        <v>-12</v>
      </c>
      <c r="D16" s="63">
        <f t="shared" si="3"/>
        <v>12</v>
      </c>
      <c r="E16" s="157">
        <v>4236</v>
      </c>
      <c r="F16" s="64" t="str">
        <f>IFERROR(VLOOKUP(Table8[[#This Row],[Player No]],Table10[[No]:[Province]],2,0),"")</f>
        <v>CAYDON Brigraj</v>
      </c>
      <c r="G16" s="76" t="str">
        <f>IFERROR(VLOOKUP(Table8[[#This Row],[Player No]],Table10[[No]:[Province]],3,0),"")</f>
        <v>UMG</v>
      </c>
      <c r="H16" s="839">
        <v>117</v>
      </c>
      <c r="I16" s="820">
        <f>Table8[[#This Row],[Points 2025]]/2+SUM(Table8[[#This Row],[O1  ADMIN 2026]:[P2           WC           CT Open   2026]])</f>
        <v>118.5</v>
      </c>
      <c r="J16" s="63">
        <f t="shared" si="0"/>
        <v>2</v>
      </c>
      <c r="K16" s="63">
        <f t="shared" si="1"/>
        <v>0</v>
      </c>
      <c r="L16" s="708" t="s">
        <v>6083</v>
      </c>
      <c r="M16" s="708">
        <v>35</v>
      </c>
      <c r="N16" s="708">
        <v>25</v>
      </c>
      <c r="O16" s="708"/>
      <c r="P16" s="157">
        <v>2</v>
      </c>
      <c r="Q16" s="157">
        <v>25</v>
      </c>
      <c r="R16" s="165">
        <v>25</v>
      </c>
      <c r="S16" s="165">
        <v>15</v>
      </c>
      <c r="T16" s="157"/>
      <c r="U16" s="165"/>
      <c r="V16" s="157"/>
      <c r="W16" s="165"/>
      <c r="X16" s="157"/>
      <c r="Y16" s="700">
        <v>50</v>
      </c>
      <c r="Z16" s="165"/>
      <c r="AA16" s="157"/>
      <c r="AB16" s="165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O16" s="708"/>
      <c r="AP16" s="708"/>
    </row>
    <row r="17" spans="1:42" s="83" customFormat="1">
      <c r="A17" s="61"/>
      <c r="B17" s="61"/>
      <c r="C17" s="77">
        <f>+B17-D17</f>
        <v>-13</v>
      </c>
      <c r="D17" s="63">
        <f t="shared" si="3"/>
        <v>13</v>
      </c>
      <c r="E17" s="63">
        <v>3576</v>
      </c>
      <c r="F17" s="64" t="str">
        <f>IFERROR(VLOOKUP(Table8[[#This Row],[Player No]],Table10[[No]:[Province]],2,0),"")</f>
        <v>MANUAL Yaqeen</v>
      </c>
      <c r="G17" s="76" t="str">
        <f>IFERROR(VLOOKUP(Table8[[#This Row],[Player No]],Table10[[No]:[Province]],3,0),"")</f>
        <v>CT</v>
      </c>
      <c r="H17" s="124">
        <v>232.5</v>
      </c>
      <c r="I17" s="789">
        <f>Table8[[#This Row],[Points 2025]]/2+SUM(Table8[[#This Row],[O1  ADMIN 2026]:[P2           WC           CT Open   2026]])</f>
        <v>116.25</v>
      </c>
      <c r="J17" s="63">
        <f t="shared" si="0"/>
        <v>0</v>
      </c>
      <c r="K17" s="63">
        <f t="shared" si="1"/>
        <v>0</v>
      </c>
      <c r="L17" s="708" t="s">
        <v>6083</v>
      </c>
      <c r="M17" s="708" t="s">
        <v>6083</v>
      </c>
      <c r="N17" s="708" t="s">
        <v>6083</v>
      </c>
      <c r="O17" s="708"/>
      <c r="P17" s="63"/>
      <c r="Q17" s="63"/>
      <c r="R17" s="114"/>
      <c r="S17" s="114"/>
      <c r="T17" s="63"/>
      <c r="U17" s="114"/>
      <c r="V17" s="63"/>
      <c r="W17" s="114">
        <v>7.5</v>
      </c>
      <c r="X17" s="63">
        <v>150</v>
      </c>
      <c r="Y17" s="636">
        <v>75</v>
      </c>
      <c r="Z17" s="114"/>
      <c r="AA17" s="63"/>
      <c r="AB17" s="114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O17" s="708"/>
      <c r="AP17" s="708"/>
    </row>
    <row r="18" spans="1:42" s="83" customFormat="1">
      <c r="A18" s="63">
        <f>IFERROR(VLOOKUP(Table8[[#This Row],[Player No]],Table10[[#All],[No]:[Age Group]],4,0),"")</f>
        <v>0</v>
      </c>
      <c r="B18" s="61">
        <v>10</v>
      </c>
      <c r="C18" s="77">
        <f>+B18-D18</f>
        <v>-4</v>
      </c>
      <c r="D18" s="63">
        <f t="shared" si="3"/>
        <v>14</v>
      </c>
      <c r="E18" s="63">
        <v>3514</v>
      </c>
      <c r="F18" s="64" t="str">
        <f>IFERROR(VLOOKUP(Table8[[#This Row],[Player No]],Table10[[No]:[Province]],2,0),"")</f>
        <v>PERUMAL Kiaran</v>
      </c>
      <c r="G18" s="76" t="str">
        <f>IFERROR(VLOOKUP(Table8[[#This Row],[Player No]],Table10[[No]:[Province]],3,0),"")</f>
        <v>UMG</v>
      </c>
      <c r="H18" s="124">
        <v>214.75</v>
      </c>
      <c r="I18" s="789">
        <f>Table8[[#This Row],[Points 2025]]/2+SUM(Table8[[#This Row],[O1  ADMIN 2026]:[P2           WC           CT Open   2026]])</f>
        <v>107.375</v>
      </c>
      <c r="J18" s="63">
        <f t="shared" si="0"/>
        <v>0</v>
      </c>
      <c r="K18" s="63">
        <f t="shared" si="1"/>
        <v>0</v>
      </c>
      <c r="L18" s="708" t="s">
        <v>6083</v>
      </c>
      <c r="M18" s="708" t="s">
        <v>6083</v>
      </c>
      <c r="N18" s="708" t="s">
        <v>6083</v>
      </c>
      <c r="O18" s="708"/>
      <c r="P18" s="63">
        <v>75</v>
      </c>
      <c r="Q18" s="63">
        <v>15</v>
      </c>
      <c r="R18" s="114">
        <v>15</v>
      </c>
      <c r="S18" s="114">
        <v>25</v>
      </c>
      <c r="T18" s="63">
        <v>1</v>
      </c>
      <c r="U18" s="114"/>
      <c r="V18" s="63"/>
      <c r="W18" s="114"/>
      <c r="X18" s="63"/>
      <c r="Y18" s="636">
        <v>25</v>
      </c>
      <c r="Z18" s="114"/>
      <c r="AA18" s="63"/>
      <c r="AB18" s="114"/>
      <c r="AC18" s="63"/>
      <c r="AD18" s="63">
        <v>75</v>
      </c>
      <c r="AE18" s="63">
        <v>25</v>
      </c>
      <c r="AF18" s="63"/>
      <c r="AG18" s="63"/>
      <c r="AH18" s="63">
        <v>10</v>
      </c>
      <c r="AI18" s="63"/>
      <c r="AJ18" s="63"/>
      <c r="AK18" s="63"/>
      <c r="AL18" s="63"/>
      <c r="AM18" s="63"/>
      <c r="AO18" s="708"/>
      <c r="AP18" s="708"/>
    </row>
    <row r="19" spans="1:42" s="83" customFormat="1">
      <c r="A19" s="80" t="str">
        <f>IFERROR(VLOOKUP(Table8[[#This Row],[Player No]],Table10[[#All],[No]:[Age Group]],4,0),"")</f>
        <v>U11</v>
      </c>
      <c r="B19" s="247"/>
      <c r="C19" s="111"/>
      <c r="D19" s="63">
        <f t="shared" si="3"/>
        <v>15</v>
      </c>
      <c r="E19" s="106">
        <v>4018</v>
      </c>
      <c r="F19" s="64" t="str">
        <f>IFERROR(VLOOKUP(Table8[[#This Row],[Player No]],Table10[[No]:[Province]],2,0),"")</f>
        <v>GOKHALE Aakash</v>
      </c>
      <c r="G19" s="76" t="str">
        <f>IFERROR(VLOOKUP(Table8[[#This Row],[Player No]],Table10[[No]:[Province]],3,0),"")</f>
        <v>GN</v>
      </c>
      <c r="H19" s="110">
        <v>137.5</v>
      </c>
      <c r="I19" s="110">
        <f>Table8[[#This Row],[Points 2025]]/2+SUM(Table8[[#This Row],[O1  ADMIN 2026]:[P2           WC           CT Open   2026]])</f>
        <v>93.75</v>
      </c>
      <c r="J19" s="63">
        <f t="shared" si="0"/>
        <v>1</v>
      </c>
      <c r="K19" s="708">
        <f t="shared" si="1"/>
        <v>0</v>
      </c>
      <c r="L19" s="708">
        <v>25</v>
      </c>
      <c r="M19" s="708" t="s">
        <v>6083</v>
      </c>
      <c r="N19" s="708" t="s">
        <v>6083</v>
      </c>
      <c r="O19" s="708"/>
      <c r="P19" s="708"/>
      <c r="Q19" s="708"/>
      <c r="R19" s="708"/>
      <c r="S19" s="708">
        <v>25</v>
      </c>
      <c r="T19" s="708"/>
      <c r="U19" s="708"/>
      <c r="V19" s="708"/>
      <c r="W19" s="708"/>
      <c r="X19" s="708"/>
      <c r="Y19" s="708">
        <v>50</v>
      </c>
      <c r="Z19" s="708"/>
      <c r="AA19" s="708"/>
      <c r="AB19" s="708">
        <v>35</v>
      </c>
      <c r="AC19" s="708">
        <v>25</v>
      </c>
      <c r="AD19" s="708"/>
      <c r="AE19" s="708"/>
      <c r="AF19" s="708"/>
      <c r="AG19" s="708"/>
      <c r="AH19" s="708">
        <v>5</v>
      </c>
      <c r="AI19" s="708"/>
      <c r="AJ19" s="708"/>
      <c r="AK19" s="708"/>
      <c r="AL19" s="708"/>
      <c r="AM19" s="708"/>
      <c r="AO19" s="708"/>
      <c r="AP19" s="708"/>
    </row>
    <row r="20" spans="1:42" s="83" customFormat="1">
      <c r="A20" s="63" t="str">
        <f>IFERROR(VLOOKUP(Table8[[#This Row],[Player No]],Table10[[#All],[No]:[Age Group]],4,0),"")</f>
        <v>U11</v>
      </c>
      <c r="B20" s="61">
        <v>43</v>
      </c>
      <c r="C20" s="77">
        <f>+B20-D20</f>
        <v>27</v>
      </c>
      <c r="D20" s="63">
        <f t="shared" si="3"/>
        <v>16</v>
      </c>
      <c r="E20" s="63">
        <v>3864</v>
      </c>
      <c r="F20" s="64" t="str">
        <f>IFERROR(VLOOKUP(Table8[[#This Row],[Player No]],Table10[[No]:[Province]],2,0),"")</f>
        <v>TIFFLIN Saeed</v>
      </c>
      <c r="G20" s="76" t="str">
        <f>IFERROR(VLOOKUP(Table8[[#This Row],[Player No]],Table10[[No]:[Province]],3,0),"")</f>
        <v>JTTA</v>
      </c>
      <c r="H20" s="124">
        <v>153.5</v>
      </c>
      <c r="I20" s="789">
        <f>Table8[[#This Row],[Points 2025]]/2+SUM(Table8[[#This Row],[O1  ADMIN 2026]:[P2           WC           CT Open   2026]])</f>
        <v>89.25</v>
      </c>
      <c r="J20" s="63">
        <f t="shared" si="0"/>
        <v>1</v>
      </c>
      <c r="K20" s="708">
        <f t="shared" si="1"/>
        <v>0</v>
      </c>
      <c r="L20" s="708">
        <v>12.5</v>
      </c>
      <c r="M20" s="708" t="s">
        <v>6083</v>
      </c>
      <c r="N20" s="708" t="s">
        <v>6083</v>
      </c>
      <c r="O20" s="708"/>
      <c r="P20" s="708"/>
      <c r="Q20" s="708"/>
      <c r="R20" s="708"/>
      <c r="S20" s="708"/>
      <c r="T20" s="708"/>
      <c r="U20" s="708">
        <v>50</v>
      </c>
      <c r="V20" s="708"/>
      <c r="W20" s="708"/>
      <c r="X20" s="708"/>
      <c r="Y20" s="708">
        <v>25</v>
      </c>
      <c r="Z20" s="708"/>
      <c r="AA20" s="708">
        <v>35</v>
      </c>
      <c r="AB20" s="708">
        <v>12</v>
      </c>
      <c r="AC20" s="708">
        <v>15</v>
      </c>
      <c r="AD20" s="708"/>
      <c r="AE20" s="708"/>
      <c r="AF20" s="708"/>
      <c r="AG20" s="708"/>
      <c r="AH20" s="708"/>
      <c r="AI20" s="708">
        <v>15</v>
      </c>
      <c r="AJ20" s="708">
        <v>15</v>
      </c>
      <c r="AK20" s="708">
        <v>2</v>
      </c>
      <c r="AL20" s="708"/>
      <c r="AM20" s="708">
        <v>1</v>
      </c>
      <c r="AO20" s="708"/>
      <c r="AP20" s="708"/>
    </row>
    <row r="21" spans="1:42" s="83" customFormat="1">
      <c r="A21" s="63" t="str">
        <f>IFERROR(VLOOKUP(Table8[[#This Row],[Player No]],Table10[[#All],[No]:[Age Group]],4,0),"")</f>
        <v>U13</v>
      </c>
      <c r="B21" s="61">
        <v>138</v>
      </c>
      <c r="C21" s="77">
        <f>+B21-D21</f>
        <v>121</v>
      </c>
      <c r="D21" s="63">
        <f t="shared" si="3"/>
        <v>17</v>
      </c>
      <c r="E21" s="63">
        <v>3625</v>
      </c>
      <c r="F21" s="64" t="str">
        <f>IFERROR(VLOOKUP(Table8[[#This Row],[Player No]],Table10[[No]:[Province]],2,0),"")</f>
        <v>MACKRILL Jordan</v>
      </c>
      <c r="G21" s="76" t="str">
        <f>IFERROR(VLOOKUP(Table8[[#This Row],[Player No]],Table10[[No]:[Province]],3,0),"")</f>
        <v>CW</v>
      </c>
      <c r="H21" s="124">
        <v>155.25</v>
      </c>
      <c r="I21" s="789">
        <f>Table8[[#This Row],[Points 2025]]/2+SUM(Table8[[#This Row],[O1  ADMIN 2026]:[P2           WC           CT Open   2026]])</f>
        <v>77.625</v>
      </c>
      <c r="J21" s="63">
        <f t="shared" si="0"/>
        <v>0</v>
      </c>
      <c r="K21" s="708">
        <f t="shared" si="1"/>
        <v>0</v>
      </c>
      <c r="L21" s="708" t="s">
        <v>6083</v>
      </c>
      <c r="M21" s="708" t="s">
        <v>6083</v>
      </c>
      <c r="N21" s="708" t="s">
        <v>6083</v>
      </c>
      <c r="O21" s="708"/>
      <c r="P21" s="708"/>
      <c r="Q21" s="708"/>
      <c r="R21" s="708"/>
      <c r="S21" s="708"/>
      <c r="T21" s="708"/>
      <c r="U21" s="708"/>
      <c r="V21" s="708"/>
      <c r="W21" s="708">
        <v>5</v>
      </c>
      <c r="X21" s="708">
        <v>50</v>
      </c>
      <c r="Y21" s="708">
        <v>75</v>
      </c>
      <c r="Z21" s="708"/>
      <c r="AA21" s="708"/>
      <c r="AB21" s="708"/>
      <c r="AC21" s="708"/>
      <c r="AD21" s="708"/>
      <c r="AE21" s="708"/>
      <c r="AF21" s="708"/>
      <c r="AG21" s="708">
        <v>50</v>
      </c>
      <c r="AH21" s="708"/>
      <c r="AI21" s="708"/>
      <c r="AJ21" s="708"/>
      <c r="AK21" s="708"/>
      <c r="AL21" s="708"/>
      <c r="AM21" s="708"/>
      <c r="AO21" s="708"/>
      <c r="AP21" s="708"/>
    </row>
    <row r="22" spans="1:42" s="83" customFormat="1">
      <c r="A22" s="80">
        <f>IFERROR(VLOOKUP(Table8[[#This Row],[Player No]],Table10[[#All],[No]:[Age Group]],4,0),"")</f>
        <v>0</v>
      </c>
      <c r="B22" s="247"/>
      <c r="C22" s="111"/>
      <c r="D22" s="63">
        <f t="shared" si="3"/>
        <v>18</v>
      </c>
      <c r="E22" s="106">
        <v>3761</v>
      </c>
      <c r="F22" s="64" t="str">
        <f>IFERROR(VLOOKUP(Table8[[#This Row],[Player No]],Table10[[No]:[Province]],2,0),"")</f>
        <v>SITHENDE Lithalethu</v>
      </c>
      <c r="G22" s="76" t="str">
        <f>IFERROR(VLOOKUP(Table8[[#This Row],[Player No]],Table10[[No]:[Province]],3,0),"")</f>
        <v>EC</v>
      </c>
      <c r="H22" s="110">
        <v>150</v>
      </c>
      <c r="I22" s="110">
        <f>Table8[[#This Row],[Points 2025]]/2+SUM(Table8[[#This Row],[O1  ADMIN 2026]:[P2           WC           CT Open   2026]])</f>
        <v>75</v>
      </c>
      <c r="J22" s="63">
        <f t="shared" si="0"/>
        <v>0</v>
      </c>
      <c r="K22" s="708">
        <f t="shared" si="1"/>
        <v>0</v>
      </c>
      <c r="L22" s="708" t="s">
        <v>6083</v>
      </c>
      <c r="M22" s="708" t="s">
        <v>6083</v>
      </c>
      <c r="N22" s="708" t="s">
        <v>6083</v>
      </c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>
        <v>125</v>
      </c>
      <c r="Z22" s="708"/>
      <c r="AA22" s="708"/>
      <c r="AB22" s="708"/>
      <c r="AC22" s="708"/>
      <c r="AD22" s="708"/>
      <c r="AE22" s="708"/>
      <c r="AF22" s="708"/>
      <c r="AG22" s="708"/>
      <c r="AH22" s="708">
        <v>50</v>
      </c>
      <c r="AI22" s="708"/>
      <c r="AJ22" s="708"/>
      <c r="AK22" s="708"/>
      <c r="AL22" s="708"/>
      <c r="AM22" s="708"/>
      <c r="AO22" s="708"/>
      <c r="AP22" s="708"/>
    </row>
    <row r="23" spans="1:42" s="83" customFormat="1">
      <c r="A23" s="63" t="str">
        <f>IFERROR(VLOOKUP(Table8[[#This Row],[Player No]],Table10[[#All],[No]:[Age Group]],4,0),"")</f>
        <v>U11</v>
      </c>
      <c r="B23" s="61"/>
      <c r="C23" s="77"/>
      <c r="D23" s="63">
        <f t="shared" si="3"/>
        <v>19</v>
      </c>
      <c r="E23" s="63">
        <v>3850</v>
      </c>
      <c r="F23" s="64" t="str">
        <f>IFERROR(VLOOKUP(Table8[[#This Row],[Player No]],Table10[[No]:[Province]],2,0),"")</f>
        <v>PADAYACHEE Vaishant</v>
      </c>
      <c r="G23" s="76" t="str">
        <f>IFERROR(VLOOKUP(Table8[[#This Row],[Player No]],Table10[[No]:[Province]],3,0),"")</f>
        <v>JTTA</v>
      </c>
      <c r="H23" s="124">
        <v>114</v>
      </c>
      <c r="I23" s="789">
        <f>Table8[[#This Row],[Points 2025]]/2+SUM(Table8[[#This Row],[O1  ADMIN 2026]:[P2           WC           CT Open   2026]])</f>
        <v>69.5</v>
      </c>
      <c r="J23" s="63">
        <f t="shared" si="0"/>
        <v>1</v>
      </c>
      <c r="K23" s="708">
        <f t="shared" si="1"/>
        <v>0</v>
      </c>
      <c r="L23" s="708">
        <v>12.5</v>
      </c>
      <c r="M23" s="708" t="s">
        <v>6083</v>
      </c>
      <c r="N23" s="708" t="s">
        <v>6083</v>
      </c>
      <c r="O23" s="708"/>
      <c r="P23" s="708">
        <v>50</v>
      </c>
      <c r="Q23" s="708"/>
      <c r="R23" s="708"/>
      <c r="S23" s="708"/>
      <c r="T23" s="708"/>
      <c r="U23" s="708"/>
      <c r="V23" s="708"/>
      <c r="W23" s="708"/>
      <c r="X23" s="708"/>
      <c r="Y23" s="708">
        <v>10</v>
      </c>
      <c r="Z23" s="708"/>
      <c r="AA23" s="708">
        <v>25</v>
      </c>
      <c r="AB23" s="708">
        <v>1</v>
      </c>
      <c r="AC23" s="708">
        <v>25</v>
      </c>
      <c r="AD23" s="708"/>
      <c r="AE23" s="708"/>
      <c r="AF23" s="708"/>
      <c r="AG23" s="708"/>
      <c r="AH23" s="708">
        <v>5</v>
      </c>
      <c r="AI23" s="708">
        <v>1</v>
      </c>
      <c r="AJ23" s="708">
        <v>1</v>
      </c>
      <c r="AK23" s="708">
        <v>2</v>
      </c>
      <c r="AL23" s="708"/>
      <c r="AM23" s="708">
        <v>1</v>
      </c>
      <c r="AO23" s="708"/>
      <c r="AP23" s="708"/>
    </row>
    <row r="24" spans="1:42" s="83" customFormat="1">
      <c r="A24" s="63" t="str">
        <f>IFERROR(VLOOKUP(Table8[[#This Row],[Player No]],Table10[[#All],[No]:[Age Group]],4,0),"")</f>
        <v>U13</v>
      </c>
      <c r="B24" s="61"/>
      <c r="C24" s="77"/>
      <c r="D24" s="63">
        <f t="shared" si="3"/>
        <v>20</v>
      </c>
      <c r="E24" s="63">
        <v>3849</v>
      </c>
      <c r="F24" s="64" t="str">
        <f>IFERROR(VLOOKUP(Table8[[#This Row],[Player No]],Table10[[No]:[Province]],2,0),"")</f>
        <v>KRUGER Mikal</v>
      </c>
      <c r="G24" s="76" t="str">
        <f>IFERROR(VLOOKUP(Table8[[#This Row],[Player No]],Table10[[No]:[Province]],3,0),"")</f>
        <v>GN</v>
      </c>
      <c r="H24" s="124">
        <v>137.5</v>
      </c>
      <c r="I24" s="789">
        <f>Table8[[#This Row],[Points 2025]]/2+SUM(Table8[[#This Row],[O1  ADMIN 2026]:[P2           WC           CT Open   2026]])</f>
        <v>68.75</v>
      </c>
      <c r="J24" s="63">
        <f t="shared" si="0"/>
        <v>0</v>
      </c>
      <c r="K24" s="708">
        <f t="shared" si="1"/>
        <v>0</v>
      </c>
      <c r="L24" s="708" t="s">
        <v>6083</v>
      </c>
      <c r="M24" s="708" t="s">
        <v>6083</v>
      </c>
      <c r="N24" s="708" t="s">
        <v>6083</v>
      </c>
      <c r="O24" s="708"/>
      <c r="P24" s="708"/>
      <c r="Q24" s="708"/>
      <c r="R24" s="708"/>
      <c r="S24" s="708"/>
      <c r="T24" s="708"/>
      <c r="U24" s="708">
        <v>75</v>
      </c>
      <c r="V24" s="708"/>
      <c r="W24" s="708"/>
      <c r="X24" s="708"/>
      <c r="Y24" s="708">
        <v>25</v>
      </c>
      <c r="Z24" s="708"/>
      <c r="AA24" s="708"/>
      <c r="AB24" s="708">
        <v>20</v>
      </c>
      <c r="AC24" s="708">
        <v>15</v>
      </c>
      <c r="AD24" s="708"/>
      <c r="AE24" s="708"/>
      <c r="AF24" s="708"/>
      <c r="AG24" s="708"/>
      <c r="AH24" s="708">
        <v>5</v>
      </c>
      <c r="AI24" s="708"/>
      <c r="AJ24" s="708"/>
      <c r="AK24" s="708"/>
      <c r="AL24" s="708"/>
      <c r="AM24" s="708"/>
      <c r="AO24" s="708"/>
      <c r="AP24" s="708"/>
    </row>
    <row r="25" spans="1:42" s="83" customFormat="1">
      <c r="A25" s="359"/>
      <c r="B25" s="359"/>
      <c r="C25" s="360">
        <f>+B25-D25</f>
        <v>-21</v>
      </c>
      <c r="D25" s="63">
        <f t="shared" si="3"/>
        <v>21</v>
      </c>
      <c r="E25" s="361">
        <v>3803</v>
      </c>
      <c r="F25" s="64" t="str">
        <f>IFERROR(VLOOKUP(Table8[[#This Row],[Player No]],Table10[[No]:[Province]],2,0),"")</f>
        <v>NHLAPO Kwanda Okuhle</v>
      </c>
      <c r="G25" s="76" t="str">
        <f>IFERROR(VLOOKUP(Table8[[#This Row],[Player No]],Table10[[No]:[Province]],3,0),"")</f>
        <v>ETTA</v>
      </c>
      <c r="H25" s="358">
        <v>25</v>
      </c>
      <c r="I25" s="831">
        <f>Table8[[#This Row],[Points 2025]]/2+SUM(Table8[[#This Row],[O1  ADMIN 2026]:[P2           WC           CT Open   2026]])</f>
        <v>62.5</v>
      </c>
      <c r="J25" s="63">
        <f t="shared" si="0"/>
        <v>2</v>
      </c>
      <c r="K25" s="738">
        <f t="shared" si="1"/>
        <v>0</v>
      </c>
      <c r="L25" s="738" t="s">
        <v>6083</v>
      </c>
      <c r="M25" s="738">
        <v>25</v>
      </c>
      <c r="N25" s="738">
        <v>25</v>
      </c>
      <c r="O25" s="738"/>
      <c r="P25" s="738"/>
      <c r="Q25" s="738"/>
      <c r="R25" s="738"/>
      <c r="S25" s="738">
        <v>25</v>
      </c>
      <c r="T25" s="738"/>
      <c r="U25" s="738"/>
      <c r="V25" s="738"/>
      <c r="W25" s="738"/>
      <c r="X25" s="738"/>
      <c r="Y25" s="738"/>
      <c r="Z25" s="738"/>
      <c r="AA25" s="738"/>
      <c r="AB25" s="738"/>
      <c r="AC25" s="738"/>
      <c r="AD25" s="738"/>
      <c r="AE25" s="738"/>
      <c r="AF25" s="738"/>
      <c r="AG25" s="738"/>
      <c r="AH25" s="738"/>
      <c r="AI25" s="738"/>
      <c r="AJ25" s="738"/>
      <c r="AK25" s="738"/>
      <c r="AL25" s="738"/>
      <c r="AM25" s="738"/>
      <c r="AO25" s="708"/>
      <c r="AP25" s="708"/>
    </row>
    <row r="26" spans="1:42" s="83" customFormat="1">
      <c r="A26" s="63" t="str">
        <f>IFERROR(VLOOKUP(Table8[[#This Row],[Player No]],Table10[[#All],[No]:[Age Group]],4,0),"")</f>
        <v>U13</v>
      </c>
      <c r="B26" s="61">
        <v>12</v>
      </c>
      <c r="C26" s="77">
        <f>+B26-D26</f>
        <v>-10</v>
      </c>
      <c r="D26" s="63">
        <f t="shared" si="3"/>
        <v>22</v>
      </c>
      <c r="E26" s="63">
        <v>3326</v>
      </c>
      <c r="F26" s="64" t="str">
        <f>IFERROR(VLOOKUP(Table8[[#This Row],[Player No]],Table10[[No]:[Province]],2,0),"")</f>
        <v>DADAKER Zaeem</v>
      </c>
      <c r="G26" s="76" t="str">
        <f>IFERROR(VLOOKUP(Table8[[#This Row],[Player No]],Table10[[No]:[Province]],3,0),"")</f>
        <v>CT</v>
      </c>
      <c r="H26" s="124">
        <v>121.875</v>
      </c>
      <c r="I26" s="789">
        <f>Table8[[#This Row],[Points 2025]]/2+SUM(Table8[[#This Row],[O1  ADMIN 2026]:[P2           WC           CT Open   2026]])</f>
        <v>60.9375</v>
      </c>
      <c r="J26" s="63">
        <f t="shared" si="0"/>
        <v>0</v>
      </c>
      <c r="K26" s="708">
        <f t="shared" si="1"/>
        <v>0</v>
      </c>
      <c r="L26" s="708" t="s">
        <v>6083</v>
      </c>
      <c r="M26" s="708" t="s">
        <v>6083</v>
      </c>
      <c r="N26" s="708" t="s">
        <v>6083</v>
      </c>
      <c r="O26" s="708"/>
      <c r="P26" s="708"/>
      <c r="Q26" s="708"/>
      <c r="R26" s="708"/>
      <c r="S26" s="708"/>
      <c r="T26" s="708"/>
      <c r="U26" s="708"/>
      <c r="V26" s="708"/>
      <c r="W26" s="708"/>
      <c r="X26" s="708"/>
      <c r="Y26" s="708"/>
      <c r="Z26" s="708"/>
      <c r="AA26" s="708"/>
      <c r="AB26" s="708"/>
      <c r="AC26" s="708"/>
      <c r="AD26" s="708"/>
      <c r="AE26" s="708"/>
      <c r="AF26" s="708"/>
      <c r="AG26" s="708">
        <v>100</v>
      </c>
      <c r="AH26" s="708">
        <v>50</v>
      </c>
      <c r="AI26" s="708"/>
      <c r="AJ26" s="708"/>
      <c r="AK26" s="708">
        <f>75-75</f>
        <v>0</v>
      </c>
      <c r="AL26" s="708"/>
      <c r="AM26" s="708"/>
      <c r="AO26" s="708"/>
      <c r="AP26" s="708"/>
    </row>
    <row r="27" spans="1:42" s="83" customFormat="1">
      <c r="A27" s="63"/>
      <c r="B27" s="61"/>
      <c r="C27" s="77"/>
      <c r="D27" s="63">
        <f t="shared" si="3"/>
        <v>23</v>
      </c>
      <c r="E27" s="42">
        <v>4233</v>
      </c>
      <c r="F27" s="64" t="str">
        <f>IFERROR(VLOOKUP(Table8[[#This Row],[Player No]],Table10[[No]:[Province]],2,0),"")</f>
        <v>ALI Shameel</v>
      </c>
      <c r="G27" s="76" t="str">
        <f>IFERROR(VLOOKUP(Table8[[#This Row],[Player No]],Table10[[No]:[Province]],3,0),"")</f>
        <v>UMG</v>
      </c>
      <c r="H27" s="124">
        <v>120</v>
      </c>
      <c r="I27" s="789">
        <f>Table8[[#This Row],[Points 2025]]/2+SUM(Table8[[#This Row],[O1  ADMIN 2026]:[P2           WC           CT Open   2026]])</f>
        <v>60</v>
      </c>
      <c r="J27" s="63">
        <f t="shared" si="0"/>
        <v>0</v>
      </c>
      <c r="K27" s="708">
        <f t="shared" si="1"/>
        <v>0</v>
      </c>
      <c r="L27" s="708" t="s">
        <v>6083</v>
      </c>
      <c r="M27" s="708" t="s">
        <v>6083</v>
      </c>
      <c r="N27" s="708" t="s">
        <v>6083</v>
      </c>
      <c r="O27" s="708"/>
      <c r="P27" s="708">
        <v>50</v>
      </c>
      <c r="Q27" s="708">
        <v>15</v>
      </c>
      <c r="R27" s="708">
        <v>15</v>
      </c>
      <c r="S27" s="708"/>
      <c r="T27" s="708">
        <v>15</v>
      </c>
      <c r="U27" s="708"/>
      <c r="V27" s="708"/>
      <c r="W27" s="708"/>
      <c r="X27" s="708"/>
      <c r="Y27" s="708">
        <v>25</v>
      </c>
      <c r="Z27" s="708"/>
      <c r="AA27" s="708"/>
      <c r="AB27" s="708"/>
      <c r="AC27" s="708"/>
      <c r="AD27" s="708"/>
      <c r="AE27" s="708"/>
      <c r="AF27" s="708"/>
      <c r="AG27" s="708"/>
      <c r="AH27" s="708"/>
      <c r="AI27" s="708"/>
      <c r="AJ27" s="708"/>
      <c r="AK27" s="708"/>
      <c r="AL27" s="708"/>
      <c r="AM27" s="708"/>
      <c r="AO27" s="708"/>
      <c r="AP27" s="708"/>
    </row>
    <row r="28" spans="1:42" s="83" customFormat="1">
      <c r="A28" s="63">
        <f>IFERROR(VLOOKUP(Table8[[#This Row],[Player No]],Table10[[#All],[No]:[Age Group]],4,0),"")</f>
        <v>0</v>
      </c>
      <c r="B28" s="61">
        <v>4</v>
      </c>
      <c r="C28" s="77">
        <f t="shared" ref="C28:C38" si="4">+B28-D28</f>
        <v>-20</v>
      </c>
      <c r="D28" s="63">
        <f t="shared" si="3"/>
        <v>24</v>
      </c>
      <c r="E28" s="63">
        <v>3681</v>
      </c>
      <c r="F28" s="64" t="str">
        <f>IFERROR(VLOOKUP(Table8[[#This Row],[Player No]],Table10[[No]:[Province]],2,0),"")</f>
        <v>RAGHUNAN Rysan</v>
      </c>
      <c r="G28" s="76" t="str">
        <f>IFERROR(VLOOKUP(Table8[[#This Row],[Player No]],Table10[[No]:[Province]],3,0),"")</f>
        <v>ETTA</v>
      </c>
      <c r="H28" s="124">
        <v>106.25</v>
      </c>
      <c r="I28" s="789">
        <f>Table8[[#This Row],[Points 2025]]/2+SUM(Table8[[#This Row],[O1  ADMIN 2026]:[P2           WC           CT Open   2026]])</f>
        <v>53.125</v>
      </c>
      <c r="J28" s="63">
        <f t="shared" si="0"/>
        <v>0</v>
      </c>
      <c r="K28" s="708">
        <f t="shared" si="1"/>
        <v>0</v>
      </c>
      <c r="L28" s="708" t="s">
        <v>6083</v>
      </c>
      <c r="M28" s="708" t="s">
        <v>6083</v>
      </c>
      <c r="N28" s="708" t="s">
        <v>6083</v>
      </c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  <c r="AA28" s="708"/>
      <c r="AB28" s="708"/>
      <c r="AC28" s="708"/>
      <c r="AD28" s="708">
        <v>150</v>
      </c>
      <c r="AE28" s="708"/>
      <c r="AF28" s="708"/>
      <c r="AG28" s="708"/>
      <c r="AH28" s="708">
        <v>50</v>
      </c>
      <c r="AI28" s="708"/>
      <c r="AJ28" s="708"/>
      <c r="AK28" s="708"/>
      <c r="AL28" s="708"/>
      <c r="AM28" s="708"/>
      <c r="AO28" s="708"/>
      <c r="AP28" s="708"/>
    </row>
    <row r="29" spans="1:42" s="83" customFormat="1">
      <c r="A29" s="63">
        <f>IFERROR(VLOOKUP(Table8[[#This Row],[Player No]],Table10[[#All],[No]:[Age Group]],4,0),"")</f>
        <v>0</v>
      </c>
      <c r="B29" s="61">
        <v>9</v>
      </c>
      <c r="C29" s="77">
        <f t="shared" si="4"/>
        <v>-16</v>
      </c>
      <c r="D29" s="63">
        <f t="shared" si="3"/>
        <v>25</v>
      </c>
      <c r="E29" s="63">
        <v>3391</v>
      </c>
      <c r="F29" s="64" t="str">
        <f>IFERROR(VLOOKUP(Table8[[#This Row],[Player No]],Table10[[No]:[Province]],2,0),"")</f>
        <v>BECHOO Elijah Raphael</v>
      </c>
      <c r="G29" s="76" t="str">
        <f>IFERROR(VLOOKUP(Table8[[#This Row],[Player No]],Table10[[No]:[Province]],3,0),"")</f>
        <v>ETTA</v>
      </c>
      <c r="H29" s="124">
        <v>81.25</v>
      </c>
      <c r="I29" s="789">
        <f>Table8[[#This Row],[Points 2025]]/2+SUM(Table8[[#This Row],[O1  ADMIN 2026]:[P2           WC           CT Open   2026]])</f>
        <v>40.625</v>
      </c>
      <c r="J29" s="63">
        <f t="shared" si="0"/>
        <v>0</v>
      </c>
      <c r="K29" s="708">
        <f t="shared" si="1"/>
        <v>0</v>
      </c>
      <c r="L29" s="708" t="s">
        <v>6083</v>
      </c>
      <c r="M29" s="708" t="s">
        <v>6083</v>
      </c>
      <c r="N29" s="708" t="s">
        <v>6083</v>
      </c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  <c r="AA29" s="708"/>
      <c r="AB29" s="708"/>
      <c r="AC29" s="708"/>
      <c r="AD29" s="708">
        <v>100</v>
      </c>
      <c r="AE29" s="708"/>
      <c r="AF29" s="708"/>
      <c r="AG29" s="708"/>
      <c r="AH29" s="708">
        <v>50</v>
      </c>
      <c r="AI29" s="708"/>
      <c r="AJ29" s="708"/>
      <c r="AK29" s="708"/>
      <c r="AL29" s="708"/>
      <c r="AM29" s="708"/>
      <c r="AO29" s="708"/>
      <c r="AP29" s="708"/>
    </row>
    <row r="30" spans="1:42" s="83" customFormat="1">
      <c r="A30" s="63">
        <f>IFERROR(VLOOKUP(Table8[[#This Row],[Player No]],Table10[[#All],[No]:[Age Group]],4,0),"")</f>
        <v>0</v>
      </c>
      <c r="B30" s="61">
        <v>71</v>
      </c>
      <c r="C30" s="77">
        <f t="shared" si="4"/>
        <v>45</v>
      </c>
      <c r="D30" s="63">
        <f t="shared" si="3"/>
        <v>26</v>
      </c>
      <c r="E30" s="63">
        <v>3927</v>
      </c>
      <c r="F30" s="64" t="str">
        <f>IFERROR(VLOOKUP(Table8[[#This Row],[Player No]],Table10[[No]:[Province]],2,0),"")</f>
        <v>JONES Trent</v>
      </c>
      <c r="G30" s="76" t="str">
        <f>IFERROR(VLOOKUP(Table8[[#This Row],[Player No]],Table10[[No]:[Province]],3,0),"")</f>
        <v>JTTA</v>
      </c>
      <c r="H30" s="124">
        <v>80.03125</v>
      </c>
      <c r="I30" s="789">
        <f>Table8[[#This Row],[Points 2025]]/2+SUM(Table8[[#This Row],[O1  ADMIN 2026]:[P2           WC           CT Open   2026]])</f>
        <v>40.015625</v>
      </c>
      <c r="J30" s="63">
        <f t="shared" si="0"/>
        <v>0</v>
      </c>
      <c r="K30" s="708">
        <f t="shared" si="1"/>
        <v>0</v>
      </c>
      <c r="L30" s="708" t="s">
        <v>6083</v>
      </c>
      <c r="M30" s="708" t="s">
        <v>6083</v>
      </c>
      <c r="N30" s="708" t="s">
        <v>6083</v>
      </c>
      <c r="O30" s="708"/>
      <c r="P30" s="708"/>
      <c r="Q30" s="708"/>
      <c r="R30" s="708"/>
      <c r="S30" s="708"/>
      <c r="T30" s="708"/>
      <c r="U30" s="708"/>
      <c r="V30" s="708"/>
      <c r="W30" s="708"/>
      <c r="X30" s="708">
        <v>75</v>
      </c>
      <c r="Y30" s="708"/>
      <c r="Z30" s="708"/>
      <c r="AA30" s="708"/>
      <c r="AB30" s="708"/>
      <c r="AC30" s="708"/>
      <c r="AD30" s="708"/>
      <c r="AE30" s="708"/>
      <c r="AF30" s="708"/>
      <c r="AG30" s="708"/>
      <c r="AH30" s="708"/>
      <c r="AI30" s="708">
        <v>10</v>
      </c>
      <c r="AJ30" s="708"/>
      <c r="AK30" s="708"/>
      <c r="AL30" s="708"/>
      <c r="AM30" s="708"/>
      <c r="AO30" s="708"/>
      <c r="AP30" s="708"/>
    </row>
    <row r="31" spans="1:42" s="83" customFormat="1">
      <c r="A31" s="359"/>
      <c r="B31" s="359"/>
      <c r="C31" s="360">
        <f t="shared" si="4"/>
        <v>-27</v>
      </c>
      <c r="D31" s="63">
        <f t="shared" si="3"/>
        <v>27</v>
      </c>
      <c r="E31" s="361">
        <v>3908</v>
      </c>
      <c r="F31" s="64" t="str">
        <f>IFERROR(VLOOKUP(Table8[[#This Row],[Player No]],Table10[[No]:[Province]],2,0),"")</f>
        <v>CELE Melokuhle</v>
      </c>
      <c r="G31" s="76" t="str">
        <f>IFERROR(VLOOKUP(Table8[[#This Row],[Player No]],Table10[[No]:[Province]],3,0),"")</f>
        <v>ETTA</v>
      </c>
      <c r="H31" s="124">
        <v>50</v>
      </c>
      <c r="I31" s="789">
        <f>Table8[[#This Row],[Points 2025]]/2+SUM(Table8[[#This Row],[O1  ADMIN 2026]:[P2           WC           CT Open   2026]])</f>
        <v>40</v>
      </c>
      <c r="J31" s="63">
        <f t="shared" si="0"/>
        <v>1</v>
      </c>
      <c r="K31" s="738">
        <f t="shared" si="1"/>
        <v>0</v>
      </c>
      <c r="L31" s="738" t="s">
        <v>6083</v>
      </c>
      <c r="M31" s="738">
        <v>15</v>
      </c>
      <c r="N31" s="738" t="s">
        <v>6083</v>
      </c>
      <c r="O31" s="738"/>
      <c r="P31" s="738"/>
      <c r="Q31" s="738"/>
      <c r="R31" s="738"/>
      <c r="S31" s="738">
        <v>50</v>
      </c>
      <c r="T31" s="738"/>
      <c r="U31" s="738"/>
      <c r="V31" s="738"/>
      <c r="W31" s="738"/>
      <c r="X31" s="738"/>
      <c r="Y31" s="738"/>
      <c r="Z31" s="738"/>
      <c r="AA31" s="738"/>
      <c r="AB31" s="738"/>
      <c r="AC31" s="738"/>
      <c r="AD31" s="738"/>
      <c r="AE31" s="738"/>
      <c r="AF31" s="738"/>
      <c r="AG31" s="738"/>
      <c r="AH31" s="738"/>
      <c r="AI31" s="738"/>
      <c r="AJ31" s="738"/>
      <c r="AK31" s="738"/>
      <c r="AL31" s="738"/>
      <c r="AM31" s="738"/>
      <c r="AO31" s="714"/>
      <c r="AP31" s="714"/>
    </row>
    <row r="32" spans="1:42" s="83" customFormat="1">
      <c r="A32" s="63">
        <f>IFERROR(VLOOKUP(Table8[[#This Row],[Player No]],Table10[[#All],[No]:[Age Group]],4,0),"")</f>
        <v>0</v>
      </c>
      <c r="B32" s="61">
        <v>74</v>
      </c>
      <c r="C32" s="77">
        <f t="shared" si="4"/>
        <v>46</v>
      </c>
      <c r="D32" s="63">
        <f t="shared" si="3"/>
        <v>28</v>
      </c>
      <c r="E32" s="63">
        <v>3877</v>
      </c>
      <c r="F32" s="64" t="str">
        <f>IFERROR(VLOOKUP(Table8[[#This Row],[Player No]],Table10[[No]:[Province]],2,0),"")</f>
        <v>HARIDASS Omkar</v>
      </c>
      <c r="G32" s="76" t="str">
        <f>IFERROR(VLOOKUP(Table8[[#This Row],[Player No]],Table10[[No]:[Province]],3,0),"")</f>
        <v>UMG</v>
      </c>
      <c r="H32" s="124">
        <v>20</v>
      </c>
      <c r="I32" s="789">
        <f>Table8[[#This Row],[Points 2025]]/2+SUM(Table8[[#This Row],[O1  ADMIN 2026]:[P2           WC           CT Open   2026]])</f>
        <v>40</v>
      </c>
      <c r="J32" s="63">
        <f t="shared" si="0"/>
        <v>2</v>
      </c>
      <c r="K32" s="708">
        <f t="shared" si="1"/>
        <v>0</v>
      </c>
      <c r="L32" s="708" t="s">
        <v>6083</v>
      </c>
      <c r="M32" s="708">
        <v>15</v>
      </c>
      <c r="N32" s="708">
        <v>15</v>
      </c>
      <c r="O32" s="708"/>
      <c r="P32" s="708">
        <v>2</v>
      </c>
      <c r="Q32" s="708">
        <v>1</v>
      </c>
      <c r="R32" s="708">
        <v>1</v>
      </c>
      <c r="S32" s="708"/>
      <c r="T32" s="708">
        <v>1</v>
      </c>
      <c r="U32" s="708"/>
      <c r="V32" s="708"/>
      <c r="W32" s="708"/>
      <c r="X32" s="708"/>
      <c r="Y32" s="708">
        <v>10</v>
      </c>
      <c r="Z32" s="708"/>
      <c r="AA32" s="708"/>
      <c r="AB32" s="708"/>
      <c r="AC32" s="708"/>
      <c r="AD32" s="708"/>
      <c r="AE32" s="708">
        <v>10</v>
      </c>
      <c r="AF32" s="708"/>
      <c r="AG32" s="708"/>
      <c r="AH32" s="708"/>
      <c r="AI32" s="708"/>
      <c r="AJ32" s="708"/>
      <c r="AK32" s="708"/>
      <c r="AL32" s="708"/>
      <c r="AM32" s="708"/>
      <c r="AO32" s="708"/>
      <c r="AP32" s="708"/>
    </row>
    <row r="33" spans="1:42" s="83" customFormat="1">
      <c r="A33" s="80" t="str">
        <f>IFERROR(VLOOKUP(Table8[[#This Row],[Player No]],Table10[[#All],[No]:[Age Group]],4,0),"")</f>
        <v>U13</v>
      </c>
      <c r="B33" s="247">
        <v>29</v>
      </c>
      <c r="C33" s="111">
        <f t="shared" si="4"/>
        <v>0</v>
      </c>
      <c r="D33" s="63">
        <f t="shared" si="3"/>
        <v>29</v>
      </c>
      <c r="E33" s="106">
        <v>3399</v>
      </c>
      <c r="F33" s="64" t="str">
        <f>IFERROR(VLOOKUP(Table8[[#This Row],[Player No]],Table10[[No]:[Province]],2,0),"")</f>
        <v>HURWITZ Channan</v>
      </c>
      <c r="G33" s="76" t="str">
        <f>IFERROR(VLOOKUP(Table8[[#This Row],[Player No]],Table10[[No]:[Province]],3,0),"")</f>
        <v xml:space="preserve">JTTA </v>
      </c>
      <c r="H33" s="110">
        <v>76.5</v>
      </c>
      <c r="I33" s="110">
        <f>Table8[[#This Row],[Points 2025]]/2+SUM(Table8[[#This Row],[O1  ADMIN 2026]:[P2           WC           CT Open   2026]])</f>
        <v>38.25</v>
      </c>
      <c r="J33" s="63">
        <f t="shared" si="0"/>
        <v>0</v>
      </c>
      <c r="K33" s="708">
        <f t="shared" si="1"/>
        <v>0</v>
      </c>
      <c r="L33" s="708" t="s">
        <v>6083</v>
      </c>
      <c r="M33" s="708" t="s">
        <v>6083</v>
      </c>
      <c r="N33" s="708" t="s">
        <v>6083</v>
      </c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>
        <v>0</v>
      </c>
      <c r="Z33" s="708"/>
      <c r="AA33" s="708"/>
      <c r="AB33" s="708"/>
      <c r="AC33" s="708">
        <v>25</v>
      </c>
      <c r="AD33" s="708"/>
      <c r="AE33" s="708"/>
      <c r="AF33" s="708"/>
      <c r="AG33" s="708"/>
      <c r="AH33" s="708">
        <v>50</v>
      </c>
      <c r="AI33" s="708"/>
      <c r="AJ33" s="708"/>
      <c r="AK33" s="708">
        <v>25</v>
      </c>
      <c r="AL33" s="708"/>
      <c r="AM33" s="708">
        <v>15</v>
      </c>
      <c r="AO33" s="708"/>
      <c r="AP33" s="708"/>
    </row>
    <row r="34" spans="1:42" s="83" customFormat="1">
      <c r="A34" s="1096"/>
      <c r="B34" s="1096"/>
      <c r="C34" s="384">
        <f t="shared" si="4"/>
        <v>-30</v>
      </c>
      <c r="D34" s="63">
        <f t="shared" si="3"/>
        <v>30</v>
      </c>
      <c r="E34" s="386">
        <v>4676</v>
      </c>
      <c r="F34" s="663" t="str">
        <f>IFERROR(VLOOKUP(Table8[[#This Row],[Player No]],Table10[[No]:[Province]],2,0),"")</f>
        <v>Nathan MCKENZIE</v>
      </c>
      <c r="G34" s="392" t="str">
        <f>IFERROR(VLOOKUP(Table8[[#This Row],[Player No]],Table10[[No]:[Province]],3,0),"")</f>
        <v>GN</v>
      </c>
      <c r="H34" s="416">
        <v>75.125</v>
      </c>
      <c r="I34" s="822">
        <f>Table8[[#This Row],[Points 2025]]/2+SUM(Table8[[#This Row],[O1  ADMIN 2026]:[P2           WC           CT Open   2026]])</f>
        <v>37.5625</v>
      </c>
      <c r="J34" s="63">
        <f t="shared" si="0"/>
        <v>0</v>
      </c>
      <c r="K34" s="714">
        <f t="shared" si="1"/>
        <v>0</v>
      </c>
      <c r="L34" s="714" t="s">
        <v>6083</v>
      </c>
      <c r="M34" s="714" t="s">
        <v>6083</v>
      </c>
      <c r="N34" s="714" t="s">
        <v>6083</v>
      </c>
      <c r="O34" s="714"/>
      <c r="P34" s="714"/>
      <c r="Q34" s="714"/>
      <c r="R34" s="714"/>
      <c r="S34" s="714"/>
      <c r="T34" s="714"/>
      <c r="U34" s="714"/>
      <c r="V34" s="714"/>
      <c r="W34" s="714"/>
      <c r="X34" s="714"/>
      <c r="Y34" s="714">
        <v>25</v>
      </c>
      <c r="Z34" s="714"/>
      <c r="AA34" s="714"/>
      <c r="AB34" s="714">
        <v>50</v>
      </c>
      <c r="AC34" s="714"/>
      <c r="AD34" s="714"/>
      <c r="AE34" s="714"/>
      <c r="AF34" s="714"/>
      <c r="AG34" s="714"/>
      <c r="AH34" s="714"/>
      <c r="AI34" s="714"/>
      <c r="AJ34" s="714"/>
      <c r="AK34" s="714"/>
      <c r="AL34" s="714"/>
      <c r="AM34" s="714"/>
      <c r="AO34" s="738"/>
      <c r="AP34" s="738"/>
    </row>
    <row r="35" spans="1:42" s="83" customFormat="1">
      <c r="A35" s="72">
        <f>IFERROR(VLOOKUP(Table8[[#This Row],[Player No]],Table10[[#All],[No]:[Age Group]],4,0),"")</f>
        <v>0</v>
      </c>
      <c r="B35" s="71">
        <v>168</v>
      </c>
      <c r="C35" s="115">
        <f t="shared" si="4"/>
        <v>137</v>
      </c>
      <c r="D35" s="63">
        <f t="shared" si="3"/>
        <v>31</v>
      </c>
      <c r="E35" s="114">
        <v>3938</v>
      </c>
      <c r="F35" s="64" t="str">
        <f>IFERROR(VLOOKUP(Table8[[#This Row],[Player No]],Table10[[No]:[Province]],2,0),"")</f>
        <v>MUSUNGISI Marvin</v>
      </c>
      <c r="G35" s="76" t="str">
        <f>IFERROR(VLOOKUP(Table8[[#This Row],[Player No]],Table10[[No]:[Province]],3,0),"")</f>
        <v>CT</v>
      </c>
      <c r="H35" s="124">
        <v>75</v>
      </c>
      <c r="I35" s="789">
        <f>Table8[[#This Row],[Points 2025]]/2+SUM(Table8[[#This Row],[O1  ADMIN 2026]:[P2           WC           CT Open   2026]])</f>
        <v>37.5</v>
      </c>
      <c r="J35" s="63">
        <f t="shared" si="0"/>
        <v>0</v>
      </c>
      <c r="K35" s="708">
        <f t="shared" si="1"/>
        <v>0</v>
      </c>
      <c r="L35" s="708" t="s">
        <v>6083</v>
      </c>
      <c r="M35" s="708" t="s">
        <v>6083</v>
      </c>
      <c r="N35" s="708" t="s">
        <v>6083</v>
      </c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>
        <v>50</v>
      </c>
      <c r="Z35" s="708"/>
      <c r="AA35" s="708"/>
      <c r="AB35" s="708"/>
      <c r="AC35" s="708"/>
      <c r="AD35" s="708"/>
      <c r="AE35" s="708"/>
      <c r="AF35" s="708"/>
      <c r="AG35" s="708">
        <v>50</v>
      </c>
      <c r="AH35" s="708"/>
      <c r="AI35" s="708"/>
      <c r="AJ35" s="708"/>
      <c r="AK35" s="708"/>
      <c r="AL35" s="708"/>
      <c r="AM35" s="708"/>
      <c r="AO35" s="708"/>
      <c r="AP35" s="708"/>
    </row>
    <row r="36" spans="1:42" s="83" customFormat="1">
      <c r="A36" s="172"/>
      <c r="B36" s="172"/>
      <c r="C36" s="168">
        <f t="shared" si="4"/>
        <v>-32</v>
      </c>
      <c r="D36" s="63">
        <f t="shared" si="3"/>
        <v>32</v>
      </c>
      <c r="E36" s="169">
        <v>4396</v>
      </c>
      <c r="F36" s="64" t="str">
        <f>IFERROR(VLOOKUP(Table8[[#This Row],[Player No]],Table10[[No]:[Province]],2,0),"")</f>
        <v>Tinashe DZVAKA</v>
      </c>
      <c r="G36" s="76" t="str">
        <f>IFERROR(VLOOKUP(Table8[[#This Row],[Player No]],Table10[[No]:[Province]],3,0),"")</f>
        <v>BOT</v>
      </c>
      <c r="H36" s="381">
        <v>75</v>
      </c>
      <c r="I36" s="821">
        <f>Table8[[#This Row],[Points 2025]]/2+SUM(Table8[[#This Row],[O1  ADMIN 2026]:[P2           WC           CT Open   2026]])</f>
        <v>37.5</v>
      </c>
      <c r="J36" s="63">
        <f t="shared" si="0"/>
        <v>0</v>
      </c>
      <c r="K36" s="708">
        <f t="shared" si="1"/>
        <v>0</v>
      </c>
      <c r="L36" s="708" t="s">
        <v>6083</v>
      </c>
      <c r="M36" s="708" t="s">
        <v>6083</v>
      </c>
      <c r="N36" s="708" t="s">
        <v>6083</v>
      </c>
      <c r="O36" s="708"/>
      <c r="P36" s="713"/>
      <c r="Q36" s="713"/>
      <c r="R36" s="713"/>
      <c r="S36" s="713"/>
      <c r="T36" s="713"/>
      <c r="U36" s="713"/>
      <c r="V36" s="713" t="s">
        <v>4722</v>
      </c>
      <c r="W36" s="713"/>
      <c r="X36" s="713"/>
      <c r="Y36" s="713"/>
      <c r="Z36" s="713"/>
      <c r="AA36" s="713"/>
      <c r="AB36" s="713"/>
      <c r="AC36" s="713">
        <v>75</v>
      </c>
      <c r="AD36" s="713"/>
      <c r="AE36" s="713"/>
      <c r="AF36" s="713"/>
      <c r="AG36" s="713"/>
      <c r="AH36" s="713"/>
      <c r="AI36" s="713"/>
      <c r="AJ36" s="713"/>
      <c r="AK36" s="713"/>
      <c r="AL36" s="713"/>
      <c r="AM36" s="713"/>
      <c r="AO36" s="708"/>
      <c r="AP36" s="708"/>
    </row>
    <row r="37" spans="1:42" s="83" customFormat="1">
      <c r="A37" s="80">
        <f>IFERROR(VLOOKUP(Table8[[#This Row],[Player No]],Table10[[#All],[No]:[Age Group]],4,0),"")</f>
        <v>0</v>
      </c>
      <c r="B37" s="247">
        <v>61</v>
      </c>
      <c r="C37" s="111">
        <f t="shared" si="4"/>
        <v>28</v>
      </c>
      <c r="D37" s="63">
        <f t="shared" si="3"/>
        <v>33</v>
      </c>
      <c r="E37" s="106">
        <v>3558</v>
      </c>
      <c r="F37" s="64" t="str">
        <f>IFERROR(VLOOKUP(Table8[[#This Row],[Player No]],Table10[[No]:[Province]],2,0),"")</f>
        <v>ZHANG Derick</v>
      </c>
      <c r="G37" s="76" t="str">
        <f>IFERROR(VLOOKUP(Table8[[#This Row],[Player No]],Table10[[No]:[Province]],3,0),"")</f>
        <v>FS</v>
      </c>
      <c r="H37" s="110">
        <v>68.75</v>
      </c>
      <c r="I37" s="110">
        <f>Table8[[#This Row],[Points 2025]]/2+SUM(Table8[[#This Row],[O1  ADMIN 2026]:[P2           WC           CT Open   2026]])</f>
        <v>34.375</v>
      </c>
      <c r="J37" s="63">
        <f t="shared" si="0"/>
        <v>0</v>
      </c>
      <c r="K37" s="708">
        <f t="shared" si="1"/>
        <v>0</v>
      </c>
      <c r="L37" s="708" t="s">
        <v>6083</v>
      </c>
      <c r="M37" s="708" t="s">
        <v>6083</v>
      </c>
      <c r="N37" s="708" t="s">
        <v>6083</v>
      </c>
      <c r="O37" s="708"/>
      <c r="P37" s="708"/>
      <c r="Q37" s="708"/>
      <c r="R37" s="708"/>
      <c r="S37" s="708"/>
      <c r="T37" s="708"/>
      <c r="U37" s="708"/>
      <c r="V37" s="708">
        <v>50</v>
      </c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H37" s="708">
        <v>25</v>
      </c>
      <c r="AI37" s="708"/>
      <c r="AJ37" s="708"/>
      <c r="AK37" s="708"/>
      <c r="AL37" s="708"/>
      <c r="AM37" s="708"/>
      <c r="AO37" s="708"/>
      <c r="AP37" s="708"/>
    </row>
    <row r="38" spans="1:42" s="83" customFormat="1">
      <c r="A38" s="63">
        <f>IFERROR(VLOOKUP(Table8[[#This Row],[Player No]],Table10[[#All],[No]:[Age Group]],4,0),"")</f>
        <v>0</v>
      </c>
      <c r="B38" s="61">
        <v>136</v>
      </c>
      <c r="C38" s="77">
        <f t="shared" si="4"/>
        <v>102</v>
      </c>
      <c r="D38" s="63">
        <f t="shared" si="3"/>
        <v>34</v>
      </c>
      <c r="E38" s="63">
        <v>3381</v>
      </c>
      <c r="F38" s="64" t="str">
        <f>IFERROR(VLOOKUP(Table8[[#This Row],[Player No]],Table10[[No]:[Province]],2,0),"")</f>
        <v>SCHRIEFF Samuel</v>
      </c>
      <c r="G38" s="76" t="str">
        <f>IFERROR(VLOOKUP(Table8[[#This Row],[Player No]],Table10[[No]:[Province]],3,0),"")</f>
        <v>CT</v>
      </c>
      <c r="H38" s="124">
        <v>68.75</v>
      </c>
      <c r="I38" s="789">
        <f>Table8[[#This Row],[Points 2025]]/2+SUM(Table8[[#This Row],[O1  ADMIN 2026]:[P2           WC           CT Open   2026]])</f>
        <v>34.375</v>
      </c>
      <c r="J38" s="63">
        <f t="shared" si="0"/>
        <v>0</v>
      </c>
      <c r="K38" s="708">
        <f t="shared" si="1"/>
        <v>0</v>
      </c>
      <c r="L38" s="708" t="s">
        <v>6083</v>
      </c>
      <c r="M38" s="708" t="s">
        <v>6083</v>
      </c>
      <c r="N38" s="708" t="s">
        <v>6083</v>
      </c>
      <c r="O38" s="708"/>
      <c r="P38" s="708"/>
      <c r="Q38" s="708"/>
      <c r="R38" s="708"/>
      <c r="S38" s="708"/>
      <c r="T38" s="708"/>
      <c r="U38" s="708">
        <v>25</v>
      </c>
      <c r="V38" s="708"/>
      <c r="W38" s="708">
        <v>5</v>
      </c>
      <c r="X38" s="708">
        <v>15</v>
      </c>
      <c r="Y38" s="708">
        <v>10</v>
      </c>
      <c r="Z38" s="708"/>
      <c r="AA38" s="708"/>
      <c r="AB38" s="708"/>
      <c r="AC38" s="708"/>
      <c r="AD38" s="708"/>
      <c r="AE38" s="708"/>
      <c r="AF38" s="708"/>
      <c r="AG38" s="708">
        <v>2</v>
      </c>
      <c r="AH38" s="708"/>
      <c r="AI38" s="708"/>
      <c r="AJ38" s="708"/>
      <c r="AK38" s="708">
        <v>25</v>
      </c>
      <c r="AL38" s="708"/>
      <c r="AM38" s="708"/>
      <c r="AO38" s="708"/>
      <c r="AP38" s="708"/>
    </row>
    <row r="39" spans="1:42" s="83" customFormat="1">
      <c r="A39" s="63"/>
      <c r="B39" s="61"/>
      <c r="C39" s="77"/>
      <c r="D39" s="63">
        <f t="shared" si="3"/>
        <v>35</v>
      </c>
      <c r="E39" s="63">
        <v>4127</v>
      </c>
      <c r="F39" s="64" t="str">
        <f>IFERROR(VLOOKUP(Table8[[#This Row],[Player No]],Table10[[No]:[Province]],2,0),"")</f>
        <v>Phikolethu MBANDA</v>
      </c>
      <c r="G39" s="76" t="str">
        <f>IFERROR(VLOOKUP(Table8[[#This Row],[Player No]],Table10[[No]:[Province]],3,0),"")</f>
        <v>EC</v>
      </c>
      <c r="H39" s="124">
        <v>62.5</v>
      </c>
      <c r="I39" s="789">
        <f>Table8[[#This Row],[Points 2025]]/2+SUM(Table8[[#This Row],[O1  ADMIN 2026]:[P2           WC           CT Open   2026]])</f>
        <v>31.25</v>
      </c>
      <c r="J39" s="63">
        <f t="shared" si="0"/>
        <v>0</v>
      </c>
      <c r="K39" s="708">
        <f t="shared" si="1"/>
        <v>0</v>
      </c>
      <c r="L39" s="708" t="s">
        <v>6083</v>
      </c>
      <c r="M39" s="708" t="s">
        <v>6083</v>
      </c>
      <c r="N39" s="708" t="s">
        <v>6083</v>
      </c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H39" s="708">
        <v>125</v>
      </c>
      <c r="AI39" s="708"/>
      <c r="AJ39" s="708"/>
      <c r="AK39" s="708"/>
      <c r="AL39" s="708"/>
      <c r="AM39" s="708"/>
      <c r="AO39" s="708"/>
      <c r="AP39" s="708"/>
    </row>
    <row r="40" spans="1:42" s="83" customFormat="1">
      <c r="A40" s="359"/>
      <c r="B40" s="359"/>
      <c r="C40" s="360">
        <f>+B40-D40</f>
        <v>-36</v>
      </c>
      <c r="D40" s="63">
        <f t="shared" si="3"/>
        <v>36</v>
      </c>
      <c r="E40" s="361">
        <v>3800</v>
      </c>
      <c r="F40" s="64" t="str">
        <f>IFERROR(VLOOKUP(Table8[[#This Row],[Player No]],Table10[[No]:[Province]],2,0),"")</f>
        <v>VILAKAZI Mhlengi Kwanele</v>
      </c>
      <c r="G40" s="76" t="str">
        <f>IFERROR(VLOOKUP(Table8[[#This Row],[Player No]],Table10[[No]:[Province]],3,0),"")</f>
        <v>ETTA</v>
      </c>
      <c r="H40" s="381">
        <v>1</v>
      </c>
      <c r="I40" s="831">
        <f>Table8[[#This Row],[Points 2025]]/2+SUM(Table8[[#This Row],[O1  ADMIN 2026]:[P2           WC           CT Open   2026]])</f>
        <v>30.5</v>
      </c>
      <c r="J40" s="63">
        <f t="shared" si="0"/>
        <v>2</v>
      </c>
      <c r="K40" s="738">
        <f t="shared" si="1"/>
        <v>0</v>
      </c>
      <c r="L40" s="738" t="s">
        <v>6083</v>
      </c>
      <c r="M40" s="738">
        <v>15</v>
      </c>
      <c r="N40" s="738">
        <v>15</v>
      </c>
      <c r="O40" s="738"/>
      <c r="P40" s="738"/>
      <c r="Q40" s="738"/>
      <c r="R40" s="738"/>
      <c r="S40" s="738">
        <v>1</v>
      </c>
      <c r="T40" s="738"/>
      <c r="U40" s="738"/>
      <c r="V40" s="738"/>
      <c r="W40" s="738"/>
      <c r="X40" s="738"/>
      <c r="Y40" s="738"/>
      <c r="Z40" s="738"/>
      <c r="AA40" s="738"/>
      <c r="AB40" s="738"/>
      <c r="AC40" s="738"/>
      <c r="AD40" s="738"/>
      <c r="AE40" s="738"/>
      <c r="AF40" s="738"/>
      <c r="AG40" s="738"/>
      <c r="AH40" s="738"/>
      <c r="AI40" s="738"/>
      <c r="AJ40" s="738"/>
      <c r="AK40" s="738"/>
      <c r="AL40" s="738"/>
      <c r="AM40" s="738"/>
      <c r="AO40" s="708"/>
      <c r="AP40" s="708"/>
    </row>
    <row r="41" spans="1:42" s="83" customFormat="1">
      <c r="A41" s="63">
        <f>IFERROR(VLOOKUP(Table8[[#This Row],[Player No]],Table10[[#All],[No]:[Age Group]],4,0),"")</f>
        <v>0</v>
      </c>
      <c r="B41" s="61">
        <v>168</v>
      </c>
      <c r="C41" s="77">
        <f>+B41-D41</f>
        <v>131</v>
      </c>
      <c r="D41" s="63">
        <f t="shared" si="3"/>
        <v>37</v>
      </c>
      <c r="E41" s="63">
        <v>3956</v>
      </c>
      <c r="F41" s="64" t="str">
        <f>IFERROR(VLOOKUP(Table8[[#This Row],[Player No]],Table10[[No]:[Province]],2,0),"")</f>
        <v>BOOYSEN Marcus</v>
      </c>
      <c r="G41" s="76" t="str">
        <f>IFERROR(VLOOKUP(Table8[[#This Row],[Player No]],Table10[[No]:[Province]],3,0),"")</f>
        <v>CW</v>
      </c>
      <c r="H41" s="124">
        <v>57.5</v>
      </c>
      <c r="I41" s="789">
        <f>Table8[[#This Row],[Points 2025]]/2+SUM(Table8[[#This Row],[O1  ADMIN 2026]:[P2           WC           CT Open   2026]])</f>
        <v>28.75</v>
      </c>
      <c r="J41" s="63">
        <f t="shared" si="0"/>
        <v>0</v>
      </c>
      <c r="K41" s="708">
        <f t="shared" si="1"/>
        <v>0</v>
      </c>
      <c r="L41" s="708" t="s">
        <v>6083</v>
      </c>
      <c r="M41" s="708" t="s">
        <v>6083</v>
      </c>
      <c r="N41" s="708" t="s">
        <v>6083</v>
      </c>
      <c r="O41" s="708"/>
      <c r="P41" s="708"/>
      <c r="Q41" s="708"/>
      <c r="R41" s="708"/>
      <c r="S41" s="708"/>
      <c r="T41" s="708"/>
      <c r="U41" s="708"/>
      <c r="V41" s="708"/>
      <c r="W41" s="708"/>
      <c r="X41" s="708">
        <v>50</v>
      </c>
      <c r="Y41" s="708"/>
      <c r="Z41" s="708"/>
      <c r="AA41" s="708"/>
      <c r="AB41" s="708"/>
      <c r="AC41" s="708"/>
      <c r="AD41" s="708"/>
      <c r="AE41" s="708"/>
      <c r="AF41" s="708"/>
      <c r="AG41" s="708">
        <v>15</v>
      </c>
      <c r="AH41" s="708"/>
      <c r="AI41" s="708"/>
      <c r="AJ41" s="708"/>
      <c r="AK41" s="708"/>
      <c r="AL41" s="708"/>
      <c r="AM41" s="708"/>
      <c r="AO41" s="708"/>
      <c r="AP41" s="708"/>
    </row>
    <row r="42" spans="1:42" s="83" customFormat="1">
      <c r="A42" s="61"/>
      <c r="B42" s="61"/>
      <c r="C42" s="77">
        <f>+B42-D42</f>
        <v>-38</v>
      </c>
      <c r="D42" s="63">
        <f t="shared" si="3"/>
        <v>38</v>
      </c>
      <c r="E42" s="63">
        <v>4110</v>
      </c>
      <c r="F42" s="93" t="str">
        <f>IFERROR(VLOOKUP(Table8[[#This Row],[Player No]],Table10[[No]:[Province]],2,0),"")</f>
        <v>Indiphile VOLIBI</v>
      </c>
      <c r="G42" s="63" t="str">
        <f>IFERROR(VLOOKUP(Table8[[#This Row],[Player No]],Table10[[No]:[Province]],3,0),"")</f>
        <v>EC</v>
      </c>
      <c r="H42" s="124">
        <v>50</v>
      </c>
      <c r="I42" s="789">
        <f>Table8[[#This Row],[Points 2025]]/2+SUM(Table8[[#This Row],[O1  ADMIN 2026]:[P2           WC           CT Open   2026]])</f>
        <v>25</v>
      </c>
      <c r="J42" s="63">
        <f t="shared" si="0"/>
        <v>0</v>
      </c>
      <c r="K42" s="708">
        <f t="shared" si="1"/>
        <v>0</v>
      </c>
      <c r="L42" s="708" t="s">
        <v>6083</v>
      </c>
      <c r="M42" s="708" t="s">
        <v>6083</v>
      </c>
      <c r="N42" s="708" t="s">
        <v>6083</v>
      </c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>
        <v>50</v>
      </c>
      <c r="Z42" s="708"/>
      <c r="AA42" s="708"/>
      <c r="AB42" s="708"/>
      <c r="AC42" s="708"/>
      <c r="AD42" s="708"/>
      <c r="AE42" s="708"/>
      <c r="AF42" s="708"/>
      <c r="AG42" s="708"/>
      <c r="AH42" s="708"/>
      <c r="AI42" s="708"/>
      <c r="AJ42" s="708"/>
      <c r="AK42" s="708"/>
      <c r="AL42" s="708"/>
      <c r="AM42" s="708"/>
      <c r="AO42" s="738"/>
      <c r="AP42" s="738"/>
    </row>
    <row r="43" spans="1:42" s="83" customFormat="1">
      <c r="A43" s="61"/>
      <c r="B43" s="61"/>
      <c r="C43" s="77">
        <f>+B43-D43</f>
        <v>-39</v>
      </c>
      <c r="D43" s="63">
        <f t="shared" si="3"/>
        <v>39</v>
      </c>
      <c r="E43" s="63">
        <v>4556</v>
      </c>
      <c r="F43" s="93" t="str">
        <f>IFERROR(VLOOKUP(Table8[[#This Row],[Player No]],Table10[[No]:[Province]],2,0),"")</f>
        <v xml:space="preserve">JACOBS Umr </v>
      </c>
      <c r="G43" s="63" t="str">
        <f>IFERROR(VLOOKUP(Table8[[#This Row],[Player No]],Table10[[No]:[Province]],3,0),"")</f>
        <v>CW</v>
      </c>
      <c r="H43" s="124">
        <v>50</v>
      </c>
      <c r="I43" s="789">
        <f>Table8[[#This Row],[Points 2025]]/2+SUM(Table8[[#This Row],[O1  ADMIN 2026]:[P2           WC           CT Open   2026]])</f>
        <v>25</v>
      </c>
      <c r="J43" s="63">
        <f t="shared" si="0"/>
        <v>0</v>
      </c>
      <c r="K43" s="708">
        <f t="shared" si="1"/>
        <v>0</v>
      </c>
      <c r="L43" s="708" t="s">
        <v>6083</v>
      </c>
      <c r="M43" s="708" t="s">
        <v>6083</v>
      </c>
      <c r="N43" s="708" t="s">
        <v>6083</v>
      </c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>
        <v>50</v>
      </c>
      <c r="Z43" s="708"/>
      <c r="AA43" s="708"/>
      <c r="AB43" s="708"/>
      <c r="AC43" s="708"/>
      <c r="AD43" s="708"/>
      <c r="AE43" s="708"/>
      <c r="AF43" s="708"/>
      <c r="AG43" s="708"/>
      <c r="AH43" s="708"/>
      <c r="AI43" s="708"/>
      <c r="AJ43" s="708"/>
      <c r="AK43" s="708"/>
      <c r="AL43" s="708"/>
      <c r="AM43" s="708"/>
      <c r="AO43" s="708"/>
      <c r="AP43" s="708"/>
    </row>
    <row r="44" spans="1:42" s="83" customFormat="1">
      <c r="A44" s="63" t="str">
        <f>IFERROR(VLOOKUP(Table8[[#This Row],[Player No]],Table10[[#All],[No]:[Age Group]],4,0),"")</f>
        <v>U11</v>
      </c>
      <c r="B44" s="61"/>
      <c r="C44" s="77"/>
      <c r="D44" s="63">
        <f t="shared" si="3"/>
        <v>40</v>
      </c>
      <c r="E44" s="63">
        <v>3990</v>
      </c>
      <c r="F44" s="64" t="str">
        <f>IFERROR(VLOOKUP(Table8[[#This Row],[Player No]],Table10[[No]:[Province]],2,0),"")</f>
        <v xml:space="preserve">MOKWENA Kwena </v>
      </c>
      <c r="G44" s="76" t="str">
        <f>IFERROR(VLOOKUP(Table8[[#This Row],[Player No]],Table10[[No]:[Province]],3,0),"")</f>
        <v>LIM</v>
      </c>
      <c r="H44" s="124">
        <v>50</v>
      </c>
      <c r="I44" s="789">
        <f>Table8[[#This Row],[Points 2025]]/2+SUM(Table8[[#This Row],[O1  ADMIN 2026]:[P2           WC           CT Open   2026]])</f>
        <v>25</v>
      </c>
      <c r="J44" s="63">
        <f t="shared" si="0"/>
        <v>0</v>
      </c>
      <c r="K44" s="708">
        <f t="shared" si="1"/>
        <v>0</v>
      </c>
      <c r="L44" s="708" t="s">
        <v>6083</v>
      </c>
      <c r="M44" s="708" t="s">
        <v>6083</v>
      </c>
      <c r="N44" s="708" t="s">
        <v>6083</v>
      </c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>
        <v>25</v>
      </c>
      <c r="Z44" s="708"/>
      <c r="AA44" s="708"/>
      <c r="AB44" s="708"/>
      <c r="AC44" s="708"/>
      <c r="AD44" s="708"/>
      <c r="AE44" s="708"/>
      <c r="AF44" s="708"/>
      <c r="AG44" s="708"/>
      <c r="AH44" s="708">
        <v>50</v>
      </c>
      <c r="AI44" s="708"/>
      <c r="AJ44" s="708"/>
      <c r="AK44" s="708"/>
      <c r="AL44" s="708"/>
      <c r="AM44" s="708"/>
      <c r="AO44" s="708"/>
      <c r="AP44" s="708"/>
    </row>
    <row r="45" spans="1:42" s="83" customFormat="1">
      <c r="A45" s="63">
        <f>IFERROR(VLOOKUP(Table8[[#This Row],[Player No]],Table10[[#All],[No]:[Age Group]],4,0),"")</f>
        <v>0</v>
      </c>
      <c r="B45" s="61">
        <v>168</v>
      </c>
      <c r="C45" s="77">
        <f t="shared" ref="C45:C56" si="5">+B45-D45</f>
        <v>127</v>
      </c>
      <c r="D45" s="63">
        <f t="shared" si="3"/>
        <v>41</v>
      </c>
      <c r="E45" s="63">
        <v>3937</v>
      </c>
      <c r="F45" s="64" t="str">
        <f>IFERROR(VLOOKUP(Table8[[#This Row],[Player No]],Table10[[No]:[Province]],2,0),"")</f>
        <v>NQGULA Njongo</v>
      </c>
      <c r="G45" s="76" t="str">
        <f>IFERROR(VLOOKUP(Table8[[#This Row],[Player No]],Table10[[No]:[Province]],3,0),"")</f>
        <v>CT</v>
      </c>
      <c r="H45" s="124">
        <v>50</v>
      </c>
      <c r="I45" s="789">
        <f>Table8[[#This Row],[Points 2025]]/2+SUM(Table8[[#This Row],[O1  ADMIN 2026]:[P2           WC           CT Open   2026]])</f>
        <v>25</v>
      </c>
      <c r="J45" s="63">
        <f t="shared" si="0"/>
        <v>0</v>
      </c>
      <c r="K45" s="708">
        <f t="shared" si="1"/>
        <v>0</v>
      </c>
      <c r="L45" s="708" t="s">
        <v>6083</v>
      </c>
      <c r="M45" s="708" t="s">
        <v>6083</v>
      </c>
      <c r="N45" s="708" t="s">
        <v>6083</v>
      </c>
      <c r="O45" s="708"/>
      <c r="P45" s="708"/>
      <c r="Q45" s="708"/>
      <c r="R45" s="708"/>
      <c r="S45" s="708"/>
      <c r="T45" s="708"/>
      <c r="U45" s="708"/>
      <c r="V45" s="708"/>
      <c r="W45" s="708">
        <v>12.5</v>
      </c>
      <c r="X45" s="708"/>
      <c r="Y45" s="708"/>
      <c r="Z45" s="708"/>
      <c r="AA45" s="708"/>
      <c r="AB45" s="708"/>
      <c r="AC45" s="708"/>
      <c r="AD45" s="708"/>
      <c r="AE45" s="708"/>
      <c r="AF45" s="708"/>
      <c r="AG45" s="708">
        <v>75</v>
      </c>
      <c r="AH45" s="708"/>
      <c r="AI45" s="708"/>
      <c r="AJ45" s="708"/>
      <c r="AK45" s="708"/>
      <c r="AL45" s="708"/>
      <c r="AM45" s="708"/>
      <c r="AO45" s="708"/>
      <c r="AP45" s="708"/>
    </row>
    <row r="46" spans="1:42" s="83" customFormat="1">
      <c r="A46" s="63">
        <f>IFERROR(VLOOKUP(Table8[[#This Row],[Player No]],Table10[[#All],[No]:[Age Group]],4,0),"")</f>
        <v>0</v>
      </c>
      <c r="B46" s="61">
        <v>50</v>
      </c>
      <c r="C46" s="77">
        <f t="shared" si="5"/>
        <v>8</v>
      </c>
      <c r="D46" s="63">
        <f t="shared" si="3"/>
        <v>42</v>
      </c>
      <c r="E46" s="63">
        <v>3369</v>
      </c>
      <c r="F46" s="64" t="str">
        <f>IFERROR(VLOOKUP(Table8[[#This Row],[Player No]],Table10[[No]:[Province]],2,0),"")</f>
        <v>JACOBS Owais</v>
      </c>
      <c r="G46" s="76" t="str">
        <f>IFERROR(VLOOKUP(Table8[[#This Row],[Player No]],Table10[[No]:[Province]],3,0),"")</f>
        <v>CT</v>
      </c>
      <c r="H46" s="124">
        <v>43.875</v>
      </c>
      <c r="I46" s="789">
        <f>Table8[[#This Row],[Points 2025]]/2+SUM(Table8[[#This Row],[O1  ADMIN 2026]:[P2           WC           CT Open   2026]])</f>
        <v>21.9375</v>
      </c>
      <c r="J46" s="63">
        <f t="shared" si="0"/>
        <v>0</v>
      </c>
      <c r="K46" s="708">
        <f t="shared" si="1"/>
        <v>0</v>
      </c>
      <c r="L46" s="708" t="s">
        <v>6083</v>
      </c>
      <c r="M46" s="708" t="s">
        <v>6083</v>
      </c>
      <c r="N46" s="708" t="s">
        <v>6083</v>
      </c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708"/>
      <c r="AG46" s="708">
        <v>50</v>
      </c>
      <c r="AH46" s="708">
        <v>25</v>
      </c>
      <c r="AI46" s="708"/>
      <c r="AJ46" s="708"/>
      <c r="AK46" s="708"/>
      <c r="AL46" s="708"/>
      <c r="AM46" s="708"/>
      <c r="AO46" s="708"/>
      <c r="AP46" s="708"/>
    </row>
    <row r="47" spans="1:42" s="83" customFormat="1">
      <c r="A47" s="63" t="str">
        <f>IFERROR(VLOOKUP(Table8[[#This Row],[Player No]],Table10[[#All],[No]:[Age Group]],4,0),"")</f>
        <v>U13</v>
      </c>
      <c r="B47" s="61">
        <v>168</v>
      </c>
      <c r="C47" s="77">
        <f t="shared" si="5"/>
        <v>125</v>
      </c>
      <c r="D47" s="63">
        <f t="shared" si="3"/>
        <v>43</v>
      </c>
      <c r="E47" s="63">
        <v>3626</v>
      </c>
      <c r="F47" s="64" t="str">
        <f>IFERROR(VLOOKUP(Table8[[#This Row],[Player No]],Table10[[No]:[Province]],2,0),"")</f>
        <v>KLEINTJIES Brodie</v>
      </c>
      <c r="G47" s="76" t="str">
        <f>IFERROR(VLOOKUP(Table8[[#This Row],[Player No]],Table10[[No]:[Province]],3,0),"")</f>
        <v>CW</v>
      </c>
      <c r="H47" s="124">
        <v>43</v>
      </c>
      <c r="I47" s="789">
        <f>Table8[[#This Row],[Points 2025]]/2+SUM(Table8[[#This Row],[O1  ADMIN 2026]:[P2           WC           CT Open   2026]])</f>
        <v>21.5</v>
      </c>
      <c r="J47" s="63">
        <f t="shared" si="0"/>
        <v>0</v>
      </c>
      <c r="K47" s="708">
        <f t="shared" si="1"/>
        <v>0</v>
      </c>
      <c r="L47" s="708" t="s">
        <v>6083</v>
      </c>
      <c r="M47" s="708" t="s">
        <v>6083</v>
      </c>
      <c r="N47" s="708" t="s">
        <v>6083</v>
      </c>
      <c r="O47" s="708"/>
      <c r="P47" s="708"/>
      <c r="Q47" s="708"/>
      <c r="R47" s="708"/>
      <c r="S47" s="708"/>
      <c r="T47" s="708"/>
      <c r="U47" s="708"/>
      <c r="V47" s="708"/>
      <c r="W47" s="708">
        <v>0.5</v>
      </c>
      <c r="X47" s="708">
        <v>25</v>
      </c>
      <c r="Y47" s="708">
        <v>5</v>
      </c>
      <c r="Z47" s="708"/>
      <c r="AA47" s="708"/>
      <c r="AB47" s="708"/>
      <c r="AC47" s="708"/>
      <c r="AD47" s="708"/>
      <c r="AE47" s="708"/>
      <c r="AF47" s="708"/>
      <c r="AG47" s="708">
        <v>25</v>
      </c>
      <c r="AH47" s="708"/>
      <c r="AI47" s="708"/>
      <c r="AJ47" s="708"/>
      <c r="AK47" s="708"/>
      <c r="AL47" s="708"/>
      <c r="AM47" s="708"/>
      <c r="AO47" s="708"/>
      <c r="AP47" s="708"/>
    </row>
    <row r="48" spans="1:42" s="83" customFormat="1">
      <c r="A48" s="61"/>
      <c r="B48" s="61"/>
      <c r="C48" s="77">
        <f t="shared" si="5"/>
        <v>-44</v>
      </c>
      <c r="D48" s="63">
        <f t="shared" si="3"/>
        <v>44</v>
      </c>
      <c r="E48" s="63">
        <v>4456</v>
      </c>
      <c r="F48" s="64" t="str">
        <f>IFERROR(VLOOKUP(Table8[[#This Row],[Player No]],Table10[[No]:[Province]],2,0),"")</f>
        <v xml:space="preserve">MTHWA Jacob </v>
      </c>
      <c r="G48" s="76" t="str">
        <f>IFERROR(VLOOKUP(Table8[[#This Row],[Player No]],Table10[[No]:[Province]],3,0),"")</f>
        <v>CT</v>
      </c>
      <c r="H48" s="124">
        <v>40</v>
      </c>
      <c r="I48" s="789">
        <f>Table8[[#This Row],[Points 2025]]/2+SUM(Table8[[#This Row],[O1  ADMIN 2026]:[P2           WC           CT Open   2026]])</f>
        <v>20</v>
      </c>
      <c r="J48" s="63">
        <f t="shared" si="0"/>
        <v>0</v>
      </c>
      <c r="K48" s="708">
        <f t="shared" si="1"/>
        <v>0</v>
      </c>
      <c r="L48" s="708" t="s">
        <v>6083</v>
      </c>
      <c r="M48" s="708" t="s">
        <v>6083</v>
      </c>
      <c r="N48" s="708" t="s">
        <v>6083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>
        <v>15</v>
      </c>
      <c r="Y48" s="708">
        <v>25</v>
      </c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J48" s="708"/>
      <c r="AK48" s="708"/>
      <c r="AL48" s="708"/>
      <c r="AM48" s="708"/>
      <c r="AO48" s="708"/>
      <c r="AP48" s="708"/>
    </row>
    <row r="49" spans="1:42" s="83" customFormat="1">
      <c r="A49" s="80">
        <f>IFERROR(VLOOKUP(Table8[[#This Row],[Player No]],Table10[[#All],[No]:[Age Group]],4,0),"")</f>
        <v>0</v>
      </c>
      <c r="B49" s="247">
        <v>75</v>
      </c>
      <c r="C49" s="111">
        <f t="shared" si="5"/>
        <v>30</v>
      </c>
      <c r="D49" s="63">
        <f t="shared" si="3"/>
        <v>45</v>
      </c>
      <c r="E49" s="106">
        <v>3249</v>
      </c>
      <c r="F49" s="64" t="str">
        <f>IFERROR(VLOOKUP(Table8[[#This Row],[Player No]],Table10[[No]:[Province]],2,0),"")</f>
        <v>JONES Micah</v>
      </c>
      <c r="G49" s="76" t="str">
        <f>IFERROR(VLOOKUP(Table8[[#This Row],[Player No]],Table10[[No]:[Province]],3,0),"")</f>
        <v>CT</v>
      </c>
      <c r="H49" s="110">
        <v>36.25</v>
      </c>
      <c r="I49" s="110">
        <f>Table8[[#This Row],[Points 2025]]/2+SUM(Table8[[#This Row],[O1  ADMIN 2026]:[P2           WC           CT Open   2026]])</f>
        <v>18.125</v>
      </c>
      <c r="J49" s="63">
        <f t="shared" si="0"/>
        <v>0</v>
      </c>
      <c r="K49" s="708">
        <f t="shared" si="1"/>
        <v>0</v>
      </c>
      <c r="L49" s="708" t="s">
        <v>6083</v>
      </c>
      <c r="M49" s="708" t="s">
        <v>6083</v>
      </c>
      <c r="N49" s="708" t="s">
        <v>6083</v>
      </c>
      <c r="O49" s="708"/>
      <c r="P49" s="708"/>
      <c r="Q49" s="708"/>
      <c r="R49" s="708"/>
      <c r="S49" s="708"/>
      <c r="T49" s="708"/>
      <c r="U49" s="708"/>
      <c r="V49" s="708"/>
      <c r="W49" s="708">
        <v>5</v>
      </c>
      <c r="X49" s="708">
        <v>2</v>
      </c>
      <c r="Y49" s="708">
        <v>25</v>
      </c>
      <c r="Z49" s="708"/>
      <c r="AA49" s="708"/>
      <c r="AB49" s="708"/>
      <c r="AC49" s="708"/>
      <c r="AD49" s="708"/>
      <c r="AE49" s="708"/>
      <c r="AF49" s="708"/>
      <c r="AG49" s="708"/>
      <c r="AH49" s="708"/>
      <c r="AI49" s="708"/>
      <c r="AJ49" s="708"/>
      <c r="AK49" s="708"/>
      <c r="AL49" s="708"/>
      <c r="AM49" s="708"/>
      <c r="AO49" s="708"/>
      <c r="AP49" s="708"/>
    </row>
    <row r="50" spans="1:42" s="83" customFormat="1">
      <c r="A50" s="63">
        <f>IFERROR(VLOOKUP(Table8[[#This Row],[Player No]],Table10[[#All],[No]:[Age Group]],4,0),"")</f>
        <v>0</v>
      </c>
      <c r="B50" s="61">
        <v>168</v>
      </c>
      <c r="C50" s="77">
        <f t="shared" si="5"/>
        <v>122</v>
      </c>
      <c r="D50" s="63">
        <f t="shared" si="3"/>
        <v>46</v>
      </c>
      <c r="E50" s="63">
        <v>3953</v>
      </c>
      <c r="F50" s="64" t="str">
        <f>IFERROR(VLOOKUP(Table8[[#This Row],[Player No]],Table10[[No]:[Province]],2,0),"")</f>
        <v>BEUKES Zian</v>
      </c>
      <c r="G50" s="76" t="str">
        <f>IFERROR(VLOOKUP(Table8[[#This Row],[Player No]],Table10[[No]:[Province]],3,0),"")</f>
        <v>Eden</v>
      </c>
      <c r="H50" s="124">
        <v>36</v>
      </c>
      <c r="I50" s="789">
        <f>Table8[[#This Row],[Points 2025]]/2+SUM(Table8[[#This Row],[O1  ADMIN 2026]:[P2           WC           CT Open   2026]])</f>
        <v>18</v>
      </c>
      <c r="J50" s="63">
        <f t="shared" si="0"/>
        <v>0</v>
      </c>
      <c r="K50" s="708">
        <f t="shared" si="1"/>
        <v>0</v>
      </c>
      <c r="L50" s="708" t="s">
        <v>6083</v>
      </c>
      <c r="M50" s="708" t="s">
        <v>6083</v>
      </c>
      <c r="N50" s="708" t="s">
        <v>6083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>
        <v>25</v>
      </c>
      <c r="Y50" s="708">
        <v>10</v>
      </c>
      <c r="Z50" s="708"/>
      <c r="AA50" s="708"/>
      <c r="AB50" s="708"/>
      <c r="AC50" s="708"/>
      <c r="AD50" s="708"/>
      <c r="AE50" s="708"/>
      <c r="AF50" s="708"/>
      <c r="AG50" s="708">
        <v>2</v>
      </c>
      <c r="AH50" s="708"/>
      <c r="AI50" s="708"/>
      <c r="AJ50" s="708"/>
      <c r="AK50" s="708"/>
      <c r="AL50" s="708"/>
      <c r="AM50" s="708"/>
      <c r="AO50" s="708"/>
      <c r="AP50" s="708"/>
    </row>
    <row r="51" spans="1:42" s="83" customFormat="1">
      <c r="A51" s="63"/>
      <c r="B51" s="61"/>
      <c r="C51" s="77">
        <f t="shared" si="5"/>
        <v>-47</v>
      </c>
      <c r="D51" s="63">
        <f t="shared" si="3"/>
        <v>47</v>
      </c>
      <c r="E51" s="63">
        <v>4290</v>
      </c>
      <c r="F51" s="64" t="str">
        <f>IFERROR(VLOOKUP(Table8[[#This Row],[Player No]],Table10[[No]:[Province]],2,0),"")</f>
        <v xml:space="preserve">Ditebogo Tsoai </v>
      </c>
      <c r="G51" s="76" t="str">
        <f>IFERROR(VLOOKUP(Table8[[#This Row],[Player No]],Table10[[No]:[Province]],3,0),"")</f>
        <v>FS</v>
      </c>
      <c r="H51" s="124">
        <v>35</v>
      </c>
      <c r="I51" s="789">
        <f>Table8[[#This Row],[Points 2025]]/2+SUM(Table8[[#This Row],[O1  ADMIN 2026]:[P2           WC           CT Open   2026]])</f>
        <v>17.5</v>
      </c>
      <c r="J51" s="63">
        <f t="shared" si="0"/>
        <v>0</v>
      </c>
      <c r="K51" s="708">
        <f t="shared" si="1"/>
        <v>0</v>
      </c>
      <c r="L51" s="708" t="s">
        <v>6083</v>
      </c>
      <c r="M51" s="708" t="s">
        <v>6083</v>
      </c>
      <c r="N51" s="708" t="s">
        <v>6083</v>
      </c>
      <c r="O51" s="708"/>
      <c r="P51" s="708"/>
      <c r="Q51" s="708"/>
      <c r="R51" s="708"/>
      <c r="S51" s="708"/>
      <c r="T51" s="708"/>
      <c r="U51" s="708"/>
      <c r="V51" s="708">
        <v>35</v>
      </c>
      <c r="W51" s="708"/>
      <c r="X51" s="708"/>
      <c r="Y51" s="708"/>
      <c r="Z51" s="708"/>
      <c r="AA51" s="708"/>
      <c r="AB51" s="708"/>
      <c r="AC51" s="708"/>
      <c r="AD51" s="708"/>
      <c r="AE51" s="708"/>
      <c r="AF51" s="708"/>
      <c r="AG51" s="708"/>
      <c r="AH51" s="708"/>
      <c r="AI51" s="708"/>
      <c r="AJ51" s="708"/>
      <c r="AK51" s="708"/>
      <c r="AL51" s="708"/>
      <c r="AM51" s="708"/>
      <c r="AO51" s="708"/>
      <c r="AP51" s="708"/>
    </row>
    <row r="52" spans="1:42" s="83" customFormat="1">
      <c r="A52" s="61"/>
      <c r="B52" s="61"/>
      <c r="C52" s="77">
        <f t="shared" si="5"/>
        <v>-48</v>
      </c>
      <c r="D52" s="63">
        <f t="shared" si="3"/>
        <v>48</v>
      </c>
      <c r="E52" s="63">
        <v>4812</v>
      </c>
      <c r="F52" s="93" t="str">
        <f>IFERROR(VLOOKUP(Table8[[#This Row],[Player No]],Table10[[No]:[Province]],2,0),"")</f>
        <v>KEPPLER CJ</v>
      </c>
      <c r="G52" s="63" t="str">
        <f>IFERROR(VLOOKUP(Table8[[#This Row],[Player No]],Table10[[No]:[Province]],3,0),"")</f>
        <v>GN</v>
      </c>
      <c r="H52" s="124">
        <v>0</v>
      </c>
      <c r="I52" s="789">
        <f>Table8[[#This Row],[Points 2025]]/2+SUM(Table8[[#This Row],[O1  ADMIN 2026]:[P2           WC           CT Open   2026]])</f>
        <v>17.5</v>
      </c>
      <c r="J52" s="63">
        <f t="shared" si="0"/>
        <v>1</v>
      </c>
      <c r="K52" s="708">
        <f t="shared" si="1"/>
        <v>0</v>
      </c>
      <c r="L52" s="708">
        <v>17.5</v>
      </c>
      <c r="M52" s="708" t="s">
        <v>6083</v>
      </c>
      <c r="N52" s="708"/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08"/>
      <c r="AB52" s="708"/>
      <c r="AC52" s="708"/>
      <c r="AD52" s="708"/>
      <c r="AE52" s="708"/>
      <c r="AF52" s="708"/>
      <c r="AG52" s="708"/>
      <c r="AH52" s="708"/>
      <c r="AI52" s="708"/>
      <c r="AJ52" s="708"/>
      <c r="AK52" s="708"/>
      <c r="AL52" s="708"/>
      <c r="AM52" s="708"/>
      <c r="AO52" s="708"/>
      <c r="AP52" s="708"/>
    </row>
    <row r="53" spans="1:42" s="83" customFormat="1">
      <c r="A53" s="155"/>
      <c r="B53" s="155"/>
      <c r="C53" s="160">
        <f t="shared" si="5"/>
        <v>-49</v>
      </c>
      <c r="D53" s="63">
        <f t="shared" si="3"/>
        <v>49</v>
      </c>
      <c r="E53" s="157">
        <v>4237</v>
      </c>
      <c r="F53" s="64" t="str">
        <f>IFERROR(VLOOKUP(Table8[[#This Row],[Player No]],Table10[[No]:[Province]],2,0),"")</f>
        <v>TAYLIN Naipal</v>
      </c>
      <c r="G53" s="76" t="str">
        <f>IFERROR(VLOOKUP(Table8[[#This Row],[Player No]],Table10[[No]:[Province]],3,0),"")</f>
        <v>UMG</v>
      </c>
      <c r="H53" s="124">
        <v>2</v>
      </c>
      <c r="I53" s="820">
        <f>Table8[[#This Row],[Points 2025]]/2+SUM(Table8[[#This Row],[O1  ADMIN 2026]:[P2           WC           CT Open   2026]])</f>
        <v>17</v>
      </c>
      <c r="J53" s="63">
        <f t="shared" si="0"/>
        <v>2</v>
      </c>
      <c r="K53" s="708">
        <f t="shared" si="1"/>
        <v>0</v>
      </c>
      <c r="L53" s="708" t="s">
        <v>6083</v>
      </c>
      <c r="M53" s="708">
        <v>1</v>
      </c>
      <c r="N53" s="708">
        <v>15</v>
      </c>
      <c r="O53" s="708"/>
      <c r="P53" s="712">
        <v>2</v>
      </c>
      <c r="Q53" s="712">
        <v>1</v>
      </c>
      <c r="R53" s="712"/>
      <c r="S53" s="712"/>
      <c r="T53" s="712"/>
      <c r="U53" s="712"/>
      <c r="V53" s="712"/>
      <c r="W53" s="712"/>
      <c r="X53" s="712"/>
      <c r="Y53" s="712"/>
      <c r="Z53" s="712"/>
      <c r="AA53" s="712"/>
      <c r="AB53" s="712"/>
      <c r="AC53" s="712"/>
      <c r="AD53" s="712"/>
      <c r="AE53" s="712"/>
      <c r="AF53" s="712"/>
      <c r="AG53" s="712"/>
      <c r="AH53" s="712"/>
      <c r="AI53" s="712"/>
      <c r="AJ53" s="712"/>
      <c r="AK53" s="712"/>
      <c r="AL53" s="712"/>
      <c r="AM53" s="712"/>
      <c r="AO53" s="708"/>
      <c r="AP53" s="708"/>
    </row>
    <row r="54" spans="1:42" s="83" customFormat="1">
      <c r="A54" s="63">
        <f>IFERROR(VLOOKUP(Table8[[#This Row],[Player No]],Table10[[#All],[No]:[Age Group]],4,0),"")</f>
        <v>0</v>
      </c>
      <c r="B54" s="61">
        <v>133</v>
      </c>
      <c r="C54" s="77">
        <f t="shared" si="5"/>
        <v>83</v>
      </c>
      <c r="D54" s="63">
        <f t="shared" si="3"/>
        <v>50</v>
      </c>
      <c r="E54" s="63">
        <v>3333</v>
      </c>
      <c r="F54" s="64" t="str">
        <f>IFERROR(VLOOKUP(Table8[[#This Row],[Player No]],Table10[[No]:[Province]],2,0),"")</f>
        <v>JANSEN Kian</v>
      </c>
      <c r="G54" s="76" t="str">
        <f>IFERROR(VLOOKUP(Table8[[#This Row],[Player No]],Table10[[No]:[Province]],3,0),"")</f>
        <v>CT</v>
      </c>
      <c r="H54" s="124">
        <v>32.875</v>
      </c>
      <c r="I54" s="789">
        <f>Table8[[#This Row],[Points 2025]]/2+SUM(Table8[[#This Row],[O1  ADMIN 2026]:[P2           WC           CT Open   2026]])</f>
        <v>16.4375</v>
      </c>
      <c r="J54" s="63">
        <f t="shared" si="0"/>
        <v>0</v>
      </c>
      <c r="K54" s="708">
        <f t="shared" si="1"/>
        <v>0</v>
      </c>
      <c r="L54" s="708" t="s">
        <v>6083</v>
      </c>
      <c r="M54" s="708" t="s">
        <v>6083</v>
      </c>
      <c r="N54" s="708" t="s">
        <v>6083</v>
      </c>
      <c r="O54" s="708"/>
      <c r="P54" s="708"/>
      <c r="Q54" s="708"/>
      <c r="R54" s="708"/>
      <c r="S54" s="708"/>
      <c r="T54" s="708"/>
      <c r="U54" s="708"/>
      <c r="V54" s="708"/>
      <c r="W54" s="708">
        <v>7.5</v>
      </c>
      <c r="X54" s="708">
        <v>25</v>
      </c>
      <c r="Y54" s="708"/>
      <c r="Z54" s="708"/>
      <c r="AA54" s="708"/>
      <c r="AB54" s="708"/>
      <c r="AC54" s="708"/>
      <c r="AD54" s="708"/>
      <c r="AE54" s="708"/>
      <c r="AF54" s="708"/>
      <c r="AG54" s="708"/>
      <c r="AH54" s="708"/>
      <c r="AI54" s="708"/>
      <c r="AJ54" s="708"/>
      <c r="AK54" s="708"/>
      <c r="AL54" s="708"/>
      <c r="AM54" s="708"/>
      <c r="AO54" s="708"/>
      <c r="AP54" s="708"/>
    </row>
    <row r="55" spans="1:42" s="83" customFormat="1">
      <c r="A55" s="80">
        <f>IFERROR(VLOOKUP(Table8[[#This Row],[Player No]],Table10[[#All],[No]:[Age Group]],4,0),"")</f>
        <v>0</v>
      </c>
      <c r="B55" s="247">
        <v>25</v>
      </c>
      <c r="C55" s="111">
        <f t="shared" si="5"/>
        <v>-26</v>
      </c>
      <c r="D55" s="63">
        <f t="shared" si="3"/>
        <v>51</v>
      </c>
      <c r="E55" s="106">
        <v>3553</v>
      </c>
      <c r="F55" s="64" t="str">
        <f>IFERROR(VLOOKUP(Table8[[#This Row],[Player No]],Table10[[No]:[Province]],2,0),"")</f>
        <v>SETHUNYA Koketso</v>
      </c>
      <c r="G55" s="76" t="str">
        <f>IFERROR(VLOOKUP(Table8[[#This Row],[Player No]],Table10[[No]:[Province]],3,0),"")</f>
        <v>FS</v>
      </c>
      <c r="H55" s="110">
        <v>31.25</v>
      </c>
      <c r="I55" s="110">
        <f>Table8[[#This Row],[Points 2025]]/2+SUM(Table8[[#This Row],[O1  ADMIN 2026]:[P2           WC           CT Open   2026]])</f>
        <v>15.625</v>
      </c>
      <c r="J55" s="63">
        <f t="shared" si="0"/>
        <v>0</v>
      </c>
      <c r="K55" s="708">
        <f t="shared" si="1"/>
        <v>0</v>
      </c>
      <c r="L55" s="708" t="s">
        <v>6083</v>
      </c>
      <c r="M55" s="708" t="s">
        <v>6083</v>
      </c>
      <c r="N55" s="708" t="s">
        <v>6083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08"/>
      <c r="AH55" s="708">
        <v>25</v>
      </c>
      <c r="AI55" s="708"/>
      <c r="AJ55" s="708"/>
      <c r="AK55" s="708"/>
      <c r="AL55" s="708"/>
      <c r="AM55" s="708"/>
      <c r="AO55" s="738"/>
      <c r="AP55" s="738"/>
    </row>
    <row r="56" spans="1:42" s="83" customFormat="1">
      <c r="A56" s="72">
        <f>IFERROR(VLOOKUP(Table8[[#This Row],[Player No]],Table10[[#All],[No]:[Age Group]],4,0),"")</f>
        <v>0</v>
      </c>
      <c r="B56" s="71">
        <v>27</v>
      </c>
      <c r="C56" s="115">
        <f t="shared" si="5"/>
        <v>-25</v>
      </c>
      <c r="D56" s="63">
        <f t="shared" si="3"/>
        <v>52</v>
      </c>
      <c r="E56" s="114">
        <v>3754</v>
      </c>
      <c r="F56" s="64" t="str">
        <f>IFERROR(VLOOKUP(Table8[[#This Row],[Player No]],Table10[[No]:[Province]],2,0),"")</f>
        <v>ECCLES Sazi</v>
      </c>
      <c r="G56" s="76" t="str">
        <f>IFERROR(VLOOKUP(Table8[[#This Row],[Player No]],Table10[[No]:[Province]],3,0),"")</f>
        <v>GN</v>
      </c>
      <c r="H56" s="124">
        <v>31.25</v>
      </c>
      <c r="I56" s="789">
        <f>Table8[[#This Row],[Points 2025]]/2+SUM(Table8[[#This Row],[O1  ADMIN 2026]:[P2           WC           CT Open   2026]])</f>
        <v>15.625</v>
      </c>
      <c r="J56" s="63">
        <f t="shared" si="0"/>
        <v>0</v>
      </c>
      <c r="K56" s="708">
        <f t="shared" si="1"/>
        <v>0</v>
      </c>
      <c r="L56" s="708" t="s">
        <v>6083</v>
      </c>
      <c r="M56" s="708" t="s">
        <v>6083</v>
      </c>
      <c r="N56" s="708" t="s">
        <v>6083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08"/>
      <c r="AB56" s="708"/>
      <c r="AC56" s="708"/>
      <c r="AD56" s="708"/>
      <c r="AE56" s="708"/>
      <c r="AF56" s="708"/>
      <c r="AG56" s="708"/>
      <c r="AH56" s="708">
        <v>25</v>
      </c>
      <c r="AI56" s="708"/>
      <c r="AJ56" s="708"/>
      <c r="AK56" s="708"/>
      <c r="AL56" s="708">
        <v>25</v>
      </c>
      <c r="AM56" s="708"/>
      <c r="AO56" s="708"/>
      <c r="AP56" s="708"/>
    </row>
    <row r="57" spans="1:42" s="83" customFormat="1">
      <c r="A57" s="63" t="str">
        <f>IFERROR(VLOOKUP(Table8[[#This Row],[Player No]],Table10[[#All],[No]:[Age Group]],4,0),"")</f>
        <v>U11</v>
      </c>
      <c r="B57" s="61"/>
      <c r="C57" s="77"/>
      <c r="D57" s="63">
        <f t="shared" si="3"/>
        <v>53</v>
      </c>
      <c r="E57" s="63">
        <v>3989</v>
      </c>
      <c r="F57" s="64" t="str">
        <f>IFERROR(VLOOKUP(Table8[[#This Row],[Player No]],Table10[[No]:[Province]],2,0),"")</f>
        <v xml:space="preserve">PAKO Shaun </v>
      </c>
      <c r="G57" s="76" t="str">
        <f>IFERROR(VLOOKUP(Table8[[#This Row],[Player No]],Table10[[No]:[Province]],3,0),"")</f>
        <v>LIM</v>
      </c>
      <c r="H57" s="124">
        <v>30</v>
      </c>
      <c r="I57" s="789">
        <f>Table8[[#This Row],[Points 2025]]/2+SUM(Table8[[#This Row],[O1  ADMIN 2026]:[P2           WC           CT Open   2026]])</f>
        <v>15</v>
      </c>
      <c r="J57" s="63">
        <f t="shared" si="0"/>
        <v>0</v>
      </c>
      <c r="K57" s="708">
        <f t="shared" si="1"/>
        <v>0</v>
      </c>
      <c r="L57" s="708" t="s">
        <v>6083</v>
      </c>
      <c r="M57" s="708" t="s">
        <v>6083</v>
      </c>
      <c r="N57" s="708" t="s">
        <v>6083</v>
      </c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>
        <v>25</v>
      </c>
      <c r="Z57" s="708"/>
      <c r="AA57" s="708"/>
      <c r="AB57" s="708"/>
      <c r="AC57" s="708"/>
      <c r="AD57" s="708"/>
      <c r="AE57" s="708"/>
      <c r="AF57" s="708"/>
      <c r="AG57" s="708"/>
      <c r="AH57" s="708">
        <v>10</v>
      </c>
      <c r="AI57" s="708"/>
      <c r="AJ57" s="708"/>
      <c r="AK57" s="708"/>
      <c r="AL57" s="708"/>
      <c r="AM57" s="708"/>
      <c r="AO57" s="708"/>
      <c r="AP57" s="708"/>
    </row>
    <row r="58" spans="1:42" s="83" customFormat="1">
      <c r="A58" s="247"/>
      <c r="B58" s="247"/>
      <c r="C58" s="111">
        <f t="shared" ref="C58:C73" si="6">+B58-D58</f>
        <v>-54</v>
      </c>
      <c r="D58" s="63">
        <f t="shared" si="3"/>
        <v>54</v>
      </c>
      <c r="E58" s="106">
        <v>4532</v>
      </c>
      <c r="F58" s="64" t="str">
        <f>IFERROR(VLOOKUP(Table8[[#This Row],[Player No]],Table10[[No]:[Province]],2,0),"")</f>
        <v xml:space="preserve">KLAASEN Liam </v>
      </c>
      <c r="G58" s="76" t="str">
        <f>IFERROR(VLOOKUP(Table8[[#This Row],[Player No]],Table10[[No]:[Province]],3,0),"")</f>
        <v>CT</v>
      </c>
      <c r="H58" s="110">
        <v>30</v>
      </c>
      <c r="I58" s="110">
        <f>Table8[[#This Row],[Points 2025]]/2+SUM(Table8[[#This Row],[O1  ADMIN 2026]:[P2           WC           CT Open   2026]])</f>
        <v>15</v>
      </c>
      <c r="J58" s="63">
        <f t="shared" si="0"/>
        <v>0</v>
      </c>
      <c r="K58" s="708">
        <f t="shared" si="1"/>
        <v>0</v>
      </c>
      <c r="L58" s="708" t="s">
        <v>6083</v>
      </c>
      <c r="M58" s="708" t="s">
        <v>6083</v>
      </c>
      <c r="N58" s="708" t="s">
        <v>6083</v>
      </c>
      <c r="O58" s="708"/>
      <c r="P58" s="708"/>
      <c r="Q58" s="708"/>
      <c r="R58" s="708"/>
      <c r="S58" s="708"/>
      <c r="T58" s="708"/>
      <c r="U58" s="708"/>
      <c r="V58" s="708"/>
      <c r="W58" s="708">
        <v>5</v>
      </c>
      <c r="X58" s="708">
        <v>25</v>
      </c>
      <c r="Y58" s="708"/>
      <c r="Z58" s="708"/>
      <c r="AA58" s="708"/>
      <c r="AB58" s="708"/>
      <c r="AC58" s="708"/>
      <c r="AD58" s="708"/>
      <c r="AE58" s="708"/>
      <c r="AF58" s="708"/>
      <c r="AG58" s="708"/>
      <c r="AH58" s="708"/>
      <c r="AI58" s="708"/>
      <c r="AJ58" s="708"/>
      <c r="AK58" s="708"/>
      <c r="AL58" s="708"/>
      <c r="AM58" s="708"/>
      <c r="AO58" s="708"/>
      <c r="AP58" s="708"/>
    </row>
    <row r="59" spans="1:42" s="83" customFormat="1">
      <c r="A59" s="61"/>
      <c r="B59" s="61"/>
      <c r="C59" s="77">
        <f t="shared" si="6"/>
        <v>-55</v>
      </c>
      <c r="D59" s="63">
        <f t="shared" si="3"/>
        <v>55</v>
      </c>
      <c r="E59" s="63">
        <v>4537</v>
      </c>
      <c r="F59" s="64" t="str">
        <f>IFERROR(VLOOKUP(Table8[[#This Row],[Player No]],Table10[[No]:[Province]],2,0),"")</f>
        <v xml:space="preserve">WILSON Aiden </v>
      </c>
      <c r="G59" s="76" t="str">
        <f>IFERROR(VLOOKUP(Table8[[#This Row],[Player No]],Table10[[No]:[Province]],3,0),"")</f>
        <v>CT</v>
      </c>
      <c r="H59" s="124">
        <v>30</v>
      </c>
      <c r="I59" s="789">
        <f>Table8[[#This Row],[Points 2025]]/2+SUM(Table8[[#This Row],[O1  ADMIN 2026]:[P2           WC           CT Open   2026]])</f>
        <v>15</v>
      </c>
      <c r="J59" s="63">
        <f t="shared" si="0"/>
        <v>0</v>
      </c>
      <c r="K59" s="708">
        <f t="shared" si="1"/>
        <v>0</v>
      </c>
      <c r="L59" s="708" t="s">
        <v>6083</v>
      </c>
      <c r="M59" s="708" t="s">
        <v>6083</v>
      </c>
      <c r="N59" s="708" t="s">
        <v>6083</v>
      </c>
      <c r="O59" s="708"/>
      <c r="P59" s="708"/>
      <c r="Q59" s="708"/>
      <c r="R59" s="708"/>
      <c r="S59" s="708"/>
      <c r="T59" s="708"/>
      <c r="U59" s="708"/>
      <c r="V59" s="708"/>
      <c r="W59" s="708">
        <v>5</v>
      </c>
      <c r="X59" s="708">
        <v>25</v>
      </c>
      <c r="Y59" s="708"/>
      <c r="Z59" s="708"/>
      <c r="AA59" s="708"/>
      <c r="AB59" s="708"/>
      <c r="AC59" s="708"/>
      <c r="AD59" s="708"/>
      <c r="AE59" s="708"/>
      <c r="AF59" s="708"/>
      <c r="AG59" s="708"/>
      <c r="AH59" s="708"/>
      <c r="AI59" s="708"/>
      <c r="AJ59" s="708"/>
      <c r="AK59" s="708"/>
      <c r="AL59" s="708"/>
      <c r="AM59" s="708"/>
      <c r="AO59" s="708"/>
      <c r="AP59" s="708"/>
    </row>
    <row r="60" spans="1:42" s="83" customFormat="1">
      <c r="A60" s="61"/>
      <c r="B60" s="61"/>
      <c r="C60" s="77">
        <f t="shared" si="6"/>
        <v>-56</v>
      </c>
      <c r="D60" s="63">
        <f t="shared" si="3"/>
        <v>56</v>
      </c>
      <c r="E60" s="63">
        <v>4317</v>
      </c>
      <c r="F60" s="64" t="str">
        <f>IFERROR(VLOOKUP(Table8[[#This Row],[Player No]],Table10[[No]:[Province]],2,0),"")</f>
        <v>LEEUW Mbulelo</v>
      </c>
      <c r="G60" s="76" t="str">
        <f>IFERROR(VLOOKUP(Table8[[#This Row],[Player No]],Table10[[No]:[Province]],3,0),"")</f>
        <v>FS</v>
      </c>
      <c r="H60" s="124">
        <v>30</v>
      </c>
      <c r="I60" s="789">
        <f>Table8[[#This Row],[Points 2025]]/2+SUM(Table8[[#This Row],[O1  ADMIN 2026]:[P2           WC           CT Open   2026]])</f>
        <v>15</v>
      </c>
      <c r="J60" s="63">
        <f t="shared" si="0"/>
        <v>0</v>
      </c>
      <c r="K60" s="708">
        <f t="shared" si="1"/>
        <v>0</v>
      </c>
      <c r="L60" s="708" t="s">
        <v>6083</v>
      </c>
      <c r="M60" s="708" t="s">
        <v>6083</v>
      </c>
      <c r="N60" s="708" t="s">
        <v>6083</v>
      </c>
      <c r="O60" s="708"/>
      <c r="P60" s="708"/>
      <c r="Q60" s="708"/>
      <c r="R60" s="708"/>
      <c r="S60" s="708"/>
      <c r="T60" s="708"/>
      <c r="U60" s="708">
        <v>25</v>
      </c>
      <c r="V60" s="708"/>
      <c r="W60" s="708"/>
      <c r="X60" s="708"/>
      <c r="Y60" s="708">
        <v>5</v>
      </c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J60" s="708"/>
      <c r="AK60" s="708"/>
      <c r="AL60" s="708"/>
      <c r="AM60" s="708"/>
      <c r="AO60" s="708"/>
      <c r="AP60" s="708"/>
    </row>
    <row r="61" spans="1:42" s="83" customFormat="1">
      <c r="A61" s="61"/>
      <c r="B61" s="61"/>
      <c r="C61" s="77">
        <f t="shared" si="6"/>
        <v>-57</v>
      </c>
      <c r="D61" s="63">
        <f t="shared" si="3"/>
        <v>57</v>
      </c>
      <c r="E61" s="63">
        <v>4801</v>
      </c>
      <c r="F61" s="93" t="str">
        <f>IFERROR(VLOOKUP(Table8[[#This Row],[Player No]],Table10[[No]:[Province]],2,0),"")</f>
        <v>METCALF Crispin</v>
      </c>
      <c r="G61" s="63" t="str">
        <f>IFERROR(VLOOKUP(Table8[[#This Row],[Player No]],Table10[[No]:[Province]],3,0),"")</f>
        <v>UMG</v>
      </c>
      <c r="H61" s="124">
        <v>0</v>
      </c>
      <c r="I61" s="789">
        <f>Table8[[#This Row],[Points 2025]]/2+SUM(Table8[[#This Row],[O1  ADMIN 2026]:[P2           WC           CT Open   2026]])</f>
        <v>15</v>
      </c>
      <c r="J61" s="63">
        <f t="shared" si="0"/>
        <v>1</v>
      </c>
      <c r="K61" s="708">
        <f t="shared" si="1"/>
        <v>0</v>
      </c>
      <c r="L61" s="708" t="s">
        <v>6083</v>
      </c>
      <c r="M61" s="708" t="s">
        <v>6083</v>
      </c>
      <c r="N61" s="708">
        <v>15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08"/>
      <c r="AH61" s="708"/>
      <c r="AI61" s="708"/>
      <c r="AJ61" s="708"/>
      <c r="AK61" s="708"/>
      <c r="AL61" s="708"/>
      <c r="AM61" s="708"/>
      <c r="AO61" s="708"/>
      <c r="AP61" s="708"/>
    </row>
    <row r="62" spans="1:42" s="83" customFormat="1">
      <c r="A62" s="63">
        <f>IFERROR(VLOOKUP(Table8[[#This Row],[Player No]],Table10[[#All],[No]:[Age Group]],4,0),"")</f>
        <v>0</v>
      </c>
      <c r="B62" s="61">
        <v>107</v>
      </c>
      <c r="C62" s="77">
        <f t="shared" si="6"/>
        <v>49</v>
      </c>
      <c r="D62" s="63">
        <f t="shared" si="3"/>
        <v>58</v>
      </c>
      <c r="E62" s="63">
        <v>3479</v>
      </c>
      <c r="F62" s="64" t="str">
        <f>IFERROR(VLOOKUP(Table8[[#This Row],[Player No]],Table10[[No]:[Province]],2,0),"")</f>
        <v>MARUMO Amogelang</v>
      </c>
      <c r="G62" s="76" t="str">
        <f>IFERROR(VLOOKUP(Table8[[#This Row],[Player No]],Table10[[No]:[Province]],3,0),"")</f>
        <v>FS</v>
      </c>
      <c r="H62" s="124">
        <v>28.75</v>
      </c>
      <c r="I62" s="789">
        <f>Table8[[#This Row],[Points 2025]]/2+SUM(Table8[[#This Row],[O1  ADMIN 2026]:[P2           WC           CT Open   2026]])</f>
        <v>14.375</v>
      </c>
      <c r="J62" s="63">
        <f t="shared" si="0"/>
        <v>0</v>
      </c>
      <c r="K62" s="708">
        <f t="shared" si="1"/>
        <v>0</v>
      </c>
      <c r="L62" s="708" t="s">
        <v>6083</v>
      </c>
      <c r="M62" s="708" t="s">
        <v>6083</v>
      </c>
      <c r="N62" s="708" t="s">
        <v>6083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>
        <v>25</v>
      </c>
      <c r="Z62" s="708"/>
      <c r="AA62" s="708"/>
      <c r="AB62" s="708"/>
      <c r="AC62" s="708"/>
      <c r="AD62" s="708"/>
      <c r="AE62" s="708"/>
      <c r="AF62" s="708"/>
      <c r="AG62" s="708"/>
      <c r="AH62" s="708">
        <v>5</v>
      </c>
      <c r="AI62" s="708"/>
      <c r="AJ62" s="708"/>
      <c r="AK62" s="708"/>
      <c r="AL62" s="708"/>
      <c r="AM62" s="708"/>
      <c r="AO62" s="714"/>
      <c r="AP62" s="714"/>
    </row>
    <row r="63" spans="1:42" s="83" customFormat="1">
      <c r="A63" s="389"/>
      <c r="B63" s="389"/>
      <c r="C63" s="390">
        <f t="shared" si="6"/>
        <v>-59</v>
      </c>
      <c r="D63" s="63">
        <f t="shared" si="3"/>
        <v>59</v>
      </c>
      <c r="E63" s="392">
        <v>4685</v>
      </c>
      <c r="F63" s="663" t="str">
        <f>IFERROR(VLOOKUP(Table8[[#This Row],[Player No]],Table10[[No]:[Province]],2,0),"")</f>
        <v>Theophilus ADDO</v>
      </c>
      <c r="G63" s="392" t="str">
        <f>IFERROR(VLOOKUP(Table8[[#This Row],[Player No]],Table10[[No]:[Province]],3,0),"")</f>
        <v>GN</v>
      </c>
      <c r="H63" s="416">
        <v>26.125</v>
      </c>
      <c r="I63" s="822">
        <f>Table8[[#This Row],[Points 2025]]/2+SUM(Table8[[#This Row],[O1  ADMIN 2026]:[P2           WC           CT Open   2026]])</f>
        <v>13.0625</v>
      </c>
      <c r="J63" s="63">
        <f t="shared" si="0"/>
        <v>0</v>
      </c>
      <c r="K63" s="714">
        <f t="shared" si="1"/>
        <v>0</v>
      </c>
      <c r="L63" s="714" t="s">
        <v>6083</v>
      </c>
      <c r="M63" s="714" t="s">
        <v>6083</v>
      </c>
      <c r="N63" s="714" t="s">
        <v>6083</v>
      </c>
      <c r="O63" s="714"/>
      <c r="P63" s="714"/>
      <c r="Q63" s="714"/>
      <c r="R63" s="714"/>
      <c r="S63" s="714"/>
      <c r="T63" s="714"/>
      <c r="U63" s="714"/>
      <c r="V63" s="714"/>
      <c r="W63" s="714"/>
      <c r="X63" s="714"/>
      <c r="Y63" s="714">
        <v>25</v>
      </c>
      <c r="Z63" s="714"/>
      <c r="AA63" s="714"/>
      <c r="AB63" s="714">
        <v>1</v>
      </c>
      <c r="AC63" s="714"/>
      <c r="AD63" s="714"/>
      <c r="AE63" s="714"/>
      <c r="AF63" s="714"/>
      <c r="AG63" s="714"/>
      <c r="AH63" s="714"/>
      <c r="AI63" s="714"/>
      <c r="AJ63" s="714"/>
      <c r="AK63" s="714"/>
      <c r="AL63" s="714"/>
      <c r="AM63" s="714"/>
      <c r="AO63" s="708"/>
      <c r="AP63" s="708"/>
    </row>
    <row r="64" spans="1:42" s="83" customFormat="1">
      <c r="A64" s="63">
        <f>IFERROR(VLOOKUP(Table8[[#This Row],[Player No]],Table10[[#All],[No]:[Age Group]],4,0),"")</f>
        <v>0</v>
      </c>
      <c r="B64" s="61">
        <v>119</v>
      </c>
      <c r="C64" s="77">
        <f t="shared" si="6"/>
        <v>59</v>
      </c>
      <c r="D64" s="63">
        <f t="shared" si="3"/>
        <v>60</v>
      </c>
      <c r="E64" s="63">
        <v>3910</v>
      </c>
      <c r="F64" s="64" t="str">
        <f>IFERROR(VLOOKUP(Table8[[#This Row],[Player No]],Table10[[No]:[Province]],2,0),"")</f>
        <v>REDDY Mikyle</v>
      </c>
      <c r="G64" s="76" t="str">
        <f>IFERROR(VLOOKUP(Table8[[#This Row],[Player No]],Table10[[No]:[Province]],3,0),"")</f>
        <v>ETTA</v>
      </c>
      <c r="H64" s="124">
        <v>24.03125</v>
      </c>
      <c r="I64" s="789">
        <f>Table8[[#This Row],[Points 2025]]/2+SUM(Table8[[#This Row],[O1  ADMIN 2026]:[P2           WC           CT Open   2026]])</f>
        <v>13.015625</v>
      </c>
      <c r="J64" s="63">
        <f t="shared" si="0"/>
        <v>1</v>
      </c>
      <c r="K64" s="708">
        <f t="shared" si="1"/>
        <v>0</v>
      </c>
      <c r="L64" s="708" t="s">
        <v>6083</v>
      </c>
      <c r="M64" s="708">
        <v>1</v>
      </c>
      <c r="N64" s="708" t="s">
        <v>6083</v>
      </c>
      <c r="O64" s="708"/>
      <c r="P64" s="708">
        <v>2</v>
      </c>
      <c r="Q64" s="708"/>
      <c r="R64" s="708">
        <v>15</v>
      </c>
      <c r="S64" s="708">
        <v>1</v>
      </c>
      <c r="T64" s="708"/>
      <c r="U64" s="708"/>
      <c r="V64" s="708"/>
      <c r="W64" s="708"/>
      <c r="X64" s="708"/>
      <c r="Y64" s="708">
        <v>5</v>
      </c>
      <c r="Z64" s="708"/>
      <c r="AA64" s="708"/>
      <c r="AB64" s="708"/>
      <c r="AC64" s="708"/>
      <c r="AD64" s="708">
        <v>2</v>
      </c>
      <c r="AE64" s="708"/>
      <c r="AF64" s="708"/>
      <c r="AG64" s="708"/>
      <c r="AH64" s="708"/>
      <c r="AI64" s="708"/>
      <c r="AJ64" s="708"/>
      <c r="AK64" s="708"/>
      <c r="AL64" s="708"/>
      <c r="AM64" s="708"/>
      <c r="AO64" s="708"/>
      <c r="AP64" s="708"/>
    </row>
    <row r="65" spans="1:42" s="83" customFormat="1">
      <c r="A65" s="61"/>
      <c r="B65" s="61"/>
      <c r="C65" s="77">
        <f t="shared" si="6"/>
        <v>-61</v>
      </c>
      <c r="D65" s="63">
        <f t="shared" si="3"/>
        <v>61</v>
      </c>
      <c r="E65" s="63">
        <v>4562</v>
      </c>
      <c r="F65" s="64" t="str">
        <f>IFERROR(VLOOKUP(Table8[[#This Row],[Player No]],Table10[[No]:[Province]],2,0),"")</f>
        <v xml:space="preserve">PENNELS Zain </v>
      </c>
      <c r="G65" s="76" t="str">
        <f>IFERROR(VLOOKUP(Table8[[#This Row],[Player No]],Table10[[No]:[Province]],3,0),"")</f>
        <v>CT</v>
      </c>
      <c r="H65" s="124">
        <v>25.5</v>
      </c>
      <c r="I65" s="789">
        <f>Table8[[#This Row],[Points 2025]]/2+SUM(Table8[[#This Row],[O1  ADMIN 2026]:[P2           WC           CT Open   2026]])</f>
        <v>12.75</v>
      </c>
      <c r="J65" s="63">
        <f t="shared" si="0"/>
        <v>0</v>
      </c>
      <c r="K65" s="708">
        <f t="shared" si="1"/>
        <v>0</v>
      </c>
      <c r="L65" s="708" t="s">
        <v>6083</v>
      </c>
      <c r="M65" s="708" t="s">
        <v>6083</v>
      </c>
      <c r="N65" s="708" t="s">
        <v>6083</v>
      </c>
      <c r="O65" s="708"/>
      <c r="P65" s="708"/>
      <c r="Q65" s="708"/>
      <c r="R65" s="708"/>
      <c r="S65" s="708"/>
      <c r="T65" s="708"/>
      <c r="U65" s="708"/>
      <c r="V65" s="708"/>
      <c r="W65" s="708">
        <v>0.5</v>
      </c>
      <c r="X65" s="708">
        <v>25</v>
      </c>
      <c r="Y65" s="708"/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O65" s="708"/>
      <c r="AP65" s="708"/>
    </row>
    <row r="66" spans="1:42" s="83" customFormat="1">
      <c r="A66" s="63">
        <f>IFERROR(VLOOKUP(Table8[[#This Row],[Player No]],Table10[[#All],[No]:[Age Group]],4,0),"")</f>
        <v>0</v>
      </c>
      <c r="B66" s="61">
        <v>19</v>
      </c>
      <c r="C66" s="77">
        <f t="shared" si="6"/>
        <v>-43</v>
      </c>
      <c r="D66" s="63">
        <f t="shared" si="3"/>
        <v>62</v>
      </c>
      <c r="E66" s="63">
        <v>3912</v>
      </c>
      <c r="F66" s="64" t="str">
        <f>IFERROR(VLOOKUP(Table8[[#This Row],[Player No]],Table10[[No]:[Province]],2,0),"")</f>
        <v>NGWEU Samkelo</v>
      </c>
      <c r="G66" s="76" t="str">
        <f>IFERROR(VLOOKUP(Table8[[#This Row],[Player No]],Table10[[No]:[Province]],3,0),"")</f>
        <v>ETTA</v>
      </c>
      <c r="H66" s="124">
        <v>25.03125</v>
      </c>
      <c r="I66" s="789">
        <f>Table8[[#This Row],[Points 2025]]/2+SUM(Table8[[#This Row],[O1  ADMIN 2026]:[P2           WC           CT Open   2026]])</f>
        <v>12.515625</v>
      </c>
      <c r="J66" s="63">
        <f t="shared" si="0"/>
        <v>0</v>
      </c>
      <c r="K66" s="708">
        <f t="shared" si="1"/>
        <v>0</v>
      </c>
      <c r="L66" s="708" t="s">
        <v>6083</v>
      </c>
      <c r="M66" s="708" t="s">
        <v>6083</v>
      </c>
      <c r="N66" s="708" t="s">
        <v>6083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08"/>
      <c r="AB66" s="708"/>
      <c r="AC66" s="708"/>
      <c r="AD66" s="708">
        <v>50</v>
      </c>
      <c r="AE66" s="708"/>
      <c r="AF66" s="708"/>
      <c r="AG66" s="708"/>
      <c r="AH66" s="708"/>
      <c r="AI66" s="708"/>
      <c r="AJ66" s="708"/>
      <c r="AK66" s="708"/>
      <c r="AL66" s="708"/>
      <c r="AM66" s="708"/>
      <c r="AO66" s="708"/>
      <c r="AP66" s="708"/>
    </row>
    <row r="67" spans="1:42" s="83" customFormat="1">
      <c r="A67" s="72">
        <f>IFERROR(VLOOKUP(Table8[[#This Row],[Player No]],Table10[[#All],[No]:[Age Group]],4,0),"")</f>
        <v>0</v>
      </c>
      <c r="B67" s="71">
        <v>20</v>
      </c>
      <c r="C67" s="115">
        <f t="shared" si="6"/>
        <v>-43</v>
      </c>
      <c r="D67" s="63">
        <f t="shared" si="3"/>
        <v>63</v>
      </c>
      <c r="E67" s="114">
        <v>3913</v>
      </c>
      <c r="F67" s="64" t="str">
        <f>IFERROR(VLOOKUP(Table8[[#This Row],[Player No]],Table10[[No]:[Province]],2,0),"")</f>
        <v>NGIDI Bayanda</v>
      </c>
      <c r="G67" s="76" t="str">
        <f>IFERROR(VLOOKUP(Table8[[#This Row],[Player No]],Table10[[No]:[Province]],3,0),"")</f>
        <v>ETTA</v>
      </c>
      <c r="H67" s="124">
        <v>25.03125</v>
      </c>
      <c r="I67" s="789">
        <f>Table8[[#This Row],[Points 2025]]/2+SUM(Table8[[#This Row],[O1  ADMIN 2026]:[P2           WC           CT Open   2026]])</f>
        <v>12.515625</v>
      </c>
      <c r="J67" s="63">
        <f t="shared" si="0"/>
        <v>0</v>
      </c>
      <c r="K67" s="708">
        <f t="shared" si="1"/>
        <v>0</v>
      </c>
      <c r="L67" s="708" t="s">
        <v>6083</v>
      </c>
      <c r="M67" s="708" t="s">
        <v>6083</v>
      </c>
      <c r="N67" s="708" t="s">
        <v>6083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>
        <v>50</v>
      </c>
      <c r="AE67" s="708"/>
      <c r="AF67" s="708"/>
      <c r="AG67" s="708"/>
      <c r="AH67" s="708"/>
      <c r="AI67" s="708"/>
      <c r="AJ67" s="708"/>
      <c r="AK67" s="708"/>
      <c r="AL67" s="708"/>
      <c r="AM67" s="708"/>
      <c r="AO67" s="708"/>
      <c r="AP67" s="708"/>
    </row>
    <row r="68" spans="1:42" s="83" customFormat="1">
      <c r="A68" s="72">
        <f>IFERROR(VLOOKUP(Table8[[#This Row],[Player No]],Table10[[#All],[No]:[Age Group]],4,0),"")</f>
        <v>0</v>
      </c>
      <c r="B68" s="71">
        <v>21</v>
      </c>
      <c r="C68" s="115">
        <f t="shared" si="6"/>
        <v>-43</v>
      </c>
      <c r="D68" s="63">
        <f t="shared" si="3"/>
        <v>64</v>
      </c>
      <c r="E68" s="114">
        <v>3914</v>
      </c>
      <c r="F68" s="64" t="str">
        <f>IFERROR(VLOOKUP(Table8[[#This Row],[Player No]],Table10[[No]:[Province]],2,0),"")</f>
        <v>MANDLENKOSI Muthwa</v>
      </c>
      <c r="G68" s="76" t="str">
        <f>IFERROR(VLOOKUP(Table8[[#This Row],[Player No]],Table10[[No]:[Province]],3,0),"")</f>
        <v>ETTA</v>
      </c>
      <c r="H68" s="124">
        <v>25.03125</v>
      </c>
      <c r="I68" s="789">
        <f>Table8[[#This Row],[Points 2025]]/2+SUM(Table8[[#This Row],[O1  ADMIN 2026]:[P2           WC           CT Open   2026]])</f>
        <v>12.515625</v>
      </c>
      <c r="J68" s="63">
        <f t="shared" si="0"/>
        <v>0</v>
      </c>
      <c r="K68" s="708">
        <f t="shared" si="1"/>
        <v>0</v>
      </c>
      <c r="L68" s="708" t="s">
        <v>6083</v>
      </c>
      <c r="M68" s="708" t="s">
        <v>6083</v>
      </c>
      <c r="N68" s="708" t="s">
        <v>6083</v>
      </c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08"/>
      <c r="AB68" s="708"/>
      <c r="AC68" s="708"/>
      <c r="AD68" s="708">
        <v>50</v>
      </c>
      <c r="AE68" s="708"/>
      <c r="AF68" s="708"/>
      <c r="AG68" s="708"/>
      <c r="AH68" s="708"/>
      <c r="AI68" s="708"/>
      <c r="AJ68" s="708"/>
      <c r="AK68" s="708"/>
      <c r="AL68" s="708"/>
      <c r="AM68" s="708"/>
      <c r="AO68" s="708"/>
      <c r="AP68" s="708"/>
    </row>
    <row r="69" spans="1:42" s="83" customFormat="1">
      <c r="A69" s="72">
        <f>IFERROR(VLOOKUP(Table8[[#This Row],[Player No]],Table10[[#All],[No]:[Age Group]],4,0),"")</f>
        <v>0</v>
      </c>
      <c r="B69" s="71">
        <v>22</v>
      </c>
      <c r="C69" s="115">
        <f t="shared" si="6"/>
        <v>-43</v>
      </c>
      <c r="D69" s="63">
        <f t="shared" si="3"/>
        <v>65</v>
      </c>
      <c r="E69" s="114">
        <v>3915</v>
      </c>
      <c r="F69" s="64" t="str">
        <f>IFERROR(VLOOKUP(Table8[[#This Row],[Player No]],Table10[[No]:[Province]],2,0),"")</f>
        <v>Yamkelo</v>
      </c>
      <c r="G69" s="76" t="str">
        <f>IFERROR(VLOOKUP(Table8[[#This Row],[Player No]],Table10[[No]:[Province]],3,0),"")</f>
        <v>ETTA</v>
      </c>
      <c r="H69" s="124">
        <v>25.03125</v>
      </c>
      <c r="I69" s="789">
        <f>Table8[[#This Row],[Points 2025]]/2+SUM(Table8[[#This Row],[O1  ADMIN 2026]:[P2           WC           CT Open   2026]])</f>
        <v>12.515625</v>
      </c>
      <c r="J69" s="63">
        <f t="shared" ref="J69:J132" si="7">COUNTIF(L69:O69,"&gt;0")</f>
        <v>0</v>
      </c>
      <c r="K69" s="708">
        <f t="shared" ref="K69:K132" si="8">COUNTIF(M69:AM69,"&lt;0")</f>
        <v>0</v>
      </c>
      <c r="L69" s="708" t="s">
        <v>6083</v>
      </c>
      <c r="M69" s="708" t="s">
        <v>6083</v>
      </c>
      <c r="N69" s="708" t="s">
        <v>6083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>
        <v>50</v>
      </c>
      <c r="AE69" s="708"/>
      <c r="AF69" s="708"/>
      <c r="AG69" s="708"/>
      <c r="AH69" s="708"/>
      <c r="AI69" s="708"/>
      <c r="AJ69" s="708"/>
      <c r="AK69" s="708"/>
      <c r="AL69" s="708"/>
      <c r="AM69" s="708"/>
      <c r="AO69" s="708"/>
      <c r="AP69" s="708"/>
    </row>
    <row r="70" spans="1:42" s="83" customFormat="1">
      <c r="A70" s="71"/>
      <c r="B70" s="71"/>
      <c r="C70" s="115">
        <f t="shared" si="6"/>
        <v>-66</v>
      </c>
      <c r="D70" s="63">
        <f t="shared" si="3"/>
        <v>66</v>
      </c>
      <c r="E70" s="114">
        <v>4597</v>
      </c>
      <c r="F70" s="93" t="str">
        <f>IFERROR(VLOOKUP(Table8[[#This Row],[Player No]],Table10[[No]:[Province]],2,0),"")</f>
        <v xml:space="preserve">PLASH Plan </v>
      </c>
      <c r="G70" s="63" t="str">
        <f>IFERROR(VLOOKUP(Table8[[#This Row],[Player No]],Table10[[No]:[Province]],3,0),"")</f>
        <v>ZIM</v>
      </c>
      <c r="H70" s="124">
        <v>25</v>
      </c>
      <c r="I70" s="789">
        <f>Table8[[#This Row],[Points 2025]]/2+SUM(Table8[[#This Row],[O1  ADMIN 2026]:[P2           WC           CT Open   2026]])</f>
        <v>12.5</v>
      </c>
      <c r="J70" s="63">
        <f t="shared" si="7"/>
        <v>0</v>
      </c>
      <c r="K70" s="708">
        <f t="shared" si="8"/>
        <v>0</v>
      </c>
      <c r="L70" s="708" t="s">
        <v>6083</v>
      </c>
      <c r="M70" s="708" t="s">
        <v>6083</v>
      </c>
      <c r="N70" s="708" t="s">
        <v>6083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>
        <v>25</v>
      </c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J70" s="708"/>
      <c r="AK70" s="708"/>
      <c r="AL70" s="708"/>
      <c r="AM70" s="708"/>
      <c r="AO70" s="708"/>
      <c r="AP70" s="708"/>
    </row>
    <row r="71" spans="1:42" s="83" customFormat="1">
      <c r="A71" s="71"/>
      <c r="B71" s="71"/>
      <c r="C71" s="115">
        <f t="shared" si="6"/>
        <v>-67</v>
      </c>
      <c r="D71" s="63">
        <f t="shared" ref="D71:D134" si="9">D70+1</f>
        <v>67</v>
      </c>
      <c r="E71" s="114">
        <v>4598</v>
      </c>
      <c r="F71" s="93" t="str">
        <f>IFERROR(VLOOKUP(Table8[[#This Row],[Player No]],Table10[[No]:[Province]],2,0),"")</f>
        <v>Kundai Oswald Goremushandu</v>
      </c>
      <c r="G71" s="63" t="str">
        <f>IFERROR(VLOOKUP(Table8[[#This Row],[Player No]],Table10[[No]:[Province]],3,0),"")</f>
        <v>ZIM</v>
      </c>
      <c r="H71" s="124">
        <v>25</v>
      </c>
      <c r="I71" s="789">
        <f>Table8[[#This Row],[Points 2025]]/2+SUM(Table8[[#This Row],[O1  ADMIN 2026]:[P2           WC           CT Open   2026]])</f>
        <v>12.5</v>
      </c>
      <c r="J71" s="63">
        <f t="shared" si="7"/>
        <v>0</v>
      </c>
      <c r="K71" s="708">
        <f t="shared" si="8"/>
        <v>0</v>
      </c>
      <c r="L71" s="708" t="s">
        <v>6083</v>
      </c>
      <c r="M71" s="708" t="s">
        <v>6083</v>
      </c>
      <c r="N71" s="708" t="s">
        <v>6083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>
        <v>25</v>
      </c>
      <c r="Z71" s="708"/>
      <c r="AA71" s="708"/>
      <c r="AB71" s="708"/>
      <c r="AC71" s="708"/>
      <c r="AD71" s="708"/>
      <c r="AE71" s="708"/>
      <c r="AF71" s="708"/>
      <c r="AG71" s="708"/>
      <c r="AH71" s="708"/>
      <c r="AI71" s="708"/>
      <c r="AJ71" s="708"/>
      <c r="AK71" s="708"/>
      <c r="AL71" s="708"/>
      <c r="AM71" s="708"/>
      <c r="AO71" s="708"/>
      <c r="AP71" s="708"/>
    </row>
    <row r="72" spans="1:42" s="83" customFormat="1">
      <c r="A72" s="61"/>
      <c r="B72" s="61"/>
      <c r="C72" s="77">
        <f t="shared" si="6"/>
        <v>-68</v>
      </c>
      <c r="D72" s="63">
        <f t="shared" si="9"/>
        <v>68</v>
      </c>
      <c r="E72" s="63">
        <v>4599</v>
      </c>
      <c r="F72" s="93" t="str">
        <f>IFERROR(VLOOKUP(Table8[[#This Row],[Player No]],Table10[[No]:[Province]],2,0),"")</f>
        <v>kelvin Zvikomborero Maposa</v>
      </c>
      <c r="G72" s="63" t="str">
        <f>IFERROR(VLOOKUP(Table8[[#This Row],[Player No]],Table10[[No]:[Province]],3,0),"")</f>
        <v>ZIM</v>
      </c>
      <c r="H72" s="124">
        <v>25</v>
      </c>
      <c r="I72" s="789">
        <f>Table8[[#This Row],[Points 2025]]/2+SUM(Table8[[#This Row],[O1  ADMIN 2026]:[P2           WC           CT Open   2026]])</f>
        <v>12.5</v>
      </c>
      <c r="J72" s="63">
        <f t="shared" si="7"/>
        <v>0</v>
      </c>
      <c r="K72" s="708">
        <f t="shared" si="8"/>
        <v>0</v>
      </c>
      <c r="L72" s="708" t="s">
        <v>6083</v>
      </c>
      <c r="M72" s="708" t="s">
        <v>6083</v>
      </c>
      <c r="N72" s="708" t="s">
        <v>6083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>
        <v>25</v>
      </c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O72" s="708"/>
      <c r="AP72" s="708"/>
    </row>
    <row r="73" spans="1:42" s="83" customFormat="1">
      <c r="A73" s="61"/>
      <c r="B73" s="61"/>
      <c r="C73" s="77">
        <f t="shared" si="6"/>
        <v>-69</v>
      </c>
      <c r="D73" s="63">
        <f t="shared" si="9"/>
        <v>69</v>
      </c>
      <c r="E73" s="63">
        <v>4685</v>
      </c>
      <c r="F73" s="93" t="str">
        <f>IFERROR(VLOOKUP(Table8[[#This Row],[Player No]],Table10[[No]:[Province]],2,0),"")</f>
        <v>Theophilus ADDO</v>
      </c>
      <c r="G73" s="63" t="str">
        <f>IFERROR(VLOOKUP(Table8[[#This Row],[Player No]],Table10[[No]:[Province]],3,0),"")</f>
        <v>GN</v>
      </c>
      <c r="H73" s="124">
        <v>25</v>
      </c>
      <c r="I73" s="789">
        <f>Table8[[#This Row],[Points 2025]]/2+SUM(Table8[[#This Row],[O1  ADMIN 2026]:[P2           WC           CT Open   2026]])</f>
        <v>12.5</v>
      </c>
      <c r="J73" s="63">
        <f t="shared" si="7"/>
        <v>0</v>
      </c>
      <c r="K73" s="708">
        <f t="shared" si="8"/>
        <v>0</v>
      </c>
      <c r="L73" s="708" t="s">
        <v>6083</v>
      </c>
      <c r="M73" s="708" t="s">
        <v>6083</v>
      </c>
      <c r="N73" s="708" t="s">
        <v>6083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>
        <v>25</v>
      </c>
      <c r="Z73" s="708"/>
      <c r="AA73" s="708"/>
      <c r="AB73" s="708"/>
      <c r="AC73" s="708"/>
      <c r="AD73" s="708"/>
      <c r="AE73" s="708"/>
      <c r="AF73" s="708"/>
      <c r="AG73" s="708"/>
      <c r="AH73" s="708"/>
      <c r="AI73" s="708"/>
      <c r="AJ73" s="708"/>
      <c r="AK73" s="708"/>
      <c r="AL73" s="708"/>
      <c r="AM73" s="708"/>
      <c r="AO73" s="738"/>
      <c r="AP73" s="738"/>
    </row>
    <row r="74" spans="1:42" s="83" customFormat="1">
      <c r="A74" s="63"/>
      <c r="B74" s="61"/>
      <c r="C74" s="77"/>
      <c r="D74" s="63">
        <f t="shared" si="9"/>
        <v>70</v>
      </c>
      <c r="E74" s="63">
        <v>3994</v>
      </c>
      <c r="F74" s="64" t="str">
        <f>IFERROR(VLOOKUP(Table8[[#This Row],[Player No]],Table10[[No]:[Province]],2,0),"")</f>
        <v>MATETA Thomas</v>
      </c>
      <c r="G74" s="76" t="str">
        <f>IFERROR(VLOOKUP(Table8[[#This Row],[Player No]],Table10[[No]:[Province]],3,0),"")</f>
        <v>LIM</v>
      </c>
      <c r="H74" s="124">
        <v>25</v>
      </c>
      <c r="I74" s="789">
        <f>Table8[[#This Row],[Points 2025]]/2+SUM(Table8[[#This Row],[O1  ADMIN 2026]:[P2           WC           CT Open   2026]])</f>
        <v>12.5</v>
      </c>
      <c r="J74" s="63">
        <f t="shared" si="7"/>
        <v>0</v>
      </c>
      <c r="K74" s="708">
        <f t="shared" si="8"/>
        <v>0</v>
      </c>
      <c r="L74" s="708" t="s">
        <v>6083</v>
      </c>
      <c r="M74" s="708" t="s">
        <v>6083</v>
      </c>
      <c r="N74" s="708" t="s">
        <v>6083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>
        <v>50</v>
      </c>
      <c r="AI74" s="708"/>
      <c r="AJ74" s="708"/>
      <c r="AK74" s="708"/>
      <c r="AL74" s="708"/>
      <c r="AM74" s="708"/>
      <c r="AO74" s="708"/>
      <c r="AP74" s="708"/>
    </row>
    <row r="75" spans="1:42" s="83" customFormat="1">
      <c r="A75" s="359"/>
      <c r="B75" s="359"/>
      <c r="C75" s="360">
        <f t="shared" ref="C75:C84" si="10">+B75-D75</f>
        <v>-71</v>
      </c>
      <c r="D75" s="63">
        <f t="shared" si="9"/>
        <v>71</v>
      </c>
      <c r="E75" s="361">
        <v>4580</v>
      </c>
      <c r="F75" s="64" t="str">
        <f>IFERROR(VLOOKUP(Table8[[#This Row],[Player No]],Table10[[No]:[Province]],2,0),"")</f>
        <v>DAYYAN Franks</v>
      </c>
      <c r="G75" s="76" t="str">
        <f>IFERROR(VLOOKUP(Table8[[#This Row],[Player No]],Table10[[No]:[Province]],3,0),"")</f>
        <v>ETTA</v>
      </c>
      <c r="H75" s="358">
        <v>25</v>
      </c>
      <c r="I75" s="831">
        <f>Table8[[#This Row],[Points 2025]]/2+SUM(Table8[[#This Row],[O1  ADMIN 2026]:[P2           WC           CT Open   2026]])</f>
        <v>12.5</v>
      </c>
      <c r="J75" s="63">
        <f t="shared" si="7"/>
        <v>0</v>
      </c>
      <c r="K75" s="738">
        <f t="shared" si="8"/>
        <v>0</v>
      </c>
      <c r="L75" s="738" t="s">
        <v>6083</v>
      </c>
      <c r="M75" s="738" t="s">
        <v>6083</v>
      </c>
      <c r="N75" s="738" t="s">
        <v>6083</v>
      </c>
      <c r="O75" s="738"/>
      <c r="P75" s="738"/>
      <c r="Q75" s="738"/>
      <c r="R75" s="738"/>
      <c r="S75" s="738">
        <v>15</v>
      </c>
      <c r="T75" s="738"/>
      <c r="U75" s="738"/>
      <c r="V75" s="738"/>
      <c r="W75" s="738"/>
      <c r="X75" s="738"/>
      <c r="Y75" s="738">
        <v>10</v>
      </c>
      <c r="Z75" s="738"/>
      <c r="AA75" s="738"/>
      <c r="AB75" s="738"/>
      <c r="AC75" s="738"/>
      <c r="AD75" s="738"/>
      <c r="AE75" s="738"/>
      <c r="AF75" s="738"/>
      <c r="AG75" s="738"/>
      <c r="AH75" s="738"/>
      <c r="AI75" s="738"/>
      <c r="AJ75" s="738"/>
      <c r="AK75" s="738"/>
      <c r="AL75" s="738"/>
      <c r="AM75" s="738"/>
      <c r="AO75" s="708"/>
      <c r="AP75" s="708"/>
    </row>
    <row r="76" spans="1:42" s="83" customFormat="1">
      <c r="A76" s="63"/>
      <c r="B76" s="61"/>
      <c r="C76" s="77">
        <f t="shared" si="10"/>
        <v>-72</v>
      </c>
      <c r="D76" s="63">
        <f t="shared" si="9"/>
        <v>72</v>
      </c>
      <c r="E76" s="63">
        <v>4291</v>
      </c>
      <c r="F76" s="64" t="str">
        <f>IFERROR(VLOOKUP(Table8[[#This Row],[Player No]],Table10[[No]:[Province]],2,0),"")</f>
        <v xml:space="preserve">Mpho Mokgutle </v>
      </c>
      <c r="G76" s="76" t="str">
        <f>IFERROR(VLOOKUP(Table8[[#This Row],[Player No]],Table10[[No]:[Province]],3,0),"")</f>
        <v>FS</v>
      </c>
      <c r="H76" s="124">
        <v>25</v>
      </c>
      <c r="I76" s="789">
        <f>Table8[[#This Row],[Points 2025]]/2+SUM(Table8[[#This Row],[O1  ADMIN 2026]:[P2           WC           CT Open   2026]])</f>
        <v>12.5</v>
      </c>
      <c r="J76" s="63">
        <f t="shared" si="7"/>
        <v>0</v>
      </c>
      <c r="K76" s="708">
        <f t="shared" si="8"/>
        <v>0</v>
      </c>
      <c r="L76" s="708" t="s">
        <v>6083</v>
      </c>
      <c r="M76" s="708" t="s">
        <v>6083</v>
      </c>
      <c r="N76" s="708" t="s">
        <v>6083</v>
      </c>
      <c r="O76" s="708"/>
      <c r="P76" s="708"/>
      <c r="Q76" s="708"/>
      <c r="R76" s="708"/>
      <c r="S76" s="708"/>
      <c r="T76" s="708"/>
      <c r="U76" s="708"/>
      <c r="V76" s="708">
        <v>25</v>
      </c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J76" s="708"/>
      <c r="AK76" s="708"/>
      <c r="AL76" s="708"/>
      <c r="AM76" s="708"/>
      <c r="AO76" s="738"/>
      <c r="AP76" s="738"/>
    </row>
    <row r="77" spans="1:42" s="83" customFormat="1">
      <c r="A77" s="63"/>
      <c r="B77" s="61"/>
      <c r="C77" s="77">
        <f t="shared" si="10"/>
        <v>-73</v>
      </c>
      <c r="D77" s="63">
        <f t="shared" si="9"/>
        <v>73</v>
      </c>
      <c r="E77" s="63">
        <v>4292</v>
      </c>
      <c r="F77" s="64" t="str">
        <f>IFERROR(VLOOKUP(Table8[[#This Row],[Player No]],Table10[[No]:[Province]],2,0),"")</f>
        <v xml:space="preserve">L Lekgotla </v>
      </c>
      <c r="G77" s="76" t="str">
        <f>IFERROR(VLOOKUP(Table8[[#This Row],[Player No]],Table10[[No]:[Province]],3,0),"")</f>
        <v>FS</v>
      </c>
      <c r="H77" s="124">
        <v>25</v>
      </c>
      <c r="I77" s="789">
        <f>Table8[[#This Row],[Points 2025]]/2+SUM(Table8[[#This Row],[O1  ADMIN 2026]:[P2           WC           CT Open   2026]])</f>
        <v>12.5</v>
      </c>
      <c r="J77" s="63">
        <f t="shared" si="7"/>
        <v>0</v>
      </c>
      <c r="K77" s="708">
        <f t="shared" si="8"/>
        <v>0</v>
      </c>
      <c r="L77" s="708" t="s">
        <v>6083</v>
      </c>
      <c r="M77" s="708" t="s">
        <v>6083</v>
      </c>
      <c r="N77" s="708" t="s">
        <v>6083</v>
      </c>
      <c r="O77" s="708"/>
      <c r="P77" s="708"/>
      <c r="Q77" s="708"/>
      <c r="R77" s="708"/>
      <c r="S77" s="708"/>
      <c r="T77" s="708"/>
      <c r="U77" s="708"/>
      <c r="V77" s="708">
        <v>25</v>
      </c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H77" s="708"/>
      <c r="AI77" s="708"/>
      <c r="AJ77" s="708"/>
      <c r="AK77" s="708"/>
      <c r="AL77" s="708"/>
      <c r="AM77" s="708"/>
      <c r="AO77" s="708"/>
      <c r="AP77" s="708"/>
    </row>
    <row r="78" spans="1:42" s="83" customFormat="1">
      <c r="A78" s="359"/>
      <c r="B78" s="359"/>
      <c r="C78" s="360">
        <f t="shared" si="10"/>
        <v>-74</v>
      </c>
      <c r="D78" s="63">
        <f t="shared" si="9"/>
        <v>74</v>
      </c>
      <c r="E78" s="361">
        <v>4584</v>
      </c>
      <c r="F78" s="64" t="str">
        <f>IFERROR(VLOOKUP(Table8[[#This Row],[Player No]],Table10[[No]:[Province]],2,0),"")</f>
        <v>NAIDOO Christian</v>
      </c>
      <c r="G78" s="76" t="str">
        <f>IFERROR(VLOOKUP(Table8[[#This Row],[Player No]],Table10[[No]:[Province]],3,0),"")</f>
        <v>ETTA</v>
      </c>
      <c r="H78" s="358">
        <v>25</v>
      </c>
      <c r="I78" s="831">
        <f>Table8[[#This Row],[Points 2025]]/2+SUM(Table8[[#This Row],[O1  ADMIN 2026]:[P2           WC           CT Open   2026]])</f>
        <v>12.5</v>
      </c>
      <c r="J78" s="63">
        <f t="shared" si="7"/>
        <v>0</v>
      </c>
      <c r="K78" s="738">
        <f t="shared" si="8"/>
        <v>0</v>
      </c>
      <c r="L78" s="738" t="s">
        <v>6083</v>
      </c>
      <c r="M78" s="738" t="s">
        <v>6083</v>
      </c>
      <c r="N78" s="738" t="s">
        <v>6083</v>
      </c>
      <c r="O78" s="738"/>
      <c r="P78" s="738"/>
      <c r="Q78" s="738"/>
      <c r="R78" s="738"/>
      <c r="S78" s="738">
        <v>15</v>
      </c>
      <c r="T78" s="738"/>
      <c r="U78" s="738"/>
      <c r="V78" s="738"/>
      <c r="W78" s="738"/>
      <c r="X78" s="738"/>
      <c r="Y78" s="738">
        <v>10</v>
      </c>
      <c r="Z78" s="738"/>
      <c r="AA78" s="738"/>
      <c r="AB78" s="738"/>
      <c r="AC78" s="738"/>
      <c r="AD78" s="738"/>
      <c r="AE78" s="738"/>
      <c r="AF78" s="738"/>
      <c r="AG78" s="738"/>
      <c r="AH78" s="738"/>
      <c r="AI78" s="738"/>
      <c r="AJ78" s="738"/>
      <c r="AK78" s="738"/>
      <c r="AL78" s="738"/>
      <c r="AM78" s="738"/>
      <c r="AO78" s="708"/>
      <c r="AP78" s="708"/>
    </row>
    <row r="79" spans="1:42" s="83" customFormat="1">
      <c r="A79" s="172"/>
      <c r="B79" s="172"/>
      <c r="C79" s="168">
        <f t="shared" si="10"/>
        <v>-75</v>
      </c>
      <c r="D79" s="63">
        <f t="shared" si="9"/>
        <v>75</v>
      </c>
      <c r="E79" s="169">
        <v>4397</v>
      </c>
      <c r="F79" s="64" t="str">
        <f>IFERROR(VLOOKUP(Table8[[#This Row],[Player No]],Table10[[No]:[Province]],2,0),"")</f>
        <v>ASULIN  Shachar</v>
      </c>
      <c r="G79" s="76" t="str">
        <f>IFERROR(VLOOKUP(Table8[[#This Row],[Player No]],Table10[[No]:[Province]],3,0),"")</f>
        <v>JTTA</v>
      </c>
      <c r="H79" s="381">
        <v>25</v>
      </c>
      <c r="I79" s="821">
        <f>Table8[[#This Row],[Points 2025]]/2+SUM(Table8[[#This Row],[O1  ADMIN 2026]:[P2           WC           CT Open   2026]])</f>
        <v>12.5</v>
      </c>
      <c r="J79" s="63">
        <f t="shared" si="7"/>
        <v>0</v>
      </c>
      <c r="K79" s="708">
        <f t="shared" si="8"/>
        <v>0</v>
      </c>
      <c r="L79" s="708" t="s">
        <v>6083</v>
      </c>
      <c r="M79" s="708" t="s">
        <v>6083</v>
      </c>
      <c r="N79" s="708" t="s">
        <v>6083</v>
      </c>
      <c r="O79" s="708"/>
      <c r="P79" s="713"/>
      <c r="Q79" s="713"/>
      <c r="R79" s="713"/>
      <c r="S79" s="713"/>
      <c r="T79" s="713"/>
      <c r="U79" s="713"/>
      <c r="V79" s="713" t="s">
        <v>4722</v>
      </c>
      <c r="W79" s="713"/>
      <c r="X79" s="713"/>
      <c r="Y79" s="713"/>
      <c r="Z79" s="713"/>
      <c r="AA79" s="713"/>
      <c r="AB79" s="713"/>
      <c r="AC79" s="713">
        <v>25</v>
      </c>
      <c r="AD79" s="713"/>
      <c r="AE79" s="713"/>
      <c r="AF79" s="713"/>
      <c r="AG79" s="713"/>
      <c r="AH79" s="713"/>
      <c r="AI79" s="713"/>
      <c r="AJ79" s="713"/>
      <c r="AK79" s="713"/>
      <c r="AL79" s="713"/>
      <c r="AM79" s="713"/>
      <c r="AO79" s="738"/>
      <c r="AP79" s="738"/>
    </row>
    <row r="80" spans="1:42" s="83" customFormat="1">
      <c r="A80" s="61"/>
      <c r="B80" s="61"/>
      <c r="C80" s="77">
        <f t="shared" si="10"/>
        <v>-76</v>
      </c>
      <c r="D80" s="63">
        <f t="shared" si="9"/>
        <v>76</v>
      </c>
      <c r="E80" s="63">
        <v>4530</v>
      </c>
      <c r="F80" s="64" t="str">
        <f>IFERROR(VLOOKUP(Table8[[#This Row],[Player No]],Table10[[No]:[Province]],2,0),"")</f>
        <v>BOCKS Sergiano</v>
      </c>
      <c r="G80" s="76" t="str">
        <f>IFERROR(VLOOKUP(Table8[[#This Row],[Player No]],Table10[[No]:[Province]],3,0),"")</f>
        <v>WC</v>
      </c>
      <c r="H80" s="124">
        <v>25</v>
      </c>
      <c r="I80" s="789">
        <f>Table8[[#This Row],[Points 2025]]/2+SUM(Table8[[#This Row],[O1  ADMIN 2026]:[P2           WC           CT Open   2026]])</f>
        <v>12.5</v>
      </c>
      <c r="J80" s="63">
        <f t="shared" si="7"/>
        <v>0</v>
      </c>
      <c r="K80" s="708">
        <f t="shared" si="8"/>
        <v>0</v>
      </c>
      <c r="L80" s="708" t="s">
        <v>6083</v>
      </c>
      <c r="M80" s="708" t="s">
        <v>6083</v>
      </c>
      <c r="N80" s="708" t="s">
        <v>6083</v>
      </c>
      <c r="O80" s="708"/>
      <c r="P80" s="708"/>
      <c r="Q80" s="708"/>
      <c r="R80" s="708"/>
      <c r="S80" s="708"/>
      <c r="T80" s="708"/>
      <c r="U80" s="708"/>
      <c r="V80" s="708"/>
      <c r="W80" s="708"/>
      <c r="X80" s="708">
        <v>25</v>
      </c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O80" s="708"/>
      <c r="AP80" s="708"/>
    </row>
    <row r="81" spans="1:42" s="83" customFormat="1">
      <c r="A81" s="359"/>
      <c r="B81" s="359"/>
      <c r="C81" s="360">
        <f t="shared" si="10"/>
        <v>-77</v>
      </c>
      <c r="D81" s="63">
        <f t="shared" si="9"/>
        <v>77</v>
      </c>
      <c r="E81" s="361">
        <v>4585</v>
      </c>
      <c r="F81" s="64" t="str">
        <f>IFERROR(VLOOKUP(Table8[[#This Row],[Player No]],Table10[[No]:[Province]],2,0),"")</f>
        <v>GAREEB Emilio</v>
      </c>
      <c r="G81" s="76" t="str">
        <f>IFERROR(VLOOKUP(Table8[[#This Row],[Player No]],Table10[[No]:[Province]],3,0),"")</f>
        <v>ETTA</v>
      </c>
      <c r="H81" s="358">
        <v>25</v>
      </c>
      <c r="I81" s="831">
        <f>Table8[[#This Row],[Points 2025]]/2+SUM(Table8[[#This Row],[O1  ADMIN 2026]:[P2           WC           CT Open   2026]])</f>
        <v>12.5</v>
      </c>
      <c r="J81" s="63">
        <f t="shared" si="7"/>
        <v>0</v>
      </c>
      <c r="K81" s="738">
        <f t="shared" si="8"/>
        <v>0</v>
      </c>
      <c r="L81" s="738" t="s">
        <v>6083</v>
      </c>
      <c r="M81" s="738" t="s">
        <v>6083</v>
      </c>
      <c r="N81" s="738" t="s">
        <v>6083</v>
      </c>
      <c r="O81" s="738"/>
      <c r="P81" s="738"/>
      <c r="Q81" s="738"/>
      <c r="R81" s="738"/>
      <c r="S81" s="738">
        <v>25</v>
      </c>
      <c r="T81" s="738"/>
      <c r="U81" s="738"/>
      <c r="V81" s="738"/>
      <c r="W81" s="738"/>
      <c r="X81" s="738"/>
      <c r="Y81" s="738"/>
      <c r="Z81" s="738"/>
      <c r="AA81" s="738"/>
      <c r="AB81" s="738"/>
      <c r="AC81" s="738"/>
      <c r="AD81" s="738"/>
      <c r="AE81" s="738"/>
      <c r="AF81" s="738"/>
      <c r="AG81" s="738"/>
      <c r="AH81" s="738"/>
      <c r="AI81" s="738"/>
      <c r="AJ81" s="738"/>
      <c r="AK81" s="738"/>
      <c r="AL81" s="738"/>
      <c r="AM81" s="738"/>
      <c r="AO81" s="708"/>
      <c r="AP81" s="708"/>
    </row>
    <row r="82" spans="1:42" s="83" customFormat="1">
      <c r="A82" s="61"/>
      <c r="B82" s="61"/>
      <c r="C82" s="77">
        <f t="shared" si="10"/>
        <v>-78</v>
      </c>
      <c r="D82" s="63">
        <f t="shared" si="9"/>
        <v>78</v>
      </c>
      <c r="E82" s="63">
        <v>4538</v>
      </c>
      <c r="F82" s="64" t="str">
        <f>IFERROR(VLOOKUP(Table8[[#This Row],[Player No]],Table10[[No]:[Province]],2,0),"")</f>
        <v xml:space="preserve">NGWENZE Hlomla </v>
      </c>
      <c r="G82" s="76" t="str">
        <f>IFERROR(VLOOKUP(Table8[[#This Row],[Player No]],Table10[[No]:[Province]],3,0),"")</f>
        <v>WC</v>
      </c>
      <c r="H82" s="124">
        <v>25</v>
      </c>
      <c r="I82" s="789">
        <f>Table8[[#This Row],[Points 2025]]/2+SUM(Table8[[#This Row],[O1  ADMIN 2026]:[P2           WC           CT Open   2026]])</f>
        <v>12.5</v>
      </c>
      <c r="J82" s="63">
        <f t="shared" si="7"/>
        <v>0</v>
      </c>
      <c r="K82" s="708">
        <f t="shared" si="8"/>
        <v>0</v>
      </c>
      <c r="L82" s="708" t="s">
        <v>6083</v>
      </c>
      <c r="M82" s="708" t="s">
        <v>6083</v>
      </c>
      <c r="N82" s="708" t="s">
        <v>6083</v>
      </c>
      <c r="O82" s="708"/>
      <c r="P82" s="708"/>
      <c r="Q82" s="708"/>
      <c r="R82" s="708"/>
      <c r="S82" s="708"/>
      <c r="T82" s="708"/>
      <c r="U82" s="708"/>
      <c r="V82" s="708"/>
      <c r="W82" s="708"/>
      <c r="X82" s="708">
        <v>25</v>
      </c>
      <c r="Y82" s="708">
        <v>0</v>
      </c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J82" s="708"/>
      <c r="AK82" s="708"/>
      <c r="AL82" s="708"/>
      <c r="AM82" s="708"/>
      <c r="AO82" s="708"/>
      <c r="AP82" s="708"/>
    </row>
    <row r="83" spans="1:42" s="83" customFormat="1">
      <c r="A83" s="63">
        <f>IFERROR(VLOOKUP(Table8[[#This Row],[Player No]],Table10[[#All],[No]:[Age Group]],4,0),"")</f>
        <v>0</v>
      </c>
      <c r="B83" s="61">
        <v>168</v>
      </c>
      <c r="C83" s="77">
        <f t="shared" si="10"/>
        <v>89</v>
      </c>
      <c r="D83" s="63">
        <f t="shared" si="9"/>
        <v>79</v>
      </c>
      <c r="E83" s="63">
        <v>3880</v>
      </c>
      <c r="F83" s="64" t="str">
        <f>IFERROR(VLOOKUP(Table8[[#This Row],[Player No]],Table10[[No]:[Province]],2,0),"")</f>
        <v>JACOBS Umar</v>
      </c>
      <c r="G83" s="76" t="str">
        <f>IFERROR(VLOOKUP(Table8[[#This Row],[Player No]],Table10[[No]:[Province]],3,0),"")</f>
        <v>CW</v>
      </c>
      <c r="H83" s="124">
        <v>23</v>
      </c>
      <c r="I83" s="789">
        <f>Table8[[#This Row],[Points 2025]]/2+SUM(Table8[[#This Row],[O1  ADMIN 2026]:[P2           WC           CT Open   2026]])</f>
        <v>11.5</v>
      </c>
      <c r="J83" s="63">
        <f t="shared" si="7"/>
        <v>0</v>
      </c>
      <c r="K83" s="708">
        <f t="shared" si="8"/>
        <v>0</v>
      </c>
      <c r="L83" s="708" t="s">
        <v>6083</v>
      </c>
      <c r="M83" s="708" t="s">
        <v>6083</v>
      </c>
      <c r="N83" s="708" t="s">
        <v>6083</v>
      </c>
      <c r="O83" s="708"/>
      <c r="P83" s="708"/>
      <c r="Q83" s="708"/>
      <c r="R83" s="708"/>
      <c r="S83" s="708"/>
      <c r="T83" s="708"/>
      <c r="U83" s="708"/>
      <c r="V83" s="708"/>
      <c r="W83" s="708">
        <v>0.5</v>
      </c>
      <c r="X83" s="708">
        <v>15</v>
      </c>
      <c r="Y83" s="708"/>
      <c r="Z83" s="708"/>
      <c r="AA83" s="708"/>
      <c r="AB83" s="708"/>
      <c r="AC83" s="708"/>
      <c r="AD83" s="708"/>
      <c r="AE83" s="708"/>
      <c r="AF83" s="708"/>
      <c r="AG83" s="708">
        <v>15</v>
      </c>
      <c r="AH83" s="708"/>
      <c r="AI83" s="708"/>
      <c r="AJ83" s="708"/>
      <c r="AK83" s="708"/>
      <c r="AL83" s="708"/>
      <c r="AM83" s="708"/>
      <c r="AO83" s="708"/>
      <c r="AP83" s="708"/>
    </row>
    <row r="84" spans="1:42" s="83" customFormat="1">
      <c r="A84" s="63" t="str">
        <f>IFERROR(VLOOKUP(Table8[[#This Row],[Player No]],Table10[[#All],[No]:[Age Group]],4,0),"")</f>
        <v>U13</v>
      </c>
      <c r="B84" s="61">
        <v>38</v>
      </c>
      <c r="C84" s="77">
        <f t="shared" si="10"/>
        <v>-42</v>
      </c>
      <c r="D84" s="63">
        <f t="shared" si="9"/>
        <v>80</v>
      </c>
      <c r="E84" s="63">
        <v>3813</v>
      </c>
      <c r="F84" s="64" t="str">
        <f>IFERROR(VLOOKUP(Table8[[#This Row],[Player No]],Table10[[No]:[Province]],2,0),"")</f>
        <v>SO Sze Hin Dickson</v>
      </c>
      <c r="G84" s="76" t="str">
        <f>IFERROR(VLOOKUP(Table8[[#This Row],[Player No]],Table10[[No]:[Province]],3,0),"")</f>
        <v>ETTA</v>
      </c>
      <c r="H84" s="124">
        <v>23</v>
      </c>
      <c r="I84" s="789">
        <f>Table8[[#This Row],[Points 2025]]/2+SUM(Table8[[#This Row],[O1  ADMIN 2026]:[P2           WC           CT Open   2026]])</f>
        <v>11.5</v>
      </c>
      <c r="J84" s="63">
        <f t="shared" si="7"/>
        <v>0</v>
      </c>
      <c r="K84" s="708">
        <f t="shared" si="8"/>
        <v>0</v>
      </c>
      <c r="L84" s="708" t="s">
        <v>6083</v>
      </c>
      <c r="M84" s="708" t="s">
        <v>6083</v>
      </c>
      <c r="N84" s="708" t="s">
        <v>6083</v>
      </c>
      <c r="O84" s="708"/>
      <c r="P84" s="708">
        <v>2</v>
      </c>
      <c r="Q84" s="708"/>
      <c r="R84" s="708"/>
      <c r="S84" s="708">
        <v>1</v>
      </c>
      <c r="T84" s="708"/>
      <c r="U84" s="708"/>
      <c r="V84" s="708"/>
      <c r="W84" s="708"/>
      <c r="X84" s="708"/>
      <c r="Y84" s="708">
        <v>5</v>
      </c>
      <c r="Z84" s="708"/>
      <c r="AA84" s="708"/>
      <c r="AB84" s="708"/>
      <c r="AC84" s="708"/>
      <c r="AD84" s="708"/>
      <c r="AE84" s="708">
        <v>25</v>
      </c>
      <c r="AF84" s="708"/>
      <c r="AG84" s="708"/>
      <c r="AH84" s="708">
        <v>5</v>
      </c>
      <c r="AI84" s="708"/>
      <c r="AJ84" s="708"/>
      <c r="AK84" s="708"/>
      <c r="AL84" s="708"/>
      <c r="AM84" s="708"/>
      <c r="AO84" s="708"/>
      <c r="AP84" s="708"/>
    </row>
    <row r="85" spans="1:42" s="83" customFormat="1">
      <c r="A85" s="63">
        <f>IFERROR(VLOOKUP(Table8[[#This Row],[Player No]],Table10[[#All],[No]:[Age Group]],4,0),"")</f>
        <v>0</v>
      </c>
      <c r="B85" s="61"/>
      <c r="C85" s="77"/>
      <c r="D85" s="63">
        <f t="shared" si="9"/>
        <v>81</v>
      </c>
      <c r="E85" s="63">
        <v>3663</v>
      </c>
      <c r="F85" s="64" t="str">
        <f>IFERROR(VLOOKUP(Table8[[#This Row],[Player No]],Table10[[No]:[Province]],2,0),"")</f>
        <v>SELEKE Oratile</v>
      </c>
      <c r="G85" s="76" t="str">
        <f>IFERROR(VLOOKUP(Table8[[#This Row],[Player No]],Table10[[No]:[Province]],3,0),"")</f>
        <v>NWP</v>
      </c>
      <c r="H85" s="124">
        <v>22.5</v>
      </c>
      <c r="I85" s="789">
        <f>Table8[[#This Row],[Points 2025]]/2+SUM(Table8[[#This Row],[O1  ADMIN 2026]:[P2           WC           CT Open   2026]])</f>
        <v>11.25</v>
      </c>
      <c r="J85" s="63">
        <f t="shared" si="7"/>
        <v>0</v>
      </c>
      <c r="K85" s="708">
        <f t="shared" si="8"/>
        <v>0</v>
      </c>
      <c r="L85" s="708" t="s">
        <v>6083</v>
      </c>
      <c r="M85" s="708" t="s">
        <v>6083</v>
      </c>
      <c r="N85" s="708" t="s">
        <v>6083</v>
      </c>
      <c r="O85" s="708"/>
      <c r="P85" s="708"/>
      <c r="Q85" s="708"/>
      <c r="R85" s="708"/>
      <c r="S85" s="708"/>
      <c r="T85" s="708"/>
      <c r="U85" s="708"/>
      <c r="V85" s="708"/>
      <c r="W85" s="708"/>
      <c r="X85" s="708"/>
      <c r="Y85" s="708">
        <v>10</v>
      </c>
      <c r="Z85" s="708"/>
      <c r="AA85" s="708"/>
      <c r="AB85" s="708"/>
      <c r="AC85" s="708"/>
      <c r="AD85" s="708"/>
      <c r="AE85" s="708"/>
      <c r="AF85" s="708"/>
      <c r="AG85" s="708"/>
      <c r="AH85" s="708">
        <v>25</v>
      </c>
      <c r="AI85" s="708"/>
      <c r="AJ85" s="708"/>
      <c r="AK85" s="708"/>
      <c r="AL85" s="708"/>
      <c r="AM85" s="708"/>
      <c r="AO85" s="708"/>
      <c r="AP85" s="708"/>
    </row>
    <row r="86" spans="1:42" s="83" customFormat="1">
      <c r="A86" s="63"/>
      <c r="B86" s="61"/>
      <c r="C86" s="77"/>
      <c r="D86" s="63">
        <f t="shared" si="9"/>
        <v>82</v>
      </c>
      <c r="E86" s="42">
        <v>4232</v>
      </c>
      <c r="F86" s="64" t="str">
        <f>IFERROR(VLOOKUP(Table8[[#This Row],[Player No]],Table10[[No]:[Province]],2,0),"")</f>
        <v>ARBEE Ahmed</v>
      </c>
      <c r="G86" s="76" t="str">
        <f>IFERROR(VLOOKUP(Table8[[#This Row],[Player No]],Table10[[No]:[Province]],3,0),"")</f>
        <v>UMG</v>
      </c>
      <c r="H86" s="124">
        <v>22</v>
      </c>
      <c r="I86" s="789">
        <f>Table8[[#This Row],[Points 2025]]/2+SUM(Table8[[#This Row],[O1  ADMIN 2026]:[P2           WC           CT Open   2026]])</f>
        <v>11</v>
      </c>
      <c r="J86" s="63">
        <f t="shared" si="7"/>
        <v>0</v>
      </c>
      <c r="K86" s="708">
        <f t="shared" si="8"/>
        <v>0</v>
      </c>
      <c r="L86" s="708" t="s">
        <v>6083</v>
      </c>
      <c r="M86" s="708" t="s">
        <v>6083</v>
      </c>
      <c r="N86" s="708" t="s">
        <v>6083</v>
      </c>
      <c r="O86" s="708"/>
      <c r="P86" s="708">
        <v>2</v>
      </c>
      <c r="Q86" s="708"/>
      <c r="R86" s="708"/>
      <c r="S86" s="708"/>
      <c r="T86" s="708">
        <v>15</v>
      </c>
      <c r="U86" s="708"/>
      <c r="V86" s="708"/>
      <c r="W86" s="708"/>
      <c r="X86" s="708"/>
      <c r="Y86" s="708">
        <v>5</v>
      </c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J86" s="708"/>
      <c r="AK86" s="708"/>
      <c r="AL86" s="708"/>
      <c r="AM86" s="708"/>
      <c r="AO86" s="708"/>
      <c r="AP86" s="708"/>
    </row>
    <row r="87" spans="1:42" s="83" customFormat="1">
      <c r="A87" s="63">
        <f>IFERROR(VLOOKUP(Table8[[#This Row],[Player No]],Table10[[#All],[No]:[Age Group]],4,0),"")</f>
        <v>0</v>
      </c>
      <c r="B87" s="61">
        <v>23</v>
      </c>
      <c r="C87" s="77">
        <f t="shared" ref="C87:C93" si="11">+B87-D87</f>
        <v>-60</v>
      </c>
      <c r="D87" s="63">
        <f t="shared" si="9"/>
        <v>83</v>
      </c>
      <c r="E87" s="63">
        <v>3511</v>
      </c>
      <c r="F87" s="64" t="str">
        <f>IFERROR(VLOOKUP(Table8[[#This Row],[Player No]],Table10[[No]:[Province]],2,0),"")</f>
        <v>GUMEDE Oluhle</v>
      </c>
      <c r="G87" s="76" t="str">
        <f>IFERROR(VLOOKUP(Table8[[#This Row],[Player No]],Table10[[No]:[Province]],3,0),"")</f>
        <v>ETTA</v>
      </c>
      <c r="H87" s="124">
        <v>21.25</v>
      </c>
      <c r="I87" s="789">
        <f>Table8[[#This Row],[Points 2025]]/2+SUM(Table8[[#This Row],[O1  ADMIN 2026]:[P2           WC           CT Open   2026]])</f>
        <v>10.625</v>
      </c>
      <c r="J87" s="63">
        <f t="shared" si="7"/>
        <v>0</v>
      </c>
      <c r="K87" s="708">
        <f t="shared" si="8"/>
        <v>0</v>
      </c>
      <c r="L87" s="708" t="s">
        <v>6083</v>
      </c>
      <c r="M87" s="708" t="s">
        <v>6083</v>
      </c>
      <c r="N87" s="708" t="s">
        <v>6083</v>
      </c>
      <c r="O87" s="708"/>
      <c r="P87" s="708"/>
      <c r="Q87" s="708"/>
      <c r="R87" s="708"/>
      <c r="S87" s="708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H87" s="708"/>
      <c r="AI87" s="708"/>
      <c r="AJ87" s="708"/>
      <c r="AK87" s="708"/>
      <c r="AL87" s="708"/>
      <c r="AM87" s="708"/>
      <c r="AO87" s="714"/>
      <c r="AP87" s="714"/>
    </row>
    <row r="88" spans="1:42" s="83" customFormat="1">
      <c r="A88" s="389"/>
      <c r="B88" s="389"/>
      <c r="C88" s="390">
        <f t="shared" si="11"/>
        <v>-84</v>
      </c>
      <c r="D88" s="63">
        <f t="shared" si="9"/>
        <v>84</v>
      </c>
      <c r="E88" s="392">
        <v>4677</v>
      </c>
      <c r="F88" s="663" t="str">
        <f>IFERROR(VLOOKUP(Table8[[#This Row],[Player No]],Table10[[No]:[Province]],2,0),"")</f>
        <v>Cephas OFORI</v>
      </c>
      <c r="G88" s="392" t="str">
        <f>IFERROR(VLOOKUP(Table8[[#This Row],[Player No]],Table10[[No]:[Province]],3,0),"")</f>
        <v>GN</v>
      </c>
      <c r="H88" s="416">
        <v>20.125</v>
      </c>
      <c r="I88" s="822">
        <f>Table8[[#This Row],[Points 2025]]/2+SUM(Table8[[#This Row],[O1  ADMIN 2026]:[P2           WC           CT Open   2026]])</f>
        <v>10.0625</v>
      </c>
      <c r="J88" s="63">
        <f t="shared" si="7"/>
        <v>0</v>
      </c>
      <c r="K88" s="714">
        <f t="shared" si="8"/>
        <v>0</v>
      </c>
      <c r="L88" s="714" t="s">
        <v>6083</v>
      </c>
      <c r="M88" s="714" t="s">
        <v>6083</v>
      </c>
      <c r="N88" s="714" t="s">
        <v>6083</v>
      </c>
      <c r="O88" s="714"/>
      <c r="P88" s="714"/>
      <c r="Q88" s="714"/>
      <c r="R88" s="714"/>
      <c r="S88" s="714"/>
      <c r="T88" s="714"/>
      <c r="U88" s="714"/>
      <c r="V88" s="714"/>
      <c r="W88" s="714"/>
      <c r="X88" s="714"/>
      <c r="Y88" s="714"/>
      <c r="Z88" s="714"/>
      <c r="AA88" s="714"/>
      <c r="AB88" s="714">
        <v>20</v>
      </c>
      <c r="AC88" s="714"/>
      <c r="AD88" s="714"/>
      <c r="AE88" s="714"/>
      <c r="AF88" s="714"/>
      <c r="AG88" s="714"/>
      <c r="AH88" s="714"/>
      <c r="AI88" s="714"/>
      <c r="AJ88" s="714"/>
      <c r="AK88" s="714"/>
      <c r="AL88" s="714"/>
      <c r="AM88" s="714"/>
      <c r="AO88" s="714"/>
      <c r="AP88" s="714"/>
    </row>
    <row r="89" spans="1:42" s="83" customFormat="1">
      <c r="A89" s="389"/>
      <c r="B89" s="389"/>
      <c r="C89" s="390">
        <f t="shared" si="11"/>
        <v>-85</v>
      </c>
      <c r="D89" s="63">
        <f t="shared" si="9"/>
        <v>85</v>
      </c>
      <c r="E89" s="392">
        <v>4678</v>
      </c>
      <c r="F89" s="663" t="str">
        <f>IFERROR(VLOOKUP(Table8[[#This Row],[Player No]],Table10[[No]:[Province]],2,0),"")</f>
        <v>Tyrelle KISTAN</v>
      </c>
      <c r="G89" s="392" t="str">
        <f>IFERROR(VLOOKUP(Table8[[#This Row],[Player No]],Table10[[No]:[Province]],3,0),"")</f>
        <v>GN</v>
      </c>
      <c r="H89" s="416">
        <v>20.125</v>
      </c>
      <c r="I89" s="822">
        <f>Table8[[#This Row],[Points 2025]]/2+SUM(Table8[[#This Row],[O1  ADMIN 2026]:[P2           WC           CT Open   2026]])</f>
        <v>10.0625</v>
      </c>
      <c r="J89" s="63">
        <f t="shared" si="7"/>
        <v>0</v>
      </c>
      <c r="K89" s="714">
        <f t="shared" si="8"/>
        <v>0</v>
      </c>
      <c r="L89" s="714" t="s">
        <v>6083</v>
      </c>
      <c r="M89" s="714" t="s">
        <v>6083</v>
      </c>
      <c r="N89" s="714" t="s">
        <v>6083</v>
      </c>
      <c r="O89" s="714"/>
      <c r="P89" s="714"/>
      <c r="Q89" s="714"/>
      <c r="R89" s="714"/>
      <c r="S89" s="714"/>
      <c r="T89" s="714"/>
      <c r="U89" s="714"/>
      <c r="V89" s="714"/>
      <c r="W89" s="714"/>
      <c r="X89" s="714"/>
      <c r="Y89" s="714"/>
      <c r="Z89" s="714"/>
      <c r="AA89" s="714"/>
      <c r="AB89" s="714">
        <v>20</v>
      </c>
      <c r="AC89" s="714"/>
      <c r="AD89" s="714"/>
      <c r="AE89" s="714"/>
      <c r="AF89" s="714"/>
      <c r="AG89" s="714"/>
      <c r="AH89" s="714"/>
      <c r="AI89" s="714"/>
      <c r="AJ89" s="714"/>
      <c r="AK89" s="714"/>
      <c r="AL89" s="714"/>
      <c r="AM89" s="714"/>
      <c r="AO89" s="708"/>
      <c r="AP89" s="708"/>
    </row>
    <row r="90" spans="1:42" s="83" customFormat="1">
      <c r="A90" s="61"/>
      <c r="B90" s="61"/>
      <c r="C90" s="77">
        <f t="shared" si="11"/>
        <v>-86</v>
      </c>
      <c r="D90" s="63">
        <f t="shared" si="9"/>
        <v>86</v>
      </c>
      <c r="E90" s="63">
        <v>4558</v>
      </c>
      <c r="F90" s="64" t="str">
        <f>IFERROR(VLOOKUP(Table8[[#This Row],[Player No]],Table10[[No]:[Province]],2,0),"")</f>
        <v xml:space="preserve">PRINCE Micah </v>
      </c>
      <c r="G90" s="76" t="str">
        <f>IFERROR(VLOOKUP(Table8[[#This Row],[Player No]],Table10[[No]:[Province]],3,0),"")</f>
        <v>CT</v>
      </c>
      <c r="H90" s="124">
        <v>20</v>
      </c>
      <c r="I90" s="789">
        <f>Table8[[#This Row],[Points 2025]]/2+SUM(Table8[[#This Row],[O1  ADMIN 2026]:[P2           WC           CT Open   2026]])</f>
        <v>10</v>
      </c>
      <c r="J90" s="63">
        <f t="shared" si="7"/>
        <v>0</v>
      </c>
      <c r="K90" s="708">
        <f t="shared" si="8"/>
        <v>0</v>
      </c>
      <c r="L90" s="708" t="s">
        <v>6083</v>
      </c>
      <c r="M90" s="708" t="s">
        <v>6083</v>
      </c>
      <c r="N90" s="708" t="s">
        <v>6083</v>
      </c>
      <c r="O90" s="708"/>
      <c r="P90" s="708"/>
      <c r="Q90" s="708"/>
      <c r="R90" s="708"/>
      <c r="S90" s="708"/>
      <c r="T90" s="708"/>
      <c r="U90" s="708"/>
      <c r="V90" s="708"/>
      <c r="W90" s="708">
        <v>5</v>
      </c>
      <c r="X90" s="708">
        <v>15</v>
      </c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O90" s="708"/>
      <c r="AP90" s="708"/>
    </row>
    <row r="91" spans="1:42" s="83" customFormat="1">
      <c r="A91" s="63">
        <f>IFERROR(VLOOKUP(Table8[[#This Row],[Player No]],Table10[[#All],[No]:[Age Group]],4,0),"")</f>
        <v>0</v>
      </c>
      <c r="B91" s="61">
        <v>82</v>
      </c>
      <c r="C91" s="77">
        <f t="shared" si="11"/>
        <v>-5</v>
      </c>
      <c r="D91" s="63">
        <f t="shared" si="9"/>
        <v>87</v>
      </c>
      <c r="E91" s="63">
        <v>2999</v>
      </c>
      <c r="F91" s="64" t="str">
        <f>IFERROR(VLOOKUP(Table8[[#This Row],[Player No]],Table10[[No]:[Province]],2,0),"")</f>
        <v>NOMDO Joshua</v>
      </c>
      <c r="G91" s="76" t="str">
        <f>IFERROR(VLOOKUP(Table8[[#This Row],[Player No]],Table10[[No]:[Province]],3,0),"")</f>
        <v>CT</v>
      </c>
      <c r="H91" s="124">
        <v>18.78125</v>
      </c>
      <c r="I91" s="789">
        <f>Table8[[#This Row],[Points 2025]]/2+SUM(Table8[[#This Row],[O1  ADMIN 2026]:[P2           WC           CT Open   2026]])</f>
        <v>9.390625</v>
      </c>
      <c r="J91" s="63">
        <f t="shared" si="7"/>
        <v>0</v>
      </c>
      <c r="K91" s="708">
        <f t="shared" si="8"/>
        <v>0</v>
      </c>
      <c r="L91" s="708" t="s">
        <v>6083</v>
      </c>
      <c r="M91" s="708" t="s">
        <v>6083</v>
      </c>
      <c r="N91" s="708" t="s">
        <v>6083</v>
      </c>
      <c r="O91" s="708"/>
      <c r="P91" s="708"/>
      <c r="Q91" s="708"/>
      <c r="R91" s="708"/>
      <c r="S91" s="708"/>
      <c r="T91" s="708"/>
      <c r="U91" s="708"/>
      <c r="V91" s="708"/>
      <c r="W91" s="708">
        <v>0.5</v>
      </c>
      <c r="X91" s="708">
        <v>15</v>
      </c>
      <c r="Y91" s="708"/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O91" s="708"/>
      <c r="AP91" s="708"/>
    </row>
    <row r="92" spans="1:42" s="83" customFormat="1">
      <c r="A92" s="63">
        <f>IFERROR(VLOOKUP(Table8[[#This Row],[Player No]],Table10[[#All],[No]:[Age Group]],4,0),"")</f>
        <v>0</v>
      </c>
      <c r="B92" s="61">
        <v>24</v>
      </c>
      <c r="C92" s="77">
        <f t="shared" si="11"/>
        <v>-64</v>
      </c>
      <c r="D92" s="63">
        <f t="shared" si="9"/>
        <v>88</v>
      </c>
      <c r="E92" s="63">
        <v>3542</v>
      </c>
      <c r="F92" s="64" t="str">
        <f>IFERROR(VLOOKUP(Table8[[#This Row],[Player No]],Table10[[No]:[Province]],2,0),"")</f>
        <v>BESTER George</v>
      </c>
      <c r="G92" s="76" t="str">
        <f>IFERROR(VLOOKUP(Table8[[#This Row],[Player No]],Table10[[No]:[Province]],3,0),"")</f>
        <v>FS</v>
      </c>
      <c r="H92" s="124">
        <v>18.75</v>
      </c>
      <c r="I92" s="789">
        <f>Table8[[#This Row],[Points 2025]]/2+SUM(Table8[[#This Row],[O1  ADMIN 2026]:[P2           WC           CT Open   2026]])</f>
        <v>9.375</v>
      </c>
      <c r="J92" s="63">
        <f t="shared" si="7"/>
        <v>0</v>
      </c>
      <c r="K92" s="708">
        <f t="shared" si="8"/>
        <v>0</v>
      </c>
      <c r="L92" s="708" t="s">
        <v>6083</v>
      </c>
      <c r="M92" s="708" t="s">
        <v>6083</v>
      </c>
      <c r="N92" s="708" t="s">
        <v>6083</v>
      </c>
      <c r="O92" s="708"/>
      <c r="P92" s="708"/>
      <c r="Q92" s="708"/>
      <c r="R92" s="708"/>
      <c r="S92" s="708"/>
      <c r="T92" s="708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J92" s="708"/>
      <c r="AK92" s="708"/>
      <c r="AL92" s="708"/>
      <c r="AM92" s="708"/>
      <c r="AO92" s="708"/>
      <c r="AP92" s="708"/>
    </row>
    <row r="93" spans="1:42" s="83" customFormat="1">
      <c r="A93" s="63">
        <f>IFERROR(VLOOKUP(Table8[[#This Row],[Player No]],Table10[[#All],[No]:[Age Group]],4,0),"")</f>
        <v>0</v>
      </c>
      <c r="B93" s="61">
        <v>168</v>
      </c>
      <c r="C93" s="77">
        <f t="shared" si="11"/>
        <v>79</v>
      </c>
      <c r="D93" s="63">
        <f t="shared" si="9"/>
        <v>89</v>
      </c>
      <c r="E93" s="63">
        <v>3951</v>
      </c>
      <c r="F93" s="64" t="str">
        <f>IFERROR(VLOOKUP(Table8[[#This Row],[Player No]],Table10[[No]:[Province]],2,0),"")</f>
        <v>WINDVOGEL Kai</v>
      </c>
      <c r="G93" s="76" t="str">
        <f>IFERROR(VLOOKUP(Table8[[#This Row],[Player No]],Table10[[No]:[Province]],3,0),"")</f>
        <v>Eden</v>
      </c>
      <c r="H93" s="124">
        <v>17.5</v>
      </c>
      <c r="I93" s="789">
        <f>Table8[[#This Row],[Points 2025]]/2+SUM(Table8[[#This Row],[O1  ADMIN 2026]:[P2           WC           CT Open   2026]])</f>
        <v>8.75</v>
      </c>
      <c r="J93" s="63">
        <f t="shared" si="7"/>
        <v>0</v>
      </c>
      <c r="K93" s="708">
        <f t="shared" si="8"/>
        <v>0</v>
      </c>
      <c r="L93" s="708" t="s">
        <v>6083</v>
      </c>
      <c r="M93" s="708" t="s">
        <v>6083</v>
      </c>
      <c r="N93" s="708" t="s">
        <v>6083</v>
      </c>
      <c r="O93" s="708"/>
      <c r="P93" s="708"/>
      <c r="Q93" s="708"/>
      <c r="R93" s="708"/>
      <c r="S93" s="708"/>
      <c r="T93" s="708"/>
      <c r="U93" s="708"/>
      <c r="V93" s="708"/>
      <c r="W93" s="708"/>
      <c r="X93" s="708"/>
      <c r="Y93" s="708">
        <v>10</v>
      </c>
      <c r="Z93" s="708"/>
      <c r="AA93" s="708"/>
      <c r="AB93" s="708"/>
      <c r="AC93" s="708"/>
      <c r="AD93" s="708"/>
      <c r="AE93" s="708"/>
      <c r="AF93" s="708"/>
      <c r="AG93" s="708">
        <v>15</v>
      </c>
      <c r="AH93" s="708"/>
      <c r="AI93" s="708"/>
      <c r="AJ93" s="708"/>
      <c r="AK93" s="708"/>
      <c r="AL93" s="708"/>
      <c r="AM93" s="708"/>
      <c r="AO93" s="708"/>
      <c r="AP93" s="708"/>
    </row>
    <row r="94" spans="1:42" s="83" customFormat="1">
      <c r="A94" s="63"/>
      <c r="B94" s="61"/>
      <c r="C94" s="77"/>
      <c r="D94" s="63">
        <f t="shared" si="9"/>
        <v>90</v>
      </c>
      <c r="E94" s="63">
        <v>4231</v>
      </c>
      <c r="F94" s="64" t="str">
        <f>IFERROR(VLOOKUP(Table8[[#This Row],[Player No]],Table10[[No]:[Province]],2,0),"")</f>
        <v>SUBBIAH Keivaan</v>
      </c>
      <c r="G94" s="76" t="str">
        <f>IFERROR(VLOOKUP(Table8[[#This Row],[Player No]],Table10[[No]:[Province]],3,0),"")</f>
        <v>UMG</v>
      </c>
      <c r="H94" s="124">
        <v>17</v>
      </c>
      <c r="I94" s="789">
        <f>Table8[[#This Row],[Points 2025]]/2+SUM(Table8[[#This Row],[O1  ADMIN 2026]:[P2           WC           CT Open   2026]])</f>
        <v>8.5</v>
      </c>
      <c r="J94" s="63">
        <f t="shared" si="7"/>
        <v>0</v>
      </c>
      <c r="K94" s="708">
        <f t="shared" si="8"/>
        <v>0</v>
      </c>
      <c r="L94" s="708" t="s">
        <v>6083</v>
      </c>
      <c r="M94" s="708" t="s">
        <v>6083</v>
      </c>
      <c r="N94" s="708" t="s">
        <v>6083</v>
      </c>
      <c r="O94" s="708"/>
      <c r="P94" s="708"/>
      <c r="Q94" s="708">
        <v>1</v>
      </c>
      <c r="R94" s="708">
        <v>1</v>
      </c>
      <c r="S94" s="708"/>
      <c r="T94" s="708">
        <v>15</v>
      </c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08"/>
      <c r="AH94" s="708"/>
      <c r="AI94" s="708"/>
      <c r="AJ94" s="708"/>
      <c r="AK94" s="708"/>
      <c r="AL94" s="708"/>
      <c r="AM94" s="708"/>
      <c r="AO94" s="738"/>
      <c r="AP94" s="738"/>
    </row>
    <row r="95" spans="1:42" s="83" customFormat="1">
      <c r="A95" s="359"/>
      <c r="B95" s="359"/>
      <c r="C95" s="360">
        <f t="shared" ref="C95:C115" si="12">+B95-D95</f>
        <v>-91</v>
      </c>
      <c r="D95" s="63">
        <f t="shared" si="9"/>
        <v>91</v>
      </c>
      <c r="E95" s="361">
        <v>4582</v>
      </c>
      <c r="F95" s="64" t="str">
        <f>IFERROR(VLOOKUP(Table8[[#This Row],[Player No]],Table10[[No]:[Province]],2,0),"")</f>
        <v>HEMRAJ Yasthir</v>
      </c>
      <c r="G95" s="76" t="str">
        <f>IFERROR(VLOOKUP(Table8[[#This Row],[Player No]],Table10[[No]:[Province]],3,0),"")</f>
        <v>ETTA</v>
      </c>
      <c r="H95" s="358">
        <v>15</v>
      </c>
      <c r="I95" s="831">
        <f>Table8[[#This Row],[Points 2025]]/2+SUM(Table8[[#This Row],[O1  ADMIN 2026]:[P2           WC           CT Open   2026]])</f>
        <v>8.5</v>
      </c>
      <c r="J95" s="63">
        <f t="shared" si="7"/>
        <v>1</v>
      </c>
      <c r="K95" s="738">
        <f t="shared" si="8"/>
        <v>0</v>
      </c>
      <c r="L95" s="738" t="s">
        <v>6083</v>
      </c>
      <c r="M95" s="738" t="s">
        <v>6083</v>
      </c>
      <c r="N95" s="738">
        <v>1</v>
      </c>
      <c r="O95" s="738"/>
      <c r="P95" s="738"/>
      <c r="Q95" s="738"/>
      <c r="R95" s="738"/>
      <c r="S95" s="738">
        <v>15</v>
      </c>
      <c r="T95" s="738"/>
      <c r="U95" s="738"/>
      <c r="V95" s="738"/>
      <c r="W95" s="738"/>
      <c r="X95" s="738"/>
      <c r="Y95" s="738"/>
      <c r="Z95" s="738"/>
      <c r="AA95" s="738"/>
      <c r="AB95" s="738"/>
      <c r="AC95" s="738"/>
      <c r="AD95" s="738"/>
      <c r="AE95" s="738"/>
      <c r="AF95" s="738"/>
      <c r="AG95" s="738"/>
      <c r="AH95" s="738"/>
      <c r="AI95" s="738"/>
      <c r="AJ95" s="738"/>
      <c r="AK95" s="738"/>
      <c r="AL95" s="738"/>
      <c r="AM95" s="738"/>
      <c r="AO95" s="708"/>
      <c r="AP95" s="708"/>
    </row>
    <row r="96" spans="1:42" s="83" customFormat="1">
      <c r="A96" s="63" t="str">
        <f>IFERROR(VLOOKUP(Table8[[#This Row],[Player No]],Table10[[#All],[No]:[Age Group]],4,0),"")</f>
        <v>U13</v>
      </c>
      <c r="B96" s="61">
        <v>77</v>
      </c>
      <c r="C96" s="77">
        <f t="shared" si="12"/>
        <v>-15</v>
      </c>
      <c r="D96" s="63">
        <f t="shared" si="9"/>
        <v>92</v>
      </c>
      <c r="E96" s="63">
        <v>3380</v>
      </c>
      <c r="F96" s="64" t="str">
        <f>IFERROR(VLOOKUP(Table8[[#This Row],[Player No]],Table10[[No]:[Province]],2,0),"")</f>
        <v>SOLOMONS Kaiba</v>
      </c>
      <c r="G96" s="76" t="str">
        <f>IFERROR(VLOOKUP(Table8[[#This Row],[Player No]],Table10[[No]:[Province]],3,0),"")</f>
        <v>CW</v>
      </c>
      <c r="H96" s="124">
        <v>16.5</v>
      </c>
      <c r="I96" s="789">
        <f>Table8[[#This Row],[Points 2025]]/2+SUM(Table8[[#This Row],[O1  ADMIN 2026]:[P2           WC           CT Open   2026]])</f>
        <v>8.25</v>
      </c>
      <c r="J96" s="63">
        <f t="shared" si="7"/>
        <v>0</v>
      </c>
      <c r="K96" s="708">
        <f t="shared" si="8"/>
        <v>0</v>
      </c>
      <c r="L96" s="708" t="s">
        <v>6083</v>
      </c>
      <c r="M96" s="708" t="s">
        <v>6083</v>
      </c>
      <c r="N96" s="708" t="s">
        <v>6083</v>
      </c>
      <c r="O96" s="708"/>
      <c r="P96" s="708"/>
      <c r="Q96" s="708"/>
      <c r="R96" s="708"/>
      <c r="S96" s="708"/>
      <c r="T96" s="708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08">
        <v>25</v>
      </c>
      <c r="AH96" s="708"/>
      <c r="AI96" s="708"/>
      <c r="AJ96" s="708"/>
      <c r="AK96" s="708"/>
      <c r="AL96" s="708"/>
      <c r="AM96" s="708"/>
      <c r="AO96" s="708"/>
      <c r="AP96" s="708"/>
    </row>
    <row r="97" spans="1:42" s="83" customFormat="1">
      <c r="A97" s="61"/>
      <c r="B97" s="61"/>
      <c r="C97" s="77">
        <f t="shared" si="12"/>
        <v>-93</v>
      </c>
      <c r="D97" s="63">
        <f t="shared" si="9"/>
        <v>93</v>
      </c>
      <c r="E97" s="63">
        <v>3573</v>
      </c>
      <c r="F97" s="64" t="str">
        <f>IFERROR(VLOOKUP(Table8[[#This Row],[Player No]],Table10[[No]:[Province]],2,0),"")</f>
        <v>LOUW Kellan</v>
      </c>
      <c r="G97" s="76" t="str">
        <f>IFERROR(VLOOKUP(Table8[[#This Row],[Player No]],Table10[[No]:[Province]],3,0),"")</f>
        <v>CT</v>
      </c>
      <c r="H97" s="124">
        <v>16</v>
      </c>
      <c r="I97" s="789">
        <f>Table8[[#This Row],[Points 2025]]/2+SUM(Table8[[#This Row],[O1  ADMIN 2026]:[P2           WC           CT Open   2026]])</f>
        <v>8</v>
      </c>
      <c r="J97" s="63">
        <f t="shared" si="7"/>
        <v>0</v>
      </c>
      <c r="K97" s="708">
        <f t="shared" si="8"/>
        <v>0</v>
      </c>
      <c r="L97" s="708" t="s">
        <v>6083</v>
      </c>
      <c r="M97" s="708" t="s">
        <v>6083</v>
      </c>
      <c r="N97" s="708" t="s">
        <v>6083</v>
      </c>
      <c r="O97" s="708"/>
      <c r="P97" s="708"/>
      <c r="Q97" s="708"/>
      <c r="R97" s="708"/>
      <c r="S97" s="708"/>
      <c r="T97" s="708"/>
      <c r="U97" s="708"/>
      <c r="V97" s="708"/>
      <c r="W97" s="708">
        <v>1</v>
      </c>
      <c r="X97" s="708">
        <v>15</v>
      </c>
      <c r="Y97" s="708"/>
      <c r="Z97" s="708"/>
      <c r="AA97" s="708"/>
      <c r="AB97" s="708"/>
      <c r="AC97" s="708"/>
      <c r="AD97" s="708"/>
      <c r="AE97" s="708"/>
      <c r="AF97" s="708"/>
      <c r="AG97" s="708"/>
      <c r="AH97" s="708"/>
      <c r="AI97" s="708"/>
      <c r="AJ97" s="708"/>
      <c r="AK97" s="708"/>
      <c r="AL97" s="708"/>
      <c r="AM97" s="708"/>
      <c r="AO97" s="708"/>
      <c r="AP97" s="708"/>
    </row>
    <row r="98" spans="1:42" s="83" customFormat="1">
      <c r="A98" s="61"/>
      <c r="B98" s="61"/>
      <c r="C98" s="77">
        <f t="shared" si="12"/>
        <v>-94</v>
      </c>
      <c r="D98" s="63">
        <f t="shared" si="9"/>
        <v>94</v>
      </c>
      <c r="E98" s="63">
        <v>3941</v>
      </c>
      <c r="F98" s="64" t="str">
        <f>IFERROR(VLOOKUP(Table8[[#This Row],[Player No]],Table10[[No]:[Province]],2,0),"")</f>
        <v>VAN HELDEN Leo</v>
      </c>
      <c r="G98" s="76" t="str">
        <f>IFERROR(VLOOKUP(Table8[[#This Row],[Player No]],Table10[[No]:[Province]],3,0),"")</f>
        <v>CT</v>
      </c>
      <c r="H98" s="124">
        <v>15.5</v>
      </c>
      <c r="I98" s="789">
        <f>Table8[[#This Row],[Points 2025]]/2+SUM(Table8[[#This Row],[O1  ADMIN 2026]:[P2           WC           CT Open   2026]])</f>
        <v>7.75</v>
      </c>
      <c r="J98" s="63">
        <f t="shared" si="7"/>
        <v>0</v>
      </c>
      <c r="K98" s="708">
        <f t="shared" si="8"/>
        <v>0</v>
      </c>
      <c r="L98" s="708" t="s">
        <v>6083</v>
      </c>
      <c r="M98" s="708" t="s">
        <v>6083</v>
      </c>
      <c r="N98" s="708" t="s">
        <v>6083</v>
      </c>
      <c r="O98" s="708"/>
      <c r="P98" s="708"/>
      <c r="Q98" s="708"/>
      <c r="R98" s="708"/>
      <c r="S98" s="708"/>
      <c r="T98" s="708"/>
      <c r="U98" s="708"/>
      <c r="V98" s="708"/>
      <c r="W98" s="708">
        <v>0.5</v>
      </c>
      <c r="X98" s="708">
        <v>15</v>
      </c>
      <c r="Y98" s="708"/>
      <c r="Z98" s="708"/>
      <c r="AA98" s="708"/>
      <c r="AB98" s="708"/>
      <c r="AC98" s="708"/>
      <c r="AD98" s="708"/>
      <c r="AE98" s="708"/>
      <c r="AF98" s="708"/>
      <c r="AG98" s="708"/>
      <c r="AH98" s="708"/>
      <c r="AI98" s="708"/>
      <c r="AJ98" s="708"/>
      <c r="AK98" s="708"/>
      <c r="AL98" s="708"/>
      <c r="AM98" s="708"/>
      <c r="AO98" s="708"/>
      <c r="AP98" s="708"/>
    </row>
    <row r="99" spans="1:42" s="83" customFormat="1">
      <c r="A99" s="61"/>
      <c r="B99" s="61"/>
      <c r="C99" s="77">
        <f t="shared" si="12"/>
        <v>-95</v>
      </c>
      <c r="D99" s="63">
        <f t="shared" si="9"/>
        <v>95</v>
      </c>
      <c r="E99" s="63">
        <v>4563</v>
      </c>
      <c r="F99" s="64" t="str">
        <f>IFERROR(VLOOKUP(Table8[[#This Row],[Player No]],Table10[[No]:[Province]],2,0),"")</f>
        <v xml:space="preserve">MKIVA Junior </v>
      </c>
      <c r="G99" s="76" t="str">
        <f>IFERROR(VLOOKUP(Table8[[#This Row],[Player No]],Table10[[No]:[Province]],3,0),"")</f>
        <v>CT</v>
      </c>
      <c r="H99" s="124">
        <v>15.5</v>
      </c>
      <c r="I99" s="789">
        <f>Table8[[#This Row],[Points 2025]]/2+SUM(Table8[[#This Row],[O1  ADMIN 2026]:[P2           WC           CT Open   2026]])</f>
        <v>7.75</v>
      </c>
      <c r="J99" s="63">
        <f t="shared" si="7"/>
        <v>0</v>
      </c>
      <c r="K99" s="708">
        <f t="shared" si="8"/>
        <v>0</v>
      </c>
      <c r="L99" s="708" t="s">
        <v>6083</v>
      </c>
      <c r="M99" s="708" t="s">
        <v>6083</v>
      </c>
      <c r="N99" s="708" t="s">
        <v>6083</v>
      </c>
      <c r="O99" s="708"/>
      <c r="P99" s="708"/>
      <c r="Q99" s="708"/>
      <c r="R99" s="708"/>
      <c r="S99" s="708"/>
      <c r="T99" s="708"/>
      <c r="U99" s="708"/>
      <c r="V99" s="708"/>
      <c r="W99" s="708">
        <v>0.5</v>
      </c>
      <c r="X99" s="708">
        <v>15</v>
      </c>
      <c r="Y99" s="708"/>
      <c r="Z99" s="708"/>
      <c r="AA99" s="708"/>
      <c r="AB99" s="708"/>
      <c r="AC99" s="708"/>
      <c r="AD99" s="708"/>
      <c r="AE99" s="708"/>
      <c r="AF99" s="708"/>
      <c r="AG99" s="708"/>
      <c r="AH99" s="708"/>
      <c r="AI99" s="708"/>
      <c r="AJ99" s="708"/>
      <c r="AK99" s="708"/>
      <c r="AL99" s="708"/>
      <c r="AM99" s="708"/>
      <c r="AO99" s="708"/>
      <c r="AP99" s="708"/>
    </row>
    <row r="100" spans="1:42" s="83" customFormat="1">
      <c r="A100" s="63">
        <f>IFERROR(VLOOKUP(Table8[[#This Row],[Player No]],Table10[[#All],[No]:[Age Group]],4,0),"")</f>
        <v>0</v>
      </c>
      <c r="B100" s="61">
        <v>45</v>
      </c>
      <c r="C100" s="77">
        <f t="shared" si="12"/>
        <v>-51</v>
      </c>
      <c r="D100" s="63">
        <f t="shared" si="9"/>
        <v>96</v>
      </c>
      <c r="E100" s="63">
        <v>3926</v>
      </c>
      <c r="F100" s="64" t="str">
        <f>IFERROR(VLOOKUP(Table8[[#This Row],[Player No]],Table10[[No]:[Province]],2,0),"")</f>
        <v>SHAIK Hameed</v>
      </c>
      <c r="G100" s="76" t="str">
        <f>IFERROR(VLOOKUP(Table8[[#This Row],[Player No]],Table10[[No]:[Province]],3,0),"")</f>
        <v>JTTA</v>
      </c>
      <c r="H100" s="124">
        <v>15.03125</v>
      </c>
      <c r="I100" s="789">
        <f>Table8[[#This Row],[Points 2025]]/2+SUM(Table8[[#This Row],[O1  ADMIN 2026]:[P2           WC           CT Open   2026]])</f>
        <v>7.515625</v>
      </c>
      <c r="J100" s="63">
        <f t="shared" si="7"/>
        <v>0</v>
      </c>
      <c r="K100" s="708">
        <f t="shared" si="8"/>
        <v>0</v>
      </c>
      <c r="L100" s="708" t="s">
        <v>6083</v>
      </c>
      <c r="M100" s="708" t="s">
        <v>6083</v>
      </c>
      <c r="N100" s="708" t="s">
        <v>6083</v>
      </c>
      <c r="O100" s="708"/>
      <c r="P100" s="708"/>
      <c r="Q100" s="708"/>
      <c r="R100" s="708"/>
      <c r="S100" s="708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>
        <v>15</v>
      </c>
      <c r="AJ100" s="708">
        <v>15</v>
      </c>
      <c r="AK100" s="708"/>
      <c r="AL100" s="708"/>
      <c r="AM100" s="708"/>
      <c r="AO100" s="708"/>
      <c r="AP100" s="708"/>
    </row>
    <row r="101" spans="1:42" s="83" customFormat="1">
      <c r="A101" s="61"/>
      <c r="B101" s="61"/>
      <c r="C101" s="77">
        <f t="shared" si="12"/>
        <v>-97</v>
      </c>
      <c r="D101" s="63">
        <f t="shared" si="9"/>
        <v>97</v>
      </c>
      <c r="E101" s="63">
        <v>4293</v>
      </c>
      <c r="F101" s="64" t="str">
        <f>IFERROR(VLOOKUP(Table8[[#This Row],[Player No]],Table10[[No]:[Province]],2,0),"")</f>
        <v xml:space="preserve">K Kuputsa </v>
      </c>
      <c r="G101" s="76" t="str">
        <f>IFERROR(VLOOKUP(Table8[[#This Row],[Player No]],Table10[[No]:[Province]],3,0),"")</f>
        <v>FS</v>
      </c>
      <c r="H101" s="124">
        <v>15</v>
      </c>
      <c r="I101" s="789">
        <f>Table8[[#This Row],[Points 2025]]/2+SUM(Table8[[#This Row],[O1  ADMIN 2026]:[P2           WC           CT Open   2026]])</f>
        <v>7.5</v>
      </c>
      <c r="J101" s="63">
        <f t="shared" si="7"/>
        <v>0</v>
      </c>
      <c r="K101" s="708">
        <f t="shared" si="8"/>
        <v>0</v>
      </c>
      <c r="L101" s="708" t="s">
        <v>6083</v>
      </c>
      <c r="M101" s="708" t="s">
        <v>6083</v>
      </c>
      <c r="N101" s="708" t="s">
        <v>6083</v>
      </c>
      <c r="O101" s="708"/>
      <c r="P101" s="708"/>
      <c r="Q101" s="708"/>
      <c r="R101" s="708"/>
      <c r="S101" s="708"/>
      <c r="T101" s="708"/>
      <c r="U101" s="708"/>
      <c r="V101" s="708">
        <v>15</v>
      </c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08"/>
      <c r="AH101" s="708"/>
      <c r="AI101" s="708"/>
      <c r="AJ101" s="708"/>
      <c r="AK101" s="708"/>
      <c r="AL101" s="708"/>
      <c r="AM101" s="708"/>
      <c r="AO101" s="708"/>
      <c r="AP101" s="708"/>
    </row>
    <row r="102" spans="1:42" s="83" customFormat="1">
      <c r="A102" s="61"/>
      <c r="B102" s="61"/>
      <c r="C102" s="77">
        <f t="shared" si="12"/>
        <v>-98</v>
      </c>
      <c r="D102" s="63">
        <f t="shared" si="9"/>
        <v>98</v>
      </c>
      <c r="E102" s="63">
        <v>4294</v>
      </c>
      <c r="F102" s="64" t="str">
        <f>IFERROR(VLOOKUP(Table8[[#This Row],[Player No]],Table10[[No]:[Province]],2,0),"")</f>
        <v xml:space="preserve">O Mothabeng </v>
      </c>
      <c r="G102" s="76" t="str">
        <f>IFERROR(VLOOKUP(Table8[[#This Row],[Player No]],Table10[[No]:[Province]],3,0),"")</f>
        <v>FS</v>
      </c>
      <c r="H102" s="124">
        <v>15</v>
      </c>
      <c r="I102" s="789">
        <f>Table8[[#This Row],[Points 2025]]/2+SUM(Table8[[#This Row],[O1  ADMIN 2026]:[P2           WC           CT Open   2026]])</f>
        <v>7.5</v>
      </c>
      <c r="J102" s="63">
        <f t="shared" si="7"/>
        <v>0</v>
      </c>
      <c r="K102" s="708">
        <f t="shared" si="8"/>
        <v>0</v>
      </c>
      <c r="L102" s="708" t="s">
        <v>6083</v>
      </c>
      <c r="M102" s="708" t="s">
        <v>6083</v>
      </c>
      <c r="N102" s="708" t="s">
        <v>6083</v>
      </c>
      <c r="O102" s="708"/>
      <c r="P102" s="708"/>
      <c r="Q102" s="708"/>
      <c r="R102" s="708"/>
      <c r="S102" s="708"/>
      <c r="T102" s="708"/>
      <c r="U102" s="708"/>
      <c r="V102" s="708">
        <v>15</v>
      </c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O102" s="708"/>
      <c r="AP102" s="708"/>
    </row>
    <row r="103" spans="1:42" s="83" customFormat="1">
      <c r="A103" s="61"/>
      <c r="B103" s="61"/>
      <c r="C103" s="77">
        <f t="shared" si="12"/>
        <v>-99</v>
      </c>
      <c r="D103" s="63">
        <f t="shared" si="9"/>
        <v>99</v>
      </c>
      <c r="E103" s="63">
        <v>4295</v>
      </c>
      <c r="F103" s="64" t="str">
        <f>IFERROR(VLOOKUP(Table8[[#This Row],[Player No]],Table10[[No]:[Province]],2,0),"")</f>
        <v xml:space="preserve">T Mateane </v>
      </c>
      <c r="G103" s="76" t="str">
        <f>IFERROR(VLOOKUP(Table8[[#This Row],[Player No]],Table10[[No]:[Province]],3,0),"")</f>
        <v>FS</v>
      </c>
      <c r="H103" s="124">
        <v>15</v>
      </c>
      <c r="I103" s="789">
        <f>Table8[[#This Row],[Points 2025]]/2+SUM(Table8[[#This Row],[O1  ADMIN 2026]:[P2           WC           CT Open   2026]])</f>
        <v>7.5</v>
      </c>
      <c r="J103" s="63">
        <f t="shared" si="7"/>
        <v>0</v>
      </c>
      <c r="K103" s="708">
        <f t="shared" si="8"/>
        <v>0</v>
      </c>
      <c r="L103" s="708" t="s">
        <v>6083</v>
      </c>
      <c r="M103" s="708" t="s">
        <v>6083</v>
      </c>
      <c r="N103" s="708" t="s">
        <v>6083</v>
      </c>
      <c r="O103" s="708"/>
      <c r="P103" s="708"/>
      <c r="Q103" s="708"/>
      <c r="R103" s="708"/>
      <c r="S103" s="708"/>
      <c r="T103" s="708"/>
      <c r="U103" s="708"/>
      <c r="V103" s="708">
        <v>15</v>
      </c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O103" s="708"/>
      <c r="AP103" s="708"/>
    </row>
    <row r="104" spans="1:42" s="83" customFormat="1">
      <c r="A104" s="61"/>
      <c r="B104" s="61"/>
      <c r="C104" s="77">
        <f t="shared" si="12"/>
        <v>-100</v>
      </c>
      <c r="D104" s="63">
        <f t="shared" si="9"/>
        <v>100</v>
      </c>
      <c r="E104" s="63">
        <v>4296</v>
      </c>
      <c r="F104" s="64" t="str">
        <f>IFERROR(VLOOKUP(Table8[[#This Row],[Player No]],Table10[[No]:[Province]],2,0),"")</f>
        <v xml:space="preserve">O Matekane </v>
      </c>
      <c r="G104" s="76" t="str">
        <f>IFERROR(VLOOKUP(Table8[[#This Row],[Player No]],Table10[[No]:[Province]],3,0),"")</f>
        <v>FS</v>
      </c>
      <c r="H104" s="124">
        <v>15</v>
      </c>
      <c r="I104" s="789">
        <f>Table8[[#This Row],[Points 2025]]/2+SUM(Table8[[#This Row],[O1  ADMIN 2026]:[P2           WC           CT Open   2026]])</f>
        <v>7.5</v>
      </c>
      <c r="J104" s="63">
        <f t="shared" si="7"/>
        <v>0</v>
      </c>
      <c r="K104" s="708">
        <f t="shared" si="8"/>
        <v>0</v>
      </c>
      <c r="L104" s="708" t="s">
        <v>6083</v>
      </c>
      <c r="M104" s="708" t="s">
        <v>6083</v>
      </c>
      <c r="N104" s="708" t="s">
        <v>6083</v>
      </c>
      <c r="O104" s="708"/>
      <c r="P104" s="708"/>
      <c r="Q104" s="708"/>
      <c r="R104" s="708"/>
      <c r="S104" s="708"/>
      <c r="T104" s="708"/>
      <c r="U104" s="708"/>
      <c r="V104" s="708">
        <v>15</v>
      </c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O104" s="708"/>
      <c r="AP104" s="708"/>
    </row>
    <row r="105" spans="1:42" s="83" customFormat="1">
      <c r="A105" s="61"/>
      <c r="B105" s="61"/>
      <c r="C105" s="77">
        <f t="shared" si="12"/>
        <v>-101</v>
      </c>
      <c r="D105" s="63">
        <f t="shared" si="9"/>
        <v>101</v>
      </c>
      <c r="E105" s="76">
        <v>4413</v>
      </c>
      <c r="F105" s="64" t="str">
        <f>IFERROR(VLOOKUP(Table8[[#This Row],[Player No]],Table10[[No]:[Province]],2,0),"")</f>
        <v xml:space="preserve">PETOVSKY Pavol Usman </v>
      </c>
      <c r="G105" s="76" t="str">
        <f>IFERROR(VLOOKUP(Table8[[#This Row],[Player No]],Table10[[No]:[Province]],3,0),"")</f>
        <v>JTTA</v>
      </c>
      <c r="H105" s="124">
        <v>15</v>
      </c>
      <c r="I105" s="789">
        <f>Table8[[#This Row],[Points 2025]]/2+SUM(Table8[[#This Row],[O1  ADMIN 2026]:[P2           WC           CT Open   2026]])</f>
        <v>7.5</v>
      </c>
      <c r="J105" s="63">
        <f t="shared" si="7"/>
        <v>0</v>
      </c>
      <c r="K105" s="708">
        <f t="shared" si="8"/>
        <v>0</v>
      </c>
      <c r="L105" s="708" t="s">
        <v>6083</v>
      </c>
      <c r="M105" s="708" t="s">
        <v>6083</v>
      </c>
      <c r="N105" s="708" t="s">
        <v>6083</v>
      </c>
      <c r="O105" s="708"/>
      <c r="P105" s="708"/>
      <c r="Q105" s="708"/>
      <c r="R105" s="708"/>
      <c r="S105" s="708"/>
      <c r="T105" s="708"/>
      <c r="U105" s="708"/>
      <c r="V105" s="708"/>
      <c r="W105" s="708"/>
      <c r="X105" s="708"/>
      <c r="Y105" s="708"/>
      <c r="Z105" s="708"/>
      <c r="AA105" s="708">
        <v>15</v>
      </c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O105" s="738"/>
      <c r="AP105" s="738"/>
    </row>
    <row r="106" spans="1:42" s="83" customFormat="1">
      <c r="A106" s="359"/>
      <c r="B106" s="359"/>
      <c r="C106" s="360">
        <f t="shared" si="12"/>
        <v>-102</v>
      </c>
      <c r="D106" s="63">
        <f t="shared" si="9"/>
        <v>102</v>
      </c>
      <c r="E106" s="361">
        <v>4578</v>
      </c>
      <c r="F106" s="64" t="str">
        <f>IFERROR(VLOOKUP(Table8[[#This Row],[Player No]],Table10[[No]:[Province]],2,0),"")</f>
        <v>NAIDOO Xavien</v>
      </c>
      <c r="G106" s="76" t="str">
        <f>IFERROR(VLOOKUP(Table8[[#This Row],[Player No]],Table10[[No]:[Province]],3,0),"")</f>
        <v>ETTA</v>
      </c>
      <c r="H106" s="358">
        <v>15</v>
      </c>
      <c r="I106" s="831">
        <f>Table8[[#This Row],[Points 2025]]/2+SUM(Table8[[#This Row],[O1  ADMIN 2026]:[P2           WC           CT Open   2026]])</f>
        <v>7.5</v>
      </c>
      <c r="J106" s="63">
        <f t="shared" si="7"/>
        <v>0</v>
      </c>
      <c r="K106" s="738">
        <f t="shared" si="8"/>
        <v>0</v>
      </c>
      <c r="L106" s="738" t="s">
        <v>6083</v>
      </c>
      <c r="M106" s="738" t="s">
        <v>6083</v>
      </c>
      <c r="N106" s="738" t="s">
        <v>6083</v>
      </c>
      <c r="O106" s="738"/>
      <c r="P106" s="738"/>
      <c r="Q106" s="738"/>
      <c r="R106" s="738"/>
      <c r="S106" s="738">
        <v>15</v>
      </c>
      <c r="T106" s="738"/>
      <c r="U106" s="738"/>
      <c r="V106" s="738"/>
      <c r="W106" s="738"/>
      <c r="X106" s="738"/>
      <c r="Y106" s="738"/>
      <c r="Z106" s="738"/>
      <c r="AA106" s="738"/>
      <c r="AB106" s="738"/>
      <c r="AC106" s="738"/>
      <c r="AD106" s="738"/>
      <c r="AE106" s="738"/>
      <c r="AF106" s="738"/>
      <c r="AG106" s="738"/>
      <c r="AH106" s="738"/>
      <c r="AI106" s="738"/>
      <c r="AJ106" s="738"/>
      <c r="AK106" s="738"/>
      <c r="AL106" s="738"/>
      <c r="AM106" s="738"/>
      <c r="AO106" s="708"/>
      <c r="AP106" s="708"/>
    </row>
    <row r="107" spans="1:42" s="83" customFormat="1">
      <c r="A107" s="61"/>
      <c r="B107" s="61"/>
      <c r="C107" s="77">
        <f t="shared" si="12"/>
        <v>-103</v>
      </c>
      <c r="D107" s="63">
        <f t="shared" si="9"/>
        <v>103</v>
      </c>
      <c r="E107" s="63">
        <v>4637</v>
      </c>
      <c r="F107" s="64" t="str">
        <f>IFERROR(VLOOKUP(Table8[[#This Row],[Player No]],Table10[[No]:[Province]],2,0),"")</f>
        <v xml:space="preserve">FORTUIN Teswill </v>
      </c>
      <c r="G107" s="76" t="str">
        <f>IFERROR(VLOOKUP(Table8[[#This Row],[Player No]],Table10[[No]:[Province]],3,0),"")</f>
        <v>WC</v>
      </c>
      <c r="H107" s="124">
        <v>15</v>
      </c>
      <c r="I107" s="789">
        <f>Table8[[#This Row],[Points 2025]]/2+SUM(Table8[[#This Row],[O1  ADMIN 2026]:[P2           WC           CT Open   2026]])</f>
        <v>7.5</v>
      </c>
      <c r="J107" s="63">
        <f t="shared" si="7"/>
        <v>0</v>
      </c>
      <c r="K107" s="708">
        <f t="shared" si="8"/>
        <v>0</v>
      </c>
      <c r="L107" s="708" t="s">
        <v>6083</v>
      </c>
      <c r="M107" s="708" t="s">
        <v>6083</v>
      </c>
      <c r="N107" s="708" t="s">
        <v>6083</v>
      </c>
      <c r="O107" s="708"/>
      <c r="P107" s="708"/>
      <c r="Q107" s="708"/>
      <c r="R107" s="708"/>
      <c r="S107" s="708"/>
      <c r="T107" s="708"/>
      <c r="U107" s="708"/>
      <c r="V107" s="708"/>
      <c r="W107" s="708"/>
      <c r="X107" s="708">
        <v>15</v>
      </c>
      <c r="Y107" s="708"/>
      <c r="Z107" s="708"/>
      <c r="AA107" s="708"/>
      <c r="AB107" s="708"/>
      <c r="AC107" s="708"/>
      <c r="AD107" s="708"/>
      <c r="AE107" s="708"/>
      <c r="AF107" s="708"/>
      <c r="AG107" s="708"/>
      <c r="AH107" s="708"/>
      <c r="AI107" s="708"/>
      <c r="AJ107" s="708"/>
      <c r="AK107" s="708"/>
      <c r="AL107" s="708"/>
      <c r="AM107" s="708"/>
      <c r="AO107" s="708"/>
      <c r="AP107" s="708"/>
    </row>
    <row r="108" spans="1:42" s="83" customFormat="1">
      <c r="A108" s="247"/>
      <c r="B108" s="247"/>
      <c r="C108" s="111">
        <f t="shared" si="12"/>
        <v>-104</v>
      </c>
      <c r="D108" s="63">
        <f t="shared" si="9"/>
        <v>104</v>
      </c>
      <c r="E108" s="106">
        <v>4643</v>
      </c>
      <c r="F108" s="64" t="str">
        <f>IFERROR(VLOOKUP(Table8[[#This Row],[Player No]],Table10[[No]:[Province]],2,0),"")</f>
        <v>CJ VERSTER</v>
      </c>
      <c r="G108" s="76" t="str">
        <f>IFERROR(VLOOKUP(Table8[[#This Row],[Player No]],Table10[[No]:[Province]],3,0),"")</f>
        <v>GN</v>
      </c>
      <c r="H108" s="110">
        <v>15</v>
      </c>
      <c r="I108" s="110">
        <f>Table8[[#This Row],[Points 2025]]/2+SUM(Table8[[#This Row],[O1  ADMIN 2026]:[P2           WC           CT Open   2026]])</f>
        <v>7.5</v>
      </c>
      <c r="J108" s="63">
        <f t="shared" si="7"/>
        <v>0</v>
      </c>
      <c r="K108" s="708">
        <f t="shared" si="8"/>
        <v>0</v>
      </c>
      <c r="L108" s="708" t="s">
        <v>6083</v>
      </c>
      <c r="M108" s="708" t="s">
        <v>6083</v>
      </c>
      <c r="N108" s="708" t="s">
        <v>6083</v>
      </c>
      <c r="O108" s="708"/>
      <c r="P108" s="708"/>
      <c r="Q108" s="708"/>
      <c r="R108" s="708"/>
      <c r="S108" s="708"/>
      <c r="T108" s="708"/>
      <c r="U108" s="708"/>
      <c r="V108" s="708"/>
      <c r="W108" s="708"/>
      <c r="X108" s="708">
        <v>15</v>
      </c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O108" s="708"/>
      <c r="AP108" s="708"/>
    </row>
    <row r="109" spans="1:42" s="83" customFormat="1">
      <c r="A109" s="61"/>
      <c r="B109" s="61"/>
      <c r="C109" s="77">
        <f t="shared" si="12"/>
        <v>-105</v>
      </c>
      <c r="D109" s="63">
        <f t="shared" si="9"/>
        <v>105</v>
      </c>
      <c r="E109" s="63">
        <v>4645</v>
      </c>
      <c r="F109" s="64" t="str">
        <f>IFERROR(VLOOKUP(Table8[[#This Row],[Player No]],Table10[[No]:[Province]],2,0),"")</f>
        <v xml:space="preserve">CARESLSE Tyrone </v>
      </c>
      <c r="G109" s="76" t="str">
        <f>IFERROR(VLOOKUP(Table8[[#This Row],[Player No]],Table10[[No]:[Province]],3,0),"")</f>
        <v>CT</v>
      </c>
      <c r="H109" s="124">
        <v>15</v>
      </c>
      <c r="I109" s="789">
        <f>Table8[[#This Row],[Points 2025]]/2+SUM(Table8[[#This Row],[O1  ADMIN 2026]:[P2           WC           CT Open   2026]])</f>
        <v>7.5</v>
      </c>
      <c r="J109" s="63">
        <f t="shared" si="7"/>
        <v>0</v>
      </c>
      <c r="K109" s="708">
        <f t="shared" si="8"/>
        <v>0</v>
      </c>
      <c r="L109" s="708" t="s">
        <v>6083</v>
      </c>
      <c r="M109" s="708" t="s">
        <v>6083</v>
      </c>
      <c r="N109" s="708" t="s">
        <v>6083</v>
      </c>
      <c r="O109" s="708"/>
      <c r="P109" s="708"/>
      <c r="Q109" s="708"/>
      <c r="R109" s="708"/>
      <c r="S109" s="708"/>
      <c r="T109" s="708"/>
      <c r="U109" s="708"/>
      <c r="V109" s="708"/>
      <c r="W109" s="708"/>
      <c r="X109" s="708">
        <v>15</v>
      </c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O109" s="708"/>
      <c r="AP109" s="708"/>
    </row>
    <row r="110" spans="1:42" s="83" customFormat="1">
      <c r="A110" s="61"/>
      <c r="B110" s="61"/>
      <c r="C110" s="77">
        <f t="shared" si="12"/>
        <v>-106</v>
      </c>
      <c r="D110" s="63">
        <f t="shared" si="9"/>
        <v>106</v>
      </c>
      <c r="E110" s="63">
        <v>4647</v>
      </c>
      <c r="F110" s="64" t="str">
        <f>IFERROR(VLOOKUP(Table8[[#This Row],[Player No]],Table10[[No]:[Province]],2,0),"")</f>
        <v xml:space="preserve">BAKU Yantle </v>
      </c>
      <c r="G110" s="76" t="str">
        <f>IFERROR(VLOOKUP(Table8[[#This Row],[Player No]],Table10[[No]:[Province]],3,0),"")</f>
        <v>CT</v>
      </c>
      <c r="H110" s="124">
        <v>15</v>
      </c>
      <c r="I110" s="789">
        <f>Table8[[#This Row],[Points 2025]]/2+SUM(Table8[[#This Row],[O1  ADMIN 2026]:[P2           WC           CT Open   2026]])</f>
        <v>7.5</v>
      </c>
      <c r="J110" s="63">
        <f t="shared" si="7"/>
        <v>0</v>
      </c>
      <c r="K110" s="708">
        <f t="shared" si="8"/>
        <v>0</v>
      </c>
      <c r="L110" s="708" t="s">
        <v>6083</v>
      </c>
      <c r="M110" s="708" t="s">
        <v>6083</v>
      </c>
      <c r="N110" s="708" t="s">
        <v>6083</v>
      </c>
      <c r="O110" s="708"/>
      <c r="P110" s="708"/>
      <c r="Q110" s="708"/>
      <c r="R110" s="708"/>
      <c r="S110" s="708"/>
      <c r="T110" s="708"/>
      <c r="U110" s="708"/>
      <c r="V110" s="708"/>
      <c r="W110" s="708"/>
      <c r="X110" s="708">
        <v>15</v>
      </c>
      <c r="Y110" s="708"/>
      <c r="Z110" s="708"/>
      <c r="AA110" s="708"/>
      <c r="AB110" s="708"/>
      <c r="AC110" s="708"/>
      <c r="AD110" s="708"/>
      <c r="AE110" s="708"/>
      <c r="AF110" s="708"/>
      <c r="AG110" s="708"/>
      <c r="AH110" s="708"/>
      <c r="AI110" s="708"/>
      <c r="AJ110" s="708"/>
      <c r="AK110" s="708"/>
      <c r="AL110" s="708"/>
      <c r="AM110" s="708"/>
      <c r="AO110" s="708"/>
      <c r="AP110" s="708"/>
    </row>
    <row r="111" spans="1:42" s="83" customFormat="1">
      <c r="A111" s="63">
        <f>IFERROR(VLOOKUP(Table8[[#This Row],[Player No]],Table10[[#All],[No]:[Age Group]],4,0),"")</f>
        <v>0</v>
      </c>
      <c r="B111" s="61">
        <v>30</v>
      </c>
      <c r="C111" s="77">
        <f t="shared" si="12"/>
        <v>-77</v>
      </c>
      <c r="D111" s="63">
        <f t="shared" si="9"/>
        <v>107</v>
      </c>
      <c r="E111" s="63">
        <v>3355</v>
      </c>
      <c r="F111" s="64" t="str">
        <f>IFERROR(VLOOKUP(Table8[[#This Row],[Player No]],Table10[[No]:[Province]],2,0),"")</f>
        <v>DJEUDJE Keanen</v>
      </c>
      <c r="G111" s="76" t="str">
        <f>IFERROR(VLOOKUP(Table8[[#This Row],[Player No]],Table10[[No]:[Province]],3,0),"")</f>
        <v>WC</v>
      </c>
      <c r="H111" s="124">
        <v>13.875</v>
      </c>
      <c r="I111" s="789">
        <f>Table8[[#This Row],[Points 2025]]/2+SUM(Table8[[#This Row],[O1  ADMIN 2026]:[P2           WC           CT Open   2026]])</f>
        <v>6.9375</v>
      </c>
      <c r="J111" s="63">
        <f t="shared" si="7"/>
        <v>0</v>
      </c>
      <c r="K111" s="708">
        <f t="shared" si="8"/>
        <v>0</v>
      </c>
      <c r="L111" s="708" t="s">
        <v>6083</v>
      </c>
      <c r="M111" s="708" t="s">
        <v>6083</v>
      </c>
      <c r="N111" s="708" t="s">
        <v>6083</v>
      </c>
      <c r="O111" s="708"/>
      <c r="P111" s="708"/>
      <c r="Q111" s="708"/>
      <c r="R111" s="708"/>
      <c r="S111" s="708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08"/>
      <c r="AH111" s="708"/>
      <c r="AI111" s="708"/>
      <c r="AJ111" s="708"/>
      <c r="AK111" s="708"/>
      <c r="AL111" s="708"/>
      <c r="AM111" s="708"/>
      <c r="AO111" s="708"/>
      <c r="AP111" s="708"/>
    </row>
    <row r="112" spans="1:42" s="83" customFormat="1">
      <c r="A112" s="63">
        <f>IFERROR(VLOOKUP(Table8[[#This Row],[Player No]],Table10[[#All],[No]:[Age Group]],4,0),"")</f>
        <v>0</v>
      </c>
      <c r="B112" s="61">
        <v>106</v>
      </c>
      <c r="C112" s="77">
        <f t="shared" si="12"/>
        <v>-2</v>
      </c>
      <c r="D112" s="63">
        <f t="shared" si="9"/>
        <v>108</v>
      </c>
      <c r="E112" s="63">
        <v>3742</v>
      </c>
      <c r="F112" s="64" t="str">
        <f>IFERROR(VLOOKUP(Table8[[#This Row],[Player No]],Table10[[No]:[Province]],2,0),"")</f>
        <v xml:space="preserve">ZIQUBU  Siyanda </v>
      </c>
      <c r="G112" s="76" t="str">
        <f>IFERROR(VLOOKUP(Table8[[#This Row],[Player No]],Table10[[No]:[Province]],3,0),"")</f>
        <v>UMZ</v>
      </c>
      <c r="H112" s="124">
        <v>13.75</v>
      </c>
      <c r="I112" s="789">
        <f>Table8[[#This Row],[Points 2025]]/2+SUM(Table8[[#This Row],[O1  ADMIN 2026]:[P2           WC           CT Open   2026]])</f>
        <v>6.875</v>
      </c>
      <c r="J112" s="63">
        <f t="shared" si="7"/>
        <v>0</v>
      </c>
      <c r="K112" s="708">
        <f t="shared" si="8"/>
        <v>0</v>
      </c>
      <c r="L112" s="708" t="s">
        <v>6083</v>
      </c>
      <c r="M112" s="708" t="s">
        <v>6083</v>
      </c>
      <c r="N112" s="708" t="s">
        <v>6083</v>
      </c>
      <c r="O112" s="708"/>
      <c r="P112" s="708"/>
      <c r="Q112" s="708"/>
      <c r="R112" s="708"/>
      <c r="S112" s="708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08"/>
      <c r="AH112" s="708">
        <v>25</v>
      </c>
      <c r="AI112" s="708"/>
      <c r="AJ112" s="708"/>
      <c r="AK112" s="708"/>
      <c r="AL112" s="708"/>
      <c r="AM112" s="708"/>
      <c r="AO112" s="708"/>
      <c r="AP112" s="708"/>
    </row>
    <row r="113" spans="1:42" s="83" customFormat="1">
      <c r="A113" s="63">
        <f>IFERROR(VLOOKUP(Table8[[#This Row],[Player No]],Table10[[#All],[No]:[Age Group]],4,0),"")</f>
        <v>0</v>
      </c>
      <c r="B113" s="61">
        <v>122</v>
      </c>
      <c r="C113" s="77">
        <f t="shared" si="12"/>
        <v>13</v>
      </c>
      <c r="D113" s="63">
        <f t="shared" si="9"/>
        <v>109</v>
      </c>
      <c r="E113" s="63">
        <v>3255</v>
      </c>
      <c r="F113" s="64" t="str">
        <f>IFERROR(VLOOKUP(Table8[[#This Row],[Player No]],Table10[[No]:[Province]],2,0),"")</f>
        <v xml:space="preserve">SCHEEPERS Sohail </v>
      </c>
      <c r="G113" s="76" t="str">
        <f>IFERROR(VLOOKUP(Table8[[#This Row],[Player No]],Table10[[No]:[Province]],3,0),"")</f>
        <v>WC</v>
      </c>
      <c r="H113" s="124">
        <v>13.4375</v>
      </c>
      <c r="I113" s="789">
        <f>Table8[[#This Row],[Points 2025]]/2+SUM(Table8[[#This Row],[O1  ADMIN 2026]:[P2           WC           CT Open   2026]])</f>
        <v>6.71875</v>
      </c>
      <c r="J113" s="63">
        <f t="shared" si="7"/>
        <v>0</v>
      </c>
      <c r="K113" s="708">
        <f t="shared" si="8"/>
        <v>0</v>
      </c>
      <c r="L113" s="708" t="s">
        <v>6083</v>
      </c>
      <c r="M113" s="708" t="s">
        <v>6083</v>
      </c>
      <c r="N113" s="708" t="s">
        <v>6083</v>
      </c>
      <c r="O113" s="708"/>
      <c r="P113" s="708"/>
      <c r="Q113" s="708"/>
      <c r="R113" s="708"/>
      <c r="S113" s="708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>
        <v>25</v>
      </c>
      <c r="AL113" s="708"/>
      <c r="AM113" s="708"/>
      <c r="AO113" s="708"/>
      <c r="AP113" s="708"/>
    </row>
    <row r="114" spans="1:42" s="83" customFormat="1">
      <c r="A114" s="63">
        <f>IFERROR(VLOOKUP(Table8[[#This Row],[Player No]],Table10[[#All],[No]:[Age Group]],4,0),"")</f>
        <v>0</v>
      </c>
      <c r="B114" s="61">
        <v>31</v>
      </c>
      <c r="C114" s="77">
        <f t="shared" si="12"/>
        <v>-79</v>
      </c>
      <c r="D114" s="63">
        <f t="shared" si="9"/>
        <v>110</v>
      </c>
      <c r="E114" s="63">
        <v>2099</v>
      </c>
      <c r="F114" s="64" t="str">
        <f>IFERROR(VLOOKUP(Table8[[#This Row],[Player No]],Table10[[No]:[Province]],2,0),"")</f>
        <v>MOODLEY Saiyin</v>
      </c>
      <c r="G114" s="76" t="str">
        <f>IFERROR(VLOOKUP(Table8[[#This Row],[Player No]],Table10[[No]:[Province]],3,0),"")</f>
        <v>UMG</v>
      </c>
      <c r="H114" s="124">
        <v>12.75</v>
      </c>
      <c r="I114" s="789">
        <f>Table8[[#This Row],[Points 2025]]/2+SUM(Table8[[#This Row],[O1  ADMIN 2026]:[P2           WC           CT Open   2026]])</f>
        <v>6.375</v>
      </c>
      <c r="J114" s="63">
        <f t="shared" si="7"/>
        <v>0</v>
      </c>
      <c r="K114" s="708">
        <f t="shared" si="8"/>
        <v>0</v>
      </c>
      <c r="L114" s="708" t="s">
        <v>6083</v>
      </c>
      <c r="M114" s="708" t="s">
        <v>6083</v>
      </c>
      <c r="N114" s="708" t="s">
        <v>6083</v>
      </c>
      <c r="O114" s="708"/>
      <c r="P114" s="708"/>
      <c r="Q114" s="708"/>
      <c r="R114" s="708"/>
      <c r="S114" s="708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08"/>
      <c r="AM114" s="708"/>
      <c r="AO114" s="708"/>
      <c r="AP114" s="708"/>
    </row>
    <row r="115" spans="1:42" s="83" customFormat="1">
      <c r="A115" s="63">
        <f>IFERROR(VLOOKUP(Table8[[#This Row],[Player No]],Table10[[#All],[No]:[Age Group]],4,0),"")</f>
        <v>0</v>
      </c>
      <c r="B115" s="61">
        <v>32</v>
      </c>
      <c r="C115" s="77">
        <f t="shared" si="12"/>
        <v>-79</v>
      </c>
      <c r="D115" s="63">
        <f t="shared" si="9"/>
        <v>111</v>
      </c>
      <c r="E115" s="63">
        <v>3475</v>
      </c>
      <c r="F115" s="64" t="str">
        <f>IFERROR(VLOOKUP(Table8[[#This Row],[Player No]],Table10[[No]:[Province]],2,0),"")</f>
        <v>PARBHOO Ishaan</v>
      </c>
      <c r="G115" s="76" t="str">
        <f>IFERROR(VLOOKUP(Table8[[#This Row],[Player No]],Table10[[No]:[Province]],3,0),"")</f>
        <v>GN</v>
      </c>
      <c r="H115" s="124">
        <v>12.75</v>
      </c>
      <c r="I115" s="789">
        <f>Table8[[#This Row],[Points 2025]]/2+SUM(Table8[[#This Row],[O1  ADMIN 2026]:[P2           WC           CT Open   2026]])</f>
        <v>6.375</v>
      </c>
      <c r="J115" s="63">
        <f t="shared" si="7"/>
        <v>0</v>
      </c>
      <c r="K115" s="708">
        <f t="shared" si="8"/>
        <v>0</v>
      </c>
      <c r="L115" s="708" t="s">
        <v>6083</v>
      </c>
      <c r="M115" s="708" t="s">
        <v>6083</v>
      </c>
      <c r="N115" s="708" t="s">
        <v>6083</v>
      </c>
      <c r="O115" s="708"/>
      <c r="P115" s="708"/>
      <c r="Q115" s="708"/>
      <c r="R115" s="708"/>
      <c r="S115" s="708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O115" s="708"/>
      <c r="AP115" s="708"/>
    </row>
    <row r="116" spans="1:42" s="83" customFormat="1">
      <c r="A116" s="63">
        <f>IFERROR(VLOOKUP(Table8[[#This Row],[Player No]],Table10[[#All],[No]:[Age Group]],4,0),"")</f>
        <v>0</v>
      </c>
      <c r="B116" s="61"/>
      <c r="C116" s="77"/>
      <c r="D116" s="63">
        <f t="shared" si="9"/>
        <v>112</v>
      </c>
      <c r="E116" s="63">
        <v>3421</v>
      </c>
      <c r="F116" s="64" t="str">
        <f>IFERROR(VLOOKUP(Table8[[#This Row],[Player No]],Table10[[No]:[Province]],2,0),"")</f>
        <v>ONKARABETSE Sam</v>
      </c>
      <c r="G116" s="76" t="str">
        <f>IFERROR(VLOOKUP(Table8[[#This Row],[Player No]],Table10[[No]:[Province]],3,0),"")</f>
        <v>NWP</v>
      </c>
      <c r="H116" s="124">
        <v>12.5</v>
      </c>
      <c r="I116" s="789">
        <f>Table8[[#This Row],[Points 2025]]/2+SUM(Table8[[#This Row],[O1  ADMIN 2026]:[P2           WC           CT Open   2026]])</f>
        <v>6.25</v>
      </c>
      <c r="J116" s="63">
        <f t="shared" si="7"/>
        <v>0</v>
      </c>
      <c r="K116" s="708">
        <f t="shared" si="8"/>
        <v>0</v>
      </c>
      <c r="L116" s="708" t="s">
        <v>6083</v>
      </c>
      <c r="M116" s="708" t="s">
        <v>6083</v>
      </c>
      <c r="N116" s="708" t="s">
        <v>6083</v>
      </c>
      <c r="O116" s="708"/>
      <c r="P116" s="708"/>
      <c r="Q116" s="708"/>
      <c r="R116" s="708"/>
      <c r="S116" s="708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08"/>
      <c r="AH116" s="708">
        <v>25</v>
      </c>
      <c r="AI116" s="708"/>
      <c r="AJ116" s="708"/>
      <c r="AK116" s="708"/>
      <c r="AL116" s="708"/>
      <c r="AM116" s="708"/>
      <c r="AO116" s="708"/>
      <c r="AP116" s="708"/>
    </row>
    <row r="117" spans="1:42" s="83" customFormat="1">
      <c r="A117" s="63">
        <f>IFERROR(VLOOKUP(Table8[[#This Row],[Player No]],Table10[[#All],[No]:[Age Group]],4,0),"")</f>
        <v>0</v>
      </c>
      <c r="B117" s="61"/>
      <c r="C117" s="77"/>
      <c r="D117" s="63">
        <f t="shared" si="9"/>
        <v>113</v>
      </c>
      <c r="E117" s="63">
        <v>3666</v>
      </c>
      <c r="F117" s="64" t="str">
        <f>IFERROR(VLOOKUP(Table8[[#This Row],[Player No]],Table10[[No]:[Province]],2,0),"")</f>
        <v>XHOBOZA Thembe</v>
      </c>
      <c r="G117" s="76" t="str">
        <f>IFERROR(VLOOKUP(Table8[[#This Row],[Player No]],Table10[[No]:[Province]],3,0),"")</f>
        <v>NWP</v>
      </c>
      <c r="H117" s="124">
        <v>12.5</v>
      </c>
      <c r="I117" s="789">
        <f>Table8[[#This Row],[Points 2025]]/2+SUM(Table8[[#This Row],[O1  ADMIN 2026]:[P2           WC           CT Open   2026]])</f>
        <v>6.25</v>
      </c>
      <c r="J117" s="63">
        <f t="shared" si="7"/>
        <v>0</v>
      </c>
      <c r="K117" s="708">
        <f t="shared" si="8"/>
        <v>0</v>
      </c>
      <c r="L117" s="708" t="s">
        <v>6083</v>
      </c>
      <c r="M117" s="708" t="s">
        <v>6083</v>
      </c>
      <c r="N117" s="708" t="s">
        <v>6083</v>
      </c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08"/>
      <c r="AH117" s="708">
        <v>25</v>
      </c>
      <c r="AI117" s="708"/>
      <c r="AJ117" s="708"/>
      <c r="AK117" s="708"/>
      <c r="AL117" s="708"/>
      <c r="AM117" s="708"/>
      <c r="AO117" s="708"/>
      <c r="AP117" s="708"/>
    </row>
    <row r="118" spans="1:42" s="83" customFormat="1">
      <c r="A118" s="63">
        <f>IFERROR(VLOOKUP(Table8[[#This Row],[Player No]],Table10[[#All],[No]:[Age Group]],4,0),"")</f>
        <v>0</v>
      </c>
      <c r="B118" s="61">
        <v>34</v>
      </c>
      <c r="C118" s="77">
        <f>+B118-D118</f>
        <v>-80</v>
      </c>
      <c r="D118" s="63">
        <f t="shared" si="9"/>
        <v>114</v>
      </c>
      <c r="E118" s="63">
        <v>3767</v>
      </c>
      <c r="F118" s="64" t="str">
        <f>IFERROR(VLOOKUP(Table8[[#This Row],[Player No]],Table10[[No]:[Province]],2,0),"")</f>
        <v>NYAMKHAZI Anethemba</v>
      </c>
      <c r="G118" s="76" t="str">
        <f>IFERROR(VLOOKUP(Table8[[#This Row],[Player No]],Table10[[No]:[Province]],3,0),"")</f>
        <v>EC</v>
      </c>
      <c r="H118" s="124">
        <v>12.5</v>
      </c>
      <c r="I118" s="789">
        <f>Table8[[#This Row],[Points 2025]]/2+SUM(Table8[[#This Row],[O1  ADMIN 2026]:[P2           WC           CT Open   2026]])</f>
        <v>6.25</v>
      </c>
      <c r="J118" s="63">
        <f t="shared" si="7"/>
        <v>0</v>
      </c>
      <c r="K118" s="708">
        <f t="shared" si="8"/>
        <v>0</v>
      </c>
      <c r="L118" s="708" t="s">
        <v>6083</v>
      </c>
      <c r="M118" s="708" t="s">
        <v>6083</v>
      </c>
      <c r="N118" s="708" t="s">
        <v>6083</v>
      </c>
      <c r="O118" s="708"/>
      <c r="P118" s="708"/>
      <c r="Q118" s="708"/>
      <c r="R118" s="708"/>
      <c r="S118" s="708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08"/>
      <c r="AH118" s="708"/>
      <c r="AI118" s="708"/>
      <c r="AJ118" s="708"/>
      <c r="AK118" s="708"/>
      <c r="AL118" s="708"/>
      <c r="AM118" s="708"/>
      <c r="AO118" s="708"/>
      <c r="AP118" s="708"/>
    </row>
    <row r="119" spans="1:42" s="83" customFormat="1">
      <c r="A119" s="63">
        <f>IFERROR(VLOOKUP(Table8[[#This Row],[Player No]],Table10[[#All],[No]:[Age Group]],4,0),"")</f>
        <v>0</v>
      </c>
      <c r="B119" s="61">
        <v>37</v>
      </c>
      <c r="C119" s="77">
        <f>+B119-D119</f>
        <v>-78</v>
      </c>
      <c r="D119" s="63">
        <f t="shared" si="9"/>
        <v>115</v>
      </c>
      <c r="E119" s="63">
        <v>3842</v>
      </c>
      <c r="F119" s="64" t="str">
        <f>IFERROR(VLOOKUP(Table8[[#This Row],[Player No]],Table10[[No]:[Province]],2,0),"")</f>
        <v>MORSI Sohayb</v>
      </c>
      <c r="G119" s="76" t="str">
        <f>IFERROR(VLOOKUP(Table8[[#This Row],[Player No]],Table10[[No]:[Province]],3,0),"")</f>
        <v>JTTA</v>
      </c>
      <c r="H119" s="124">
        <v>12.5</v>
      </c>
      <c r="I119" s="789">
        <f>Table8[[#This Row],[Points 2025]]/2+SUM(Table8[[#This Row],[O1  ADMIN 2026]:[P2           WC           CT Open   2026]])</f>
        <v>6.25</v>
      </c>
      <c r="J119" s="63">
        <f t="shared" si="7"/>
        <v>0</v>
      </c>
      <c r="K119" s="708">
        <f t="shared" si="8"/>
        <v>0</v>
      </c>
      <c r="L119" s="708" t="s">
        <v>6083</v>
      </c>
      <c r="M119" s="708" t="s">
        <v>6083</v>
      </c>
      <c r="N119" s="708" t="s">
        <v>6083</v>
      </c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>
        <v>25</v>
      </c>
      <c r="AM119" s="708"/>
      <c r="AO119" s="708"/>
      <c r="AP119" s="708"/>
    </row>
    <row r="120" spans="1:42" s="83" customFormat="1">
      <c r="A120" s="63">
        <f>IFERROR(VLOOKUP(Table8[[#This Row],[Player No]],Table10[[#All],[No]:[Age Group]],4,0),"")</f>
        <v>0</v>
      </c>
      <c r="B120" s="61">
        <v>168</v>
      </c>
      <c r="C120" s="77">
        <f>+B120-D120</f>
        <v>52</v>
      </c>
      <c r="D120" s="63">
        <f t="shared" si="9"/>
        <v>116</v>
      </c>
      <c r="E120" s="63">
        <v>3882</v>
      </c>
      <c r="F120" s="64" t="str">
        <f>IFERROR(VLOOKUP(Table8[[#This Row],[Player No]],Table10[[No]:[Province]],2,0),"")</f>
        <v>OWIES Lucian</v>
      </c>
      <c r="G120" s="76" t="str">
        <f>IFERROR(VLOOKUP(Table8[[#This Row],[Player No]],Table10[[No]:[Province]],3,0),"")</f>
        <v>CW</v>
      </c>
      <c r="H120" s="124">
        <v>12.5</v>
      </c>
      <c r="I120" s="789">
        <f>Table8[[#This Row],[Points 2025]]/2+SUM(Table8[[#This Row],[O1  ADMIN 2026]:[P2           WC           CT Open   2026]])</f>
        <v>6.25</v>
      </c>
      <c r="J120" s="63">
        <f t="shared" si="7"/>
        <v>0</v>
      </c>
      <c r="K120" s="708">
        <f t="shared" si="8"/>
        <v>0</v>
      </c>
      <c r="L120" s="708" t="s">
        <v>6083</v>
      </c>
      <c r="M120" s="708" t="s">
        <v>6083</v>
      </c>
      <c r="N120" s="708" t="s">
        <v>6083</v>
      </c>
      <c r="O120" s="708"/>
      <c r="P120" s="708"/>
      <c r="Q120" s="708"/>
      <c r="R120" s="708"/>
      <c r="S120" s="708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08">
        <v>25</v>
      </c>
      <c r="AH120" s="708"/>
      <c r="AI120" s="708"/>
      <c r="AJ120" s="708"/>
      <c r="AK120" s="708"/>
      <c r="AL120" s="708"/>
      <c r="AM120" s="708"/>
      <c r="AO120" s="708"/>
      <c r="AP120" s="708"/>
    </row>
    <row r="121" spans="1:42" s="83" customFormat="1">
      <c r="A121" s="63">
        <f>IFERROR(VLOOKUP(Table8[[#This Row],[Player No]],Table10[[#All],[No]:[Age Group]],4,0),"")</f>
        <v>0</v>
      </c>
      <c r="B121" s="61"/>
      <c r="C121" s="77"/>
      <c r="D121" s="63">
        <f t="shared" si="9"/>
        <v>117</v>
      </c>
      <c r="E121" s="63">
        <v>3895</v>
      </c>
      <c r="F121" s="64" t="str">
        <f>IFERROR(VLOOKUP(Table8[[#This Row],[Player No]],Table10[[No]:[Province]],2,0),"")</f>
        <v>KOATALA Simphiwe</v>
      </c>
      <c r="G121" s="76" t="str">
        <f>IFERROR(VLOOKUP(Table8[[#This Row],[Player No]],Table10[[No]:[Province]],3,0),"")</f>
        <v>NWP</v>
      </c>
      <c r="H121" s="124">
        <v>12.5</v>
      </c>
      <c r="I121" s="789">
        <f>Table8[[#This Row],[Points 2025]]/2+SUM(Table8[[#This Row],[O1  ADMIN 2026]:[P2           WC           CT Open   2026]])</f>
        <v>6.25</v>
      </c>
      <c r="J121" s="63">
        <f t="shared" si="7"/>
        <v>0</v>
      </c>
      <c r="K121" s="708">
        <f t="shared" si="8"/>
        <v>0</v>
      </c>
      <c r="L121" s="708" t="s">
        <v>6083</v>
      </c>
      <c r="M121" s="708" t="s">
        <v>6083</v>
      </c>
      <c r="N121" s="708" t="s">
        <v>6083</v>
      </c>
      <c r="O121" s="708"/>
      <c r="P121" s="708"/>
      <c r="Q121" s="708"/>
      <c r="R121" s="708"/>
      <c r="S121" s="708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08"/>
      <c r="AH121" s="708">
        <v>25</v>
      </c>
      <c r="AI121" s="708"/>
      <c r="AJ121" s="708"/>
      <c r="AK121" s="708"/>
      <c r="AL121" s="708"/>
      <c r="AM121" s="708"/>
      <c r="AO121" s="708"/>
      <c r="AP121" s="708"/>
    </row>
    <row r="122" spans="1:42" s="83" customFormat="1">
      <c r="A122" s="63">
        <f>IFERROR(VLOOKUP(Table8[[#This Row],[Player No]],Table10[[#All],[No]:[Age Group]],4,0),"")</f>
        <v>0</v>
      </c>
      <c r="B122" s="61">
        <v>168</v>
      </c>
      <c r="C122" s="77">
        <f>+B122-D122</f>
        <v>50</v>
      </c>
      <c r="D122" s="63">
        <f t="shared" si="9"/>
        <v>118</v>
      </c>
      <c r="E122" s="63">
        <v>3936</v>
      </c>
      <c r="F122" s="64" t="str">
        <f>IFERROR(VLOOKUP(Table8[[#This Row],[Player No]],Table10[[No]:[Province]],2,0),"")</f>
        <v>NQGULA Nande</v>
      </c>
      <c r="G122" s="76" t="str">
        <f>IFERROR(VLOOKUP(Table8[[#This Row],[Player No]],Table10[[No]:[Province]],3,0),"")</f>
        <v>CT</v>
      </c>
      <c r="H122" s="124">
        <v>12.5</v>
      </c>
      <c r="I122" s="789">
        <f>Table8[[#This Row],[Points 2025]]/2+SUM(Table8[[#This Row],[O1  ADMIN 2026]:[P2           WC           CT Open   2026]])</f>
        <v>6.25</v>
      </c>
      <c r="J122" s="63">
        <f t="shared" si="7"/>
        <v>0</v>
      </c>
      <c r="K122" s="708">
        <f t="shared" si="8"/>
        <v>0</v>
      </c>
      <c r="L122" s="708" t="s">
        <v>6083</v>
      </c>
      <c r="M122" s="708" t="s">
        <v>6083</v>
      </c>
      <c r="N122" s="708" t="s">
        <v>6083</v>
      </c>
      <c r="O122" s="708"/>
      <c r="P122" s="708"/>
      <c r="Q122" s="708"/>
      <c r="R122" s="708"/>
      <c r="S122" s="708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08">
        <v>25</v>
      </c>
      <c r="AH122" s="708"/>
      <c r="AI122" s="708"/>
      <c r="AJ122" s="708"/>
      <c r="AK122" s="708"/>
      <c r="AL122" s="708"/>
      <c r="AM122" s="708"/>
      <c r="AO122" s="708"/>
      <c r="AP122" s="708"/>
    </row>
    <row r="123" spans="1:42" s="83" customFormat="1">
      <c r="A123" s="63">
        <f>IFERROR(VLOOKUP(Table8[[#This Row],[Player No]],Table10[[#All],[No]:[Age Group]],4,0),"")</f>
        <v>0</v>
      </c>
      <c r="B123" s="61">
        <v>168</v>
      </c>
      <c r="C123" s="77">
        <f>+B123-D123</f>
        <v>49</v>
      </c>
      <c r="D123" s="63">
        <f t="shared" si="9"/>
        <v>119</v>
      </c>
      <c r="E123" s="63">
        <v>3939</v>
      </c>
      <c r="F123" s="64" t="str">
        <f>IFERROR(VLOOKUP(Table8[[#This Row],[Player No]],Table10[[No]:[Province]],2,0),"")</f>
        <v>ENGEL Liam</v>
      </c>
      <c r="G123" s="76" t="str">
        <f>IFERROR(VLOOKUP(Table8[[#This Row],[Player No]],Table10[[No]:[Province]],3,0),"")</f>
        <v>CT</v>
      </c>
      <c r="H123" s="124">
        <v>12.5</v>
      </c>
      <c r="I123" s="789">
        <f>Table8[[#This Row],[Points 2025]]/2+SUM(Table8[[#This Row],[O1  ADMIN 2026]:[P2           WC           CT Open   2026]])</f>
        <v>6.25</v>
      </c>
      <c r="J123" s="63">
        <f t="shared" si="7"/>
        <v>0</v>
      </c>
      <c r="K123" s="708">
        <f t="shared" si="8"/>
        <v>0</v>
      </c>
      <c r="L123" s="708" t="s">
        <v>6083</v>
      </c>
      <c r="M123" s="708" t="s">
        <v>6083</v>
      </c>
      <c r="N123" s="708" t="s">
        <v>6083</v>
      </c>
      <c r="O123" s="708"/>
      <c r="P123" s="708"/>
      <c r="Q123" s="708"/>
      <c r="R123" s="708"/>
      <c r="S123" s="708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>
        <v>25</v>
      </c>
      <c r="AH123" s="708"/>
      <c r="AI123" s="708"/>
      <c r="AJ123" s="708"/>
      <c r="AK123" s="708"/>
      <c r="AL123" s="708"/>
      <c r="AM123" s="708"/>
      <c r="AO123" s="708"/>
      <c r="AP123" s="708"/>
    </row>
    <row r="124" spans="1:42" s="83" customFormat="1">
      <c r="A124" s="63" t="str">
        <f>IFERROR(VLOOKUP(Table8[[#This Row],[Player No]],Table10[[#All],[No]:[Age Group]],4,0),"")</f>
        <v>U13</v>
      </c>
      <c r="B124" s="61"/>
      <c r="C124" s="77"/>
      <c r="D124" s="63">
        <f t="shared" si="9"/>
        <v>120</v>
      </c>
      <c r="E124" s="63">
        <v>3696</v>
      </c>
      <c r="F124" s="64" t="str">
        <f>IFERROR(VLOOKUP(Table8[[#This Row],[Player No]],Table10[[No]:[Province]],2,0),"")</f>
        <v>LAS Davian</v>
      </c>
      <c r="G124" s="76" t="str">
        <f>IFERROR(VLOOKUP(Table8[[#This Row],[Player No]],Table10[[No]:[Province]],3,0),"")</f>
        <v>Eden</v>
      </c>
      <c r="H124" s="124">
        <v>12.5</v>
      </c>
      <c r="I124" s="789">
        <f>Table8[[#This Row],[Points 2025]]/2+SUM(Table8[[#This Row],[O1  ADMIN 2026]:[P2           WC           CT Open   2026]])</f>
        <v>6.25</v>
      </c>
      <c r="J124" s="63">
        <f t="shared" si="7"/>
        <v>0</v>
      </c>
      <c r="K124" s="708">
        <f t="shared" si="8"/>
        <v>0</v>
      </c>
      <c r="L124" s="708" t="s">
        <v>6083</v>
      </c>
      <c r="M124" s="708" t="s">
        <v>6083</v>
      </c>
      <c r="N124" s="708" t="s">
        <v>6083</v>
      </c>
      <c r="O124" s="708"/>
      <c r="P124" s="708"/>
      <c r="Q124" s="708"/>
      <c r="R124" s="708"/>
      <c r="S124" s="708"/>
      <c r="T124" s="708"/>
      <c r="U124" s="708"/>
      <c r="V124" s="708"/>
      <c r="W124" s="708"/>
      <c r="X124" s="708"/>
      <c r="Y124" s="708">
        <v>10</v>
      </c>
      <c r="Z124" s="708"/>
      <c r="AA124" s="708"/>
      <c r="AB124" s="708"/>
      <c r="AC124" s="708"/>
      <c r="AD124" s="708"/>
      <c r="AE124" s="708"/>
      <c r="AF124" s="708"/>
      <c r="AG124" s="708"/>
      <c r="AH124" s="708">
        <v>5</v>
      </c>
      <c r="AI124" s="708"/>
      <c r="AJ124" s="708"/>
      <c r="AK124" s="708"/>
      <c r="AL124" s="708"/>
      <c r="AM124" s="708"/>
      <c r="AO124" s="708"/>
      <c r="AP124" s="708"/>
    </row>
    <row r="125" spans="1:42" s="83" customFormat="1">
      <c r="A125" s="63"/>
      <c r="B125" s="61"/>
      <c r="C125" s="77"/>
      <c r="D125" s="63">
        <f t="shared" si="9"/>
        <v>121</v>
      </c>
      <c r="E125" s="63">
        <v>4107</v>
      </c>
      <c r="F125" s="64" t="str">
        <f>IFERROR(VLOOKUP(Table8[[#This Row],[Player No]],Table10[[No]:[Province]],2,0),"")</f>
        <v>Asakhe MAQONDO</v>
      </c>
      <c r="G125" s="76" t="str">
        <f>IFERROR(VLOOKUP(Table8[[#This Row],[Player No]],Table10[[No]:[Province]],3,0),"")</f>
        <v>EC</v>
      </c>
      <c r="H125" s="124">
        <v>12.5</v>
      </c>
      <c r="I125" s="789">
        <f>Table8[[#This Row],[Points 2025]]/2+SUM(Table8[[#This Row],[O1  ADMIN 2026]:[P2           WC           CT Open   2026]])</f>
        <v>6.25</v>
      </c>
      <c r="J125" s="708">
        <f t="shared" si="7"/>
        <v>0</v>
      </c>
      <c r="K125" s="708">
        <f t="shared" si="8"/>
        <v>0</v>
      </c>
      <c r="L125" s="708" t="s">
        <v>6083</v>
      </c>
      <c r="M125" s="708" t="s">
        <v>6083</v>
      </c>
      <c r="N125" s="708" t="s">
        <v>6083</v>
      </c>
      <c r="O125" s="708"/>
      <c r="P125" s="708"/>
      <c r="Q125" s="708"/>
      <c r="R125" s="708"/>
      <c r="S125" s="708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08"/>
      <c r="AH125" s="708">
        <v>25</v>
      </c>
      <c r="AI125" s="708"/>
      <c r="AJ125" s="708"/>
      <c r="AK125" s="708"/>
      <c r="AL125" s="708"/>
      <c r="AM125" s="708"/>
      <c r="AO125" s="714"/>
      <c r="AP125" s="714"/>
    </row>
    <row r="126" spans="1:42" s="83" customFormat="1">
      <c r="A126" s="389"/>
      <c r="B126" s="389"/>
      <c r="C126" s="390">
        <f t="shared" ref="C126:C140" si="13">+B126-D126</f>
        <v>-122</v>
      </c>
      <c r="D126" s="63">
        <f t="shared" si="9"/>
        <v>122</v>
      </c>
      <c r="E126" s="392">
        <v>4679</v>
      </c>
      <c r="F126" s="663" t="str">
        <f>IFERROR(VLOOKUP(Table8[[#This Row],[Player No]],Table10[[No]:[Province]],2,0),"")</f>
        <v>Eduvie POTOKRI</v>
      </c>
      <c r="G126" s="392" t="str">
        <f>IFERROR(VLOOKUP(Table8[[#This Row],[Player No]],Table10[[No]:[Province]],3,0),"")</f>
        <v>GN</v>
      </c>
      <c r="H126" s="416">
        <v>12.125</v>
      </c>
      <c r="I126" s="822">
        <f>Table8[[#This Row],[Points 2025]]/2+SUM(Table8[[#This Row],[O1  ADMIN 2026]:[P2           WC           CT Open   2026]])</f>
        <v>6.0625</v>
      </c>
      <c r="J126" s="708">
        <f t="shared" si="7"/>
        <v>0</v>
      </c>
      <c r="K126" s="714">
        <f t="shared" si="8"/>
        <v>0</v>
      </c>
      <c r="L126" s="714" t="s">
        <v>6083</v>
      </c>
      <c r="M126" s="714" t="s">
        <v>6083</v>
      </c>
      <c r="N126" s="714" t="s">
        <v>6083</v>
      </c>
      <c r="O126" s="714"/>
      <c r="P126" s="714"/>
      <c r="Q126" s="714"/>
      <c r="R126" s="714"/>
      <c r="S126" s="714"/>
      <c r="T126" s="714"/>
      <c r="U126" s="714"/>
      <c r="V126" s="714"/>
      <c r="W126" s="714"/>
      <c r="X126" s="714"/>
      <c r="Y126" s="714"/>
      <c r="Z126" s="714"/>
      <c r="AA126" s="714"/>
      <c r="AB126" s="714">
        <v>12</v>
      </c>
      <c r="AC126" s="714"/>
      <c r="AD126" s="714"/>
      <c r="AE126" s="714"/>
      <c r="AF126" s="714"/>
      <c r="AG126" s="714"/>
      <c r="AH126" s="714"/>
      <c r="AI126" s="714"/>
      <c r="AJ126" s="714"/>
      <c r="AK126" s="714"/>
      <c r="AL126" s="714"/>
      <c r="AM126" s="714"/>
      <c r="AO126" s="714"/>
      <c r="AP126" s="714"/>
    </row>
    <row r="127" spans="1:42" s="83" customFormat="1">
      <c r="A127" s="389"/>
      <c r="B127" s="389"/>
      <c r="C127" s="390">
        <f t="shared" si="13"/>
        <v>-123</v>
      </c>
      <c r="D127" s="63">
        <f t="shared" si="9"/>
        <v>123</v>
      </c>
      <c r="E127" s="392">
        <v>4680</v>
      </c>
      <c r="F127" s="663" t="str">
        <f>IFERROR(VLOOKUP(Table8[[#This Row],[Player No]],Table10[[No]:[Province]],2,0),"")</f>
        <v>Peroe RAATHS</v>
      </c>
      <c r="G127" s="392" t="str">
        <f>IFERROR(VLOOKUP(Table8[[#This Row],[Player No]],Table10[[No]:[Province]],3,0),"")</f>
        <v>GN</v>
      </c>
      <c r="H127" s="416">
        <v>12.125</v>
      </c>
      <c r="I127" s="822">
        <f>Table8[[#This Row],[Points 2025]]/2+SUM(Table8[[#This Row],[O1  ADMIN 2026]:[P2           WC           CT Open   2026]])</f>
        <v>6.0625</v>
      </c>
      <c r="J127" s="708">
        <f t="shared" si="7"/>
        <v>0</v>
      </c>
      <c r="K127" s="714">
        <f t="shared" si="8"/>
        <v>0</v>
      </c>
      <c r="L127" s="714" t="s">
        <v>6083</v>
      </c>
      <c r="M127" s="714" t="s">
        <v>6083</v>
      </c>
      <c r="N127" s="714" t="s">
        <v>6083</v>
      </c>
      <c r="O127" s="714"/>
      <c r="P127" s="714"/>
      <c r="Q127" s="714"/>
      <c r="R127" s="714"/>
      <c r="S127" s="714"/>
      <c r="T127" s="714"/>
      <c r="U127" s="714"/>
      <c r="V127" s="714"/>
      <c r="W127" s="714"/>
      <c r="X127" s="714"/>
      <c r="Y127" s="714"/>
      <c r="Z127" s="714"/>
      <c r="AA127" s="714"/>
      <c r="AB127" s="714">
        <v>12</v>
      </c>
      <c r="AC127" s="714"/>
      <c r="AD127" s="714"/>
      <c r="AE127" s="714"/>
      <c r="AF127" s="714"/>
      <c r="AG127" s="714"/>
      <c r="AH127" s="714"/>
      <c r="AI127" s="714"/>
      <c r="AJ127" s="714"/>
      <c r="AK127" s="714"/>
      <c r="AL127" s="714"/>
      <c r="AM127" s="714"/>
      <c r="AO127" s="714"/>
      <c r="AP127" s="714"/>
    </row>
    <row r="128" spans="1:42" s="83" customFormat="1">
      <c r="A128" s="389"/>
      <c r="B128" s="389"/>
      <c r="C128" s="390">
        <f t="shared" si="13"/>
        <v>-124</v>
      </c>
      <c r="D128" s="63">
        <f t="shared" si="9"/>
        <v>124</v>
      </c>
      <c r="E128" s="392">
        <v>4681</v>
      </c>
      <c r="F128" s="663" t="str">
        <f>IFERROR(VLOOKUP(Table8[[#This Row],[Player No]],Table10[[No]:[Province]],2,0),"")</f>
        <v>Kudakwashe RUTOPE</v>
      </c>
      <c r="G128" s="392" t="str">
        <f>IFERROR(VLOOKUP(Table8[[#This Row],[Player No]],Table10[[No]:[Province]],3,0),"")</f>
        <v>GN</v>
      </c>
      <c r="H128" s="416">
        <v>12.125</v>
      </c>
      <c r="I128" s="822">
        <f>Table8[[#This Row],[Points 2025]]/2+SUM(Table8[[#This Row],[O1  ADMIN 2026]:[P2           WC           CT Open   2026]])</f>
        <v>6.0625</v>
      </c>
      <c r="J128" s="708">
        <f t="shared" si="7"/>
        <v>0</v>
      </c>
      <c r="K128" s="714">
        <f t="shared" si="8"/>
        <v>0</v>
      </c>
      <c r="L128" s="714" t="s">
        <v>6083</v>
      </c>
      <c r="M128" s="714" t="s">
        <v>6083</v>
      </c>
      <c r="N128" s="714" t="s">
        <v>6083</v>
      </c>
      <c r="O128" s="714"/>
      <c r="P128" s="714"/>
      <c r="Q128" s="714"/>
      <c r="R128" s="714"/>
      <c r="S128" s="714"/>
      <c r="T128" s="714"/>
      <c r="U128" s="714"/>
      <c r="V128" s="714"/>
      <c r="W128" s="714"/>
      <c r="X128" s="714"/>
      <c r="Y128" s="714"/>
      <c r="Z128" s="714"/>
      <c r="AA128" s="714"/>
      <c r="AB128" s="714">
        <v>12</v>
      </c>
      <c r="AC128" s="714"/>
      <c r="AD128" s="714"/>
      <c r="AE128" s="714"/>
      <c r="AF128" s="714"/>
      <c r="AG128" s="714"/>
      <c r="AH128" s="714"/>
      <c r="AI128" s="714"/>
      <c r="AJ128" s="714"/>
      <c r="AK128" s="714"/>
      <c r="AL128" s="714"/>
      <c r="AM128" s="714"/>
      <c r="AO128" s="708"/>
      <c r="AP128" s="708"/>
    </row>
    <row r="129" spans="1:42" s="83" customFormat="1">
      <c r="A129" s="61"/>
      <c r="B129" s="61"/>
      <c r="C129" s="77">
        <f t="shared" si="13"/>
        <v>-125</v>
      </c>
      <c r="D129" s="63">
        <f t="shared" si="9"/>
        <v>125</v>
      </c>
      <c r="E129" s="63">
        <v>3763</v>
      </c>
      <c r="F129" s="93" t="str">
        <f>IFERROR(VLOOKUP(Table8[[#This Row],[Player No]],Table10[[No]:[Province]],2,0),"")</f>
        <v>MADANGATYA limise</v>
      </c>
      <c r="G129" s="63" t="str">
        <f>IFERROR(VLOOKUP(Table8[[#This Row],[Player No]],Table10[[No]:[Province]],3,0),"")</f>
        <v>EC</v>
      </c>
      <c r="H129" s="124">
        <v>7.5</v>
      </c>
      <c r="I129" s="789">
        <f>Table8[[#This Row],[Points 2025]]/2+SUM(Table8[[#This Row],[O1  ADMIN 2026]:[P2           WC           CT Open   2026]])</f>
        <v>3.75</v>
      </c>
      <c r="J129" s="708">
        <f t="shared" si="7"/>
        <v>0</v>
      </c>
      <c r="K129" s="708">
        <f t="shared" si="8"/>
        <v>0</v>
      </c>
      <c r="L129" s="708" t="s">
        <v>6083</v>
      </c>
      <c r="M129" s="708" t="s">
        <v>6083</v>
      </c>
      <c r="N129" s="708" t="s">
        <v>6083</v>
      </c>
      <c r="O129" s="708"/>
      <c r="P129" s="708"/>
      <c r="Q129" s="708"/>
      <c r="R129" s="708"/>
      <c r="S129" s="708"/>
      <c r="T129" s="708"/>
      <c r="U129" s="708"/>
      <c r="V129" s="708"/>
      <c r="W129" s="708"/>
      <c r="X129" s="708"/>
      <c r="Y129" s="708">
        <v>10</v>
      </c>
      <c r="Z129" s="708"/>
      <c r="AA129" s="708"/>
      <c r="AB129" s="708"/>
      <c r="AC129" s="708"/>
      <c r="AD129" s="708"/>
      <c r="AE129" s="708"/>
      <c r="AF129" s="708"/>
      <c r="AG129" s="708"/>
      <c r="AH129" s="708"/>
      <c r="AI129" s="708"/>
      <c r="AJ129" s="708"/>
      <c r="AK129" s="708"/>
      <c r="AL129" s="708"/>
      <c r="AM129" s="708"/>
      <c r="AO129" s="708"/>
      <c r="AP129" s="708"/>
    </row>
    <row r="130" spans="1:42" s="83" customFormat="1">
      <c r="A130" s="61"/>
      <c r="B130" s="61"/>
      <c r="C130" s="77">
        <f t="shared" si="13"/>
        <v>-126</v>
      </c>
      <c r="D130" s="63">
        <f t="shared" si="9"/>
        <v>126</v>
      </c>
      <c r="E130" s="63">
        <v>3892</v>
      </c>
      <c r="F130" s="93" t="str">
        <f>IFERROR(VLOOKUP(Table8[[#This Row],[Player No]],Table10[[No]:[Province]],2,0),"")</f>
        <v>MBOQO Olerato</v>
      </c>
      <c r="G130" s="63" t="str">
        <f>IFERROR(VLOOKUP(Table8[[#This Row],[Player No]],Table10[[No]:[Province]],3,0),"")</f>
        <v>NWP</v>
      </c>
      <c r="H130" s="124">
        <v>7</v>
      </c>
      <c r="I130" s="789">
        <f>Table8[[#This Row],[Points 2025]]/2+SUM(Table8[[#This Row],[O1  ADMIN 2026]:[P2           WC           CT Open   2026]])</f>
        <v>3.5</v>
      </c>
      <c r="J130" s="708">
        <f t="shared" si="7"/>
        <v>0</v>
      </c>
      <c r="K130" s="708">
        <f t="shared" si="8"/>
        <v>0</v>
      </c>
      <c r="L130" s="708" t="s">
        <v>6083</v>
      </c>
      <c r="M130" s="708" t="s">
        <v>6083</v>
      </c>
      <c r="N130" s="708" t="s">
        <v>6083</v>
      </c>
      <c r="O130" s="708"/>
      <c r="P130" s="708"/>
      <c r="Q130" s="708"/>
      <c r="R130" s="708"/>
      <c r="S130" s="708"/>
      <c r="T130" s="708"/>
      <c r="U130" s="708"/>
      <c r="V130" s="708"/>
      <c r="W130" s="708"/>
      <c r="X130" s="708"/>
      <c r="Y130" s="708">
        <v>10</v>
      </c>
      <c r="Z130" s="708"/>
      <c r="AA130" s="708"/>
      <c r="AB130" s="708"/>
      <c r="AC130" s="708"/>
      <c r="AD130" s="708"/>
      <c r="AE130" s="708"/>
      <c r="AF130" s="708"/>
      <c r="AG130" s="708"/>
      <c r="AH130" s="708"/>
      <c r="AI130" s="708"/>
      <c r="AJ130" s="708"/>
      <c r="AK130" s="708"/>
      <c r="AL130" s="708"/>
      <c r="AM130" s="708"/>
      <c r="AO130" s="708"/>
      <c r="AP130" s="708"/>
    </row>
    <row r="131" spans="1:42">
      <c r="A131" s="63" t="str">
        <f>IFERROR(VLOOKUP(Table8[[#This Row],[Player No]],Table10[[#All],[No]:[Age Group]],4,0),"")</f>
        <v>U11</v>
      </c>
      <c r="B131" s="61">
        <v>100</v>
      </c>
      <c r="C131" s="77">
        <f t="shared" si="13"/>
        <v>-27</v>
      </c>
      <c r="D131" s="63">
        <f t="shared" si="9"/>
        <v>127</v>
      </c>
      <c r="E131" s="63">
        <v>3879</v>
      </c>
      <c r="F131" s="64" t="str">
        <f>IFERROR(VLOOKUP(Table8[[#This Row],[Player No]],Table10[[No]:[Province]],2,0),"")</f>
        <v>REDLINGHYS Ezra</v>
      </c>
      <c r="G131" s="76" t="str">
        <f>IFERROR(VLOOKUP(Table8[[#This Row],[Player No]],Table10[[No]:[Province]],3,0),"")</f>
        <v>UMG</v>
      </c>
      <c r="H131" s="124">
        <v>3</v>
      </c>
      <c r="I131" s="789">
        <f>Table8[[#This Row],[Points 2025]]/2+SUM(Table8[[#This Row],[O1  ADMIN 2026]:[P2           WC           CT Open   2026]])</f>
        <v>3.5</v>
      </c>
      <c r="J131" s="63">
        <f t="shared" si="7"/>
        <v>2</v>
      </c>
      <c r="K131" s="708">
        <f t="shared" si="8"/>
        <v>0</v>
      </c>
      <c r="L131" s="708" t="s">
        <v>6083</v>
      </c>
      <c r="M131" s="708">
        <v>1</v>
      </c>
      <c r="N131" s="708">
        <v>1</v>
      </c>
      <c r="O131" s="708"/>
      <c r="P131" s="708">
        <v>2</v>
      </c>
      <c r="Q131" s="708">
        <v>1</v>
      </c>
      <c r="R131" s="708"/>
      <c r="S131" s="708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>
        <v>2</v>
      </c>
      <c r="AE131" s="708">
        <v>1</v>
      </c>
      <c r="AF131" s="708"/>
      <c r="AG131" s="708"/>
      <c r="AH131" s="708"/>
      <c r="AI131" s="708"/>
      <c r="AJ131" s="708"/>
      <c r="AK131" s="708"/>
      <c r="AL131" s="708"/>
      <c r="AM131" s="708"/>
      <c r="AO131" s="708"/>
      <c r="AP131" s="708"/>
    </row>
    <row r="132" spans="1:42">
      <c r="A132" s="61"/>
      <c r="B132" s="61"/>
      <c r="C132" s="77">
        <f t="shared" si="13"/>
        <v>-128</v>
      </c>
      <c r="D132" s="63">
        <f t="shared" si="9"/>
        <v>128</v>
      </c>
      <c r="E132" s="63">
        <v>4041</v>
      </c>
      <c r="F132" s="93" t="str">
        <f>IFERROR(VLOOKUP(Table8[[#This Row],[Player No]],Table10[[No]:[Province]],2,0),"")</f>
        <v>MATEKANE Onalenna</v>
      </c>
      <c r="G132" s="63" t="str">
        <f>IFERROR(VLOOKUP(Table8[[#This Row],[Player No]],Table10[[No]:[Province]],3,0),"")</f>
        <v>FS</v>
      </c>
      <c r="H132" s="124">
        <v>6.5</v>
      </c>
      <c r="I132" s="789">
        <f>Table8[[#This Row],[Points 2025]]/2+SUM(Table8[[#This Row],[O1  ADMIN 2026]:[P2           WC           CT Open   2026]])</f>
        <v>3.25</v>
      </c>
      <c r="J132" s="63">
        <f t="shared" si="7"/>
        <v>0</v>
      </c>
      <c r="K132" s="708">
        <f t="shared" si="8"/>
        <v>0</v>
      </c>
      <c r="L132" s="708" t="s">
        <v>6083</v>
      </c>
      <c r="M132" s="708" t="s">
        <v>6083</v>
      </c>
      <c r="N132" s="708" t="s">
        <v>6083</v>
      </c>
      <c r="O132" s="708"/>
      <c r="P132" s="708"/>
      <c r="Q132" s="708"/>
      <c r="R132" s="708"/>
      <c r="S132" s="708"/>
      <c r="T132" s="708"/>
      <c r="U132" s="708"/>
      <c r="V132" s="708"/>
      <c r="W132" s="708"/>
      <c r="X132" s="708"/>
      <c r="Y132" s="708">
        <v>10</v>
      </c>
      <c r="Z132" s="708"/>
      <c r="AA132" s="708"/>
      <c r="AB132" s="708"/>
      <c r="AC132" s="708"/>
      <c r="AD132" s="708"/>
      <c r="AE132" s="708"/>
      <c r="AF132" s="708"/>
      <c r="AG132" s="708"/>
      <c r="AH132" s="708"/>
      <c r="AI132" s="708"/>
      <c r="AJ132" s="708"/>
      <c r="AK132" s="708"/>
      <c r="AL132" s="708"/>
      <c r="AM132" s="708"/>
      <c r="AO132" s="708"/>
      <c r="AP132" s="708"/>
    </row>
    <row r="133" spans="1:42">
      <c r="A133" s="61"/>
      <c r="B133" s="61"/>
      <c r="C133" s="77">
        <f t="shared" si="13"/>
        <v>-129</v>
      </c>
      <c r="D133" s="63">
        <f t="shared" si="9"/>
        <v>129</v>
      </c>
      <c r="E133" s="63">
        <v>4204</v>
      </c>
      <c r="F133" s="93" t="str">
        <f>IFERROR(VLOOKUP(Table8[[#This Row],[Player No]],Table10[[No]:[Province]],2,0),"")</f>
        <v>LOUW Lian</v>
      </c>
      <c r="G133" s="63" t="str">
        <f>IFERROR(VLOOKUP(Table8[[#This Row],[Player No]],Table10[[No]:[Province]],3,0),"")</f>
        <v>EDEN</v>
      </c>
      <c r="H133" s="124">
        <v>6.375</v>
      </c>
      <c r="I133" s="789">
        <f>Table8[[#This Row],[Points 2025]]/2+SUM(Table8[[#This Row],[O1  ADMIN 2026]:[P2           WC           CT Open   2026]])</f>
        <v>3.1875</v>
      </c>
      <c r="J133" s="63">
        <f t="shared" ref="J133:J196" si="14">COUNTIF(L133:O133,"&gt;0")</f>
        <v>0</v>
      </c>
      <c r="K133" s="708">
        <f t="shared" ref="K133:K196" si="15">COUNTIF(M133:AM133,"&lt;0")</f>
        <v>0</v>
      </c>
      <c r="L133" s="708" t="s">
        <v>6083</v>
      </c>
      <c r="M133" s="708" t="s">
        <v>6083</v>
      </c>
      <c r="N133" s="708" t="s">
        <v>6083</v>
      </c>
      <c r="O133" s="708"/>
      <c r="P133" s="708"/>
      <c r="Q133" s="708"/>
      <c r="R133" s="708"/>
      <c r="S133" s="708"/>
      <c r="T133" s="708"/>
      <c r="U133" s="708"/>
      <c r="V133" s="708"/>
      <c r="W133" s="708"/>
      <c r="X133" s="708"/>
      <c r="Y133" s="708">
        <v>10</v>
      </c>
      <c r="Z133" s="708"/>
      <c r="AA133" s="708"/>
      <c r="AB133" s="708"/>
      <c r="AC133" s="708"/>
      <c r="AD133" s="708"/>
      <c r="AE133" s="708"/>
      <c r="AF133" s="708"/>
      <c r="AG133" s="708"/>
      <c r="AH133" s="708"/>
      <c r="AI133" s="708"/>
      <c r="AJ133" s="708"/>
      <c r="AK133" s="708"/>
      <c r="AL133" s="708"/>
      <c r="AM133" s="708"/>
      <c r="AO133" s="708"/>
      <c r="AP133" s="708"/>
    </row>
    <row r="134" spans="1:42">
      <c r="A134" s="61"/>
      <c r="B134" s="61"/>
      <c r="C134" s="77">
        <f t="shared" si="13"/>
        <v>-130</v>
      </c>
      <c r="D134" s="63">
        <f t="shared" si="9"/>
        <v>130</v>
      </c>
      <c r="E134" s="63">
        <v>4468</v>
      </c>
      <c r="F134" s="93" t="str">
        <f>IFERROR(VLOOKUP(Table8[[#This Row],[Player No]],Table10[[No]:[Province]],2,0),"")</f>
        <v>MOKOENA Sechaba</v>
      </c>
      <c r="G134" s="63" t="str">
        <f>IFERROR(VLOOKUP(Table8[[#This Row],[Player No]],Table10[[No]:[Province]],3,0),"")</f>
        <v>FS</v>
      </c>
      <c r="H134" s="124">
        <v>6.25</v>
      </c>
      <c r="I134" s="789">
        <f>Table8[[#This Row],[Points 2025]]/2+SUM(Table8[[#This Row],[O1  ADMIN 2026]:[P2           WC           CT Open   2026]])</f>
        <v>3.125</v>
      </c>
      <c r="J134" s="63">
        <f t="shared" si="14"/>
        <v>0</v>
      </c>
      <c r="K134" s="708">
        <f t="shared" si="15"/>
        <v>0</v>
      </c>
      <c r="L134" s="708" t="s">
        <v>6083</v>
      </c>
      <c r="M134" s="708" t="s">
        <v>6083</v>
      </c>
      <c r="N134" s="708" t="s">
        <v>6083</v>
      </c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708">
        <v>10</v>
      </c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O134" s="708"/>
      <c r="AP134" s="708"/>
    </row>
    <row r="135" spans="1:42">
      <c r="A135" s="61"/>
      <c r="B135" s="61"/>
      <c r="C135" s="77">
        <f t="shared" si="13"/>
        <v>-131</v>
      </c>
      <c r="D135" s="63">
        <f t="shared" ref="D135:D198" si="16">D134+1</f>
        <v>131</v>
      </c>
      <c r="E135" s="63">
        <v>1007</v>
      </c>
      <c r="F135" s="93" t="str">
        <f>IFERROR(VLOOKUP(Table8[[#This Row],[Player No]],Table10[[No]:[Province]],2,0),"")</f>
        <v>MTHEMBU Junior</v>
      </c>
      <c r="G135" s="63" t="str">
        <f>IFERROR(VLOOKUP(Table8[[#This Row],[Player No]],Table10[[No]:[Province]],3,0),"")</f>
        <v>UMZ</v>
      </c>
      <c r="H135" s="124">
        <v>6.25</v>
      </c>
      <c r="I135" s="789">
        <f>Table8[[#This Row],[Points 2025]]/2+SUM(Table8[[#This Row],[O1  ADMIN 2026]:[P2           WC           CT Open   2026]])</f>
        <v>3.125</v>
      </c>
      <c r="J135" s="63">
        <f t="shared" si="14"/>
        <v>0</v>
      </c>
      <c r="K135" s="708">
        <f t="shared" si="15"/>
        <v>0</v>
      </c>
      <c r="L135" s="708" t="s">
        <v>6083</v>
      </c>
      <c r="M135" s="708" t="s">
        <v>6083</v>
      </c>
      <c r="N135" s="708" t="s">
        <v>6083</v>
      </c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>
        <v>10</v>
      </c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O135" s="708"/>
      <c r="AP135" s="708"/>
    </row>
    <row r="136" spans="1:42">
      <c r="A136" s="63">
        <f>IFERROR(VLOOKUP(Table8[[#This Row],[Player No]],Table10[[#All],[No]:[Age Group]],4,0),"")</f>
        <v>0</v>
      </c>
      <c r="B136" s="61">
        <v>40</v>
      </c>
      <c r="C136" s="77">
        <f t="shared" si="13"/>
        <v>-92</v>
      </c>
      <c r="D136" s="63">
        <f t="shared" si="16"/>
        <v>132</v>
      </c>
      <c r="E136" s="63">
        <v>3375</v>
      </c>
      <c r="F136" s="64" t="str">
        <f>IFERROR(VLOOKUP(Table8[[#This Row],[Player No]],Table10[[No]:[Province]],2,0),"")</f>
        <v>MAKHAYE Mlungisi</v>
      </c>
      <c r="G136" s="76" t="str">
        <f>IFERROR(VLOOKUP(Table8[[#This Row],[Player No]],Table10[[No]:[Province]],3,0),"")</f>
        <v>UMG</v>
      </c>
      <c r="H136" s="124">
        <v>6.25</v>
      </c>
      <c r="I136" s="789">
        <f>Table8[[#This Row],[Points 2025]]/2+SUM(Table8[[#This Row],[O1  ADMIN 2026]:[P2           WC           CT Open   2026]])</f>
        <v>3.125</v>
      </c>
      <c r="J136" s="63">
        <f t="shared" si="14"/>
        <v>0</v>
      </c>
      <c r="K136" s="708">
        <f t="shared" si="15"/>
        <v>0</v>
      </c>
      <c r="L136" s="708" t="s">
        <v>6083</v>
      </c>
      <c r="M136" s="708" t="s">
        <v>6083</v>
      </c>
      <c r="N136" s="708" t="s">
        <v>6083</v>
      </c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O136" s="708"/>
      <c r="AP136" s="708"/>
    </row>
    <row r="137" spans="1:42">
      <c r="A137" s="63">
        <f>IFERROR(VLOOKUP(Table8[[#This Row],[Player No]],Table10[[#All],[No]:[Age Group]],4,0),"")</f>
        <v>0</v>
      </c>
      <c r="B137" s="61">
        <v>44</v>
      </c>
      <c r="C137" s="77">
        <f t="shared" si="13"/>
        <v>-89</v>
      </c>
      <c r="D137" s="63">
        <f t="shared" si="16"/>
        <v>133</v>
      </c>
      <c r="E137" s="63">
        <v>3924</v>
      </c>
      <c r="F137" s="64" t="str">
        <f>IFERROR(VLOOKUP(Table8[[#This Row],[Player No]],Table10[[No]:[Province]],2,0),"")</f>
        <v>SHAIK Haneef</v>
      </c>
      <c r="G137" s="76" t="str">
        <f>IFERROR(VLOOKUP(Table8[[#This Row],[Player No]],Table10[[No]:[Province]],3,0),"")</f>
        <v>JTTA</v>
      </c>
      <c r="H137" s="124">
        <v>6.25</v>
      </c>
      <c r="I137" s="789">
        <f>Table8[[#This Row],[Points 2025]]/2+SUM(Table8[[#This Row],[O1  ADMIN 2026]:[P2           WC           CT Open   2026]])</f>
        <v>3.125</v>
      </c>
      <c r="J137" s="63">
        <f t="shared" si="14"/>
        <v>0</v>
      </c>
      <c r="K137" s="708">
        <f t="shared" si="15"/>
        <v>0</v>
      </c>
      <c r="L137" s="708" t="s">
        <v>6083</v>
      </c>
      <c r="M137" s="708" t="s">
        <v>6083</v>
      </c>
      <c r="N137" s="708" t="s">
        <v>6083</v>
      </c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08"/>
      <c r="AH137" s="708"/>
      <c r="AI137" s="708">
        <v>15</v>
      </c>
      <c r="AJ137" s="708"/>
      <c r="AK137" s="708">
        <v>2</v>
      </c>
      <c r="AL137" s="708"/>
      <c r="AM137" s="708"/>
      <c r="AO137" s="708"/>
      <c r="AP137" s="708"/>
    </row>
    <row r="138" spans="1:42">
      <c r="A138" s="63" t="str">
        <f>IFERROR(VLOOKUP(Table8[[#This Row],[Player No]],Table10[[#All],[No]:[Age Group]],4,0),"")</f>
        <v>U13</v>
      </c>
      <c r="B138" s="61">
        <v>168</v>
      </c>
      <c r="C138" s="77">
        <f t="shared" si="13"/>
        <v>34</v>
      </c>
      <c r="D138" s="63">
        <f t="shared" si="16"/>
        <v>134</v>
      </c>
      <c r="E138" s="63">
        <v>3693</v>
      </c>
      <c r="F138" s="64" t="str">
        <f>IFERROR(VLOOKUP(Table8[[#This Row],[Player No]],Table10[[No]:[Province]],2,0),"")</f>
        <v>KLEINBOOI Evano</v>
      </c>
      <c r="G138" s="76" t="str">
        <f>IFERROR(VLOOKUP(Table8[[#This Row],[Player No]],Table10[[No]:[Province]],3,0),"")</f>
        <v>Eden</v>
      </c>
      <c r="H138" s="124">
        <v>6.25</v>
      </c>
      <c r="I138" s="789">
        <f>Table8[[#This Row],[Points 2025]]/2+SUM(Table8[[#This Row],[O1  ADMIN 2026]:[P2           WC           CT Open   2026]])</f>
        <v>3.125</v>
      </c>
      <c r="J138" s="63">
        <f t="shared" si="14"/>
        <v>0</v>
      </c>
      <c r="K138" s="708">
        <f t="shared" si="15"/>
        <v>0</v>
      </c>
      <c r="L138" s="708" t="s">
        <v>6083</v>
      </c>
      <c r="M138" s="708" t="s">
        <v>6083</v>
      </c>
      <c r="N138" s="708" t="s">
        <v>6083</v>
      </c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>
        <v>5</v>
      </c>
      <c r="Z138" s="708"/>
      <c r="AA138" s="708"/>
      <c r="AB138" s="708"/>
      <c r="AC138" s="708"/>
      <c r="AD138" s="708"/>
      <c r="AE138" s="708"/>
      <c r="AF138" s="708"/>
      <c r="AG138" s="708">
        <v>2</v>
      </c>
      <c r="AH138" s="708">
        <v>5</v>
      </c>
      <c r="AI138" s="708"/>
      <c r="AJ138" s="708"/>
      <c r="AK138" s="708"/>
      <c r="AL138" s="708"/>
      <c r="AM138" s="708"/>
      <c r="AO138" s="708"/>
      <c r="AP138" s="708"/>
    </row>
    <row r="139" spans="1:42">
      <c r="A139" s="63">
        <f>IFERROR(VLOOKUP(Table8[[#This Row],[Player No]],Table10[[#All],[No]:[Age Group]],4,0),"")</f>
        <v>0</v>
      </c>
      <c r="B139" s="61">
        <v>46</v>
      </c>
      <c r="C139" s="77">
        <f t="shared" si="13"/>
        <v>-89</v>
      </c>
      <c r="D139" s="63">
        <f t="shared" si="16"/>
        <v>135</v>
      </c>
      <c r="E139" s="63">
        <v>3429</v>
      </c>
      <c r="F139" s="64" t="str">
        <f>IFERROR(VLOOKUP(Table8[[#This Row],[Player No]],Table10[[No]:[Province]],2,0),"")</f>
        <v>MANANA Siphelele</v>
      </c>
      <c r="G139" s="76" t="str">
        <f>IFERROR(VLOOKUP(Table8[[#This Row],[Player No]],Table10[[No]:[Province]],3,0),"")</f>
        <v>UTH</v>
      </c>
      <c r="H139" s="124">
        <v>6.25</v>
      </c>
      <c r="I139" s="789">
        <f>Table8[[#This Row],[Points 2025]]/2+SUM(Table8[[#This Row],[O1  ADMIN 2026]:[P2           WC           CT Open   2026]])</f>
        <v>3.125</v>
      </c>
      <c r="J139" s="63">
        <f t="shared" si="14"/>
        <v>0</v>
      </c>
      <c r="K139" s="708">
        <f t="shared" si="15"/>
        <v>0</v>
      </c>
      <c r="L139" s="708" t="s">
        <v>6083</v>
      </c>
      <c r="M139" s="708" t="s">
        <v>6083</v>
      </c>
      <c r="N139" s="708" t="s">
        <v>6083</v>
      </c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O139" s="708"/>
      <c r="AP139" s="708"/>
    </row>
    <row r="140" spans="1:42">
      <c r="A140" s="63">
        <f>IFERROR(VLOOKUP(Table8[[#This Row],[Player No]],Table10[[#All],[No]:[Age Group]],4,0),"")</f>
        <v>0</v>
      </c>
      <c r="B140" s="61">
        <v>168</v>
      </c>
      <c r="C140" s="77">
        <f t="shared" si="13"/>
        <v>32</v>
      </c>
      <c r="D140" s="63">
        <f t="shared" si="16"/>
        <v>136</v>
      </c>
      <c r="E140" s="63">
        <v>3957</v>
      </c>
      <c r="F140" s="64" t="str">
        <f>IFERROR(VLOOKUP(Table8[[#This Row],[Player No]],Table10[[No]:[Province]],2,0),"")</f>
        <v>KAYSER Marquin</v>
      </c>
      <c r="G140" s="76" t="str">
        <f>IFERROR(VLOOKUP(Table8[[#This Row],[Player No]],Table10[[No]:[Province]],3,0),"")</f>
        <v>Eden</v>
      </c>
      <c r="H140" s="124">
        <v>6.25</v>
      </c>
      <c r="I140" s="789">
        <f>Table8[[#This Row],[Points 2025]]/2+SUM(Table8[[#This Row],[O1  ADMIN 2026]:[P2           WC           CT Open   2026]])</f>
        <v>3.125</v>
      </c>
      <c r="J140" s="63">
        <f t="shared" si="14"/>
        <v>0</v>
      </c>
      <c r="K140" s="708">
        <f t="shared" si="15"/>
        <v>0</v>
      </c>
      <c r="L140" s="708" t="s">
        <v>6083</v>
      </c>
      <c r="M140" s="708" t="s">
        <v>6083</v>
      </c>
      <c r="N140" s="708" t="s">
        <v>6083</v>
      </c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>
        <v>15</v>
      </c>
      <c r="AH140" s="708"/>
      <c r="AI140" s="708"/>
      <c r="AJ140" s="708"/>
      <c r="AK140" s="708"/>
      <c r="AL140" s="708"/>
      <c r="AM140" s="708"/>
      <c r="AO140" s="708"/>
      <c r="AP140" s="708"/>
    </row>
    <row r="141" spans="1:42">
      <c r="A141" s="63">
        <f>IFERROR(VLOOKUP(Table8[[#This Row],[Player No]],Table10[[#All],[No]:[Age Group]],4,0),"")</f>
        <v>0</v>
      </c>
      <c r="B141" s="61"/>
      <c r="C141" s="77"/>
      <c r="D141" s="63">
        <f t="shared" si="16"/>
        <v>137</v>
      </c>
      <c r="E141" s="63">
        <v>4092</v>
      </c>
      <c r="F141" s="64" t="str">
        <f>IFERROR(VLOOKUP(Table8[[#This Row],[Player No]],Table10[[No]:[Province]],2,0),"")</f>
        <v>Nickolas Fabianraj</v>
      </c>
      <c r="G141" s="76" t="str">
        <f>IFERROR(VLOOKUP(Table8[[#This Row],[Player No]],Table10[[No]:[Province]],3,0),"")</f>
        <v>JTTA</v>
      </c>
      <c r="H141" s="124">
        <v>6.25</v>
      </c>
      <c r="I141" s="789">
        <f>Table8[[#This Row],[Points 2025]]/2+SUM(Table8[[#This Row],[O1  ADMIN 2026]:[P2           WC           CT Open   2026]])</f>
        <v>3.125</v>
      </c>
      <c r="J141" s="63">
        <f t="shared" si="14"/>
        <v>0</v>
      </c>
      <c r="K141" s="708">
        <f t="shared" si="15"/>
        <v>0</v>
      </c>
      <c r="L141" s="708" t="s">
        <v>6083</v>
      </c>
      <c r="M141" s="708" t="s">
        <v>6083</v>
      </c>
      <c r="N141" s="708" t="s">
        <v>6083</v>
      </c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>
        <v>15</v>
      </c>
      <c r="AK141" s="708"/>
      <c r="AL141" s="708"/>
      <c r="AM141" s="708"/>
      <c r="AO141" s="708"/>
      <c r="AP141" s="708"/>
    </row>
    <row r="142" spans="1:42">
      <c r="A142" s="61"/>
      <c r="B142" s="61"/>
      <c r="C142" s="77">
        <f t="shared" ref="C142:C153" si="17">+B142-D142</f>
        <v>-138</v>
      </c>
      <c r="D142" s="63">
        <f t="shared" si="16"/>
        <v>138</v>
      </c>
      <c r="E142" s="63">
        <v>4182</v>
      </c>
      <c r="F142" s="64" t="str">
        <f>IFERROR(VLOOKUP(Table8[[#This Row],[Player No]],Table10[[No]:[Province]],2,0),"")</f>
        <v>Rogan FORTUIN</v>
      </c>
      <c r="G142" s="76" t="str">
        <f>IFERROR(VLOOKUP(Table8[[#This Row],[Player No]],Table10[[No]:[Province]],3,0),"")</f>
        <v>CT</v>
      </c>
      <c r="H142" s="110">
        <v>6.25</v>
      </c>
      <c r="I142" s="789">
        <f>Table8[[#This Row],[Points 2025]]/2+SUM(Table8[[#This Row],[O1  ADMIN 2026]:[P2           WC           CT Open   2026]])</f>
        <v>3.125</v>
      </c>
      <c r="J142" s="63">
        <f t="shared" si="14"/>
        <v>0</v>
      </c>
      <c r="K142" s="708">
        <f t="shared" si="15"/>
        <v>0</v>
      </c>
      <c r="L142" s="708" t="s">
        <v>6083</v>
      </c>
      <c r="M142" s="708" t="s">
        <v>6083</v>
      </c>
      <c r="N142" s="708" t="s">
        <v>6083</v>
      </c>
      <c r="O142" s="708"/>
      <c r="P142" s="708"/>
      <c r="Q142" s="708"/>
      <c r="R142" s="708"/>
      <c r="S142" s="708"/>
      <c r="T142" s="708"/>
      <c r="U142" s="708"/>
      <c r="V142" s="708"/>
      <c r="W142" s="708">
        <v>7.5</v>
      </c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O142" s="708"/>
      <c r="AP142" s="708"/>
    </row>
    <row r="143" spans="1:42">
      <c r="A143" s="61"/>
      <c r="B143" s="61"/>
      <c r="C143" s="77">
        <f t="shared" si="17"/>
        <v>-139</v>
      </c>
      <c r="D143" s="63">
        <f t="shared" si="16"/>
        <v>139</v>
      </c>
      <c r="E143" s="63">
        <v>4535</v>
      </c>
      <c r="F143" s="64" t="str">
        <f>IFERROR(VLOOKUP(Table8[[#This Row],[Player No]],Table10[[No]:[Province]],2,0),"")</f>
        <v>DOMINGO Yaqoob</v>
      </c>
      <c r="G143" s="76" t="str">
        <f>IFERROR(VLOOKUP(Table8[[#This Row],[Player No]],Table10[[No]:[Province]],3,0),"")</f>
        <v>CT</v>
      </c>
      <c r="H143" s="124">
        <v>6.25</v>
      </c>
      <c r="I143" s="789">
        <f>Table8[[#This Row],[Points 2025]]/2+SUM(Table8[[#This Row],[O1  ADMIN 2026]:[P2           WC           CT Open   2026]])</f>
        <v>3.125</v>
      </c>
      <c r="J143" s="63">
        <f t="shared" si="14"/>
        <v>0</v>
      </c>
      <c r="K143" s="708">
        <f t="shared" si="15"/>
        <v>0</v>
      </c>
      <c r="L143" s="708" t="s">
        <v>6083</v>
      </c>
      <c r="M143" s="708" t="s">
        <v>6083</v>
      </c>
      <c r="N143" s="708" t="s">
        <v>6083</v>
      </c>
      <c r="O143" s="708"/>
      <c r="P143" s="708"/>
      <c r="Q143" s="708"/>
      <c r="R143" s="708"/>
      <c r="S143" s="708"/>
      <c r="T143" s="708"/>
      <c r="U143" s="708"/>
      <c r="V143" s="708"/>
      <c r="W143" s="708">
        <v>5</v>
      </c>
      <c r="X143" s="708">
        <v>2</v>
      </c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O143" s="708"/>
      <c r="AP143" s="708"/>
    </row>
    <row r="144" spans="1:42">
      <c r="A144" s="63">
        <f>IFERROR(VLOOKUP(Table8[[#This Row],[Player No]],Table10[[#All],[No]:[Age Group]],4,0),"")</f>
        <v>0</v>
      </c>
      <c r="B144" s="61">
        <v>48</v>
      </c>
      <c r="C144" s="77">
        <f t="shared" si="17"/>
        <v>-92</v>
      </c>
      <c r="D144" s="63">
        <f t="shared" si="16"/>
        <v>140</v>
      </c>
      <c r="E144" s="63">
        <v>3473</v>
      </c>
      <c r="F144" s="64" t="str">
        <f>IFERROR(VLOOKUP(Table8[[#This Row],[Player No]],Table10[[No]:[Province]],2,0),"")</f>
        <v>DARSON Omrao</v>
      </c>
      <c r="G144" s="76" t="str">
        <f>IFERROR(VLOOKUP(Table8[[#This Row],[Player No]],Table10[[No]:[Province]],3,0),"")</f>
        <v>UMG</v>
      </c>
      <c r="H144" s="110">
        <v>6.25</v>
      </c>
      <c r="I144" s="789">
        <f>Table8[[#This Row],[Points 2025]]/2+SUM(Table8[[#This Row],[O1  ADMIN 2026]:[P2           WC           CT Open   2026]])</f>
        <v>3.125</v>
      </c>
      <c r="J144" s="63">
        <f t="shared" si="14"/>
        <v>0</v>
      </c>
      <c r="K144" s="708">
        <f t="shared" si="15"/>
        <v>0</v>
      </c>
      <c r="L144" s="708" t="s">
        <v>6083</v>
      </c>
      <c r="M144" s="708" t="s">
        <v>6083</v>
      </c>
      <c r="N144" s="708" t="s">
        <v>6083</v>
      </c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O144" s="708"/>
      <c r="AP144" s="708"/>
    </row>
    <row r="145" spans="1:42">
      <c r="A145" s="63">
        <f>IFERROR(VLOOKUP(Table8[[#This Row],[Player No]],Table10[[#All],[No]:[Age Group]],4,0),"")</f>
        <v>0</v>
      </c>
      <c r="B145" s="61">
        <v>49</v>
      </c>
      <c r="C145" s="77">
        <f t="shared" si="17"/>
        <v>-92</v>
      </c>
      <c r="D145" s="63">
        <f t="shared" si="16"/>
        <v>141</v>
      </c>
      <c r="E145" s="63">
        <v>3252</v>
      </c>
      <c r="F145" s="64" t="str">
        <f>IFERROR(VLOOKUP(Table8[[#This Row],[Player No]],Table10[[No]:[Province]],2,0),"")</f>
        <v>JACOBS Mika</v>
      </c>
      <c r="G145" s="76" t="str">
        <f>IFERROR(VLOOKUP(Table8[[#This Row],[Player No]],Table10[[No]:[Province]],3,0),"")</f>
        <v>CT</v>
      </c>
      <c r="H145" s="124">
        <v>6.25</v>
      </c>
      <c r="I145" s="789">
        <f>Table8[[#This Row],[Points 2025]]/2+SUM(Table8[[#This Row],[O1  ADMIN 2026]:[P2           WC           CT Open   2026]])</f>
        <v>3.125</v>
      </c>
      <c r="J145" s="63">
        <f t="shared" si="14"/>
        <v>0</v>
      </c>
      <c r="K145" s="708">
        <f t="shared" si="15"/>
        <v>0</v>
      </c>
      <c r="L145" s="708" t="s">
        <v>6083</v>
      </c>
      <c r="M145" s="708" t="s">
        <v>6083</v>
      </c>
      <c r="N145" s="708" t="s">
        <v>6083</v>
      </c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O145" s="708"/>
      <c r="AP145" s="708"/>
    </row>
    <row r="146" spans="1:42">
      <c r="A146" s="63">
        <f>IFERROR(VLOOKUP(Table8[[#This Row],[Player No]],Table10[[#All],[No]:[Age Group]],4,0),"")</f>
        <v>0</v>
      </c>
      <c r="B146" s="61">
        <v>55</v>
      </c>
      <c r="C146" s="77">
        <f t="shared" si="17"/>
        <v>-87</v>
      </c>
      <c r="D146" s="63">
        <f t="shared" si="16"/>
        <v>142</v>
      </c>
      <c r="E146" s="63">
        <v>3452</v>
      </c>
      <c r="F146" s="64" t="str">
        <f>IFERROR(VLOOKUP(Table8[[#This Row],[Player No]],Table10[[No]:[Province]],2,0),"")</f>
        <v>BRINK Brendan</v>
      </c>
      <c r="G146" s="76">
        <f>IFERROR(VLOOKUP(Table8[[#This Row],[Player No]],Table10[[No]:[Province]],3,0),"")</f>
        <v>0</v>
      </c>
      <c r="H146" s="124">
        <v>6.25</v>
      </c>
      <c r="I146" s="789">
        <f>Table8[[#This Row],[Points 2025]]/2+SUM(Table8[[#This Row],[O1  ADMIN 2026]:[P2           WC           CT Open   2026]])</f>
        <v>3.125</v>
      </c>
      <c r="J146" s="63">
        <f t="shared" si="14"/>
        <v>0</v>
      </c>
      <c r="K146" s="708">
        <f t="shared" si="15"/>
        <v>0</v>
      </c>
      <c r="L146" s="708" t="s">
        <v>6083</v>
      </c>
      <c r="M146" s="708" t="s">
        <v>6083</v>
      </c>
      <c r="N146" s="708" t="s">
        <v>6083</v>
      </c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O146" s="708"/>
      <c r="AP146" s="708"/>
    </row>
    <row r="147" spans="1:42">
      <c r="A147" s="63">
        <f>IFERROR(VLOOKUP(Table8[[#This Row],[Player No]],Table10[[#All],[No]:[Age Group]],4,0),"")</f>
        <v>0</v>
      </c>
      <c r="B147" s="61">
        <v>56</v>
      </c>
      <c r="C147" s="77">
        <f t="shared" si="17"/>
        <v>-87</v>
      </c>
      <c r="D147" s="63">
        <f t="shared" si="16"/>
        <v>143</v>
      </c>
      <c r="E147" s="63">
        <v>3512</v>
      </c>
      <c r="F147" s="64" t="str">
        <f>IFERROR(VLOOKUP(Table8[[#This Row],[Player No]],Table10[[No]:[Province]],2,0),"")</f>
        <v>SINGH Miqule</v>
      </c>
      <c r="G147" s="76" t="str">
        <f>IFERROR(VLOOKUP(Table8[[#This Row],[Player No]],Table10[[No]:[Province]],3,0),"")</f>
        <v>ETTA</v>
      </c>
      <c r="H147" s="124">
        <v>6.125</v>
      </c>
      <c r="I147" s="789">
        <f>Table8[[#This Row],[Points 2025]]/2+SUM(Table8[[#This Row],[O1  ADMIN 2026]:[P2           WC           CT Open   2026]])</f>
        <v>3.0625</v>
      </c>
      <c r="J147" s="63">
        <f t="shared" si="14"/>
        <v>0</v>
      </c>
      <c r="K147" s="708">
        <f t="shared" si="15"/>
        <v>0</v>
      </c>
      <c r="L147" s="708" t="s">
        <v>6083</v>
      </c>
      <c r="M147" s="708" t="s">
        <v>6083</v>
      </c>
      <c r="N147" s="708" t="s">
        <v>6083</v>
      </c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O147" s="708"/>
      <c r="AP147" s="708"/>
    </row>
    <row r="148" spans="1:42">
      <c r="A148" s="80">
        <f>IFERROR(VLOOKUP(Table8[[#This Row],[Player No]],Table10[[#All],[No]:[Age Group]],4,0),"")</f>
        <v>0</v>
      </c>
      <c r="B148" s="87">
        <v>62</v>
      </c>
      <c r="C148" s="111">
        <f t="shared" si="17"/>
        <v>-82</v>
      </c>
      <c r="D148" s="63">
        <f t="shared" si="16"/>
        <v>144</v>
      </c>
      <c r="E148" s="106">
        <v>3548</v>
      </c>
      <c r="F148" s="64" t="str">
        <f>IFERROR(VLOOKUP(Table8[[#This Row],[Player No]],Table10[[No]:[Province]],2,0),"")</f>
        <v>LEBURU Tshiamo</v>
      </c>
      <c r="G148" s="76" t="str">
        <f>IFERROR(VLOOKUP(Table8[[#This Row],[Player No]],Table10[[No]:[Province]],3,0),"")</f>
        <v>NC</v>
      </c>
      <c r="H148" s="124">
        <v>6</v>
      </c>
      <c r="I148" s="110">
        <f>Table8[[#This Row],[Points 2025]]/2+SUM(Table8[[#This Row],[O1  ADMIN 2026]:[P2           WC           CT Open   2026]])</f>
        <v>3</v>
      </c>
      <c r="J148" s="63">
        <f t="shared" si="14"/>
        <v>0</v>
      </c>
      <c r="K148" s="708">
        <f t="shared" si="15"/>
        <v>0</v>
      </c>
      <c r="L148" s="708" t="s">
        <v>6083</v>
      </c>
      <c r="M148" s="708" t="s">
        <v>6083</v>
      </c>
      <c r="N148" s="708" t="s">
        <v>6083</v>
      </c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O148" s="708"/>
      <c r="AP148" s="708"/>
    </row>
    <row r="149" spans="1:42">
      <c r="A149" s="63">
        <f>IFERROR(VLOOKUP(Table8[[#This Row],[Player No]],Table10[[#All],[No]:[Age Group]],4,0),"")</f>
        <v>0</v>
      </c>
      <c r="B149" s="61">
        <v>57</v>
      </c>
      <c r="C149" s="77">
        <f t="shared" si="17"/>
        <v>-88</v>
      </c>
      <c r="D149" s="63">
        <f t="shared" si="16"/>
        <v>145</v>
      </c>
      <c r="E149" s="63">
        <v>3554</v>
      </c>
      <c r="F149" s="64" t="str">
        <f>IFERROR(VLOOKUP(Table8[[#This Row],[Player No]],Table10[[No]:[Province]],2,0),"")</f>
        <v>Ramona Siyabonga</v>
      </c>
      <c r="G149" s="76" t="str">
        <f>IFERROR(VLOOKUP(Table8[[#This Row],[Player No]],Table10[[No]:[Province]],3,0),"")</f>
        <v>FS</v>
      </c>
      <c r="H149" s="124">
        <v>6</v>
      </c>
      <c r="I149" s="789">
        <f>Table8[[#This Row],[Points 2025]]/2+SUM(Table8[[#This Row],[O1  ADMIN 2026]:[P2           WC           CT Open   2026]])</f>
        <v>3</v>
      </c>
      <c r="J149" s="63">
        <f t="shared" si="14"/>
        <v>0</v>
      </c>
      <c r="K149" s="708">
        <f t="shared" si="15"/>
        <v>0</v>
      </c>
      <c r="L149" s="708" t="s">
        <v>6083</v>
      </c>
      <c r="M149" s="708" t="s">
        <v>6083</v>
      </c>
      <c r="N149" s="708" t="s">
        <v>6083</v>
      </c>
      <c r="O149" s="708"/>
      <c r="P149" s="708"/>
      <c r="Q149" s="708"/>
      <c r="R149" s="708"/>
      <c r="S149" s="708"/>
      <c r="T149" s="708"/>
      <c r="U149" s="708"/>
      <c r="V149" s="708"/>
      <c r="W149" s="708"/>
      <c r="X149" s="708"/>
      <c r="Y149" s="708"/>
      <c r="Z149" s="708"/>
      <c r="AA149" s="708"/>
      <c r="AB149" s="708"/>
      <c r="AC149" s="708"/>
      <c r="AD149" s="708"/>
      <c r="AE149" s="708"/>
      <c r="AF149" s="708"/>
      <c r="AG149" s="708"/>
      <c r="AH149" s="708"/>
      <c r="AI149" s="708"/>
      <c r="AJ149" s="708"/>
      <c r="AK149" s="708"/>
      <c r="AL149" s="708"/>
      <c r="AM149" s="708"/>
      <c r="AO149" s="708"/>
      <c r="AP149" s="708"/>
    </row>
    <row r="150" spans="1:42">
      <c r="A150" s="80">
        <f>IFERROR(VLOOKUP(Table8[[#This Row],[Player No]],Table10[[#All],[No]:[Age Group]],4,0),"")</f>
        <v>0</v>
      </c>
      <c r="B150" s="87">
        <v>58</v>
      </c>
      <c r="C150" s="111">
        <f t="shared" si="17"/>
        <v>-88</v>
      </c>
      <c r="D150" s="63">
        <f t="shared" si="16"/>
        <v>146</v>
      </c>
      <c r="E150" s="106">
        <v>3555</v>
      </c>
      <c r="F150" s="64" t="str">
        <f>IFERROR(VLOOKUP(Table8[[#This Row],[Player No]],Table10[[No]:[Province]],2,0),"")</f>
        <v>MORAKE Kamogelo</v>
      </c>
      <c r="G150" s="76" t="str">
        <f>IFERROR(VLOOKUP(Table8[[#This Row],[Player No]],Table10[[No]:[Province]],3,0),"")</f>
        <v>FS</v>
      </c>
      <c r="H150" s="124">
        <v>6</v>
      </c>
      <c r="I150" s="110">
        <f>Table8[[#This Row],[Points 2025]]/2+SUM(Table8[[#This Row],[O1  ADMIN 2026]:[P2           WC           CT Open   2026]])</f>
        <v>3</v>
      </c>
      <c r="J150" s="63">
        <f t="shared" si="14"/>
        <v>0</v>
      </c>
      <c r="K150" s="708">
        <f t="shared" si="15"/>
        <v>0</v>
      </c>
      <c r="L150" s="708" t="s">
        <v>6083</v>
      </c>
      <c r="M150" s="708" t="s">
        <v>6083</v>
      </c>
      <c r="N150" s="708" t="s">
        <v>6083</v>
      </c>
      <c r="O150" s="708"/>
      <c r="P150" s="708"/>
      <c r="Q150" s="708"/>
      <c r="R150" s="708"/>
      <c r="S150" s="708"/>
      <c r="T150" s="708"/>
      <c r="U150" s="708"/>
      <c r="V150" s="708"/>
      <c r="W150" s="708"/>
      <c r="X150" s="708"/>
      <c r="Y150" s="708"/>
      <c r="Z150" s="708"/>
      <c r="AA150" s="708"/>
      <c r="AB150" s="708"/>
      <c r="AC150" s="708"/>
      <c r="AD150" s="708"/>
      <c r="AE150" s="708"/>
      <c r="AF150" s="708"/>
      <c r="AG150" s="708"/>
      <c r="AH150" s="708"/>
      <c r="AI150" s="708"/>
      <c r="AJ150" s="708"/>
      <c r="AK150" s="708"/>
      <c r="AL150" s="708"/>
      <c r="AM150" s="708"/>
      <c r="AO150" s="708"/>
      <c r="AP150" s="708"/>
    </row>
    <row r="151" spans="1:42">
      <c r="A151" s="63">
        <f>IFERROR(VLOOKUP(Table8[[#This Row],[Player No]],Table10[[#All],[No]:[Age Group]],4,0),"")</f>
        <v>0</v>
      </c>
      <c r="B151" s="61">
        <v>59</v>
      </c>
      <c r="C151" s="77">
        <f t="shared" si="17"/>
        <v>-88</v>
      </c>
      <c r="D151" s="63">
        <f t="shared" si="16"/>
        <v>147</v>
      </c>
      <c r="E151" s="63">
        <v>3556</v>
      </c>
      <c r="F151" s="64" t="str">
        <f>IFERROR(VLOOKUP(Table8[[#This Row],[Player No]],Table10[[No]:[Province]],2,0),"")</f>
        <v>STUURMAN Luthando</v>
      </c>
      <c r="G151" s="76" t="str">
        <f>IFERROR(VLOOKUP(Table8[[#This Row],[Player No]],Table10[[No]:[Province]],3,0),"")</f>
        <v>FS</v>
      </c>
      <c r="H151" s="124">
        <v>6</v>
      </c>
      <c r="I151" s="789">
        <f>Table8[[#This Row],[Points 2025]]/2+SUM(Table8[[#This Row],[O1  ADMIN 2026]:[P2           WC           CT Open   2026]])</f>
        <v>3</v>
      </c>
      <c r="J151" s="63">
        <f t="shared" si="14"/>
        <v>0</v>
      </c>
      <c r="K151" s="708">
        <f t="shared" si="15"/>
        <v>0</v>
      </c>
      <c r="L151" s="708" t="s">
        <v>6083</v>
      </c>
      <c r="M151" s="708" t="s">
        <v>6083</v>
      </c>
      <c r="N151" s="708" t="s">
        <v>6083</v>
      </c>
      <c r="O151" s="708"/>
      <c r="P151" s="708"/>
      <c r="Q151" s="708"/>
      <c r="R151" s="708"/>
      <c r="S151" s="708"/>
      <c r="T151" s="708"/>
      <c r="U151" s="708"/>
      <c r="V151" s="708"/>
      <c r="W151" s="708"/>
      <c r="X151" s="708"/>
      <c r="Y151" s="708"/>
      <c r="Z151" s="708"/>
      <c r="AA151" s="708"/>
      <c r="AB151" s="708"/>
      <c r="AC151" s="708"/>
      <c r="AD151" s="708"/>
      <c r="AE151" s="708"/>
      <c r="AF151" s="708"/>
      <c r="AG151" s="708"/>
      <c r="AH151" s="708"/>
      <c r="AI151" s="708"/>
      <c r="AJ151" s="708"/>
      <c r="AK151" s="708"/>
      <c r="AL151" s="708"/>
      <c r="AM151" s="708"/>
      <c r="AO151" s="708"/>
      <c r="AP151" s="708"/>
    </row>
    <row r="152" spans="1:42">
      <c r="A152" s="63">
        <f>IFERROR(VLOOKUP(Table8[[#This Row],[Player No]],Table10[[#All],[No]:[Age Group]],4,0),"")</f>
        <v>0</v>
      </c>
      <c r="B152" s="61">
        <v>60</v>
      </c>
      <c r="C152" s="77">
        <f t="shared" si="17"/>
        <v>-88</v>
      </c>
      <c r="D152" s="63">
        <f t="shared" si="16"/>
        <v>148</v>
      </c>
      <c r="E152" s="63">
        <v>3557</v>
      </c>
      <c r="F152" s="64" t="str">
        <f>IFERROR(VLOOKUP(Table8[[#This Row],[Player No]],Table10[[No]:[Province]],2,0),"")</f>
        <v>MKHOMBENI Baphelele</v>
      </c>
      <c r="G152" s="76" t="str">
        <f>IFERROR(VLOOKUP(Table8[[#This Row],[Player No]],Table10[[No]:[Province]],3,0),"")</f>
        <v>FS</v>
      </c>
      <c r="H152" s="124">
        <v>6</v>
      </c>
      <c r="I152" s="789">
        <f>Table8[[#This Row],[Points 2025]]/2+SUM(Table8[[#This Row],[O1  ADMIN 2026]:[P2           WC           CT Open   2026]])</f>
        <v>3</v>
      </c>
      <c r="J152" s="63">
        <f t="shared" si="14"/>
        <v>0</v>
      </c>
      <c r="K152" s="708">
        <f t="shared" si="15"/>
        <v>0</v>
      </c>
      <c r="L152" s="708" t="s">
        <v>6083</v>
      </c>
      <c r="M152" s="708" t="s">
        <v>6083</v>
      </c>
      <c r="N152" s="708" t="s">
        <v>6083</v>
      </c>
      <c r="O152" s="708"/>
      <c r="P152" s="708"/>
      <c r="Q152" s="708"/>
      <c r="R152" s="708"/>
      <c r="S152" s="708"/>
      <c r="T152" s="708"/>
      <c r="U152" s="708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O152" s="708"/>
      <c r="AP152" s="708"/>
    </row>
    <row r="153" spans="1:42">
      <c r="A153" s="63">
        <f>IFERROR(VLOOKUP(Table8[[#This Row],[Player No]],Table10[[#All],[No]:[Age Group]],4,0),"")</f>
        <v>0</v>
      </c>
      <c r="B153" s="61">
        <v>64</v>
      </c>
      <c r="C153" s="77">
        <f t="shared" si="17"/>
        <v>-85</v>
      </c>
      <c r="D153" s="63">
        <f t="shared" si="16"/>
        <v>149</v>
      </c>
      <c r="E153" s="63">
        <v>3607</v>
      </c>
      <c r="F153" s="64" t="str">
        <f>IFERROR(VLOOKUP(Table8[[#This Row],[Player No]],Table10[[No]:[Province]],2,0),"")</f>
        <v>NENE Bayana</v>
      </c>
      <c r="G153" s="76" t="str">
        <f>IFERROR(VLOOKUP(Table8[[#This Row],[Player No]],Table10[[No]:[Province]],3,0),"")</f>
        <v>UMG</v>
      </c>
      <c r="H153" s="416">
        <v>6</v>
      </c>
      <c r="I153" s="789">
        <f>Table8[[#This Row],[Points 2025]]/2+SUM(Table8[[#This Row],[O1  ADMIN 2026]:[P2           WC           CT Open   2026]])</f>
        <v>3</v>
      </c>
      <c r="J153" s="63">
        <f t="shared" si="14"/>
        <v>0</v>
      </c>
      <c r="K153" s="708">
        <f t="shared" si="15"/>
        <v>0</v>
      </c>
      <c r="L153" s="708" t="s">
        <v>6083</v>
      </c>
      <c r="M153" s="708" t="s">
        <v>6083</v>
      </c>
      <c r="N153" s="708" t="s">
        <v>6083</v>
      </c>
      <c r="O153" s="708"/>
      <c r="P153" s="708"/>
      <c r="Q153" s="708"/>
      <c r="R153" s="708"/>
      <c r="S153" s="708"/>
      <c r="T153" s="708"/>
      <c r="U153" s="708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O153" s="708"/>
      <c r="AP153" s="708"/>
    </row>
    <row r="154" spans="1:42">
      <c r="A154" s="63"/>
      <c r="B154" s="61"/>
      <c r="C154" s="77"/>
      <c r="D154" s="63">
        <f t="shared" si="16"/>
        <v>150</v>
      </c>
      <c r="E154" s="42">
        <v>4234</v>
      </c>
      <c r="F154" s="64" t="str">
        <f>IFERROR(VLOOKUP(Table8[[#This Row],[Player No]],Table10[[No]:[Province]],2,0),"")</f>
        <v>REDDY Rylan</v>
      </c>
      <c r="G154" s="76" t="str">
        <f>IFERROR(VLOOKUP(Table8[[#This Row],[Player No]],Table10[[No]:[Province]],3,0),"")</f>
        <v>UMG</v>
      </c>
      <c r="H154" s="124">
        <v>1.25</v>
      </c>
      <c r="I154" s="789">
        <f>Table8[[#This Row],[Points 2025]]/2+SUM(Table8[[#This Row],[O1  ADMIN 2026]:[P2           WC           CT Open   2026]])</f>
        <v>2.625</v>
      </c>
      <c r="J154" s="63">
        <f t="shared" si="14"/>
        <v>2</v>
      </c>
      <c r="K154" s="708">
        <f t="shared" si="15"/>
        <v>0</v>
      </c>
      <c r="L154" s="708" t="s">
        <v>6083</v>
      </c>
      <c r="M154" s="708">
        <v>1</v>
      </c>
      <c r="N154" s="708">
        <v>1</v>
      </c>
      <c r="O154" s="708"/>
      <c r="P154" s="708"/>
      <c r="Q154" s="708"/>
      <c r="R154" s="708">
        <v>1</v>
      </c>
      <c r="S154" s="708"/>
      <c r="T154" s="708">
        <v>1</v>
      </c>
      <c r="U154" s="708"/>
      <c r="V154" s="708"/>
      <c r="W154" s="708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  <c r="AO154" s="708"/>
      <c r="AP154" s="708"/>
    </row>
    <row r="155" spans="1:42">
      <c r="A155" s="63">
        <f>IFERROR(VLOOKUP(Table8[[#This Row],[Player No]],Table10[[#All],[No]:[Age Group]],4,0),"")</f>
        <v>0</v>
      </c>
      <c r="B155" s="61">
        <v>66</v>
      </c>
      <c r="C155" s="77">
        <f t="shared" ref="C155:C191" si="18">+B155-D155</f>
        <v>-85</v>
      </c>
      <c r="D155" s="63">
        <f t="shared" si="16"/>
        <v>151</v>
      </c>
      <c r="E155" s="63">
        <v>3619</v>
      </c>
      <c r="F155" s="64" t="str">
        <f>IFERROR(VLOOKUP(Table8[[#This Row],[Player No]],Table10[[No]:[Province]],2,0),"")</f>
        <v>MLABA Sphelele</v>
      </c>
      <c r="G155" s="76" t="str">
        <f>IFERROR(VLOOKUP(Table8[[#This Row],[Player No]],Table10[[No]:[Province]],3,0),"")</f>
        <v>UTH</v>
      </c>
      <c r="H155" s="124">
        <v>5.125</v>
      </c>
      <c r="I155" s="789">
        <f>Table8[[#This Row],[Points 2025]]/2+SUM(Table8[[#This Row],[O1  ADMIN 2026]:[P2           WC           CT Open   2026]])</f>
        <v>2.5625</v>
      </c>
      <c r="J155" s="63">
        <f t="shared" si="14"/>
        <v>0</v>
      </c>
      <c r="K155" s="708">
        <f t="shared" si="15"/>
        <v>0</v>
      </c>
      <c r="L155" s="708" t="s">
        <v>6083</v>
      </c>
      <c r="M155" s="708" t="s">
        <v>6083</v>
      </c>
      <c r="N155" s="708" t="s">
        <v>6083</v>
      </c>
      <c r="O155" s="708"/>
      <c r="P155" s="708"/>
      <c r="Q155" s="708"/>
      <c r="R155" s="708"/>
      <c r="S155" s="708"/>
      <c r="T155" s="708"/>
      <c r="U155" s="708"/>
      <c r="V155" s="708"/>
      <c r="W155" s="708"/>
      <c r="X155" s="708"/>
      <c r="Y155" s="708"/>
      <c r="Z155" s="708"/>
      <c r="AA155" s="708"/>
      <c r="AB155" s="708"/>
      <c r="AC155" s="708"/>
      <c r="AD155" s="708"/>
      <c r="AE155" s="708"/>
      <c r="AF155" s="708"/>
      <c r="AG155" s="708"/>
      <c r="AH155" s="708"/>
      <c r="AI155" s="708"/>
      <c r="AJ155" s="708"/>
      <c r="AK155" s="708"/>
      <c r="AL155" s="708"/>
      <c r="AM155" s="708"/>
      <c r="AO155" s="708"/>
      <c r="AP155" s="708"/>
    </row>
    <row r="156" spans="1:42">
      <c r="A156" s="63">
        <f>IFERROR(VLOOKUP(Table8[[#This Row],[Player No]],Table10[[#All],[No]:[Age Group]],4,0),"")</f>
        <v>0</v>
      </c>
      <c r="B156" s="61">
        <v>67</v>
      </c>
      <c r="C156" s="77">
        <f t="shared" si="18"/>
        <v>-85</v>
      </c>
      <c r="D156" s="63">
        <f t="shared" si="16"/>
        <v>152</v>
      </c>
      <c r="E156" s="63">
        <v>3620</v>
      </c>
      <c r="F156" s="64" t="str">
        <f>IFERROR(VLOOKUP(Table8[[#This Row],[Player No]],Table10[[No]:[Province]],2,0),"")</f>
        <v>MABASO Nhlakanipho</v>
      </c>
      <c r="G156" s="76" t="str">
        <f>IFERROR(VLOOKUP(Table8[[#This Row],[Player No]],Table10[[No]:[Province]],3,0),"")</f>
        <v>UTH</v>
      </c>
      <c r="H156" s="381">
        <v>5.125</v>
      </c>
      <c r="I156" s="789">
        <f>Table8[[#This Row],[Points 2025]]/2+SUM(Table8[[#This Row],[O1  ADMIN 2026]:[P2           WC           CT Open   2026]])</f>
        <v>2.5625</v>
      </c>
      <c r="J156" s="63">
        <f t="shared" si="14"/>
        <v>0</v>
      </c>
      <c r="K156" s="708">
        <f t="shared" si="15"/>
        <v>0</v>
      </c>
      <c r="L156" s="708" t="s">
        <v>6083</v>
      </c>
      <c r="M156" s="708" t="s">
        <v>6083</v>
      </c>
      <c r="N156" s="708" t="s">
        <v>6083</v>
      </c>
      <c r="O156" s="708"/>
      <c r="P156" s="708"/>
      <c r="Q156" s="708"/>
      <c r="R156" s="708"/>
      <c r="S156" s="708"/>
      <c r="T156" s="708"/>
      <c r="U156" s="708"/>
      <c r="V156" s="708"/>
      <c r="W156" s="708"/>
      <c r="X156" s="708"/>
      <c r="Y156" s="708"/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O156" s="708"/>
      <c r="AP156" s="708"/>
    </row>
    <row r="157" spans="1:42">
      <c r="A157" s="63">
        <f>IFERROR(VLOOKUP(Table8[[#This Row],[Player No]],Table10[[#All],[No]:[Age Group]],4,0),"")</f>
        <v>0</v>
      </c>
      <c r="B157" s="61">
        <v>69</v>
      </c>
      <c r="C157" s="77">
        <f t="shared" si="18"/>
        <v>-84</v>
      </c>
      <c r="D157" s="63">
        <f t="shared" si="16"/>
        <v>153</v>
      </c>
      <c r="E157" s="63">
        <v>3765</v>
      </c>
      <c r="F157" s="64" t="str">
        <f>IFERROR(VLOOKUP(Table8[[#This Row],[Player No]],Table10[[No]:[Province]],2,0),"")</f>
        <v>MBADA Phikolwethu</v>
      </c>
      <c r="G157" s="76" t="str">
        <f>IFERROR(VLOOKUP(Table8[[#This Row],[Player No]],Table10[[No]:[Province]],3,0),"")</f>
        <v>EC</v>
      </c>
      <c r="H157" s="381">
        <v>5.125</v>
      </c>
      <c r="I157" s="789">
        <f>Table8[[#This Row],[Points 2025]]/2+SUM(Table8[[#This Row],[O1  ADMIN 2026]:[P2           WC           CT Open   2026]])</f>
        <v>2.5625</v>
      </c>
      <c r="J157" s="63">
        <f t="shared" si="14"/>
        <v>0</v>
      </c>
      <c r="K157" s="708">
        <f t="shared" si="15"/>
        <v>0</v>
      </c>
      <c r="L157" s="708" t="s">
        <v>6083</v>
      </c>
      <c r="M157" s="708" t="s">
        <v>6083</v>
      </c>
      <c r="N157" s="708" t="s">
        <v>6083</v>
      </c>
      <c r="O157" s="708"/>
      <c r="P157" s="708"/>
      <c r="Q157" s="708"/>
      <c r="R157" s="708"/>
      <c r="S157" s="708"/>
      <c r="T157" s="708"/>
      <c r="U157" s="708"/>
      <c r="V157" s="708"/>
      <c r="W157" s="708"/>
      <c r="X157" s="708"/>
      <c r="Y157" s="708"/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O157" s="714"/>
      <c r="AP157" s="714"/>
    </row>
    <row r="158" spans="1:42">
      <c r="A158" s="63">
        <f>IFERROR(VLOOKUP(Table8[[#This Row],[Player No]],Table10[[#All],[No]:[Age Group]],4,0),"")</f>
        <v>0</v>
      </c>
      <c r="B158" s="61">
        <v>65</v>
      </c>
      <c r="C158" s="77">
        <f t="shared" si="18"/>
        <v>-89</v>
      </c>
      <c r="D158" s="63">
        <f t="shared" si="16"/>
        <v>154</v>
      </c>
      <c r="E158" s="63">
        <v>3766</v>
      </c>
      <c r="F158" s="64" t="str">
        <f>IFERROR(VLOOKUP(Table8[[#This Row],[Player No]],Table10[[No]:[Province]],2,0),"")</f>
        <v>MVULA Chumani</v>
      </c>
      <c r="G158" s="76" t="str">
        <f>IFERROR(VLOOKUP(Table8[[#This Row],[Player No]],Table10[[No]:[Province]],3,0),"")</f>
        <v>EC</v>
      </c>
      <c r="H158" s="381">
        <v>5.125</v>
      </c>
      <c r="I158" s="789">
        <f>Table8[[#This Row],[Points 2025]]/2+SUM(Table8[[#This Row],[O1  ADMIN 2026]:[P2           WC           CT Open   2026]])</f>
        <v>2.5625</v>
      </c>
      <c r="J158" s="63">
        <f t="shared" si="14"/>
        <v>0</v>
      </c>
      <c r="K158" s="708">
        <f t="shared" si="15"/>
        <v>0</v>
      </c>
      <c r="L158" s="708" t="s">
        <v>6083</v>
      </c>
      <c r="M158" s="708" t="s">
        <v>6083</v>
      </c>
      <c r="N158" s="708" t="s">
        <v>6083</v>
      </c>
      <c r="O158" s="708"/>
      <c r="P158" s="708"/>
      <c r="Q158" s="708"/>
      <c r="R158" s="708"/>
      <c r="S158" s="708"/>
      <c r="T158" s="708"/>
      <c r="U158" s="708"/>
      <c r="V158" s="708"/>
      <c r="W158" s="708"/>
      <c r="X158" s="708"/>
      <c r="Y158" s="708"/>
      <c r="Z158" s="708"/>
      <c r="AA158" s="708"/>
      <c r="AB158" s="708"/>
      <c r="AC158" s="708"/>
      <c r="AD158" s="708"/>
      <c r="AE158" s="708"/>
      <c r="AF158" s="708"/>
      <c r="AG158" s="708"/>
      <c r="AH158" s="708"/>
      <c r="AI158" s="708"/>
      <c r="AJ158" s="708"/>
      <c r="AK158" s="708"/>
      <c r="AL158" s="708"/>
      <c r="AM158" s="708"/>
      <c r="AO158" s="708"/>
      <c r="AP158" s="708"/>
    </row>
    <row r="159" spans="1:42">
      <c r="A159" s="63">
        <f>IFERROR(VLOOKUP(Table8[[#This Row],[Player No]],Table10[[#All],[No]:[Age Group]],4,0),"")</f>
        <v>0</v>
      </c>
      <c r="B159" s="61">
        <v>68</v>
      </c>
      <c r="C159" s="77">
        <f t="shared" si="18"/>
        <v>-87</v>
      </c>
      <c r="D159" s="63">
        <f t="shared" si="16"/>
        <v>155</v>
      </c>
      <c r="E159" s="63">
        <v>3775</v>
      </c>
      <c r="F159" s="64" t="str">
        <f>IFERROR(VLOOKUP(Table8[[#This Row],[Player No]],Table10[[No]:[Province]],2,0),"")</f>
        <v>MAGWINYA Olwami</v>
      </c>
      <c r="G159" s="76" t="str">
        <f>IFERROR(VLOOKUP(Table8[[#This Row],[Player No]],Table10[[No]:[Province]],3,0),"")</f>
        <v>UMG</v>
      </c>
      <c r="H159" s="921">
        <v>5.125</v>
      </c>
      <c r="I159" s="789">
        <f>Table8[[#This Row],[Points 2025]]/2+SUM(Table8[[#This Row],[O1  ADMIN 2026]:[P2           WC           CT Open   2026]])</f>
        <v>2.5625</v>
      </c>
      <c r="J159" s="63">
        <f t="shared" si="14"/>
        <v>0</v>
      </c>
      <c r="K159" s="708">
        <f t="shared" si="15"/>
        <v>0</v>
      </c>
      <c r="L159" s="708" t="s">
        <v>6083</v>
      </c>
      <c r="M159" s="708" t="s">
        <v>6083</v>
      </c>
      <c r="N159" s="708" t="s">
        <v>6083</v>
      </c>
      <c r="O159" s="708"/>
      <c r="P159" s="708"/>
      <c r="Q159" s="708"/>
      <c r="R159" s="708"/>
      <c r="S159" s="708"/>
      <c r="T159" s="708"/>
      <c r="U159" s="708"/>
      <c r="V159" s="708"/>
      <c r="W159" s="708"/>
      <c r="X159" s="708"/>
      <c r="Y159" s="708"/>
      <c r="Z159" s="708"/>
      <c r="AA159" s="708"/>
      <c r="AB159" s="708"/>
      <c r="AC159" s="708"/>
      <c r="AD159" s="708"/>
      <c r="AE159" s="708"/>
      <c r="AF159" s="708"/>
      <c r="AG159" s="708"/>
      <c r="AH159" s="708"/>
      <c r="AI159" s="708"/>
      <c r="AJ159" s="708"/>
      <c r="AK159" s="708"/>
      <c r="AL159" s="708"/>
      <c r="AM159" s="708"/>
      <c r="AO159" s="708"/>
      <c r="AP159" s="708"/>
    </row>
    <row r="160" spans="1:42">
      <c r="A160" s="389"/>
      <c r="B160" s="389"/>
      <c r="C160" s="390">
        <f t="shared" si="18"/>
        <v>-156</v>
      </c>
      <c r="D160" s="63">
        <f t="shared" si="16"/>
        <v>156</v>
      </c>
      <c r="E160" s="392">
        <v>4684</v>
      </c>
      <c r="F160" s="663" t="str">
        <f>IFERROR(VLOOKUP(Table8[[#This Row],[Player No]],Table10[[No]:[Province]],2,0),"")</f>
        <v>Muhammad BHOLAT</v>
      </c>
      <c r="G160" s="392" t="str">
        <f>IFERROR(VLOOKUP(Table8[[#This Row],[Player No]],Table10[[No]:[Province]],3,0),"")</f>
        <v>JTTA</v>
      </c>
      <c r="H160" s="358">
        <v>5.125</v>
      </c>
      <c r="I160" s="822">
        <f>Table8[[#This Row],[Points 2025]]/2+SUM(Table8[[#This Row],[O1  ADMIN 2026]:[P2           WC           CT Open   2026]])</f>
        <v>2.5625</v>
      </c>
      <c r="J160" s="63">
        <f t="shared" si="14"/>
        <v>0</v>
      </c>
      <c r="K160" s="714">
        <f t="shared" si="15"/>
        <v>0</v>
      </c>
      <c r="L160" s="714" t="s">
        <v>6083</v>
      </c>
      <c r="M160" s="714" t="s">
        <v>6083</v>
      </c>
      <c r="N160" s="714" t="s">
        <v>6083</v>
      </c>
      <c r="O160" s="714"/>
      <c r="P160" s="714"/>
      <c r="Q160" s="714"/>
      <c r="R160" s="714"/>
      <c r="S160" s="714"/>
      <c r="T160" s="714"/>
      <c r="U160" s="714"/>
      <c r="V160" s="714"/>
      <c r="W160" s="714"/>
      <c r="X160" s="714"/>
      <c r="Y160" s="714">
        <v>5</v>
      </c>
      <c r="Z160" s="714"/>
      <c r="AA160" s="714"/>
      <c r="AB160" s="714">
        <v>1</v>
      </c>
      <c r="AC160" s="714"/>
      <c r="AD160" s="714"/>
      <c r="AE160" s="714"/>
      <c r="AF160" s="714"/>
      <c r="AG160" s="714"/>
      <c r="AH160" s="714"/>
      <c r="AI160" s="714"/>
      <c r="AJ160" s="714"/>
      <c r="AK160" s="714"/>
      <c r="AL160" s="714"/>
      <c r="AM160" s="714"/>
      <c r="AO160" s="708"/>
      <c r="AP160" s="708"/>
    </row>
    <row r="161" spans="1:890">
      <c r="A161" s="63">
        <f>IFERROR(VLOOKUP(Table8[[#This Row],[Player No]],Table10[[#All],[No]:[Age Group]],4,0),"")</f>
        <v>0</v>
      </c>
      <c r="B161" s="61">
        <v>168</v>
      </c>
      <c r="C161" s="77">
        <f t="shared" si="18"/>
        <v>11</v>
      </c>
      <c r="D161" s="63">
        <f t="shared" si="16"/>
        <v>157</v>
      </c>
      <c r="E161" s="63">
        <v>4020</v>
      </c>
      <c r="F161" s="64" t="str">
        <f>IFERROR(VLOOKUP(Table8[[#This Row],[Player No]],Table10[[No]:[Province]],2,0),"")</f>
        <v>MANSFIELD Joshua</v>
      </c>
      <c r="G161" s="76" t="str">
        <f>IFERROR(VLOOKUP(Table8[[#This Row],[Player No]],Table10[[No]:[Province]],3,0),"")</f>
        <v>Eden</v>
      </c>
      <c r="H161" s="124">
        <v>5.125</v>
      </c>
      <c r="I161" s="789">
        <f>Table8[[#This Row],[Points 2025]]/2+SUM(Table8[[#This Row],[O1  ADMIN 2026]:[P2           WC           CT Open   2026]])</f>
        <v>2.5625</v>
      </c>
      <c r="J161" s="63">
        <f t="shared" si="14"/>
        <v>0</v>
      </c>
      <c r="K161" s="708">
        <f t="shared" si="15"/>
        <v>0</v>
      </c>
      <c r="L161" s="708" t="s">
        <v>6083</v>
      </c>
      <c r="M161" s="708" t="s">
        <v>6083</v>
      </c>
      <c r="N161" s="708" t="s">
        <v>6083</v>
      </c>
      <c r="O161" s="708"/>
      <c r="P161" s="708"/>
      <c r="Q161" s="708"/>
      <c r="R161" s="708"/>
      <c r="S161" s="708"/>
      <c r="T161" s="708"/>
      <c r="U161" s="708"/>
      <c r="V161" s="708"/>
      <c r="W161" s="708"/>
      <c r="X161" s="708"/>
      <c r="Y161" s="708"/>
      <c r="Z161" s="708"/>
      <c r="AA161" s="708"/>
      <c r="AB161" s="708"/>
      <c r="AC161" s="708"/>
      <c r="AD161" s="708"/>
      <c r="AE161" s="708"/>
      <c r="AF161" s="708"/>
      <c r="AG161" s="708">
        <v>2</v>
      </c>
      <c r="AH161" s="708">
        <v>10</v>
      </c>
      <c r="AI161" s="708"/>
      <c r="AJ161" s="708"/>
      <c r="AK161" s="708"/>
      <c r="AL161" s="708"/>
      <c r="AM161" s="708"/>
      <c r="AO161" s="708"/>
      <c r="AP161" s="708"/>
    </row>
    <row r="162" spans="1:890">
      <c r="A162" s="172"/>
      <c r="B162" s="172"/>
      <c r="C162" s="168">
        <f t="shared" si="18"/>
        <v>-158</v>
      </c>
      <c r="D162" s="63">
        <f t="shared" si="16"/>
        <v>158</v>
      </c>
      <c r="E162" s="169">
        <v>3749</v>
      </c>
      <c r="F162" s="64" t="str">
        <f>IFERROR(VLOOKUP(Table8[[#This Row],[Player No]],Table10[[No]:[Province]],2,0),"")</f>
        <v>LEKHOTLA Lebohang</v>
      </c>
      <c r="G162" s="76" t="str">
        <f>IFERROR(VLOOKUP(Table8[[#This Row],[Player No]],Table10[[No]:[Province]],3,0),"")</f>
        <v>FS</v>
      </c>
      <c r="H162" s="110">
        <v>5.03125</v>
      </c>
      <c r="I162" s="821">
        <f>Table8[[#This Row],[Points 2025]]/2+SUM(Table8[[#This Row],[O1  ADMIN 2026]:[P2           WC           CT Open   2026]])</f>
        <v>2.515625</v>
      </c>
      <c r="J162" s="63">
        <f t="shared" si="14"/>
        <v>0</v>
      </c>
      <c r="K162" s="708">
        <f t="shared" si="15"/>
        <v>0</v>
      </c>
      <c r="L162" s="708" t="s">
        <v>6083</v>
      </c>
      <c r="M162" s="708" t="s">
        <v>6083</v>
      </c>
      <c r="N162" s="708" t="s">
        <v>6083</v>
      </c>
      <c r="O162" s="708"/>
      <c r="P162" s="713"/>
      <c r="Q162" s="713"/>
      <c r="R162" s="713"/>
      <c r="S162" s="713"/>
      <c r="T162" s="713"/>
      <c r="U162" s="713"/>
      <c r="V162" s="713" t="s">
        <v>4722</v>
      </c>
      <c r="W162" s="713"/>
      <c r="X162" s="713"/>
      <c r="Y162" s="713">
        <v>5</v>
      </c>
      <c r="Z162" s="713"/>
      <c r="AA162" s="713"/>
      <c r="AB162" s="713"/>
      <c r="AC162" s="713">
        <v>1</v>
      </c>
      <c r="AD162" s="713"/>
      <c r="AE162" s="713"/>
      <c r="AF162" s="713"/>
      <c r="AG162" s="713"/>
      <c r="AH162" s="713"/>
      <c r="AI162" s="713"/>
      <c r="AJ162" s="713"/>
      <c r="AK162" s="713"/>
      <c r="AL162" s="713"/>
      <c r="AM162" s="713"/>
      <c r="AO162" s="708"/>
      <c r="AP162" s="708"/>
    </row>
    <row r="163" spans="1:890">
      <c r="A163" s="172"/>
      <c r="B163" s="172"/>
      <c r="C163" s="168">
        <f t="shared" si="18"/>
        <v>-159</v>
      </c>
      <c r="D163" s="63">
        <f t="shared" si="16"/>
        <v>159</v>
      </c>
      <c r="E163" s="169">
        <v>4112</v>
      </c>
      <c r="F163" s="64" t="str">
        <f>IFERROR(VLOOKUP(Table8[[#This Row],[Player No]],Table10[[No]:[Province]],2,0),"")</f>
        <v>Faizan HOOSEN</v>
      </c>
      <c r="G163" s="76" t="str">
        <f>IFERROR(VLOOKUP(Table8[[#This Row],[Player No]],Table10[[No]:[Province]],3,0),"")</f>
        <v>JTTA</v>
      </c>
      <c r="H163" s="124">
        <v>5</v>
      </c>
      <c r="I163" s="821">
        <f>Table8[[#This Row],[Points 2025]]/2+SUM(Table8[[#This Row],[O1  ADMIN 2026]:[P2           WC           CT Open   2026]])</f>
        <v>2.5</v>
      </c>
      <c r="J163" s="63">
        <f t="shared" si="14"/>
        <v>0</v>
      </c>
      <c r="K163" s="708">
        <f t="shared" si="15"/>
        <v>0</v>
      </c>
      <c r="L163" s="708" t="s">
        <v>6083</v>
      </c>
      <c r="M163" s="708" t="s">
        <v>6083</v>
      </c>
      <c r="N163" s="708" t="s">
        <v>6083</v>
      </c>
      <c r="O163" s="708"/>
      <c r="P163" s="713"/>
      <c r="Q163" s="713"/>
      <c r="R163" s="713"/>
      <c r="S163" s="713"/>
      <c r="T163" s="713"/>
      <c r="U163" s="713"/>
      <c r="V163" s="713" t="s">
        <v>4722</v>
      </c>
      <c r="W163" s="713"/>
      <c r="X163" s="713"/>
      <c r="Y163" s="713">
        <v>5</v>
      </c>
      <c r="Z163" s="713"/>
      <c r="AA163" s="713"/>
      <c r="AB163" s="713"/>
      <c r="AC163" s="713">
        <v>1</v>
      </c>
      <c r="AD163" s="713"/>
      <c r="AE163" s="713"/>
      <c r="AF163" s="713"/>
      <c r="AG163" s="713"/>
      <c r="AH163" s="713"/>
      <c r="AI163" s="713"/>
      <c r="AJ163" s="713"/>
      <c r="AK163" s="713"/>
      <c r="AL163" s="713"/>
      <c r="AM163" s="713"/>
      <c r="AO163" s="738"/>
      <c r="AP163" s="738"/>
    </row>
    <row r="164" spans="1:890">
      <c r="A164" s="172"/>
      <c r="B164" s="172"/>
      <c r="C164" s="168">
        <f t="shared" si="18"/>
        <v>-160</v>
      </c>
      <c r="D164" s="63">
        <f t="shared" si="16"/>
        <v>160</v>
      </c>
      <c r="E164" s="169">
        <v>4114</v>
      </c>
      <c r="F164" s="64" t="str">
        <f>IFERROR(VLOOKUP(Table8[[#This Row],[Player No]],Table10[[No]:[Province]],2,0),"")</f>
        <v>Zayd HOOSEN</v>
      </c>
      <c r="G164" s="76" t="str">
        <f>IFERROR(VLOOKUP(Table8[[#This Row],[Player No]],Table10[[No]:[Province]],3,0),"")</f>
        <v>JTTA</v>
      </c>
      <c r="H164" s="124">
        <v>4.5</v>
      </c>
      <c r="I164" s="821">
        <f>Table8[[#This Row],[Points 2025]]/2+SUM(Table8[[#This Row],[O1  ADMIN 2026]:[P2           WC           CT Open   2026]])</f>
        <v>2.25</v>
      </c>
      <c r="J164" s="63">
        <f t="shared" si="14"/>
        <v>0</v>
      </c>
      <c r="K164" s="708">
        <f t="shared" si="15"/>
        <v>0</v>
      </c>
      <c r="L164" s="708" t="s">
        <v>6083</v>
      </c>
      <c r="M164" s="708" t="s">
        <v>6083</v>
      </c>
      <c r="N164" s="708" t="s">
        <v>6083</v>
      </c>
      <c r="O164" s="708"/>
      <c r="P164" s="713"/>
      <c r="Q164" s="713"/>
      <c r="R164" s="713"/>
      <c r="S164" s="713"/>
      <c r="T164" s="713"/>
      <c r="U164" s="713"/>
      <c r="V164" s="713" t="s">
        <v>4722</v>
      </c>
      <c r="W164" s="713"/>
      <c r="X164" s="713"/>
      <c r="Y164" s="713">
        <v>5</v>
      </c>
      <c r="Z164" s="713"/>
      <c r="AA164" s="713"/>
      <c r="AB164" s="713"/>
      <c r="AC164" s="713">
        <v>1</v>
      </c>
      <c r="AD164" s="713"/>
      <c r="AE164" s="713"/>
      <c r="AF164" s="713"/>
      <c r="AG164" s="713"/>
      <c r="AH164" s="713"/>
      <c r="AI164" s="713"/>
      <c r="AJ164" s="713"/>
      <c r="AK164" s="713"/>
      <c r="AL164" s="713"/>
      <c r="AM164" s="713"/>
      <c r="AO164" s="738"/>
      <c r="AP164" s="738"/>
    </row>
    <row r="165" spans="1:890" s="346" customFormat="1">
      <c r="A165" s="1097"/>
      <c r="B165" s="1097"/>
      <c r="C165" s="918">
        <f t="shared" si="18"/>
        <v>-161</v>
      </c>
      <c r="D165" s="63">
        <f t="shared" si="16"/>
        <v>161</v>
      </c>
      <c r="E165" s="919">
        <v>4364</v>
      </c>
      <c r="F165" s="64" t="str">
        <f>IFERROR(VLOOKUP(Table8[[#This Row],[Player No]],Table10[[No]:[Province]],2,0),"")</f>
        <v>PAUL Ishaan</v>
      </c>
      <c r="G165" s="76" t="str">
        <f>IFERROR(VLOOKUP(Table8[[#This Row],[Player No]],Table10[[No]:[Province]],3,0),"")</f>
        <v>ETTA</v>
      </c>
      <c r="H165" s="124">
        <v>4.125</v>
      </c>
      <c r="I165" s="921">
        <f>Table8[[#This Row],[Points 2025]]/2+SUM(Table8[[#This Row],[O1  ADMIN 2026]:[P2           WC           CT Open   2026]])</f>
        <v>2.0625</v>
      </c>
      <c r="J165" s="63">
        <f t="shared" si="14"/>
        <v>0</v>
      </c>
      <c r="K165" s="738">
        <f t="shared" si="15"/>
        <v>0</v>
      </c>
      <c r="L165" s="738" t="s">
        <v>6083</v>
      </c>
      <c r="M165" s="738" t="s">
        <v>6083</v>
      </c>
      <c r="N165" s="738" t="s">
        <v>6083</v>
      </c>
      <c r="O165" s="738"/>
      <c r="P165" s="738"/>
      <c r="Q165" s="738"/>
      <c r="R165" s="738"/>
      <c r="S165" s="738">
        <v>1</v>
      </c>
      <c r="T165" s="738"/>
      <c r="U165" s="738"/>
      <c r="V165" s="738"/>
      <c r="W165" s="738"/>
      <c r="X165" s="738"/>
      <c r="Y165" s="738">
        <v>5</v>
      </c>
      <c r="Z165" s="738"/>
      <c r="AA165" s="738"/>
      <c r="AB165" s="738"/>
      <c r="AC165" s="738"/>
      <c r="AD165" s="738"/>
      <c r="AE165" s="738"/>
      <c r="AF165" s="738"/>
      <c r="AG165" s="738"/>
      <c r="AH165" s="738"/>
      <c r="AI165" s="738"/>
      <c r="AJ165" s="738"/>
      <c r="AK165" s="738"/>
      <c r="AL165" s="738"/>
      <c r="AM165" s="738"/>
      <c r="AN165" s="81"/>
      <c r="AO165" s="708"/>
      <c r="AP165" s="708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  <c r="DN165" s="81"/>
      <c r="DO165" s="81"/>
      <c r="DP165" s="81"/>
      <c r="DQ165" s="81"/>
      <c r="DR165" s="81"/>
      <c r="DS165" s="81"/>
      <c r="DT165" s="81"/>
      <c r="DU165" s="81"/>
      <c r="DV165" s="81"/>
      <c r="DW165" s="81"/>
      <c r="DX165" s="81"/>
      <c r="DY165" s="81"/>
      <c r="DZ165" s="81"/>
      <c r="EA165" s="81"/>
      <c r="EB165" s="81"/>
      <c r="EC165" s="81"/>
      <c r="ED165" s="81"/>
      <c r="EE165" s="81"/>
      <c r="EF165" s="81"/>
      <c r="EG165" s="81"/>
      <c r="EH165" s="81"/>
      <c r="EI165" s="81"/>
      <c r="EJ165" s="81"/>
      <c r="EK165" s="81"/>
      <c r="EL165" s="81"/>
      <c r="EM165" s="81"/>
      <c r="EN165" s="81"/>
      <c r="EO165" s="81"/>
      <c r="EP165" s="81"/>
      <c r="EQ165" s="81"/>
      <c r="ER165" s="81"/>
      <c r="ES165" s="81"/>
      <c r="ET165" s="81"/>
      <c r="EU165" s="81"/>
      <c r="EV165" s="81"/>
      <c r="EW165" s="81"/>
      <c r="EX165" s="81"/>
      <c r="EY165" s="81"/>
      <c r="EZ165" s="81"/>
      <c r="FA165" s="81"/>
      <c r="FB165" s="81"/>
      <c r="FC165" s="81"/>
      <c r="FD165" s="81"/>
      <c r="FE165" s="81"/>
      <c r="FF165" s="81"/>
      <c r="FG165" s="81"/>
      <c r="FH165" s="81"/>
      <c r="FI165" s="81"/>
      <c r="FJ165" s="81"/>
      <c r="FK165" s="81"/>
      <c r="FL165" s="81"/>
      <c r="FM165" s="81"/>
      <c r="FN165" s="81"/>
      <c r="FO165" s="81"/>
      <c r="FP165" s="81"/>
      <c r="FQ165" s="81"/>
      <c r="FR165" s="81"/>
      <c r="FS165" s="81"/>
      <c r="FT165" s="81"/>
      <c r="FU165" s="81"/>
      <c r="FV165" s="81"/>
      <c r="FW165" s="81"/>
      <c r="FX165" s="81"/>
      <c r="FY165" s="81"/>
      <c r="FZ165" s="81"/>
      <c r="GA165" s="81"/>
      <c r="GB165" s="81"/>
      <c r="GC165" s="81"/>
      <c r="GD165" s="81"/>
      <c r="GE165" s="81"/>
      <c r="GF165" s="81"/>
      <c r="GG165" s="81"/>
      <c r="GH165" s="81"/>
      <c r="GI165" s="81"/>
      <c r="GJ165" s="81"/>
      <c r="GK165" s="81"/>
      <c r="GL165" s="81"/>
      <c r="GM165" s="81"/>
      <c r="GN165" s="81"/>
      <c r="GO165" s="81"/>
      <c r="GP165" s="81"/>
      <c r="GQ165" s="81"/>
      <c r="GR165" s="81"/>
      <c r="GS165" s="81"/>
      <c r="GT165" s="81"/>
      <c r="GU165" s="81"/>
      <c r="GV165" s="81"/>
      <c r="GW165" s="81"/>
      <c r="GX165" s="81"/>
      <c r="GY165" s="81"/>
      <c r="GZ165" s="81"/>
      <c r="HA165" s="81"/>
      <c r="HB165" s="81"/>
      <c r="HC165" s="81"/>
      <c r="HD165" s="81"/>
      <c r="HE165" s="81"/>
      <c r="HF165" s="81"/>
      <c r="HG165" s="81"/>
      <c r="HH165" s="81"/>
      <c r="HI165" s="81"/>
      <c r="HJ165" s="81"/>
      <c r="HK165" s="81"/>
      <c r="HL165" s="81"/>
      <c r="HM165" s="81"/>
      <c r="HN165" s="81"/>
      <c r="HO165" s="81"/>
      <c r="HP165" s="81"/>
      <c r="HQ165" s="81"/>
      <c r="HR165" s="81"/>
      <c r="HS165" s="81"/>
      <c r="HT165" s="81"/>
      <c r="HU165" s="81"/>
      <c r="HV165" s="81"/>
      <c r="HW165" s="81"/>
      <c r="HX165" s="81"/>
      <c r="HY165" s="81"/>
      <c r="HZ165" s="81"/>
      <c r="IA165" s="81"/>
      <c r="IB165" s="81"/>
      <c r="IC165" s="81"/>
      <c r="ID165" s="81"/>
      <c r="IE165" s="81"/>
      <c r="IF165" s="81"/>
      <c r="IG165" s="81"/>
      <c r="IH165" s="81"/>
      <c r="II165" s="81"/>
      <c r="IJ165" s="81"/>
      <c r="IK165" s="81"/>
      <c r="IL165" s="81"/>
      <c r="IM165" s="81"/>
      <c r="IN165" s="81"/>
      <c r="IO165" s="81"/>
      <c r="IP165" s="81"/>
      <c r="IQ165" s="81"/>
      <c r="IR165" s="81"/>
      <c r="IS165" s="81"/>
      <c r="IT165" s="81"/>
      <c r="IU165" s="81"/>
      <c r="IV165" s="81"/>
      <c r="IW165" s="81"/>
      <c r="IX165" s="81"/>
      <c r="IY165" s="81"/>
      <c r="IZ165" s="81"/>
      <c r="JA165" s="81"/>
      <c r="JB165" s="81"/>
      <c r="JC165" s="81"/>
      <c r="JD165" s="81"/>
      <c r="JE165" s="81"/>
      <c r="JF165" s="81"/>
      <c r="JG165" s="81"/>
      <c r="JH165" s="81"/>
      <c r="JI165" s="81"/>
      <c r="JJ165" s="81"/>
      <c r="JK165" s="81"/>
      <c r="JL165" s="81"/>
      <c r="JM165" s="81"/>
      <c r="JN165" s="81"/>
      <c r="JO165" s="81"/>
      <c r="JP165" s="81"/>
      <c r="JQ165" s="81"/>
      <c r="JR165" s="81"/>
      <c r="JS165" s="81"/>
      <c r="JT165" s="81"/>
      <c r="JU165" s="81"/>
      <c r="JV165" s="81"/>
      <c r="JW165" s="81"/>
      <c r="JX165" s="81"/>
      <c r="JY165" s="81"/>
      <c r="JZ165" s="81"/>
      <c r="KA165" s="81"/>
      <c r="KB165" s="81"/>
      <c r="KC165" s="81"/>
      <c r="KD165" s="81"/>
      <c r="KE165" s="81"/>
      <c r="KF165" s="81"/>
      <c r="KG165" s="81"/>
      <c r="KH165" s="81"/>
      <c r="KI165" s="81"/>
      <c r="KJ165" s="81"/>
      <c r="KK165" s="81"/>
      <c r="KL165" s="81"/>
      <c r="KM165" s="81"/>
      <c r="KN165" s="81"/>
      <c r="KO165" s="81"/>
      <c r="KP165" s="81"/>
      <c r="KQ165" s="81"/>
      <c r="KR165" s="81"/>
      <c r="KS165" s="81"/>
      <c r="KT165" s="81"/>
      <c r="KU165" s="81"/>
      <c r="KV165" s="81"/>
      <c r="KW165" s="81"/>
      <c r="KX165" s="81"/>
      <c r="KY165" s="81"/>
      <c r="KZ165" s="81"/>
      <c r="LA165" s="81"/>
      <c r="LB165" s="81"/>
      <c r="LC165" s="81"/>
      <c r="LD165" s="81"/>
      <c r="LE165" s="81"/>
      <c r="LF165" s="81"/>
      <c r="LG165" s="81"/>
      <c r="LH165" s="81"/>
      <c r="LI165" s="81"/>
      <c r="LJ165" s="81"/>
      <c r="LK165" s="81"/>
      <c r="LL165" s="81"/>
      <c r="LM165" s="81"/>
      <c r="LN165" s="81"/>
      <c r="LO165" s="81"/>
      <c r="LP165" s="81"/>
      <c r="LQ165" s="81"/>
      <c r="LR165" s="81"/>
      <c r="LS165" s="81"/>
      <c r="LT165" s="81"/>
      <c r="LU165" s="81"/>
      <c r="LV165" s="81"/>
      <c r="LW165" s="81"/>
      <c r="LX165" s="81"/>
      <c r="LY165" s="81"/>
      <c r="LZ165" s="81"/>
      <c r="MA165" s="81"/>
      <c r="MB165" s="81"/>
      <c r="MC165" s="81"/>
      <c r="MD165" s="81"/>
      <c r="ME165" s="81"/>
      <c r="MF165" s="81"/>
      <c r="MG165" s="81"/>
      <c r="MH165" s="81"/>
      <c r="MI165" s="81"/>
      <c r="MJ165" s="81"/>
      <c r="MK165" s="81"/>
      <c r="ML165" s="81"/>
      <c r="MM165" s="81"/>
      <c r="MN165" s="81"/>
      <c r="MO165" s="81"/>
      <c r="MP165" s="81"/>
      <c r="MQ165" s="81"/>
      <c r="MR165" s="81"/>
      <c r="MS165" s="81"/>
      <c r="MT165" s="81"/>
      <c r="MU165" s="81"/>
      <c r="MV165" s="81"/>
      <c r="MW165" s="81"/>
      <c r="MX165" s="81"/>
      <c r="MY165" s="81"/>
      <c r="MZ165" s="81"/>
      <c r="NA165" s="81"/>
      <c r="NB165" s="81"/>
      <c r="NC165" s="81"/>
      <c r="ND165" s="81"/>
      <c r="NE165" s="81"/>
      <c r="NF165" s="81"/>
      <c r="NG165" s="81"/>
      <c r="NH165" s="81"/>
      <c r="NI165" s="81"/>
      <c r="NJ165" s="81"/>
      <c r="NK165" s="81"/>
      <c r="NL165" s="81"/>
      <c r="NM165" s="81"/>
      <c r="NN165" s="81"/>
      <c r="NO165" s="81"/>
      <c r="NP165" s="81"/>
      <c r="NQ165" s="81"/>
      <c r="NR165" s="81"/>
      <c r="NS165" s="81"/>
      <c r="NT165" s="81"/>
      <c r="NU165" s="81"/>
      <c r="NV165" s="81"/>
      <c r="NW165" s="81"/>
      <c r="NX165" s="81"/>
      <c r="NY165" s="81"/>
      <c r="NZ165" s="81"/>
      <c r="OA165" s="81"/>
      <c r="OB165" s="81"/>
      <c r="OC165" s="81"/>
      <c r="OD165" s="81"/>
      <c r="OE165" s="81"/>
      <c r="OF165" s="81"/>
      <c r="OG165" s="81"/>
      <c r="OH165" s="81"/>
      <c r="OI165" s="81"/>
      <c r="OJ165" s="81"/>
      <c r="OK165" s="81"/>
      <c r="OL165" s="81"/>
      <c r="OM165" s="81"/>
      <c r="ON165" s="81"/>
      <c r="OO165" s="81"/>
      <c r="OP165" s="81"/>
      <c r="OQ165" s="81"/>
      <c r="OR165" s="81"/>
      <c r="OS165" s="81"/>
      <c r="OT165" s="81"/>
      <c r="OU165" s="81"/>
      <c r="OV165" s="81"/>
      <c r="OW165" s="81"/>
      <c r="OX165" s="81"/>
      <c r="OY165" s="81"/>
      <c r="OZ165" s="81"/>
      <c r="PA165" s="81"/>
      <c r="PB165" s="81"/>
      <c r="PC165" s="81"/>
      <c r="PD165" s="81"/>
      <c r="PE165" s="81"/>
      <c r="PF165" s="81"/>
      <c r="PG165" s="81"/>
      <c r="PH165" s="81"/>
      <c r="PI165" s="81"/>
      <c r="PJ165" s="81"/>
      <c r="PK165" s="81"/>
      <c r="PL165" s="81"/>
      <c r="PM165" s="81"/>
      <c r="PN165" s="81"/>
      <c r="PO165" s="81"/>
      <c r="PP165" s="81"/>
      <c r="PQ165" s="81"/>
      <c r="PR165" s="81"/>
      <c r="PS165" s="81"/>
      <c r="PT165" s="81"/>
      <c r="PU165" s="81"/>
      <c r="PV165" s="81"/>
      <c r="PW165" s="81"/>
      <c r="PX165" s="81"/>
      <c r="PY165" s="81"/>
      <c r="PZ165" s="81"/>
      <c r="QA165" s="81"/>
      <c r="QB165" s="81"/>
      <c r="QC165" s="81"/>
      <c r="QD165" s="81"/>
      <c r="QE165" s="81"/>
      <c r="QF165" s="81"/>
      <c r="QG165" s="81"/>
      <c r="QH165" s="81"/>
      <c r="QI165" s="81"/>
      <c r="QJ165" s="81"/>
      <c r="QK165" s="81"/>
      <c r="QL165" s="81"/>
      <c r="QM165" s="81"/>
      <c r="QN165" s="81"/>
      <c r="QO165" s="81"/>
      <c r="QP165" s="81"/>
      <c r="QQ165" s="81"/>
      <c r="QR165" s="81"/>
      <c r="QS165" s="81"/>
      <c r="QT165" s="81"/>
      <c r="QU165" s="81"/>
      <c r="QV165" s="81"/>
      <c r="QW165" s="81"/>
      <c r="QX165" s="81"/>
      <c r="QY165" s="81"/>
      <c r="QZ165" s="81"/>
      <c r="RA165" s="81"/>
      <c r="RB165" s="81"/>
      <c r="RC165" s="81"/>
      <c r="RD165" s="81"/>
      <c r="RE165" s="81"/>
      <c r="RF165" s="81"/>
      <c r="RG165" s="81"/>
      <c r="RH165" s="81"/>
      <c r="RI165" s="81"/>
      <c r="RJ165" s="81"/>
      <c r="RK165" s="81"/>
      <c r="RL165" s="81"/>
      <c r="RM165" s="81"/>
      <c r="RN165" s="81"/>
      <c r="RO165" s="81"/>
      <c r="RP165" s="81"/>
      <c r="RQ165" s="81"/>
      <c r="RR165" s="81"/>
      <c r="RS165" s="81"/>
      <c r="RT165" s="81"/>
      <c r="RU165" s="81"/>
      <c r="RV165" s="81"/>
      <c r="RW165" s="81"/>
      <c r="RX165" s="81"/>
      <c r="RY165" s="81"/>
      <c r="RZ165" s="81"/>
      <c r="SA165" s="81"/>
      <c r="SB165" s="81"/>
      <c r="SC165" s="81"/>
      <c r="SD165" s="81"/>
      <c r="SE165" s="81"/>
      <c r="SF165" s="81"/>
      <c r="SG165" s="81"/>
      <c r="SH165" s="81"/>
      <c r="SI165" s="81"/>
      <c r="SJ165" s="81"/>
      <c r="SK165" s="81"/>
      <c r="SL165" s="81"/>
      <c r="SM165" s="81"/>
      <c r="SN165" s="81"/>
      <c r="SO165" s="81"/>
      <c r="SP165" s="81"/>
      <c r="SQ165" s="81"/>
      <c r="SR165" s="81"/>
      <c r="SS165" s="81"/>
      <c r="ST165" s="81"/>
      <c r="SU165" s="81"/>
      <c r="SV165" s="81"/>
      <c r="SW165" s="81"/>
      <c r="SX165" s="81"/>
      <c r="SY165" s="81"/>
      <c r="SZ165" s="81"/>
      <c r="TA165" s="81"/>
      <c r="TB165" s="81"/>
      <c r="TC165" s="81"/>
      <c r="TD165" s="81"/>
      <c r="TE165" s="81"/>
      <c r="TF165" s="81"/>
      <c r="TG165" s="81"/>
      <c r="TH165" s="81"/>
      <c r="TI165" s="81"/>
      <c r="TJ165" s="81"/>
      <c r="TK165" s="81"/>
      <c r="TL165" s="81"/>
      <c r="TM165" s="81"/>
      <c r="TN165" s="81"/>
      <c r="TO165" s="81"/>
      <c r="TP165" s="81"/>
      <c r="TQ165" s="81"/>
      <c r="TR165" s="81"/>
      <c r="TS165" s="81"/>
      <c r="TT165" s="81"/>
      <c r="TU165" s="81"/>
      <c r="TV165" s="81"/>
      <c r="TW165" s="81"/>
      <c r="TX165" s="81"/>
      <c r="TY165" s="81"/>
      <c r="TZ165" s="81"/>
      <c r="UA165" s="81"/>
      <c r="UB165" s="81"/>
      <c r="UC165" s="81"/>
      <c r="UD165" s="81"/>
      <c r="UE165" s="81"/>
      <c r="UF165" s="81"/>
      <c r="UG165" s="81"/>
      <c r="UH165" s="81"/>
      <c r="UI165" s="81"/>
      <c r="UJ165" s="81"/>
      <c r="UK165" s="81"/>
      <c r="UL165" s="81"/>
      <c r="UM165" s="81"/>
      <c r="UN165" s="81"/>
      <c r="UO165" s="81"/>
      <c r="UP165" s="81"/>
      <c r="UQ165" s="81"/>
      <c r="UR165" s="81"/>
      <c r="US165" s="81"/>
      <c r="UT165" s="81"/>
      <c r="UU165" s="81"/>
      <c r="UV165" s="81"/>
      <c r="UW165" s="81"/>
      <c r="UX165" s="81"/>
      <c r="UY165" s="81"/>
      <c r="UZ165" s="81"/>
      <c r="VA165" s="81"/>
      <c r="VB165" s="81"/>
      <c r="VC165" s="81"/>
      <c r="VD165" s="81"/>
      <c r="VE165" s="81"/>
      <c r="VF165" s="81"/>
      <c r="VG165" s="81"/>
      <c r="VH165" s="81"/>
      <c r="VI165" s="81"/>
      <c r="VJ165" s="81"/>
      <c r="VK165" s="81"/>
      <c r="VL165" s="81"/>
      <c r="VM165" s="81"/>
      <c r="VN165" s="81"/>
      <c r="VO165" s="81"/>
      <c r="VP165" s="81"/>
      <c r="VQ165" s="81"/>
      <c r="VR165" s="81"/>
      <c r="VS165" s="81"/>
      <c r="VT165" s="81"/>
      <c r="VU165" s="81"/>
      <c r="VV165" s="81"/>
      <c r="VW165" s="81"/>
      <c r="VX165" s="81"/>
      <c r="VY165" s="81"/>
      <c r="VZ165" s="81"/>
      <c r="WA165" s="81"/>
      <c r="WB165" s="81"/>
      <c r="WC165" s="81"/>
      <c r="WD165" s="81"/>
      <c r="WE165" s="81"/>
      <c r="WF165" s="81"/>
      <c r="WG165" s="81"/>
      <c r="WH165" s="81"/>
      <c r="WI165" s="81"/>
      <c r="WJ165" s="81"/>
      <c r="WK165" s="81"/>
      <c r="WL165" s="81"/>
      <c r="WM165" s="81"/>
      <c r="WN165" s="81"/>
      <c r="WO165" s="81"/>
      <c r="WP165" s="81"/>
      <c r="WQ165" s="81"/>
      <c r="WR165" s="81"/>
      <c r="WS165" s="81"/>
      <c r="WT165" s="81"/>
      <c r="WU165" s="81"/>
      <c r="WV165" s="81"/>
      <c r="WW165" s="81"/>
      <c r="WX165" s="81"/>
      <c r="WY165" s="81"/>
      <c r="WZ165" s="81"/>
      <c r="XA165" s="81"/>
      <c r="XB165" s="81"/>
      <c r="XC165" s="81"/>
      <c r="XD165" s="81"/>
      <c r="XE165" s="81"/>
      <c r="XF165" s="81"/>
      <c r="XG165" s="81"/>
      <c r="XH165" s="81"/>
      <c r="XI165" s="81"/>
      <c r="XJ165" s="81"/>
      <c r="XK165" s="81"/>
      <c r="XL165" s="81"/>
      <c r="XM165" s="81"/>
      <c r="XN165" s="81"/>
      <c r="XO165" s="81"/>
      <c r="XP165" s="81"/>
      <c r="XQ165" s="81"/>
      <c r="XR165" s="81"/>
      <c r="XS165" s="81"/>
      <c r="XT165" s="81"/>
      <c r="XU165" s="81"/>
      <c r="XV165" s="81"/>
      <c r="XW165" s="81"/>
      <c r="XX165" s="81"/>
      <c r="XY165" s="81"/>
      <c r="XZ165" s="81"/>
      <c r="YA165" s="81"/>
      <c r="YB165" s="81"/>
      <c r="YC165" s="81"/>
      <c r="YD165" s="81"/>
      <c r="YE165" s="81"/>
      <c r="YF165" s="81"/>
      <c r="YG165" s="81"/>
      <c r="YH165" s="81"/>
      <c r="YI165" s="81"/>
      <c r="YJ165" s="81"/>
      <c r="YK165" s="81"/>
      <c r="YL165" s="81"/>
      <c r="YM165" s="81"/>
      <c r="YN165" s="81"/>
      <c r="YO165" s="81"/>
      <c r="YP165" s="81"/>
      <c r="YQ165" s="81"/>
      <c r="YR165" s="81"/>
      <c r="YS165" s="81"/>
      <c r="YT165" s="81"/>
      <c r="YU165" s="81"/>
      <c r="YV165" s="81"/>
      <c r="YW165" s="81"/>
      <c r="YX165" s="81"/>
      <c r="YY165" s="81"/>
      <c r="YZ165" s="81"/>
      <c r="ZA165" s="81"/>
      <c r="ZB165" s="81"/>
      <c r="ZC165" s="81"/>
      <c r="ZD165" s="81"/>
      <c r="ZE165" s="81"/>
      <c r="ZF165" s="81"/>
      <c r="ZG165" s="81"/>
      <c r="ZH165" s="81"/>
      <c r="ZI165" s="81"/>
      <c r="ZJ165" s="81"/>
      <c r="ZK165" s="81"/>
      <c r="ZL165" s="81"/>
      <c r="ZM165" s="81"/>
      <c r="ZN165" s="81"/>
      <c r="ZO165" s="81"/>
      <c r="ZP165" s="81"/>
      <c r="ZQ165" s="81"/>
      <c r="ZR165" s="81"/>
      <c r="ZS165" s="81"/>
      <c r="ZT165" s="81"/>
      <c r="ZU165" s="81"/>
      <c r="ZV165" s="81"/>
      <c r="ZW165" s="81"/>
      <c r="ZX165" s="81"/>
      <c r="ZY165" s="81"/>
      <c r="ZZ165" s="81"/>
      <c r="AAA165" s="81"/>
      <c r="AAB165" s="81"/>
      <c r="AAC165" s="81"/>
      <c r="AAD165" s="81"/>
      <c r="AAE165" s="81"/>
      <c r="AAF165" s="81"/>
      <c r="AAG165" s="81"/>
      <c r="AAH165" s="81"/>
      <c r="AAI165" s="81"/>
      <c r="AAJ165" s="81"/>
      <c r="AAK165" s="81"/>
      <c r="AAL165" s="81"/>
      <c r="AAM165" s="81"/>
      <c r="AAN165" s="81"/>
      <c r="AAO165" s="81"/>
      <c r="AAP165" s="81"/>
      <c r="AAQ165" s="81"/>
      <c r="AAR165" s="81"/>
      <c r="AAS165" s="81"/>
      <c r="AAT165" s="81"/>
      <c r="AAU165" s="81"/>
      <c r="AAV165" s="81"/>
      <c r="AAW165" s="81"/>
      <c r="AAX165" s="81"/>
      <c r="AAY165" s="81"/>
      <c r="AAZ165" s="81"/>
      <c r="ABA165" s="81"/>
      <c r="ABB165" s="81"/>
      <c r="ABC165" s="81"/>
      <c r="ABD165" s="81"/>
      <c r="ABE165" s="81"/>
      <c r="ABF165" s="81"/>
      <c r="ABG165" s="81"/>
      <c r="ABH165" s="81"/>
      <c r="ABI165" s="81"/>
      <c r="ABJ165" s="81"/>
      <c r="ABK165" s="81"/>
      <c r="ABL165" s="81"/>
      <c r="ABM165" s="81"/>
      <c r="ABN165" s="81"/>
      <c r="ABO165" s="81"/>
      <c r="ABP165" s="81"/>
      <c r="ABQ165" s="81"/>
      <c r="ABR165" s="81"/>
      <c r="ABS165" s="81"/>
      <c r="ABT165" s="81"/>
      <c r="ABU165" s="81"/>
      <c r="ABV165" s="81"/>
      <c r="ABW165" s="81"/>
      <c r="ABX165" s="81"/>
      <c r="ABY165" s="81"/>
      <c r="ABZ165" s="81"/>
      <c r="ACA165" s="81"/>
      <c r="ACB165" s="81"/>
      <c r="ACC165" s="81"/>
      <c r="ACD165" s="81"/>
      <c r="ACE165" s="81"/>
      <c r="ACF165" s="81"/>
      <c r="ACG165" s="81"/>
      <c r="ACH165" s="81"/>
      <c r="ACI165" s="81"/>
      <c r="ACJ165" s="81"/>
      <c r="ACK165" s="81"/>
      <c r="ACL165" s="81"/>
      <c r="ACM165" s="81"/>
      <c r="ACN165" s="81"/>
      <c r="ACO165" s="81"/>
      <c r="ACP165" s="81"/>
      <c r="ACQ165" s="81"/>
      <c r="ACR165" s="81"/>
      <c r="ACS165" s="81"/>
      <c r="ACT165" s="81"/>
      <c r="ACU165" s="81"/>
      <c r="ACV165" s="81"/>
      <c r="ACW165" s="81"/>
      <c r="ACX165" s="81"/>
      <c r="ACY165" s="81"/>
      <c r="ACZ165" s="81"/>
      <c r="ADA165" s="81"/>
      <c r="ADB165" s="81"/>
      <c r="ADC165" s="81"/>
      <c r="ADD165" s="81"/>
      <c r="ADE165" s="81"/>
      <c r="ADF165" s="81"/>
      <c r="ADG165" s="81"/>
      <c r="ADH165" s="81"/>
      <c r="ADI165" s="81"/>
      <c r="ADJ165" s="81"/>
      <c r="ADK165" s="81"/>
      <c r="ADL165" s="81"/>
      <c r="ADM165" s="81"/>
      <c r="ADN165" s="81"/>
      <c r="ADO165" s="81"/>
      <c r="ADP165" s="81"/>
      <c r="ADQ165" s="81"/>
      <c r="ADR165" s="81"/>
      <c r="ADS165" s="81"/>
      <c r="ADT165" s="81"/>
      <c r="ADU165" s="81"/>
      <c r="ADV165" s="81"/>
      <c r="ADW165" s="81"/>
      <c r="ADX165" s="81"/>
      <c r="ADY165" s="81"/>
      <c r="ADZ165" s="81"/>
      <c r="AEA165" s="81"/>
      <c r="AEB165" s="81"/>
      <c r="AEC165" s="81"/>
      <c r="AED165" s="81"/>
      <c r="AEE165" s="81"/>
      <c r="AEF165" s="81"/>
      <c r="AEG165" s="81"/>
      <c r="AEH165" s="81"/>
      <c r="AEI165" s="81"/>
      <c r="AEJ165" s="81"/>
      <c r="AEK165" s="81"/>
      <c r="AEL165" s="81"/>
      <c r="AEM165" s="81"/>
      <c r="AEN165" s="81"/>
      <c r="AEO165" s="81"/>
      <c r="AEP165" s="81"/>
      <c r="AEQ165" s="81"/>
      <c r="AER165" s="81"/>
      <c r="AES165" s="81"/>
      <c r="AET165" s="81"/>
      <c r="AEU165" s="81"/>
      <c r="AEV165" s="81"/>
      <c r="AEW165" s="81"/>
      <c r="AEX165" s="81"/>
      <c r="AEY165" s="81"/>
      <c r="AEZ165" s="81"/>
      <c r="AFA165" s="81"/>
      <c r="AFB165" s="81"/>
      <c r="AFC165" s="81"/>
      <c r="AFD165" s="81"/>
      <c r="AFE165" s="81"/>
      <c r="AFF165" s="81"/>
      <c r="AFG165" s="81"/>
      <c r="AFH165" s="81"/>
      <c r="AFI165" s="81"/>
      <c r="AFJ165" s="81"/>
      <c r="AFK165" s="81"/>
      <c r="AFL165" s="81"/>
      <c r="AFM165" s="81"/>
      <c r="AFN165" s="81"/>
      <c r="AFO165" s="81"/>
      <c r="AFP165" s="81"/>
      <c r="AFQ165" s="81"/>
      <c r="AFR165" s="81"/>
      <c r="AFS165" s="81"/>
      <c r="AFT165" s="81"/>
      <c r="AFU165" s="81"/>
      <c r="AFV165" s="81"/>
      <c r="AFW165" s="81"/>
      <c r="AFX165" s="81"/>
      <c r="AFY165" s="81"/>
      <c r="AFZ165" s="81"/>
      <c r="AGA165" s="81"/>
      <c r="AGB165" s="81"/>
      <c r="AGC165" s="81"/>
      <c r="AGD165" s="81"/>
      <c r="AGE165" s="81"/>
      <c r="AGF165" s="81"/>
      <c r="AGG165" s="81"/>
      <c r="AGH165" s="81"/>
      <c r="AGI165" s="81"/>
      <c r="AGJ165" s="81"/>
      <c r="AGK165" s="81"/>
      <c r="AGL165" s="81"/>
      <c r="AGM165" s="81"/>
      <c r="AGN165" s="81"/>
      <c r="AGO165" s="81"/>
      <c r="AGP165" s="81"/>
      <c r="AGQ165" s="81"/>
      <c r="AGR165" s="81"/>
      <c r="AGS165" s="81"/>
      <c r="AGT165" s="81"/>
      <c r="AGU165" s="81"/>
      <c r="AGV165" s="81"/>
      <c r="AGW165" s="81"/>
      <c r="AGX165" s="81"/>
      <c r="AGY165" s="81"/>
      <c r="AGZ165" s="81"/>
      <c r="AHA165" s="81"/>
      <c r="AHB165" s="81"/>
      <c r="AHC165" s="81"/>
      <c r="AHD165" s="81"/>
      <c r="AHE165" s="81"/>
      <c r="AHF165" s="81"/>
    </row>
    <row r="166" spans="1:890">
      <c r="A166" s="359"/>
      <c r="B166" s="359"/>
      <c r="C166" s="360">
        <f t="shared" si="18"/>
        <v>-162</v>
      </c>
      <c r="D166" s="63">
        <f t="shared" si="16"/>
        <v>162</v>
      </c>
      <c r="E166" s="361">
        <v>4581</v>
      </c>
      <c r="F166" s="64" t="str">
        <f>IFERROR(VLOOKUP(Table8[[#This Row],[Player No]],Table10[[No]:[Province]],2,0),"")</f>
        <v>ALONSO Rajiah</v>
      </c>
      <c r="G166" s="76" t="str">
        <f>IFERROR(VLOOKUP(Table8[[#This Row],[Player No]],Table10[[No]:[Province]],3,0),"")</f>
        <v>ETTA</v>
      </c>
      <c r="H166" s="124">
        <v>3.75</v>
      </c>
      <c r="I166" s="831">
        <f>Table8[[#This Row],[Points 2025]]/2+SUM(Table8[[#This Row],[O1  ADMIN 2026]:[P2           WC           CT Open   2026]])</f>
        <v>1.875</v>
      </c>
      <c r="J166" s="63">
        <f t="shared" si="14"/>
        <v>0</v>
      </c>
      <c r="K166" s="738">
        <f t="shared" si="15"/>
        <v>0</v>
      </c>
      <c r="L166" s="738" t="s">
        <v>6083</v>
      </c>
      <c r="M166" s="738" t="s">
        <v>6083</v>
      </c>
      <c r="N166" s="738" t="s">
        <v>6083</v>
      </c>
      <c r="O166" s="738"/>
      <c r="P166" s="738"/>
      <c r="Q166" s="738"/>
      <c r="R166" s="738"/>
      <c r="S166" s="738">
        <v>1</v>
      </c>
      <c r="T166" s="738"/>
      <c r="U166" s="738"/>
      <c r="V166" s="738"/>
      <c r="W166" s="738"/>
      <c r="X166" s="738"/>
      <c r="Y166" s="738">
        <v>5</v>
      </c>
      <c r="Z166" s="738"/>
      <c r="AA166" s="738"/>
      <c r="AB166" s="738"/>
      <c r="AC166" s="738"/>
      <c r="AD166" s="738"/>
      <c r="AE166" s="738"/>
      <c r="AF166" s="738"/>
      <c r="AG166" s="738"/>
      <c r="AH166" s="738"/>
      <c r="AI166" s="738"/>
      <c r="AJ166" s="738"/>
      <c r="AK166" s="738"/>
      <c r="AL166" s="738"/>
      <c r="AM166" s="738"/>
      <c r="AO166" s="708"/>
      <c r="AP166" s="708"/>
    </row>
    <row r="167" spans="1:890">
      <c r="A167" s="61"/>
      <c r="B167" s="61"/>
      <c r="C167" s="77">
        <f t="shared" si="18"/>
        <v>-163</v>
      </c>
      <c r="D167" s="63">
        <f t="shared" si="16"/>
        <v>163</v>
      </c>
      <c r="E167" s="63">
        <v>4583</v>
      </c>
      <c r="F167" s="93" t="str">
        <f>IFERROR(VLOOKUP(Table8[[#This Row],[Player No]],Table10[[No]:[Province]],2,0),"")</f>
        <v>PILLAY Joshua</v>
      </c>
      <c r="G167" s="63" t="str">
        <f>IFERROR(VLOOKUP(Table8[[#This Row],[Player No]],Table10[[No]:[Province]],3,0),"")</f>
        <v>ETTA</v>
      </c>
      <c r="H167" s="124">
        <v>3.75</v>
      </c>
      <c r="I167" s="789">
        <f>Table8[[#This Row],[Points 2025]]/2+SUM(Table8[[#This Row],[O1  ADMIN 2026]:[P2           WC           CT Open   2026]])</f>
        <v>1.875</v>
      </c>
      <c r="J167" s="63">
        <f t="shared" si="14"/>
        <v>0</v>
      </c>
      <c r="K167" s="708">
        <f t="shared" si="15"/>
        <v>0</v>
      </c>
      <c r="L167" s="708" t="s">
        <v>6083</v>
      </c>
      <c r="M167" s="708" t="s">
        <v>6083</v>
      </c>
      <c r="N167" s="708" t="s">
        <v>6083</v>
      </c>
      <c r="O167" s="708"/>
      <c r="P167" s="708"/>
      <c r="Q167" s="708"/>
      <c r="R167" s="708"/>
      <c r="S167" s="708"/>
      <c r="T167" s="708"/>
      <c r="U167" s="708"/>
      <c r="V167" s="708"/>
      <c r="W167" s="708"/>
      <c r="X167" s="708"/>
      <c r="Y167" s="708">
        <v>5</v>
      </c>
      <c r="Z167" s="708"/>
      <c r="AA167" s="708"/>
      <c r="AB167" s="708"/>
      <c r="AC167" s="708"/>
      <c r="AD167" s="708"/>
      <c r="AE167" s="708"/>
      <c r="AF167" s="708"/>
      <c r="AG167" s="708"/>
      <c r="AH167" s="708"/>
      <c r="AI167" s="708"/>
      <c r="AJ167" s="708"/>
      <c r="AK167" s="708"/>
      <c r="AL167" s="708"/>
      <c r="AM167" s="708"/>
      <c r="AO167" s="708"/>
      <c r="AP167" s="708"/>
    </row>
    <row r="168" spans="1:890">
      <c r="A168" s="87"/>
      <c r="B168" s="87"/>
      <c r="C168" s="111">
        <f t="shared" si="18"/>
        <v>-164</v>
      </c>
      <c r="D168" s="63">
        <f t="shared" si="16"/>
        <v>164</v>
      </c>
      <c r="E168" s="106">
        <v>4600</v>
      </c>
      <c r="F168" s="93" t="str">
        <f>IFERROR(VLOOKUP(Table8[[#This Row],[Player No]],Table10[[No]:[Province]],2,0),"")</f>
        <v>Prencely Israel Gweru</v>
      </c>
      <c r="G168" s="63" t="str">
        <f>IFERROR(VLOOKUP(Table8[[#This Row],[Player No]],Table10[[No]:[Province]],3,0),"")</f>
        <v>ZIM</v>
      </c>
      <c r="H168" s="124">
        <v>3.75</v>
      </c>
      <c r="I168" s="110">
        <f>Table8[[#This Row],[Points 2025]]/2+SUM(Table8[[#This Row],[O1  ADMIN 2026]:[P2           WC           CT Open   2026]])</f>
        <v>1.875</v>
      </c>
      <c r="J168" s="63">
        <f t="shared" si="14"/>
        <v>0</v>
      </c>
      <c r="K168" s="708">
        <f t="shared" si="15"/>
        <v>0</v>
      </c>
      <c r="L168" s="708" t="s">
        <v>6083</v>
      </c>
      <c r="M168" s="708" t="s">
        <v>6083</v>
      </c>
      <c r="N168" s="708" t="s">
        <v>6083</v>
      </c>
      <c r="O168" s="708"/>
      <c r="P168" s="708"/>
      <c r="Q168" s="708"/>
      <c r="R168" s="708"/>
      <c r="S168" s="708"/>
      <c r="T168" s="708"/>
      <c r="U168" s="708"/>
      <c r="V168" s="708"/>
      <c r="W168" s="708"/>
      <c r="X168" s="708"/>
      <c r="Y168" s="708">
        <v>5</v>
      </c>
      <c r="Z168" s="708"/>
      <c r="AA168" s="708"/>
      <c r="AB168" s="708"/>
      <c r="AC168" s="708"/>
      <c r="AD168" s="708"/>
      <c r="AE168" s="708"/>
      <c r="AF168" s="708"/>
      <c r="AG168" s="708"/>
      <c r="AH168" s="708"/>
      <c r="AI168" s="708"/>
      <c r="AJ168" s="708"/>
      <c r="AK168" s="708"/>
      <c r="AL168" s="708"/>
      <c r="AM168" s="708"/>
      <c r="AO168" s="708"/>
      <c r="AP168" s="708"/>
    </row>
    <row r="169" spans="1:890">
      <c r="A169" s="61"/>
      <c r="B169" s="61"/>
      <c r="C169" s="77">
        <f t="shared" si="18"/>
        <v>-165</v>
      </c>
      <c r="D169" s="63">
        <f t="shared" si="16"/>
        <v>165</v>
      </c>
      <c r="E169" s="63">
        <v>4601</v>
      </c>
      <c r="F169" s="93" t="str">
        <f>IFERROR(VLOOKUP(Table8[[#This Row],[Player No]],Table10[[No]:[Province]],2,0),"")</f>
        <v>Emmanuel Tichiwangani</v>
      </c>
      <c r="G169" s="63" t="str">
        <f>IFERROR(VLOOKUP(Table8[[#This Row],[Player No]],Table10[[No]:[Province]],3,0),"")</f>
        <v>ZIM</v>
      </c>
      <c r="H169" s="124">
        <v>3.75</v>
      </c>
      <c r="I169" s="789">
        <f>Table8[[#This Row],[Points 2025]]/2+SUM(Table8[[#This Row],[O1  ADMIN 2026]:[P2           WC           CT Open   2026]])</f>
        <v>1.875</v>
      </c>
      <c r="J169" s="63">
        <f t="shared" si="14"/>
        <v>0</v>
      </c>
      <c r="K169" s="708">
        <f t="shared" si="15"/>
        <v>0</v>
      </c>
      <c r="L169" s="708" t="s">
        <v>6083</v>
      </c>
      <c r="M169" s="708" t="s">
        <v>6083</v>
      </c>
      <c r="N169" s="708" t="s">
        <v>6083</v>
      </c>
      <c r="O169" s="708"/>
      <c r="P169" s="708"/>
      <c r="Q169" s="708"/>
      <c r="R169" s="708"/>
      <c r="S169" s="708"/>
      <c r="T169" s="708"/>
      <c r="U169" s="708"/>
      <c r="V169" s="708"/>
      <c r="W169" s="708"/>
      <c r="X169" s="708"/>
      <c r="Y169" s="708">
        <v>5</v>
      </c>
      <c r="Z169" s="708"/>
      <c r="AA169" s="708"/>
      <c r="AB169" s="708"/>
      <c r="AC169" s="708"/>
      <c r="AD169" s="708"/>
      <c r="AE169" s="708"/>
      <c r="AF169" s="708"/>
      <c r="AG169" s="708"/>
      <c r="AH169" s="708"/>
      <c r="AI169" s="708"/>
      <c r="AJ169" s="708"/>
      <c r="AK169" s="708"/>
      <c r="AL169" s="708"/>
      <c r="AM169" s="708"/>
      <c r="AO169" s="708"/>
      <c r="AP169" s="708"/>
    </row>
    <row r="170" spans="1:890">
      <c r="A170" s="61"/>
      <c r="B170" s="61"/>
      <c r="C170" s="77">
        <f t="shared" si="18"/>
        <v>-166</v>
      </c>
      <c r="D170" s="63">
        <f t="shared" si="16"/>
        <v>166</v>
      </c>
      <c r="E170" s="63">
        <v>4698</v>
      </c>
      <c r="F170" s="93" t="str">
        <f>IFERROR(VLOOKUP(Table8[[#This Row],[Player No]],Table10[[No]:[Province]],2,0),"")</f>
        <v>PHUSHUDI Thatayaone</v>
      </c>
      <c r="G170" s="63" t="str">
        <f>IFERROR(VLOOKUP(Table8[[#This Row],[Player No]],Table10[[No]:[Province]],3,0),"")</f>
        <v>DRKKTTA</v>
      </c>
      <c r="H170" s="124">
        <v>3.5</v>
      </c>
      <c r="I170" s="789">
        <f>Table8[[#This Row],[Points 2025]]/2+SUM(Table8[[#This Row],[O1  ADMIN 2026]:[P2           WC           CT Open   2026]])</f>
        <v>1.75</v>
      </c>
      <c r="J170" s="63">
        <f t="shared" si="14"/>
        <v>0</v>
      </c>
      <c r="K170" s="708">
        <f t="shared" si="15"/>
        <v>0</v>
      </c>
      <c r="L170" s="708" t="s">
        <v>6083</v>
      </c>
      <c r="M170" s="708" t="s">
        <v>6083</v>
      </c>
      <c r="N170" s="708" t="s">
        <v>6083</v>
      </c>
      <c r="O170" s="708"/>
      <c r="P170" s="708"/>
      <c r="Q170" s="708"/>
      <c r="R170" s="708"/>
      <c r="S170" s="708"/>
      <c r="T170" s="708"/>
      <c r="U170" s="708"/>
      <c r="V170" s="708"/>
      <c r="W170" s="708"/>
      <c r="X170" s="708"/>
      <c r="Y170" s="708">
        <v>5</v>
      </c>
      <c r="Z170" s="708"/>
      <c r="AA170" s="708"/>
      <c r="AB170" s="708"/>
      <c r="AC170" s="708"/>
      <c r="AD170" s="708"/>
      <c r="AE170" s="708"/>
      <c r="AF170" s="708"/>
      <c r="AG170" s="708"/>
      <c r="AH170" s="708"/>
      <c r="AI170" s="708"/>
      <c r="AJ170" s="708"/>
      <c r="AK170" s="708"/>
      <c r="AL170" s="708"/>
      <c r="AM170" s="708"/>
      <c r="AO170" s="708"/>
      <c r="AP170" s="708"/>
    </row>
    <row r="171" spans="1:890">
      <c r="A171" s="1039"/>
      <c r="B171" s="1039"/>
      <c r="C171" s="1044">
        <f t="shared" si="18"/>
        <v>-167</v>
      </c>
      <c r="D171" s="63">
        <f t="shared" si="16"/>
        <v>167</v>
      </c>
      <c r="E171" s="1045">
        <v>4377</v>
      </c>
      <c r="F171" s="978" t="str">
        <f>IFERROR(VLOOKUP(Table8[[#This Row],[Player No]],Table10[[No]:[Province]],2,0),"")</f>
        <v>ZUMA Khwezi</v>
      </c>
      <c r="G171" s="1045" t="str">
        <f>IFERROR(VLOOKUP(Table8[[#This Row],[Player No]],Table10[[No]:[Province]],3,0),"")</f>
        <v>ETTA</v>
      </c>
      <c r="H171" s="124">
        <v>1.25</v>
      </c>
      <c r="I171" s="1071">
        <f>Table8[[#This Row],[Points 2025]]/2+SUM(Table8[[#This Row],[O1  ADMIN 2026]:[P2           WC           CT Open   2026]])</f>
        <v>1.625</v>
      </c>
      <c r="J171" s="1045">
        <f t="shared" si="14"/>
        <v>1</v>
      </c>
      <c r="K171" s="1052">
        <f t="shared" si="15"/>
        <v>0</v>
      </c>
      <c r="L171" s="1052" t="s">
        <v>6083</v>
      </c>
      <c r="M171" s="1052">
        <v>1</v>
      </c>
      <c r="N171" s="1052"/>
      <c r="O171" s="1052"/>
      <c r="P171" s="1052"/>
      <c r="Q171" s="1052"/>
      <c r="R171" s="1052"/>
      <c r="S171" s="1052"/>
      <c r="T171" s="1052"/>
      <c r="U171" s="1052"/>
      <c r="V171" s="1052"/>
      <c r="W171" s="1052"/>
      <c r="X171" s="1052"/>
      <c r="Y171" s="1052"/>
      <c r="Z171" s="1052"/>
      <c r="AA171" s="1052"/>
      <c r="AB171" s="1052"/>
      <c r="AC171" s="1052"/>
      <c r="AD171" s="1052"/>
      <c r="AE171" s="1052"/>
      <c r="AF171" s="1052"/>
      <c r="AG171" s="1052"/>
      <c r="AH171" s="1052"/>
      <c r="AI171" s="1052"/>
      <c r="AJ171" s="1052"/>
      <c r="AK171" s="1052"/>
      <c r="AL171" s="1052"/>
      <c r="AM171" s="1052"/>
      <c r="AO171" s="708"/>
      <c r="AP171" s="708"/>
    </row>
    <row r="172" spans="1:890">
      <c r="A172" s="61"/>
      <c r="B172" s="61"/>
      <c r="C172" s="77">
        <f t="shared" si="18"/>
        <v>-168</v>
      </c>
      <c r="D172" s="63">
        <f t="shared" si="16"/>
        <v>168</v>
      </c>
      <c r="E172" s="63">
        <v>4699</v>
      </c>
      <c r="F172" s="93" t="str">
        <f>IFERROR(VLOOKUP(Table8[[#This Row],[Player No]],Table10[[No]:[Province]],2,0),"")</f>
        <v>MAICHOTLO Atlegang</v>
      </c>
      <c r="G172" s="63" t="str">
        <f>IFERROR(VLOOKUP(Table8[[#This Row],[Player No]],Table10[[No]:[Province]],3,0),"")</f>
        <v>DRKKTTA</v>
      </c>
      <c r="H172" s="124">
        <v>3.125</v>
      </c>
      <c r="I172" s="789">
        <f>Table8[[#This Row],[Points 2025]]/2+SUM(Table8[[#This Row],[O1  ADMIN 2026]:[P2           WC           CT Open   2026]])</f>
        <v>1.5625</v>
      </c>
      <c r="J172" s="63">
        <f t="shared" si="14"/>
        <v>0</v>
      </c>
      <c r="K172" s="708">
        <f t="shared" si="15"/>
        <v>0</v>
      </c>
      <c r="L172" s="708" t="s">
        <v>6083</v>
      </c>
      <c r="M172" s="708" t="s">
        <v>6083</v>
      </c>
      <c r="N172" s="708" t="s">
        <v>6083</v>
      </c>
      <c r="O172" s="708"/>
      <c r="P172" s="708"/>
      <c r="Q172" s="708"/>
      <c r="R172" s="708"/>
      <c r="S172" s="708"/>
      <c r="T172" s="708"/>
      <c r="U172" s="708"/>
      <c r="V172" s="708"/>
      <c r="W172" s="708"/>
      <c r="X172" s="708"/>
      <c r="Y172" s="708">
        <v>5</v>
      </c>
      <c r="Z172" s="708"/>
      <c r="AA172" s="708"/>
      <c r="AB172" s="708"/>
      <c r="AC172" s="708"/>
      <c r="AD172" s="708"/>
      <c r="AE172" s="708"/>
      <c r="AF172" s="708"/>
      <c r="AG172" s="708"/>
      <c r="AH172" s="708"/>
      <c r="AI172" s="708"/>
      <c r="AJ172" s="708"/>
      <c r="AK172" s="708"/>
      <c r="AL172" s="708"/>
      <c r="AM172" s="708"/>
      <c r="AO172" s="708"/>
      <c r="AP172" s="708"/>
    </row>
    <row r="173" spans="1:890">
      <c r="A173" s="61"/>
      <c r="B173" s="61"/>
      <c r="C173" s="77">
        <f t="shared" si="18"/>
        <v>-169</v>
      </c>
      <c r="D173" s="63">
        <f t="shared" si="16"/>
        <v>169</v>
      </c>
      <c r="E173" s="63">
        <v>4744</v>
      </c>
      <c r="F173" s="93" t="str">
        <f>IFERROR(VLOOKUP(Table8[[#This Row],[Player No]],Table10[[No]:[Province]],2,0),"")</f>
        <v>RAMOCHEKI Dimpho</v>
      </c>
      <c r="G173" s="63" t="str">
        <f>IFERROR(VLOOKUP(Table8[[#This Row],[Player No]],Table10[[No]:[Province]],3,0),"")</f>
        <v>LIM</v>
      </c>
      <c r="H173" s="124">
        <v>3.125</v>
      </c>
      <c r="I173" s="789">
        <f>Table8[[#This Row],[Points 2025]]/2+SUM(Table8[[#This Row],[O1  ADMIN 2026]:[P2           WC           CT Open   2026]])</f>
        <v>1.5625</v>
      </c>
      <c r="J173" s="63">
        <f t="shared" si="14"/>
        <v>0</v>
      </c>
      <c r="K173" s="708">
        <f t="shared" si="15"/>
        <v>0</v>
      </c>
      <c r="L173" s="708" t="s">
        <v>6083</v>
      </c>
      <c r="M173" s="708" t="s">
        <v>6083</v>
      </c>
      <c r="N173" s="708" t="s">
        <v>6083</v>
      </c>
      <c r="O173" s="708"/>
      <c r="P173" s="708"/>
      <c r="Q173" s="708"/>
      <c r="R173" s="708"/>
      <c r="S173" s="708"/>
      <c r="T173" s="708"/>
      <c r="U173" s="708"/>
      <c r="V173" s="708"/>
      <c r="W173" s="708"/>
      <c r="X173" s="708"/>
      <c r="Y173" s="708">
        <v>5</v>
      </c>
      <c r="Z173" s="708"/>
      <c r="AA173" s="708"/>
      <c r="AB173" s="708"/>
      <c r="AC173" s="708"/>
      <c r="AD173" s="708"/>
      <c r="AE173" s="708"/>
      <c r="AF173" s="708"/>
      <c r="AG173" s="708"/>
      <c r="AH173" s="708"/>
      <c r="AI173" s="708"/>
      <c r="AJ173" s="708"/>
      <c r="AK173" s="708"/>
      <c r="AL173" s="708"/>
      <c r="AM173" s="708"/>
      <c r="AO173" s="708"/>
      <c r="AP173" s="708"/>
    </row>
    <row r="174" spans="1:890">
      <c r="A174" s="61"/>
      <c r="B174" s="61"/>
      <c r="C174" s="77">
        <f t="shared" si="18"/>
        <v>-170</v>
      </c>
      <c r="D174" s="63">
        <f t="shared" si="16"/>
        <v>170</v>
      </c>
      <c r="E174" s="63">
        <v>2271</v>
      </c>
      <c r="F174" s="93" t="str">
        <f>IFERROR(VLOOKUP(Table8[[#This Row],[Player No]],Table10[[No]:[Province]],2,0),"")</f>
        <v>NGOBESE Luyanda</v>
      </c>
      <c r="G174" s="63" t="str">
        <f>IFERROR(VLOOKUP(Table8[[#This Row],[Player No]],Table10[[No]:[Province]],3,0),"")</f>
        <v>UMZ</v>
      </c>
      <c r="H174" s="124">
        <v>3.125</v>
      </c>
      <c r="I174" s="789">
        <f>Table8[[#This Row],[Points 2025]]/2+SUM(Table8[[#This Row],[O1  ADMIN 2026]:[P2           WC           CT Open   2026]])</f>
        <v>1.5625</v>
      </c>
      <c r="J174" s="63">
        <f t="shared" si="14"/>
        <v>0</v>
      </c>
      <c r="K174" s="708">
        <f t="shared" si="15"/>
        <v>0</v>
      </c>
      <c r="L174" s="708" t="s">
        <v>6083</v>
      </c>
      <c r="M174" s="708" t="s">
        <v>6083</v>
      </c>
      <c r="N174" s="708" t="s">
        <v>6083</v>
      </c>
      <c r="O174" s="708"/>
      <c r="P174" s="708"/>
      <c r="Q174" s="708"/>
      <c r="R174" s="708"/>
      <c r="S174" s="708"/>
      <c r="T174" s="708"/>
      <c r="U174" s="708"/>
      <c r="V174" s="708"/>
      <c r="W174" s="708"/>
      <c r="X174" s="708"/>
      <c r="Y174" s="708">
        <v>5</v>
      </c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O174" s="708"/>
      <c r="AP174" s="708"/>
    </row>
    <row r="175" spans="1:890">
      <c r="A175" s="63">
        <f>IFERROR(VLOOKUP(Table8[[#This Row],[Player No]],Table10[[#All],[No]:[Age Group]],4,0),"")</f>
        <v>0</v>
      </c>
      <c r="B175" s="61">
        <v>72</v>
      </c>
      <c r="C175" s="77">
        <f t="shared" si="18"/>
        <v>-99</v>
      </c>
      <c r="D175" s="63">
        <f t="shared" si="16"/>
        <v>171</v>
      </c>
      <c r="E175" s="63">
        <v>3928</v>
      </c>
      <c r="F175" s="64" t="str">
        <f>IFERROR(VLOOKUP(Table8[[#This Row],[Player No]],Table10[[No]:[Province]],2,0),"")</f>
        <v>ZAR Benjamin</v>
      </c>
      <c r="G175" s="76" t="str">
        <f>IFERROR(VLOOKUP(Table8[[#This Row],[Player No]],Table10[[No]:[Province]],3,0),"")</f>
        <v>JTTA</v>
      </c>
      <c r="H175" s="124">
        <v>3.125</v>
      </c>
      <c r="I175" s="789">
        <f>Table8[[#This Row],[Points 2025]]/2+SUM(Table8[[#This Row],[O1  ADMIN 2026]:[P2           WC           CT Open   2026]])</f>
        <v>1.5625</v>
      </c>
      <c r="J175" s="63">
        <f t="shared" si="14"/>
        <v>0</v>
      </c>
      <c r="K175" s="708">
        <f t="shared" si="15"/>
        <v>0</v>
      </c>
      <c r="L175" s="708" t="s">
        <v>6083</v>
      </c>
      <c r="M175" s="708" t="s">
        <v>6083</v>
      </c>
      <c r="N175" s="708" t="s">
        <v>6083</v>
      </c>
      <c r="O175" s="708"/>
      <c r="P175" s="708"/>
      <c r="Q175" s="708"/>
      <c r="R175" s="708"/>
      <c r="S175" s="708"/>
      <c r="T175" s="708"/>
      <c r="U175" s="708"/>
      <c r="V175" s="708"/>
      <c r="W175" s="708"/>
      <c r="X175" s="708"/>
      <c r="Y175" s="708"/>
      <c r="Z175" s="708"/>
      <c r="AA175" s="708"/>
      <c r="AB175" s="708"/>
      <c r="AC175" s="708"/>
      <c r="AD175" s="708"/>
      <c r="AE175" s="708"/>
      <c r="AF175" s="708"/>
      <c r="AG175" s="708"/>
      <c r="AH175" s="708"/>
      <c r="AI175" s="708">
        <v>10</v>
      </c>
      <c r="AJ175" s="708"/>
      <c r="AK175" s="708"/>
      <c r="AL175" s="708"/>
      <c r="AM175" s="708"/>
      <c r="AO175" s="708"/>
      <c r="AP175" s="708"/>
    </row>
    <row r="176" spans="1:890">
      <c r="A176" s="61"/>
      <c r="B176" s="61"/>
      <c r="C176" s="77">
        <f t="shared" si="18"/>
        <v>-172</v>
      </c>
      <c r="D176" s="63">
        <f t="shared" si="16"/>
        <v>172</v>
      </c>
      <c r="E176" s="63">
        <v>4552</v>
      </c>
      <c r="F176" s="64" t="str">
        <f>IFERROR(VLOOKUP(Table8[[#This Row],[Player No]],Table10[[No]:[Province]],2,0),"")</f>
        <v xml:space="preserve">DAWES Harry </v>
      </c>
      <c r="G176" s="76" t="str">
        <f>IFERROR(VLOOKUP(Table8[[#This Row],[Player No]],Table10[[No]:[Province]],3,0),"")</f>
        <v>CT</v>
      </c>
      <c r="H176" s="124">
        <v>3</v>
      </c>
      <c r="I176" s="789">
        <f>Table8[[#This Row],[Points 2025]]/2+SUM(Table8[[#This Row],[O1  ADMIN 2026]:[P2           WC           CT Open   2026]])</f>
        <v>1.5</v>
      </c>
      <c r="J176" s="63">
        <f t="shared" si="14"/>
        <v>0</v>
      </c>
      <c r="K176" s="708">
        <f t="shared" si="15"/>
        <v>0</v>
      </c>
      <c r="L176" s="708" t="s">
        <v>6083</v>
      </c>
      <c r="M176" s="708" t="s">
        <v>6083</v>
      </c>
      <c r="N176" s="708" t="s">
        <v>6083</v>
      </c>
      <c r="O176" s="708"/>
      <c r="P176" s="708"/>
      <c r="Q176" s="708"/>
      <c r="R176" s="708"/>
      <c r="S176" s="708"/>
      <c r="T176" s="708"/>
      <c r="U176" s="708"/>
      <c r="V176" s="708"/>
      <c r="W176" s="708">
        <v>5</v>
      </c>
      <c r="X176" s="708"/>
      <c r="Y176" s="708"/>
      <c r="Z176" s="708"/>
      <c r="AA176" s="708"/>
      <c r="AB176" s="708"/>
      <c r="AC176" s="708"/>
      <c r="AD176" s="708"/>
      <c r="AE176" s="708"/>
      <c r="AF176" s="708"/>
      <c r="AG176" s="708"/>
      <c r="AH176" s="708"/>
      <c r="AI176" s="708"/>
      <c r="AJ176" s="708"/>
      <c r="AK176" s="708"/>
      <c r="AL176" s="708"/>
      <c r="AM176" s="708"/>
      <c r="AO176" s="708"/>
      <c r="AP176" s="708"/>
    </row>
    <row r="177" spans="1:42">
      <c r="A177" s="63">
        <f>IFERROR(VLOOKUP(Table8[[#This Row],[Player No]],Table10[[#All],[No]:[Age Group]],4,0),"")</f>
        <v>0</v>
      </c>
      <c r="B177" s="61">
        <v>76</v>
      </c>
      <c r="C177" s="77">
        <f t="shared" si="18"/>
        <v>-97</v>
      </c>
      <c r="D177" s="63">
        <f t="shared" si="16"/>
        <v>173</v>
      </c>
      <c r="E177" s="63">
        <v>3364</v>
      </c>
      <c r="F177" s="64" t="str">
        <f>IFERROR(VLOOKUP(Table8[[#This Row],[Player No]],Table10[[No]:[Province]],2,0),"")</f>
        <v>WAGIET Jihad</v>
      </c>
      <c r="G177" s="76" t="str">
        <f>IFERROR(VLOOKUP(Table8[[#This Row],[Player No]],Table10[[No]:[Province]],3,0),"")</f>
        <v>CT</v>
      </c>
      <c r="H177" s="124">
        <v>3</v>
      </c>
      <c r="I177" s="789">
        <f>Table8[[#This Row],[Points 2025]]/2+SUM(Table8[[#This Row],[O1  ADMIN 2026]:[P2           WC           CT Open   2026]])</f>
        <v>1.5</v>
      </c>
      <c r="J177" s="63">
        <f t="shared" si="14"/>
        <v>0</v>
      </c>
      <c r="K177" s="708">
        <f t="shared" si="15"/>
        <v>0</v>
      </c>
      <c r="L177" s="708" t="s">
        <v>6083</v>
      </c>
      <c r="M177" s="708" t="s">
        <v>6083</v>
      </c>
      <c r="N177" s="708" t="s">
        <v>6083</v>
      </c>
      <c r="O177" s="708"/>
      <c r="P177" s="708"/>
      <c r="Q177" s="708"/>
      <c r="R177" s="708"/>
      <c r="S177" s="708"/>
      <c r="T177" s="708"/>
      <c r="U177" s="708"/>
      <c r="V177" s="708"/>
      <c r="W177" s="708"/>
      <c r="X177" s="708"/>
      <c r="Y177" s="708"/>
      <c r="Z177" s="708"/>
      <c r="AA177" s="708"/>
      <c r="AB177" s="708"/>
      <c r="AC177" s="708"/>
      <c r="AD177" s="708"/>
      <c r="AE177" s="708"/>
      <c r="AF177" s="708"/>
      <c r="AG177" s="708"/>
      <c r="AH177" s="708"/>
      <c r="AI177" s="708"/>
      <c r="AJ177" s="708"/>
      <c r="AK177" s="708"/>
      <c r="AL177" s="708"/>
      <c r="AM177" s="708"/>
      <c r="AO177" s="708"/>
      <c r="AP177" s="708"/>
    </row>
    <row r="178" spans="1:42">
      <c r="A178" s="63">
        <f>IFERROR(VLOOKUP(Table8[[#This Row],[Player No]],Table10[[#All],[No]:[Age Group]],4,0),"")</f>
        <v>0</v>
      </c>
      <c r="B178" s="61">
        <v>78</v>
      </c>
      <c r="C178" s="77">
        <f t="shared" si="18"/>
        <v>-96</v>
      </c>
      <c r="D178" s="63">
        <f t="shared" si="16"/>
        <v>174</v>
      </c>
      <c r="E178" s="63">
        <v>3513</v>
      </c>
      <c r="F178" s="64" t="str">
        <f>IFERROR(VLOOKUP(Table8[[#This Row],[Player No]],Table10[[No]:[Province]],2,0),"")</f>
        <v>NAIDOO Thirushan</v>
      </c>
      <c r="G178" s="76" t="str">
        <f>IFERROR(VLOOKUP(Table8[[#This Row],[Player No]],Table10[[No]:[Province]],3,0),"")</f>
        <v>UMG</v>
      </c>
      <c r="H178" s="124">
        <v>2.5</v>
      </c>
      <c r="I178" s="789">
        <f>Table8[[#This Row],[Points 2025]]/2+SUM(Table8[[#This Row],[O1  ADMIN 2026]:[P2           WC           CT Open   2026]])</f>
        <v>1.25</v>
      </c>
      <c r="J178" s="63">
        <f t="shared" si="14"/>
        <v>0</v>
      </c>
      <c r="K178" s="708">
        <f t="shared" si="15"/>
        <v>0</v>
      </c>
      <c r="L178" s="708" t="s">
        <v>6083</v>
      </c>
      <c r="M178" s="708" t="s">
        <v>6083</v>
      </c>
      <c r="N178" s="708" t="s">
        <v>6083</v>
      </c>
      <c r="O178" s="708"/>
      <c r="P178" s="708"/>
      <c r="Q178" s="708"/>
      <c r="R178" s="708"/>
      <c r="S178" s="708"/>
      <c r="T178" s="708"/>
      <c r="U178" s="708"/>
      <c r="V178" s="708"/>
      <c r="W178" s="708"/>
      <c r="X178" s="708"/>
      <c r="Y178" s="708"/>
      <c r="Z178" s="708"/>
      <c r="AA178" s="708"/>
      <c r="AB178" s="708"/>
      <c r="AC178" s="708"/>
      <c r="AD178" s="708"/>
      <c r="AE178" s="708"/>
      <c r="AF178" s="708"/>
      <c r="AG178" s="708"/>
      <c r="AH178" s="708"/>
      <c r="AI178" s="708"/>
      <c r="AJ178" s="708"/>
      <c r="AK178" s="708"/>
      <c r="AL178" s="708"/>
      <c r="AM178" s="708"/>
      <c r="AO178" s="708"/>
      <c r="AP178" s="708"/>
    </row>
    <row r="179" spans="1:42">
      <c r="A179" s="63">
        <f>IFERROR(VLOOKUP(Table8[[#This Row],[Player No]],Table10[[#All],[No]:[Age Group]],4,0),"")</f>
        <v>0</v>
      </c>
      <c r="B179" s="61">
        <v>80</v>
      </c>
      <c r="C179" s="77">
        <f t="shared" si="18"/>
        <v>-95</v>
      </c>
      <c r="D179" s="63">
        <f t="shared" si="16"/>
        <v>175</v>
      </c>
      <c r="E179" s="63">
        <v>3716</v>
      </c>
      <c r="F179" s="64" t="str">
        <f>IFERROR(VLOOKUP(Table8[[#This Row],[Player No]],Table10[[No]:[Province]],2,0),"")</f>
        <v>ALI Uwys</v>
      </c>
      <c r="G179" s="76" t="str">
        <f>IFERROR(VLOOKUP(Table8[[#This Row],[Player No]],Table10[[No]:[Province]],3,0),"")</f>
        <v>JTTA</v>
      </c>
      <c r="H179" s="124">
        <v>2.5</v>
      </c>
      <c r="I179" s="789">
        <f>Table8[[#This Row],[Points 2025]]/2+SUM(Table8[[#This Row],[O1  ADMIN 2026]:[P2           WC           CT Open   2026]])</f>
        <v>1.25</v>
      </c>
      <c r="J179" s="63">
        <f t="shared" si="14"/>
        <v>0</v>
      </c>
      <c r="K179" s="708">
        <f t="shared" si="15"/>
        <v>0</v>
      </c>
      <c r="L179" s="708" t="s">
        <v>6083</v>
      </c>
      <c r="M179" s="708" t="s">
        <v>6083</v>
      </c>
      <c r="N179" s="708" t="s">
        <v>6083</v>
      </c>
      <c r="O179" s="708"/>
      <c r="P179" s="708"/>
      <c r="Q179" s="708"/>
      <c r="R179" s="708"/>
      <c r="S179" s="708"/>
      <c r="T179" s="708"/>
      <c r="U179" s="708"/>
      <c r="V179" s="708"/>
      <c r="W179" s="708"/>
      <c r="X179" s="708"/>
      <c r="Y179" s="708"/>
      <c r="Z179" s="708"/>
      <c r="AA179" s="708"/>
      <c r="AB179" s="708"/>
      <c r="AC179" s="708"/>
      <c r="AD179" s="708"/>
      <c r="AE179" s="708"/>
      <c r="AF179" s="708"/>
      <c r="AG179" s="708"/>
      <c r="AH179" s="708"/>
      <c r="AI179" s="708"/>
      <c r="AJ179" s="708"/>
      <c r="AK179" s="708"/>
      <c r="AL179" s="708"/>
      <c r="AM179" s="708"/>
      <c r="AO179" s="708"/>
      <c r="AP179" s="708"/>
    </row>
    <row r="180" spans="1:42">
      <c r="A180" s="63">
        <f>IFERROR(VLOOKUP(Table8[[#This Row],[Player No]],Table10[[#All],[No]:[Age Group]],4,0),"")</f>
        <v>0</v>
      </c>
      <c r="B180" s="61">
        <v>110</v>
      </c>
      <c r="C180" s="77">
        <f t="shared" si="18"/>
        <v>-66</v>
      </c>
      <c r="D180" s="63">
        <f t="shared" si="16"/>
        <v>176</v>
      </c>
      <c r="E180" s="63">
        <v>3739</v>
      </c>
      <c r="F180" s="64" t="str">
        <f>IFERROR(VLOOKUP(Table8[[#This Row],[Player No]],Table10[[No]:[Province]],2,0),"")</f>
        <v xml:space="preserve">NGCOBO  Awonke  </v>
      </c>
      <c r="G180" s="76" t="str">
        <f>IFERROR(VLOOKUP(Table8[[#This Row],[Player No]],Table10[[No]:[Province]],3,0),"")</f>
        <v>UMZ</v>
      </c>
      <c r="H180" s="124">
        <v>2.5</v>
      </c>
      <c r="I180" s="789">
        <f>Table8[[#This Row],[Points 2025]]/2+SUM(Table8[[#This Row],[O1  ADMIN 2026]:[P2           WC           CT Open   2026]])</f>
        <v>1.25</v>
      </c>
      <c r="J180" s="63">
        <f t="shared" si="14"/>
        <v>0</v>
      </c>
      <c r="K180" s="708">
        <f t="shared" si="15"/>
        <v>0</v>
      </c>
      <c r="L180" s="708" t="s">
        <v>6083</v>
      </c>
      <c r="M180" s="708" t="s">
        <v>6083</v>
      </c>
      <c r="N180" s="708" t="s">
        <v>6083</v>
      </c>
      <c r="O180" s="708"/>
      <c r="P180" s="708"/>
      <c r="Q180" s="708"/>
      <c r="R180" s="708"/>
      <c r="S180" s="708"/>
      <c r="T180" s="708"/>
      <c r="U180" s="708"/>
      <c r="V180" s="708"/>
      <c r="W180" s="708"/>
      <c r="X180" s="708"/>
      <c r="Y180" s="708"/>
      <c r="Z180" s="708"/>
      <c r="AA180" s="708"/>
      <c r="AB180" s="708"/>
      <c r="AC180" s="708"/>
      <c r="AD180" s="708"/>
      <c r="AE180" s="708"/>
      <c r="AF180" s="708"/>
      <c r="AG180" s="708"/>
      <c r="AH180" s="708">
        <v>5</v>
      </c>
      <c r="AI180" s="708"/>
      <c r="AJ180" s="708"/>
      <c r="AK180" s="708"/>
      <c r="AL180" s="708"/>
      <c r="AM180" s="708"/>
      <c r="AO180" s="708"/>
      <c r="AP180" s="708"/>
    </row>
    <row r="181" spans="1:42">
      <c r="A181" s="63">
        <f>IFERROR(VLOOKUP(Table8[[#This Row],[Player No]],Table10[[#All],[No]:[Age Group]],4,0),"")</f>
        <v>0</v>
      </c>
      <c r="B181" s="61">
        <v>108</v>
      </c>
      <c r="C181" s="77">
        <f t="shared" si="18"/>
        <v>-69</v>
      </c>
      <c r="D181" s="63">
        <f t="shared" si="16"/>
        <v>177</v>
      </c>
      <c r="E181" s="63">
        <v>3740</v>
      </c>
      <c r="F181" s="64" t="str">
        <f>IFERROR(VLOOKUP(Table8[[#This Row],[Player No]],Table10[[No]:[Province]],2,0),"")</f>
        <v xml:space="preserve">MASIMULA  Sibongwa  </v>
      </c>
      <c r="G181" s="76" t="str">
        <f>IFERROR(VLOOKUP(Table8[[#This Row],[Player No]],Table10[[No]:[Province]],3,0),"")</f>
        <v>UMZ</v>
      </c>
      <c r="H181" s="124">
        <v>2.5</v>
      </c>
      <c r="I181" s="789">
        <f>Table8[[#This Row],[Points 2025]]/2+SUM(Table8[[#This Row],[O1  ADMIN 2026]:[P2           WC           CT Open   2026]])</f>
        <v>1.25</v>
      </c>
      <c r="J181" s="63">
        <f t="shared" si="14"/>
        <v>0</v>
      </c>
      <c r="K181" s="708">
        <f t="shared" si="15"/>
        <v>0</v>
      </c>
      <c r="L181" s="708" t="s">
        <v>6083</v>
      </c>
      <c r="M181" s="708" t="s">
        <v>6083</v>
      </c>
      <c r="N181" s="708" t="s">
        <v>6083</v>
      </c>
      <c r="O181" s="708"/>
      <c r="P181" s="708"/>
      <c r="Q181" s="708"/>
      <c r="R181" s="708"/>
      <c r="S181" s="708"/>
      <c r="T181" s="708"/>
      <c r="U181" s="708"/>
      <c r="V181" s="708"/>
      <c r="W181" s="708"/>
      <c r="X181" s="708"/>
      <c r="Y181" s="708"/>
      <c r="Z181" s="708"/>
      <c r="AA181" s="708"/>
      <c r="AB181" s="708"/>
      <c r="AC181" s="708"/>
      <c r="AD181" s="708"/>
      <c r="AE181" s="708"/>
      <c r="AF181" s="708"/>
      <c r="AG181" s="708"/>
      <c r="AH181" s="708">
        <v>5</v>
      </c>
      <c r="AI181" s="708"/>
      <c r="AJ181" s="708"/>
      <c r="AK181" s="708"/>
      <c r="AL181" s="708"/>
      <c r="AM181" s="708"/>
      <c r="AO181" s="708"/>
      <c r="AP181" s="708"/>
    </row>
    <row r="182" spans="1:42">
      <c r="A182" s="63" t="str">
        <f>IFERROR(VLOOKUP(Table8[[#This Row],[Player No]],Table10[[#All],[No]:[Age Group]],4,0),"")</f>
        <v>U13</v>
      </c>
      <c r="B182" s="61">
        <v>94</v>
      </c>
      <c r="C182" s="77">
        <f t="shared" si="18"/>
        <v>-84</v>
      </c>
      <c r="D182" s="63">
        <f t="shared" si="16"/>
        <v>178</v>
      </c>
      <c r="E182" s="63">
        <v>3378</v>
      </c>
      <c r="F182" s="64" t="str">
        <f>IFERROR(VLOOKUP(Table8[[#This Row],[Player No]],Table10[[No]:[Province]],2,0),"")</f>
        <v>VISSER Schalk</v>
      </c>
      <c r="G182" s="76" t="str">
        <f>IFERROR(VLOOKUP(Table8[[#This Row],[Player No]],Table10[[No]:[Province]],3,0),"")</f>
        <v>CW</v>
      </c>
      <c r="H182" s="839">
        <v>2.5</v>
      </c>
      <c r="I182" s="789">
        <f>Table8[[#This Row],[Points 2025]]/2+SUM(Table8[[#This Row],[O1  ADMIN 2026]:[P2           WC           CT Open   2026]])</f>
        <v>1.25</v>
      </c>
      <c r="J182" s="63">
        <f t="shared" si="14"/>
        <v>0</v>
      </c>
      <c r="K182" s="708">
        <f t="shared" si="15"/>
        <v>0</v>
      </c>
      <c r="L182" s="708" t="s">
        <v>6083</v>
      </c>
      <c r="M182" s="708" t="s">
        <v>6083</v>
      </c>
      <c r="N182" s="708" t="s">
        <v>6083</v>
      </c>
      <c r="O182" s="708"/>
      <c r="P182" s="708"/>
      <c r="Q182" s="708"/>
      <c r="R182" s="708"/>
      <c r="S182" s="708"/>
      <c r="T182" s="708"/>
      <c r="U182" s="708"/>
      <c r="V182" s="708"/>
      <c r="W182" s="708"/>
      <c r="X182" s="708"/>
      <c r="Y182" s="708"/>
      <c r="Z182" s="708"/>
      <c r="AA182" s="708"/>
      <c r="AB182" s="708"/>
      <c r="AC182" s="708"/>
      <c r="AD182" s="708"/>
      <c r="AE182" s="708"/>
      <c r="AF182" s="708"/>
      <c r="AG182" s="708">
        <v>2</v>
      </c>
      <c r="AH182" s="708"/>
      <c r="AI182" s="708"/>
      <c r="AJ182" s="708"/>
      <c r="AK182" s="708"/>
      <c r="AL182" s="708"/>
      <c r="AM182" s="708"/>
      <c r="AO182" s="708"/>
      <c r="AP182" s="708"/>
    </row>
    <row r="183" spans="1:42">
      <c r="A183" s="63">
        <f>IFERROR(VLOOKUP(Table8[[#This Row],[Player No]],Table10[[#All],[No]:[Age Group]],4,0),"")</f>
        <v>0</v>
      </c>
      <c r="B183" s="61">
        <v>86</v>
      </c>
      <c r="C183" s="77">
        <f t="shared" si="18"/>
        <v>-93</v>
      </c>
      <c r="D183" s="63">
        <f t="shared" si="16"/>
        <v>179</v>
      </c>
      <c r="E183" s="63">
        <v>3376</v>
      </c>
      <c r="F183" s="64" t="str">
        <f>IFERROR(VLOOKUP(Table8[[#This Row],[Player No]],Table10[[No]:[Province]],2,0),"")</f>
        <v xml:space="preserve">OBAKENG Senye </v>
      </c>
      <c r="G183" s="76" t="str">
        <f>IFERROR(VLOOKUP(Table8[[#This Row],[Player No]],Table10[[No]:[Province]],3,0),"")</f>
        <v>NWP</v>
      </c>
      <c r="H183" s="124">
        <v>2.5</v>
      </c>
      <c r="I183" s="789">
        <f>Table8[[#This Row],[Points 2025]]/2+SUM(Table8[[#This Row],[O1  ADMIN 2026]:[P2           WC           CT Open   2026]])</f>
        <v>1.25</v>
      </c>
      <c r="J183" s="63">
        <f t="shared" si="14"/>
        <v>0</v>
      </c>
      <c r="K183" s="708">
        <f t="shared" si="15"/>
        <v>0</v>
      </c>
      <c r="L183" s="708" t="s">
        <v>6083</v>
      </c>
      <c r="M183" s="708" t="s">
        <v>6083</v>
      </c>
      <c r="N183" s="708" t="s">
        <v>6083</v>
      </c>
      <c r="O183" s="708"/>
      <c r="P183" s="708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708"/>
      <c r="AK183" s="708"/>
      <c r="AL183" s="708"/>
      <c r="AM183" s="708"/>
      <c r="AO183" s="708"/>
      <c r="AP183" s="708"/>
    </row>
    <row r="184" spans="1:42">
      <c r="A184" s="63">
        <f>IFERROR(VLOOKUP(Table8[[#This Row],[Player No]],Table10[[#All],[No]:[Age Group]],4,0),"")</f>
        <v>0</v>
      </c>
      <c r="B184" s="61">
        <v>87</v>
      </c>
      <c r="C184" s="77">
        <f t="shared" si="18"/>
        <v>-93</v>
      </c>
      <c r="D184" s="63">
        <f t="shared" si="16"/>
        <v>180</v>
      </c>
      <c r="E184" s="63">
        <v>3382</v>
      </c>
      <c r="F184" s="64" t="str">
        <f>IFERROR(VLOOKUP(Table8[[#This Row],[Player No]],Table10[[No]:[Province]],2,0),"")</f>
        <v>NAIDOO Daniel</v>
      </c>
      <c r="G184" s="76" t="str">
        <f>IFERROR(VLOOKUP(Table8[[#This Row],[Player No]],Table10[[No]:[Province]],3,0),"")</f>
        <v>ETTA</v>
      </c>
      <c r="H184" s="124">
        <v>2.5</v>
      </c>
      <c r="I184" s="789">
        <f>Table8[[#This Row],[Points 2025]]/2+SUM(Table8[[#This Row],[O1  ADMIN 2026]:[P2           WC           CT Open   2026]])</f>
        <v>1.25</v>
      </c>
      <c r="J184" s="63">
        <f t="shared" si="14"/>
        <v>0</v>
      </c>
      <c r="K184" s="708">
        <f t="shared" si="15"/>
        <v>0</v>
      </c>
      <c r="L184" s="708" t="s">
        <v>6083</v>
      </c>
      <c r="M184" s="708" t="s">
        <v>6083</v>
      </c>
      <c r="N184" s="708" t="s">
        <v>6083</v>
      </c>
      <c r="O184" s="708"/>
      <c r="P184" s="708"/>
      <c r="Q184" s="708"/>
      <c r="R184" s="708"/>
      <c r="S184" s="708"/>
      <c r="T184" s="708"/>
      <c r="U184" s="708"/>
      <c r="V184" s="708"/>
      <c r="W184" s="708"/>
      <c r="X184" s="708"/>
      <c r="Y184" s="708"/>
      <c r="Z184" s="708"/>
      <c r="AA184" s="708"/>
      <c r="AB184" s="708"/>
      <c r="AC184" s="708"/>
      <c r="AD184" s="708"/>
      <c r="AE184" s="708"/>
      <c r="AF184" s="708"/>
      <c r="AG184" s="708"/>
      <c r="AH184" s="708"/>
      <c r="AI184" s="708"/>
      <c r="AJ184" s="708"/>
      <c r="AK184" s="708"/>
      <c r="AL184" s="708"/>
      <c r="AM184" s="708"/>
      <c r="AO184" s="708"/>
      <c r="AP184" s="708"/>
    </row>
    <row r="185" spans="1:42">
      <c r="A185" s="63">
        <f>IFERROR(VLOOKUP(Table8[[#This Row],[Player No]],Table10[[#All],[No]:[Age Group]],4,0),"")</f>
        <v>0</v>
      </c>
      <c r="B185" s="61">
        <v>88</v>
      </c>
      <c r="C185" s="77">
        <f t="shared" si="18"/>
        <v>-93</v>
      </c>
      <c r="D185" s="63">
        <f t="shared" si="16"/>
        <v>181</v>
      </c>
      <c r="E185" s="63">
        <v>3440</v>
      </c>
      <c r="F185" s="64" t="str">
        <f>IFERROR(VLOOKUP(Table8[[#This Row],[Player No]],Table10[[No]:[Province]],2,0),"")</f>
        <v>MDLADLA Sibonga</v>
      </c>
      <c r="G185" s="76" t="str">
        <f>IFERROR(VLOOKUP(Table8[[#This Row],[Player No]],Table10[[No]:[Province]],3,0),"")</f>
        <v>UTH</v>
      </c>
      <c r="H185" s="661">
        <v>2.5</v>
      </c>
      <c r="I185" s="789">
        <f>Table8[[#This Row],[Points 2025]]/2+SUM(Table8[[#This Row],[O1  ADMIN 2026]:[P2           WC           CT Open   2026]])</f>
        <v>1.25</v>
      </c>
      <c r="J185" s="63">
        <f t="shared" si="14"/>
        <v>0</v>
      </c>
      <c r="K185" s="708">
        <f t="shared" si="15"/>
        <v>0</v>
      </c>
      <c r="L185" s="708" t="s">
        <v>6083</v>
      </c>
      <c r="M185" s="708" t="s">
        <v>6083</v>
      </c>
      <c r="N185" s="708" t="s">
        <v>6083</v>
      </c>
      <c r="O185" s="708"/>
      <c r="P185" s="708"/>
      <c r="Q185" s="708"/>
      <c r="R185" s="708"/>
      <c r="S185" s="708"/>
      <c r="T185" s="708"/>
      <c r="U185" s="708"/>
      <c r="V185" s="708"/>
      <c r="W185" s="708"/>
      <c r="X185" s="708"/>
      <c r="Y185" s="708"/>
      <c r="Z185" s="708"/>
      <c r="AA185" s="708"/>
      <c r="AB185" s="708"/>
      <c r="AC185" s="708"/>
      <c r="AD185" s="708"/>
      <c r="AE185" s="708"/>
      <c r="AF185" s="708"/>
      <c r="AG185" s="708"/>
      <c r="AH185" s="708"/>
      <c r="AI185" s="708"/>
      <c r="AJ185" s="708"/>
      <c r="AK185" s="708"/>
      <c r="AL185" s="708"/>
      <c r="AM185" s="708"/>
      <c r="AO185" s="708"/>
      <c r="AP185" s="708"/>
    </row>
    <row r="186" spans="1:42">
      <c r="A186" s="63">
        <f>IFERROR(VLOOKUP(Table8[[#This Row],[Player No]],Table10[[#All],[No]:[Age Group]],4,0),"")</f>
        <v>0</v>
      </c>
      <c r="B186" s="61">
        <v>91</v>
      </c>
      <c r="C186" s="77">
        <f t="shared" si="18"/>
        <v>-91</v>
      </c>
      <c r="D186" s="63">
        <f t="shared" si="16"/>
        <v>182</v>
      </c>
      <c r="E186" s="63">
        <v>3453</v>
      </c>
      <c r="F186" s="64" t="str">
        <f>IFERROR(VLOOKUP(Table8[[#This Row],[Player No]],Table10[[No]:[Province]],2,0),"")</f>
        <v>NGCEMBELE Asibone</v>
      </c>
      <c r="G186" s="76" t="str">
        <f>IFERROR(VLOOKUP(Table8[[#This Row],[Player No]],Table10[[No]:[Province]],3,0),"")</f>
        <v>EC</v>
      </c>
      <c r="H186" s="124">
        <v>2.5</v>
      </c>
      <c r="I186" s="789">
        <f>Table8[[#This Row],[Points 2025]]/2+SUM(Table8[[#This Row],[O1  ADMIN 2026]:[P2           WC           CT Open   2026]])</f>
        <v>1.25</v>
      </c>
      <c r="J186" s="63">
        <f t="shared" si="14"/>
        <v>0</v>
      </c>
      <c r="K186" s="708">
        <f t="shared" si="15"/>
        <v>0</v>
      </c>
      <c r="L186" s="708" t="s">
        <v>6083</v>
      </c>
      <c r="M186" s="708" t="s">
        <v>6083</v>
      </c>
      <c r="N186" s="708" t="s">
        <v>6083</v>
      </c>
      <c r="O186" s="708"/>
      <c r="P186" s="708"/>
      <c r="Q186" s="708"/>
      <c r="R186" s="708"/>
      <c r="S186" s="708"/>
      <c r="T186" s="708"/>
      <c r="U186" s="708"/>
      <c r="V186" s="708"/>
      <c r="W186" s="708"/>
      <c r="X186" s="708"/>
      <c r="Y186" s="708"/>
      <c r="Z186" s="708"/>
      <c r="AA186" s="708"/>
      <c r="AB186" s="708"/>
      <c r="AC186" s="708"/>
      <c r="AD186" s="708"/>
      <c r="AE186" s="708"/>
      <c r="AF186" s="708"/>
      <c r="AG186" s="708"/>
      <c r="AH186" s="708"/>
      <c r="AI186" s="708"/>
      <c r="AJ186" s="708"/>
      <c r="AK186" s="708"/>
      <c r="AL186" s="708"/>
      <c r="AM186" s="708"/>
      <c r="AO186" s="708"/>
      <c r="AP186" s="708"/>
    </row>
    <row r="187" spans="1:42">
      <c r="A187" s="63">
        <f>IFERROR(VLOOKUP(Table8[[#This Row],[Player No]],Table10[[#All],[No]:[Age Group]],4,0),"")</f>
        <v>0</v>
      </c>
      <c r="B187" s="61">
        <v>168</v>
      </c>
      <c r="C187" s="77">
        <f t="shared" si="18"/>
        <v>-15</v>
      </c>
      <c r="D187" s="63">
        <f t="shared" si="16"/>
        <v>183</v>
      </c>
      <c r="E187" s="63">
        <v>3955</v>
      </c>
      <c r="F187" s="64" t="str">
        <f>IFERROR(VLOOKUP(Table8[[#This Row],[Player No]],Table10[[No]:[Province]],2,0),"")</f>
        <v>HOFSTA Luke</v>
      </c>
      <c r="G187" s="76" t="str">
        <f>IFERROR(VLOOKUP(Table8[[#This Row],[Player No]],Table10[[No]:[Province]],3,0),"")</f>
        <v>CW</v>
      </c>
      <c r="H187" s="124">
        <v>2</v>
      </c>
      <c r="I187" s="789">
        <f>Table8[[#This Row],[Points 2025]]/2+SUM(Table8[[#This Row],[O1  ADMIN 2026]:[P2           WC           CT Open   2026]])</f>
        <v>1</v>
      </c>
      <c r="J187" s="63">
        <f t="shared" si="14"/>
        <v>0</v>
      </c>
      <c r="K187" s="708">
        <f t="shared" si="15"/>
        <v>0</v>
      </c>
      <c r="L187" s="708" t="s">
        <v>6083</v>
      </c>
      <c r="M187" s="708" t="s">
        <v>6083</v>
      </c>
      <c r="N187" s="708" t="s">
        <v>6083</v>
      </c>
      <c r="O187" s="708"/>
      <c r="P187" s="708"/>
      <c r="Q187" s="708"/>
      <c r="R187" s="708"/>
      <c r="S187" s="708"/>
      <c r="T187" s="708"/>
      <c r="U187" s="708"/>
      <c r="V187" s="708"/>
      <c r="W187" s="708"/>
      <c r="X187" s="708">
        <v>2</v>
      </c>
      <c r="Y187" s="708"/>
      <c r="Z187" s="708"/>
      <c r="AA187" s="708"/>
      <c r="AB187" s="708"/>
      <c r="AC187" s="708"/>
      <c r="AD187" s="708"/>
      <c r="AE187" s="708"/>
      <c r="AF187" s="708"/>
      <c r="AG187" s="708">
        <v>2</v>
      </c>
      <c r="AH187" s="708"/>
      <c r="AI187" s="708"/>
      <c r="AJ187" s="708"/>
      <c r="AK187" s="708"/>
      <c r="AL187" s="708"/>
      <c r="AM187" s="708"/>
      <c r="AO187" s="708"/>
      <c r="AP187" s="708"/>
    </row>
    <row r="188" spans="1:42">
      <c r="A188" s="87"/>
      <c r="B188" s="87"/>
      <c r="C188" s="115">
        <f t="shared" si="18"/>
        <v>-184</v>
      </c>
      <c r="D188" s="63">
        <f t="shared" si="16"/>
        <v>184</v>
      </c>
      <c r="E188" s="114">
        <v>4559</v>
      </c>
      <c r="F188" s="64" t="str">
        <f>IFERROR(VLOOKUP(Table8[[#This Row],[Player No]],Table10[[No]:[Province]],2,0),"")</f>
        <v xml:space="preserve">SEEGERS Shiloh </v>
      </c>
      <c r="G188" s="76" t="str">
        <f>IFERROR(VLOOKUP(Table8[[#This Row],[Player No]],Table10[[No]:[Province]],3,0),"")</f>
        <v>CT</v>
      </c>
      <c r="H188" s="124">
        <v>2</v>
      </c>
      <c r="I188" s="789">
        <f>Table8[[#This Row],[Points 2025]]/2+SUM(Table8[[#This Row],[O1  ADMIN 2026]:[P2           WC           CT Open   2026]])</f>
        <v>1</v>
      </c>
      <c r="J188" s="63">
        <f t="shared" si="14"/>
        <v>0</v>
      </c>
      <c r="K188" s="708">
        <f t="shared" si="15"/>
        <v>0</v>
      </c>
      <c r="L188" s="708" t="s">
        <v>6083</v>
      </c>
      <c r="M188" s="708" t="s">
        <v>6083</v>
      </c>
      <c r="N188" s="708" t="s">
        <v>6083</v>
      </c>
      <c r="O188" s="708"/>
      <c r="P188" s="708"/>
      <c r="Q188" s="708"/>
      <c r="R188" s="708"/>
      <c r="S188" s="708"/>
      <c r="T188" s="708"/>
      <c r="U188" s="708"/>
      <c r="V188" s="708"/>
      <c r="W188" s="708">
        <v>1</v>
      </c>
      <c r="X188" s="708">
        <v>2</v>
      </c>
      <c r="Y188" s="708"/>
      <c r="Z188" s="708"/>
      <c r="AA188" s="708"/>
      <c r="AB188" s="708"/>
      <c r="AC188" s="708"/>
      <c r="AD188" s="708"/>
      <c r="AE188" s="708"/>
      <c r="AF188" s="708"/>
      <c r="AG188" s="708"/>
      <c r="AH188" s="708"/>
      <c r="AI188" s="708"/>
      <c r="AJ188" s="708"/>
      <c r="AK188" s="708"/>
      <c r="AL188" s="708"/>
      <c r="AM188" s="708"/>
      <c r="AO188" s="708"/>
      <c r="AP188" s="708"/>
    </row>
    <row r="189" spans="1:42">
      <c r="A189" s="85">
        <f>IFERROR(VLOOKUP(Table8[[#This Row],[Player No]],Table10[[#All],[No]:[Age Group]],4,0),"")</f>
        <v>0</v>
      </c>
      <c r="B189" s="87">
        <v>95</v>
      </c>
      <c r="C189" s="115">
        <f t="shared" si="18"/>
        <v>-90</v>
      </c>
      <c r="D189" s="63">
        <f t="shared" si="16"/>
        <v>185</v>
      </c>
      <c r="E189" s="114">
        <v>3379</v>
      </c>
      <c r="F189" s="64" t="str">
        <f>IFERROR(VLOOKUP(Table8[[#This Row],[Player No]],Table10[[No]:[Province]],2,0),"")</f>
        <v>JOSEPH Michael</v>
      </c>
      <c r="G189" s="76" t="str">
        <f>IFERROR(VLOOKUP(Table8[[#This Row],[Player No]],Table10[[No]:[Province]],3,0),"")</f>
        <v>CT</v>
      </c>
      <c r="H189" s="661">
        <v>2</v>
      </c>
      <c r="I189" s="789">
        <f>Table8[[#This Row],[Points 2025]]/2+SUM(Table8[[#This Row],[O1  ADMIN 2026]:[P2           WC           CT Open   2026]])</f>
        <v>1</v>
      </c>
      <c r="J189" s="63">
        <f t="shared" si="14"/>
        <v>0</v>
      </c>
      <c r="K189" s="708">
        <f t="shared" si="15"/>
        <v>0</v>
      </c>
      <c r="L189" s="708" t="s">
        <v>6083</v>
      </c>
      <c r="M189" s="708" t="s">
        <v>6083</v>
      </c>
      <c r="N189" s="708" t="s">
        <v>6083</v>
      </c>
      <c r="O189" s="708"/>
      <c r="P189" s="708"/>
      <c r="Q189" s="708"/>
      <c r="R189" s="708"/>
      <c r="S189" s="708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O189" s="708"/>
      <c r="AP189" s="708"/>
    </row>
    <row r="190" spans="1:42">
      <c r="A190" s="85">
        <f>IFERROR(VLOOKUP(Table8[[#This Row],[Player No]],Table10[[#All],[No]:[Age Group]],4,0),"")</f>
        <v>0</v>
      </c>
      <c r="B190" s="87">
        <v>93</v>
      </c>
      <c r="C190" s="115">
        <f t="shared" si="18"/>
        <v>-93</v>
      </c>
      <c r="D190" s="63">
        <f t="shared" si="16"/>
        <v>186</v>
      </c>
      <c r="E190" s="114">
        <v>3389</v>
      </c>
      <c r="F190" s="64" t="str">
        <f>IFERROR(VLOOKUP(Table8[[#This Row],[Player No]],Table10[[No]:[Province]],2,0),"")</f>
        <v>VAN ROOY Moray</v>
      </c>
      <c r="G190" s="76" t="str">
        <f>IFERROR(VLOOKUP(Table8[[#This Row],[Player No]],Table10[[No]:[Province]],3,0),"")</f>
        <v>CT</v>
      </c>
      <c r="H190" s="124">
        <v>2</v>
      </c>
      <c r="I190" s="789">
        <f>Table8[[#This Row],[Points 2025]]/2+SUM(Table8[[#This Row],[O1  ADMIN 2026]:[P2           WC           CT Open   2026]])</f>
        <v>1</v>
      </c>
      <c r="J190" s="63">
        <f t="shared" si="14"/>
        <v>0</v>
      </c>
      <c r="K190" s="708">
        <f t="shared" si="15"/>
        <v>0</v>
      </c>
      <c r="L190" s="708" t="s">
        <v>6083</v>
      </c>
      <c r="M190" s="708" t="s">
        <v>6083</v>
      </c>
      <c r="N190" s="708" t="s">
        <v>6083</v>
      </c>
      <c r="O190" s="708"/>
      <c r="P190" s="708"/>
      <c r="Q190" s="708"/>
      <c r="R190" s="708"/>
      <c r="S190" s="708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O190" s="708"/>
      <c r="AP190" s="708"/>
    </row>
    <row r="191" spans="1:42">
      <c r="A191" s="85">
        <f>IFERROR(VLOOKUP(Table8[[#This Row],[Player No]],Table10[[#All],[No]:[Age Group]],4,0),"")</f>
        <v>0</v>
      </c>
      <c r="B191" s="87">
        <v>97</v>
      </c>
      <c r="C191" s="195">
        <f t="shared" si="18"/>
        <v>-90</v>
      </c>
      <c r="D191" s="63">
        <f t="shared" si="16"/>
        <v>187</v>
      </c>
      <c r="E191" s="189">
        <v>3465</v>
      </c>
      <c r="F191" s="64" t="str">
        <f>IFERROR(VLOOKUP(Table8[[#This Row],[Player No]],Table10[[No]:[Province]],2,0),"")</f>
        <v>TEMA Tebogo David</v>
      </c>
      <c r="G191" s="76" t="str">
        <f>IFERROR(VLOOKUP(Table8[[#This Row],[Player No]],Table10[[No]:[Province]],3,0),"")</f>
        <v>LIM</v>
      </c>
      <c r="H191" s="661">
        <v>2</v>
      </c>
      <c r="I191" s="661">
        <f>Table8[[#This Row],[Points 2025]]/2+SUM(Table8[[#This Row],[O1  ADMIN 2026]:[P2           WC           CT Open   2026]])</f>
        <v>1</v>
      </c>
      <c r="J191" s="63">
        <f t="shared" si="14"/>
        <v>0</v>
      </c>
      <c r="K191" s="708">
        <f t="shared" si="15"/>
        <v>0</v>
      </c>
      <c r="L191" s="708" t="s">
        <v>6083</v>
      </c>
      <c r="M191" s="708" t="s">
        <v>6083</v>
      </c>
      <c r="N191" s="708" t="s">
        <v>6083</v>
      </c>
      <c r="O191" s="708"/>
      <c r="P191" s="708"/>
      <c r="Q191" s="708"/>
      <c r="R191" s="708"/>
      <c r="S191" s="708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O191" s="708"/>
      <c r="AP191" s="708"/>
    </row>
    <row r="192" spans="1:42">
      <c r="A192" s="85">
        <f>IFERROR(VLOOKUP(Table8[[#This Row],[Player No]],Table10[[#All],[No]:[Age Group]],4,0),"")</f>
        <v>0</v>
      </c>
      <c r="B192" s="87"/>
      <c r="C192" s="115"/>
      <c r="D192" s="63">
        <f t="shared" si="16"/>
        <v>188</v>
      </c>
      <c r="E192" s="114">
        <v>3968</v>
      </c>
      <c r="F192" s="64" t="str">
        <f>IFERROR(VLOOKUP(Table8[[#This Row],[Player No]],Table10[[No]:[Province]],2,0),"")</f>
        <v>MODANA Mosa</v>
      </c>
      <c r="G192" s="76" t="str">
        <f>IFERROR(VLOOKUP(Table8[[#This Row],[Player No]],Table10[[No]:[Province]],3,0),"")</f>
        <v>EKU</v>
      </c>
      <c r="H192" s="124">
        <v>2</v>
      </c>
      <c r="I192" s="789">
        <f>Table8[[#This Row],[Points 2025]]/2+SUM(Table8[[#This Row],[O1  ADMIN 2026]:[P2           WC           CT Open   2026]])</f>
        <v>1</v>
      </c>
      <c r="J192" s="63">
        <f t="shared" si="14"/>
        <v>0</v>
      </c>
      <c r="K192" s="708">
        <f t="shared" si="15"/>
        <v>0</v>
      </c>
      <c r="L192" s="708" t="s">
        <v>6083</v>
      </c>
      <c r="M192" s="708" t="s">
        <v>6083</v>
      </c>
      <c r="N192" s="708" t="s">
        <v>6083</v>
      </c>
      <c r="O192" s="708"/>
      <c r="P192" s="708"/>
      <c r="Q192" s="708"/>
      <c r="R192" s="708"/>
      <c r="S192" s="708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>
        <v>5</v>
      </c>
      <c r="AI192" s="708"/>
      <c r="AJ192" s="708"/>
      <c r="AK192" s="708"/>
      <c r="AL192" s="708"/>
      <c r="AM192" s="708"/>
      <c r="AO192" s="708"/>
      <c r="AP192" s="708"/>
    </row>
    <row r="193" spans="1:42">
      <c r="A193" s="87"/>
      <c r="B193" s="87"/>
      <c r="C193" s="115">
        <f>+B193-D193</f>
        <v>-189</v>
      </c>
      <c r="D193" s="63">
        <f t="shared" si="16"/>
        <v>189</v>
      </c>
      <c r="E193" s="114">
        <v>4034</v>
      </c>
      <c r="F193" s="64" t="str">
        <f>IFERROR(VLOOKUP(Table8[[#This Row],[Player No]],Table10[[No]:[Province]],2,0),"")</f>
        <v>WILLIAMS Cody</v>
      </c>
      <c r="G193" s="76" t="str">
        <f>IFERROR(VLOOKUP(Table8[[#This Row],[Player No]],Table10[[No]:[Province]],3,0),"")</f>
        <v>CT</v>
      </c>
      <c r="H193" s="124">
        <v>2</v>
      </c>
      <c r="I193" s="789">
        <f>Table8[[#This Row],[Points 2025]]/2+SUM(Table8[[#This Row],[O1  ADMIN 2026]:[P2           WC           CT Open   2026]])</f>
        <v>1</v>
      </c>
      <c r="J193" s="63">
        <f t="shared" si="14"/>
        <v>0</v>
      </c>
      <c r="K193" s="708">
        <f t="shared" si="15"/>
        <v>0</v>
      </c>
      <c r="L193" s="708" t="s">
        <v>6083</v>
      </c>
      <c r="M193" s="708" t="s">
        <v>6083</v>
      </c>
      <c r="N193" s="708" t="s">
        <v>6083</v>
      </c>
      <c r="O193" s="708"/>
      <c r="P193" s="708"/>
      <c r="Q193" s="708"/>
      <c r="R193" s="708"/>
      <c r="S193" s="708"/>
      <c r="T193" s="708"/>
      <c r="U193" s="708"/>
      <c r="V193" s="708"/>
      <c r="W193" s="708">
        <v>0.5</v>
      </c>
      <c r="X193" s="708">
        <v>2</v>
      </c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O193" s="708"/>
      <c r="AP193" s="708"/>
    </row>
    <row r="194" spans="1:42">
      <c r="A194" s="85" t="str">
        <f>IFERROR(VLOOKUP(Table8[[#This Row],[Player No]],Table10[[#All],[No]:[Age Group]],4,0),"")</f>
        <v>U11</v>
      </c>
      <c r="B194" s="87"/>
      <c r="C194" s="115"/>
      <c r="D194" s="63">
        <f t="shared" si="16"/>
        <v>190</v>
      </c>
      <c r="E194" s="114">
        <v>4036</v>
      </c>
      <c r="F194" s="64" t="str">
        <f>IFERROR(VLOOKUP(Table8[[#This Row],[Player No]],Table10[[No]:[Province]],2,0),"")</f>
        <v>SEKIKE Kgotso</v>
      </c>
      <c r="G194" s="76" t="str">
        <f>IFERROR(VLOOKUP(Table8[[#This Row],[Player No]],Table10[[No]:[Province]],3,0),"")</f>
        <v>FS</v>
      </c>
      <c r="H194" s="124">
        <v>2</v>
      </c>
      <c r="I194" s="789">
        <f>Table8[[#This Row],[Points 2025]]/2+SUM(Table8[[#This Row],[O1  ADMIN 2026]:[P2           WC           CT Open   2026]])</f>
        <v>1</v>
      </c>
      <c r="J194" s="63">
        <f t="shared" si="14"/>
        <v>0</v>
      </c>
      <c r="K194" s="708">
        <f t="shared" si="15"/>
        <v>0</v>
      </c>
      <c r="L194" s="708" t="s">
        <v>6083</v>
      </c>
      <c r="M194" s="708" t="s">
        <v>6083</v>
      </c>
      <c r="N194" s="708" t="s">
        <v>6083</v>
      </c>
      <c r="O194" s="708"/>
      <c r="P194" s="708"/>
      <c r="Q194" s="708"/>
      <c r="R194" s="708"/>
      <c r="S194" s="708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>
        <v>5</v>
      </c>
      <c r="AI194" s="708"/>
      <c r="AJ194" s="708"/>
      <c r="AK194" s="708"/>
      <c r="AL194" s="708"/>
      <c r="AM194" s="708"/>
      <c r="AO194" s="708"/>
      <c r="AP194" s="708"/>
    </row>
    <row r="195" spans="1:42">
      <c r="A195" s="85"/>
      <c r="B195" s="87"/>
      <c r="C195" s="195"/>
      <c r="D195" s="63">
        <f t="shared" si="16"/>
        <v>191</v>
      </c>
      <c r="E195" s="189">
        <v>4108</v>
      </c>
      <c r="F195" s="64" t="str">
        <f>IFERROR(VLOOKUP(Table8[[#This Row],[Player No]],Table10[[No]:[Province]],2,0),"")</f>
        <v>Siphephelo MGENGE</v>
      </c>
      <c r="G195" s="76" t="str">
        <f>IFERROR(VLOOKUP(Table8[[#This Row],[Player No]],Table10[[No]:[Province]],3,0),"")</f>
        <v>ETTA</v>
      </c>
      <c r="H195" s="124">
        <v>2</v>
      </c>
      <c r="I195" s="661">
        <f>Table8[[#This Row],[Points 2025]]/2+SUM(Table8[[#This Row],[O1  ADMIN 2026]:[P2           WC           CT Open   2026]])</f>
        <v>1</v>
      </c>
      <c r="J195" s="63">
        <f t="shared" si="14"/>
        <v>0</v>
      </c>
      <c r="K195" s="708">
        <f t="shared" si="15"/>
        <v>0</v>
      </c>
      <c r="L195" s="708" t="s">
        <v>6083</v>
      </c>
      <c r="M195" s="708" t="s">
        <v>6083</v>
      </c>
      <c r="N195" s="708" t="s">
        <v>6083</v>
      </c>
      <c r="O195" s="708"/>
      <c r="P195" s="708"/>
      <c r="Q195" s="708"/>
      <c r="R195" s="708"/>
      <c r="S195" s="708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>
        <v>5</v>
      </c>
      <c r="AI195" s="708"/>
      <c r="AJ195" s="708"/>
      <c r="AK195" s="708"/>
      <c r="AL195" s="708"/>
      <c r="AM195" s="708"/>
      <c r="AO195" s="708"/>
      <c r="AP195" s="708"/>
    </row>
    <row r="196" spans="1:42">
      <c r="A196" s="85"/>
      <c r="B196" s="87"/>
      <c r="C196" s="115"/>
      <c r="D196" s="63">
        <f t="shared" si="16"/>
        <v>192</v>
      </c>
      <c r="E196" s="114">
        <v>4109</v>
      </c>
      <c r="F196" s="64" t="str">
        <f>IFERROR(VLOOKUP(Table8[[#This Row],[Player No]],Table10[[No]:[Province]],2,0),"")</f>
        <v>Easa VACHIAT</v>
      </c>
      <c r="G196" s="76" t="str">
        <f>IFERROR(VLOOKUP(Table8[[#This Row],[Player No]],Table10[[No]:[Province]],3,0),"")</f>
        <v>JTTA</v>
      </c>
      <c r="H196" s="124">
        <v>2</v>
      </c>
      <c r="I196" s="789">
        <f>Table8[[#This Row],[Points 2025]]/2+SUM(Table8[[#This Row],[O1  ADMIN 2026]:[P2           WC           CT Open   2026]])</f>
        <v>1</v>
      </c>
      <c r="J196" s="63">
        <f t="shared" si="14"/>
        <v>0</v>
      </c>
      <c r="K196" s="708">
        <f t="shared" si="15"/>
        <v>0</v>
      </c>
      <c r="L196" s="708" t="s">
        <v>6083</v>
      </c>
      <c r="M196" s="708" t="s">
        <v>6083</v>
      </c>
      <c r="N196" s="708" t="s">
        <v>6083</v>
      </c>
      <c r="O196" s="708"/>
      <c r="P196" s="708"/>
      <c r="Q196" s="708"/>
      <c r="R196" s="708"/>
      <c r="S196" s="708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>
        <v>5</v>
      </c>
      <c r="AI196" s="708"/>
      <c r="AJ196" s="708"/>
      <c r="AK196" s="708"/>
      <c r="AL196" s="708"/>
      <c r="AM196" s="708"/>
      <c r="AO196" s="708"/>
      <c r="AP196" s="708"/>
    </row>
    <row r="197" spans="1:42">
      <c r="A197" s="85" t="str">
        <f>IFERROR(VLOOKUP(Table8[[#This Row],[Player No]],Table10[[#All],[No]:[Age Group]],4,0),"")</f>
        <v>U13</v>
      </c>
      <c r="B197" s="87"/>
      <c r="C197" s="195"/>
      <c r="D197" s="63">
        <f t="shared" si="16"/>
        <v>193</v>
      </c>
      <c r="E197" s="189">
        <v>3993</v>
      </c>
      <c r="F197" s="64" t="str">
        <f>IFERROR(VLOOKUP(Table8[[#This Row],[Player No]],Table10[[No]:[Province]],2,0),"")</f>
        <v>GANI Ormar</v>
      </c>
      <c r="G197" s="76" t="str">
        <f>IFERROR(VLOOKUP(Table8[[#This Row],[Player No]],Table10[[No]:[Province]],3,0),"")</f>
        <v>LIM</v>
      </c>
      <c r="H197" s="124">
        <v>2</v>
      </c>
      <c r="I197" s="661">
        <f>Table8[[#This Row],[Points 2025]]/2+SUM(Table8[[#This Row],[O1  ADMIN 2026]:[P2           WC           CT Open   2026]])</f>
        <v>1</v>
      </c>
      <c r="J197" s="63">
        <f t="shared" ref="J197:J260" si="19">COUNTIF(L197:O197,"&gt;0")</f>
        <v>0</v>
      </c>
      <c r="K197" s="708">
        <f t="shared" ref="K197:K260" si="20">COUNTIF(M197:AM197,"&lt;0")</f>
        <v>0</v>
      </c>
      <c r="L197" s="708" t="s">
        <v>6083</v>
      </c>
      <c r="M197" s="708" t="s">
        <v>6083</v>
      </c>
      <c r="N197" s="708" t="s">
        <v>6083</v>
      </c>
      <c r="O197" s="708"/>
      <c r="P197" s="708"/>
      <c r="Q197" s="708"/>
      <c r="R197" s="708"/>
      <c r="S197" s="708"/>
      <c r="T197" s="708"/>
      <c r="U197" s="708"/>
      <c r="V197" s="708"/>
      <c r="W197" s="708"/>
      <c r="X197" s="708"/>
      <c r="Y197" s="708">
        <v>0</v>
      </c>
      <c r="Z197" s="708"/>
      <c r="AA197" s="708"/>
      <c r="AB197" s="708"/>
      <c r="AC197" s="708"/>
      <c r="AD197" s="708"/>
      <c r="AE197" s="708"/>
      <c r="AF197" s="708"/>
      <c r="AG197" s="708"/>
      <c r="AH197" s="708">
        <v>5</v>
      </c>
      <c r="AI197" s="708"/>
      <c r="AJ197" s="708"/>
      <c r="AK197" s="708"/>
      <c r="AL197" s="708"/>
      <c r="AM197" s="708"/>
      <c r="AO197" s="708"/>
      <c r="AP197" s="708"/>
    </row>
    <row r="198" spans="1:42">
      <c r="A198" s="87"/>
      <c r="B198" s="87"/>
      <c r="C198" s="115">
        <f t="shared" ref="C198:C232" si="21">+B198-D198</f>
        <v>-194</v>
      </c>
      <c r="D198" s="63">
        <f t="shared" si="16"/>
        <v>194</v>
      </c>
      <c r="E198" s="114">
        <v>3334</v>
      </c>
      <c r="F198" s="64" t="str">
        <f>IFERROR(VLOOKUP(Table8[[#This Row],[Player No]],Table10[[No]:[Province]],2,0),"")</f>
        <v>SWEATZ Caden</v>
      </c>
      <c r="G198" s="76" t="str">
        <f>IFERROR(VLOOKUP(Table8[[#This Row],[Player No]],Table10[[No]:[Province]],3,0),"")</f>
        <v>CT</v>
      </c>
      <c r="H198" s="124">
        <v>2</v>
      </c>
      <c r="I198" s="789">
        <f>Table8[[#This Row],[Points 2025]]/2+SUM(Table8[[#This Row],[O1  ADMIN 2026]:[P2           WC           CT Open   2026]])</f>
        <v>1</v>
      </c>
      <c r="J198" s="63">
        <f t="shared" si="19"/>
        <v>0</v>
      </c>
      <c r="K198" s="708">
        <f t="shared" si="20"/>
        <v>0</v>
      </c>
      <c r="L198" s="708" t="s">
        <v>6083</v>
      </c>
      <c r="M198" s="708" t="s">
        <v>6083</v>
      </c>
      <c r="N198" s="708" t="s">
        <v>6083</v>
      </c>
      <c r="O198" s="708"/>
      <c r="P198" s="708"/>
      <c r="Q198" s="708"/>
      <c r="R198" s="708"/>
      <c r="S198" s="708"/>
      <c r="T198" s="708"/>
      <c r="U198" s="708"/>
      <c r="V198" s="708"/>
      <c r="W198" s="708"/>
      <c r="X198" s="708">
        <v>2</v>
      </c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O198" s="708"/>
      <c r="AP198" s="708"/>
    </row>
    <row r="199" spans="1:42">
      <c r="A199" s="87"/>
      <c r="B199" s="87"/>
      <c r="C199" s="115">
        <f t="shared" si="21"/>
        <v>-195</v>
      </c>
      <c r="D199" s="63">
        <f t="shared" ref="D199:D262" si="22">D198+1</f>
        <v>195</v>
      </c>
      <c r="E199" s="114">
        <v>3415</v>
      </c>
      <c r="F199" s="64" t="str">
        <f>IFERROR(VLOOKUP(Table8[[#This Row],[Player No]],Table10[[No]:[Province]],2,0),"")</f>
        <v>BUYS Logan</v>
      </c>
      <c r="G199" s="76" t="str">
        <f>IFERROR(VLOOKUP(Table8[[#This Row],[Player No]],Table10[[No]:[Province]],3,0),"")</f>
        <v>CW</v>
      </c>
      <c r="H199" s="124">
        <v>2</v>
      </c>
      <c r="I199" s="789">
        <f>Table8[[#This Row],[Points 2025]]/2+SUM(Table8[[#This Row],[O1  ADMIN 2026]:[P2           WC           CT Open   2026]])</f>
        <v>1</v>
      </c>
      <c r="J199" s="63">
        <f t="shared" si="19"/>
        <v>0</v>
      </c>
      <c r="K199" s="708">
        <f t="shared" si="20"/>
        <v>0</v>
      </c>
      <c r="L199" s="708" t="s">
        <v>6083</v>
      </c>
      <c r="M199" s="708" t="s">
        <v>6083</v>
      </c>
      <c r="N199" s="708" t="s">
        <v>6083</v>
      </c>
      <c r="O199" s="708"/>
      <c r="P199" s="708"/>
      <c r="Q199" s="708"/>
      <c r="R199" s="708"/>
      <c r="S199" s="708"/>
      <c r="T199" s="708"/>
      <c r="U199" s="708"/>
      <c r="V199" s="708"/>
      <c r="W199" s="708"/>
      <c r="X199" s="708">
        <v>2</v>
      </c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O199" s="708"/>
      <c r="AP199" s="708"/>
    </row>
    <row r="200" spans="1:42">
      <c r="A200" s="87"/>
      <c r="B200" s="87"/>
      <c r="C200" s="115">
        <f t="shared" si="21"/>
        <v>-196</v>
      </c>
      <c r="D200" s="63">
        <f t="shared" si="22"/>
        <v>196</v>
      </c>
      <c r="E200" s="114">
        <v>4582</v>
      </c>
      <c r="F200" s="93" t="str">
        <f>IFERROR(VLOOKUP(Table8[[#This Row],[Player No]],Table10[[No]:[Province]],2,0),"")</f>
        <v>HEMRAJ Yasthir</v>
      </c>
      <c r="G200" s="63" t="str">
        <f>IFERROR(VLOOKUP(Table8[[#This Row],[Player No]],Table10[[No]:[Province]],3,0),"")</f>
        <v>ETTA</v>
      </c>
      <c r="H200" s="124">
        <v>0</v>
      </c>
      <c r="I200" s="789">
        <f>Table8[[#This Row],[Points 2025]]/2+SUM(Table8[[#This Row],[O1  ADMIN 2026]:[P2           WC           CT Open   2026]])</f>
        <v>1</v>
      </c>
      <c r="J200" s="63">
        <f t="shared" si="19"/>
        <v>1</v>
      </c>
      <c r="K200" s="708">
        <f t="shared" si="20"/>
        <v>0</v>
      </c>
      <c r="L200" s="708" t="s">
        <v>6083</v>
      </c>
      <c r="M200" s="708" t="s">
        <v>6083</v>
      </c>
      <c r="N200" s="708">
        <v>1</v>
      </c>
      <c r="O200" s="708"/>
      <c r="P200" s="708"/>
      <c r="Q200" s="708"/>
      <c r="R200" s="708"/>
      <c r="S200" s="708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O200" s="708"/>
      <c r="AP200" s="708"/>
    </row>
    <row r="201" spans="1:42">
      <c r="A201" s="433"/>
      <c r="B201" s="433"/>
      <c r="C201" s="384">
        <f t="shared" si="21"/>
        <v>-197</v>
      </c>
      <c r="D201" s="63">
        <f t="shared" si="22"/>
        <v>197</v>
      </c>
      <c r="E201" s="386">
        <v>4682</v>
      </c>
      <c r="F201" s="663" t="str">
        <f>IFERROR(VLOOKUP(Table8[[#This Row],[Player No]],Table10[[No]:[Province]],2,0),"")</f>
        <v>Luan MALAN</v>
      </c>
      <c r="G201" s="392" t="str">
        <f>IFERROR(VLOOKUP(Table8[[#This Row],[Player No]],Table10[[No]:[Province]],3,0),"")</f>
        <v>GN</v>
      </c>
      <c r="H201" s="124">
        <v>1</v>
      </c>
      <c r="I201" s="822">
        <f>Table8[[#This Row],[Points 2025]]/2+SUM(Table8[[#This Row],[O1  ADMIN 2026]:[P2           WC           CT Open   2026]])</f>
        <v>1</v>
      </c>
      <c r="J201" s="63">
        <f t="shared" si="19"/>
        <v>1</v>
      </c>
      <c r="K201" s="714">
        <f t="shared" si="20"/>
        <v>0</v>
      </c>
      <c r="L201" s="714">
        <v>0.5</v>
      </c>
      <c r="M201" s="714" t="s">
        <v>6083</v>
      </c>
      <c r="N201" s="714" t="s">
        <v>6083</v>
      </c>
      <c r="O201" s="714"/>
      <c r="P201" s="714"/>
      <c r="Q201" s="714"/>
      <c r="R201" s="714"/>
      <c r="S201" s="714"/>
      <c r="T201" s="714"/>
      <c r="U201" s="714"/>
      <c r="V201" s="714"/>
      <c r="W201" s="714"/>
      <c r="X201" s="714"/>
      <c r="Y201" s="714"/>
      <c r="Z201" s="714"/>
      <c r="AA201" s="714"/>
      <c r="AB201" s="714">
        <v>1</v>
      </c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/>
      <c r="AO201" s="708"/>
      <c r="AP201" s="708"/>
    </row>
    <row r="202" spans="1:42">
      <c r="A202" s="87"/>
      <c r="B202" s="87"/>
      <c r="C202" s="115">
        <f t="shared" si="21"/>
        <v>-198</v>
      </c>
      <c r="D202" s="63">
        <f t="shared" si="22"/>
        <v>198</v>
      </c>
      <c r="E202" s="114">
        <v>4297</v>
      </c>
      <c r="F202" s="64" t="str">
        <f>IFERROR(VLOOKUP(Table8[[#This Row],[Player No]],Table10[[No]:[Province]],2,0),"")</f>
        <v>LEHETLA Boitumelo</v>
      </c>
      <c r="G202" s="76" t="str">
        <f>IFERROR(VLOOKUP(Table8[[#This Row],[Player No]],Table10[[No]:[Province]],3,0),"")</f>
        <v>FS</v>
      </c>
      <c r="H202" s="124">
        <v>1.25</v>
      </c>
      <c r="I202" s="789">
        <f>Table8[[#This Row],[Points 2025]]/2+SUM(Table8[[#This Row],[O1  ADMIN 2026]:[P2           WC           CT Open   2026]])</f>
        <v>0.625</v>
      </c>
      <c r="J202" s="63">
        <f t="shared" si="19"/>
        <v>0</v>
      </c>
      <c r="K202" s="708">
        <f t="shared" si="20"/>
        <v>0</v>
      </c>
      <c r="L202" s="708" t="s">
        <v>6083</v>
      </c>
      <c r="M202" s="708" t="s">
        <v>6083</v>
      </c>
      <c r="N202" s="708" t="s">
        <v>6083</v>
      </c>
      <c r="O202" s="708"/>
      <c r="P202" s="708"/>
      <c r="Q202" s="708"/>
      <c r="R202" s="708"/>
      <c r="S202" s="708"/>
      <c r="T202" s="708"/>
      <c r="U202" s="708">
        <v>1</v>
      </c>
      <c r="V202" s="708">
        <v>1</v>
      </c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O202" s="708"/>
      <c r="AP202" s="708"/>
    </row>
    <row r="203" spans="1:42">
      <c r="A203" s="87"/>
      <c r="B203" s="87"/>
      <c r="C203" s="115">
        <f t="shared" si="21"/>
        <v>-199</v>
      </c>
      <c r="D203" s="63">
        <f t="shared" si="22"/>
        <v>199</v>
      </c>
      <c r="E203" s="114">
        <v>4542</v>
      </c>
      <c r="F203" s="656" t="s">
        <v>5983</v>
      </c>
      <c r="G203" s="76" t="s">
        <v>362</v>
      </c>
      <c r="H203" s="124">
        <v>1.25</v>
      </c>
      <c r="I203" s="789">
        <f>Table8[[#This Row],[Points 2025]]/2+SUM(Table8[[#This Row],[O1  ADMIN 2026]:[P2           WC           CT Open   2026]])</f>
        <v>0.625</v>
      </c>
      <c r="J203" s="63">
        <f t="shared" si="19"/>
        <v>0</v>
      </c>
      <c r="K203" s="708">
        <f t="shared" si="20"/>
        <v>0</v>
      </c>
      <c r="L203" s="708" t="s">
        <v>6083</v>
      </c>
      <c r="M203" s="708" t="s">
        <v>6083</v>
      </c>
      <c r="N203" s="708" t="s">
        <v>6083</v>
      </c>
      <c r="O203" s="708"/>
      <c r="P203" s="708"/>
      <c r="Q203" s="708"/>
      <c r="R203" s="708"/>
      <c r="S203" s="708"/>
      <c r="T203" s="708"/>
      <c r="U203" s="708"/>
      <c r="V203" s="708"/>
      <c r="W203" s="708"/>
      <c r="X203" s="708">
        <v>2</v>
      </c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O203" s="708"/>
      <c r="AP203" s="708"/>
    </row>
    <row r="204" spans="1:42">
      <c r="A204" s="87"/>
      <c r="B204" s="87"/>
      <c r="C204" s="115">
        <f t="shared" si="21"/>
        <v>-200</v>
      </c>
      <c r="D204" s="63">
        <f t="shared" si="22"/>
        <v>200</v>
      </c>
      <c r="E204" s="114">
        <v>4614</v>
      </c>
      <c r="F204" s="64" t="str">
        <f>IFERROR(VLOOKUP(Table8[[#This Row],[Player No]],Table10[[No]:[Province]],2,0),"")</f>
        <v xml:space="preserve">PILLAY Joshua </v>
      </c>
      <c r="G204" s="76" t="str">
        <f>IFERROR(VLOOKUP(Table8[[#This Row],[Player No]],Table10[[No]:[Province]],3,0),"")</f>
        <v>ETTA</v>
      </c>
      <c r="H204" s="124">
        <v>1.25</v>
      </c>
      <c r="I204" s="789">
        <f>Table8[[#This Row],[Points 2025]]/2+SUM(Table8[[#This Row],[O1  ADMIN 2026]:[P2           WC           CT Open   2026]])</f>
        <v>0.625</v>
      </c>
      <c r="J204" s="63">
        <f t="shared" si="19"/>
        <v>0</v>
      </c>
      <c r="K204" s="708">
        <f t="shared" si="20"/>
        <v>0</v>
      </c>
      <c r="L204" s="708" t="s">
        <v>6083</v>
      </c>
      <c r="M204" s="708" t="s">
        <v>6083</v>
      </c>
      <c r="N204" s="708" t="s">
        <v>6083</v>
      </c>
      <c r="O204" s="708"/>
      <c r="P204" s="708"/>
      <c r="Q204" s="708"/>
      <c r="R204" s="708">
        <v>1</v>
      </c>
      <c r="S204" s="708">
        <v>1</v>
      </c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O204" s="708"/>
      <c r="AP204" s="708"/>
    </row>
    <row r="205" spans="1:42">
      <c r="A205" s="87"/>
      <c r="B205" s="87"/>
      <c r="C205" s="115">
        <f t="shared" si="21"/>
        <v>-201</v>
      </c>
      <c r="D205" s="63">
        <f t="shared" si="22"/>
        <v>201</v>
      </c>
      <c r="E205" s="114">
        <v>4641</v>
      </c>
      <c r="F205" s="64" t="str">
        <f>IFERROR(VLOOKUP(Table8[[#This Row],[Player No]],Table10[[No]:[Province]],2,0),"")</f>
        <v xml:space="preserve">ENOUS Yaseen </v>
      </c>
      <c r="G205" s="76" t="str">
        <f>IFERROR(VLOOKUP(Table8[[#This Row],[Player No]],Table10[[No]:[Province]],3,0),"")</f>
        <v>CT</v>
      </c>
      <c r="H205" s="124">
        <v>1.25</v>
      </c>
      <c r="I205" s="789">
        <f>Table8[[#This Row],[Points 2025]]/2+SUM(Table8[[#This Row],[O1  ADMIN 2026]:[P2           WC           CT Open   2026]])</f>
        <v>0.625</v>
      </c>
      <c r="J205" s="63">
        <f t="shared" si="19"/>
        <v>0</v>
      </c>
      <c r="K205" s="708">
        <f t="shared" si="20"/>
        <v>0</v>
      </c>
      <c r="L205" s="708" t="s">
        <v>6083</v>
      </c>
      <c r="M205" s="708" t="s">
        <v>6083</v>
      </c>
      <c r="N205" s="708" t="s">
        <v>6083</v>
      </c>
      <c r="O205" s="708"/>
      <c r="P205" s="708"/>
      <c r="Q205" s="708"/>
      <c r="R205" s="708"/>
      <c r="S205" s="708"/>
      <c r="T205" s="708"/>
      <c r="U205" s="708"/>
      <c r="V205" s="708"/>
      <c r="W205" s="708"/>
      <c r="X205" s="708">
        <v>2</v>
      </c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O205" s="708"/>
      <c r="AP205" s="708"/>
    </row>
    <row r="206" spans="1:42">
      <c r="A206" s="87"/>
      <c r="B206" s="87"/>
      <c r="C206" s="115">
        <f t="shared" si="21"/>
        <v>-202</v>
      </c>
      <c r="D206" s="63">
        <f t="shared" si="22"/>
        <v>202</v>
      </c>
      <c r="E206" s="114">
        <v>4648</v>
      </c>
      <c r="F206" s="64" t="str">
        <f>IFERROR(VLOOKUP(Table8[[#This Row],[Player No]],Table10[[No]:[Province]],2,0),"")</f>
        <v xml:space="preserve">DANIELS Joshua </v>
      </c>
      <c r="G206" s="76" t="str">
        <f>IFERROR(VLOOKUP(Table8[[#This Row],[Player No]],Table10[[No]:[Province]],3,0),"")</f>
        <v>CW</v>
      </c>
      <c r="H206" s="661">
        <v>1.125</v>
      </c>
      <c r="I206" s="789">
        <f>Table8[[#This Row],[Points 2025]]/2+SUM(Table8[[#This Row],[O1  ADMIN 2026]:[P2           WC           CT Open   2026]])</f>
        <v>0.5625</v>
      </c>
      <c r="J206" s="63">
        <f t="shared" si="19"/>
        <v>0</v>
      </c>
      <c r="K206" s="708">
        <f t="shared" si="20"/>
        <v>0</v>
      </c>
      <c r="L206" s="708" t="s">
        <v>6083</v>
      </c>
      <c r="M206" s="708" t="s">
        <v>6083</v>
      </c>
      <c r="N206" s="708" t="s">
        <v>6083</v>
      </c>
      <c r="O206" s="708"/>
      <c r="P206" s="708"/>
      <c r="Q206" s="708"/>
      <c r="R206" s="708"/>
      <c r="S206" s="708"/>
      <c r="T206" s="708"/>
      <c r="U206" s="708"/>
      <c r="V206" s="708"/>
      <c r="W206" s="708"/>
      <c r="X206" s="708">
        <v>2</v>
      </c>
      <c r="Y206" s="708"/>
      <c r="Z206" s="708"/>
      <c r="AA206" s="708"/>
      <c r="AB206" s="708"/>
      <c r="AC206" s="708"/>
      <c r="AD206" s="708"/>
      <c r="AE206" s="708"/>
      <c r="AF206" s="708"/>
      <c r="AG206" s="708"/>
      <c r="AH206" s="708"/>
      <c r="AI206" s="708"/>
      <c r="AJ206" s="708"/>
      <c r="AK206" s="708"/>
      <c r="AL206" s="708"/>
      <c r="AM206" s="708"/>
      <c r="AO206" s="708"/>
      <c r="AP206" s="708"/>
    </row>
    <row r="207" spans="1:42">
      <c r="A207" s="87"/>
      <c r="B207" s="87"/>
      <c r="C207" s="115">
        <f t="shared" si="21"/>
        <v>-203</v>
      </c>
      <c r="D207" s="63">
        <f t="shared" si="22"/>
        <v>203</v>
      </c>
      <c r="E207" s="114">
        <v>4650</v>
      </c>
      <c r="F207" s="64" t="str">
        <f>IFERROR(VLOOKUP(Table8[[#This Row],[Player No]],Table10[[No]:[Province]],2,0),"")</f>
        <v xml:space="preserve">SKIPPERS Chris-Will </v>
      </c>
      <c r="G207" s="76" t="str">
        <f>IFERROR(VLOOKUP(Table8[[#This Row],[Player No]],Table10[[No]:[Province]],3,0),"")</f>
        <v>WC</v>
      </c>
      <c r="H207" s="661">
        <v>1.125</v>
      </c>
      <c r="I207" s="789">
        <f>Table8[[#This Row],[Points 2025]]/2+SUM(Table8[[#This Row],[O1  ADMIN 2026]:[P2           WC           CT Open   2026]])</f>
        <v>0.5625</v>
      </c>
      <c r="J207" s="63">
        <f t="shared" si="19"/>
        <v>0</v>
      </c>
      <c r="K207" s="708">
        <f t="shared" si="20"/>
        <v>0</v>
      </c>
      <c r="L207" s="708" t="s">
        <v>6083</v>
      </c>
      <c r="M207" s="708" t="s">
        <v>6083</v>
      </c>
      <c r="N207" s="708" t="s">
        <v>6083</v>
      </c>
      <c r="O207" s="708"/>
      <c r="P207" s="708"/>
      <c r="Q207" s="708"/>
      <c r="R207" s="708"/>
      <c r="S207" s="708"/>
      <c r="T207" s="708"/>
      <c r="U207" s="708"/>
      <c r="V207" s="708"/>
      <c r="W207" s="708"/>
      <c r="X207" s="708">
        <v>2</v>
      </c>
      <c r="Y207" s="708"/>
      <c r="Z207" s="708"/>
      <c r="AA207" s="708"/>
      <c r="AB207" s="708"/>
      <c r="AC207" s="708"/>
      <c r="AD207" s="708"/>
      <c r="AE207" s="708"/>
      <c r="AF207" s="708"/>
      <c r="AG207" s="708"/>
      <c r="AH207" s="708"/>
      <c r="AI207" s="708"/>
      <c r="AJ207" s="708"/>
      <c r="AK207" s="708"/>
      <c r="AL207" s="708"/>
      <c r="AM207" s="708"/>
      <c r="AO207" s="708"/>
      <c r="AP207" s="708"/>
    </row>
    <row r="208" spans="1:42">
      <c r="A208" s="87"/>
      <c r="B208" s="87"/>
      <c r="C208" s="115">
        <f t="shared" si="21"/>
        <v>-204</v>
      </c>
      <c r="D208" s="63">
        <f t="shared" si="22"/>
        <v>204</v>
      </c>
      <c r="E208" s="114">
        <v>4651</v>
      </c>
      <c r="F208" s="64" t="str">
        <f>IFERROR(VLOOKUP(Table8[[#This Row],[Player No]],Table10[[No]:[Province]],2,0),"")</f>
        <v xml:space="preserve">MENTOOR Nahum </v>
      </c>
      <c r="G208" s="76" t="str">
        <f>IFERROR(VLOOKUP(Table8[[#This Row],[Player No]],Table10[[No]:[Province]],3,0),"")</f>
        <v>CT</v>
      </c>
      <c r="H208" s="661">
        <v>1.125</v>
      </c>
      <c r="I208" s="789">
        <f>Table8[[#This Row],[Points 2025]]/2+SUM(Table8[[#This Row],[O1  ADMIN 2026]:[P2           WC           CT Open   2026]])</f>
        <v>0.5625</v>
      </c>
      <c r="J208" s="63">
        <f t="shared" si="19"/>
        <v>0</v>
      </c>
      <c r="K208" s="708">
        <f t="shared" si="20"/>
        <v>0</v>
      </c>
      <c r="L208" s="708" t="s">
        <v>6083</v>
      </c>
      <c r="M208" s="708" t="s">
        <v>6083</v>
      </c>
      <c r="N208" s="708" t="s">
        <v>6083</v>
      </c>
      <c r="O208" s="708"/>
      <c r="P208" s="708"/>
      <c r="Q208" s="708"/>
      <c r="R208" s="708"/>
      <c r="S208" s="708"/>
      <c r="T208" s="708"/>
      <c r="U208" s="708"/>
      <c r="V208" s="708"/>
      <c r="W208" s="708"/>
      <c r="X208" s="708">
        <v>2</v>
      </c>
      <c r="Y208" s="708"/>
      <c r="Z208" s="708"/>
      <c r="AA208" s="708"/>
      <c r="AB208" s="708"/>
      <c r="AC208" s="708"/>
      <c r="AD208" s="708"/>
      <c r="AE208" s="708"/>
      <c r="AF208" s="708"/>
      <c r="AG208" s="708"/>
      <c r="AH208" s="708"/>
      <c r="AI208" s="708"/>
      <c r="AJ208" s="708"/>
      <c r="AK208" s="708"/>
      <c r="AL208" s="708"/>
      <c r="AM208" s="708"/>
      <c r="AO208" s="708"/>
      <c r="AP208" s="708"/>
    </row>
    <row r="209" spans="1:42">
      <c r="A209" s="87"/>
      <c r="B209" s="87"/>
      <c r="C209" s="115">
        <f t="shared" si="21"/>
        <v>-205</v>
      </c>
      <c r="D209" s="63">
        <f t="shared" si="22"/>
        <v>205</v>
      </c>
      <c r="E209" s="114">
        <v>4653</v>
      </c>
      <c r="F209" s="64" t="str">
        <f>IFERROR(VLOOKUP(Table8[[#This Row],[Player No]],Table10[[No]:[Province]],2,0),"")</f>
        <v xml:space="preserve">WILLIAMS Fayaaz </v>
      </c>
      <c r="G209" s="76" t="str">
        <f>IFERROR(VLOOKUP(Table8[[#This Row],[Player No]],Table10[[No]:[Province]],3,0),"")</f>
        <v>CT</v>
      </c>
      <c r="H209" s="661">
        <v>1.03125</v>
      </c>
      <c r="I209" s="789">
        <f>Table8[[#This Row],[Points 2025]]/2+SUM(Table8[[#This Row],[O1  ADMIN 2026]:[P2           WC           CT Open   2026]])</f>
        <v>0.515625</v>
      </c>
      <c r="J209" s="63">
        <f t="shared" si="19"/>
        <v>0</v>
      </c>
      <c r="K209" s="708">
        <f t="shared" si="20"/>
        <v>0</v>
      </c>
      <c r="L209" s="708" t="s">
        <v>6083</v>
      </c>
      <c r="M209" s="708" t="s">
        <v>6083</v>
      </c>
      <c r="N209" s="708" t="s">
        <v>6083</v>
      </c>
      <c r="O209" s="708"/>
      <c r="P209" s="708"/>
      <c r="Q209" s="708"/>
      <c r="R209" s="708"/>
      <c r="S209" s="708"/>
      <c r="T209" s="708"/>
      <c r="U209" s="708"/>
      <c r="V209" s="708"/>
      <c r="W209" s="708"/>
      <c r="X209" s="708">
        <v>2</v>
      </c>
      <c r="Y209" s="708"/>
      <c r="Z209" s="708"/>
      <c r="AA209" s="708"/>
      <c r="AB209" s="708"/>
      <c r="AC209" s="708"/>
      <c r="AD209" s="708"/>
      <c r="AE209" s="708"/>
      <c r="AF209" s="708"/>
      <c r="AG209" s="708"/>
      <c r="AH209" s="708"/>
      <c r="AI209" s="708"/>
      <c r="AJ209" s="708"/>
      <c r="AK209" s="708"/>
      <c r="AL209" s="708"/>
      <c r="AM209" s="708"/>
      <c r="AO209" s="708"/>
      <c r="AP209" s="708"/>
    </row>
    <row r="210" spans="1:42">
      <c r="A210" s="87"/>
      <c r="B210" s="87"/>
      <c r="C210" s="115">
        <f t="shared" si="21"/>
        <v>-206</v>
      </c>
      <c r="D210" s="63">
        <f t="shared" si="22"/>
        <v>206</v>
      </c>
      <c r="E210" s="114">
        <v>4654</v>
      </c>
      <c r="F210" s="64" t="str">
        <f>IFERROR(VLOOKUP(Table8[[#This Row],[Player No]],Table10[[No]:[Province]],2,0),"")</f>
        <v xml:space="preserve">SASMAN Abu Bakr </v>
      </c>
      <c r="G210" s="76" t="str">
        <f>IFERROR(VLOOKUP(Table8[[#This Row],[Player No]],Table10[[No]:[Province]],3,0),"")</f>
        <v>CT</v>
      </c>
      <c r="H210" s="661">
        <v>1.03125</v>
      </c>
      <c r="I210" s="789">
        <f>Table8[[#This Row],[Points 2025]]/2+SUM(Table8[[#This Row],[O1  ADMIN 2026]:[P2           WC           CT Open   2026]])</f>
        <v>0.515625</v>
      </c>
      <c r="J210" s="63">
        <f t="shared" si="19"/>
        <v>0</v>
      </c>
      <c r="K210" s="708">
        <f t="shared" si="20"/>
        <v>0</v>
      </c>
      <c r="L210" s="708" t="s">
        <v>6083</v>
      </c>
      <c r="M210" s="708" t="s">
        <v>6083</v>
      </c>
      <c r="N210" s="708" t="s">
        <v>6083</v>
      </c>
      <c r="O210" s="708"/>
      <c r="P210" s="708"/>
      <c r="Q210" s="708"/>
      <c r="R210" s="708"/>
      <c r="S210" s="708"/>
      <c r="T210" s="708"/>
      <c r="U210" s="708"/>
      <c r="V210" s="708"/>
      <c r="W210" s="708"/>
      <c r="X210" s="708">
        <v>2</v>
      </c>
      <c r="Y210" s="708"/>
      <c r="Z210" s="708"/>
      <c r="AA210" s="708"/>
      <c r="AB210" s="708"/>
      <c r="AC210" s="708"/>
      <c r="AD210" s="708"/>
      <c r="AE210" s="708"/>
      <c r="AF210" s="708"/>
      <c r="AG210" s="708"/>
      <c r="AH210" s="708"/>
      <c r="AI210" s="708"/>
      <c r="AJ210" s="708"/>
      <c r="AK210" s="708"/>
      <c r="AL210" s="708"/>
      <c r="AM210" s="708"/>
      <c r="AO210" s="708"/>
      <c r="AP210" s="708"/>
    </row>
    <row r="211" spans="1:42">
      <c r="A211" s="87"/>
      <c r="B211" s="87"/>
      <c r="C211" s="115">
        <f t="shared" si="21"/>
        <v>-207</v>
      </c>
      <c r="D211" s="63">
        <f t="shared" si="22"/>
        <v>207</v>
      </c>
      <c r="E211" s="114">
        <v>4655</v>
      </c>
      <c r="F211" s="64" t="str">
        <f>IFERROR(VLOOKUP(Table8[[#This Row],[Player No]],Table10[[No]:[Province]],2,0),"")</f>
        <v xml:space="preserve">ADAMS Liam </v>
      </c>
      <c r="G211" s="76" t="str">
        <f>IFERROR(VLOOKUP(Table8[[#This Row],[Player No]],Table10[[No]:[Province]],3,0),"")</f>
        <v>CT</v>
      </c>
      <c r="H211" s="661">
        <v>1.03125</v>
      </c>
      <c r="I211" s="789">
        <f>Table8[[#This Row],[Points 2025]]/2+SUM(Table8[[#This Row],[O1  ADMIN 2026]:[P2           WC           CT Open   2026]])</f>
        <v>0.515625</v>
      </c>
      <c r="J211" s="63">
        <f t="shared" si="19"/>
        <v>0</v>
      </c>
      <c r="K211" s="708">
        <f t="shared" si="20"/>
        <v>0</v>
      </c>
      <c r="L211" s="708" t="s">
        <v>6083</v>
      </c>
      <c r="M211" s="708" t="s">
        <v>6083</v>
      </c>
      <c r="N211" s="708" t="s">
        <v>6083</v>
      </c>
      <c r="O211" s="708"/>
      <c r="P211" s="708"/>
      <c r="Q211" s="708"/>
      <c r="R211" s="708"/>
      <c r="S211" s="708"/>
      <c r="T211" s="708"/>
      <c r="U211" s="708"/>
      <c r="V211" s="708"/>
      <c r="W211" s="708"/>
      <c r="X211" s="708">
        <v>2</v>
      </c>
      <c r="Y211" s="708"/>
      <c r="Z211" s="708"/>
      <c r="AA211" s="708"/>
      <c r="AB211" s="708"/>
      <c r="AC211" s="708"/>
      <c r="AD211" s="708"/>
      <c r="AE211" s="708"/>
      <c r="AF211" s="708"/>
      <c r="AG211" s="708"/>
      <c r="AH211" s="708"/>
      <c r="AI211" s="708"/>
      <c r="AJ211" s="708"/>
      <c r="AK211" s="708"/>
      <c r="AL211" s="708"/>
      <c r="AM211" s="708"/>
      <c r="AO211" s="708"/>
      <c r="AP211" s="708"/>
    </row>
    <row r="212" spans="1:42">
      <c r="A212" s="87"/>
      <c r="B212" s="87"/>
      <c r="C212" s="195">
        <f t="shared" si="21"/>
        <v>-208</v>
      </c>
      <c r="D212" s="63">
        <f t="shared" si="22"/>
        <v>208</v>
      </c>
      <c r="E212" s="189">
        <v>4656</v>
      </c>
      <c r="F212" s="64" t="str">
        <f>IFERROR(VLOOKUP(Table8[[#This Row],[Player No]],Table10[[No]:[Province]],2,0),"")</f>
        <v xml:space="preserve">ARRIES Ethan </v>
      </c>
      <c r="G212" s="76" t="str">
        <f>IFERROR(VLOOKUP(Table8[[#This Row],[Player No]],Table10[[No]:[Province]],3,0),"")</f>
        <v>WC</v>
      </c>
      <c r="H212" s="763">
        <v>1</v>
      </c>
      <c r="I212" s="661">
        <f>Table8[[#This Row],[Points 2025]]/2+SUM(Table8[[#This Row],[O1  ADMIN 2026]:[P2           WC           CT Open   2026]])</f>
        <v>0.5</v>
      </c>
      <c r="J212" s="63">
        <f t="shared" si="19"/>
        <v>0</v>
      </c>
      <c r="K212" s="708">
        <f t="shared" si="20"/>
        <v>0</v>
      </c>
      <c r="L212" s="708" t="s">
        <v>6083</v>
      </c>
      <c r="M212" s="708" t="s">
        <v>6083</v>
      </c>
      <c r="N212" s="708" t="s">
        <v>6083</v>
      </c>
      <c r="O212" s="708"/>
      <c r="P212" s="708"/>
      <c r="Q212" s="708"/>
      <c r="R212" s="708"/>
      <c r="S212" s="708"/>
      <c r="T212" s="708"/>
      <c r="U212" s="708"/>
      <c r="V212" s="708"/>
      <c r="W212" s="708"/>
      <c r="X212" s="708">
        <v>2</v>
      </c>
      <c r="Y212" s="708">
        <v>0</v>
      </c>
      <c r="Z212" s="708"/>
      <c r="AA212" s="708"/>
      <c r="AB212" s="708"/>
      <c r="AC212" s="708"/>
      <c r="AD212" s="708"/>
      <c r="AE212" s="708"/>
      <c r="AF212" s="708"/>
      <c r="AG212" s="708"/>
      <c r="AH212" s="708"/>
      <c r="AI212" s="708"/>
      <c r="AJ212" s="708"/>
      <c r="AK212" s="708"/>
      <c r="AL212" s="708"/>
      <c r="AM212" s="708"/>
      <c r="AO212" s="708"/>
      <c r="AP212" s="708"/>
    </row>
    <row r="213" spans="1:42">
      <c r="A213" s="85">
        <f>IFERROR(VLOOKUP(Table8[[#This Row],[Player No]],Table10[[#All],[No]:[Age Group]],4,0),"")</f>
        <v>0</v>
      </c>
      <c r="B213" s="87">
        <v>104</v>
      </c>
      <c r="C213" s="195">
        <f t="shared" si="21"/>
        <v>-105</v>
      </c>
      <c r="D213" s="63">
        <f t="shared" si="22"/>
        <v>209</v>
      </c>
      <c r="E213" s="189">
        <v>3443</v>
      </c>
      <c r="F213" s="64" t="str">
        <f>IFERROR(VLOOKUP(Table8[[#This Row],[Player No]],Table10[[No]:[Province]],2,0),"")</f>
        <v xml:space="preserve">GABASHANE Lesego </v>
      </c>
      <c r="G213" s="76" t="str">
        <f>IFERROR(VLOOKUP(Table8[[#This Row],[Player No]],Table10[[No]:[Province]],3,0),"")</f>
        <v>NWP</v>
      </c>
      <c r="H213" s="763">
        <v>1</v>
      </c>
      <c r="I213" s="661">
        <f>Table8[[#This Row],[Points 2025]]/2+SUM(Table8[[#This Row],[O1  ADMIN 2026]:[P2           WC           CT Open   2026]])</f>
        <v>0.5</v>
      </c>
      <c r="J213" s="63">
        <f t="shared" si="19"/>
        <v>0</v>
      </c>
      <c r="K213" s="708">
        <f t="shared" si="20"/>
        <v>0</v>
      </c>
      <c r="L213" s="708" t="s">
        <v>6083</v>
      </c>
      <c r="M213" s="708" t="s">
        <v>6083</v>
      </c>
      <c r="N213" s="708" t="s">
        <v>6083</v>
      </c>
      <c r="O213" s="708"/>
      <c r="P213" s="708"/>
      <c r="Q213" s="708"/>
      <c r="R213" s="708"/>
      <c r="S213" s="708"/>
      <c r="T213" s="708"/>
      <c r="U213" s="708"/>
      <c r="V213" s="708"/>
      <c r="W213" s="708"/>
      <c r="X213" s="708"/>
      <c r="Y213" s="708"/>
      <c r="Z213" s="708"/>
      <c r="AA213" s="708"/>
      <c r="AB213" s="708"/>
      <c r="AC213" s="708"/>
      <c r="AD213" s="708"/>
      <c r="AE213" s="708"/>
      <c r="AF213" s="708"/>
      <c r="AG213" s="708"/>
      <c r="AH213" s="708"/>
      <c r="AI213" s="708"/>
      <c r="AJ213" s="708"/>
      <c r="AK213" s="708"/>
      <c r="AL213" s="708"/>
      <c r="AM213" s="708"/>
      <c r="AO213" s="708"/>
      <c r="AP213" s="708"/>
    </row>
    <row r="214" spans="1:42">
      <c r="A214" s="85">
        <f>IFERROR(VLOOKUP(Table8[[#This Row],[Player No]],Table10[[#All],[No]:[Age Group]],4,0),"")</f>
        <v>0</v>
      </c>
      <c r="B214" s="87">
        <v>103</v>
      </c>
      <c r="C214" s="195">
        <f t="shared" si="21"/>
        <v>-107</v>
      </c>
      <c r="D214" s="63">
        <f t="shared" si="22"/>
        <v>210</v>
      </c>
      <c r="E214" s="189">
        <v>3451</v>
      </c>
      <c r="F214" s="64" t="str">
        <f>IFERROR(VLOOKUP(Table8[[#This Row],[Player No]],Table10[[No]:[Province]],2,0),"")</f>
        <v>NTSHONTSO Ongeziwe</v>
      </c>
      <c r="G214" s="76" t="str">
        <f>IFERROR(VLOOKUP(Table8[[#This Row],[Player No]],Table10[[No]:[Province]],3,0),"")</f>
        <v>EC</v>
      </c>
      <c r="H214" s="416">
        <v>1</v>
      </c>
      <c r="I214" s="661">
        <f>Table8[[#This Row],[Points 2025]]/2+SUM(Table8[[#This Row],[O1  ADMIN 2026]:[P2           WC           CT Open   2026]])</f>
        <v>0.5</v>
      </c>
      <c r="J214" s="63">
        <f t="shared" si="19"/>
        <v>0</v>
      </c>
      <c r="K214" s="708">
        <f t="shared" si="20"/>
        <v>0</v>
      </c>
      <c r="L214" s="708" t="s">
        <v>6083</v>
      </c>
      <c r="M214" s="708" t="s">
        <v>6083</v>
      </c>
      <c r="N214" s="708" t="s">
        <v>6083</v>
      </c>
      <c r="O214" s="708"/>
      <c r="P214" s="708"/>
      <c r="Q214" s="708"/>
      <c r="R214" s="708"/>
      <c r="S214" s="708"/>
      <c r="T214" s="708"/>
      <c r="U214" s="708"/>
      <c r="V214" s="708"/>
      <c r="W214" s="708"/>
      <c r="X214" s="708"/>
      <c r="Y214" s="708"/>
      <c r="Z214" s="708"/>
      <c r="AA214" s="708"/>
      <c r="AB214" s="708"/>
      <c r="AC214" s="708"/>
      <c r="AD214" s="708"/>
      <c r="AE214" s="708"/>
      <c r="AF214" s="708"/>
      <c r="AG214" s="708"/>
      <c r="AH214" s="708"/>
      <c r="AI214" s="708"/>
      <c r="AJ214" s="708"/>
      <c r="AK214" s="708"/>
      <c r="AL214" s="708"/>
      <c r="AM214" s="708"/>
      <c r="AO214" s="708"/>
      <c r="AP214" s="708"/>
    </row>
    <row r="215" spans="1:42">
      <c r="A215" s="85">
        <f>IFERROR(VLOOKUP(Table8[[#This Row],[Player No]],Table10[[#All],[No]:[Age Group]],4,0),"")</f>
        <v>0</v>
      </c>
      <c r="B215" s="87">
        <v>105</v>
      </c>
      <c r="C215" s="195">
        <f t="shared" si="21"/>
        <v>-106</v>
      </c>
      <c r="D215" s="63">
        <f t="shared" si="22"/>
        <v>211</v>
      </c>
      <c r="E215" s="189">
        <v>3480</v>
      </c>
      <c r="F215" s="64" t="str">
        <f>IFERROR(VLOOKUP(Table8[[#This Row],[Player No]],Table10[[No]:[Province]],2,0),"")</f>
        <v>PARBHOO Shyaam</v>
      </c>
      <c r="G215" s="76" t="str">
        <f>IFERROR(VLOOKUP(Table8[[#This Row],[Player No]],Table10[[No]:[Province]],3,0),"")</f>
        <v>GN</v>
      </c>
      <c r="H215" s="661">
        <v>1</v>
      </c>
      <c r="I215" s="661">
        <f>Table8[[#This Row],[Points 2025]]/2+SUM(Table8[[#This Row],[O1  ADMIN 2026]:[P2           WC           CT Open   2026]])</f>
        <v>0.5</v>
      </c>
      <c r="J215" s="63">
        <f t="shared" si="19"/>
        <v>0</v>
      </c>
      <c r="K215" s="708">
        <f t="shared" si="20"/>
        <v>0</v>
      </c>
      <c r="L215" s="708" t="s">
        <v>6083</v>
      </c>
      <c r="M215" s="708" t="s">
        <v>6083</v>
      </c>
      <c r="N215" s="708" t="s">
        <v>6083</v>
      </c>
      <c r="O215" s="708"/>
      <c r="P215" s="708"/>
      <c r="Q215" s="708"/>
      <c r="R215" s="708"/>
      <c r="S215" s="708"/>
      <c r="T215" s="708"/>
      <c r="U215" s="708"/>
      <c r="V215" s="708"/>
      <c r="W215" s="708"/>
      <c r="X215" s="708"/>
      <c r="Y215" s="708"/>
      <c r="Z215" s="708"/>
      <c r="AA215" s="708"/>
      <c r="AB215" s="708"/>
      <c r="AC215" s="708"/>
      <c r="AD215" s="708"/>
      <c r="AE215" s="708"/>
      <c r="AF215" s="708"/>
      <c r="AG215" s="708"/>
      <c r="AH215" s="708"/>
      <c r="AI215" s="708"/>
      <c r="AJ215" s="708"/>
      <c r="AK215" s="708"/>
      <c r="AL215" s="708"/>
      <c r="AM215" s="708"/>
      <c r="AO215" s="714"/>
      <c r="AP215" s="714"/>
    </row>
    <row r="216" spans="1:42">
      <c r="A216" s="85">
        <f>IFERROR(VLOOKUP(Table8[[#This Row],[Player No]],Table10[[#All],[No]:[Age Group]],4,0),"")</f>
        <v>0</v>
      </c>
      <c r="B216" s="87">
        <v>114</v>
      </c>
      <c r="C216" s="195">
        <f t="shared" si="21"/>
        <v>-98</v>
      </c>
      <c r="D216" s="63">
        <f t="shared" si="22"/>
        <v>212</v>
      </c>
      <c r="E216" s="189">
        <v>3588</v>
      </c>
      <c r="F216" s="64" t="str">
        <f>IFERROR(VLOOKUP(Table8[[#This Row],[Player No]],Table10[[No]:[Province]],2,0),"")</f>
        <v>REGASSA Solomon</v>
      </c>
      <c r="G216" s="76" t="str">
        <f>IFERROR(VLOOKUP(Table8[[#This Row],[Player No]],Table10[[No]:[Province]],3,0),"")</f>
        <v>LIM</v>
      </c>
      <c r="H216" s="124">
        <v>1</v>
      </c>
      <c r="I216" s="661">
        <f>Table8[[#This Row],[Points 2025]]/2+SUM(Table8[[#This Row],[O1  ADMIN 2026]:[P2           WC           CT Open   2026]])</f>
        <v>0.5</v>
      </c>
      <c r="J216" s="63">
        <f t="shared" si="19"/>
        <v>0</v>
      </c>
      <c r="K216" s="708">
        <f t="shared" si="20"/>
        <v>0</v>
      </c>
      <c r="L216" s="708" t="s">
        <v>6083</v>
      </c>
      <c r="M216" s="708" t="s">
        <v>6083</v>
      </c>
      <c r="N216" s="708" t="s">
        <v>6083</v>
      </c>
      <c r="O216" s="708"/>
      <c r="P216" s="708"/>
      <c r="Q216" s="708"/>
      <c r="R216" s="708"/>
      <c r="S216" s="708"/>
      <c r="T216" s="708"/>
      <c r="U216" s="708"/>
      <c r="V216" s="708"/>
      <c r="W216" s="708"/>
      <c r="X216" s="708"/>
      <c r="Y216" s="708"/>
      <c r="Z216" s="708"/>
      <c r="AA216" s="708"/>
      <c r="AB216" s="708"/>
      <c r="AC216" s="708"/>
      <c r="AD216" s="708"/>
      <c r="AE216" s="708"/>
      <c r="AF216" s="708"/>
      <c r="AG216" s="708"/>
      <c r="AH216" s="708"/>
      <c r="AI216" s="708"/>
      <c r="AJ216" s="708"/>
      <c r="AK216" s="708"/>
      <c r="AL216" s="708"/>
      <c r="AM216" s="708"/>
      <c r="AO216" s="714"/>
      <c r="AP216" s="714"/>
    </row>
    <row r="217" spans="1:42">
      <c r="A217" s="85">
        <f>IFERROR(VLOOKUP(Table8[[#This Row],[Player No]],Table10[[#All],[No]:[Age Group]],4,0),"")</f>
        <v>0</v>
      </c>
      <c r="B217" s="87">
        <v>113</v>
      </c>
      <c r="C217" s="195">
        <f t="shared" si="21"/>
        <v>-100</v>
      </c>
      <c r="D217" s="63">
        <f t="shared" si="22"/>
        <v>213</v>
      </c>
      <c r="E217" s="189">
        <v>3743</v>
      </c>
      <c r="F217" s="64" t="str">
        <f>IFERROR(VLOOKUP(Table8[[#This Row],[Player No]],Table10[[No]:[Province]],2,0),"")</f>
        <v xml:space="preserve">MBATHA  Emihle </v>
      </c>
      <c r="G217" s="76" t="str">
        <f>IFERROR(VLOOKUP(Table8[[#This Row],[Player No]],Table10[[No]:[Province]],3,0),"")</f>
        <v>UMZ</v>
      </c>
      <c r="H217" s="124">
        <v>1</v>
      </c>
      <c r="I217" s="661">
        <f>Table8[[#This Row],[Points 2025]]/2+SUM(Table8[[#This Row],[O1  ADMIN 2026]:[P2           WC           CT Open   2026]])</f>
        <v>0.5</v>
      </c>
      <c r="J217" s="63">
        <f t="shared" si="19"/>
        <v>0</v>
      </c>
      <c r="K217" s="708">
        <f t="shared" si="20"/>
        <v>0</v>
      </c>
      <c r="L217" s="708" t="s">
        <v>6083</v>
      </c>
      <c r="M217" s="708" t="s">
        <v>6083</v>
      </c>
      <c r="N217" s="708" t="s">
        <v>6083</v>
      </c>
      <c r="O217" s="708"/>
      <c r="P217" s="708"/>
      <c r="Q217" s="708"/>
      <c r="R217" s="708"/>
      <c r="S217" s="708"/>
      <c r="T217" s="708"/>
      <c r="U217" s="708"/>
      <c r="V217" s="708"/>
      <c r="W217" s="708"/>
      <c r="X217" s="708"/>
      <c r="Y217" s="708"/>
      <c r="Z217" s="708"/>
      <c r="AA217" s="708"/>
      <c r="AB217" s="708"/>
      <c r="AC217" s="708"/>
      <c r="AD217" s="708"/>
      <c r="AE217" s="708"/>
      <c r="AF217" s="708"/>
      <c r="AG217" s="708"/>
      <c r="AH217" s="708"/>
      <c r="AI217" s="708"/>
      <c r="AJ217" s="708"/>
      <c r="AK217" s="708"/>
      <c r="AL217" s="708"/>
      <c r="AM217" s="708"/>
      <c r="AO217" s="714"/>
      <c r="AP217" s="714"/>
    </row>
    <row r="218" spans="1:42">
      <c r="A218" s="433"/>
      <c r="B218" s="433"/>
      <c r="C218" s="669">
        <f t="shared" si="21"/>
        <v>-214</v>
      </c>
      <c r="D218" s="63">
        <f t="shared" si="22"/>
        <v>214</v>
      </c>
      <c r="E218" s="387">
        <v>4683</v>
      </c>
      <c r="F218" s="663" t="str">
        <f>IFERROR(VLOOKUP(Table8[[#This Row],[Player No]],Table10[[No]:[Province]],2,0),"")</f>
        <v>Morne PRETORIUS</v>
      </c>
      <c r="G218" s="392" t="str">
        <f>IFERROR(VLOOKUP(Table8[[#This Row],[Player No]],Table10[[No]:[Province]],3,0),"")</f>
        <v>GN</v>
      </c>
      <c r="H218" s="124">
        <v>1</v>
      </c>
      <c r="I218" s="763">
        <f>Table8[[#This Row],[Points 2025]]/2+SUM(Table8[[#This Row],[O1  ADMIN 2026]:[P2           WC           CT Open   2026]])</f>
        <v>0.5</v>
      </c>
      <c r="J218" s="63">
        <f t="shared" si="19"/>
        <v>0</v>
      </c>
      <c r="K218" s="714">
        <f t="shared" si="20"/>
        <v>0</v>
      </c>
      <c r="L218" s="714" t="s">
        <v>6083</v>
      </c>
      <c r="M218" s="714" t="s">
        <v>6083</v>
      </c>
      <c r="N218" s="714" t="s">
        <v>6083</v>
      </c>
      <c r="O218" s="714"/>
      <c r="P218" s="714"/>
      <c r="Q218" s="714"/>
      <c r="R218" s="714"/>
      <c r="S218" s="714"/>
      <c r="T218" s="714"/>
      <c r="U218" s="714"/>
      <c r="V218" s="714"/>
      <c r="W218" s="714"/>
      <c r="X218" s="714"/>
      <c r="Y218" s="714"/>
      <c r="Z218" s="714"/>
      <c r="AA218" s="714"/>
      <c r="AB218" s="714">
        <v>1</v>
      </c>
      <c r="AC218" s="714"/>
      <c r="AD218" s="714"/>
      <c r="AE218" s="714"/>
      <c r="AF218" s="714"/>
      <c r="AG218" s="714"/>
      <c r="AH218" s="714"/>
      <c r="AI218" s="714"/>
      <c r="AJ218" s="714"/>
      <c r="AK218" s="714"/>
      <c r="AL218" s="714"/>
      <c r="AM218" s="714"/>
      <c r="AO218" s="708"/>
      <c r="AP218" s="708"/>
    </row>
    <row r="219" spans="1:42">
      <c r="A219" s="433"/>
      <c r="B219" s="433"/>
      <c r="C219" s="669">
        <f t="shared" si="21"/>
        <v>-215</v>
      </c>
      <c r="D219" s="63">
        <f t="shared" si="22"/>
        <v>215</v>
      </c>
      <c r="E219" s="387">
        <v>4686</v>
      </c>
      <c r="F219" s="663" t="str">
        <f>IFERROR(VLOOKUP(Table8[[#This Row],[Player No]],Table10[[No]:[Province]],2,0),"")</f>
        <v>Oarabile MOTSHABI</v>
      </c>
      <c r="G219" s="392" t="str">
        <f>IFERROR(VLOOKUP(Table8[[#This Row],[Player No]],Table10[[No]:[Province]],3,0),"")</f>
        <v>OTHER</v>
      </c>
      <c r="H219" s="358">
        <v>1</v>
      </c>
      <c r="I219" s="763">
        <f>Table8[[#This Row],[Points 2025]]/2+SUM(Table8[[#This Row],[O1  ADMIN 2026]:[P2           WC           CT Open   2026]])</f>
        <v>0.5</v>
      </c>
      <c r="J219" s="63">
        <f t="shared" si="19"/>
        <v>0</v>
      </c>
      <c r="K219" s="714">
        <f t="shared" si="20"/>
        <v>0</v>
      </c>
      <c r="L219" s="714" t="s">
        <v>6083</v>
      </c>
      <c r="M219" s="714" t="s">
        <v>6083</v>
      </c>
      <c r="N219" s="714" t="s">
        <v>6083</v>
      </c>
      <c r="O219" s="714"/>
      <c r="P219" s="714"/>
      <c r="Q219" s="714"/>
      <c r="R219" s="714"/>
      <c r="S219" s="714"/>
      <c r="T219" s="714"/>
      <c r="U219" s="714"/>
      <c r="V219" s="714"/>
      <c r="W219" s="714"/>
      <c r="X219" s="714"/>
      <c r="Y219" s="714"/>
      <c r="Z219" s="714"/>
      <c r="AA219" s="714"/>
      <c r="AB219" s="714">
        <v>1</v>
      </c>
      <c r="AC219" s="714"/>
      <c r="AD219" s="714"/>
      <c r="AE219" s="714"/>
      <c r="AF219" s="714"/>
      <c r="AG219" s="714"/>
      <c r="AH219" s="714"/>
      <c r="AI219" s="714"/>
      <c r="AJ219" s="714"/>
      <c r="AK219" s="714"/>
      <c r="AL219" s="714"/>
      <c r="AM219" s="714"/>
      <c r="AO219" s="708"/>
      <c r="AP219" s="708"/>
    </row>
    <row r="220" spans="1:42">
      <c r="A220" s="85" t="str">
        <f>IFERROR(VLOOKUP(Table8[[#This Row],[Player No]],Table10[[#All],[No]:[Age Group]],4,0),"")</f>
        <v>U13</v>
      </c>
      <c r="B220" s="87">
        <v>118</v>
      </c>
      <c r="C220" s="115">
        <f t="shared" si="21"/>
        <v>-98</v>
      </c>
      <c r="D220" s="63">
        <f t="shared" si="22"/>
        <v>216</v>
      </c>
      <c r="E220" s="114">
        <v>3788</v>
      </c>
      <c r="F220" s="64" t="str">
        <f>IFERROR(VLOOKUP(Table8[[#This Row],[Player No]],Table10[[No]:[Province]],2,0),"")</f>
        <v xml:space="preserve">DLADLA Siphiwe </v>
      </c>
      <c r="G220" s="76" t="str">
        <f>IFERROR(VLOOKUP(Table8[[#This Row],[Player No]],Table10[[No]:[Province]],3,0),"")</f>
        <v>ETTA</v>
      </c>
      <c r="H220" s="124">
        <v>1</v>
      </c>
      <c r="I220" s="789">
        <f>Table8[[#This Row],[Points 2025]]/2+SUM(Table8[[#This Row],[O1  ADMIN 2026]:[P2           WC           CT Open   2026]])</f>
        <v>0.5</v>
      </c>
      <c r="J220" s="63">
        <f t="shared" si="19"/>
        <v>0</v>
      </c>
      <c r="K220" s="708">
        <f t="shared" si="20"/>
        <v>0</v>
      </c>
      <c r="L220" s="708" t="s">
        <v>6083</v>
      </c>
      <c r="M220" s="708" t="s">
        <v>6083</v>
      </c>
      <c r="N220" s="708" t="s">
        <v>6083</v>
      </c>
      <c r="O220" s="708"/>
      <c r="P220" s="708"/>
      <c r="Q220" s="708"/>
      <c r="R220" s="708"/>
      <c r="S220" s="708"/>
      <c r="T220" s="708"/>
      <c r="U220" s="708"/>
      <c r="V220" s="708"/>
      <c r="W220" s="708"/>
      <c r="X220" s="708"/>
      <c r="Y220" s="708"/>
      <c r="Z220" s="708"/>
      <c r="AA220" s="708"/>
      <c r="AB220" s="708"/>
      <c r="AC220" s="708"/>
      <c r="AD220" s="708">
        <v>2</v>
      </c>
      <c r="AE220" s="708"/>
      <c r="AF220" s="708"/>
      <c r="AG220" s="708"/>
      <c r="AH220" s="708"/>
      <c r="AI220" s="708"/>
      <c r="AJ220" s="708"/>
      <c r="AK220" s="708"/>
      <c r="AL220" s="708"/>
      <c r="AM220" s="708"/>
      <c r="AO220" s="708"/>
      <c r="AP220" s="708"/>
    </row>
    <row r="221" spans="1:42">
      <c r="A221" s="85" t="str">
        <f>IFERROR(VLOOKUP(Table8[[#This Row],[Player No]],Table10[[#All],[No]:[Age Group]],4,0),"")</f>
        <v>U13</v>
      </c>
      <c r="B221" s="87">
        <v>117</v>
      </c>
      <c r="C221" s="195">
        <f t="shared" si="21"/>
        <v>-100</v>
      </c>
      <c r="D221" s="63">
        <f t="shared" si="22"/>
        <v>217</v>
      </c>
      <c r="E221" s="189">
        <v>3810</v>
      </c>
      <c r="F221" s="64" t="str">
        <f>IFERROR(VLOOKUP(Table8[[#This Row],[Player No]],Table10[[No]:[Province]],2,0),"")</f>
        <v>KHUZWAYO Neo</v>
      </c>
      <c r="G221" s="76" t="str">
        <f>IFERROR(VLOOKUP(Table8[[#This Row],[Player No]],Table10[[No]:[Province]],3,0),"")</f>
        <v>ETTA</v>
      </c>
      <c r="H221" s="124">
        <v>1</v>
      </c>
      <c r="I221" s="661">
        <f>Table8[[#This Row],[Points 2025]]/2+SUM(Table8[[#This Row],[O1  ADMIN 2026]:[P2           WC           CT Open   2026]])</f>
        <v>0.5</v>
      </c>
      <c r="J221" s="63">
        <f t="shared" si="19"/>
        <v>0</v>
      </c>
      <c r="K221" s="708">
        <f t="shared" si="20"/>
        <v>0</v>
      </c>
      <c r="L221" s="708" t="s">
        <v>6083</v>
      </c>
      <c r="M221" s="708" t="s">
        <v>6083</v>
      </c>
      <c r="N221" s="708" t="s">
        <v>6083</v>
      </c>
      <c r="O221" s="708"/>
      <c r="P221" s="708"/>
      <c r="Q221" s="708"/>
      <c r="R221" s="708"/>
      <c r="S221" s="708"/>
      <c r="T221" s="708"/>
      <c r="U221" s="708"/>
      <c r="V221" s="708"/>
      <c r="W221" s="708"/>
      <c r="X221" s="708"/>
      <c r="Y221" s="708"/>
      <c r="Z221" s="708"/>
      <c r="AA221" s="708"/>
      <c r="AB221" s="708"/>
      <c r="AC221" s="708"/>
      <c r="AD221" s="708">
        <v>2</v>
      </c>
      <c r="AE221" s="708"/>
      <c r="AF221" s="708"/>
      <c r="AG221" s="708"/>
      <c r="AH221" s="708"/>
      <c r="AI221" s="708"/>
      <c r="AJ221" s="708"/>
      <c r="AK221" s="708"/>
      <c r="AL221" s="708"/>
      <c r="AM221" s="708"/>
      <c r="AO221" s="708"/>
      <c r="AP221" s="708"/>
    </row>
    <row r="222" spans="1:42">
      <c r="A222" s="85">
        <f>IFERROR(VLOOKUP(Table8[[#This Row],[Player No]],Table10[[#All],[No]:[Age Group]],4,0),"")</f>
        <v>0</v>
      </c>
      <c r="B222" s="87">
        <v>116</v>
      </c>
      <c r="C222" s="115">
        <f t="shared" si="21"/>
        <v>-102</v>
      </c>
      <c r="D222" s="63">
        <f t="shared" si="22"/>
        <v>218</v>
      </c>
      <c r="E222" s="114">
        <v>3916</v>
      </c>
      <c r="F222" s="64" t="str">
        <f>IFERROR(VLOOKUP(Table8[[#This Row],[Player No]],Table10[[No]:[Province]],2,0),"")</f>
        <v>DZANIBE Kethukuthula</v>
      </c>
      <c r="G222" s="76" t="str">
        <f>IFERROR(VLOOKUP(Table8[[#This Row],[Player No]],Table10[[No]:[Province]],3,0),"")</f>
        <v>ETTA</v>
      </c>
      <c r="H222" s="124">
        <v>1</v>
      </c>
      <c r="I222" s="789">
        <f>Table8[[#This Row],[Points 2025]]/2+SUM(Table8[[#This Row],[O1  ADMIN 2026]:[P2           WC           CT Open   2026]])</f>
        <v>0.5</v>
      </c>
      <c r="J222" s="63">
        <f t="shared" si="19"/>
        <v>0</v>
      </c>
      <c r="K222" s="708">
        <f t="shared" si="20"/>
        <v>0</v>
      </c>
      <c r="L222" s="708" t="s">
        <v>6083</v>
      </c>
      <c r="M222" s="708" t="s">
        <v>6083</v>
      </c>
      <c r="N222" s="708" t="s">
        <v>6083</v>
      </c>
      <c r="O222" s="708"/>
      <c r="P222" s="708"/>
      <c r="Q222" s="708"/>
      <c r="R222" s="708"/>
      <c r="S222" s="708"/>
      <c r="T222" s="708"/>
      <c r="U222" s="708"/>
      <c r="V222" s="708"/>
      <c r="W222" s="708"/>
      <c r="X222" s="708"/>
      <c r="Y222" s="708"/>
      <c r="Z222" s="708"/>
      <c r="AA222" s="708"/>
      <c r="AB222" s="708"/>
      <c r="AC222" s="708"/>
      <c r="AD222" s="708">
        <v>2</v>
      </c>
      <c r="AE222" s="708"/>
      <c r="AF222" s="708"/>
      <c r="AG222" s="708"/>
      <c r="AH222" s="708"/>
      <c r="AI222" s="708"/>
      <c r="AJ222" s="708"/>
      <c r="AK222" s="708"/>
      <c r="AL222" s="708"/>
      <c r="AM222" s="708"/>
      <c r="AO222" s="708"/>
      <c r="AP222" s="708"/>
    </row>
    <row r="223" spans="1:42">
      <c r="A223" s="85" t="str">
        <f>IFERROR(VLOOKUP(Table8[[#This Row],[Player No]],Table10[[#All],[No]:[Age Group]],4,0),"")</f>
        <v>U13</v>
      </c>
      <c r="B223" s="87">
        <v>168</v>
      </c>
      <c r="C223" s="115">
        <f t="shared" si="21"/>
        <v>-51</v>
      </c>
      <c r="D223" s="63">
        <f t="shared" si="22"/>
        <v>219</v>
      </c>
      <c r="E223" s="114">
        <v>3694</v>
      </c>
      <c r="F223" s="64" t="str">
        <f>IFERROR(VLOOKUP(Table8[[#This Row],[Player No]],Table10[[No]:[Province]],2,0),"")</f>
        <v>NARAIN Matthew</v>
      </c>
      <c r="G223" s="76" t="str">
        <f>IFERROR(VLOOKUP(Table8[[#This Row],[Player No]],Table10[[No]:[Province]],3,0),"")</f>
        <v>Eden</v>
      </c>
      <c r="H223" s="124">
        <v>1</v>
      </c>
      <c r="I223" s="789">
        <f>Table8[[#This Row],[Points 2025]]/2+SUM(Table8[[#This Row],[O1  ADMIN 2026]:[P2           WC           CT Open   2026]])</f>
        <v>0.5</v>
      </c>
      <c r="J223" s="63">
        <f t="shared" si="19"/>
        <v>0</v>
      </c>
      <c r="K223" s="708">
        <f t="shared" si="20"/>
        <v>0</v>
      </c>
      <c r="L223" s="708" t="s">
        <v>6083</v>
      </c>
      <c r="M223" s="708" t="s">
        <v>6083</v>
      </c>
      <c r="N223" s="708" t="s">
        <v>6083</v>
      </c>
      <c r="O223" s="708"/>
      <c r="P223" s="708"/>
      <c r="Q223" s="708"/>
      <c r="R223" s="708"/>
      <c r="S223" s="708"/>
      <c r="T223" s="708"/>
      <c r="U223" s="708"/>
      <c r="V223" s="708"/>
      <c r="W223" s="708"/>
      <c r="X223" s="708"/>
      <c r="Y223" s="708"/>
      <c r="Z223" s="708"/>
      <c r="AA223" s="708"/>
      <c r="AB223" s="708"/>
      <c r="AC223" s="708"/>
      <c r="AD223" s="708"/>
      <c r="AE223" s="708"/>
      <c r="AF223" s="708"/>
      <c r="AG223" s="708">
        <v>2</v>
      </c>
      <c r="AH223" s="708"/>
      <c r="AI223" s="708"/>
      <c r="AJ223" s="708"/>
      <c r="AK223" s="708"/>
      <c r="AL223" s="708"/>
      <c r="AM223" s="708"/>
      <c r="AO223" s="708"/>
      <c r="AP223" s="708"/>
    </row>
    <row r="224" spans="1:42">
      <c r="A224" s="85" t="str">
        <f>IFERROR(VLOOKUP(Table8[[#This Row],[Player No]],Table10[[#All],[No]:[Age Group]],4,0),"")</f>
        <v>U13</v>
      </c>
      <c r="B224" s="87">
        <v>168</v>
      </c>
      <c r="C224" s="115">
        <f t="shared" si="21"/>
        <v>-52</v>
      </c>
      <c r="D224" s="63">
        <f t="shared" si="22"/>
        <v>220</v>
      </c>
      <c r="E224" s="114">
        <v>3695</v>
      </c>
      <c r="F224" s="64" t="str">
        <f>IFERROR(VLOOKUP(Table8[[#This Row],[Player No]],Table10[[No]:[Province]],2,0),"")</f>
        <v>NOOR Hanad</v>
      </c>
      <c r="G224" s="76" t="str">
        <f>IFERROR(VLOOKUP(Table8[[#This Row],[Player No]],Table10[[No]:[Province]],3,0),"")</f>
        <v>Eden</v>
      </c>
      <c r="H224" s="124">
        <v>1</v>
      </c>
      <c r="I224" s="789">
        <f>Table8[[#This Row],[Points 2025]]/2+SUM(Table8[[#This Row],[O1  ADMIN 2026]:[P2           WC           CT Open   2026]])</f>
        <v>0.5</v>
      </c>
      <c r="J224" s="63">
        <f t="shared" si="19"/>
        <v>0</v>
      </c>
      <c r="K224" s="708">
        <f t="shared" si="20"/>
        <v>0</v>
      </c>
      <c r="L224" s="708" t="s">
        <v>6083</v>
      </c>
      <c r="M224" s="708" t="s">
        <v>6083</v>
      </c>
      <c r="N224" s="708" t="s">
        <v>6083</v>
      </c>
      <c r="O224" s="708"/>
      <c r="P224" s="708"/>
      <c r="Q224" s="708"/>
      <c r="R224" s="708"/>
      <c r="S224" s="708"/>
      <c r="T224" s="708"/>
      <c r="U224" s="708"/>
      <c r="V224" s="708"/>
      <c r="W224" s="708"/>
      <c r="X224" s="708"/>
      <c r="Y224" s="708"/>
      <c r="Z224" s="708"/>
      <c r="AA224" s="708"/>
      <c r="AB224" s="708"/>
      <c r="AC224" s="708"/>
      <c r="AD224" s="708"/>
      <c r="AE224" s="708"/>
      <c r="AF224" s="708"/>
      <c r="AG224" s="708">
        <v>2</v>
      </c>
      <c r="AH224" s="708"/>
      <c r="AI224" s="708"/>
      <c r="AJ224" s="708"/>
      <c r="AK224" s="708"/>
      <c r="AL224" s="708"/>
      <c r="AM224" s="708"/>
      <c r="AO224" s="708"/>
      <c r="AP224" s="708"/>
    </row>
    <row r="225" spans="1:42">
      <c r="A225" s="85">
        <f>IFERROR(VLOOKUP(Table8[[#This Row],[Player No]],Table10[[#All],[No]:[Age Group]],4,0),"")</f>
        <v>0</v>
      </c>
      <c r="B225" s="87">
        <v>120</v>
      </c>
      <c r="C225" s="115">
        <f t="shared" si="21"/>
        <v>-101</v>
      </c>
      <c r="D225" s="63">
        <f t="shared" si="22"/>
        <v>221</v>
      </c>
      <c r="E225" s="114">
        <v>3863</v>
      </c>
      <c r="F225" s="64" t="str">
        <f>IFERROR(VLOOKUP(Table8[[#This Row],[Player No]],Table10[[No]:[Province]],2,0),"")</f>
        <v>TALLA John</v>
      </c>
      <c r="G225" s="76" t="str">
        <f>IFERROR(VLOOKUP(Table8[[#This Row],[Player No]],Table10[[No]:[Province]],3,0),"")</f>
        <v>JTTA</v>
      </c>
      <c r="H225" s="381">
        <v>1</v>
      </c>
      <c r="I225" s="789">
        <f>Table8[[#This Row],[Points 2025]]/2+SUM(Table8[[#This Row],[O1  ADMIN 2026]:[P2           WC           CT Open   2026]])</f>
        <v>0.5</v>
      </c>
      <c r="J225" s="63">
        <f t="shared" si="19"/>
        <v>0</v>
      </c>
      <c r="K225" s="708">
        <f t="shared" si="20"/>
        <v>0</v>
      </c>
      <c r="L225" s="708" t="s">
        <v>6083</v>
      </c>
      <c r="M225" s="708" t="s">
        <v>6083</v>
      </c>
      <c r="N225" s="708" t="s">
        <v>6083</v>
      </c>
      <c r="O225" s="708"/>
      <c r="P225" s="708"/>
      <c r="Q225" s="708"/>
      <c r="R225" s="708"/>
      <c r="S225" s="708"/>
      <c r="T225" s="708"/>
      <c r="U225" s="708"/>
      <c r="V225" s="708"/>
      <c r="W225" s="708"/>
      <c r="X225" s="708"/>
      <c r="Y225" s="708"/>
      <c r="Z225" s="708"/>
      <c r="AA225" s="708"/>
      <c r="AB225" s="708"/>
      <c r="AC225" s="708"/>
      <c r="AD225" s="708"/>
      <c r="AE225" s="708"/>
      <c r="AF225" s="708"/>
      <c r="AG225" s="708"/>
      <c r="AH225" s="708"/>
      <c r="AI225" s="708">
        <v>1</v>
      </c>
      <c r="AJ225" s="708"/>
      <c r="AK225" s="708"/>
      <c r="AL225" s="708"/>
      <c r="AM225" s="708">
        <v>1</v>
      </c>
      <c r="AO225" s="708"/>
      <c r="AP225" s="708"/>
    </row>
    <row r="226" spans="1:42">
      <c r="A226" s="85">
        <f>IFERROR(VLOOKUP(Table8[[#This Row],[Player No]],Table10[[#All],[No]:[Age Group]],4,0),"")</f>
        <v>0</v>
      </c>
      <c r="B226" s="87">
        <v>168</v>
      </c>
      <c r="C226" s="115">
        <f t="shared" si="21"/>
        <v>-54</v>
      </c>
      <c r="D226" s="63">
        <f t="shared" si="22"/>
        <v>222</v>
      </c>
      <c r="E226" s="114">
        <v>3881</v>
      </c>
      <c r="F226" s="64" t="str">
        <f>IFERROR(VLOOKUP(Table8[[#This Row],[Player No]],Table10[[No]:[Province]],2,0),"")</f>
        <v>PRETORIUS Ratau</v>
      </c>
      <c r="G226" s="76" t="str">
        <f>IFERROR(VLOOKUP(Table8[[#This Row],[Player No]],Table10[[No]:[Province]],3,0),"")</f>
        <v>CW</v>
      </c>
      <c r="H226" s="124">
        <v>1</v>
      </c>
      <c r="I226" s="789">
        <f>Table8[[#This Row],[Points 2025]]/2+SUM(Table8[[#This Row],[O1  ADMIN 2026]:[P2           WC           CT Open   2026]])</f>
        <v>0.5</v>
      </c>
      <c r="J226" s="63">
        <f t="shared" si="19"/>
        <v>0</v>
      </c>
      <c r="K226" s="708">
        <f t="shared" si="20"/>
        <v>0</v>
      </c>
      <c r="L226" s="708" t="s">
        <v>6083</v>
      </c>
      <c r="M226" s="708" t="s">
        <v>6083</v>
      </c>
      <c r="N226" s="708" t="s">
        <v>6083</v>
      </c>
      <c r="O226" s="708"/>
      <c r="P226" s="708"/>
      <c r="Q226" s="708"/>
      <c r="R226" s="708"/>
      <c r="S226" s="708"/>
      <c r="T226" s="708"/>
      <c r="U226" s="708"/>
      <c r="V226" s="708"/>
      <c r="W226" s="708"/>
      <c r="X226" s="708"/>
      <c r="Y226" s="708"/>
      <c r="Z226" s="708"/>
      <c r="AA226" s="708"/>
      <c r="AB226" s="708"/>
      <c r="AC226" s="708"/>
      <c r="AD226" s="708"/>
      <c r="AE226" s="708"/>
      <c r="AF226" s="708"/>
      <c r="AG226" s="708">
        <v>2</v>
      </c>
      <c r="AH226" s="708"/>
      <c r="AI226" s="708"/>
      <c r="AJ226" s="708"/>
      <c r="AK226" s="708"/>
      <c r="AL226" s="708"/>
      <c r="AM226" s="708"/>
      <c r="AO226" s="708"/>
      <c r="AP226" s="708"/>
    </row>
    <row r="227" spans="1:42">
      <c r="A227" s="85">
        <f>IFERROR(VLOOKUP(Table8[[#This Row],[Player No]],Table10[[#All],[No]:[Age Group]],4,0),"")</f>
        <v>0</v>
      </c>
      <c r="B227" s="87">
        <v>168</v>
      </c>
      <c r="C227" s="115">
        <f t="shared" si="21"/>
        <v>-55</v>
      </c>
      <c r="D227" s="63">
        <f t="shared" si="22"/>
        <v>223</v>
      </c>
      <c r="E227" s="114">
        <v>3954</v>
      </c>
      <c r="F227" s="64" t="str">
        <f>IFERROR(VLOOKUP(Table8[[#This Row],[Player No]],Table10[[No]:[Province]],2,0),"")</f>
        <v>JACOBS Ghaneef</v>
      </c>
      <c r="G227" s="76" t="str">
        <f>IFERROR(VLOOKUP(Table8[[#This Row],[Player No]],Table10[[No]:[Province]],3,0),"")</f>
        <v>CW</v>
      </c>
      <c r="H227" s="124">
        <v>1</v>
      </c>
      <c r="I227" s="789">
        <f>Table8[[#This Row],[Points 2025]]/2+SUM(Table8[[#This Row],[O1  ADMIN 2026]:[P2           WC           CT Open   2026]])</f>
        <v>0.5</v>
      </c>
      <c r="J227" s="63">
        <f t="shared" si="19"/>
        <v>0</v>
      </c>
      <c r="K227" s="708">
        <f t="shared" si="20"/>
        <v>0</v>
      </c>
      <c r="L227" s="708" t="s">
        <v>6083</v>
      </c>
      <c r="M227" s="708" t="s">
        <v>6083</v>
      </c>
      <c r="N227" s="708" t="s">
        <v>6083</v>
      </c>
      <c r="O227" s="708"/>
      <c r="P227" s="708"/>
      <c r="Q227" s="708"/>
      <c r="R227" s="708"/>
      <c r="S227" s="708"/>
      <c r="T227" s="708"/>
      <c r="U227" s="708"/>
      <c r="V227" s="708"/>
      <c r="W227" s="708"/>
      <c r="X227" s="708"/>
      <c r="Y227" s="708"/>
      <c r="Z227" s="708"/>
      <c r="AA227" s="708"/>
      <c r="AB227" s="708"/>
      <c r="AC227" s="708"/>
      <c r="AD227" s="708"/>
      <c r="AE227" s="708"/>
      <c r="AF227" s="708"/>
      <c r="AG227" s="708">
        <v>2</v>
      </c>
      <c r="AH227" s="708"/>
      <c r="AI227" s="708"/>
      <c r="AJ227" s="708"/>
      <c r="AK227" s="708"/>
      <c r="AL227" s="708"/>
      <c r="AM227" s="708"/>
      <c r="AO227" s="708"/>
      <c r="AP227" s="708"/>
    </row>
    <row r="228" spans="1:42">
      <c r="A228" s="85">
        <f>IFERROR(VLOOKUP(Table8[[#This Row],[Player No]],Table10[[#All],[No]:[Age Group]],4,0),"")</f>
        <v>0</v>
      </c>
      <c r="B228" s="87">
        <v>168</v>
      </c>
      <c r="C228" s="115">
        <f t="shared" si="21"/>
        <v>-56</v>
      </c>
      <c r="D228" s="63">
        <f t="shared" si="22"/>
        <v>224</v>
      </c>
      <c r="E228" s="114">
        <v>3958</v>
      </c>
      <c r="F228" s="64" t="str">
        <f>IFERROR(VLOOKUP(Table8[[#This Row],[Player No]],Table10[[No]:[Province]],2,0),"")</f>
        <v>JOUBERT Reynaldo</v>
      </c>
      <c r="G228" s="76" t="str">
        <f>IFERROR(VLOOKUP(Table8[[#This Row],[Player No]],Table10[[No]:[Province]],3,0),"")</f>
        <v>Eden</v>
      </c>
      <c r="H228" s="124">
        <v>1</v>
      </c>
      <c r="I228" s="789">
        <f>Table8[[#This Row],[Points 2025]]/2+SUM(Table8[[#This Row],[O1  ADMIN 2026]:[P2           WC           CT Open   2026]])</f>
        <v>0.5</v>
      </c>
      <c r="J228" s="63">
        <f t="shared" si="19"/>
        <v>0</v>
      </c>
      <c r="K228" s="708">
        <f t="shared" si="20"/>
        <v>0</v>
      </c>
      <c r="L228" s="708" t="s">
        <v>6083</v>
      </c>
      <c r="M228" s="708" t="s">
        <v>6083</v>
      </c>
      <c r="N228" s="708" t="s">
        <v>6083</v>
      </c>
      <c r="O228" s="708"/>
      <c r="P228" s="708"/>
      <c r="Q228" s="708"/>
      <c r="R228" s="708"/>
      <c r="S228" s="708"/>
      <c r="T228" s="708"/>
      <c r="U228" s="708"/>
      <c r="V228" s="708"/>
      <c r="W228" s="708"/>
      <c r="X228" s="708"/>
      <c r="Y228" s="708"/>
      <c r="Z228" s="708"/>
      <c r="AA228" s="708"/>
      <c r="AB228" s="708"/>
      <c r="AC228" s="708"/>
      <c r="AD228" s="708"/>
      <c r="AE228" s="708"/>
      <c r="AF228" s="708"/>
      <c r="AG228" s="708">
        <v>2</v>
      </c>
      <c r="AH228" s="708"/>
      <c r="AI228" s="708"/>
      <c r="AJ228" s="708"/>
      <c r="AK228" s="708"/>
      <c r="AL228" s="708"/>
      <c r="AM228" s="708"/>
      <c r="AO228" s="708"/>
      <c r="AP228" s="708"/>
    </row>
    <row r="229" spans="1:42">
      <c r="A229" s="87"/>
      <c r="B229" s="87"/>
      <c r="C229" s="115">
        <f t="shared" si="21"/>
        <v>-225</v>
      </c>
      <c r="D229" s="63">
        <f t="shared" si="22"/>
        <v>225</v>
      </c>
      <c r="E229" s="434">
        <v>4006</v>
      </c>
      <c r="F229" s="64" t="str">
        <f>IFERROR(VLOOKUP(Table8[[#This Row],[Player No]],Table10[[No]:[Province]],2,0),"")</f>
        <v>MARAIS Barry</v>
      </c>
      <c r="G229" s="76" t="str">
        <f>IFERROR(VLOOKUP(Table8[[#This Row],[Player No]],Table10[[No]:[Province]],3,0),"")</f>
        <v>GN</v>
      </c>
      <c r="H229" s="124">
        <v>1</v>
      </c>
      <c r="I229" s="789">
        <f>Table8[[#This Row],[Points 2025]]/2+SUM(Table8[[#This Row],[O1  ADMIN 2026]:[P2           WC           CT Open   2026]])</f>
        <v>0.5</v>
      </c>
      <c r="J229" s="63">
        <f t="shared" si="19"/>
        <v>0</v>
      </c>
      <c r="K229" s="708">
        <f t="shared" si="20"/>
        <v>0</v>
      </c>
      <c r="L229" s="708" t="s">
        <v>6083</v>
      </c>
      <c r="M229" s="708" t="s">
        <v>6083</v>
      </c>
      <c r="N229" s="708" t="s">
        <v>6083</v>
      </c>
      <c r="O229" s="708"/>
      <c r="P229" s="708"/>
      <c r="Q229" s="708"/>
      <c r="R229" s="708"/>
      <c r="S229" s="708"/>
      <c r="T229" s="708"/>
      <c r="U229" s="708"/>
      <c r="V229" s="708"/>
      <c r="W229" s="708"/>
      <c r="X229" s="708"/>
      <c r="Y229" s="708"/>
      <c r="Z229" s="708"/>
      <c r="AA229" s="708">
        <v>1</v>
      </c>
      <c r="AB229" s="708"/>
      <c r="AC229" s="708"/>
      <c r="AD229" s="708"/>
      <c r="AE229" s="708"/>
      <c r="AF229" s="708"/>
      <c r="AG229" s="708"/>
      <c r="AH229" s="708"/>
      <c r="AI229" s="708"/>
      <c r="AJ229" s="708"/>
      <c r="AK229" s="708"/>
      <c r="AL229" s="708"/>
      <c r="AM229" s="708"/>
      <c r="AO229" s="708"/>
      <c r="AP229" s="708"/>
    </row>
    <row r="230" spans="1:42">
      <c r="A230" s="299"/>
      <c r="B230" s="299"/>
      <c r="C230" s="380">
        <f t="shared" si="21"/>
        <v>-226</v>
      </c>
      <c r="D230" s="63">
        <f t="shared" si="22"/>
        <v>226</v>
      </c>
      <c r="E230" s="318">
        <v>4057</v>
      </c>
      <c r="F230" s="64" t="str">
        <f>IFERROR(VLOOKUP(Table8[[#This Row],[Player No]],Table10[[No]:[Province]],2,0),"")</f>
        <v xml:space="preserve">HANSROD Muhammed </v>
      </c>
      <c r="G230" s="76" t="str">
        <f>IFERROR(VLOOKUP(Table8[[#This Row],[Player No]],Table10[[No]:[Province]],3,0),"")</f>
        <v>SED</v>
      </c>
      <c r="H230" s="124">
        <v>1</v>
      </c>
      <c r="I230" s="821">
        <f>Table8[[#This Row],[Points 2025]]/2+SUM(Table8[[#This Row],[O1  ADMIN 2026]:[P2           WC           CT Open   2026]])</f>
        <v>0.5</v>
      </c>
      <c r="J230" s="63">
        <f t="shared" si="19"/>
        <v>0</v>
      </c>
      <c r="K230" s="708">
        <f t="shared" si="20"/>
        <v>0</v>
      </c>
      <c r="L230" s="708" t="s">
        <v>6083</v>
      </c>
      <c r="M230" s="708" t="s">
        <v>6083</v>
      </c>
      <c r="N230" s="708" t="s">
        <v>6083</v>
      </c>
      <c r="O230" s="708"/>
      <c r="P230" s="713"/>
      <c r="Q230" s="713"/>
      <c r="R230" s="713"/>
      <c r="S230" s="713"/>
      <c r="T230" s="713"/>
      <c r="U230" s="713"/>
      <c r="V230" s="713" t="s">
        <v>4722</v>
      </c>
      <c r="W230" s="713"/>
      <c r="X230" s="713"/>
      <c r="Y230" s="713"/>
      <c r="Z230" s="713"/>
      <c r="AA230" s="713"/>
      <c r="AB230" s="713"/>
      <c r="AC230" s="713">
        <v>1</v>
      </c>
      <c r="AD230" s="713"/>
      <c r="AE230" s="713"/>
      <c r="AF230" s="713"/>
      <c r="AG230" s="713"/>
      <c r="AH230" s="713"/>
      <c r="AI230" s="713"/>
      <c r="AJ230" s="713"/>
      <c r="AK230" s="713"/>
      <c r="AL230" s="713"/>
      <c r="AM230" s="713"/>
      <c r="AO230" s="708"/>
      <c r="AP230" s="708"/>
    </row>
    <row r="231" spans="1:42">
      <c r="A231" s="299"/>
      <c r="B231" s="299"/>
      <c r="C231" s="380">
        <f t="shared" si="21"/>
        <v>-227</v>
      </c>
      <c r="D231" s="63">
        <f t="shared" si="22"/>
        <v>227</v>
      </c>
      <c r="E231" s="318">
        <v>4113</v>
      </c>
      <c r="F231" s="64" t="str">
        <f>IFERROR(VLOOKUP(Table8[[#This Row],[Player No]],Table10[[No]:[Province]],2,0),"")</f>
        <v>Muaaz HOOSEN</v>
      </c>
      <c r="G231" s="76" t="str">
        <f>IFERROR(VLOOKUP(Table8[[#This Row],[Player No]],Table10[[No]:[Province]],3,0),"")</f>
        <v>JTTA</v>
      </c>
      <c r="H231" s="381">
        <v>1</v>
      </c>
      <c r="I231" s="821">
        <f>Table8[[#This Row],[Points 2025]]/2+SUM(Table8[[#This Row],[O1  ADMIN 2026]:[P2           WC           CT Open   2026]])</f>
        <v>0.5</v>
      </c>
      <c r="J231" s="63">
        <f t="shared" si="19"/>
        <v>0</v>
      </c>
      <c r="K231" s="708">
        <f t="shared" si="20"/>
        <v>0</v>
      </c>
      <c r="L231" s="708" t="s">
        <v>6083</v>
      </c>
      <c r="M231" s="708" t="s">
        <v>6083</v>
      </c>
      <c r="N231" s="708" t="s">
        <v>6083</v>
      </c>
      <c r="O231" s="708"/>
      <c r="P231" s="713"/>
      <c r="Q231" s="713"/>
      <c r="R231" s="713"/>
      <c r="S231" s="713"/>
      <c r="T231" s="713"/>
      <c r="U231" s="713"/>
      <c r="V231" s="713" t="s">
        <v>4722</v>
      </c>
      <c r="W231" s="713"/>
      <c r="X231" s="713"/>
      <c r="Y231" s="713"/>
      <c r="Z231" s="713"/>
      <c r="AA231" s="713"/>
      <c r="AB231" s="713"/>
      <c r="AC231" s="713">
        <v>1</v>
      </c>
      <c r="AD231" s="713"/>
      <c r="AE231" s="713"/>
      <c r="AF231" s="713"/>
      <c r="AG231" s="713"/>
      <c r="AH231" s="713"/>
      <c r="AI231" s="713"/>
      <c r="AJ231" s="713"/>
      <c r="AK231" s="713"/>
      <c r="AL231" s="713"/>
      <c r="AM231" s="713"/>
      <c r="AO231" s="708"/>
      <c r="AP231" s="708"/>
    </row>
    <row r="232" spans="1:42">
      <c r="A232" s="87"/>
      <c r="B232" s="87"/>
      <c r="C232" s="115">
        <f t="shared" si="21"/>
        <v>-228</v>
      </c>
      <c r="D232" s="63">
        <f t="shared" si="22"/>
        <v>228</v>
      </c>
      <c r="E232" s="114">
        <v>4175</v>
      </c>
      <c r="F232" s="64" t="str">
        <f>IFERROR(VLOOKUP(Table8[[#This Row],[Player No]],Table10[[No]:[Province]],2,0),"")</f>
        <v>Jordan HARTNICK</v>
      </c>
      <c r="G232" s="76" t="str">
        <f>IFERROR(VLOOKUP(Table8[[#This Row],[Player No]],Table10[[No]:[Province]],3,0),"")</f>
        <v>CT</v>
      </c>
      <c r="H232" s="124">
        <v>1</v>
      </c>
      <c r="I232" s="789">
        <f>Table8[[#This Row],[Points 2025]]/2+SUM(Table8[[#This Row],[O1  ADMIN 2026]:[P2           WC           CT Open   2026]])</f>
        <v>0.5</v>
      </c>
      <c r="J232" s="63">
        <f t="shared" si="19"/>
        <v>0</v>
      </c>
      <c r="K232" s="708">
        <f t="shared" si="20"/>
        <v>0</v>
      </c>
      <c r="L232" s="708" t="s">
        <v>6083</v>
      </c>
      <c r="M232" s="708" t="s">
        <v>6083</v>
      </c>
      <c r="N232" s="708" t="s">
        <v>6083</v>
      </c>
      <c r="O232" s="708"/>
      <c r="P232" s="708"/>
      <c r="Q232" s="708"/>
      <c r="R232" s="708"/>
      <c r="S232" s="708"/>
      <c r="T232" s="708"/>
      <c r="U232" s="708"/>
      <c r="V232" s="708"/>
      <c r="W232" s="708">
        <v>1</v>
      </c>
      <c r="X232" s="708"/>
      <c r="Y232" s="708"/>
      <c r="Z232" s="708"/>
      <c r="AA232" s="708"/>
      <c r="AB232" s="708"/>
      <c r="AC232" s="708"/>
      <c r="AD232" s="708"/>
      <c r="AE232" s="708"/>
      <c r="AF232" s="708"/>
      <c r="AG232" s="708"/>
      <c r="AH232" s="708"/>
      <c r="AI232" s="708"/>
      <c r="AJ232" s="708"/>
      <c r="AK232" s="708"/>
      <c r="AL232" s="708"/>
      <c r="AM232" s="708"/>
      <c r="AO232" s="708"/>
      <c r="AP232" s="708"/>
    </row>
    <row r="233" spans="1:42">
      <c r="A233" s="85"/>
      <c r="B233" s="87"/>
      <c r="C233" s="115"/>
      <c r="D233" s="63">
        <f t="shared" si="22"/>
        <v>229</v>
      </c>
      <c r="E233" s="670">
        <v>4235</v>
      </c>
      <c r="F233" s="64" t="str">
        <f>IFERROR(VLOOKUP(Table8[[#This Row],[Player No]],Table10[[No]:[Province]],2,0),"")</f>
        <v>PADAYACHEE Taariq</v>
      </c>
      <c r="G233" s="76" t="str">
        <f>IFERROR(VLOOKUP(Table8[[#This Row],[Player No]],Table10[[No]:[Province]],3,0),"")</f>
        <v>UMG</v>
      </c>
      <c r="H233" s="124">
        <v>1</v>
      </c>
      <c r="I233" s="789">
        <f>Table8[[#This Row],[Points 2025]]/2+SUM(Table8[[#This Row],[O1  ADMIN 2026]:[P2           WC           CT Open   2026]])</f>
        <v>0.5</v>
      </c>
      <c r="J233" s="63">
        <f t="shared" si="19"/>
        <v>0</v>
      </c>
      <c r="K233" s="708">
        <f t="shared" si="20"/>
        <v>0</v>
      </c>
      <c r="L233" s="708" t="s">
        <v>6083</v>
      </c>
      <c r="M233" s="708" t="s">
        <v>6083</v>
      </c>
      <c r="N233" s="708" t="s">
        <v>6083</v>
      </c>
      <c r="O233" s="708"/>
      <c r="P233" s="708"/>
      <c r="Q233" s="708"/>
      <c r="R233" s="708"/>
      <c r="S233" s="708"/>
      <c r="T233" s="708">
        <v>1</v>
      </c>
      <c r="U233" s="708"/>
      <c r="V233" s="708"/>
      <c r="W233" s="708"/>
      <c r="X233" s="708"/>
      <c r="Y233" s="708"/>
      <c r="Z233" s="708"/>
      <c r="AA233" s="708"/>
      <c r="AB233" s="708"/>
      <c r="AC233" s="708"/>
      <c r="AD233" s="708"/>
      <c r="AE233" s="708"/>
      <c r="AF233" s="708"/>
      <c r="AG233" s="708"/>
      <c r="AH233" s="708"/>
      <c r="AI233" s="708"/>
      <c r="AJ233" s="708"/>
      <c r="AK233" s="708"/>
      <c r="AL233" s="708"/>
      <c r="AM233" s="708"/>
      <c r="AO233" s="708"/>
      <c r="AP233" s="708"/>
    </row>
    <row r="234" spans="1:42">
      <c r="A234" s="87"/>
      <c r="B234" s="87"/>
      <c r="C234" s="115">
        <f t="shared" ref="C234:C256" si="23">+B234-D234</f>
        <v>-230</v>
      </c>
      <c r="D234" s="63">
        <f t="shared" si="22"/>
        <v>230</v>
      </c>
      <c r="E234" s="114">
        <v>4298</v>
      </c>
      <c r="F234" s="64" t="str">
        <f>IFERROR(VLOOKUP(Table8[[#This Row],[Player No]],Table10[[No]:[Province]],2,0),"")</f>
        <v xml:space="preserve">T Sehantle </v>
      </c>
      <c r="G234" s="76" t="str">
        <f>IFERROR(VLOOKUP(Table8[[#This Row],[Player No]],Table10[[No]:[Province]],3,0),"")</f>
        <v>FS</v>
      </c>
      <c r="H234" s="124">
        <v>1</v>
      </c>
      <c r="I234" s="789">
        <f>Table8[[#This Row],[Points 2025]]/2+SUM(Table8[[#This Row],[O1  ADMIN 2026]:[P2           WC           CT Open   2026]])</f>
        <v>0.5</v>
      </c>
      <c r="J234" s="63">
        <f t="shared" si="19"/>
        <v>0</v>
      </c>
      <c r="K234" s="708">
        <f t="shared" si="20"/>
        <v>0</v>
      </c>
      <c r="L234" s="708" t="s">
        <v>6083</v>
      </c>
      <c r="M234" s="708" t="s">
        <v>6083</v>
      </c>
      <c r="N234" s="708" t="s">
        <v>6083</v>
      </c>
      <c r="O234" s="708"/>
      <c r="P234" s="708"/>
      <c r="Q234" s="708"/>
      <c r="R234" s="708"/>
      <c r="S234" s="708"/>
      <c r="T234" s="708"/>
      <c r="U234" s="708"/>
      <c r="V234" s="708">
        <v>1</v>
      </c>
      <c r="W234" s="708"/>
      <c r="X234" s="708"/>
      <c r="Y234" s="708"/>
      <c r="Z234" s="708"/>
      <c r="AA234" s="708"/>
      <c r="AB234" s="708"/>
      <c r="AC234" s="708"/>
      <c r="AD234" s="708"/>
      <c r="AE234" s="708"/>
      <c r="AF234" s="708"/>
      <c r="AG234" s="708"/>
      <c r="AH234" s="708"/>
      <c r="AI234" s="708"/>
      <c r="AJ234" s="708"/>
      <c r="AK234" s="708"/>
      <c r="AL234" s="708"/>
      <c r="AM234" s="708"/>
      <c r="AO234" s="708"/>
      <c r="AP234" s="708"/>
    </row>
    <row r="235" spans="1:42">
      <c r="A235" s="87"/>
      <c r="B235" s="87"/>
      <c r="C235" s="115">
        <f t="shared" si="23"/>
        <v>-231</v>
      </c>
      <c r="D235" s="63">
        <f t="shared" si="22"/>
        <v>231</v>
      </c>
      <c r="E235" s="114">
        <v>4299</v>
      </c>
      <c r="F235" s="64" t="str">
        <f>IFERROR(VLOOKUP(Table8[[#This Row],[Player No]],Table10[[No]:[Province]],2,0),"")</f>
        <v xml:space="preserve">S Nklaone </v>
      </c>
      <c r="G235" s="76" t="str">
        <f>IFERROR(VLOOKUP(Table8[[#This Row],[Player No]],Table10[[No]:[Province]],3,0),"")</f>
        <v>FS</v>
      </c>
      <c r="H235" s="124">
        <v>1</v>
      </c>
      <c r="I235" s="789">
        <f>Table8[[#This Row],[Points 2025]]/2+SUM(Table8[[#This Row],[O1  ADMIN 2026]:[P2           WC           CT Open   2026]])</f>
        <v>0.5</v>
      </c>
      <c r="J235" s="63">
        <f t="shared" si="19"/>
        <v>0</v>
      </c>
      <c r="K235" s="708">
        <f t="shared" si="20"/>
        <v>0</v>
      </c>
      <c r="L235" s="708" t="s">
        <v>6083</v>
      </c>
      <c r="M235" s="708" t="s">
        <v>6083</v>
      </c>
      <c r="N235" s="708" t="s">
        <v>6083</v>
      </c>
      <c r="O235" s="708"/>
      <c r="P235" s="708"/>
      <c r="Q235" s="708"/>
      <c r="R235" s="708"/>
      <c r="S235" s="708"/>
      <c r="T235" s="708"/>
      <c r="U235" s="708"/>
      <c r="V235" s="708">
        <v>1</v>
      </c>
      <c r="W235" s="708"/>
      <c r="X235" s="708"/>
      <c r="Y235" s="708"/>
      <c r="Z235" s="708"/>
      <c r="AA235" s="708"/>
      <c r="AB235" s="708"/>
      <c r="AC235" s="708"/>
      <c r="AD235" s="708"/>
      <c r="AE235" s="708"/>
      <c r="AF235" s="708"/>
      <c r="AG235" s="708"/>
      <c r="AH235" s="708"/>
      <c r="AI235" s="708"/>
      <c r="AJ235" s="708"/>
      <c r="AK235" s="708"/>
      <c r="AL235" s="708"/>
      <c r="AM235" s="708"/>
      <c r="AO235" s="708"/>
      <c r="AP235" s="708"/>
    </row>
    <row r="236" spans="1:42">
      <c r="A236" s="87"/>
      <c r="B236" s="87"/>
      <c r="C236" s="115">
        <f t="shared" si="23"/>
        <v>-232</v>
      </c>
      <c r="D236" s="63">
        <f t="shared" si="22"/>
        <v>232</v>
      </c>
      <c r="E236" s="114">
        <v>4489</v>
      </c>
      <c r="F236" s="93" t="str">
        <f>IFERROR(VLOOKUP(Table8[[#This Row],[Player No]],Table10[[No]:[Province]],2,0),"")</f>
        <v>SINGH Nikash</v>
      </c>
      <c r="G236" s="63" t="str">
        <f>IFERROR(VLOOKUP(Table8[[#This Row],[Player No]],Table10[[No]:[Province]],3,0),"")</f>
        <v>JTTA</v>
      </c>
      <c r="H236" s="124">
        <v>0</v>
      </c>
      <c r="I236" s="789">
        <f>Table8[[#This Row],[Points 2025]]/2+SUM(Table8[[#This Row],[O1  ADMIN 2026]:[P2           WC           CT Open   2026]])</f>
        <v>0.5</v>
      </c>
      <c r="J236" s="63">
        <f t="shared" si="19"/>
        <v>1</v>
      </c>
      <c r="K236" s="708">
        <f t="shared" si="20"/>
        <v>0</v>
      </c>
      <c r="L236" s="708">
        <v>0.5</v>
      </c>
      <c r="M236" s="708" t="s">
        <v>6083</v>
      </c>
      <c r="N236" s="708"/>
      <c r="O236" s="708"/>
      <c r="P236" s="708"/>
      <c r="Q236" s="708"/>
      <c r="R236" s="708"/>
      <c r="S236" s="708"/>
      <c r="T236" s="708"/>
      <c r="U236" s="708"/>
      <c r="V236" s="708"/>
      <c r="W236" s="708"/>
      <c r="X236" s="708"/>
      <c r="Y236" s="708"/>
      <c r="Z236" s="708"/>
      <c r="AA236" s="708"/>
      <c r="AB236" s="708"/>
      <c r="AC236" s="708"/>
      <c r="AD236" s="708"/>
      <c r="AE236" s="708"/>
      <c r="AF236" s="708"/>
      <c r="AG236" s="708"/>
      <c r="AH236" s="708"/>
      <c r="AI236" s="708"/>
      <c r="AJ236" s="708"/>
      <c r="AK236" s="708"/>
      <c r="AL236" s="708"/>
      <c r="AM236" s="708"/>
      <c r="AO236" s="708"/>
      <c r="AP236" s="708"/>
    </row>
    <row r="237" spans="1:42">
      <c r="A237" s="87"/>
      <c r="B237" s="87"/>
      <c r="C237" s="115">
        <f t="shared" si="23"/>
        <v>-233</v>
      </c>
      <c r="D237" s="63">
        <f t="shared" si="22"/>
        <v>233</v>
      </c>
      <c r="E237" s="114">
        <v>4453</v>
      </c>
      <c r="F237" s="93" t="str">
        <f>IFERROR(VLOOKUP(Table8[[#This Row],[Player No]],Table10[[No]:[Province]],2,0),"")</f>
        <v>Darshan SINGH</v>
      </c>
      <c r="G237" s="63" t="str">
        <f>IFERROR(VLOOKUP(Table8[[#This Row],[Player No]],Table10[[No]:[Province]],3,0),"")</f>
        <v>JTTA</v>
      </c>
      <c r="H237" s="124">
        <v>0</v>
      </c>
      <c r="I237" s="789">
        <f>Table8[[#This Row],[Points 2025]]/2+SUM(Table8[[#This Row],[O1  ADMIN 2026]:[P2           WC           CT Open   2026]])</f>
        <v>0.5</v>
      </c>
      <c r="J237" s="63">
        <f t="shared" si="19"/>
        <v>1</v>
      </c>
      <c r="K237" s="708">
        <f t="shared" si="20"/>
        <v>0</v>
      </c>
      <c r="L237" s="708">
        <v>0.5</v>
      </c>
      <c r="M237" s="708" t="s">
        <v>6083</v>
      </c>
      <c r="N237" s="708"/>
      <c r="O237" s="708"/>
      <c r="P237" s="708"/>
      <c r="Q237" s="708"/>
      <c r="R237" s="708"/>
      <c r="S237" s="708"/>
      <c r="T237" s="708"/>
      <c r="U237" s="708"/>
      <c r="V237" s="708"/>
      <c r="W237" s="708"/>
      <c r="X237" s="708"/>
      <c r="Y237" s="708"/>
      <c r="Z237" s="708"/>
      <c r="AA237" s="708"/>
      <c r="AB237" s="708"/>
      <c r="AC237" s="708"/>
      <c r="AD237" s="708"/>
      <c r="AE237" s="708"/>
      <c r="AF237" s="708"/>
      <c r="AG237" s="708"/>
      <c r="AH237" s="708"/>
      <c r="AI237" s="708"/>
      <c r="AJ237" s="708"/>
      <c r="AK237" s="708"/>
      <c r="AL237" s="708"/>
      <c r="AM237" s="708"/>
      <c r="AO237" s="708"/>
      <c r="AP237" s="708"/>
    </row>
    <row r="238" spans="1:42">
      <c r="A238" s="87"/>
      <c r="B238" s="87"/>
      <c r="C238" s="115">
        <f t="shared" si="23"/>
        <v>-234</v>
      </c>
      <c r="D238" s="63">
        <f t="shared" si="22"/>
        <v>234</v>
      </c>
      <c r="E238" s="114">
        <v>4301</v>
      </c>
      <c r="F238" s="64" t="str">
        <f>IFERROR(VLOOKUP(Table8[[#This Row],[Player No]],Table10[[No]:[Province]],2,0),"")</f>
        <v xml:space="preserve">K Sekike </v>
      </c>
      <c r="G238" s="76" t="str">
        <f>IFERROR(VLOOKUP(Table8[[#This Row],[Player No]],Table10[[No]:[Province]],3,0),"")</f>
        <v>FS</v>
      </c>
      <c r="H238" s="124">
        <v>0.75</v>
      </c>
      <c r="I238" s="789">
        <f>Table8[[#This Row],[Points 2025]]/2+SUM(Table8[[#This Row],[O1  ADMIN 2026]:[P2           WC           CT Open   2026]])</f>
        <v>0.375</v>
      </c>
      <c r="J238" s="63">
        <f t="shared" si="19"/>
        <v>0</v>
      </c>
      <c r="K238" s="708">
        <f t="shared" si="20"/>
        <v>0</v>
      </c>
      <c r="L238" s="708" t="s">
        <v>6083</v>
      </c>
      <c r="M238" s="708" t="s">
        <v>6083</v>
      </c>
      <c r="N238" s="708" t="s">
        <v>6083</v>
      </c>
      <c r="O238" s="708"/>
      <c r="P238" s="708"/>
      <c r="Q238" s="708"/>
      <c r="R238" s="708"/>
      <c r="S238" s="708"/>
      <c r="T238" s="708"/>
      <c r="U238" s="708"/>
      <c r="V238" s="708">
        <v>1</v>
      </c>
      <c r="W238" s="708"/>
      <c r="X238" s="708"/>
      <c r="Y238" s="708"/>
      <c r="Z238" s="708"/>
      <c r="AA238" s="708"/>
      <c r="AB238" s="708"/>
      <c r="AC238" s="708"/>
      <c r="AD238" s="708"/>
      <c r="AE238" s="708"/>
      <c r="AF238" s="708"/>
      <c r="AG238" s="708"/>
      <c r="AH238" s="708"/>
      <c r="AI238" s="708"/>
      <c r="AJ238" s="708"/>
      <c r="AK238" s="708"/>
      <c r="AL238" s="708"/>
      <c r="AM238" s="708"/>
      <c r="AO238" s="708"/>
      <c r="AP238" s="708"/>
    </row>
    <row r="239" spans="1:42">
      <c r="A239" s="299"/>
      <c r="B239" s="299"/>
      <c r="C239" s="380">
        <f t="shared" si="23"/>
        <v>-235</v>
      </c>
      <c r="D239" s="63">
        <f t="shared" si="22"/>
        <v>235</v>
      </c>
      <c r="E239" s="318">
        <v>4398</v>
      </c>
      <c r="F239" s="64" t="str">
        <f>IFERROR(VLOOKUP(Table8[[#This Row],[Player No]],Table10[[No]:[Province]],2,0),"")</f>
        <v xml:space="preserve">MOHAMED Sudais </v>
      </c>
      <c r="G239" s="76" t="str">
        <f>IFERROR(VLOOKUP(Table8[[#This Row],[Player No]],Table10[[No]:[Province]],3,0),"")</f>
        <v>JTTA</v>
      </c>
      <c r="H239" s="124">
        <v>0.625</v>
      </c>
      <c r="I239" s="821">
        <f>Table8[[#This Row],[Points 2025]]/2+SUM(Table8[[#This Row],[O1  ADMIN 2026]:[P2           WC           CT Open   2026]])</f>
        <v>0.3125</v>
      </c>
      <c r="J239" s="63">
        <f t="shared" si="19"/>
        <v>0</v>
      </c>
      <c r="K239" s="708">
        <f t="shared" si="20"/>
        <v>0</v>
      </c>
      <c r="L239" s="708" t="s">
        <v>6083</v>
      </c>
      <c r="M239" s="708" t="s">
        <v>6083</v>
      </c>
      <c r="N239" s="708" t="s">
        <v>6083</v>
      </c>
      <c r="O239" s="708"/>
      <c r="P239" s="713"/>
      <c r="Q239" s="713"/>
      <c r="R239" s="713"/>
      <c r="S239" s="713"/>
      <c r="T239" s="713"/>
      <c r="U239" s="713"/>
      <c r="V239" s="713" t="s">
        <v>4722</v>
      </c>
      <c r="W239" s="713"/>
      <c r="X239" s="713"/>
      <c r="Y239" s="713"/>
      <c r="Z239" s="713"/>
      <c r="AA239" s="713"/>
      <c r="AB239" s="713"/>
      <c r="AC239" s="713">
        <v>1</v>
      </c>
      <c r="AD239" s="713"/>
      <c r="AE239" s="713"/>
      <c r="AF239" s="713"/>
      <c r="AG239" s="713"/>
      <c r="AH239" s="713"/>
      <c r="AI239" s="713"/>
      <c r="AJ239" s="713"/>
      <c r="AK239" s="713"/>
      <c r="AL239" s="713"/>
      <c r="AM239" s="713"/>
      <c r="AO239" s="708"/>
      <c r="AP239" s="708"/>
    </row>
    <row r="240" spans="1:42">
      <c r="A240" s="87"/>
      <c r="B240" s="87"/>
      <c r="C240" s="115">
        <f t="shared" si="23"/>
        <v>-236</v>
      </c>
      <c r="D240" s="63">
        <f t="shared" si="22"/>
        <v>236</v>
      </c>
      <c r="E240" s="434">
        <v>4411</v>
      </c>
      <c r="F240" s="64" t="str">
        <f>IFERROR(VLOOKUP(Table8[[#This Row],[Player No]],Table10[[No]:[Province]],2,0),"")</f>
        <v>MIROSLAV Joe</v>
      </c>
      <c r="G240" s="76" t="str">
        <f>IFERROR(VLOOKUP(Table8[[#This Row],[Player No]],Table10[[No]:[Province]],3,0),"")</f>
        <v>JTTA</v>
      </c>
      <c r="H240" s="124">
        <v>0.625</v>
      </c>
      <c r="I240" s="789">
        <f>Table8[[#This Row],[Points 2025]]/2+SUM(Table8[[#This Row],[O1  ADMIN 2026]:[P2           WC           CT Open   2026]])</f>
        <v>0.3125</v>
      </c>
      <c r="J240" s="63">
        <f t="shared" si="19"/>
        <v>0</v>
      </c>
      <c r="K240" s="708">
        <f t="shared" si="20"/>
        <v>0</v>
      </c>
      <c r="L240" s="708" t="s">
        <v>6083</v>
      </c>
      <c r="M240" s="708" t="s">
        <v>6083</v>
      </c>
      <c r="N240" s="708" t="s">
        <v>6083</v>
      </c>
      <c r="O240" s="708"/>
      <c r="P240" s="708"/>
      <c r="Q240" s="708"/>
      <c r="R240" s="708"/>
      <c r="S240" s="708"/>
      <c r="T240" s="708"/>
      <c r="U240" s="708"/>
      <c r="V240" s="708"/>
      <c r="W240" s="708"/>
      <c r="X240" s="708"/>
      <c r="Y240" s="708"/>
      <c r="Z240" s="708"/>
      <c r="AA240" s="708">
        <v>1</v>
      </c>
      <c r="AB240" s="708"/>
      <c r="AC240" s="708"/>
      <c r="AD240" s="708"/>
      <c r="AE240" s="708"/>
      <c r="AF240" s="708"/>
      <c r="AG240" s="708"/>
      <c r="AH240" s="708"/>
      <c r="AI240" s="708"/>
      <c r="AJ240" s="708"/>
      <c r="AK240" s="708"/>
      <c r="AL240" s="708"/>
      <c r="AM240" s="708"/>
      <c r="AO240" s="708"/>
      <c r="AP240" s="708"/>
    </row>
    <row r="241" spans="1:42">
      <c r="A241" s="87"/>
      <c r="B241" s="87"/>
      <c r="C241" s="115">
        <f t="shared" si="23"/>
        <v>-237</v>
      </c>
      <c r="D241" s="63">
        <f t="shared" si="22"/>
        <v>237</v>
      </c>
      <c r="E241" s="434">
        <v>4412</v>
      </c>
      <c r="F241" s="64" t="str">
        <f>IFERROR(VLOOKUP(Table8[[#This Row],[Player No]],Table10[[No]:[Province]],2,0),"")</f>
        <v xml:space="preserve">Idris Abrahams </v>
      </c>
      <c r="G241" s="76" t="str">
        <f>IFERROR(VLOOKUP(Table8[[#This Row],[Player No]],Table10[[No]:[Province]],3,0),"")</f>
        <v>JTTA</v>
      </c>
      <c r="H241" s="124">
        <v>0.5</v>
      </c>
      <c r="I241" s="789">
        <f>Table8[[#This Row],[Points 2025]]/2+SUM(Table8[[#This Row],[O1  ADMIN 2026]:[P2           WC           CT Open   2026]])</f>
        <v>0.25</v>
      </c>
      <c r="J241" s="63">
        <f t="shared" si="19"/>
        <v>0</v>
      </c>
      <c r="K241" s="708">
        <f t="shared" si="20"/>
        <v>0</v>
      </c>
      <c r="L241" s="708" t="s">
        <v>6083</v>
      </c>
      <c r="M241" s="708" t="s">
        <v>6083</v>
      </c>
      <c r="N241" s="708" t="s">
        <v>6083</v>
      </c>
      <c r="O241" s="708"/>
      <c r="P241" s="708"/>
      <c r="Q241" s="708"/>
      <c r="R241" s="708"/>
      <c r="S241" s="708"/>
      <c r="T241" s="708"/>
      <c r="U241" s="708"/>
      <c r="V241" s="708"/>
      <c r="W241" s="708"/>
      <c r="X241" s="708"/>
      <c r="Y241" s="708"/>
      <c r="Z241" s="708"/>
      <c r="AA241" s="708">
        <v>1</v>
      </c>
      <c r="AB241" s="708"/>
      <c r="AC241" s="708"/>
      <c r="AD241" s="708"/>
      <c r="AE241" s="708"/>
      <c r="AF241" s="708"/>
      <c r="AG241" s="708"/>
      <c r="AH241" s="708"/>
      <c r="AI241" s="708"/>
      <c r="AJ241" s="708"/>
      <c r="AK241" s="708"/>
      <c r="AL241" s="708"/>
      <c r="AM241" s="708"/>
      <c r="AO241" s="708"/>
      <c r="AP241" s="708"/>
    </row>
    <row r="242" spans="1:42">
      <c r="A242" s="87"/>
      <c r="B242" s="87"/>
      <c r="C242" s="115">
        <f t="shared" si="23"/>
        <v>-238</v>
      </c>
      <c r="D242" s="63">
        <f t="shared" si="22"/>
        <v>238</v>
      </c>
      <c r="E242" s="114">
        <v>4484</v>
      </c>
      <c r="F242" s="64" t="str">
        <f>IFERROR(VLOOKUP(Table8[[#This Row],[Player No]],Table10[[No]:[Province]],2,0),"")</f>
        <v>Sipho NKHOANE</v>
      </c>
      <c r="G242" s="76" t="str">
        <f>IFERROR(VLOOKUP(Table8[[#This Row],[Player No]],Table10[[No]:[Province]],3,0),"")</f>
        <v>FS</v>
      </c>
      <c r="H242" s="124">
        <v>0.5</v>
      </c>
      <c r="I242" s="789">
        <f>Table8[[#This Row],[Points 2025]]/2+SUM(Table8[[#This Row],[O1  ADMIN 2026]:[P2           WC           CT Open   2026]])</f>
        <v>0.25</v>
      </c>
      <c r="J242" s="63">
        <f t="shared" si="19"/>
        <v>0</v>
      </c>
      <c r="K242" s="708">
        <f t="shared" si="20"/>
        <v>0</v>
      </c>
      <c r="L242" s="708" t="s">
        <v>6083</v>
      </c>
      <c r="M242" s="708" t="s">
        <v>6083</v>
      </c>
      <c r="N242" s="708" t="s">
        <v>6083</v>
      </c>
      <c r="O242" s="708"/>
      <c r="P242" s="708"/>
      <c r="Q242" s="708"/>
      <c r="R242" s="708"/>
      <c r="S242" s="708"/>
      <c r="T242" s="708"/>
      <c r="U242" s="708">
        <v>1</v>
      </c>
      <c r="V242" s="708"/>
      <c r="W242" s="708"/>
      <c r="X242" s="708"/>
      <c r="Y242" s="708"/>
      <c r="Z242" s="708"/>
      <c r="AA242" s="708"/>
      <c r="AB242" s="708"/>
      <c r="AC242" s="708"/>
      <c r="AD242" s="708"/>
      <c r="AE242" s="708"/>
      <c r="AF242" s="708"/>
      <c r="AG242" s="708"/>
      <c r="AH242" s="708"/>
      <c r="AI242" s="708"/>
      <c r="AJ242" s="708"/>
      <c r="AK242" s="708"/>
      <c r="AL242" s="708"/>
      <c r="AM242" s="708"/>
      <c r="AO242" s="708"/>
      <c r="AP242" s="708"/>
    </row>
    <row r="243" spans="1:42">
      <c r="A243" s="87"/>
      <c r="B243" s="87"/>
      <c r="C243" s="398">
        <f t="shared" si="23"/>
        <v>-239</v>
      </c>
      <c r="D243" s="63">
        <f t="shared" si="22"/>
        <v>239</v>
      </c>
      <c r="E243" s="400">
        <v>4485</v>
      </c>
      <c r="F243" s="664" t="str">
        <f>IFERROR(VLOOKUP(Table8[[#This Row],[Player No]],Table10[[No]:[Province]],2,0),"")</f>
        <v>Karabo MOALUSI</v>
      </c>
      <c r="G243" s="666" t="str">
        <f>IFERROR(VLOOKUP(Table8[[#This Row],[Player No]],Table10[[No]:[Province]],3,0),"")</f>
        <v>FS</v>
      </c>
      <c r="H243" s="381">
        <v>0.5</v>
      </c>
      <c r="I243" s="789">
        <f>Table8[[#This Row],[Points 2025]]/2+SUM(Table8[[#This Row],[O1  ADMIN 2026]:[P2           WC           CT Open   2026]])</f>
        <v>0.25</v>
      </c>
      <c r="J243" s="63">
        <f t="shared" si="19"/>
        <v>0</v>
      </c>
      <c r="K243" s="708">
        <f t="shared" si="20"/>
        <v>0</v>
      </c>
      <c r="L243" s="708" t="s">
        <v>6083</v>
      </c>
      <c r="M243" s="708" t="s">
        <v>6083</v>
      </c>
      <c r="N243" s="708" t="s">
        <v>6083</v>
      </c>
      <c r="O243" s="708"/>
      <c r="P243" s="708"/>
      <c r="Q243" s="708"/>
      <c r="R243" s="708"/>
      <c r="S243" s="708"/>
      <c r="T243" s="708"/>
      <c r="U243" s="708">
        <v>1</v>
      </c>
      <c r="V243" s="708"/>
      <c r="W243" s="708"/>
      <c r="X243" s="708"/>
      <c r="Y243" s="708"/>
      <c r="Z243" s="708"/>
      <c r="AA243" s="708"/>
      <c r="AB243" s="708"/>
      <c r="AC243" s="708"/>
      <c r="AD243" s="708"/>
      <c r="AE243" s="708"/>
      <c r="AF243" s="708"/>
      <c r="AG243" s="708"/>
      <c r="AH243" s="708"/>
      <c r="AI243" s="708"/>
      <c r="AJ243" s="708"/>
      <c r="AK243" s="708"/>
      <c r="AL243" s="708"/>
      <c r="AM243" s="708"/>
      <c r="AO243" s="708"/>
      <c r="AP243" s="708"/>
    </row>
    <row r="244" spans="1:42">
      <c r="A244" s="87"/>
      <c r="B244" s="87"/>
      <c r="C244" s="398">
        <f t="shared" si="23"/>
        <v>-240</v>
      </c>
      <c r="D244" s="63">
        <f t="shared" si="22"/>
        <v>240</v>
      </c>
      <c r="E244" s="400">
        <v>4544</v>
      </c>
      <c r="F244" s="664" t="str">
        <f>IFERROR(VLOOKUP(Table8[[#This Row],[Player No]],Table10[[No]:[Province]],2,0),"")</f>
        <v xml:space="preserve">PAMPLIN Blake </v>
      </c>
      <c r="G244" s="666" t="str">
        <f>IFERROR(VLOOKUP(Table8[[#This Row],[Player No]],Table10[[No]:[Province]],3,0),"")</f>
        <v>CT</v>
      </c>
      <c r="H244" s="124">
        <v>0.5</v>
      </c>
      <c r="I244" s="789">
        <f>Table8[[#This Row],[Points 2025]]/2+SUM(Table8[[#This Row],[O1  ADMIN 2026]:[P2           WC           CT Open   2026]])</f>
        <v>0.25</v>
      </c>
      <c r="J244" s="63">
        <f t="shared" si="19"/>
        <v>0</v>
      </c>
      <c r="K244" s="708">
        <f t="shared" si="20"/>
        <v>0</v>
      </c>
      <c r="L244" s="708" t="s">
        <v>6083</v>
      </c>
      <c r="M244" s="708" t="s">
        <v>6083</v>
      </c>
      <c r="N244" s="708" t="s">
        <v>6083</v>
      </c>
      <c r="O244" s="708"/>
      <c r="P244" s="708"/>
      <c r="Q244" s="708"/>
      <c r="R244" s="708"/>
      <c r="S244" s="708"/>
      <c r="T244" s="708"/>
      <c r="U244" s="708"/>
      <c r="V244" s="708"/>
      <c r="W244" s="708">
        <v>1</v>
      </c>
      <c r="X244" s="708"/>
      <c r="Y244" s="708"/>
      <c r="Z244" s="708"/>
      <c r="AA244" s="708"/>
      <c r="AB244" s="708"/>
      <c r="AC244" s="708"/>
      <c r="AD244" s="708"/>
      <c r="AE244" s="708"/>
      <c r="AF244" s="708"/>
      <c r="AG244" s="708"/>
      <c r="AH244" s="708"/>
      <c r="AI244" s="708"/>
      <c r="AJ244" s="708"/>
      <c r="AK244" s="708"/>
      <c r="AL244" s="708"/>
      <c r="AM244" s="708"/>
      <c r="AO244" s="708"/>
      <c r="AP244" s="708"/>
    </row>
    <row r="245" spans="1:42">
      <c r="A245" s="87"/>
      <c r="B245" s="87"/>
      <c r="C245" s="398">
        <f t="shared" si="23"/>
        <v>-241</v>
      </c>
      <c r="D245" s="63">
        <f t="shared" si="22"/>
        <v>241</v>
      </c>
      <c r="E245" s="400">
        <v>4560</v>
      </c>
      <c r="F245" s="664" t="str">
        <f>IFERROR(VLOOKUP(Table8[[#This Row],[Player No]],Table10[[No]:[Province]],2,0),"")</f>
        <v xml:space="preserve">SASMAN Abubakr </v>
      </c>
      <c r="G245" s="666" t="str">
        <f>IFERROR(VLOOKUP(Table8[[#This Row],[Player No]],Table10[[No]:[Province]],3,0),"")</f>
        <v>CT</v>
      </c>
      <c r="H245" s="124">
        <v>0.5</v>
      </c>
      <c r="I245" s="789">
        <f>Table8[[#This Row],[Points 2025]]/2+SUM(Table8[[#This Row],[O1  ADMIN 2026]:[P2           WC           CT Open   2026]])</f>
        <v>0.25</v>
      </c>
      <c r="J245" s="63">
        <f t="shared" si="19"/>
        <v>0</v>
      </c>
      <c r="K245" s="708">
        <f t="shared" si="20"/>
        <v>0</v>
      </c>
      <c r="L245" s="708" t="s">
        <v>6083</v>
      </c>
      <c r="M245" s="708" t="s">
        <v>6083</v>
      </c>
      <c r="N245" s="708" t="s">
        <v>6083</v>
      </c>
      <c r="O245" s="708"/>
      <c r="P245" s="708"/>
      <c r="Q245" s="708"/>
      <c r="R245" s="708"/>
      <c r="S245" s="708"/>
      <c r="T245" s="708"/>
      <c r="U245" s="708"/>
      <c r="V245" s="708"/>
      <c r="W245" s="708">
        <v>1</v>
      </c>
      <c r="X245" s="708"/>
      <c r="Y245" s="708"/>
      <c r="Z245" s="708"/>
      <c r="AA245" s="708"/>
      <c r="AB245" s="708"/>
      <c r="AC245" s="708"/>
      <c r="AD245" s="708"/>
      <c r="AE245" s="708"/>
      <c r="AF245" s="708"/>
      <c r="AG245" s="708"/>
      <c r="AH245" s="708"/>
      <c r="AI245" s="708"/>
      <c r="AJ245" s="708"/>
      <c r="AK245" s="708"/>
      <c r="AL245" s="708"/>
      <c r="AM245" s="708"/>
      <c r="AO245" s="708"/>
      <c r="AP245" s="708"/>
    </row>
    <row r="246" spans="1:42">
      <c r="A246" s="87"/>
      <c r="B246" s="87"/>
      <c r="C246" s="398">
        <f t="shared" si="23"/>
        <v>-242</v>
      </c>
      <c r="D246" s="63">
        <f t="shared" si="22"/>
        <v>242</v>
      </c>
      <c r="E246" s="400">
        <v>4561</v>
      </c>
      <c r="F246" s="664" t="str">
        <f>IFERROR(VLOOKUP(Table8[[#This Row],[Player No]],Table10[[No]:[Province]],2,0),"")</f>
        <v xml:space="preserve">MENTOR Nahum </v>
      </c>
      <c r="G246" s="666" t="str">
        <f>IFERROR(VLOOKUP(Table8[[#This Row],[Player No]],Table10[[No]:[Province]],3,0),"")</f>
        <v>CT</v>
      </c>
      <c r="H246" s="124">
        <v>0.5</v>
      </c>
      <c r="I246" s="789">
        <f>Table8[[#This Row],[Points 2025]]/2+SUM(Table8[[#This Row],[O1  ADMIN 2026]:[P2           WC           CT Open   2026]])</f>
        <v>0.25</v>
      </c>
      <c r="J246" s="63">
        <f t="shared" si="19"/>
        <v>0</v>
      </c>
      <c r="K246" s="708">
        <f t="shared" si="20"/>
        <v>0</v>
      </c>
      <c r="L246" s="708" t="s">
        <v>6083</v>
      </c>
      <c r="M246" s="708" t="s">
        <v>6083</v>
      </c>
      <c r="N246" s="708" t="s">
        <v>6083</v>
      </c>
      <c r="O246" s="708"/>
      <c r="P246" s="708"/>
      <c r="Q246" s="708"/>
      <c r="R246" s="708"/>
      <c r="S246" s="708"/>
      <c r="T246" s="708"/>
      <c r="U246" s="708"/>
      <c r="V246" s="708"/>
      <c r="W246" s="708">
        <v>1</v>
      </c>
      <c r="X246" s="708"/>
      <c r="Y246" s="708"/>
      <c r="Z246" s="708"/>
      <c r="AA246" s="708"/>
      <c r="AB246" s="708"/>
      <c r="AC246" s="708"/>
      <c r="AD246" s="708"/>
      <c r="AE246" s="708"/>
      <c r="AF246" s="708"/>
      <c r="AG246" s="708"/>
      <c r="AH246" s="708"/>
      <c r="AI246" s="708"/>
      <c r="AJ246" s="708"/>
      <c r="AK246" s="708"/>
      <c r="AL246" s="708"/>
      <c r="AM246" s="708"/>
      <c r="AO246" s="708"/>
      <c r="AP246" s="708"/>
    </row>
    <row r="247" spans="1:42">
      <c r="A247" s="87"/>
      <c r="B247" s="87"/>
      <c r="C247" s="398">
        <f t="shared" si="23"/>
        <v>-243</v>
      </c>
      <c r="D247" s="63">
        <f t="shared" si="22"/>
        <v>243</v>
      </c>
      <c r="E247" s="400">
        <v>4571</v>
      </c>
      <c r="F247" s="664" t="str">
        <f>IFERROR(VLOOKUP(Table8[[#This Row],[Player No]],Table10[[No]:[Province]],2,0),"")</f>
        <v>Sechaba MOKOENA</v>
      </c>
      <c r="G247" s="666" t="str">
        <f>IFERROR(VLOOKUP(Table8[[#This Row],[Player No]],Table10[[No]:[Province]],3,0),"")</f>
        <v>FS</v>
      </c>
      <c r="H247" s="661">
        <v>0.5</v>
      </c>
      <c r="I247" s="789">
        <f>Table8[[#This Row],[Points 2025]]/2+SUM(Table8[[#This Row],[O1  ADMIN 2026]:[P2           WC           CT Open   2026]])</f>
        <v>0.25</v>
      </c>
      <c r="J247" s="63">
        <f t="shared" si="19"/>
        <v>0</v>
      </c>
      <c r="K247" s="708">
        <f t="shared" si="20"/>
        <v>0</v>
      </c>
      <c r="L247" s="708" t="s">
        <v>6083</v>
      </c>
      <c r="M247" s="708" t="s">
        <v>6083</v>
      </c>
      <c r="N247" s="708" t="s">
        <v>6083</v>
      </c>
      <c r="O247" s="708"/>
      <c r="P247" s="708"/>
      <c r="Q247" s="708"/>
      <c r="R247" s="708"/>
      <c r="S247" s="708"/>
      <c r="T247" s="708"/>
      <c r="U247" s="708">
        <v>1</v>
      </c>
      <c r="V247" s="708"/>
      <c r="W247" s="708"/>
      <c r="X247" s="708"/>
      <c r="Y247" s="708"/>
      <c r="Z247" s="708"/>
      <c r="AA247" s="708"/>
      <c r="AB247" s="708"/>
      <c r="AC247" s="708"/>
      <c r="AD247" s="708"/>
      <c r="AE247" s="708"/>
      <c r="AF247" s="708"/>
      <c r="AG247" s="708"/>
      <c r="AH247" s="708"/>
      <c r="AI247" s="708"/>
      <c r="AJ247" s="708"/>
      <c r="AK247" s="708"/>
      <c r="AL247" s="708"/>
      <c r="AM247" s="708"/>
      <c r="AO247" s="708"/>
      <c r="AP247" s="708"/>
    </row>
    <row r="248" spans="1:42">
      <c r="A248" s="87"/>
      <c r="B248" s="87"/>
      <c r="C248" s="398">
        <f t="shared" si="23"/>
        <v>-244</v>
      </c>
      <c r="D248" s="63">
        <f t="shared" si="22"/>
        <v>244</v>
      </c>
      <c r="E248" s="400">
        <v>4573</v>
      </c>
      <c r="F248" s="664" t="str">
        <f>IFERROR(VLOOKUP(Table8[[#This Row],[Player No]],Table10[[No]:[Province]],2,0),"")</f>
        <v>Mpho MOKHUAMATHE</v>
      </c>
      <c r="G248" s="666" t="str">
        <f>IFERROR(VLOOKUP(Table8[[#This Row],[Player No]],Table10[[No]:[Province]],3,0),"")</f>
        <v>FS</v>
      </c>
      <c r="H248" s="661">
        <v>0.5</v>
      </c>
      <c r="I248" s="789">
        <f>Table8[[#This Row],[Points 2025]]/2+SUM(Table8[[#This Row],[O1  ADMIN 2026]:[P2           WC           CT Open   2026]])</f>
        <v>0.25</v>
      </c>
      <c r="J248" s="63">
        <f t="shared" si="19"/>
        <v>0</v>
      </c>
      <c r="K248" s="708">
        <f t="shared" si="20"/>
        <v>0</v>
      </c>
      <c r="L248" s="708" t="s">
        <v>6083</v>
      </c>
      <c r="M248" s="708" t="s">
        <v>6083</v>
      </c>
      <c r="N248" s="708" t="s">
        <v>6083</v>
      </c>
      <c r="O248" s="708"/>
      <c r="P248" s="708"/>
      <c r="Q248" s="708"/>
      <c r="R248" s="708"/>
      <c r="S248" s="708"/>
      <c r="T248" s="708"/>
      <c r="U248" s="708">
        <v>1</v>
      </c>
      <c r="V248" s="708"/>
      <c r="W248" s="708"/>
      <c r="X248" s="708"/>
      <c r="Y248" s="708"/>
      <c r="Z248" s="708"/>
      <c r="AA248" s="708"/>
      <c r="AB248" s="708"/>
      <c r="AC248" s="708"/>
      <c r="AD248" s="708"/>
      <c r="AE248" s="708"/>
      <c r="AF248" s="708"/>
      <c r="AG248" s="708"/>
      <c r="AH248" s="708"/>
      <c r="AI248" s="708"/>
      <c r="AJ248" s="708"/>
      <c r="AK248" s="708"/>
      <c r="AL248" s="708"/>
      <c r="AM248" s="708"/>
      <c r="AO248" s="708"/>
      <c r="AP248" s="708"/>
    </row>
    <row r="249" spans="1:42">
      <c r="A249" s="299"/>
      <c r="B249" s="299"/>
      <c r="C249" s="662">
        <f t="shared" si="23"/>
        <v>-245</v>
      </c>
      <c r="D249" s="63">
        <f t="shared" si="22"/>
        <v>245</v>
      </c>
      <c r="E249" s="402">
        <v>4395</v>
      </c>
      <c r="F249" s="664" t="str">
        <f>IFERROR(VLOOKUP(Table8[[#This Row],[Player No]],Table10[[No]:[Province]],2,0),"")</f>
        <v xml:space="preserve">KARTHIK Dhaarmic </v>
      </c>
      <c r="G249" s="666" t="str">
        <f>IFERROR(VLOOKUP(Table8[[#This Row],[Player No]],Table10[[No]:[Province]],3,0),"")</f>
        <v>GN</v>
      </c>
      <c r="H249" s="661">
        <v>0.5</v>
      </c>
      <c r="I249" s="821">
        <f>Table8[[#This Row],[Points 2025]]/2+SUM(Table8[[#This Row],[O1  ADMIN 2026]:[P2           WC           CT Open   2026]])</f>
        <v>0.25</v>
      </c>
      <c r="J249" s="63">
        <f t="shared" si="19"/>
        <v>0</v>
      </c>
      <c r="K249" s="708">
        <f t="shared" si="20"/>
        <v>0</v>
      </c>
      <c r="L249" s="708" t="s">
        <v>6083</v>
      </c>
      <c r="M249" s="708" t="s">
        <v>6083</v>
      </c>
      <c r="N249" s="708" t="s">
        <v>6083</v>
      </c>
      <c r="O249" s="708"/>
      <c r="P249" s="713"/>
      <c r="Q249" s="713"/>
      <c r="R249" s="713"/>
      <c r="S249" s="713"/>
      <c r="T249" s="713"/>
      <c r="U249" s="713"/>
      <c r="V249" s="713" t="s">
        <v>4722</v>
      </c>
      <c r="W249" s="713"/>
      <c r="X249" s="713"/>
      <c r="Y249" s="713">
        <v>0</v>
      </c>
      <c r="Z249" s="713"/>
      <c r="AA249" s="713"/>
      <c r="AB249" s="713"/>
      <c r="AC249" s="713">
        <v>1</v>
      </c>
      <c r="AD249" s="713"/>
      <c r="AE249" s="713"/>
      <c r="AF249" s="713"/>
      <c r="AG249" s="713"/>
      <c r="AH249" s="713"/>
      <c r="AI249" s="713"/>
      <c r="AJ249" s="713"/>
      <c r="AK249" s="713"/>
      <c r="AL249" s="713"/>
      <c r="AM249" s="713"/>
      <c r="AO249" s="708"/>
      <c r="AP249" s="708"/>
    </row>
    <row r="250" spans="1:42">
      <c r="A250" s="85">
        <f>IFERROR(VLOOKUP(Table8[[#This Row],[Player No]],Table10[[#All],[No]:[Age Group]],4,0),"")</f>
        <v>0</v>
      </c>
      <c r="B250" s="87">
        <v>123</v>
      </c>
      <c r="C250" s="398">
        <f t="shared" si="23"/>
        <v>-123</v>
      </c>
      <c r="D250" s="63">
        <f t="shared" si="22"/>
        <v>246</v>
      </c>
      <c r="E250" s="400">
        <v>3516</v>
      </c>
      <c r="F250" s="664" t="str">
        <f>IFERROR(VLOOKUP(Table8[[#This Row],[Player No]],Table10[[No]:[Province]],2,0),"")</f>
        <v>SINGH Qudane</v>
      </c>
      <c r="G250" s="666" t="str">
        <f>IFERROR(VLOOKUP(Table8[[#This Row],[Player No]],Table10[[No]:[Province]],3,0),"")</f>
        <v>UMG</v>
      </c>
      <c r="H250" s="124">
        <v>0.5</v>
      </c>
      <c r="I250" s="789">
        <f>Table8[[#This Row],[Points 2025]]/2+SUM(Table8[[#This Row],[O1  ADMIN 2026]:[P2           WC           CT Open   2026]])</f>
        <v>0.25</v>
      </c>
      <c r="J250" s="63">
        <f t="shared" si="19"/>
        <v>0</v>
      </c>
      <c r="K250" s="708">
        <f t="shared" si="20"/>
        <v>0</v>
      </c>
      <c r="L250" s="708" t="s">
        <v>6083</v>
      </c>
      <c r="M250" s="708" t="s">
        <v>6083</v>
      </c>
      <c r="N250" s="708" t="s">
        <v>6083</v>
      </c>
      <c r="O250" s="708"/>
      <c r="P250" s="708"/>
      <c r="Q250" s="708"/>
      <c r="R250" s="708"/>
      <c r="S250" s="708"/>
      <c r="T250" s="708"/>
      <c r="U250" s="708"/>
      <c r="V250" s="708"/>
      <c r="W250" s="708"/>
      <c r="X250" s="708"/>
      <c r="Y250" s="708"/>
      <c r="Z250" s="708"/>
      <c r="AA250" s="708"/>
      <c r="AB250" s="708"/>
      <c r="AC250" s="708"/>
      <c r="AD250" s="708"/>
      <c r="AE250" s="708">
        <v>1</v>
      </c>
      <c r="AF250" s="708"/>
      <c r="AG250" s="708"/>
      <c r="AH250" s="708"/>
      <c r="AI250" s="708"/>
      <c r="AJ250" s="708"/>
      <c r="AK250" s="708"/>
      <c r="AL250" s="708"/>
      <c r="AM250" s="708"/>
      <c r="AO250" s="708"/>
      <c r="AP250" s="708"/>
    </row>
    <row r="251" spans="1:42">
      <c r="A251" s="85" t="str">
        <f>IFERROR(VLOOKUP(Table8[[#This Row],[Player No]],Table10[[#All],[No]:[Age Group]],4,0),"")</f>
        <v>U13</v>
      </c>
      <c r="B251" s="87">
        <v>125</v>
      </c>
      <c r="C251" s="398">
        <f t="shared" si="23"/>
        <v>-122</v>
      </c>
      <c r="D251" s="63">
        <f t="shared" si="22"/>
        <v>247</v>
      </c>
      <c r="E251" s="400">
        <v>2563</v>
      </c>
      <c r="F251" s="664" t="str">
        <f>IFERROR(VLOOKUP(Table8[[#This Row],[Player No]],Table10[[No]:[Province]],2,0),"")</f>
        <v>WAGNER Samuel</v>
      </c>
      <c r="G251" s="666" t="str">
        <f>IFERROR(VLOOKUP(Table8[[#This Row],[Player No]],Table10[[No]:[Province]],3,0),"")</f>
        <v>CT</v>
      </c>
      <c r="H251" s="661">
        <v>0.5</v>
      </c>
      <c r="I251" s="789">
        <f>Table8[[#This Row],[Points 2025]]/2+SUM(Table8[[#This Row],[O1  ADMIN 2026]:[P2           WC           CT Open   2026]])</f>
        <v>0.25</v>
      </c>
      <c r="J251" s="63">
        <f t="shared" si="19"/>
        <v>0</v>
      </c>
      <c r="K251" s="708">
        <f t="shared" si="20"/>
        <v>0</v>
      </c>
      <c r="L251" s="708" t="s">
        <v>6083</v>
      </c>
      <c r="M251" s="708" t="s">
        <v>6083</v>
      </c>
      <c r="N251" s="708" t="s">
        <v>6083</v>
      </c>
      <c r="O251" s="708"/>
      <c r="P251" s="708"/>
      <c r="Q251" s="708"/>
      <c r="R251" s="708"/>
      <c r="S251" s="708"/>
      <c r="T251" s="708"/>
      <c r="U251" s="708"/>
      <c r="V251" s="708"/>
      <c r="W251" s="708"/>
      <c r="X251" s="708"/>
      <c r="Y251" s="708"/>
      <c r="Z251" s="708"/>
      <c r="AA251" s="708"/>
      <c r="AB251" s="708"/>
      <c r="AC251" s="708"/>
      <c r="AD251" s="708"/>
      <c r="AE251" s="708"/>
      <c r="AF251" s="708"/>
      <c r="AG251" s="708"/>
      <c r="AH251" s="708"/>
      <c r="AI251" s="708"/>
      <c r="AJ251" s="708"/>
      <c r="AK251" s="708"/>
      <c r="AL251" s="708"/>
      <c r="AM251" s="708"/>
      <c r="AO251" s="708"/>
      <c r="AP251" s="708"/>
    </row>
    <row r="252" spans="1:42">
      <c r="A252" s="85">
        <f>IFERROR(VLOOKUP(Table8[[#This Row],[Player No]],Table10[[#All],[No]:[Age Group]],4,0),"")</f>
        <v>0</v>
      </c>
      <c r="B252" s="87">
        <v>124</v>
      </c>
      <c r="C252" s="398">
        <f t="shared" si="23"/>
        <v>-124</v>
      </c>
      <c r="D252" s="63">
        <f t="shared" si="22"/>
        <v>248</v>
      </c>
      <c r="E252" s="400">
        <v>3367</v>
      </c>
      <c r="F252" s="664" t="str">
        <f>IFERROR(VLOOKUP(Table8[[#This Row],[Player No]],Table10[[No]:[Province]],2,0),"")</f>
        <v>PRETORIUS Nathan</v>
      </c>
      <c r="G252" s="666" t="str">
        <f>IFERROR(VLOOKUP(Table8[[#This Row],[Player No]],Table10[[No]:[Province]],3,0),"")</f>
        <v>CT</v>
      </c>
      <c r="H252" s="661">
        <v>0.5</v>
      </c>
      <c r="I252" s="789">
        <f>Table8[[#This Row],[Points 2025]]/2+SUM(Table8[[#This Row],[O1  ADMIN 2026]:[P2           WC           CT Open   2026]])</f>
        <v>0.25</v>
      </c>
      <c r="J252" s="63">
        <f t="shared" si="19"/>
        <v>0</v>
      </c>
      <c r="K252" s="708">
        <f t="shared" si="20"/>
        <v>0</v>
      </c>
      <c r="L252" s="708" t="s">
        <v>6083</v>
      </c>
      <c r="M252" s="708" t="s">
        <v>6083</v>
      </c>
      <c r="N252" s="708" t="s">
        <v>6083</v>
      </c>
      <c r="O252" s="708"/>
      <c r="P252" s="708"/>
      <c r="Q252" s="708"/>
      <c r="R252" s="708"/>
      <c r="S252" s="708"/>
      <c r="T252" s="708"/>
      <c r="U252" s="708"/>
      <c r="V252" s="708"/>
      <c r="W252" s="708"/>
      <c r="X252" s="708"/>
      <c r="Y252" s="708"/>
      <c r="Z252" s="708"/>
      <c r="AA252" s="708"/>
      <c r="AB252" s="708"/>
      <c r="AC252" s="708"/>
      <c r="AD252" s="708"/>
      <c r="AE252" s="708"/>
      <c r="AF252" s="708"/>
      <c r="AG252" s="708"/>
      <c r="AH252" s="708"/>
      <c r="AI252" s="708"/>
      <c r="AJ252" s="708"/>
      <c r="AK252" s="708"/>
      <c r="AL252" s="708"/>
      <c r="AM252" s="708"/>
      <c r="AO252" s="708"/>
      <c r="AP252" s="708"/>
    </row>
    <row r="253" spans="1:42">
      <c r="A253" s="85">
        <f>IFERROR(VLOOKUP(Table8[[#This Row],[Player No]],Table10[[#All],[No]:[Age Group]],4,0),"")</f>
        <v>0</v>
      </c>
      <c r="B253" s="87">
        <v>126</v>
      </c>
      <c r="C253" s="399">
        <f t="shared" si="23"/>
        <v>-123</v>
      </c>
      <c r="D253" s="63">
        <f t="shared" si="22"/>
        <v>249</v>
      </c>
      <c r="E253" s="401">
        <v>3572</v>
      </c>
      <c r="F253" s="672" t="str">
        <f>IFERROR(VLOOKUP(Table8[[#This Row],[Player No]],Table10[[No]:[Province]],2,0),"")</f>
        <v>PATEL Ilyaas</v>
      </c>
      <c r="G253" s="673" t="str">
        <f>IFERROR(VLOOKUP(Table8[[#This Row],[Player No]],Table10[[No]:[Province]],3,0),"")</f>
        <v>CT</v>
      </c>
      <c r="H253" s="661">
        <v>0.25</v>
      </c>
      <c r="I253" s="661">
        <f>Table8[[#This Row],[Points 2025]]/2+SUM(Table8[[#This Row],[O1  ADMIN 2026]:[P2           WC           CT Open   2026]])</f>
        <v>0.125</v>
      </c>
      <c r="J253" s="63">
        <f t="shared" si="19"/>
        <v>0</v>
      </c>
      <c r="K253" s="708">
        <f t="shared" si="20"/>
        <v>0</v>
      </c>
      <c r="L253" s="708" t="s">
        <v>6083</v>
      </c>
      <c r="M253" s="708" t="s">
        <v>6083</v>
      </c>
      <c r="N253" s="708" t="s">
        <v>6083</v>
      </c>
      <c r="O253" s="708"/>
      <c r="P253" s="708"/>
      <c r="Q253" s="708"/>
      <c r="R253" s="708"/>
      <c r="S253" s="708"/>
      <c r="T253" s="708"/>
      <c r="U253" s="708"/>
      <c r="V253" s="708"/>
      <c r="W253" s="708"/>
      <c r="X253" s="708"/>
      <c r="Y253" s="708"/>
      <c r="Z253" s="708"/>
      <c r="AA253" s="708"/>
      <c r="AB253" s="708"/>
      <c r="AC253" s="708"/>
      <c r="AD253" s="708"/>
      <c r="AE253" s="708"/>
      <c r="AF253" s="708"/>
      <c r="AG253" s="708"/>
      <c r="AH253" s="708"/>
      <c r="AI253" s="708"/>
      <c r="AJ253" s="708"/>
      <c r="AK253" s="708"/>
      <c r="AL253" s="708"/>
      <c r="AM253" s="708"/>
      <c r="AO253" s="708"/>
      <c r="AP253" s="708"/>
    </row>
    <row r="254" spans="1:42">
      <c r="A254" s="85">
        <f>IFERROR(VLOOKUP(Table8[[#This Row],[Player No]],Table10[[#All],[No]:[Age Group]],4,0),"")</f>
        <v>0</v>
      </c>
      <c r="B254" s="87">
        <v>127</v>
      </c>
      <c r="C254" s="659">
        <f t="shared" si="23"/>
        <v>-123</v>
      </c>
      <c r="D254" s="63">
        <f t="shared" si="22"/>
        <v>250</v>
      </c>
      <c r="E254" s="442">
        <v>3783</v>
      </c>
      <c r="F254" s="657" t="str">
        <f>IFERROR(VLOOKUP(Table8[[#This Row],[Player No]],Table10[[No]:[Province]],2,0),"")</f>
        <v>DU PLESSIS Coert</v>
      </c>
      <c r="G254" s="667" t="str">
        <f>IFERROR(VLOOKUP(Table8[[#This Row],[Player No]],Table10[[No]:[Province]],3,0),"")</f>
        <v>GN</v>
      </c>
      <c r="H254" s="661">
        <v>0.25</v>
      </c>
      <c r="I254" s="661">
        <f>Table8[[#This Row],[Points 2025]]/2+SUM(Table8[[#This Row],[O1  ADMIN 2026]:[P2           WC           CT Open   2026]])</f>
        <v>0.125</v>
      </c>
      <c r="J254" s="63">
        <f t="shared" si="19"/>
        <v>0</v>
      </c>
      <c r="K254" s="708">
        <f t="shared" si="20"/>
        <v>0</v>
      </c>
      <c r="L254" s="708" t="s">
        <v>6083</v>
      </c>
      <c r="M254" s="708" t="s">
        <v>6083</v>
      </c>
      <c r="N254" s="708" t="s">
        <v>6083</v>
      </c>
      <c r="O254" s="708"/>
      <c r="P254" s="708"/>
      <c r="Q254" s="708"/>
      <c r="R254" s="708"/>
      <c r="S254" s="708"/>
      <c r="T254" s="708"/>
      <c r="U254" s="708"/>
      <c r="V254" s="708"/>
      <c r="W254" s="708"/>
      <c r="X254" s="708"/>
      <c r="Y254" s="708"/>
      <c r="Z254" s="708"/>
      <c r="AA254" s="708"/>
      <c r="AB254" s="708"/>
      <c r="AC254" s="708"/>
      <c r="AD254" s="708"/>
      <c r="AE254" s="708"/>
      <c r="AF254" s="708"/>
      <c r="AG254" s="708"/>
      <c r="AH254" s="708"/>
      <c r="AI254" s="708"/>
      <c r="AJ254" s="708"/>
      <c r="AK254" s="708"/>
      <c r="AL254" s="708">
        <v>1</v>
      </c>
      <c r="AM254" s="708"/>
      <c r="AO254" s="708"/>
      <c r="AP254" s="708"/>
    </row>
    <row r="255" spans="1:42">
      <c r="A255" s="85">
        <f>IFERROR(VLOOKUP(Table8[[#This Row],[Player No]],Table10[[#All],[No]:[Age Group]],4,0),"")</f>
        <v>0</v>
      </c>
      <c r="B255" s="87">
        <v>129</v>
      </c>
      <c r="C255" s="659">
        <f t="shared" si="23"/>
        <v>-122</v>
      </c>
      <c r="D255" s="63">
        <f t="shared" si="22"/>
        <v>251</v>
      </c>
      <c r="E255" s="442">
        <v>3841</v>
      </c>
      <c r="F255" s="657" t="str">
        <f>IFERROR(VLOOKUP(Table8[[#This Row],[Player No]],Table10[[No]:[Province]],2,0),"")</f>
        <v>BRECHER Rolf</v>
      </c>
      <c r="G255" s="667" t="str">
        <f>IFERROR(VLOOKUP(Table8[[#This Row],[Player No]],Table10[[No]:[Province]],3,0),"")</f>
        <v>GN</v>
      </c>
      <c r="H255" s="661">
        <v>0.25</v>
      </c>
      <c r="I255" s="661">
        <f>Table8[[#This Row],[Points 2025]]/2+SUM(Table8[[#This Row],[O1  ADMIN 2026]:[P2           WC           CT Open   2026]])</f>
        <v>0.125</v>
      </c>
      <c r="J255" s="63">
        <f t="shared" si="19"/>
        <v>0</v>
      </c>
      <c r="K255" s="708">
        <f t="shared" si="20"/>
        <v>0</v>
      </c>
      <c r="L255" s="708" t="s">
        <v>6083</v>
      </c>
      <c r="M255" s="708" t="s">
        <v>6083</v>
      </c>
      <c r="N255" s="708" t="s">
        <v>6083</v>
      </c>
      <c r="O255" s="708"/>
      <c r="P255" s="708"/>
      <c r="Q255" s="708"/>
      <c r="R255" s="708"/>
      <c r="S255" s="708"/>
      <c r="T255" s="708"/>
      <c r="U255" s="708"/>
      <c r="V255" s="708"/>
      <c r="W255" s="708"/>
      <c r="X255" s="708"/>
      <c r="Y255" s="708"/>
      <c r="Z255" s="708"/>
      <c r="AA255" s="708"/>
      <c r="AB255" s="708"/>
      <c r="AC255" s="708"/>
      <c r="AD255" s="708"/>
      <c r="AE255" s="708"/>
      <c r="AF255" s="708"/>
      <c r="AG255" s="708"/>
      <c r="AH255" s="708"/>
      <c r="AI255" s="708"/>
      <c r="AJ255" s="708"/>
      <c r="AK255" s="708"/>
      <c r="AL255" s="708">
        <v>1</v>
      </c>
      <c r="AM255" s="708"/>
      <c r="AO255" s="708"/>
      <c r="AP255" s="708"/>
    </row>
    <row r="256" spans="1:42">
      <c r="A256" s="85">
        <f>IFERROR(VLOOKUP(Table8[[#This Row],[Player No]],Table10[[#All],[No]:[Age Group]],4,0),"")</f>
        <v>0</v>
      </c>
      <c r="B256" s="87">
        <v>128</v>
      </c>
      <c r="C256" s="658">
        <f t="shared" si="23"/>
        <v>-124</v>
      </c>
      <c r="D256" s="63">
        <f t="shared" si="22"/>
        <v>252</v>
      </c>
      <c r="E256" s="636">
        <v>3846</v>
      </c>
      <c r="F256" s="665" t="str">
        <f>IFERROR(VLOOKUP(Table8[[#This Row],[Player No]],Table10[[No]:[Province]],2,0),"")</f>
        <v>HECHTER Nathan</v>
      </c>
      <c r="G256" s="668" t="str">
        <f>IFERROR(VLOOKUP(Table8[[#This Row],[Player No]],Table10[[No]:[Province]],3,0),"")</f>
        <v>JTTA</v>
      </c>
      <c r="H256" s="661">
        <v>0.25</v>
      </c>
      <c r="I256" s="789">
        <f>Table8[[#This Row],[Points 2025]]/2+SUM(Table8[[#This Row],[O1  ADMIN 2026]:[P2           WC           CT Open   2026]])</f>
        <v>0.125</v>
      </c>
      <c r="J256" s="63">
        <f t="shared" si="19"/>
        <v>0</v>
      </c>
      <c r="K256" s="708">
        <f t="shared" si="20"/>
        <v>0</v>
      </c>
      <c r="L256" s="708" t="s">
        <v>6083</v>
      </c>
      <c r="M256" s="708" t="s">
        <v>6083</v>
      </c>
      <c r="N256" s="708" t="s">
        <v>6083</v>
      </c>
      <c r="O256" s="708"/>
      <c r="P256" s="708"/>
      <c r="Q256" s="708"/>
      <c r="R256" s="708"/>
      <c r="S256" s="708"/>
      <c r="T256" s="708"/>
      <c r="U256" s="708"/>
      <c r="V256" s="708"/>
      <c r="W256" s="708"/>
      <c r="X256" s="708"/>
      <c r="Y256" s="708"/>
      <c r="Z256" s="708"/>
      <c r="AA256" s="708"/>
      <c r="AB256" s="708"/>
      <c r="AC256" s="708"/>
      <c r="AD256" s="708"/>
      <c r="AE256" s="708"/>
      <c r="AF256" s="708"/>
      <c r="AG256" s="708"/>
      <c r="AH256" s="708"/>
      <c r="AI256" s="708"/>
      <c r="AJ256" s="708"/>
      <c r="AK256" s="708"/>
      <c r="AL256" s="708">
        <v>1</v>
      </c>
      <c r="AM256" s="708"/>
      <c r="AO256" s="708"/>
      <c r="AP256" s="708"/>
    </row>
    <row r="257" spans="1:42">
      <c r="A257" s="85">
        <f>IFERROR(VLOOKUP(Table8[[#This Row],[Player No]],Table10[[#All],[No]:[Age Group]],4,0),"")</f>
        <v>0</v>
      </c>
      <c r="B257" s="87">
        <v>130</v>
      </c>
      <c r="C257" s="659"/>
      <c r="D257" s="63">
        <f t="shared" si="22"/>
        <v>253</v>
      </c>
      <c r="E257" s="442">
        <v>3847</v>
      </c>
      <c r="F257" s="657" t="str">
        <f>IFERROR(VLOOKUP(Table8[[#This Row],[Player No]],Table10[[No]:[Province]],2,0),"")</f>
        <v>MUYIKWA Given Moses</v>
      </c>
      <c r="G257" s="667" t="str">
        <f>IFERROR(VLOOKUP(Table8[[#This Row],[Player No]],Table10[[No]:[Province]],3,0),"")</f>
        <v>JTTA</v>
      </c>
      <c r="H257" s="661">
        <v>0.25</v>
      </c>
      <c r="I257" s="661">
        <f>Table8[[#This Row],[Points 2025]]/2+SUM(Table8[[#This Row],[O1  ADMIN 2026]:[P2           WC           CT Open   2026]])</f>
        <v>0.125</v>
      </c>
      <c r="J257" s="63">
        <f t="shared" si="19"/>
        <v>0</v>
      </c>
      <c r="K257" s="708">
        <f t="shared" si="20"/>
        <v>0</v>
      </c>
      <c r="L257" s="708" t="s">
        <v>6083</v>
      </c>
      <c r="M257" s="708" t="s">
        <v>6083</v>
      </c>
      <c r="N257" s="708" t="s">
        <v>6083</v>
      </c>
      <c r="O257" s="708"/>
      <c r="P257" s="708"/>
      <c r="Q257" s="708"/>
      <c r="R257" s="708"/>
      <c r="S257" s="708"/>
      <c r="T257" s="708"/>
      <c r="U257" s="708"/>
      <c r="V257" s="708"/>
      <c r="W257" s="708"/>
      <c r="X257" s="708"/>
      <c r="Y257" s="708"/>
      <c r="Z257" s="708"/>
      <c r="AA257" s="708"/>
      <c r="AB257" s="708"/>
      <c r="AC257" s="708"/>
      <c r="AD257" s="708"/>
      <c r="AE257" s="708"/>
      <c r="AF257" s="708"/>
      <c r="AG257" s="708"/>
      <c r="AH257" s="708"/>
      <c r="AI257" s="708"/>
      <c r="AJ257" s="708"/>
      <c r="AK257" s="708"/>
      <c r="AL257" s="708">
        <v>1</v>
      </c>
      <c r="AM257" s="708"/>
      <c r="AO257" s="708"/>
      <c r="AP257" s="708"/>
    </row>
    <row r="258" spans="1:42">
      <c r="A258" s="85">
        <f>IFERROR(VLOOKUP(Table8[[#This Row],[Player No]],Table10[[#All],[No]:[Age Group]],4,0),"")</f>
        <v>0</v>
      </c>
      <c r="B258" s="87">
        <v>132</v>
      </c>
      <c r="C258" s="659">
        <f>+B258-D258</f>
        <v>-122</v>
      </c>
      <c r="D258" s="63">
        <f t="shared" si="22"/>
        <v>254</v>
      </c>
      <c r="E258" s="442">
        <v>3878</v>
      </c>
      <c r="F258" s="657" t="str">
        <f>IFERROR(VLOOKUP(Table8[[#This Row],[Player No]],Table10[[No]:[Province]],2,0),"")</f>
        <v>KANNAI Umesh</v>
      </c>
      <c r="G258" s="667" t="str">
        <f>IFERROR(VLOOKUP(Table8[[#This Row],[Player No]],Table10[[No]:[Province]],3,0),"")</f>
        <v>UMG</v>
      </c>
      <c r="H258" s="124">
        <v>0.25</v>
      </c>
      <c r="I258" s="661">
        <f>Table8[[#This Row],[Points 2025]]/2+SUM(Table8[[#This Row],[O1  ADMIN 2026]:[P2           WC           CT Open   2026]])</f>
        <v>0.125</v>
      </c>
      <c r="J258" s="63">
        <f t="shared" si="19"/>
        <v>0</v>
      </c>
      <c r="K258" s="708">
        <f t="shared" si="20"/>
        <v>0</v>
      </c>
      <c r="L258" s="708" t="s">
        <v>6083</v>
      </c>
      <c r="M258" s="708" t="s">
        <v>6083</v>
      </c>
      <c r="N258" s="708" t="s">
        <v>6083</v>
      </c>
      <c r="O258" s="708"/>
      <c r="P258" s="708"/>
      <c r="Q258" s="708"/>
      <c r="R258" s="708"/>
      <c r="S258" s="708"/>
      <c r="T258" s="708"/>
      <c r="U258" s="708"/>
      <c r="V258" s="708"/>
      <c r="W258" s="708"/>
      <c r="X258" s="708"/>
      <c r="Y258" s="708"/>
      <c r="Z258" s="708"/>
      <c r="AA258" s="708"/>
      <c r="AB258" s="708"/>
      <c r="AC258" s="708"/>
      <c r="AD258" s="708"/>
      <c r="AE258" s="708">
        <v>1</v>
      </c>
      <c r="AF258" s="708"/>
      <c r="AG258" s="708"/>
      <c r="AH258" s="708"/>
      <c r="AI258" s="708"/>
      <c r="AJ258" s="708"/>
      <c r="AK258" s="708"/>
      <c r="AL258" s="708"/>
      <c r="AM258" s="708"/>
      <c r="AO258" s="708"/>
      <c r="AP258" s="708"/>
    </row>
    <row r="259" spans="1:42">
      <c r="A259" s="85">
        <f>IFERROR(VLOOKUP(Table8[[#This Row],[Player No]],Table10[[#All],[No]:[Age Group]],4,0),"")</f>
        <v>0</v>
      </c>
      <c r="B259" s="87">
        <v>167</v>
      </c>
      <c r="C259" s="659">
        <f>+B259-D259</f>
        <v>-88</v>
      </c>
      <c r="D259" s="63">
        <f t="shared" si="22"/>
        <v>255</v>
      </c>
      <c r="E259" s="442">
        <v>3925</v>
      </c>
      <c r="F259" s="657" t="str">
        <f>IFERROR(VLOOKUP(Table8[[#This Row],[Player No]],Table10[[No]:[Province]],2,0),"")</f>
        <v>VAN DER MEULEN Max</v>
      </c>
      <c r="G259" s="667" t="str">
        <f>IFERROR(VLOOKUP(Table8[[#This Row],[Player No]],Table10[[No]:[Province]],3,0),"")</f>
        <v>JTTA</v>
      </c>
      <c r="H259" s="124">
        <v>0.25</v>
      </c>
      <c r="I259" s="661">
        <f>Table8[[#This Row],[Points 2025]]/2+SUM(Table8[[#This Row],[O1  ADMIN 2026]:[P2           WC           CT Open   2026]])</f>
        <v>0.125</v>
      </c>
      <c r="J259" s="63">
        <f t="shared" si="19"/>
        <v>0</v>
      </c>
      <c r="K259" s="708">
        <f t="shared" si="20"/>
        <v>0</v>
      </c>
      <c r="L259" s="708" t="s">
        <v>6083</v>
      </c>
      <c r="M259" s="708" t="s">
        <v>6083</v>
      </c>
      <c r="N259" s="708" t="s">
        <v>6083</v>
      </c>
      <c r="O259" s="708"/>
      <c r="P259" s="708"/>
      <c r="Q259" s="708"/>
      <c r="R259" s="708"/>
      <c r="S259" s="708"/>
      <c r="T259" s="708"/>
      <c r="U259" s="708"/>
      <c r="V259" s="708"/>
      <c r="W259" s="708"/>
      <c r="X259" s="708"/>
      <c r="Y259" s="708"/>
      <c r="Z259" s="708"/>
      <c r="AA259" s="708"/>
      <c r="AB259" s="708"/>
      <c r="AC259" s="708"/>
      <c r="AD259" s="708"/>
      <c r="AE259" s="708"/>
      <c r="AF259" s="708"/>
      <c r="AG259" s="708"/>
      <c r="AH259" s="708"/>
      <c r="AI259" s="708">
        <v>1</v>
      </c>
      <c r="AJ259" s="708"/>
      <c r="AK259" s="708"/>
      <c r="AL259" s="708"/>
      <c r="AM259" s="708"/>
      <c r="AO259" s="708"/>
      <c r="AP259" s="708"/>
    </row>
    <row r="260" spans="1:42">
      <c r="A260" s="85">
        <f>IFERROR(VLOOKUP(Table8[[#This Row],[Player No]],Table10[[#All],[No]:[Age Group]],4,0),"")</f>
        <v>0</v>
      </c>
      <c r="B260" s="87"/>
      <c r="C260" s="659"/>
      <c r="D260" s="63">
        <f t="shared" si="22"/>
        <v>256</v>
      </c>
      <c r="E260" s="442">
        <v>4094</v>
      </c>
      <c r="F260" s="657" t="str">
        <f>IFERROR(VLOOKUP(Table8[[#This Row],[Player No]],Table10[[No]:[Province]],2,0),"")</f>
        <v>Shivank Seethiraju</v>
      </c>
      <c r="G260" s="667" t="str">
        <f>IFERROR(VLOOKUP(Table8[[#This Row],[Player No]],Table10[[No]:[Province]],3,0),"")</f>
        <v>JTTA</v>
      </c>
      <c r="H260" s="124">
        <v>0.25</v>
      </c>
      <c r="I260" s="661">
        <f>Table8[[#This Row],[Points 2025]]/2+SUM(Table8[[#This Row],[O1  ADMIN 2026]:[P2           WC           CT Open   2026]])</f>
        <v>0.125</v>
      </c>
      <c r="J260" s="63">
        <f t="shared" si="19"/>
        <v>0</v>
      </c>
      <c r="K260" s="708">
        <f t="shared" si="20"/>
        <v>0</v>
      </c>
      <c r="L260" s="708" t="s">
        <v>6083</v>
      </c>
      <c r="M260" s="708" t="s">
        <v>6083</v>
      </c>
      <c r="N260" s="708" t="s">
        <v>6083</v>
      </c>
      <c r="O260" s="708"/>
      <c r="P260" s="708"/>
      <c r="Q260" s="708"/>
      <c r="R260" s="708"/>
      <c r="S260" s="708"/>
      <c r="T260" s="708"/>
      <c r="U260" s="708"/>
      <c r="V260" s="708"/>
      <c r="W260" s="708"/>
      <c r="X260" s="708"/>
      <c r="Y260" s="708"/>
      <c r="Z260" s="708"/>
      <c r="AA260" s="708"/>
      <c r="AB260" s="708"/>
      <c r="AC260" s="708"/>
      <c r="AD260" s="708"/>
      <c r="AE260" s="708"/>
      <c r="AF260" s="708"/>
      <c r="AG260" s="708"/>
      <c r="AH260" s="708"/>
      <c r="AI260" s="708"/>
      <c r="AJ260" s="708">
        <v>1</v>
      </c>
      <c r="AK260" s="708"/>
      <c r="AL260" s="708"/>
      <c r="AM260" s="708"/>
      <c r="AO260" s="708"/>
      <c r="AP260" s="708"/>
    </row>
    <row r="261" spans="1:42">
      <c r="A261" s="87"/>
      <c r="B261" s="87"/>
      <c r="C261" s="659">
        <f t="shared" ref="C261:C281" si="24">+B261-D261</f>
        <v>-257</v>
      </c>
      <c r="D261" s="63">
        <f t="shared" si="22"/>
        <v>257</v>
      </c>
      <c r="E261" s="442">
        <v>4541</v>
      </c>
      <c r="F261" s="657" t="str">
        <f>IFERROR(VLOOKUP(Table8[[#This Row],[Player No]],Table10[[No]:[Province]],2,0),"")</f>
        <v xml:space="preserve">ADAMS Carter </v>
      </c>
      <c r="G261" s="667" t="str">
        <f>IFERROR(VLOOKUP(Table8[[#This Row],[Player No]],Table10[[No]:[Province]],3,0),"")</f>
        <v>CT</v>
      </c>
      <c r="H261" s="124">
        <v>0.25</v>
      </c>
      <c r="I261" s="661">
        <f>Table8[[#This Row],[Points 2025]]/2+SUM(Table8[[#This Row],[O1  ADMIN 2026]:[P2           WC           CT Open   2026]])</f>
        <v>0.125</v>
      </c>
      <c r="J261" s="63">
        <f t="shared" ref="J261:J281" si="25">COUNTIF(L261:O261,"&gt;0")</f>
        <v>0</v>
      </c>
      <c r="K261" s="708">
        <f t="shared" ref="K261:K281" si="26">COUNTIF(M261:AM261,"&lt;0")</f>
        <v>0</v>
      </c>
      <c r="L261" s="708" t="s">
        <v>6083</v>
      </c>
      <c r="M261" s="708" t="s">
        <v>6083</v>
      </c>
      <c r="N261" s="708" t="s">
        <v>6083</v>
      </c>
      <c r="O261" s="708"/>
      <c r="P261" s="708"/>
      <c r="Q261" s="708"/>
      <c r="R261" s="708"/>
      <c r="S261" s="708"/>
      <c r="T261" s="708"/>
      <c r="U261" s="708"/>
      <c r="V261" s="708"/>
      <c r="W261" s="708">
        <v>0.5</v>
      </c>
      <c r="X261" s="708"/>
      <c r="Y261" s="708"/>
      <c r="Z261" s="708"/>
      <c r="AA261" s="708"/>
      <c r="AB261" s="708"/>
      <c r="AC261" s="708"/>
      <c r="AD261" s="708"/>
      <c r="AE261" s="708"/>
      <c r="AF261" s="708"/>
      <c r="AG261" s="708"/>
      <c r="AH261" s="708"/>
      <c r="AI261" s="708"/>
      <c r="AJ261" s="708"/>
      <c r="AK261" s="708"/>
      <c r="AL261" s="708"/>
      <c r="AM261" s="708"/>
      <c r="AO261" s="708"/>
      <c r="AP261" s="708"/>
    </row>
    <row r="262" spans="1:42">
      <c r="A262" s="87"/>
      <c r="B262" s="87"/>
      <c r="C262" s="659">
        <f t="shared" si="24"/>
        <v>-258</v>
      </c>
      <c r="D262" s="63">
        <f t="shared" si="22"/>
        <v>258</v>
      </c>
      <c r="E262" s="442">
        <v>4564</v>
      </c>
      <c r="F262" s="657" t="str">
        <f>IFERROR(VLOOKUP(Table8[[#This Row],[Player No]],Table10[[No]:[Province]],2,0),"")</f>
        <v xml:space="preserve">LEO Gabriel </v>
      </c>
      <c r="G262" s="667" t="str">
        <f>IFERROR(VLOOKUP(Table8[[#This Row],[Player No]],Table10[[No]:[Province]],3,0),"")</f>
        <v>CT</v>
      </c>
      <c r="H262" s="661">
        <v>0.25</v>
      </c>
      <c r="I262" s="661">
        <f>Table8[[#This Row],[Points 2025]]/2+SUM(Table8[[#This Row],[O1  ADMIN 2026]:[P2           WC           CT Open   2026]])</f>
        <v>0.125</v>
      </c>
      <c r="J262" s="63">
        <f t="shared" si="25"/>
        <v>0</v>
      </c>
      <c r="K262" s="708">
        <f t="shared" si="26"/>
        <v>0</v>
      </c>
      <c r="L262" s="708" t="s">
        <v>6083</v>
      </c>
      <c r="M262" s="708" t="s">
        <v>6083</v>
      </c>
      <c r="N262" s="708" t="s">
        <v>6083</v>
      </c>
      <c r="O262" s="708"/>
      <c r="P262" s="708"/>
      <c r="Q262" s="708"/>
      <c r="R262" s="708"/>
      <c r="S262" s="708"/>
      <c r="T262" s="708"/>
      <c r="U262" s="708"/>
      <c r="V262" s="708"/>
      <c r="W262" s="708">
        <v>0.5</v>
      </c>
      <c r="X262" s="708"/>
      <c r="Y262" s="708"/>
      <c r="Z262" s="708"/>
      <c r="AA262" s="708"/>
      <c r="AB262" s="708"/>
      <c r="AC262" s="708"/>
      <c r="AD262" s="708"/>
      <c r="AE262" s="708"/>
      <c r="AF262" s="708"/>
      <c r="AG262" s="708"/>
      <c r="AH262" s="708"/>
      <c r="AI262" s="708"/>
      <c r="AJ262" s="708"/>
      <c r="AK262" s="708"/>
      <c r="AL262" s="708"/>
      <c r="AM262" s="708"/>
      <c r="AO262" s="708"/>
      <c r="AP262" s="708"/>
    </row>
    <row r="263" spans="1:42">
      <c r="A263" s="87"/>
      <c r="B263" s="87"/>
      <c r="C263" s="659">
        <f t="shared" si="24"/>
        <v>-259</v>
      </c>
      <c r="D263" s="63">
        <f t="shared" ref="D263:D280" si="27">D262+1</f>
        <v>259</v>
      </c>
      <c r="E263" s="442">
        <v>4565</v>
      </c>
      <c r="F263" s="657" t="str">
        <f>IFERROR(VLOOKUP(Table8[[#This Row],[Player No]],Table10[[No]:[Province]],2,0),"")</f>
        <v xml:space="preserve">STOMPIES Charles </v>
      </c>
      <c r="G263" s="667" t="str">
        <f>IFERROR(VLOOKUP(Table8[[#This Row],[Player No]],Table10[[No]:[Province]],3,0),"")</f>
        <v>CT</v>
      </c>
      <c r="H263" s="124">
        <v>0.25</v>
      </c>
      <c r="I263" s="661">
        <f>Table8[[#This Row],[Points 2025]]/2+SUM(Table8[[#This Row],[O1  ADMIN 2026]:[P2           WC           CT Open   2026]])</f>
        <v>0.125</v>
      </c>
      <c r="J263" s="63">
        <f t="shared" si="25"/>
        <v>0</v>
      </c>
      <c r="K263" s="708">
        <f t="shared" si="26"/>
        <v>0</v>
      </c>
      <c r="L263" s="708" t="s">
        <v>6083</v>
      </c>
      <c r="M263" s="708" t="s">
        <v>6083</v>
      </c>
      <c r="N263" s="708" t="s">
        <v>6083</v>
      </c>
      <c r="O263" s="708"/>
      <c r="P263" s="708"/>
      <c r="Q263" s="708"/>
      <c r="R263" s="708"/>
      <c r="S263" s="708"/>
      <c r="T263" s="708"/>
      <c r="U263" s="708"/>
      <c r="V263" s="708"/>
      <c r="W263" s="708">
        <v>0.5</v>
      </c>
      <c r="X263" s="708"/>
      <c r="Y263" s="708"/>
      <c r="Z263" s="708"/>
      <c r="AA263" s="708"/>
      <c r="AB263" s="708"/>
      <c r="AC263" s="708"/>
      <c r="AD263" s="708"/>
      <c r="AE263" s="708"/>
      <c r="AF263" s="708"/>
      <c r="AG263" s="708"/>
      <c r="AH263" s="708"/>
      <c r="AI263" s="708"/>
      <c r="AJ263" s="708"/>
      <c r="AK263" s="708"/>
      <c r="AL263" s="708"/>
      <c r="AM263" s="708"/>
      <c r="AO263" s="708"/>
      <c r="AP263" s="708"/>
    </row>
    <row r="264" spans="1:42">
      <c r="A264" s="87"/>
      <c r="B264" s="87"/>
      <c r="C264" s="658">
        <f t="shared" si="24"/>
        <v>-260</v>
      </c>
      <c r="D264" s="63">
        <f t="shared" si="27"/>
        <v>260</v>
      </c>
      <c r="E264" s="636">
        <v>4455</v>
      </c>
      <c r="F264" s="665" t="str">
        <f>IFERROR(VLOOKUP(Table8[[#This Row],[Player No]],Table10[[No]:[Province]],2,0),"")</f>
        <v xml:space="preserve">ZAROOZNY Remy </v>
      </c>
      <c r="G264" s="668" t="str">
        <f>IFERROR(VLOOKUP(Table8[[#This Row],[Player No]],Table10[[No]:[Province]],3,0),"")</f>
        <v>CT</v>
      </c>
      <c r="H264" s="124">
        <v>0.25</v>
      </c>
      <c r="I264" s="789">
        <f>Table8[[#This Row],[Points 2025]]/2+SUM(Table8[[#This Row],[O1  ADMIN 2026]:[P2           WC           CT Open   2026]])</f>
        <v>0.125</v>
      </c>
      <c r="J264" s="63">
        <f t="shared" si="25"/>
        <v>0</v>
      </c>
      <c r="K264" s="708">
        <f t="shared" si="26"/>
        <v>0</v>
      </c>
      <c r="L264" s="708" t="s">
        <v>6083</v>
      </c>
      <c r="M264" s="708" t="s">
        <v>6083</v>
      </c>
      <c r="N264" s="708" t="s">
        <v>6083</v>
      </c>
      <c r="O264" s="708"/>
      <c r="P264" s="708"/>
      <c r="Q264" s="708"/>
      <c r="R264" s="708"/>
      <c r="S264" s="708"/>
      <c r="T264" s="708"/>
      <c r="U264" s="708"/>
      <c r="V264" s="708"/>
      <c r="W264" s="708">
        <v>0.5</v>
      </c>
      <c r="X264" s="708"/>
      <c r="Y264" s="708">
        <v>0</v>
      </c>
      <c r="Z264" s="708"/>
      <c r="AA264" s="708"/>
      <c r="AB264" s="708"/>
      <c r="AC264" s="708"/>
      <c r="AD264" s="708"/>
      <c r="AE264" s="708"/>
      <c r="AF264" s="708"/>
      <c r="AG264" s="708"/>
      <c r="AH264" s="708"/>
      <c r="AI264" s="708"/>
      <c r="AJ264" s="708"/>
      <c r="AK264" s="708"/>
      <c r="AL264" s="708"/>
      <c r="AM264" s="708"/>
      <c r="AO264" s="708"/>
      <c r="AP264" s="708"/>
    </row>
    <row r="265" spans="1:42">
      <c r="A265" s="85">
        <f>IFERROR(VLOOKUP(Table8[[#This Row],[Player No]],Table10[[#All],[No]:[Age Group]],4,0),"")</f>
        <v>0</v>
      </c>
      <c r="B265" s="87">
        <v>137</v>
      </c>
      <c r="C265" s="658">
        <f t="shared" si="24"/>
        <v>-124</v>
      </c>
      <c r="D265" s="63">
        <f t="shared" si="27"/>
        <v>261</v>
      </c>
      <c r="E265" s="636">
        <v>3411</v>
      </c>
      <c r="F265" s="665" t="str">
        <f>IFERROR(VLOOKUP(Table8[[#This Row],[Player No]],Table10[[No]:[Province]],2,0),"")</f>
        <v>KOETSER Zac</v>
      </c>
      <c r="G265" s="668" t="str">
        <f>IFERROR(VLOOKUP(Table8[[#This Row],[Player No]],Table10[[No]:[Province]],3,0),"")</f>
        <v>CT</v>
      </c>
      <c r="H265" s="124">
        <v>0.25</v>
      </c>
      <c r="I265" s="789">
        <f>Table8[[#This Row],[Points 2025]]/2+SUM(Table8[[#This Row],[O1  ADMIN 2026]:[P2           WC           CT Open   2026]])</f>
        <v>0.125</v>
      </c>
      <c r="J265" s="63">
        <f t="shared" si="25"/>
        <v>0</v>
      </c>
      <c r="K265" s="708">
        <f t="shared" si="26"/>
        <v>0</v>
      </c>
      <c r="L265" s="708" t="s">
        <v>6083</v>
      </c>
      <c r="M265" s="708" t="s">
        <v>6083</v>
      </c>
      <c r="N265" s="708" t="s">
        <v>6083</v>
      </c>
      <c r="O265" s="708"/>
      <c r="P265" s="708"/>
      <c r="Q265" s="708"/>
      <c r="R265" s="708"/>
      <c r="S265" s="708"/>
      <c r="T265" s="708"/>
      <c r="U265" s="708"/>
      <c r="V265" s="708"/>
      <c r="W265" s="708"/>
      <c r="X265" s="708"/>
      <c r="Y265" s="708"/>
      <c r="Z265" s="708"/>
      <c r="AA265" s="708"/>
      <c r="AB265" s="708"/>
      <c r="AC265" s="708"/>
      <c r="AD265" s="708"/>
      <c r="AE265" s="708"/>
      <c r="AF265" s="708"/>
      <c r="AG265" s="708"/>
      <c r="AH265" s="708"/>
      <c r="AI265" s="708"/>
      <c r="AJ265" s="708"/>
      <c r="AK265" s="708"/>
      <c r="AL265" s="708"/>
      <c r="AM265" s="708"/>
      <c r="AO265" s="708"/>
      <c r="AP265" s="708"/>
    </row>
    <row r="266" spans="1:42">
      <c r="A266" s="85">
        <f>IFERROR(VLOOKUP(Table8[[#This Row],[Player No]],Table10[[#All],[No]:[Age Group]],4,0),"")</f>
        <v>0</v>
      </c>
      <c r="B266" s="87">
        <v>139</v>
      </c>
      <c r="C266" s="658">
        <f t="shared" si="24"/>
        <v>-123</v>
      </c>
      <c r="D266" s="63">
        <f t="shared" si="27"/>
        <v>262</v>
      </c>
      <c r="E266" s="636">
        <v>3412</v>
      </c>
      <c r="F266" s="665" t="str">
        <f>IFERROR(VLOOKUP(Table8[[#This Row],[Player No]],Table10[[No]:[Province]],2,0),"")</f>
        <v>MILLER Eshaam</v>
      </c>
      <c r="G266" s="668" t="str">
        <f>IFERROR(VLOOKUP(Table8[[#This Row],[Player No]],Table10[[No]:[Province]],3,0),"")</f>
        <v>CT</v>
      </c>
      <c r="H266" s="124">
        <v>0.125</v>
      </c>
      <c r="I266" s="789">
        <f>Table8[[#This Row],[Points 2025]]/2+SUM(Table8[[#This Row],[O1  ADMIN 2026]:[P2           WC           CT Open   2026]])</f>
        <v>6.25E-2</v>
      </c>
      <c r="J266" s="63">
        <f t="shared" si="25"/>
        <v>0</v>
      </c>
      <c r="K266" s="708">
        <f t="shared" si="26"/>
        <v>0</v>
      </c>
      <c r="L266" s="708" t="s">
        <v>6083</v>
      </c>
      <c r="M266" s="708" t="s">
        <v>6083</v>
      </c>
      <c r="N266" s="708" t="s">
        <v>6083</v>
      </c>
      <c r="O266" s="708"/>
      <c r="P266" s="708"/>
      <c r="Q266" s="708"/>
      <c r="R266" s="708"/>
      <c r="S266" s="708"/>
      <c r="T266" s="708"/>
      <c r="U266" s="708"/>
      <c r="V266" s="708"/>
      <c r="W266" s="708"/>
      <c r="X266" s="708"/>
      <c r="Y266" s="708"/>
      <c r="Z266" s="708"/>
      <c r="AA266" s="708"/>
      <c r="AB266" s="708"/>
      <c r="AC266" s="708"/>
      <c r="AD266" s="708"/>
      <c r="AE266" s="708"/>
      <c r="AF266" s="708"/>
      <c r="AG266" s="708"/>
      <c r="AH266" s="708"/>
      <c r="AI266" s="708"/>
      <c r="AJ266" s="708"/>
      <c r="AK266" s="708"/>
      <c r="AL266" s="708"/>
      <c r="AM266" s="708"/>
      <c r="AO266" s="708"/>
      <c r="AP266" s="708"/>
    </row>
    <row r="267" spans="1:42">
      <c r="A267" s="85">
        <f>IFERROR(VLOOKUP(Table8[[#This Row],[Player No]],Table10[[#All],[No]:[Age Group]],4,0),"")</f>
        <v>0</v>
      </c>
      <c r="B267" s="87">
        <v>140</v>
      </c>
      <c r="C267" s="658">
        <f t="shared" si="24"/>
        <v>-123</v>
      </c>
      <c r="D267" s="63">
        <f t="shared" si="27"/>
        <v>263</v>
      </c>
      <c r="E267" s="636">
        <v>3413</v>
      </c>
      <c r="F267" s="665" t="str">
        <f>IFERROR(VLOOKUP(Table8[[#This Row],[Player No]],Table10[[No]:[Province]],2,0),"")</f>
        <v>HARTNICK Jordan</v>
      </c>
      <c r="G267" s="668" t="str">
        <f>IFERROR(VLOOKUP(Table8[[#This Row],[Player No]],Table10[[No]:[Province]],3,0),"")</f>
        <v>CT</v>
      </c>
      <c r="H267" s="124">
        <v>0</v>
      </c>
      <c r="I267" s="789">
        <f>Table8[[#This Row],[Points 2025]]/2+SUM(Table8[[#This Row],[O1  ADMIN 2026]:[P2           WC           CT Open   2026]])</f>
        <v>0</v>
      </c>
      <c r="J267" s="63">
        <f t="shared" si="25"/>
        <v>0</v>
      </c>
      <c r="K267" s="708">
        <f t="shared" si="26"/>
        <v>0</v>
      </c>
      <c r="L267" s="708" t="s">
        <v>6083</v>
      </c>
      <c r="M267" s="708" t="s">
        <v>6083</v>
      </c>
      <c r="N267" s="708" t="s">
        <v>6083</v>
      </c>
      <c r="O267" s="708"/>
      <c r="P267" s="708"/>
      <c r="Q267" s="708"/>
      <c r="R267" s="708"/>
      <c r="S267" s="708"/>
      <c r="T267" s="708"/>
      <c r="U267" s="708"/>
      <c r="V267" s="708"/>
      <c r="W267" s="708"/>
      <c r="X267" s="708"/>
      <c r="Y267" s="708"/>
      <c r="Z267" s="708"/>
      <c r="AA267" s="708"/>
      <c r="AB267" s="708"/>
      <c r="AC267" s="708"/>
      <c r="AD267" s="708"/>
      <c r="AE267" s="708"/>
      <c r="AF267" s="708"/>
      <c r="AG267" s="708"/>
      <c r="AH267" s="708"/>
      <c r="AI267" s="708"/>
      <c r="AJ267" s="708"/>
      <c r="AK267" s="708"/>
      <c r="AL267" s="708"/>
      <c r="AM267" s="708"/>
      <c r="AO267" s="708"/>
      <c r="AP267" s="708"/>
    </row>
    <row r="268" spans="1:42">
      <c r="A268" s="85">
        <f>IFERROR(VLOOKUP(Table8[[#This Row],[Player No]],Table10[[#All],[No]:[Age Group]],4,0),"")</f>
        <v>0</v>
      </c>
      <c r="B268" s="87">
        <v>141</v>
      </c>
      <c r="C268" s="659">
        <f t="shared" si="24"/>
        <v>-123</v>
      </c>
      <c r="D268" s="63">
        <f t="shared" si="27"/>
        <v>264</v>
      </c>
      <c r="E268" s="442">
        <v>3474</v>
      </c>
      <c r="F268" s="657" t="str">
        <f>IFERROR(VLOOKUP(Table8[[#This Row],[Player No]],Table10[[No]:[Province]],2,0),"")</f>
        <v>PANSEGROW Conroy</v>
      </c>
      <c r="G268" s="667">
        <f>IFERROR(VLOOKUP(Table8[[#This Row],[Player No]],Table10[[No]:[Province]],3,0),"")</f>
        <v>0</v>
      </c>
      <c r="H268" s="124">
        <v>0</v>
      </c>
      <c r="I268" s="661">
        <f>Table8[[#This Row],[Points 2025]]/2+SUM(Table8[[#This Row],[O1  ADMIN 2026]:[P2           WC           CT Open   2026]])</f>
        <v>0</v>
      </c>
      <c r="J268" s="63">
        <f t="shared" si="25"/>
        <v>0</v>
      </c>
      <c r="K268" s="708">
        <f t="shared" si="26"/>
        <v>0</v>
      </c>
      <c r="L268" s="708" t="s">
        <v>6083</v>
      </c>
      <c r="M268" s="708" t="s">
        <v>6083</v>
      </c>
      <c r="N268" s="708" t="s">
        <v>6083</v>
      </c>
      <c r="O268" s="708"/>
      <c r="P268" s="708"/>
      <c r="Q268" s="708"/>
      <c r="R268" s="708"/>
      <c r="S268" s="708"/>
      <c r="T268" s="708"/>
      <c r="U268" s="708"/>
      <c r="V268" s="708"/>
      <c r="W268" s="708"/>
      <c r="X268" s="708"/>
      <c r="Y268" s="708"/>
      <c r="Z268" s="708"/>
      <c r="AA268" s="708"/>
      <c r="AB268" s="708"/>
      <c r="AC268" s="708"/>
      <c r="AD268" s="708"/>
      <c r="AE268" s="708"/>
      <c r="AF268" s="708"/>
      <c r="AG268" s="708"/>
      <c r="AH268" s="708"/>
      <c r="AI268" s="708"/>
      <c r="AJ268" s="708"/>
      <c r="AK268" s="708"/>
      <c r="AL268" s="708"/>
      <c r="AM268" s="708"/>
      <c r="AO268" s="708"/>
      <c r="AP268" s="708"/>
    </row>
    <row r="269" spans="1:42">
      <c r="A269" s="85">
        <f>IFERROR(VLOOKUP(Table8[[#This Row],[Player No]],Table10[[#All],[No]:[Age Group]],4,0),"")</f>
        <v>0</v>
      </c>
      <c r="B269" s="87">
        <v>142</v>
      </c>
      <c r="C269" s="658">
        <f t="shared" si="24"/>
        <v>-123</v>
      </c>
      <c r="D269" s="63">
        <f t="shared" si="27"/>
        <v>265</v>
      </c>
      <c r="E269" s="636">
        <v>3515</v>
      </c>
      <c r="F269" s="665" t="str">
        <f>IFERROR(VLOOKUP(Table8[[#This Row],[Player No]],Table10[[No]:[Province]],2,0),"")</f>
        <v>VANDAYAR Varique</v>
      </c>
      <c r="G269" s="668" t="str">
        <f>IFERROR(VLOOKUP(Table8[[#This Row],[Player No]],Table10[[No]:[Province]],3,0),"")</f>
        <v>UMG</v>
      </c>
      <c r="H269" s="651">
        <v>0</v>
      </c>
      <c r="I269" s="789">
        <f>Table8[[#This Row],[Points 2025]]/2+SUM(Table8[[#This Row],[O1  ADMIN 2026]:[P2           WC           CT Open   2026]])</f>
        <v>0</v>
      </c>
      <c r="J269" s="63">
        <f t="shared" si="25"/>
        <v>0</v>
      </c>
      <c r="K269" s="708">
        <f t="shared" si="26"/>
        <v>0</v>
      </c>
      <c r="L269" s="708" t="s">
        <v>6083</v>
      </c>
      <c r="M269" s="708" t="s">
        <v>6083</v>
      </c>
      <c r="N269" s="708" t="s">
        <v>6083</v>
      </c>
      <c r="O269" s="708"/>
      <c r="P269" s="708"/>
      <c r="Q269" s="708"/>
      <c r="R269" s="708"/>
      <c r="S269" s="708"/>
      <c r="T269" s="708"/>
      <c r="U269" s="708"/>
      <c r="V269" s="708"/>
      <c r="W269" s="708"/>
      <c r="X269" s="708"/>
      <c r="Y269" s="708"/>
      <c r="Z269" s="708"/>
      <c r="AA269" s="708"/>
      <c r="AB269" s="708"/>
      <c r="AC269" s="708"/>
      <c r="AD269" s="708"/>
      <c r="AE269" s="708"/>
      <c r="AF269" s="708"/>
      <c r="AG269" s="708"/>
      <c r="AH269" s="708"/>
      <c r="AI269" s="708"/>
      <c r="AJ269" s="708"/>
      <c r="AK269" s="708"/>
      <c r="AL269" s="708"/>
      <c r="AM269" s="708"/>
      <c r="AO269" s="708"/>
      <c r="AP269" s="708"/>
    </row>
    <row r="270" spans="1:42">
      <c r="A270" s="85">
        <f>IFERROR(VLOOKUP(Table8[[#This Row],[Player No]],Table10[[#All],[No]:[Age Group]],4,0),"")</f>
        <v>0</v>
      </c>
      <c r="B270" s="87">
        <v>143</v>
      </c>
      <c r="C270" s="658">
        <f t="shared" si="24"/>
        <v>-123</v>
      </c>
      <c r="D270" s="63">
        <f t="shared" si="27"/>
        <v>266</v>
      </c>
      <c r="E270" s="636">
        <v>3517</v>
      </c>
      <c r="F270" s="665" t="str">
        <f>IFERROR(VLOOKUP(Table8[[#This Row],[Player No]],Table10[[No]:[Province]],2,0),"")</f>
        <v>HARRYBARAN Myuir</v>
      </c>
      <c r="G270" s="668" t="str">
        <f>IFERROR(VLOOKUP(Table8[[#This Row],[Player No]],Table10[[No]:[Province]],3,0),"")</f>
        <v>UMG</v>
      </c>
      <c r="H270" s="651">
        <v>0</v>
      </c>
      <c r="I270" s="789">
        <f>Table8[[#This Row],[Points 2025]]/2+SUM(Table8[[#This Row],[O1  ADMIN 2026]:[P2           WC           CT Open   2026]])</f>
        <v>0</v>
      </c>
      <c r="J270" s="63">
        <f t="shared" si="25"/>
        <v>0</v>
      </c>
      <c r="K270" s="708">
        <f t="shared" si="26"/>
        <v>0</v>
      </c>
      <c r="L270" s="708" t="s">
        <v>6083</v>
      </c>
      <c r="M270" s="708" t="s">
        <v>6083</v>
      </c>
      <c r="N270" s="708" t="s">
        <v>6083</v>
      </c>
      <c r="O270" s="708"/>
      <c r="P270" s="708"/>
      <c r="Q270" s="708"/>
      <c r="R270" s="708"/>
      <c r="S270" s="708"/>
      <c r="T270" s="708"/>
      <c r="U270" s="708"/>
      <c r="V270" s="708"/>
      <c r="W270" s="708"/>
      <c r="X270" s="708"/>
      <c r="Y270" s="708"/>
      <c r="Z270" s="708"/>
      <c r="AA270" s="708"/>
      <c r="AB270" s="708"/>
      <c r="AC270" s="708"/>
      <c r="AD270" s="708"/>
      <c r="AE270" s="708"/>
      <c r="AF270" s="708"/>
      <c r="AG270" s="708"/>
      <c r="AH270" s="708"/>
      <c r="AI270" s="708"/>
      <c r="AJ270" s="708"/>
      <c r="AK270" s="708"/>
      <c r="AL270" s="708"/>
      <c r="AM270" s="708"/>
      <c r="AO270" s="708"/>
      <c r="AP270" s="708"/>
    </row>
    <row r="271" spans="1:42">
      <c r="A271" s="85">
        <f>IFERROR(VLOOKUP(Table8[[#This Row],[Player No]],Table10[[#All],[No]:[Age Group]],4,0),"")</f>
        <v>0</v>
      </c>
      <c r="B271" s="87">
        <v>144</v>
      </c>
      <c r="C271" s="658">
        <f t="shared" si="24"/>
        <v>-123</v>
      </c>
      <c r="D271" s="63">
        <f t="shared" si="27"/>
        <v>267</v>
      </c>
      <c r="E271" s="636">
        <v>3559</v>
      </c>
      <c r="F271" s="665" t="str">
        <f>IFERROR(VLOOKUP(Table8[[#This Row],[Player No]],Table10[[No]:[Province]],2,0),"")</f>
        <v xml:space="preserve">MOLEHE Lesego </v>
      </c>
      <c r="G271" s="668" t="str">
        <f>IFERROR(VLOOKUP(Table8[[#This Row],[Player No]],Table10[[No]:[Province]],3,0),"")</f>
        <v>FS</v>
      </c>
      <c r="H271" s="651">
        <v>0</v>
      </c>
      <c r="I271" s="789">
        <f>Table8[[#This Row],[Points 2025]]/2+SUM(Table8[[#This Row],[O1  ADMIN 2026]:[P2           WC           CT Open   2026]])</f>
        <v>0</v>
      </c>
      <c r="J271" s="63">
        <f t="shared" si="25"/>
        <v>0</v>
      </c>
      <c r="K271" s="708">
        <f t="shared" si="26"/>
        <v>0</v>
      </c>
      <c r="L271" s="708" t="s">
        <v>6083</v>
      </c>
      <c r="M271" s="708" t="s">
        <v>6083</v>
      </c>
      <c r="N271" s="708" t="s">
        <v>6083</v>
      </c>
      <c r="O271" s="708"/>
      <c r="P271" s="708"/>
      <c r="Q271" s="708"/>
      <c r="R271" s="708"/>
      <c r="S271" s="708"/>
      <c r="T271" s="708"/>
      <c r="U271" s="708"/>
      <c r="V271" s="708"/>
      <c r="W271" s="708"/>
      <c r="X271" s="708"/>
      <c r="Y271" s="708"/>
      <c r="Z271" s="708"/>
      <c r="AA271" s="708"/>
      <c r="AB271" s="708"/>
      <c r="AC271" s="708"/>
      <c r="AD271" s="708"/>
      <c r="AE271" s="708"/>
      <c r="AF271" s="708"/>
      <c r="AG271" s="708"/>
      <c r="AH271" s="708"/>
      <c r="AI271" s="708"/>
      <c r="AJ271" s="708"/>
      <c r="AK271" s="708"/>
      <c r="AL271" s="708"/>
      <c r="AM271" s="708"/>
      <c r="AO271" s="708"/>
      <c r="AP271" s="708"/>
    </row>
    <row r="272" spans="1:42">
      <c r="A272" s="85">
        <f>IFERROR(VLOOKUP(Table8[[#This Row],[Player No]],Table10[[#All],[No]:[Age Group]],4,0),"")</f>
        <v>0</v>
      </c>
      <c r="B272" s="87">
        <v>145</v>
      </c>
      <c r="C272" s="658">
        <f t="shared" si="24"/>
        <v>-123</v>
      </c>
      <c r="D272" s="63">
        <f t="shared" si="27"/>
        <v>268</v>
      </c>
      <c r="E272" s="636">
        <v>3560</v>
      </c>
      <c r="F272" s="665" t="str">
        <f>IFERROR(VLOOKUP(Table8[[#This Row],[Player No]],Table10[[No]:[Province]],2,0),"")</f>
        <v>MOKWA Otsile</v>
      </c>
      <c r="G272" s="668" t="str">
        <f>IFERROR(VLOOKUP(Table8[[#This Row],[Player No]],Table10[[No]:[Province]],3,0),"")</f>
        <v>FS</v>
      </c>
      <c r="H272" s="651">
        <v>0</v>
      </c>
      <c r="I272" s="789">
        <f>Table8[[#This Row],[Points 2025]]/2+SUM(Table8[[#This Row],[O1  ADMIN 2026]:[P2           WC           CT Open   2026]])</f>
        <v>0</v>
      </c>
      <c r="J272" s="63">
        <f t="shared" si="25"/>
        <v>0</v>
      </c>
      <c r="K272" s="708">
        <f t="shared" si="26"/>
        <v>0</v>
      </c>
      <c r="L272" s="708" t="s">
        <v>6083</v>
      </c>
      <c r="M272" s="708" t="s">
        <v>6083</v>
      </c>
      <c r="N272" s="708" t="s">
        <v>6083</v>
      </c>
      <c r="O272" s="708"/>
      <c r="P272" s="708"/>
      <c r="Q272" s="708"/>
      <c r="R272" s="708"/>
      <c r="S272" s="708"/>
      <c r="T272" s="708"/>
      <c r="U272" s="708"/>
      <c r="V272" s="708"/>
      <c r="W272" s="708"/>
      <c r="X272" s="708"/>
      <c r="Y272" s="708"/>
      <c r="Z272" s="708"/>
      <c r="AA272" s="708"/>
      <c r="AB272" s="708"/>
      <c r="AC272" s="708"/>
      <c r="AD272" s="708"/>
      <c r="AE272" s="708"/>
      <c r="AF272" s="708"/>
      <c r="AG272" s="708"/>
      <c r="AH272" s="708"/>
      <c r="AI272" s="708"/>
      <c r="AJ272" s="708"/>
      <c r="AK272" s="708"/>
      <c r="AL272" s="708"/>
      <c r="AM272" s="708"/>
      <c r="AO272" s="708"/>
      <c r="AP272" s="708"/>
    </row>
    <row r="273" spans="1:42">
      <c r="A273" s="85">
        <f>IFERROR(VLOOKUP(Table8[[#This Row],[Player No]],Table10[[#All],[No]:[Age Group]],4,0),"")</f>
        <v>0</v>
      </c>
      <c r="B273" s="87">
        <v>146</v>
      </c>
      <c r="C273" s="658">
        <f t="shared" si="24"/>
        <v>-123</v>
      </c>
      <c r="D273" s="63">
        <f t="shared" si="27"/>
        <v>269</v>
      </c>
      <c r="E273" s="636">
        <v>3561</v>
      </c>
      <c r="F273" s="665" t="str">
        <f>IFERROR(VLOOKUP(Table8[[#This Row],[Player No]],Table10[[No]:[Province]],2,0),"")</f>
        <v>SOTYATO Mercy</v>
      </c>
      <c r="G273" s="668" t="str">
        <f>IFERROR(VLOOKUP(Table8[[#This Row],[Player No]],Table10[[No]:[Province]],3,0),"")</f>
        <v>FS</v>
      </c>
      <c r="H273" s="651">
        <v>0</v>
      </c>
      <c r="I273" s="789">
        <f>Table8[[#This Row],[Points 2025]]/2+SUM(Table8[[#This Row],[O1  ADMIN 2026]:[P2           WC           CT Open   2026]])</f>
        <v>0</v>
      </c>
      <c r="J273" s="63">
        <f t="shared" si="25"/>
        <v>0</v>
      </c>
      <c r="K273" s="708">
        <f t="shared" si="26"/>
        <v>0</v>
      </c>
      <c r="L273" s="708" t="s">
        <v>6083</v>
      </c>
      <c r="M273" s="708" t="s">
        <v>6083</v>
      </c>
      <c r="N273" s="708" t="s">
        <v>6083</v>
      </c>
      <c r="O273" s="708"/>
      <c r="P273" s="708"/>
      <c r="Q273" s="708"/>
      <c r="R273" s="708"/>
      <c r="S273" s="708"/>
      <c r="T273" s="708"/>
      <c r="U273" s="708"/>
      <c r="V273" s="708"/>
      <c r="W273" s="708"/>
      <c r="X273" s="708"/>
      <c r="Y273" s="708"/>
      <c r="Z273" s="708"/>
      <c r="AA273" s="708"/>
      <c r="AB273" s="708"/>
      <c r="AC273" s="708"/>
      <c r="AD273" s="708"/>
      <c r="AE273" s="708"/>
      <c r="AF273" s="708"/>
      <c r="AG273" s="708"/>
      <c r="AH273" s="708"/>
      <c r="AI273" s="708"/>
      <c r="AJ273" s="708"/>
      <c r="AK273" s="708"/>
      <c r="AL273" s="708"/>
      <c r="AM273" s="708"/>
      <c r="AO273" s="708"/>
      <c r="AP273" s="708"/>
    </row>
    <row r="274" spans="1:42">
      <c r="A274" s="85">
        <f>IFERROR(VLOOKUP(Table8[[#This Row],[Player No]],Table10[[#All],[No]:[Age Group]],4,0),"")</f>
        <v>0</v>
      </c>
      <c r="B274" s="87">
        <v>147</v>
      </c>
      <c r="C274" s="659">
        <f t="shared" si="24"/>
        <v>-123</v>
      </c>
      <c r="D274" s="63">
        <f t="shared" si="27"/>
        <v>270</v>
      </c>
      <c r="E274" s="708">
        <v>3562</v>
      </c>
      <c r="F274" s="945" t="str">
        <f>IFERROR(VLOOKUP(Table8[[#This Row],[Player No]],Table10[[No]:[Province]],2,0),"")</f>
        <v>KHAMBOLA Relebohile</v>
      </c>
      <c r="G274" s="946" t="str">
        <f>IFERROR(VLOOKUP(Table8[[#This Row],[Player No]],Table10[[No]:[Province]],3,0),"")</f>
        <v>FS</v>
      </c>
      <c r="H274" s="789">
        <v>0</v>
      </c>
      <c r="I274" s="789">
        <f>Table8[[#This Row],[Points 2025]]/2+SUM(Table8[[#This Row],[O1  ADMIN 2026]:[P2           WC           CT Open   2026]])</f>
        <v>0</v>
      </c>
      <c r="J274" s="63">
        <f t="shared" si="25"/>
        <v>0</v>
      </c>
      <c r="K274" s="708">
        <f t="shared" si="26"/>
        <v>0</v>
      </c>
      <c r="L274" s="708" t="s">
        <v>6083</v>
      </c>
      <c r="M274" s="708" t="s">
        <v>6083</v>
      </c>
      <c r="N274" s="708" t="s">
        <v>6083</v>
      </c>
      <c r="O274" s="708"/>
      <c r="P274" s="708"/>
      <c r="Q274" s="708"/>
      <c r="R274" s="708"/>
      <c r="S274" s="708"/>
      <c r="T274" s="708"/>
      <c r="U274" s="708"/>
      <c r="V274" s="708"/>
      <c r="W274" s="708"/>
      <c r="X274" s="708"/>
      <c r="Y274" s="708"/>
      <c r="Z274" s="708"/>
      <c r="AA274" s="708"/>
      <c r="AB274" s="708"/>
      <c r="AC274" s="708"/>
      <c r="AD274" s="708"/>
      <c r="AE274" s="708"/>
      <c r="AF274" s="708"/>
      <c r="AG274" s="708"/>
      <c r="AH274" s="708"/>
      <c r="AI274" s="708"/>
      <c r="AJ274" s="708"/>
      <c r="AK274" s="708"/>
      <c r="AL274" s="708"/>
      <c r="AM274" s="708"/>
      <c r="AO274" s="708"/>
      <c r="AP274" s="708"/>
    </row>
    <row r="275" spans="1:42">
      <c r="A275" s="85">
        <f>IFERROR(VLOOKUP(Table8[[#This Row],[Player No]],Table10[[#All],[No]:[Age Group]],4,0),"")</f>
        <v>0</v>
      </c>
      <c r="B275" s="87">
        <v>148</v>
      </c>
      <c r="C275" s="659">
        <f t="shared" si="24"/>
        <v>-123</v>
      </c>
      <c r="D275" s="63">
        <f t="shared" si="27"/>
        <v>271</v>
      </c>
      <c r="E275" s="442">
        <v>3563</v>
      </c>
      <c r="F275" s="657" t="str">
        <f>IFERROR(VLOOKUP(Table8[[#This Row],[Player No]],Table10[[No]:[Province]],2,0),"")</f>
        <v>RALEFIFI Dimpho</v>
      </c>
      <c r="G275" s="667" t="str">
        <f>IFERROR(VLOOKUP(Table8[[#This Row],[Player No]],Table10[[No]:[Province]],3,0),"")</f>
        <v>FS</v>
      </c>
      <c r="H275" s="661">
        <v>0</v>
      </c>
      <c r="I275" s="661">
        <f>Table8[[#This Row],[Points 2025]]/2+SUM(Table8[[#This Row],[O1  ADMIN 2026]:[P2           WC           CT Open   2026]])</f>
        <v>0</v>
      </c>
      <c r="J275" s="442">
        <f t="shared" si="25"/>
        <v>0</v>
      </c>
      <c r="K275" s="442">
        <f t="shared" si="26"/>
        <v>0</v>
      </c>
      <c r="L275" s="442" t="s">
        <v>6083</v>
      </c>
      <c r="M275" s="442" t="s">
        <v>6083</v>
      </c>
      <c r="N275" s="442" t="s">
        <v>6083</v>
      </c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  <c r="AA275" s="442"/>
      <c r="AB275" s="442"/>
      <c r="AC275" s="442"/>
      <c r="AD275" s="944"/>
      <c r="AE275" s="944"/>
      <c r="AF275" s="944"/>
      <c r="AG275" s="944"/>
      <c r="AH275" s="944"/>
      <c r="AI275" s="944"/>
      <c r="AJ275" s="944"/>
      <c r="AK275" s="944"/>
      <c r="AL275" s="944"/>
      <c r="AM275" s="944"/>
      <c r="AO275" s="442"/>
      <c r="AP275" s="442"/>
    </row>
    <row r="276" spans="1:42">
      <c r="A276" s="85">
        <f>IFERROR(VLOOKUP(Table8[[#This Row],[Player No]],Table10[[#All],[No]:[Age Group]],4,0),"")</f>
        <v>0</v>
      </c>
      <c r="B276" s="87">
        <v>149</v>
      </c>
      <c r="C276" s="659">
        <f t="shared" si="24"/>
        <v>-123</v>
      </c>
      <c r="D276" s="63">
        <f t="shared" si="27"/>
        <v>272</v>
      </c>
      <c r="E276" s="442">
        <v>3564</v>
      </c>
      <c r="F276" s="657" t="str">
        <f>IFERROR(VLOOKUP(Table8[[#This Row],[Player No]],Table10[[No]:[Province]],2,0),"")</f>
        <v>MOTOANG Thabang</v>
      </c>
      <c r="G276" s="667" t="str">
        <f>IFERROR(VLOOKUP(Table8[[#This Row],[Player No]],Table10[[No]:[Province]],3,0),"")</f>
        <v>FS</v>
      </c>
      <c r="H276" s="661">
        <v>0</v>
      </c>
      <c r="I276" s="661">
        <f>Table8[[#This Row],[Points 2025]]/2+SUM(Table8[[#This Row],[O1  ADMIN 2026]:[P2           WC           CT Open   2026]])</f>
        <v>0</v>
      </c>
      <c r="J276" s="442">
        <f t="shared" si="25"/>
        <v>0</v>
      </c>
      <c r="K276" s="442">
        <f t="shared" si="26"/>
        <v>0</v>
      </c>
      <c r="L276" s="442" t="s">
        <v>6083</v>
      </c>
      <c r="M276" s="442" t="s">
        <v>6083</v>
      </c>
      <c r="N276" s="442" t="s">
        <v>6083</v>
      </c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944"/>
      <c r="AE276" s="944"/>
      <c r="AF276" s="944"/>
      <c r="AG276" s="944"/>
      <c r="AH276" s="944"/>
      <c r="AI276" s="944"/>
      <c r="AJ276" s="944"/>
      <c r="AK276" s="944"/>
      <c r="AL276" s="944"/>
      <c r="AM276" s="944"/>
      <c r="AO276" s="442"/>
      <c r="AP276" s="442"/>
    </row>
    <row r="277" spans="1:42">
      <c r="A277" s="85">
        <f>IFERROR(VLOOKUP(Table8[[#This Row],[Player No]],Table10[[#All],[No]:[Age Group]],4,0),"")</f>
        <v>0</v>
      </c>
      <c r="B277" s="87">
        <v>150</v>
      </c>
      <c r="C277" s="659">
        <f t="shared" si="24"/>
        <v>-123</v>
      </c>
      <c r="D277" s="63">
        <f t="shared" si="27"/>
        <v>273</v>
      </c>
      <c r="E277" s="442">
        <v>3565</v>
      </c>
      <c r="F277" s="657" t="str">
        <f>IFERROR(VLOOKUP(Table8[[#This Row],[Player No]],Table10[[No]:[Province]],2,0),"")</f>
        <v>MOFOKENG Kabelo</v>
      </c>
      <c r="G277" s="667" t="str">
        <f>IFERROR(VLOOKUP(Table8[[#This Row],[Player No]],Table10[[No]:[Province]],3,0),"")</f>
        <v>FS</v>
      </c>
      <c r="H277" s="124">
        <v>0</v>
      </c>
      <c r="I277" s="661">
        <f>Table8[[#This Row],[Points 2025]]/2+SUM(Table8[[#This Row],[O1  ADMIN 2026]:[P2           WC           CT Open   2026]])</f>
        <v>0</v>
      </c>
      <c r="J277" s="442">
        <f t="shared" si="25"/>
        <v>0</v>
      </c>
      <c r="K277" s="442">
        <f t="shared" si="26"/>
        <v>0</v>
      </c>
      <c r="L277" s="442" t="s">
        <v>6083</v>
      </c>
      <c r="M277" s="442" t="s">
        <v>6083</v>
      </c>
      <c r="N277" s="442" t="s">
        <v>6083</v>
      </c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  <c r="AA277" s="442"/>
      <c r="AB277" s="442"/>
      <c r="AC277" s="442"/>
      <c r="AD277" s="944"/>
      <c r="AE277" s="944"/>
      <c r="AF277" s="944"/>
      <c r="AG277" s="944"/>
      <c r="AH277" s="944"/>
      <c r="AI277" s="944"/>
      <c r="AJ277" s="944"/>
      <c r="AK277" s="944"/>
      <c r="AL277" s="944"/>
      <c r="AM277" s="944"/>
      <c r="AO277" s="969"/>
      <c r="AP277" s="969"/>
    </row>
    <row r="278" spans="1:42">
      <c r="A278" s="85">
        <f>IFERROR(VLOOKUP(Table8[[#This Row],[Player No]],Table10[[#All],[No]:[Age Group]],4,0),"")</f>
        <v>0</v>
      </c>
      <c r="B278" s="87">
        <v>160</v>
      </c>
      <c r="C278" s="659">
        <f t="shared" si="24"/>
        <v>-114</v>
      </c>
      <c r="D278" s="63">
        <f t="shared" si="27"/>
        <v>274</v>
      </c>
      <c r="E278" s="442">
        <v>3361</v>
      </c>
      <c r="F278" s="657" t="str">
        <f>IFERROR(VLOOKUP(Table8[[#This Row],[Player No]],Table10[[No]:[Province]],2,0),"")</f>
        <v>RUITERS Levi</v>
      </c>
      <c r="G278" s="667" t="str">
        <f>IFERROR(VLOOKUP(Table8[[#This Row],[Player No]],Table10[[No]:[Province]],3,0),"")</f>
        <v>CT</v>
      </c>
      <c r="H278" s="124">
        <v>0</v>
      </c>
      <c r="I278" s="661">
        <f>Table8[[#This Row],[Points 2025]]/2+SUM(Table8[[#This Row],[O1  ADMIN 2026]:[P2           WC           CT Open   2026]])</f>
        <v>0</v>
      </c>
      <c r="J278" s="442">
        <f t="shared" si="25"/>
        <v>0</v>
      </c>
      <c r="K278" s="442">
        <f t="shared" si="26"/>
        <v>0</v>
      </c>
      <c r="L278" s="442" t="s">
        <v>6083</v>
      </c>
      <c r="M278" s="442" t="s">
        <v>6083</v>
      </c>
      <c r="N278" s="442" t="s">
        <v>6083</v>
      </c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  <c r="AA278" s="442"/>
      <c r="AB278" s="442"/>
      <c r="AC278" s="442"/>
      <c r="AD278" s="944"/>
      <c r="AE278" s="944"/>
      <c r="AF278" s="944"/>
      <c r="AG278" s="944"/>
      <c r="AH278" s="944"/>
      <c r="AI278" s="944"/>
      <c r="AJ278" s="944"/>
      <c r="AK278" s="944"/>
      <c r="AL278" s="944"/>
      <c r="AM278" s="944"/>
      <c r="AO278" s="442"/>
      <c r="AP278" s="442"/>
    </row>
    <row r="279" spans="1:42">
      <c r="A279" s="87"/>
      <c r="B279" s="87"/>
      <c r="C279" s="659">
        <f t="shared" si="24"/>
        <v>-275</v>
      </c>
      <c r="D279" s="63">
        <f t="shared" si="27"/>
        <v>275</v>
      </c>
      <c r="E279" s="442">
        <v>4395</v>
      </c>
      <c r="F279" s="920" t="str">
        <f>IFERROR(VLOOKUP(Table8[[#This Row],[Player No]],Table10[[No]:[Province]],2,0),"")</f>
        <v xml:space="preserve">KARTHIK Dhaarmic </v>
      </c>
      <c r="G279" s="442" t="str">
        <f>IFERROR(VLOOKUP(Table8[[#This Row],[Player No]],Table10[[No]:[Province]],3,0),"")</f>
        <v>GN</v>
      </c>
      <c r="H279" s="124">
        <v>0</v>
      </c>
      <c r="I279" s="661">
        <f>Table8[[#This Row],[Points 2025]]/2+SUM(Table8[[#This Row],[O1  ADMIN 2026]:[P2           WC           CT Open   2026]])</f>
        <v>0</v>
      </c>
      <c r="J279" s="442">
        <f t="shared" si="25"/>
        <v>0</v>
      </c>
      <c r="K279" s="442">
        <f t="shared" si="26"/>
        <v>0</v>
      </c>
      <c r="L279" s="442" t="s">
        <v>6083</v>
      </c>
      <c r="M279" s="442" t="s">
        <v>6083</v>
      </c>
      <c r="N279" s="442" t="s">
        <v>6083</v>
      </c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  <c r="AA279" s="442"/>
      <c r="AB279" s="442"/>
      <c r="AC279" s="442"/>
      <c r="AD279" s="944"/>
      <c r="AE279" s="944"/>
      <c r="AF279" s="944"/>
      <c r="AG279" s="944"/>
      <c r="AH279" s="944"/>
      <c r="AI279" s="944"/>
      <c r="AJ279" s="944"/>
      <c r="AK279" s="944"/>
      <c r="AL279" s="944"/>
      <c r="AM279" s="944"/>
      <c r="AO279" s="442"/>
      <c r="AP279" s="442"/>
    </row>
    <row r="280" spans="1:42">
      <c r="A280" s="87"/>
      <c r="B280" s="87"/>
      <c r="C280" s="659">
        <f t="shared" si="24"/>
        <v>-276</v>
      </c>
      <c r="D280" s="63">
        <f t="shared" si="27"/>
        <v>276</v>
      </c>
      <c r="E280" s="442">
        <v>4357</v>
      </c>
      <c r="F280" s="920" t="str">
        <f>IFERROR(VLOOKUP(Table8[[#This Row],[Player No]],Table10[[No]:[Province]],2,0),"")</f>
        <v>NAIDOO Xavian</v>
      </c>
      <c r="G280" s="442" t="str">
        <f>IFERROR(VLOOKUP(Table8[[#This Row],[Player No]],Table10[[No]:[Province]],3,0),"")</f>
        <v>ETTA</v>
      </c>
      <c r="H280" s="124">
        <v>0</v>
      </c>
      <c r="I280" s="661">
        <f>Table8[[#This Row],[Points 2025]]/2+SUM(Table8[[#This Row],[O1  ADMIN 2026]:[P2           WC           CT Open   2026]])</f>
        <v>0</v>
      </c>
      <c r="J280" s="442">
        <f t="shared" si="25"/>
        <v>0</v>
      </c>
      <c r="K280" s="442">
        <f t="shared" si="26"/>
        <v>0</v>
      </c>
      <c r="L280" s="442" t="s">
        <v>6083</v>
      </c>
      <c r="M280" s="442" t="s">
        <v>6083</v>
      </c>
      <c r="N280" s="442" t="s">
        <v>6083</v>
      </c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>
        <v>0</v>
      </c>
      <c r="Z280" s="442"/>
      <c r="AA280" s="442"/>
      <c r="AB280" s="442"/>
      <c r="AC280" s="442"/>
      <c r="AD280" s="944"/>
      <c r="AE280" s="944"/>
      <c r="AF280" s="944"/>
      <c r="AG280" s="944"/>
      <c r="AH280" s="944"/>
      <c r="AI280" s="944"/>
      <c r="AJ280" s="944"/>
      <c r="AK280" s="944"/>
      <c r="AL280" s="944"/>
      <c r="AM280" s="944"/>
      <c r="AO280" s="442"/>
      <c r="AP280" s="442"/>
    </row>
    <row r="281" spans="1:42">
      <c r="A281" s="87"/>
      <c r="B281" s="87"/>
      <c r="C281" s="943">
        <f t="shared" si="24"/>
        <v>0</v>
      </c>
      <c r="D281" s="943"/>
      <c r="E281" s="708"/>
      <c r="F281" s="1003" t="str">
        <f>IFERROR(VLOOKUP(Table8[[#This Row],[Player No]],Table10[[No]:[Province]],2,0),"")</f>
        <v/>
      </c>
      <c r="G281" s="708" t="str">
        <f>IFERROR(VLOOKUP(Table8[[#This Row],[Player No]],Table10[[No]:[Province]],3,0),"")</f>
        <v/>
      </c>
      <c r="H281" s="789"/>
      <c r="I281" s="789"/>
      <c r="J281" s="708">
        <f t="shared" si="25"/>
        <v>0</v>
      </c>
      <c r="K281" s="708">
        <f t="shared" si="26"/>
        <v>0</v>
      </c>
      <c r="L281" s="442"/>
      <c r="M281" s="708"/>
      <c r="N281" s="708"/>
      <c r="O281" s="708"/>
      <c r="P281" s="708"/>
      <c r="Q281" s="708"/>
      <c r="R281" s="442"/>
      <c r="S281" s="442"/>
      <c r="T281" s="708"/>
      <c r="U281" s="708"/>
      <c r="V281" s="708"/>
      <c r="W281" s="708"/>
      <c r="X281" s="708"/>
      <c r="Y281" s="708"/>
      <c r="Z281" s="708"/>
      <c r="AA281" s="708"/>
      <c r="AB281" s="708"/>
      <c r="AC281" s="708"/>
      <c r="AD281" s="1004"/>
      <c r="AE281" s="1004"/>
      <c r="AF281" s="1004"/>
      <c r="AG281" s="1004"/>
      <c r="AH281" s="1004"/>
      <c r="AI281" s="944"/>
      <c r="AJ281" s="1004"/>
      <c r="AK281" s="1004"/>
      <c r="AL281" s="1004"/>
      <c r="AM281" s="1004"/>
      <c r="AO281" s="56"/>
      <c r="AP281" s="56"/>
    </row>
  </sheetData>
  <sheetProtection algorithmName="SHA-512" hashValue="vApNK5g87MgZhHC3kK84Sg1/F4/67Nj8L8hxpZJYvFOqd6ENcBc6YZ+CGxag5A23yfZDSj3oSiYie/Pw88SM2A==" saltValue="P2ClzrSxG/ZX+rNyYnND1g==" spinCount="100000" sheet="1" selectLockedCells="1" sort="0" autoFilter="0" selectUnlockedCells="1"/>
  <sortState xmlns:xlrd2="http://schemas.microsoft.com/office/spreadsheetml/2017/richdata2" ref="A5:BG55">
    <sortCondition ref="E5:E55"/>
  </sortState>
  <mergeCells count="13">
    <mergeCell ref="C2:G2"/>
    <mergeCell ref="AD2:AM2"/>
    <mergeCell ref="AD3:AE3"/>
    <mergeCell ref="AF3:AG3"/>
    <mergeCell ref="AI3:AM3"/>
    <mergeCell ref="P3:T3"/>
    <mergeCell ref="AA3:AC3"/>
    <mergeCell ref="C3:G3"/>
    <mergeCell ref="P2:AC2"/>
    <mergeCell ref="W3:X3"/>
    <mergeCell ref="U3:V3"/>
    <mergeCell ref="M3:N3"/>
    <mergeCell ref="L2:O2"/>
  </mergeCells>
  <phoneticPr fontId="33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28" fitToHeight="0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EC1110"/>
  <sheetViews>
    <sheetView workbookViewId="0">
      <pane ySplit="4" topLeftCell="A5" activePane="bottomLeft" state="frozen"/>
      <selection activeCell="A4" sqref="A4"/>
      <selection pane="bottomLeft" activeCell="I14" sqref="I14"/>
    </sheetView>
  </sheetViews>
  <sheetFormatPr defaultColWidth="8.81640625" defaultRowHeight="15.5" outlineLevelRow="1" outlineLevelCol="1"/>
  <cols>
    <col min="1" max="1" width="13" style="78" hidden="1" customWidth="1" outlineLevel="1"/>
    <col min="2" max="2" width="11.54296875" style="78" hidden="1" customWidth="1" outlineLevel="1"/>
    <col min="3" max="3" width="13.7265625" style="78" hidden="1" customWidth="1"/>
    <col min="4" max="4" width="8.453125" style="78" customWidth="1"/>
    <col min="5" max="5" width="9" style="90" customWidth="1"/>
    <col min="6" max="6" width="24" style="91" customWidth="1"/>
    <col min="7" max="7" width="9" style="90" customWidth="1"/>
    <col min="8" max="8" width="10" style="79" customWidth="1"/>
    <col min="9" max="9" width="10" style="791" customWidth="1"/>
    <col min="10" max="10" width="11.7265625" style="79" customWidth="1" outlineLevel="1"/>
    <col min="11" max="11" width="8.26953125" style="79" customWidth="1" outlineLevel="1"/>
    <col min="12" max="15" width="8.26953125" style="791" customWidth="1" outlineLevel="1"/>
    <col min="16" max="17" width="8.26953125" style="79" customWidth="1" outlineLevel="1"/>
    <col min="18" max="21" width="8.26953125" style="117" customWidth="1" outlineLevel="1"/>
    <col min="22" max="22" width="8.26953125" style="79" customWidth="1" outlineLevel="1"/>
    <col min="23" max="23" width="8.26953125" style="791" customWidth="1" outlineLevel="1"/>
    <col min="24" max="24" width="8.26953125" style="794" customWidth="1" outlineLevel="1"/>
    <col min="25" max="26" width="8.26953125" style="117" customWidth="1" outlineLevel="1"/>
    <col min="27" max="29" width="8.26953125" style="79" customWidth="1" outlineLevel="1"/>
    <col min="30" max="30" width="8.26953125" style="117" customWidth="1" outlineLevel="1"/>
    <col min="31" max="41" width="8.26953125" style="79" customWidth="1" outlineLevel="1"/>
    <col min="42" max="16384" width="8.81640625" style="91"/>
  </cols>
  <sheetData>
    <row r="1" spans="1:133" ht="126.75" customHeight="1" thickBo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</row>
    <row r="2" spans="1:133" ht="25" thickBot="1">
      <c r="A2" s="82"/>
      <c r="B2" s="82"/>
      <c r="C2" s="1224">
        <f>Tournaments!F3</f>
        <v>46113</v>
      </c>
      <c r="D2" s="1225"/>
      <c r="E2" s="1225"/>
      <c r="F2" s="1225"/>
      <c r="G2" s="1225"/>
      <c r="H2" s="1226"/>
      <c r="I2" s="922"/>
      <c r="J2" s="926"/>
      <c r="K2" s="925"/>
      <c r="L2" s="1183">
        <v>2026</v>
      </c>
      <c r="M2" s="1183"/>
      <c r="N2" s="1183"/>
      <c r="O2" s="1184"/>
      <c r="P2" s="1170">
        <v>2025</v>
      </c>
      <c r="Q2" s="1239"/>
      <c r="R2" s="1239"/>
      <c r="S2" s="1239"/>
      <c r="T2" s="1239"/>
      <c r="U2" s="1239"/>
      <c r="V2" s="1239"/>
      <c r="W2" s="1239"/>
      <c r="X2" s="1239"/>
      <c r="Y2" s="1239"/>
      <c r="Z2" s="1239"/>
      <c r="AA2" s="1239"/>
      <c r="AB2" s="1239"/>
      <c r="AC2" s="1239"/>
      <c r="AD2" s="1239"/>
      <c r="AE2" s="1171"/>
      <c r="AF2" s="1233">
        <v>2024</v>
      </c>
      <c r="AG2" s="1234"/>
      <c r="AH2" s="1234"/>
      <c r="AI2" s="1234"/>
      <c r="AJ2" s="1234"/>
      <c r="AK2" s="1234"/>
      <c r="AL2" s="1234"/>
      <c r="AM2" s="1234"/>
      <c r="AN2" s="1234"/>
      <c r="AO2" s="1235"/>
      <c r="AP2" s="25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</row>
    <row r="3" spans="1:133" ht="25" thickBot="1">
      <c r="A3" s="70"/>
      <c r="B3" s="70"/>
      <c r="C3" s="1227" t="s">
        <v>4938</v>
      </c>
      <c r="D3" s="1228"/>
      <c r="E3" s="1228"/>
      <c r="F3" s="1228"/>
      <c r="G3" s="1228"/>
      <c r="H3" s="1229"/>
      <c r="I3" s="923"/>
      <c r="J3" s="927"/>
      <c r="K3" s="928"/>
      <c r="L3" s="980" t="s">
        <v>3453</v>
      </c>
      <c r="M3" s="1189" t="s">
        <v>2406</v>
      </c>
      <c r="N3" s="1190"/>
      <c r="O3" s="841" t="s">
        <v>1914</v>
      </c>
      <c r="P3" s="1236" t="s">
        <v>2406</v>
      </c>
      <c r="Q3" s="1237"/>
      <c r="R3" s="1237"/>
      <c r="S3" s="1237"/>
      <c r="T3" s="1238"/>
      <c r="U3" s="1236" t="s">
        <v>251</v>
      </c>
      <c r="V3" s="1238"/>
      <c r="W3" s="786"/>
      <c r="X3" s="786" t="s">
        <v>3452</v>
      </c>
      <c r="Y3" s="1236" t="s">
        <v>1914</v>
      </c>
      <c r="Z3" s="1237"/>
      <c r="AA3" s="1238"/>
      <c r="AB3" s="319" t="s">
        <v>4658</v>
      </c>
      <c r="AC3" s="1236" t="s">
        <v>3453</v>
      </c>
      <c r="AD3" s="1237"/>
      <c r="AE3" s="1238"/>
      <c r="AF3" s="1230" t="s">
        <v>2406</v>
      </c>
      <c r="AG3" s="1232"/>
      <c r="AH3" s="1230" t="s">
        <v>1914</v>
      </c>
      <c r="AI3" s="1232"/>
      <c r="AJ3" s="60" t="s">
        <v>3452</v>
      </c>
      <c r="AK3" s="1230" t="s">
        <v>3453</v>
      </c>
      <c r="AL3" s="1231"/>
      <c r="AM3" s="1231"/>
      <c r="AN3" s="1231"/>
      <c r="AO3" s="1232"/>
      <c r="AP3" s="97"/>
    </row>
    <row r="4" spans="1:133" ht="87.5" outlineLevel="1" thickBot="1">
      <c r="A4" s="251" t="s">
        <v>3279</v>
      </c>
      <c r="B4" s="251" t="s">
        <v>3751</v>
      </c>
      <c r="C4" s="102" t="s">
        <v>3874</v>
      </c>
      <c r="D4" s="102" t="s">
        <v>80</v>
      </c>
      <c r="E4" s="102" t="s">
        <v>113</v>
      </c>
      <c r="F4" s="103" t="s">
        <v>3076</v>
      </c>
      <c r="G4" s="102" t="s">
        <v>3455</v>
      </c>
      <c r="H4" s="102" t="s">
        <v>4930</v>
      </c>
      <c r="I4" s="924" t="s">
        <v>6139</v>
      </c>
      <c r="J4" s="924" t="s">
        <v>219</v>
      </c>
      <c r="K4" s="924" t="s">
        <v>220</v>
      </c>
      <c r="L4" s="924" t="s">
        <v>6209</v>
      </c>
      <c r="M4" s="104" t="s">
        <v>6155</v>
      </c>
      <c r="N4" s="104" t="s">
        <v>6157</v>
      </c>
      <c r="O4" s="104" t="s">
        <v>6150</v>
      </c>
      <c r="P4" s="104" t="s">
        <v>6143</v>
      </c>
      <c r="Q4" s="104" t="s">
        <v>5252</v>
      </c>
      <c r="R4" s="104" t="s">
        <v>5650</v>
      </c>
      <c r="S4" s="104" t="s">
        <v>5693</v>
      </c>
      <c r="T4" s="104" t="s">
        <v>5071</v>
      </c>
      <c r="U4" s="104" t="s">
        <v>5582</v>
      </c>
      <c r="V4" s="104" t="s">
        <v>5220</v>
      </c>
      <c r="W4" s="104" t="s">
        <v>6131</v>
      </c>
      <c r="X4" s="104" t="s">
        <v>6052</v>
      </c>
      <c r="Y4" s="104" t="s">
        <v>5583</v>
      </c>
      <c r="Z4" s="104" t="s">
        <v>5584</v>
      </c>
      <c r="AA4" s="104" t="s">
        <v>6149</v>
      </c>
      <c r="AB4" s="104" t="s">
        <v>5502</v>
      </c>
      <c r="AC4" s="104" t="s">
        <v>5419</v>
      </c>
      <c r="AD4" s="104" t="s">
        <v>5770</v>
      </c>
      <c r="AE4" s="104" t="s">
        <v>5418</v>
      </c>
      <c r="AF4" s="104" t="s">
        <v>4935</v>
      </c>
      <c r="AG4" s="104" t="s">
        <v>4397</v>
      </c>
      <c r="AH4" s="104" t="s">
        <v>4327</v>
      </c>
      <c r="AI4" s="104" t="s">
        <v>4329</v>
      </c>
      <c r="AJ4" s="102" t="s">
        <v>4845</v>
      </c>
      <c r="AK4" s="104" t="s">
        <v>4504</v>
      </c>
      <c r="AL4" s="104" t="s">
        <v>4843</v>
      </c>
      <c r="AM4" s="104" t="s">
        <v>4721</v>
      </c>
      <c r="AN4" s="104" t="s">
        <v>4326</v>
      </c>
      <c r="AO4" s="104" t="s">
        <v>4328</v>
      </c>
      <c r="AP4" s="97"/>
    </row>
    <row r="5" spans="1:133" s="92" customFormat="1">
      <c r="A5" s="106" t="str">
        <f>IFERROR(VLOOKUP(Table9[[#This Row],[Player No]],Table11[[#All],[No]:[Age Group]],4,0),"")</f>
        <v>U13</v>
      </c>
      <c r="B5" s="112">
        <v>1</v>
      </c>
      <c r="C5" s="77">
        <f t="shared" ref="C5:C10" si="0">+B5-D5</f>
        <v>0</v>
      </c>
      <c r="D5" s="63">
        <v>1</v>
      </c>
      <c r="E5" s="63">
        <v>8025</v>
      </c>
      <c r="F5" s="93" t="str">
        <f>IFERROR(VLOOKUP(Table9[[#This Row],[Player No]],Table11[[No]:[Province]],2,0),"")</f>
        <v>VAN AS Tamika</v>
      </c>
      <c r="G5" s="63" t="str">
        <f>IFERROR(VLOOKUP(Table9[[#This Row],[Player No]],Table11[[No]:[Province]],3,0),"")</f>
        <v>CT</v>
      </c>
      <c r="H5" s="840">
        <v>738.90625</v>
      </c>
      <c r="I5" s="789">
        <f>Table9[[#This Row],[Points 2025]]/2+SUM(Table9[[#This Row],[O1  ADMIN 2026]:[P2       WC                   CT   Open 2026]])</f>
        <v>369.453125</v>
      </c>
      <c r="J5" s="63">
        <f t="shared" ref="J5:J68" si="1">COUNTIF(L5:O5,"&gt;0")</f>
        <v>0</v>
      </c>
      <c r="K5" s="63">
        <f t="shared" ref="K5:K68" si="2">COUNTIF(M5:AO5,"&lt;0")</f>
        <v>0</v>
      </c>
      <c r="L5" s="708" t="s">
        <v>6083</v>
      </c>
      <c r="M5" s="708" t="s">
        <v>6083</v>
      </c>
      <c r="N5" s="106" t="s">
        <v>6083</v>
      </c>
      <c r="O5" s="708"/>
      <c r="P5" s="63" t="s">
        <v>4722</v>
      </c>
      <c r="Q5" s="63"/>
      <c r="R5" s="114"/>
      <c r="S5" s="114"/>
      <c r="T5" s="114"/>
      <c r="U5" s="114"/>
      <c r="V5" s="63"/>
      <c r="W5" s="708"/>
      <c r="X5" s="400">
        <v>250</v>
      </c>
      <c r="Y5" s="114"/>
      <c r="Z5" s="114"/>
      <c r="AA5" s="63" t="s">
        <v>4722</v>
      </c>
      <c r="AB5" s="63"/>
      <c r="AC5" s="63"/>
      <c r="AD5" s="114"/>
      <c r="AE5" s="63">
        <v>100</v>
      </c>
      <c r="AF5" s="63"/>
      <c r="AG5" s="63"/>
      <c r="AH5" s="63"/>
      <c r="AI5" s="63">
        <v>150</v>
      </c>
      <c r="AJ5" s="63">
        <v>250</v>
      </c>
      <c r="AK5" s="63"/>
      <c r="AL5" s="63"/>
      <c r="AM5" s="63">
        <f>150-150</f>
        <v>0</v>
      </c>
      <c r="AN5" s="63">
        <v>100</v>
      </c>
      <c r="AO5" s="63"/>
      <c r="AT5" s="708"/>
      <c r="AU5" s="708"/>
    </row>
    <row r="6" spans="1:133" s="92" customFormat="1">
      <c r="A6" s="63">
        <f>IFERROR(VLOOKUP(Table9[[#This Row],[Player No]],Table11[[#All],[No]:[Age Group]],4,0),"")</f>
        <v>0</v>
      </c>
      <c r="B6" s="61">
        <v>6</v>
      </c>
      <c r="C6" s="77">
        <f t="shared" si="0"/>
        <v>4</v>
      </c>
      <c r="D6" s="63">
        <f>+D5+1</f>
        <v>2</v>
      </c>
      <c r="E6" s="63">
        <v>8097</v>
      </c>
      <c r="F6" s="93" t="str">
        <f>IFERROR(VLOOKUP(Table9[[#This Row],[Player No]],Table11[[No]:[Province]],2,0),"")</f>
        <v>GOKAL Mahi</v>
      </c>
      <c r="G6" s="63" t="str">
        <f>IFERROR(VLOOKUP(Table9[[#This Row],[Player No]],Table11[[No]:[Province]],3,0),"")</f>
        <v>ETK</v>
      </c>
      <c r="H6" s="635">
        <v>537.5</v>
      </c>
      <c r="I6" s="789">
        <f>Table9[[#This Row],[Points 2025]]/2+SUM(Table9[[#This Row],[O1  ADMIN 2026]:[P2       WC                   CT   Open 2026]])</f>
        <v>343.75</v>
      </c>
      <c r="J6" s="63">
        <f t="shared" si="1"/>
        <v>2</v>
      </c>
      <c r="K6" s="63">
        <f t="shared" si="2"/>
        <v>0</v>
      </c>
      <c r="L6" s="708" t="s">
        <v>6083</v>
      </c>
      <c r="M6" s="708">
        <v>50</v>
      </c>
      <c r="N6" s="708">
        <v>25</v>
      </c>
      <c r="O6" s="708"/>
      <c r="P6" s="63">
        <v>150</v>
      </c>
      <c r="Q6" s="63">
        <v>25</v>
      </c>
      <c r="R6" s="114">
        <v>50</v>
      </c>
      <c r="S6" s="114">
        <v>100</v>
      </c>
      <c r="T6" s="114">
        <v>50</v>
      </c>
      <c r="U6" s="114"/>
      <c r="V6" s="63"/>
      <c r="W6" s="708"/>
      <c r="X6" s="400">
        <v>75</v>
      </c>
      <c r="Y6" s="114"/>
      <c r="Z6" s="114"/>
      <c r="AA6" s="63"/>
      <c r="AB6" s="63"/>
      <c r="AC6" s="63"/>
      <c r="AD6" s="114"/>
      <c r="AE6" s="63"/>
      <c r="AF6" s="63">
        <v>75</v>
      </c>
      <c r="AG6" s="63">
        <v>15</v>
      </c>
      <c r="AH6" s="63"/>
      <c r="AI6" s="63"/>
      <c r="AJ6" s="63">
        <v>25</v>
      </c>
      <c r="AK6" s="63"/>
      <c r="AL6" s="63"/>
      <c r="AM6" s="63"/>
      <c r="AN6" s="63">
        <v>50</v>
      </c>
      <c r="AO6" s="63"/>
      <c r="AT6" s="708"/>
      <c r="AU6" s="708"/>
    </row>
    <row r="7" spans="1:133" s="92" customFormat="1">
      <c r="A7" s="63">
        <f>IFERROR(VLOOKUP(Table9[[#This Row],[Player No]],Table11[[#All],[No]:[Age Group]],4,0),"")</f>
        <v>0</v>
      </c>
      <c r="B7" s="61">
        <v>3</v>
      </c>
      <c r="C7" s="77">
        <f t="shared" si="0"/>
        <v>0</v>
      </c>
      <c r="D7" s="63">
        <f t="shared" ref="D7:D70" si="3">+D6+1</f>
        <v>3</v>
      </c>
      <c r="E7" s="63">
        <v>8036</v>
      </c>
      <c r="F7" s="93" t="str">
        <f>IFERROR(VLOOKUP(Table9[[#This Row],[Player No]],Table11[[No]:[Province]],2,0),"")</f>
        <v>JONES Shona</v>
      </c>
      <c r="G7" s="63" t="str">
        <f>IFERROR(VLOOKUP(Table9[[#This Row],[Player No]],Table11[[No]:[Province]],3,0),"")</f>
        <v>CT</v>
      </c>
      <c r="H7" s="635">
        <v>433.75</v>
      </c>
      <c r="I7" s="789">
        <f>Table9[[#This Row],[Points 2025]]/2+SUM(Table9[[#This Row],[O1  ADMIN 2026]:[P2       WC                   CT   Open 2026]])</f>
        <v>216.875</v>
      </c>
      <c r="J7" s="63">
        <f t="shared" si="1"/>
        <v>0</v>
      </c>
      <c r="K7" s="63">
        <f t="shared" si="2"/>
        <v>1</v>
      </c>
      <c r="L7" s="708" t="s">
        <v>6083</v>
      </c>
      <c r="M7" s="708" t="s">
        <v>6083</v>
      </c>
      <c r="N7" s="708" t="s">
        <v>6083</v>
      </c>
      <c r="O7" s="708"/>
      <c r="P7" s="63"/>
      <c r="Q7" s="63"/>
      <c r="R7" s="114"/>
      <c r="S7" s="114"/>
      <c r="T7" s="114"/>
      <c r="U7" s="114"/>
      <c r="V7" s="63"/>
      <c r="W7" s="708"/>
      <c r="X7" s="400">
        <v>125</v>
      </c>
      <c r="Y7" s="114">
        <v>17.5</v>
      </c>
      <c r="Z7" s="114"/>
      <c r="AA7" s="63">
        <v>150</v>
      </c>
      <c r="AB7" s="63"/>
      <c r="AC7" s="63"/>
      <c r="AD7" s="114"/>
      <c r="AE7" s="63"/>
      <c r="AF7" s="63"/>
      <c r="AG7" s="63"/>
      <c r="AH7" s="63">
        <v>100</v>
      </c>
      <c r="AI7" s="63"/>
      <c r="AJ7" s="63">
        <v>-50</v>
      </c>
      <c r="AK7" s="63"/>
      <c r="AL7" s="63"/>
      <c r="AM7" s="63"/>
      <c r="AN7" s="63"/>
      <c r="AO7" s="63"/>
      <c r="AT7" s="708"/>
      <c r="AU7" s="708"/>
    </row>
    <row r="8" spans="1:133" s="92" customFormat="1">
      <c r="A8" s="63">
        <f>IFERROR(VLOOKUP(Table9[[#This Row],[Player No]],Table11[[#All],[No]:[Age Group]],4,0),"")</f>
        <v>0</v>
      </c>
      <c r="B8" s="61">
        <v>87</v>
      </c>
      <c r="C8" s="77">
        <f t="shared" si="0"/>
        <v>83</v>
      </c>
      <c r="D8" s="63">
        <f t="shared" si="3"/>
        <v>4</v>
      </c>
      <c r="E8" s="63">
        <v>8389</v>
      </c>
      <c r="F8" s="93" t="str">
        <f>IFERROR(VLOOKUP(Table9[[#This Row],[Player No]],Table11[[No]:[Province]],2,0),"")</f>
        <v>SIVNANNAN Syriana</v>
      </c>
      <c r="G8" s="63" t="str">
        <f>IFERROR(VLOOKUP(Table9[[#This Row],[Player No]],Table11[[No]:[Province]],3,0),"")</f>
        <v>UMG</v>
      </c>
      <c r="H8" s="635">
        <v>242.625</v>
      </c>
      <c r="I8" s="789">
        <f>Table9[[#This Row],[Points 2025]]/2+SUM(Table9[[#This Row],[O1  ADMIN 2026]:[P2       WC                   CT   Open 2026]])</f>
        <v>171.3125</v>
      </c>
      <c r="J8" s="63">
        <f t="shared" si="1"/>
        <v>2</v>
      </c>
      <c r="K8" s="63">
        <f t="shared" si="2"/>
        <v>0</v>
      </c>
      <c r="L8" s="708" t="s">
        <v>6083</v>
      </c>
      <c r="M8" s="708">
        <v>15</v>
      </c>
      <c r="N8" s="708">
        <v>35</v>
      </c>
      <c r="O8" s="708"/>
      <c r="P8" s="63">
        <v>25</v>
      </c>
      <c r="Q8" s="63">
        <v>15</v>
      </c>
      <c r="R8" s="114">
        <v>25</v>
      </c>
      <c r="S8" s="114">
        <v>50</v>
      </c>
      <c r="T8" s="114">
        <v>1</v>
      </c>
      <c r="U8" s="114"/>
      <c r="V8" s="63"/>
      <c r="W8" s="708"/>
      <c r="X8" s="400">
        <v>75</v>
      </c>
      <c r="Y8" s="114"/>
      <c r="Z8" s="114"/>
      <c r="AA8" s="63"/>
      <c r="AB8" s="63"/>
      <c r="AC8" s="63"/>
      <c r="AD8" s="114">
        <v>0.5</v>
      </c>
      <c r="AE8" s="63">
        <v>50</v>
      </c>
      <c r="AF8" s="63">
        <v>2</v>
      </c>
      <c r="AG8" s="63"/>
      <c r="AH8" s="63"/>
      <c r="AI8" s="63"/>
      <c r="AJ8" s="63"/>
      <c r="AK8" s="63"/>
      <c r="AL8" s="63"/>
      <c r="AM8" s="63"/>
      <c r="AN8" s="63"/>
      <c r="AO8" s="63"/>
      <c r="AT8" s="708"/>
      <c r="AU8" s="708"/>
    </row>
    <row r="9" spans="1:133" s="594" customFormat="1">
      <c r="A9" s="63" t="str">
        <f>IFERROR(VLOOKUP(Table9[[#This Row],[Player No]],Table11[[#All],[No]:[Age Group]],4,0),"")</f>
        <v>U11</v>
      </c>
      <c r="B9" s="61">
        <v>21</v>
      </c>
      <c r="C9" s="77">
        <f t="shared" si="0"/>
        <v>16</v>
      </c>
      <c r="D9" s="63">
        <f t="shared" si="3"/>
        <v>5</v>
      </c>
      <c r="E9" s="63">
        <v>8343</v>
      </c>
      <c r="F9" s="93" t="str">
        <f>IFERROR(VLOOKUP(Table9[[#This Row],[Player No]],Table11[[No]:[Province]],2,0),"")</f>
        <v>HUSVU Anotidaishe</v>
      </c>
      <c r="G9" s="63" t="str">
        <f>IFERROR(VLOOKUP(Table9[[#This Row],[Player No]],Table11[[No]:[Province]],3,0),"")</f>
        <v>GN</v>
      </c>
      <c r="H9" s="635">
        <v>259.25</v>
      </c>
      <c r="I9" s="789">
        <f>Table9[[#This Row],[Points 2025]]/2+SUM(Table9[[#This Row],[O1  ADMIN 2026]:[P2       WC                   CT   Open 2026]])</f>
        <v>162.125</v>
      </c>
      <c r="J9" s="63">
        <f t="shared" si="1"/>
        <v>2</v>
      </c>
      <c r="K9" s="63">
        <f t="shared" si="2"/>
        <v>0</v>
      </c>
      <c r="L9" s="708">
        <v>17.5</v>
      </c>
      <c r="M9" s="708">
        <v>15</v>
      </c>
      <c r="N9" s="708" t="s">
        <v>6083</v>
      </c>
      <c r="O9" s="708"/>
      <c r="P9" s="63">
        <v>75</v>
      </c>
      <c r="Q9" s="63">
        <v>1</v>
      </c>
      <c r="R9" s="114"/>
      <c r="S9" s="114"/>
      <c r="T9" s="114"/>
      <c r="U9" s="114">
        <v>25</v>
      </c>
      <c r="V9" s="63"/>
      <c r="W9" s="708"/>
      <c r="X9" s="400">
        <v>25</v>
      </c>
      <c r="Y9" s="114"/>
      <c r="Z9" s="114"/>
      <c r="AA9" s="63">
        <v>2</v>
      </c>
      <c r="AB9" s="63"/>
      <c r="AC9" s="63">
        <v>25</v>
      </c>
      <c r="AD9" s="114">
        <v>17.5</v>
      </c>
      <c r="AE9" s="63">
        <v>50</v>
      </c>
      <c r="AF9" s="63">
        <v>2</v>
      </c>
      <c r="AG9" s="63">
        <v>1</v>
      </c>
      <c r="AH9" s="63"/>
      <c r="AI9" s="63"/>
      <c r="AJ9" s="63">
        <v>5</v>
      </c>
      <c r="AK9" s="63">
        <f>50/2</f>
        <v>25</v>
      </c>
      <c r="AL9" s="63">
        <v>25</v>
      </c>
      <c r="AM9" s="63">
        <v>2</v>
      </c>
      <c r="AN9" s="63"/>
      <c r="AO9" s="63">
        <f>35/2</f>
        <v>17.5</v>
      </c>
      <c r="AT9" s="708"/>
      <c r="AU9" s="708"/>
    </row>
    <row r="10" spans="1:133" s="92" customFormat="1">
      <c r="A10" s="63">
        <f>IFERROR(VLOOKUP(Table9[[#This Row],[Player No]],Table11[[#All],[No]:[Age Group]],4,0),"")</f>
        <v>0</v>
      </c>
      <c r="B10" s="61">
        <v>11</v>
      </c>
      <c r="C10" s="77">
        <f t="shared" si="0"/>
        <v>5</v>
      </c>
      <c r="D10" s="63">
        <f t="shared" si="3"/>
        <v>6</v>
      </c>
      <c r="E10" s="63">
        <v>8129</v>
      </c>
      <c r="F10" s="93" t="str">
        <f>IFERROR(VLOOKUP(Table9[[#This Row],[Player No]],Table11[[No]:[Province]],2,0),"")</f>
        <v>VERHEIJEN Alicia</v>
      </c>
      <c r="G10" s="63" t="str">
        <f>IFERROR(VLOOKUP(Table9[[#This Row],[Player No]],Table11[[No]:[Province]],3,0),"")</f>
        <v>GN</v>
      </c>
      <c r="H10" s="635">
        <v>318.875</v>
      </c>
      <c r="I10" s="789">
        <f>Table9[[#This Row],[Points 2025]]/2+SUM(Table9[[#This Row],[O1  ADMIN 2026]:[P2       WC                   CT   Open 2026]])</f>
        <v>159.4375</v>
      </c>
      <c r="J10" s="63">
        <f t="shared" si="1"/>
        <v>0</v>
      </c>
      <c r="K10" s="63">
        <f t="shared" si="2"/>
        <v>0</v>
      </c>
      <c r="L10" s="708" t="s">
        <v>6083</v>
      </c>
      <c r="M10" s="708" t="s">
        <v>6083</v>
      </c>
      <c r="N10" s="708" t="s">
        <v>6083</v>
      </c>
      <c r="O10" s="708"/>
      <c r="P10" s="63">
        <v>2</v>
      </c>
      <c r="Q10" s="63"/>
      <c r="R10" s="114"/>
      <c r="S10" s="114"/>
      <c r="T10" s="114"/>
      <c r="U10" s="114">
        <v>100</v>
      </c>
      <c r="V10" s="63"/>
      <c r="W10" s="708"/>
      <c r="X10" s="400">
        <v>25</v>
      </c>
      <c r="Y10" s="114"/>
      <c r="Z10" s="114"/>
      <c r="AA10" s="63">
        <v>25</v>
      </c>
      <c r="AB10" s="63"/>
      <c r="AC10" s="63"/>
      <c r="AD10" s="114">
        <v>37.5</v>
      </c>
      <c r="AE10" s="63">
        <v>25</v>
      </c>
      <c r="AF10" s="63">
        <f>25-25</f>
        <v>0</v>
      </c>
      <c r="AG10" s="63"/>
      <c r="AH10" s="63"/>
      <c r="AI10" s="63"/>
      <c r="AJ10" s="63">
        <v>50</v>
      </c>
      <c r="AK10" s="63"/>
      <c r="AL10" s="63"/>
      <c r="AM10" s="63">
        <v>75</v>
      </c>
      <c r="AN10" s="63">
        <v>50</v>
      </c>
      <c r="AO10" s="63"/>
      <c r="AT10" s="708"/>
      <c r="AU10" s="708"/>
    </row>
    <row r="11" spans="1:133" s="92" customFormat="1">
      <c r="A11" s="164">
        <f>A10+1</f>
        <v>1</v>
      </c>
      <c r="B11" s="155"/>
      <c r="C11" s="160" t="e">
        <f>+B11-#REF!</f>
        <v>#REF!</v>
      </c>
      <c r="D11" s="63">
        <f t="shared" si="3"/>
        <v>7</v>
      </c>
      <c r="E11" s="161">
        <v>8326</v>
      </c>
      <c r="F11" s="93" t="str">
        <f>IFERROR(VLOOKUP(Table9[[#This Row],[Player No]],Table11[[No]:[Province]],2,0),"")</f>
        <v>CELE Anathi Yonenhle</v>
      </c>
      <c r="G11" s="63" t="str">
        <f>IFERROR(VLOOKUP(Table9[[#This Row],[Player No]],Table11[[No]:[Province]],3,0),"")</f>
        <v>ETK</v>
      </c>
      <c r="H11" s="635">
        <v>225.125</v>
      </c>
      <c r="I11" s="789">
        <f>Table9[[#This Row],[Points 2025]]/2+SUM(Table9[[#This Row],[O1  ADMIN 2026]:[P2       WC                   CT   Open 2026]])</f>
        <v>137.5625</v>
      </c>
      <c r="J11" s="63">
        <f t="shared" si="1"/>
        <v>1</v>
      </c>
      <c r="K11" s="161">
        <f t="shared" si="2"/>
        <v>0</v>
      </c>
      <c r="L11" s="833" t="s">
        <v>6083</v>
      </c>
      <c r="M11" s="833">
        <v>25</v>
      </c>
      <c r="N11" s="833" t="s">
        <v>6083</v>
      </c>
      <c r="O11" s="833"/>
      <c r="P11" s="157">
        <v>100</v>
      </c>
      <c r="Q11" s="157">
        <v>50</v>
      </c>
      <c r="R11" s="165"/>
      <c r="S11" s="165">
        <v>50</v>
      </c>
      <c r="T11" s="165"/>
      <c r="U11" s="165"/>
      <c r="V11" s="157"/>
      <c r="W11" s="712"/>
      <c r="X11" s="444">
        <v>25</v>
      </c>
      <c r="Y11" s="165"/>
      <c r="Z11" s="165"/>
      <c r="AA11" s="157"/>
      <c r="AB11" s="157"/>
      <c r="AC11" s="157"/>
      <c r="AD11" s="165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T11" s="790"/>
      <c r="AU11" s="790"/>
    </row>
    <row r="12" spans="1:133" s="92" customFormat="1">
      <c r="A12" s="63" t="str">
        <f>IFERROR(VLOOKUP(Table9[[#This Row],[Player No]],Table11[[#All],[No]:[Age Group]],4,0),"")</f>
        <v>U13</v>
      </c>
      <c r="B12" s="61"/>
      <c r="C12" s="77"/>
      <c r="D12" s="63">
        <f t="shared" si="3"/>
        <v>8</v>
      </c>
      <c r="E12" s="63">
        <v>8311</v>
      </c>
      <c r="F12" s="93" t="str">
        <f>IFERROR(VLOOKUP(Table9[[#This Row],[Player No]],Table11[[No]:[Province]],2,0),"")</f>
        <v xml:space="preserve">MKHIZE Elihleithemba </v>
      </c>
      <c r="G12" s="63" t="str">
        <f>IFERROR(VLOOKUP(Table9[[#This Row],[Player No]],Table11[[No]:[Province]],3,0),"")</f>
        <v>ETK</v>
      </c>
      <c r="H12" s="635">
        <v>180</v>
      </c>
      <c r="I12" s="789">
        <f>Table9[[#This Row],[Points 2025]]/2+SUM(Table9[[#This Row],[O1  ADMIN 2026]:[P2       WC                   CT   Open 2026]])</f>
        <v>130</v>
      </c>
      <c r="J12" s="63">
        <f t="shared" si="1"/>
        <v>2</v>
      </c>
      <c r="K12" s="63">
        <f t="shared" si="2"/>
        <v>0</v>
      </c>
      <c r="L12" s="708" t="s">
        <v>6083</v>
      </c>
      <c r="M12" s="708">
        <v>15</v>
      </c>
      <c r="N12" s="708">
        <v>25</v>
      </c>
      <c r="O12" s="708"/>
      <c r="P12" s="63">
        <v>50</v>
      </c>
      <c r="Q12" s="63">
        <v>15</v>
      </c>
      <c r="R12" s="114">
        <v>15</v>
      </c>
      <c r="S12" s="114">
        <v>25</v>
      </c>
      <c r="T12" s="114">
        <v>25</v>
      </c>
      <c r="U12" s="114"/>
      <c r="V12" s="63"/>
      <c r="W12" s="708"/>
      <c r="X12" s="400">
        <v>50</v>
      </c>
      <c r="Y12" s="114"/>
      <c r="Z12" s="114"/>
      <c r="AA12" s="63"/>
      <c r="AB12" s="63"/>
      <c r="AC12" s="63"/>
      <c r="AD12" s="114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T12" s="708"/>
      <c r="AU12" s="708"/>
    </row>
    <row r="13" spans="1:133" s="92" customFormat="1">
      <c r="A13" s="589">
        <f>IFERROR(VLOOKUP(Table9[[#This Row],[Player No]],Table11[[#All],[No]:[Age Group]],4,0),"")</f>
        <v>0</v>
      </c>
      <c r="B13" s="590">
        <v>8</v>
      </c>
      <c r="C13" s="595">
        <f>+B13-D13</f>
        <v>-1</v>
      </c>
      <c r="D13" s="63">
        <f t="shared" si="3"/>
        <v>9</v>
      </c>
      <c r="E13" s="589">
        <v>8068</v>
      </c>
      <c r="F13" s="596" t="str">
        <f>IFERROR(VLOOKUP(Table9[[#This Row],[Player No]],Table11[[No]:[Province]],2,0),"")</f>
        <v>DADAKER Sameena</v>
      </c>
      <c r="G13" s="589" t="str">
        <f>IFERROR(VLOOKUP(Table9[[#This Row],[Player No]],Table11[[No]:[Province]],3,0),"")</f>
        <v>CT</v>
      </c>
      <c r="H13" s="635">
        <v>239.375</v>
      </c>
      <c r="I13" s="832">
        <f>Table9[[#This Row],[Points 2025]]/2+SUM(Table9[[#This Row],[O1  ADMIN 2026]:[P2       WC                   CT   Open 2026]])</f>
        <v>119.6875</v>
      </c>
      <c r="J13" s="63">
        <f t="shared" si="1"/>
        <v>0</v>
      </c>
      <c r="K13" s="589">
        <f t="shared" si="2"/>
        <v>0</v>
      </c>
      <c r="L13" s="790" t="s">
        <v>6083</v>
      </c>
      <c r="M13" s="790" t="s">
        <v>6083</v>
      </c>
      <c r="N13" s="790" t="s">
        <v>6083</v>
      </c>
      <c r="O13" s="790"/>
      <c r="P13" s="589"/>
      <c r="Q13" s="589"/>
      <c r="R13" s="593"/>
      <c r="S13" s="593"/>
      <c r="T13" s="593"/>
      <c r="U13" s="593"/>
      <c r="V13" s="589"/>
      <c r="W13" s="790"/>
      <c r="X13" s="792"/>
      <c r="Y13" s="593"/>
      <c r="Z13" s="593"/>
      <c r="AA13" s="589"/>
      <c r="AB13" s="589"/>
      <c r="AC13" s="589"/>
      <c r="AD13" s="593"/>
      <c r="AE13" s="589"/>
      <c r="AF13" s="589"/>
      <c r="AG13" s="589"/>
      <c r="AH13" s="589">
        <v>75</v>
      </c>
      <c r="AI13" s="589">
        <v>100</v>
      </c>
      <c r="AJ13" s="589">
        <v>175</v>
      </c>
      <c r="AK13" s="589"/>
      <c r="AL13" s="589"/>
      <c r="AM13" s="589">
        <f>50-50</f>
        <v>0</v>
      </c>
      <c r="AN13" s="589"/>
      <c r="AO13" s="589"/>
      <c r="AT13" s="708"/>
      <c r="AU13" s="708"/>
    </row>
    <row r="14" spans="1:133" s="92" customFormat="1">
      <c r="A14" s="63">
        <f>IFERROR(VLOOKUP(Table9[[#This Row],[Player No]],Table11[[#All],[No]:[Age Group]],4,0),"")</f>
        <v>0</v>
      </c>
      <c r="B14" s="61">
        <v>9</v>
      </c>
      <c r="C14" s="77">
        <f>+B14-D14</f>
        <v>-1</v>
      </c>
      <c r="D14" s="63">
        <f t="shared" si="3"/>
        <v>10</v>
      </c>
      <c r="E14" s="63">
        <v>8099</v>
      </c>
      <c r="F14" s="93" t="str">
        <f>IFERROR(VLOOKUP(Table9[[#This Row],[Player No]],Table11[[No]:[Province]],2,0),"")</f>
        <v>NAIDOO Deanne</v>
      </c>
      <c r="G14" s="63" t="str">
        <f>IFERROR(VLOOKUP(Table9[[#This Row],[Player No]],Table11[[No]:[Province]],3,0),"")</f>
        <v>ETTA</v>
      </c>
      <c r="H14" s="635">
        <v>236</v>
      </c>
      <c r="I14" s="789">
        <f>Table9[[#This Row],[Points 2025]]/2+SUM(Table9[[#This Row],[O1  ADMIN 2026]:[P2       WC                   CT   Open 2026]])</f>
        <v>118</v>
      </c>
      <c r="J14" s="63">
        <f t="shared" si="1"/>
        <v>0</v>
      </c>
      <c r="K14" s="63">
        <f t="shared" si="2"/>
        <v>0</v>
      </c>
      <c r="L14" s="708" t="s">
        <v>6083</v>
      </c>
      <c r="M14" s="708" t="s">
        <v>6083</v>
      </c>
      <c r="N14" s="708" t="s">
        <v>6083</v>
      </c>
      <c r="O14" s="708"/>
      <c r="P14" s="63">
        <v>75</v>
      </c>
      <c r="Q14" s="63"/>
      <c r="R14" s="114">
        <v>1</v>
      </c>
      <c r="S14" s="114">
        <v>25</v>
      </c>
      <c r="T14" s="114"/>
      <c r="U14" s="114"/>
      <c r="V14" s="63"/>
      <c r="W14" s="708"/>
      <c r="X14" s="400">
        <v>50</v>
      </c>
      <c r="Y14" s="114"/>
      <c r="Z14" s="114"/>
      <c r="AA14" s="63"/>
      <c r="AB14" s="63"/>
      <c r="AC14" s="63"/>
      <c r="AD14" s="114"/>
      <c r="AE14" s="63"/>
      <c r="AF14" s="63">
        <v>50</v>
      </c>
      <c r="AG14" s="63">
        <v>25</v>
      </c>
      <c r="AH14" s="63"/>
      <c r="AI14" s="63"/>
      <c r="AJ14" s="63">
        <v>50</v>
      </c>
      <c r="AK14" s="63"/>
      <c r="AL14" s="63"/>
      <c r="AM14" s="63"/>
      <c r="AN14" s="63">
        <v>25</v>
      </c>
      <c r="AO14" s="63"/>
      <c r="AT14" s="833"/>
      <c r="AU14" s="833"/>
    </row>
    <row r="15" spans="1:133" s="92" customFormat="1">
      <c r="A15" s="63">
        <f>IFERROR(VLOOKUP(Table9[[#This Row],[Player No]],Table11[[#All],[No]:[Age Group]],4,0),"")</f>
        <v>0</v>
      </c>
      <c r="B15" s="61"/>
      <c r="C15" s="77"/>
      <c r="D15" s="63">
        <f t="shared" si="3"/>
        <v>11</v>
      </c>
      <c r="E15" s="42">
        <v>8572</v>
      </c>
      <c r="F15" s="93" t="str">
        <f>IFERROR(VLOOKUP(Table9[[#This Row],[Player No]],Table11[[No]:[Province]],2,0),"")</f>
        <v>Aadilah Chohan</v>
      </c>
      <c r="G15" s="63" t="str">
        <f>IFERROR(VLOOKUP(Table9[[#This Row],[Player No]],Table11[[No]:[Province]],3,0),"")</f>
        <v>UMG</v>
      </c>
      <c r="H15" s="635">
        <v>43</v>
      </c>
      <c r="I15" s="789">
        <f>Table9[[#This Row],[Points 2025]]/2+SUM(Table9[[#This Row],[O1  ADMIN 2026]:[P2       WC                   CT   Open 2026]])</f>
        <v>106.5</v>
      </c>
      <c r="J15" s="63">
        <f t="shared" si="1"/>
        <v>2</v>
      </c>
      <c r="K15" s="63">
        <f t="shared" si="2"/>
        <v>0</v>
      </c>
      <c r="L15" s="708" t="s">
        <v>6083</v>
      </c>
      <c r="M15" s="708">
        <v>35</v>
      </c>
      <c r="N15" s="708">
        <v>50</v>
      </c>
      <c r="O15" s="708"/>
      <c r="P15" s="63">
        <v>2</v>
      </c>
      <c r="Q15" s="63"/>
      <c r="R15" s="114">
        <v>15</v>
      </c>
      <c r="S15" s="114"/>
      <c r="T15" s="114">
        <v>1</v>
      </c>
      <c r="U15" s="114"/>
      <c r="V15" s="63"/>
      <c r="W15" s="708"/>
      <c r="X15" s="400">
        <v>25</v>
      </c>
      <c r="Y15" s="114"/>
      <c r="Z15" s="114"/>
      <c r="AA15" s="63"/>
      <c r="AB15" s="63"/>
      <c r="AC15" s="63"/>
      <c r="AD15" s="114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T15" s="708"/>
      <c r="AU15" s="708"/>
    </row>
    <row r="16" spans="1:133" s="92" customFormat="1">
      <c r="A16" s="63" t="str">
        <f>IFERROR(VLOOKUP(Table9[[#This Row],[Player No]],Table11[[#All],[No]:[Age Group]],4,0),"")</f>
        <v>U13</v>
      </c>
      <c r="B16" s="61">
        <v>14</v>
      </c>
      <c r="C16" s="77">
        <f>+B16-D16</f>
        <v>2</v>
      </c>
      <c r="D16" s="63">
        <f t="shared" si="3"/>
        <v>12</v>
      </c>
      <c r="E16" s="63">
        <v>8174</v>
      </c>
      <c r="F16" s="93" t="str">
        <f>IFERROR(VLOOKUP(Table9[[#This Row],[Player No]],Table11[[No]:[Province]],2,0),"")</f>
        <v>PADAYACHEE Prisha</v>
      </c>
      <c r="G16" s="63" t="str">
        <f>IFERROR(VLOOKUP(Table9[[#This Row],[Player No]],Table11[[No]:[Province]],3,0),"")</f>
        <v>UMG</v>
      </c>
      <c r="H16" s="635">
        <v>206.25</v>
      </c>
      <c r="I16" s="789">
        <f>Table9[[#This Row],[Points 2025]]/2+SUM(Table9[[#This Row],[O1  ADMIN 2026]:[P2       WC                   CT   Open 2026]])</f>
        <v>104.125</v>
      </c>
      <c r="J16" s="63">
        <f t="shared" si="1"/>
        <v>1</v>
      </c>
      <c r="K16" s="63">
        <f t="shared" si="2"/>
        <v>0</v>
      </c>
      <c r="L16" s="708" t="s">
        <v>6083</v>
      </c>
      <c r="M16" s="708">
        <v>1</v>
      </c>
      <c r="N16" s="708" t="s">
        <v>6083</v>
      </c>
      <c r="O16" s="708"/>
      <c r="P16" s="63">
        <v>25</v>
      </c>
      <c r="Q16" s="63">
        <v>25</v>
      </c>
      <c r="R16" s="114">
        <v>25</v>
      </c>
      <c r="S16" s="114"/>
      <c r="T16" s="114">
        <v>35</v>
      </c>
      <c r="U16" s="114"/>
      <c r="V16" s="63"/>
      <c r="W16" s="708"/>
      <c r="X16" s="400">
        <v>50</v>
      </c>
      <c r="Y16" s="114"/>
      <c r="Z16" s="114"/>
      <c r="AA16" s="63"/>
      <c r="AB16" s="63"/>
      <c r="AC16" s="63"/>
      <c r="AD16" s="114"/>
      <c r="AE16" s="63"/>
      <c r="AF16" s="63">
        <v>50</v>
      </c>
      <c r="AG16" s="63">
        <v>15</v>
      </c>
      <c r="AH16" s="63"/>
      <c r="AI16" s="63"/>
      <c r="AJ16" s="63">
        <v>25</v>
      </c>
      <c r="AK16" s="63"/>
      <c r="AL16" s="63"/>
      <c r="AM16" s="63"/>
      <c r="AN16" s="63"/>
      <c r="AO16" s="63"/>
      <c r="AT16" s="708"/>
      <c r="AU16" s="708"/>
    </row>
    <row r="17" spans="1:47" s="92" customFormat="1">
      <c r="A17" s="63" t="str">
        <f>IFERROR(VLOOKUP(Table9[[#This Row],[Player No]],Table11[[#All],[No]:[Age Group]],4,0),"")</f>
        <v>U13</v>
      </c>
      <c r="B17" s="61"/>
      <c r="C17" s="77"/>
      <c r="D17" s="63">
        <f t="shared" si="3"/>
        <v>13</v>
      </c>
      <c r="E17" s="63">
        <v>8431</v>
      </c>
      <c r="F17" s="93" t="str">
        <f>IFERROR(VLOOKUP(Table9[[#This Row],[Player No]],Table11[[No]:[Province]],2,0),"")</f>
        <v xml:space="preserve">MODIKA  Seipati Audrey </v>
      </c>
      <c r="G17" s="63" t="str">
        <f>IFERROR(VLOOKUP(Table9[[#This Row],[Player No]],Table11[[No]:[Province]],3,0),"")</f>
        <v>LIM</v>
      </c>
      <c r="H17" s="635">
        <v>200</v>
      </c>
      <c r="I17" s="789">
        <f>Table9[[#This Row],[Points 2025]]/2+SUM(Table9[[#This Row],[O1  ADMIN 2026]:[P2       WC                   CT   Open 2026]])</f>
        <v>100</v>
      </c>
      <c r="J17" s="63">
        <f t="shared" si="1"/>
        <v>0</v>
      </c>
      <c r="K17" s="63">
        <f t="shared" si="2"/>
        <v>0</v>
      </c>
      <c r="L17" s="708" t="s">
        <v>6083</v>
      </c>
      <c r="M17" s="708" t="s">
        <v>6083</v>
      </c>
      <c r="N17" s="708" t="s">
        <v>6083</v>
      </c>
      <c r="O17" s="708"/>
      <c r="P17" s="63"/>
      <c r="Q17" s="63"/>
      <c r="R17" s="114"/>
      <c r="S17" s="114"/>
      <c r="T17" s="114"/>
      <c r="U17" s="114"/>
      <c r="V17" s="63"/>
      <c r="W17" s="708"/>
      <c r="X17" s="400">
        <v>175</v>
      </c>
      <c r="Y17" s="114"/>
      <c r="Z17" s="114"/>
      <c r="AA17" s="63"/>
      <c r="AB17" s="63"/>
      <c r="AC17" s="63"/>
      <c r="AD17" s="114"/>
      <c r="AE17" s="63"/>
      <c r="AF17" s="63"/>
      <c r="AG17" s="63"/>
      <c r="AH17" s="63"/>
      <c r="AI17" s="63"/>
      <c r="AJ17" s="63">
        <v>50</v>
      </c>
      <c r="AK17" s="63"/>
      <c r="AL17" s="63"/>
      <c r="AM17" s="63"/>
      <c r="AN17" s="63"/>
      <c r="AO17" s="63"/>
      <c r="AT17" s="708"/>
      <c r="AU17" s="708"/>
    </row>
    <row r="18" spans="1:47" s="92" customFormat="1">
      <c r="A18" s="63" t="str">
        <f>IFERROR(VLOOKUP(Table9[[#This Row],[Player No]],Table11[[#All],[No]:[Age Group]],4,0),"")</f>
        <v>U13</v>
      </c>
      <c r="B18" s="61">
        <v>35</v>
      </c>
      <c r="C18" s="77">
        <f>+B18-D18</f>
        <v>21</v>
      </c>
      <c r="D18" s="63">
        <f t="shared" si="3"/>
        <v>14</v>
      </c>
      <c r="E18" s="63">
        <v>8325</v>
      </c>
      <c r="F18" s="93" t="str">
        <f>IFERROR(VLOOKUP(Table9[[#This Row],[Player No]],Table11[[No]:[Province]],2,0),"")</f>
        <v>VILAKAZI Asanda Snothile</v>
      </c>
      <c r="G18" s="63" t="str">
        <f>IFERROR(VLOOKUP(Table9[[#This Row],[Player No]],Table11[[No]:[Province]],3,0),"")</f>
        <v>ETK</v>
      </c>
      <c r="H18" s="635">
        <v>147.625</v>
      </c>
      <c r="I18" s="789">
        <f>Table9[[#This Row],[Points 2025]]/2+SUM(Table9[[#This Row],[O1  ADMIN 2026]:[P2       WC                   CT   Open 2026]])</f>
        <v>98.8125</v>
      </c>
      <c r="J18" s="63">
        <f t="shared" si="1"/>
        <v>1</v>
      </c>
      <c r="K18" s="63">
        <f t="shared" si="2"/>
        <v>0</v>
      </c>
      <c r="L18" s="708" t="s">
        <v>6083</v>
      </c>
      <c r="M18" s="708">
        <v>25</v>
      </c>
      <c r="N18" s="708" t="s">
        <v>6083</v>
      </c>
      <c r="O18" s="708"/>
      <c r="P18" s="63">
        <v>50</v>
      </c>
      <c r="Q18" s="63">
        <v>35</v>
      </c>
      <c r="R18" s="114"/>
      <c r="S18" s="114">
        <v>25</v>
      </c>
      <c r="T18" s="114"/>
      <c r="U18" s="114"/>
      <c r="V18" s="63"/>
      <c r="W18" s="708"/>
      <c r="X18" s="400">
        <v>25</v>
      </c>
      <c r="Y18" s="114"/>
      <c r="Z18" s="114"/>
      <c r="AA18" s="63"/>
      <c r="AB18" s="63"/>
      <c r="AC18" s="63"/>
      <c r="AD18" s="114"/>
      <c r="AE18" s="63"/>
      <c r="AF18" s="63">
        <v>25</v>
      </c>
      <c r="AG18" s="63"/>
      <c r="AH18" s="63"/>
      <c r="AI18" s="63"/>
      <c r="AJ18" s="63"/>
      <c r="AK18" s="63"/>
      <c r="AL18" s="63"/>
      <c r="AM18" s="63"/>
      <c r="AN18" s="63"/>
      <c r="AO18" s="63"/>
      <c r="AT18" s="708"/>
      <c r="AU18" s="708"/>
    </row>
    <row r="19" spans="1:47" s="92" customFormat="1">
      <c r="A19" s="63">
        <f>IFERROR(VLOOKUP(Table9[[#This Row],[Player No]],Table11[[#All],[No]:[Age Group]],4,0),"")</f>
        <v>0</v>
      </c>
      <c r="B19" s="61">
        <v>23</v>
      </c>
      <c r="C19" s="77">
        <f>+B19-D19</f>
        <v>8</v>
      </c>
      <c r="D19" s="63">
        <f t="shared" si="3"/>
        <v>15</v>
      </c>
      <c r="E19" s="63">
        <v>8130</v>
      </c>
      <c r="F19" s="93" t="str">
        <f>IFERROR(VLOOKUP(Table9[[#This Row],[Player No]],Table11[[No]:[Province]],2,0),"")</f>
        <v>VERHEIJEN Danyelle</v>
      </c>
      <c r="G19" s="63" t="str">
        <f>IFERROR(VLOOKUP(Table9[[#This Row],[Player No]],Table11[[No]:[Province]],3,0),"")</f>
        <v>GN</v>
      </c>
      <c r="H19" s="635">
        <v>166.5</v>
      </c>
      <c r="I19" s="789">
        <f>Table9[[#This Row],[Points 2025]]/2+SUM(Table9[[#This Row],[O1  ADMIN 2026]:[P2       WC                   CT   Open 2026]])</f>
        <v>95.75</v>
      </c>
      <c r="J19" s="63">
        <f t="shared" si="1"/>
        <v>1</v>
      </c>
      <c r="K19" s="63">
        <f t="shared" si="2"/>
        <v>0</v>
      </c>
      <c r="L19" s="708">
        <v>12.5</v>
      </c>
      <c r="M19" s="708" t="s">
        <v>6083</v>
      </c>
      <c r="N19" s="708" t="s">
        <v>6083</v>
      </c>
      <c r="O19" s="708"/>
      <c r="P19" s="63">
        <v>50</v>
      </c>
      <c r="Q19" s="63"/>
      <c r="R19" s="114"/>
      <c r="S19" s="114"/>
      <c r="T19" s="114"/>
      <c r="U19" s="114">
        <v>25</v>
      </c>
      <c r="V19" s="63"/>
      <c r="W19" s="708"/>
      <c r="X19" s="400">
        <v>25</v>
      </c>
      <c r="Y19" s="114"/>
      <c r="Z19" s="114"/>
      <c r="AA19" s="63">
        <v>25</v>
      </c>
      <c r="AB19" s="63"/>
      <c r="AC19" s="63"/>
      <c r="AD19" s="114">
        <v>17.5</v>
      </c>
      <c r="AE19" s="63">
        <v>1</v>
      </c>
      <c r="AF19" s="63">
        <v>25</v>
      </c>
      <c r="AG19" s="63"/>
      <c r="AH19" s="63"/>
      <c r="AI19" s="63"/>
      <c r="AJ19" s="63">
        <v>5</v>
      </c>
      <c r="AK19" s="63"/>
      <c r="AL19" s="63"/>
      <c r="AM19" s="63">
        <f>2-2</f>
        <v>0</v>
      </c>
      <c r="AN19" s="63">
        <v>1</v>
      </c>
      <c r="AO19" s="63"/>
      <c r="AT19" s="708"/>
      <c r="AU19" s="708"/>
    </row>
    <row r="20" spans="1:47" s="92" customFormat="1">
      <c r="A20" s="63">
        <f>IFERROR(VLOOKUP(Table9[[#This Row],[Player No]],Table11[[#All],[No]:[Age Group]],4,0),"")</f>
        <v>0</v>
      </c>
      <c r="B20" s="61">
        <v>74</v>
      </c>
      <c r="C20" s="77">
        <f>+B20-D20</f>
        <v>58</v>
      </c>
      <c r="D20" s="63">
        <f t="shared" si="3"/>
        <v>16</v>
      </c>
      <c r="E20" s="63">
        <v>8106</v>
      </c>
      <c r="F20" s="93" t="str">
        <f>IFERROR(VLOOKUP(Table9[[#This Row],[Player No]],Table11[[No]:[Province]],2,0),"")</f>
        <v>PARBHOODEEN Akshara Gemma</v>
      </c>
      <c r="G20" s="63" t="str">
        <f>IFERROR(VLOOKUP(Table9[[#This Row],[Player No]],Table11[[No]:[Province]],3,0),"")</f>
        <v>UMG</v>
      </c>
      <c r="H20" s="635">
        <v>190.5</v>
      </c>
      <c r="I20" s="789">
        <f>Table9[[#This Row],[Points 2025]]/2+SUM(Table9[[#This Row],[O1  ADMIN 2026]:[P2       WC                   CT   Open 2026]])</f>
        <v>95.25</v>
      </c>
      <c r="J20" s="63">
        <f t="shared" si="1"/>
        <v>0</v>
      </c>
      <c r="K20" s="63">
        <f t="shared" si="2"/>
        <v>0</v>
      </c>
      <c r="L20" s="708" t="s">
        <v>6083</v>
      </c>
      <c r="M20" s="708" t="s">
        <v>6083</v>
      </c>
      <c r="N20" s="708" t="s">
        <v>6083</v>
      </c>
      <c r="O20" s="708"/>
      <c r="P20" s="63">
        <v>25</v>
      </c>
      <c r="Q20" s="63">
        <v>15</v>
      </c>
      <c r="R20" s="114">
        <v>25</v>
      </c>
      <c r="S20" s="114">
        <v>75</v>
      </c>
      <c r="T20" s="114">
        <v>25</v>
      </c>
      <c r="U20" s="114"/>
      <c r="V20" s="63"/>
      <c r="W20" s="708"/>
      <c r="X20" s="400">
        <v>10</v>
      </c>
      <c r="Y20" s="114"/>
      <c r="Z20" s="114"/>
      <c r="AA20" s="63"/>
      <c r="AB20" s="63"/>
      <c r="AC20" s="63"/>
      <c r="AD20" s="114"/>
      <c r="AE20" s="63"/>
      <c r="AF20" s="63">
        <v>2</v>
      </c>
      <c r="AG20" s="63">
        <v>1</v>
      </c>
      <c r="AH20" s="63"/>
      <c r="AI20" s="63"/>
      <c r="AJ20" s="63">
        <v>25</v>
      </c>
      <c r="AK20" s="63"/>
      <c r="AL20" s="63"/>
      <c r="AM20" s="63"/>
      <c r="AN20" s="63"/>
      <c r="AO20" s="63"/>
      <c r="AT20" s="708"/>
      <c r="AU20" s="708"/>
    </row>
    <row r="21" spans="1:47" s="92" customFormat="1">
      <c r="A21" s="63" t="str">
        <f>IFERROR(VLOOKUP(Table9[[#This Row],[Player No]],Table11[[#All],[No]:[Age Group]],4,0),"")</f>
        <v>U11</v>
      </c>
      <c r="B21" s="61">
        <v>29</v>
      </c>
      <c r="C21" s="77">
        <f>+B21-D21</f>
        <v>12</v>
      </c>
      <c r="D21" s="63">
        <f t="shared" si="3"/>
        <v>17</v>
      </c>
      <c r="E21" s="63">
        <v>8344</v>
      </c>
      <c r="F21" s="93" t="str">
        <f>IFERROR(VLOOKUP(Table9[[#This Row],[Player No]],Table11[[No]:[Province]],2,0),"")</f>
        <v>HUSVU Tadiwanashi</v>
      </c>
      <c r="G21" s="63" t="str">
        <f>IFERROR(VLOOKUP(Table9[[#This Row],[Player No]],Table11[[No]:[Province]],3,0),"")</f>
        <v>GN</v>
      </c>
      <c r="H21" s="635">
        <v>144.5</v>
      </c>
      <c r="I21" s="789">
        <f>Table9[[#This Row],[Points 2025]]/2+SUM(Table9[[#This Row],[O1  ADMIN 2026]:[P2       WC                   CT   Open 2026]])</f>
        <v>85.75</v>
      </c>
      <c r="J21" s="63">
        <f t="shared" si="1"/>
        <v>2</v>
      </c>
      <c r="K21" s="63">
        <f t="shared" si="2"/>
        <v>0</v>
      </c>
      <c r="L21" s="708">
        <v>12.5</v>
      </c>
      <c r="M21" s="708">
        <v>1</v>
      </c>
      <c r="N21" s="708" t="s">
        <v>6083</v>
      </c>
      <c r="O21" s="708"/>
      <c r="P21" s="63">
        <v>2</v>
      </c>
      <c r="Q21" s="63">
        <v>10</v>
      </c>
      <c r="R21" s="114"/>
      <c r="S21" s="114"/>
      <c r="T21" s="114"/>
      <c r="U21" s="114">
        <v>50</v>
      </c>
      <c r="V21" s="63"/>
      <c r="W21" s="708"/>
      <c r="X21" s="400">
        <v>25</v>
      </c>
      <c r="Y21" s="114"/>
      <c r="Z21" s="114"/>
      <c r="AA21" s="63">
        <v>2</v>
      </c>
      <c r="AB21" s="63"/>
      <c r="AC21" s="63">
        <v>17.5</v>
      </c>
      <c r="AD21" s="114">
        <v>0.5</v>
      </c>
      <c r="AE21" s="63">
        <v>1</v>
      </c>
      <c r="AF21" s="63">
        <v>2</v>
      </c>
      <c r="AG21" s="63">
        <v>1</v>
      </c>
      <c r="AH21" s="63"/>
      <c r="AI21" s="63"/>
      <c r="AJ21" s="63">
        <v>5</v>
      </c>
      <c r="AK21" s="63">
        <f>35/2</f>
        <v>17.5</v>
      </c>
      <c r="AL21" s="63">
        <v>35</v>
      </c>
      <c r="AM21" s="63">
        <f>2-2</f>
        <v>0</v>
      </c>
      <c r="AN21" s="63"/>
      <c r="AO21" s="63">
        <f>25/2</f>
        <v>12.5</v>
      </c>
      <c r="AT21" s="708"/>
      <c r="AU21" s="708"/>
    </row>
    <row r="22" spans="1:47" s="92" customFormat="1">
      <c r="A22" s="63">
        <f>IFERROR(VLOOKUP(Table9[[#This Row],[Player No]],Table11[[#All],[No]:[Age Group]],4,0),"")</f>
        <v>0</v>
      </c>
      <c r="B22" s="61">
        <v>31</v>
      </c>
      <c r="C22" s="77">
        <f>+B22-D22</f>
        <v>13</v>
      </c>
      <c r="D22" s="63">
        <f t="shared" si="3"/>
        <v>18</v>
      </c>
      <c r="E22" s="63">
        <v>8350</v>
      </c>
      <c r="F22" s="93" t="str">
        <f>IFERROR(VLOOKUP(Table9[[#This Row],[Player No]],Table11[[No]:[Province]],2,0),"")</f>
        <v>PARBHOODEEN Tarika Amber</v>
      </c>
      <c r="G22" s="63" t="str">
        <f>IFERROR(VLOOKUP(Table9[[#This Row],[Player No]],Table11[[No]:[Province]],3,0),"")</f>
        <v>UMG</v>
      </c>
      <c r="H22" s="635">
        <v>135.5</v>
      </c>
      <c r="I22" s="789">
        <f>Table9[[#This Row],[Points 2025]]/2+SUM(Table9[[#This Row],[O1  ADMIN 2026]:[P2       WC                   CT   Open 2026]])</f>
        <v>83.75</v>
      </c>
      <c r="J22" s="63">
        <f t="shared" si="1"/>
        <v>2</v>
      </c>
      <c r="K22" s="63">
        <f t="shared" si="2"/>
        <v>0</v>
      </c>
      <c r="L22" s="708" t="s">
        <v>6083</v>
      </c>
      <c r="M22" s="708">
        <v>1</v>
      </c>
      <c r="N22" s="708">
        <v>15</v>
      </c>
      <c r="O22" s="708"/>
      <c r="P22" s="63">
        <v>50</v>
      </c>
      <c r="Q22" s="63">
        <v>15</v>
      </c>
      <c r="R22" s="114">
        <v>15</v>
      </c>
      <c r="S22" s="114">
        <v>25</v>
      </c>
      <c r="T22" s="114">
        <v>15</v>
      </c>
      <c r="U22" s="114"/>
      <c r="V22" s="63"/>
      <c r="W22" s="708"/>
      <c r="X22" s="400"/>
      <c r="Y22" s="114"/>
      <c r="Z22" s="114"/>
      <c r="AA22" s="63"/>
      <c r="AB22" s="63"/>
      <c r="AC22" s="63"/>
      <c r="AD22" s="114"/>
      <c r="AE22" s="63"/>
      <c r="AF22" s="63">
        <v>25</v>
      </c>
      <c r="AG22" s="63">
        <v>1</v>
      </c>
      <c r="AH22" s="63"/>
      <c r="AI22" s="63"/>
      <c r="AJ22" s="63">
        <v>5</v>
      </c>
      <c r="AK22" s="63"/>
      <c r="AL22" s="63"/>
      <c r="AM22" s="63"/>
      <c r="AN22" s="63"/>
      <c r="AO22" s="63"/>
      <c r="AT22" s="708"/>
      <c r="AU22" s="708"/>
    </row>
    <row r="23" spans="1:47" s="92" customFormat="1">
      <c r="A23" s="175">
        <f>A22+1</f>
        <v>1</v>
      </c>
      <c r="B23" s="172"/>
      <c r="C23" s="168" t="e">
        <f>+B23-#REF!</f>
        <v>#REF!</v>
      </c>
      <c r="D23" s="63">
        <f t="shared" si="3"/>
        <v>19</v>
      </c>
      <c r="E23" s="174">
        <v>8670</v>
      </c>
      <c r="F23" s="93" t="str">
        <f>IFERROR(VLOOKUP(Table9[[#This Row],[Player No]],Table11[[No]:[Province]],2,0),"")</f>
        <v xml:space="preserve"> DAVID Carol</v>
      </c>
      <c r="G23" s="63" t="str">
        <f>IFERROR(VLOOKUP(Table9[[#This Row],[Player No]],Table11[[No]:[Province]],3,0),"")</f>
        <v>BOT</v>
      </c>
      <c r="H23" s="635">
        <v>150</v>
      </c>
      <c r="I23" s="821">
        <f>Table9[[#This Row],[Points 2025]]/2+SUM(Table9[[#This Row],[O1  ADMIN 2026]:[P2       WC                   CT   Open 2026]])</f>
        <v>75</v>
      </c>
      <c r="J23" s="63">
        <f t="shared" si="1"/>
        <v>0</v>
      </c>
      <c r="K23" s="63">
        <f t="shared" si="2"/>
        <v>0</v>
      </c>
      <c r="L23" s="708" t="s">
        <v>6083</v>
      </c>
      <c r="M23" s="708" t="s">
        <v>6083</v>
      </c>
      <c r="N23" s="708" t="s">
        <v>6083</v>
      </c>
      <c r="O23" s="708"/>
      <c r="P23" s="169"/>
      <c r="Q23" s="169"/>
      <c r="R23" s="318"/>
      <c r="S23" s="318"/>
      <c r="T23" s="318"/>
      <c r="U23" s="318"/>
      <c r="V23" s="169"/>
      <c r="W23" s="713"/>
      <c r="X23" s="402">
        <v>125</v>
      </c>
      <c r="Y23" s="318"/>
      <c r="Z23" s="318"/>
      <c r="AA23" s="169"/>
      <c r="AB23" s="169"/>
      <c r="AC23" s="169"/>
      <c r="AD23" s="318"/>
      <c r="AE23" s="169">
        <v>25</v>
      </c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T23" s="708"/>
      <c r="AU23" s="708"/>
    </row>
    <row r="24" spans="1:47" s="92" customFormat="1">
      <c r="A24" s="138">
        <f>A23+1</f>
        <v>2</v>
      </c>
      <c r="B24" s="61"/>
      <c r="C24" s="77" t="e">
        <f>+B24-#REF!</f>
        <v>#REF!</v>
      </c>
      <c r="D24" s="63">
        <f t="shared" si="3"/>
        <v>20</v>
      </c>
      <c r="E24" s="154">
        <v>8400</v>
      </c>
      <c r="F24" s="93" t="str">
        <f>IFERROR(VLOOKUP(Table9[[#This Row],[Player No]],Table11[[No]:[Province]],2,0),"")</f>
        <v>LETELE Katlego</v>
      </c>
      <c r="G24" s="63" t="str">
        <f>IFERROR(VLOOKUP(Table9[[#This Row],[Player No]],Table11[[No]:[Province]],3,0),"")</f>
        <v>EKU</v>
      </c>
      <c r="H24" s="635">
        <v>100</v>
      </c>
      <c r="I24" s="789">
        <f>Table9[[#This Row],[Points 2025]]/2+SUM(Table9[[#This Row],[O1  ADMIN 2026]:[P2       WC                   CT   Open 2026]])</f>
        <v>75</v>
      </c>
      <c r="J24" s="63">
        <f t="shared" si="1"/>
        <v>1</v>
      </c>
      <c r="K24" s="154">
        <f t="shared" si="2"/>
        <v>0</v>
      </c>
      <c r="L24" s="827">
        <v>25</v>
      </c>
      <c r="M24" s="827" t="s">
        <v>6083</v>
      </c>
      <c r="N24" s="827" t="s">
        <v>6083</v>
      </c>
      <c r="O24" s="827"/>
      <c r="P24" s="63"/>
      <c r="Q24" s="63"/>
      <c r="R24" s="114"/>
      <c r="S24" s="114"/>
      <c r="T24" s="114"/>
      <c r="U24" s="114"/>
      <c r="V24" s="63"/>
      <c r="W24" s="708"/>
      <c r="X24" s="400">
        <v>25</v>
      </c>
      <c r="Y24" s="114"/>
      <c r="Z24" s="114"/>
      <c r="AA24" s="63"/>
      <c r="AB24" s="63">
        <v>50</v>
      </c>
      <c r="AC24" s="63"/>
      <c r="AD24" s="114">
        <v>25</v>
      </c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T24" s="708"/>
      <c r="AU24" s="708"/>
    </row>
    <row r="25" spans="1:47" s="92" customFormat="1">
      <c r="A25" s="63">
        <f>IFERROR(VLOOKUP(Table9[[#This Row],[Player No]],Table11[[#All],[No]:[Age Group]],4,0),"")</f>
        <v>0</v>
      </c>
      <c r="B25" s="61">
        <v>112</v>
      </c>
      <c r="C25" s="77">
        <f>+B25-D25</f>
        <v>91</v>
      </c>
      <c r="D25" s="63">
        <f t="shared" si="3"/>
        <v>21</v>
      </c>
      <c r="E25" s="63">
        <v>8393</v>
      </c>
      <c r="F25" s="93" t="str">
        <f>IFERROR(VLOOKUP(Table9[[#This Row],[Player No]],Table11[[No]:[Province]],2,0),"")</f>
        <v>JOSEPH Skylyn</v>
      </c>
      <c r="G25" s="63" t="str">
        <f>IFERROR(VLOOKUP(Table9[[#This Row],[Player No]],Table11[[No]:[Province]],3,0),"")</f>
        <v>CT</v>
      </c>
      <c r="H25" s="635">
        <v>137.625</v>
      </c>
      <c r="I25" s="789">
        <f>Table9[[#This Row],[Points 2025]]/2+SUM(Table9[[#This Row],[O1  ADMIN 2026]:[P2       WC                   CT   Open 2026]])</f>
        <v>68.8125</v>
      </c>
      <c r="J25" s="63">
        <f t="shared" si="1"/>
        <v>0</v>
      </c>
      <c r="K25" s="63">
        <f t="shared" si="2"/>
        <v>0</v>
      </c>
      <c r="L25" s="708" t="s">
        <v>6083</v>
      </c>
      <c r="M25" s="708" t="s">
        <v>6083</v>
      </c>
      <c r="N25" s="708" t="s">
        <v>6083</v>
      </c>
      <c r="O25" s="708"/>
      <c r="P25" s="63"/>
      <c r="Q25" s="63"/>
      <c r="R25" s="114"/>
      <c r="S25" s="114"/>
      <c r="T25" s="114"/>
      <c r="U25" s="114"/>
      <c r="V25" s="63"/>
      <c r="W25" s="708"/>
      <c r="X25" s="400"/>
      <c r="Y25" s="114">
        <v>25</v>
      </c>
      <c r="Z25" s="114"/>
      <c r="AA25" s="63">
        <v>75</v>
      </c>
      <c r="AB25" s="63"/>
      <c r="AC25" s="63"/>
      <c r="AD25" s="114"/>
      <c r="AE25" s="63"/>
      <c r="AF25" s="63"/>
      <c r="AG25" s="63"/>
      <c r="AH25" s="63"/>
      <c r="AI25" s="63">
        <v>75</v>
      </c>
      <c r="AJ25" s="63"/>
      <c r="AK25" s="63"/>
      <c r="AL25" s="63"/>
      <c r="AM25" s="63"/>
      <c r="AN25" s="63"/>
      <c r="AO25" s="63"/>
      <c r="AT25" s="827"/>
      <c r="AU25" s="827"/>
    </row>
    <row r="26" spans="1:47" s="92" customFormat="1">
      <c r="A26" s="138" t="e">
        <f>#REF!+1</f>
        <v>#REF!</v>
      </c>
      <c r="B26" s="61"/>
      <c r="C26" s="77" t="e">
        <f>+B26-#REF!</f>
        <v>#REF!</v>
      </c>
      <c r="D26" s="63">
        <f t="shared" si="3"/>
        <v>22</v>
      </c>
      <c r="E26" s="315">
        <v>8521</v>
      </c>
      <c r="F26" s="93" t="str">
        <f>IFERROR(VLOOKUP(Table9[[#This Row],[Player No]],Table11[[No]:[Province]],2,0),"")</f>
        <v>Tamika Karra</v>
      </c>
      <c r="G26" s="63" t="str">
        <f>IFERROR(VLOOKUP(Table9[[#This Row],[Player No]],Table11[[No]:[Province]],3,0),"")</f>
        <v>CT</v>
      </c>
      <c r="H26" s="635">
        <v>137.5</v>
      </c>
      <c r="I26" s="789">
        <f>Table9[[#This Row],[Points 2025]]/2+SUM(Table9[[#This Row],[O1  ADMIN 2026]:[P2       WC                   CT   Open 2026]])</f>
        <v>68.75</v>
      </c>
      <c r="J26" s="63">
        <f t="shared" si="1"/>
        <v>0</v>
      </c>
      <c r="K26" s="154">
        <f t="shared" si="2"/>
        <v>0</v>
      </c>
      <c r="L26" s="827" t="s">
        <v>6083</v>
      </c>
      <c r="M26" s="827" t="s">
        <v>6083</v>
      </c>
      <c r="N26" s="827" t="s">
        <v>6083</v>
      </c>
      <c r="O26" s="827"/>
      <c r="P26" s="63"/>
      <c r="Q26" s="63"/>
      <c r="R26" s="114"/>
      <c r="S26" s="114"/>
      <c r="T26" s="114"/>
      <c r="U26" s="114"/>
      <c r="V26" s="63"/>
      <c r="W26" s="708"/>
      <c r="X26" s="400">
        <v>25</v>
      </c>
      <c r="Y26" s="114">
        <v>12.5</v>
      </c>
      <c r="Z26" s="114"/>
      <c r="AA26" s="63">
        <v>100</v>
      </c>
      <c r="AB26" s="63"/>
      <c r="AC26" s="63"/>
      <c r="AD26" s="114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T26" s="708"/>
      <c r="AU26" s="708"/>
    </row>
    <row r="27" spans="1:47" s="92" customFormat="1">
      <c r="A27" s="63" t="str">
        <f>IFERROR(VLOOKUP(Table9[[#This Row],[Player No]],Table11[[#All],[No]:[Age Group]],4,0),"")</f>
        <v>U13</v>
      </c>
      <c r="B27" s="61">
        <v>98</v>
      </c>
      <c r="C27" s="77">
        <f>+B27-D27</f>
        <v>75</v>
      </c>
      <c r="D27" s="63">
        <f t="shared" si="3"/>
        <v>23</v>
      </c>
      <c r="E27" s="63">
        <v>8069</v>
      </c>
      <c r="F27" s="93" t="str">
        <f>IFERROR(VLOOKUP(Table9[[#This Row],[Player No]],Table11[[No]:[Province]],2,0),"")</f>
        <v>VOSTER Raquelle</v>
      </c>
      <c r="G27" s="63" t="str">
        <f>IFERROR(VLOOKUP(Table9[[#This Row],[Player No]],Table11[[No]:[Province]],3,0),"")</f>
        <v>CW</v>
      </c>
      <c r="H27" s="635">
        <v>125.75</v>
      </c>
      <c r="I27" s="789">
        <f>Table9[[#This Row],[Points 2025]]/2+SUM(Table9[[#This Row],[O1  ADMIN 2026]:[P2       WC                   CT   Open 2026]])</f>
        <v>62.875</v>
      </c>
      <c r="J27" s="63">
        <f t="shared" si="1"/>
        <v>0</v>
      </c>
      <c r="K27" s="63">
        <f t="shared" si="2"/>
        <v>0</v>
      </c>
      <c r="L27" s="708" t="s">
        <v>6083</v>
      </c>
      <c r="M27" s="708" t="s">
        <v>6083</v>
      </c>
      <c r="N27" s="708" t="s">
        <v>6083</v>
      </c>
      <c r="O27" s="708"/>
      <c r="P27" s="63"/>
      <c r="Q27" s="63"/>
      <c r="R27" s="114"/>
      <c r="S27" s="114"/>
      <c r="T27" s="114"/>
      <c r="U27" s="114"/>
      <c r="V27" s="63"/>
      <c r="W27" s="708"/>
      <c r="X27" s="400"/>
      <c r="Y27" s="114">
        <v>0.5</v>
      </c>
      <c r="Z27" s="114"/>
      <c r="AA27" s="63">
        <v>75</v>
      </c>
      <c r="AB27" s="63"/>
      <c r="AC27" s="63"/>
      <c r="AD27" s="114"/>
      <c r="AE27" s="63"/>
      <c r="AF27" s="63"/>
      <c r="AG27" s="63"/>
      <c r="AH27" s="63">
        <v>25</v>
      </c>
      <c r="AI27" s="63">
        <v>75</v>
      </c>
      <c r="AJ27" s="63"/>
      <c r="AK27" s="63"/>
      <c r="AL27" s="63"/>
      <c r="AM27" s="63"/>
      <c r="AN27" s="63"/>
      <c r="AO27" s="63"/>
      <c r="AT27" s="708"/>
      <c r="AU27" s="708"/>
    </row>
    <row r="28" spans="1:47" s="92" customFormat="1">
      <c r="A28" s="63">
        <f>IFERROR(VLOOKUP(Table9[[#This Row],[Player No]],Table11[[#All],[No]:[Age Group]],4,0),"")</f>
        <v>0</v>
      </c>
      <c r="B28" s="61">
        <v>24</v>
      </c>
      <c r="C28" s="77">
        <f>+B28-D28</f>
        <v>0</v>
      </c>
      <c r="D28" s="63">
        <f t="shared" si="3"/>
        <v>24</v>
      </c>
      <c r="E28" s="63">
        <v>8125</v>
      </c>
      <c r="F28" s="93" t="str">
        <f>IFERROR(VLOOKUP(Table9[[#This Row],[Player No]],Table11[[No]:[Province]],2,0),"")</f>
        <v>GOLOGOLO Latita</v>
      </c>
      <c r="G28" s="63" t="str">
        <f>IFERROR(VLOOKUP(Table9[[#This Row],[Player No]],Table11[[No]:[Province]],3,0),"")</f>
        <v>FS</v>
      </c>
      <c r="H28" s="635">
        <v>123.75</v>
      </c>
      <c r="I28" s="789">
        <f>Table9[[#This Row],[Points 2025]]/2+SUM(Table9[[#This Row],[O1  ADMIN 2026]:[P2       WC                   CT   Open 2026]])</f>
        <v>61.875</v>
      </c>
      <c r="J28" s="63">
        <f t="shared" si="1"/>
        <v>0</v>
      </c>
      <c r="K28" s="63">
        <f t="shared" si="2"/>
        <v>0</v>
      </c>
      <c r="L28" s="708" t="s">
        <v>6083</v>
      </c>
      <c r="M28" s="708" t="s">
        <v>6083</v>
      </c>
      <c r="N28" s="708" t="s">
        <v>6083</v>
      </c>
      <c r="O28" s="708"/>
      <c r="P28" s="63"/>
      <c r="Q28" s="63"/>
      <c r="R28" s="114"/>
      <c r="S28" s="114"/>
      <c r="T28" s="114"/>
      <c r="U28" s="114">
        <v>50</v>
      </c>
      <c r="V28" s="63">
        <v>50</v>
      </c>
      <c r="W28" s="708"/>
      <c r="X28" s="400">
        <v>5</v>
      </c>
      <c r="Y28" s="114"/>
      <c r="Z28" s="114"/>
      <c r="AA28" s="63"/>
      <c r="AB28" s="63"/>
      <c r="AC28" s="63"/>
      <c r="AD28" s="114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T28" s="708"/>
      <c r="AU28" s="708"/>
    </row>
    <row r="29" spans="1:47" s="92" customFormat="1">
      <c r="A29" s="63">
        <f>IFERROR(VLOOKUP(Table9[[#This Row],[Player No]],Table11[[#All],[No]:[Age Group]],4,0),"")</f>
        <v>0</v>
      </c>
      <c r="B29" s="61">
        <v>4</v>
      </c>
      <c r="C29" s="77">
        <f>+B29-D29</f>
        <v>-21</v>
      </c>
      <c r="D29" s="63">
        <f t="shared" si="3"/>
        <v>25</v>
      </c>
      <c r="E29" s="63">
        <v>8105</v>
      </c>
      <c r="F29" s="93" t="str">
        <f>IFERROR(VLOOKUP(Table9[[#This Row],[Player No]],Table11[[No]:[Province]],2,0),"")</f>
        <v>CHINANC Nompilenhle</v>
      </c>
      <c r="G29" s="63" t="str">
        <f>IFERROR(VLOOKUP(Table9[[#This Row],[Player No]],Table11[[No]:[Province]],3,0),"")</f>
        <v>ETK</v>
      </c>
      <c r="H29" s="635">
        <v>121.875</v>
      </c>
      <c r="I29" s="789">
        <f>Table9[[#This Row],[Points 2025]]/2+SUM(Table9[[#This Row],[O1  ADMIN 2026]:[P2       WC                   CT   Open 2026]])</f>
        <v>60.9375</v>
      </c>
      <c r="J29" s="63">
        <f t="shared" si="1"/>
        <v>0</v>
      </c>
      <c r="K29" s="63">
        <f t="shared" si="2"/>
        <v>0</v>
      </c>
      <c r="L29" s="708" t="s">
        <v>6083</v>
      </c>
      <c r="M29" s="708" t="s">
        <v>6083</v>
      </c>
      <c r="N29" s="708" t="s">
        <v>6083</v>
      </c>
      <c r="O29" s="708"/>
      <c r="P29" s="63"/>
      <c r="Q29" s="63"/>
      <c r="R29" s="114"/>
      <c r="S29" s="114"/>
      <c r="T29" s="114"/>
      <c r="U29" s="114"/>
      <c r="V29" s="63"/>
      <c r="W29" s="708"/>
      <c r="X29" s="400"/>
      <c r="Y29" s="114"/>
      <c r="Z29" s="114"/>
      <c r="AA29" s="63"/>
      <c r="AB29" s="63"/>
      <c r="AC29" s="63"/>
      <c r="AD29" s="114"/>
      <c r="AE29" s="63"/>
      <c r="AF29" s="63">
        <v>100</v>
      </c>
      <c r="AG29" s="63"/>
      <c r="AH29" s="63"/>
      <c r="AI29" s="63"/>
      <c r="AJ29" s="63">
        <v>75</v>
      </c>
      <c r="AK29" s="63"/>
      <c r="AL29" s="63"/>
      <c r="AM29" s="63"/>
      <c r="AN29" s="63"/>
      <c r="AO29" s="63"/>
      <c r="AT29" s="708"/>
      <c r="AU29" s="708"/>
    </row>
    <row r="30" spans="1:47" s="92" customFormat="1">
      <c r="A30" s="63">
        <f>IFERROR(VLOOKUP(Table9[[#This Row],[Player No]],Table11[[#All],[No]:[Age Group]],4,0),"")</f>
        <v>0</v>
      </c>
      <c r="B30" s="61">
        <v>32</v>
      </c>
      <c r="C30" s="77">
        <f>+B30-D30</f>
        <v>6</v>
      </c>
      <c r="D30" s="63">
        <f t="shared" si="3"/>
        <v>26</v>
      </c>
      <c r="E30" s="63">
        <v>8351</v>
      </c>
      <c r="F30" s="93" t="str">
        <f>IFERROR(VLOOKUP(Table9[[#This Row],[Player No]],Table11[[No]:[Province]],2,0),"")</f>
        <v>KANNIE Jazmine</v>
      </c>
      <c r="G30" s="63" t="str">
        <f>IFERROR(VLOOKUP(Table9[[#This Row],[Player No]],Table11[[No]:[Province]],3,0),"")</f>
        <v>UMG</v>
      </c>
      <c r="H30" s="635">
        <v>119</v>
      </c>
      <c r="I30" s="789">
        <f>Table9[[#This Row],[Points 2025]]/2+SUM(Table9[[#This Row],[O1  ADMIN 2026]:[P2       WC                   CT   Open 2026]])</f>
        <v>59.5</v>
      </c>
      <c r="J30" s="63">
        <f t="shared" si="1"/>
        <v>0</v>
      </c>
      <c r="K30" s="63">
        <f t="shared" si="2"/>
        <v>0</v>
      </c>
      <c r="L30" s="708" t="s">
        <v>6083</v>
      </c>
      <c r="M30" s="708" t="s">
        <v>6083</v>
      </c>
      <c r="N30" s="708" t="s">
        <v>6083</v>
      </c>
      <c r="O30" s="708"/>
      <c r="P30" s="63">
        <v>25</v>
      </c>
      <c r="Q30" s="63">
        <v>1</v>
      </c>
      <c r="R30" s="114">
        <v>15</v>
      </c>
      <c r="S30" s="114"/>
      <c r="T30" s="114">
        <v>15</v>
      </c>
      <c r="U30" s="114"/>
      <c r="V30" s="63"/>
      <c r="W30" s="708"/>
      <c r="X30" s="400">
        <v>50</v>
      </c>
      <c r="Y30" s="114"/>
      <c r="Z30" s="114"/>
      <c r="AA30" s="63"/>
      <c r="AB30" s="63"/>
      <c r="AC30" s="63"/>
      <c r="AD30" s="114"/>
      <c r="AE30" s="63"/>
      <c r="AF30" s="63">
        <v>25</v>
      </c>
      <c r="AG30" s="63">
        <v>1</v>
      </c>
      <c r="AH30" s="63"/>
      <c r="AI30" s="63"/>
      <c r="AJ30" s="63"/>
      <c r="AK30" s="63"/>
      <c r="AL30" s="63"/>
      <c r="AM30" s="63"/>
      <c r="AN30" s="63"/>
      <c r="AO30" s="63"/>
      <c r="AT30" s="708"/>
      <c r="AU30" s="708"/>
    </row>
    <row r="31" spans="1:47" s="92" customFormat="1">
      <c r="A31" s="63">
        <f>IFERROR(VLOOKUP(Table9[[#This Row],[Player No]],Table11[[#All],[No]:[Age Group]],4,0),"")</f>
        <v>0</v>
      </c>
      <c r="B31" s="61">
        <v>7</v>
      </c>
      <c r="C31" s="77">
        <f>+B31-D31</f>
        <v>-20</v>
      </c>
      <c r="D31" s="63">
        <f t="shared" si="3"/>
        <v>27</v>
      </c>
      <c r="E31" s="63">
        <v>8085</v>
      </c>
      <c r="F31" s="93" t="str">
        <f>IFERROR(VLOOKUP(Table9[[#This Row],[Player No]],Table11[[No]:[Province]],2,0),"")</f>
        <v>PILLAY Veya</v>
      </c>
      <c r="G31" s="63" t="str">
        <f>IFERROR(VLOOKUP(Table9[[#This Row],[Player No]],Table11[[No]:[Province]],3,0),"")</f>
        <v>UMG</v>
      </c>
      <c r="H31" s="635">
        <v>103.75</v>
      </c>
      <c r="I31" s="789">
        <f>Table9[[#This Row],[Points 2025]]/2+SUM(Table9[[#This Row],[O1  ADMIN 2026]:[P2       WC                   CT   Open 2026]])</f>
        <v>51.875</v>
      </c>
      <c r="J31" s="63">
        <f t="shared" si="1"/>
        <v>0</v>
      </c>
      <c r="K31" s="63">
        <f t="shared" si="2"/>
        <v>0</v>
      </c>
      <c r="L31" s="708" t="s">
        <v>6083</v>
      </c>
      <c r="M31" s="708" t="s">
        <v>6083</v>
      </c>
      <c r="N31" s="708" t="s">
        <v>6083</v>
      </c>
      <c r="O31" s="708"/>
      <c r="P31" s="63"/>
      <c r="Q31" s="63"/>
      <c r="R31" s="114"/>
      <c r="S31" s="114"/>
      <c r="T31" s="114"/>
      <c r="U31" s="114"/>
      <c r="V31" s="63"/>
      <c r="W31" s="708"/>
      <c r="X31" s="400"/>
      <c r="Y31" s="114"/>
      <c r="Z31" s="114"/>
      <c r="AA31" s="63"/>
      <c r="AB31" s="63"/>
      <c r="AC31" s="63"/>
      <c r="AD31" s="114"/>
      <c r="AE31" s="63"/>
      <c r="AF31" s="63">
        <v>50</v>
      </c>
      <c r="AG31" s="63">
        <v>25</v>
      </c>
      <c r="AH31" s="63"/>
      <c r="AI31" s="63"/>
      <c r="AJ31" s="63">
        <v>75</v>
      </c>
      <c r="AK31" s="63"/>
      <c r="AL31" s="63"/>
      <c r="AM31" s="63"/>
      <c r="AN31" s="63">
        <v>25</v>
      </c>
      <c r="AO31" s="63"/>
      <c r="AT31" s="827"/>
      <c r="AU31" s="827"/>
    </row>
    <row r="32" spans="1:47" s="92" customFormat="1">
      <c r="A32" s="138">
        <f>A31+1</f>
        <v>1</v>
      </c>
      <c r="B32" s="61"/>
      <c r="C32" s="77" t="e">
        <f>+B32-#REF!</f>
        <v>#REF!</v>
      </c>
      <c r="D32" s="63">
        <f t="shared" si="3"/>
        <v>28</v>
      </c>
      <c r="E32" s="154">
        <v>8520</v>
      </c>
      <c r="F32" s="93" t="str">
        <f>IFERROR(VLOOKUP(Table9[[#This Row],[Player No]],Table11[[No]:[Province]],2,0),"")</f>
        <v>Camryn Otto</v>
      </c>
      <c r="G32" s="63" t="str">
        <f>IFERROR(VLOOKUP(Table9[[#This Row],[Player No]],Table11[[No]:[Province]],3,0),"")</f>
        <v>CT</v>
      </c>
      <c r="H32" s="635">
        <v>100.5</v>
      </c>
      <c r="I32" s="789">
        <f>Table9[[#This Row],[Points 2025]]/2+SUM(Table9[[#This Row],[O1  ADMIN 2026]:[P2       WC                   CT   Open 2026]])</f>
        <v>50.25</v>
      </c>
      <c r="J32" s="63">
        <f t="shared" si="1"/>
        <v>0</v>
      </c>
      <c r="K32" s="154">
        <f t="shared" si="2"/>
        <v>0</v>
      </c>
      <c r="L32" s="827" t="s">
        <v>6083</v>
      </c>
      <c r="M32" s="827" t="s">
        <v>6083</v>
      </c>
      <c r="N32" s="827" t="s">
        <v>6083</v>
      </c>
      <c r="O32" s="827"/>
      <c r="P32" s="63"/>
      <c r="Q32" s="63"/>
      <c r="R32" s="114"/>
      <c r="S32" s="114"/>
      <c r="T32" s="114"/>
      <c r="U32" s="114"/>
      <c r="V32" s="63"/>
      <c r="W32" s="708"/>
      <c r="X32" s="400">
        <v>75</v>
      </c>
      <c r="Y32" s="114">
        <v>0.5</v>
      </c>
      <c r="Z32" s="114"/>
      <c r="AA32" s="63">
        <v>25</v>
      </c>
      <c r="AB32" s="63"/>
      <c r="AC32" s="63"/>
      <c r="AD32" s="114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T32" s="827"/>
      <c r="AU32" s="827"/>
    </row>
    <row r="33" spans="1:47" s="92" customFormat="1">
      <c r="A33" s="63">
        <f>IFERROR(VLOOKUP(Table9[[#This Row],[Player No]],Table11[[#All],[No]:[Age Group]],4,0),"")</f>
        <v>0</v>
      </c>
      <c r="B33" s="61">
        <v>58</v>
      </c>
      <c r="C33" s="77">
        <f>+B33-D33</f>
        <v>29</v>
      </c>
      <c r="D33" s="63">
        <f t="shared" si="3"/>
        <v>29</v>
      </c>
      <c r="E33" s="63">
        <v>8178</v>
      </c>
      <c r="F33" s="93" t="str">
        <f>IFERROR(VLOOKUP(Table9[[#This Row],[Player No]],Table11[[No]:[Province]],2,0),"")</f>
        <v>Motshabi Bopelo</v>
      </c>
      <c r="G33" s="63" t="str">
        <f>IFERROR(VLOOKUP(Table9[[#This Row],[Player No]],Table11[[No]:[Province]],3,0),"")</f>
        <v>FS</v>
      </c>
      <c r="H33" s="635">
        <v>93.75</v>
      </c>
      <c r="I33" s="789">
        <f>Table9[[#This Row],[Points 2025]]/2+SUM(Table9[[#This Row],[O1  ADMIN 2026]:[P2       WC                   CT   Open 2026]])</f>
        <v>46.875</v>
      </c>
      <c r="J33" s="63">
        <f t="shared" si="1"/>
        <v>0</v>
      </c>
      <c r="K33" s="63">
        <f t="shared" si="2"/>
        <v>0</v>
      </c>
      <c r="L33" s="708" t="s">
        <v>6083</v>
      </c>
      <c r="M33" s="708" t="s">
        <v>6083</v>
      </c>
      <c r="N33" s="708" t="s">
        <v>6083</v>
      </c>
      <c r="O33" s="708"/>
      <c r="P33" s="63"/>
      <c r="Q33" s="63"/>
      <c r="R33" s="114"/>
      <c r="S33" s="114"/>
      <c r="T33" s="114"/>
      <c r="U33" s="114">
        <v>75</v>
      </c>
      <c r="V33" s="63"/>
      <c r="W33" s="708"/>
      <c r="X33" s="400">
        <v>10</v>
      </c>
      <c r="Y33" s="114"/>
      <c r="Z33" s="114"/>
      <c r="AA33" s="63"/>
      <c r="AB33" s="63"/>
      <c r="AC33" s="63"/>
      <c r="AD33" s="114"/>
      <c r="AE33" s="63"/>
      <c r="AF33" s="63"/>
      <c r="AG33" s="63"/>
      <c r="AH33" s="63"/>
      <c r="AI33" s="63"/>
      <c r="AJ33" s="63">
        <v>5</v>
      </c>
      <c r="AK33" s="63"/>
      <c r="AL33" s="63"/>
      <c r="AM33" s="63"/>
      <c r="AN33" s="63"/>
      <c r="AO33" s="63"/>
      <c r="AT33" s="708"/>
      <c r="AU33" s="708"/>
    </row>
    <row r="34" spans="1:47" s="92" customFormat="1">
      <c r="A34" s="63" t="str">
        <f>IFERROR(VLOOKUP(Table9[[#This Row],[Player No]],Table11[[#All],[No]:[Age Group]],4,0),"")</f>
        <v>U11</v>
      </c>
      <c r="B34" s="61">
        <v>28</v>
      </c>
      <c r="C34" s="77">
        <f>+B34-D34</f>
        <v>-2</v>
      </c>
      <c r="D34" s="63">
        <f t="shared" si="3"/>
        <v>30</v>
      </c>
      <c r="E34" s="63">
        <v>8279</v>
      </c>
      <c r="F34" s="93" t="str">
        <f>IFERROR(VLOOKUP(Table9[[#This Row],[Player No]],Table11[[No]:[Province]],2,0),"")</f>
        <v>MARSHALL Lael</v>
      </c>
      <c r="G34" s="63" t="str">
        <f>IFERROR(VLOOKUP(Table9[[#This Row],[Player No]],Table11[[No]:[Province]],3,0),"")</f>
        <v xml:space="preserve">JTTA </v>
      </c>
      <c r="H34" s="635">
        <v>91.875</v>
      </c>
      <c r="I34" s="789">
        <f>Table9[[#This Row],[Points 2025]]/2+SUM(Table9[[#This Row],[O1  ADMIN 2026]:[P2       WC                   CT   Open 2026]])</f>
        <v>45.9375</v>
      </c>
      <c r="J34" s="63">
        <f t="shared" si="1"/>
        <v>0</v>
      </c>
      <c r="K34" s="63">
        <f t="shared" si="2"/>
        <v>0</v>
      </c>
      <c r="L34" s="708" t="s">
        <v>6083</v>
      </c>
      <c r="M34" s="708" t="s">
        <v>6083</v>
      </c>
      <c r="N34" s="708" t="s">
        <v>6083</v>
      </c>
      <c r="O34" s="708"/>
      <c r="P34" s="63"/>
      <c r="Q34" s="63"/>
      <c r="R34" s="114"/>
      <c r="S34" s="114"/>
      <c r="T34" s="114"/>
      <c r="U34" s="114"/>
      <c r="V34" s="63"/>
      <c r="W34" s="708"/>
      <c r="X34" s="400"/>
      <c r="Y34" s="114"/>
      <c r="Z34" s="114"/>
      <c r="AA34" s="63"/>
      <c r="AB34" s="63"/>
      <c r="AC34" s="63"/>
      <c r="AD34" s="114"/>
      <c r="AE34" s="63"/>
      <c r="AF34" s="63"/>
      <c r="AG34" s="63"/>
      <c r="AH34" s="63"/>
      <c r="AI34" s="63"/>
      <c r="AJ34" s="63">
        <v>75</v>
      </c>
      <c r="AK34" s="63"/>
      <c r="AL34" s="63"/>
      <c r="AM34" s="63">
        <v>75</v>
      </c>
      <c r="AN34" s="63"/>
      <c r="AO34" s="63">
        <f>50/2</f>
        <v>25</v>
      </c>
      <c r="AT34" s="708"/>
      <c r="AU34" s="708"/>
    </row>
    <row r="35" spans="1:47" s="92" customFormat="1">
      <c r="A35" s="63">
        <f>IFERROR(VLOOKUP(Table9[[#This Row],[Player No]],Table11[[#All],[No]:[Age Group]],4,0),"")</f>
        <v>0</v>
      </c>
      <c r="B35" s="61">
        <v>88</v>
      </c>
      <c r="C35" s="77">
        <f>+B35-D35</f>
        <v>57</v>
      </c>
      <c r="D35" s="63">
        <f t="shared" si="3"/>
        <v>31</v>
      </c>
      <c r="E35" s="63">
        <v>8390</v>
      </c>
      <c r="F35" s="93" t="str">
        <f>IFERROR(VLOOKUP(Table9[[#This Row],[Player No]],Table11[[No]:[Province]],2,0),"")</f>
        <v>SHEZI Amanda</v>
      </c>
      <c r="G35" s="63" t="str">
        <f>IFERROR(VLOOKUP(Table9[[#This Row],[Player No]],Table11[[No]:[Province]],3,0),"")</f>
        <v>ETK</v>
      </c>
      <c r="H35" s="635">
        <v>76.125</v>
      </c>
      <c r="I35" s="789">
        <f>Table9[[#This Row],[Points 2025]]/2+SUM(Table9[[#This Row],[O1  ADMIN 2026]:[P2       WC                   CT   Open 2026]])</f>
        <v>38.0625</v>
      </c>
      <c r="J35" s="63">
        <f t="shared" si="1"/>
        <v>0</v>
      </c>
      <c r="K35" s="63">
        <f t="shared" si="2"/>
        <v>0</v>
      </c>
      <c r="L35" s="708" t="s">
        <v>6083</v>
      </c>
      <c r="M35" s="708" t="s">
        <v>6083</v>
      </c>
      <c r="N35" s="708" t="s">
        <v>6083</v>
      </c>
      <c r="O35" s="708"/>
      <c r="P35" s="63"/>
      <c r="Q35" s="63"/>
      <c r="R35" s="114"/>
      <c r="S35" s="114"/>
      <c r="T35" s="114"/>
      <c r="U35" s="114"/>
      <c r="V35" s="63"/>
      <c r="W35" s="708"/>
      <c r="X35" s="400">
        <v>50</v>
      </c>
      <c r="Y35" s="114"/>
      <c r="Z35" s="114"/>
      <c r="AA35" s="63"/>
      <c r="AB35" s="63"/>
      <c r="AC35" s="63"/>
      <c r="AD35" s="114"/>
      <c r="AE35" s="63"/>
      <c r="AF35" s="63">
        <v>2</v>
      </c>
      <c r="AG35" s="63"/>
      <c r="AH35" s="63">
        <v>50</v>
      </c>
      <c r="AI35" s="63"/>
      <c r="AJ35" s="63"/>
      <c r="AK35" s="63"/>
      <c r="AL35" s="63"/>
      <c r="AM35" s="63"/>
      <c r="AN35" s="63"/>
      <c r="AO35" s="63"/>
      <c r="AT35" s="708"/>
      <c r="AU35" s="708"/>
    </row>
    <row r="36" spans="1:47" s="92" customFormat="1">
      <c r="A36" s="175" t="e">
        <f>#REF!+1</f>
        <v>#REF!</v>
      </c>
      <c r="B36" s="172"/>
      <c r="C36" s="168" t="e">
        <f>+B36-#REF!</f>
        <v>#REF!</v>
      </c>
      <c r="D36" s="63">
        <f t="shared" si="3"/>
        <v>32</v>
      </c>
      <c r="E36" s="174">
        <v>8669</v>
      </c>
      <c r="F36" s="93" t="str">
        <f>IFERROR(VLOOKUP(Table9[[#This Row],[Player No]],Table11[[No]:[Province]],2,0),"")</f>
        <v>NKELE Boitlamo</v>
      </c>
      <c r="G36" s="63" t="str">
        <f>IFERROR(VLOOKUP(Table9[[#This Row],[Player No]],Table11[[No]:[Province]],3,0),"")</f>
        <v>BOT</v>
      </c>
      <c r="H36" s="635">
        <v>75</v>
      </c>
      <c r="I36" s="821">
        <f>Table9[[#This Row],[Points 2025]]/2+SUM(Table9[[#This Row],[O1  ADMIN 2026]:[P2       WC                   CT   Open 2026]])</f>
        <v>37.5</v>
      </c>
      <c r="J36" s="63">
        <f t="shared" si="1"/>
        <v>0</v>
      </c>
      <c r="K36" s="63">
        <f t="shared" si="2"/>
        <v>0</v>
      </c>
      <c r="L36" s="708" t="s">
        <v>6083</v>
      </c>
      <c r="M36" s="708" t="s">
        <v>6083</v>
      </c>
      <c r="N36" s="708" t="s">
        <v>6083</v>
      </c>
      <c r="O36" s="708"/>
      <c r="P36" s="169"/>
      <c r="Q36" s="169"/>
      <c r="R36" s="318"/>
      <c r="S36" s="318"/>
      <c r="T36" s="318"/>
      <c r="U36" s="318"/>
      <c r="V36" s="169"/>
      <c r="W36" s="713"/>
      <c r="X36" s="402"/>
      <c r="Y36" s="318"/>
      <c r="Z36" s="318"/>
      <c r="AA36" s="169"/>
      <c r="AB36" s="169"/>
      <c r="AC36" s="169"/>
      <c r="AD36" s="318"/>
      <c r="AE36" s="169">
        <v>75</v>
      </c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T36" s="708"/>
      <c r="AU36" s="708"/>
    </row>
    <row r="37" spans="1:47" s="92" customFormat="1">
      <c r="A37" s="63" t="str">
        <f>IFERROR(VLOOKUP(Table9[[#This Row],[Player No]],Table11[[#All],[No]:[Age Group]],4,0),"")</f>
        <v>U13</v>
      </c>
      <c r="B37" s="61">
        <v>73</v>
      </c>
      <c r="C37" s="77">
        <f>+B37-D37</f>
        <v>40</v>
      </c>
      <c r="D37" s="63">
        <f t="shared" si="3"/>
        <v>33</v>
      </c>
      <c r="E37" s="63">
        <v>8307</v>
      </c>
      <c r="F37" s="93" t="str">
        <f>IFERROR(VLOOKUP(Table9[[#This Row],[Player No]],Table11[[No]:[Province]],2,0),"")</f>
        <v>KESVAL Grace</v>
      </c>
      <c r="G37" s="63" t="str">
        <f>IFERROR(VLOOKUP(Table9[[#This Row],[Player No]],Table11[[No]:[Province]],3,0),"")</f>
        <v>JTTA</v>
      </c>
      <c r="H37" s="635">
        <v>73.125</v>
      </c>
      <c r="I37" s="789">
        <f>Table9[[#This Row],[Points 2025]]/2+SUM(Table9[[#This Row],[O1  ADMIN 2026]:[P2       WC                   CT   Open 2026]])</f>
        <v>36.5625</v>
      </c>
      <c r="J37" s="63">
        <f t="shared" si="1"/>
        <v>0</v>
      </c>
      <c r="K37" s="63">
        <f t="shared" si="2"/>
        <v>0</v>
      </c>
      <c r="L37" s="708" t="s">
        <v>6083</v>
      </c>
      <c r="M37" s="708" t="s">
        <v>6083</v>
      </c>
      <c r="N37" s="708" t="s">
        <v>6083</v>
      </c>
      <c r="O37" s="708"/>
      <c r="P37" s="63"/>
      <c r="Q37" s="63"/>
      <c r="R37" s="114"/>
      <c r="S37" s="114"/>
      <c r="T37" s="114"/>
      <c r="U37" s="114"/>
      <c r="V37" s="63"/>
      <c r="W37" s="708"/>
      <c r="X37" s="400">
        <v>25</v>
      </c>
      <c r="Y37" s="114"/>
      <c r="Z37" s="114"/>
      <c r="AA37" s="63"/>
      <c r="AB37" s="63"/>
      <c r="AC37" s="63"/>
      <c r="AD37" s="114"/>
      <c r="AE37" s="63">
        <v>25</v>
      </c>
      <c r="AF37" s="63"/>
      <c r="AG37" s="63"/>
      <c r="AH37" s="63"/>
      <c r="AI37" s="63"/>
      <c r="AJ37" s="63">
        <v>25</v>
      </c>
      <c r="AK37" s="63"/>
      <c r="AL37" s="63">
        <v>15</v>
      </c>
      <c r="AM37" s="63"/>
      <c r="AN37" s="63"/>
      <c r="AO37" s="63"/>
      <c r="AT37" s="708"/>
      <c r="AU37" s="708"/>
    </row>
    <row r="38" spans="1:47" s="92" customFormat="1">
      <c r="A38" s="63">
        <f>IFERROR(VLOOKUP(Table9[[#This Row],[Player No]],Table11[[#All],[No]:[Age Group]],4,0),"")</f>
        <v>0</v>
      </c>
      <c r="B38" s="61">
        <v>100</v>
      </c>
      <c r="C38" s="77">
        <f>+B38-D38</f>
        <v>66</v>
      </c>
      <c r="D38" s="63">
        <f t="shared" si="3"/>
        <v>34</v>
      </c>
      <c r="E38" s="63">
        <v>8076</v>
      </c>
      <c r="F38" s="93" t="str">
        <f>IFERROR(VLOOKUP(Table9[[#This Row],[Player No]],Table11[[No]:[Province]],2,0),"")</f>
        <v>DJEUDJE Akheela</v>
      </c>
      <c r="G38" s="63" t="str">
        <f>IFERROR(VLOOKUP(Table9[[#This Row],[Player No]],Table11[[No]:[Province]],3,0),"")</f>
        <v>WC</v>
      </c>
      <c r="H38" s="635">
        <v>62.75</v>
      </c>
      <c r="I38" s="789">
        <f>Table9[[#This Row],[Points 2025]]/2+SUM(Table9[[#This Row],[O1  ADMIN 2026]:[P2       WC                   CT   Open 2026]])</f>
        <v>31.375</v>
      </c>
      <c r="J38" s="63">
        <f t="shared" si="1"/>
        <v>0</v>
      </c>
      <c r="K38" s="63">
        <f t="shared" si="2"/>
        <v>0</v>
      </c>
      <c r="L38" s="708" t="s">
        <v>6083</v>
      </c>
      <c r="M38" s="708" t="s">
        <v>6083</v>
      </c>
      <c r="N38" s="708" t="s">
        <v>6083</v>
      </c>
      <c r="O38" s="708"/>
      <c r="P38" s="63"/>
      <c r="Q38" s="63"/>
      <c r="R38" s="114"/>
      <c r="S38" s="114"/>
      <c r="T38" s="114"/>
      <c r="U38" s="114"/>
      <c r="V38" s="63"/>
      <c r="W38" s="708"/>
      <c r="X38" s="400">
        <v>0</v>
      </c>
      <c r="Y38" s="114"/>
      <c r="Z38" s="114"/>
      <c r="AA38" s="63">
        <v>50</v>
      </c>
      <c r="AB38" s="63"/>
      <c r="AC38" s="63"/>
      <c r="AD38" s="114"/>
      <c r="AE38" s="63"/>
      <c r="AF38" s="63"/>
      <c r="AG38" s="63"/>
      <c r="AH38" s="63">
        <v>25</v>
      </c>
      <c r="AI38" s="63"/>
      <c r="AJ38" s="63"/>
      <c r="AK38" s="63"/>
      <c r="AL38" s="63"/>
      <c r="AM38" s="63"/>
      <c r="AN38" s="63"/>
      <c r="AO38" s="63"/>
      <c r="AT38" s="708"/>
      <c r="AU38" s="708"/>
    </row>
    <row r="39" spans="1:47" s="92" customFormat="1">
      <c r="A39" s="63" t="str">
        <f>IFERROR(VLOOKUP(Table9[[#This Row],[Player No]],Table11[[#All],[No]:[Age Group]],4,0),"")</f>
        <v>U11</v>
      </c>
      <c r="B39" s="61"/>
      <c r="C39" s="77"/>
      <c r="D39" s="63">
        <f t="shared" si="3"/>
        <v>35</v>
      </c>
      <c r="E39" s="141">
        <v>8442</v>
      </c>
      <c r="F39" s="93" t="str">
        <f>IFERROR(VLOOKUP(Table9[[#This Row],[Player No]],Table11[[No]:[Province]],2,0),"")</f>
        <v>REDDY Jordyn</v>
      </c>
      <c r="G39" s="63" t="str">
        <f>IFERROR(VLOOKUP(Table9[[#This Row],[Player No]],Table11[[No]:[Province]],3,0),"")</f>
        <v>UMG</v>
      </c>
      <c r="H39" s="635">
        <v>29</v>
      </c>
      <c r="I39" s="789">
        <f>Table9[[#This Row],[Points 2025]]/2+SUM(Table9[[#This Row],[O1  ADMIN 2026]:[P2       WC                   CT   Open 2026]])</f>
        <v>30.5</v>
      </c>
      <c r="J39" s="63">
        <f t="shared" si="1"/>
        <v>2</v>
      </c>
      <c r="K39" s="63">
        <f t="shared" si="2"/>
        <v>0</v>
      </c>
      <c r="L39" s="708" t="s">
        <v>6083</v>
      </c>
      <c r="M39" s="708">
        <v>1</v>
      </c>
      <c r="N39" s="708">
        <v>15</v>
      </c>
      <c r="O39" s="708"/>
      <c r="P39" s="63">
        <v>2</v>
      </c>
      <c r="Q39" s="63">
        <v>1</v>
      </c>
      <c r="R39" s="114">
        <v>1</v>
      </c>
      <c r="S39" s="114"/>
      <c r="T39" s="114">
        <v>15</v>
      </c>
      <c r="U39" s="114"/>
      <c r="V39" s="63"/>
      <c r="W39" s="708"/>
      <c r="X39" s="400">
        <v>10</v>
      </c>
      <c r="Y39" s="114"/>
      <c r="Z39" s="114"/>
      <c r="AA39" s="63"/>
      <c r="AB39" s="63"/>
      <c r="AC39" s="63"/>
      <c r="AD39" s="114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T39" s="708"/>
      <c r="AU39" s="708"/>
    </row>
    <row r="40" spans="1:47" s="92" customFormat="1">
      <c r="A40" s="63">
        <f>IFERROR(VLOOKUP(Table9[[#This Row],[Player No]],Table11[[#All],[No]:[Age Group]],4,0),"")</f>
        <v>0</v>
      </c>
      <c r="B40" s="61">
        <v>112</v>
      </c>
      <c r="C40" s="77">
        <f>+B40-D40</f>
        <v>76</v>
      </c>
      <c r="D40" s="63">
        <f t="shared" si="3"/>
        <v>36</v>
      </c>
      <c r="E40" s="63">
        <v>8159</v>
      </c>
      <c r="F40" s="93" t="str">
        <f>IFERROR(VLOOKUP(Table9[[#This Row],[Player No]],Table11[[No]:[Province]],2,0),"")</f>
        <v>VAN DER SCHYFF Kauthar</v>
      </c>
      <c r="G40" s="63" t="str">
        <f>IFERROR(VLOOKUP(Table9[[#This Row],[Player No]],Table11[[No]:[Province]],3,0),"")</f>
        <v>CT</v>
      </c>
      <c r="H40" s="635">
        <v>57.625</v>
      </c>
      <c r="I40" s="789">
        <f>Table9[[#This Row],[Points 2025]]/2+SUM(Table9[[#This Row],[O1  ADMIN 2026]:[P2       WC                   CT   Open 2026]])</f>
        <v>28.8125</v>
      </c>
      <c r="J40" s="63">
        <f t="shared" si="1"/>
        <v>0</v>
      </c>
      <c r="K40" s="63">
        <f t="shared" si="2"/>
        <v>0</v>
      </c>
      <c r="L40" s="708" t="s">
        <v>6083</v>
      </c>
      <c r="M40" s="708" t="s">
        <v>6083</v>
      </c>
      <c r="N40" s="708" t="s">
        <v>6083</v>
      </c>
      <c r="O40" s="708"/>
      <c r="P40" s="63"/>
      <c r="Q40" s="63"/>
      <c r="R40" s="114"/>
      <c r="S40" s="114"/>
      <c r="T40" s="114"/>
      <c r="U40" s="114"/>
      <c r="V40" s="63"/>
      <c r="W40" s="708"/>
      <c r="X40" s="400">
        <v>25</v>
      </c>
      <c r="Y40" s="114">
        <v>7.5</v>
      </c>
      <c r="Z40" s="114"/>
      <c r="AA40" s="63">
        <v>25</v>
      </c>
      <c r="AB40" s="63"/>
      <c r="AC40" s="63"/>
      <c r="AD40" s="114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T40" s="708"/>
      <c r="AU40" s="708"/>
    </row>
    <row r="41" spans="1:47" s="92" customFormat="1">
      <c r="A41" s="63">
        <f>IFERROR(VLOOKUP(Table9[[#This Row],[Player No]],Table11[[#All],[No]:[Age Group]],4,0),"")</f>
        <v>0</v>
      </c>
      <c r="B41" s="61">
        <v>10</v>
      </c>
      <c r="C41" s="77">
        <f>+B41-D41</f>
        <v>-27</v>
      </c>
      <c r="D41" s="63">
        <f t="shared" si="3"/>
        <v>37</v>
      </c>
      <c r="E41" s="63">
        <v>8295</v>
      </c>
      <c r="F41" s="93" t="str">
        <f>IFERROR(VLOOKUP(Table9[[#This Row],[Player No]],Table11[[No]:[Province]],2,0),"")</f>
        <v>Chinanga Mpilo Enhle</v>
      </c>
      <c r="G41" s="63" t="str">
        <f>IFERROR(VLOOKUP(Table9[[#This Row],[Player No]],Table11[[No]:[Province]],3,0),"")</f>
        <v>ETK</v>
      </c>
      <c r="H41" s="635">
        <v>56.25</v>
      </c>
      <c r="I41" s="789">
        <f>Table9[[#This Row],[Points 2025]]/2+SUM(Table9[[#This Row],[O1  ADMIN 2026]:[P2       WC                   CT   Open 2026]])</f>
        <v>28.125</v>
      </c>
      <c r="J41" s="63">
        <f t="shared" si="1"/>
        <v>0</v>
      </c>
      <c r="K41" s="63">
        <f t="shared" si="2"/>
        <v>0</v>
      </c>
      <c r="L41" s="708" t="s">
        <v>6083</v>
      </c>
      <c r="M41" s="708" t="s">
        <v>6083</v>
      </c>
      <c r="N41" s="708" t="s">
        <v>6083</v>
      </c>
      <c r="O41" s="708"/>
      <c r="P41" s="63"/>
      <c r="Q41" s="63"/>
      <c r="R41" s="114"/>
      <c r="S41" s="114"/>
      <c r="T41" s="114"/>
      <c r="U41" s="114"/>
      <c r="V41" s="63"/>
      <c r="W41" s="708"/>
      <c r="X41" s="400"/>
      <c r="Y41" s="114"/>
      <c r="Z41" s="114"/>
      <c r="AA41" s="63"/>
      <c r="AB41" s="63"/>
      <c r="AC41" s="63"/>
      <c r="AD41" s="114"/>
      <c r="AE41" s="63"/>
      <c r="AF41" s="63"/>
      <c r="AG41" s="63">
        <v>50</v>
      </c>
      <c r="AH41" s="63"/>
      <c r="AI41" s="63"/>
      <c r="AJ41" s="63" t="s">
        <v>4722</v>
      </c>
      <c r="AK41" s="63"/>
      <c r="AL41" s="63"/>
      <c r="AM41" s="63"/>
      <c r="AN41" s="63"/>
      <c r="AO41" s="63"/>
      <c r="AT41" s="708"/>
      <c r="AU41" s="708"/>
    </row>
    <row r="42" spans="1:47" s="92" customFormat="1">
      <c r="A42" s="164">
        <f>A41+1</f>
        <v>1</v>
      </c>
      <c r="B42" s="155"/>
      <c r="C42" s="160" t="e">
        <f>+B42-#REF!</f>
        <v>#REF!</v>
      </c>
      <c r="D42" s="63">
        <f t="shared" si="3"/>
        <v>38</v>
      </c>
      <c r="E42" s="161">
        <v>8661</v>
      </c>
      <c r="F42" s="93" t="str">
        <f>IFERROR(VLOOKUP(Table9[[#This Row],[Player No]],Table11[[No]:[Province]],2,0),"")</f>
        <v>HEERALAL Arya</v>
      </c>
      <c r="G42" s="63" t="str">
        <f>IFERROR(VLOOKUP(Table9[[#This Row],[Player No]],Table11[[No]:[Province]],3,0),"")</f>
        <v>ETTA</v>
      </c>
      <c r="H42" s="635">
        <v>55</v>
      </c>
      <c r="I42" s="820">
        <f>Table9[[#This Row],[Points 2025]]/2+SUM(Table9[[#This Row],[O1  ADMIN 2026]:[P2       WC                   CT   Open 2026]])</f>
        <v>27.5</v>
      </c>
      <c r="J42" s="63">
        <f t="shared" si="1"/>
        <v>0</v>
      </c>
      <c r="K42" s="63">
        <f t="shared" si="2"/>
        <v>0</v>
      </c>
      <c r="L42" s="708" t="s">
        <v>6083</v>
      </c>
      <c r="M42" s="708" t="s">
        <v>6083</v>
      </c>
      <c r="N42" s="708" t="s">
        <v>6083</v>
      </c>
      <c r="O42" s="708"/>
      <c r="P42" s="157">
        <v>2</v>
      </c>
      <c r="Q42" s="157">
        <v>1</v>
      </c>
      <c r="R42" s="165">
        <v>1</v>
      </c>
      <c r="S42" s="165">
        <v>1</v>
      </c>
      <c r="T42" s="165"/>
      <c r="U42" s="165"/>
      <c r="V42" s="157"/>
      <c r="W42" s="712"/>
      <c r="X42" s="444">
        <v>50</v>
      </c>
      <c r="Y42" s="165"/>
      <c r="Z42" s="165"/>
      <c r="AA42" s="157"/>
      <c r="AB42" s="157"/>
      <c r="AC42" s="157"/>
      <c r="AD42" s="165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T42" s="708"/>
      <c r="AU42" s="708"/>
    </row>
    <row r="43" spans="1:47" s="92" customFormat="1">
      <c r="A43" s="63" t="str">
        <f>IFERROR(VLOOKUP(Table9[[#This Row],[Player No]],Table11[[#All],[No]:[Age Group]],4,0),"")</f>
        <v>U13</v>
      </c>
      <c r="B43" s="61">
        <v>112</v>
      </c>
      <c r="C43" s="77">
        <f>+B43-D43</f>
        <v>73</v>
      </c>
      <c r="D43" s="63">
        <f t="shared" si="3"/>
        <v>39</v>
      </c>
      <c r="E43" s="63">
        <v>8241</v>
      </c>
      <c r="F43" s="93" t="str">
        <f>IFERROR(VLOOKUP(Table9[[#This Row],[Player No]],Table11[[No]:[Province]],2,0),"")</f>
        <v>PEDRO Dalzanthy</v>
      </c>
      <c r="G43" s="63" t="str">
        <f>IFERROR(VLOOKUP(Table9[[#This Row],[Player No]],Table11[[No]:[Province]],3,0),"")</f>
        <v>Eden</v>
      </c>
      <c r="H43" s="635">
        <v>52.625</v>
      </c>
      <c r="I43" s="789">
        <f>Table9[[#This Row],[Points 2025]]/2+SUM(Table9[[#This Row],[O1  ADMIN 2026]:[P2       WC                   CT   Open 2026]])</f>
        <v>26.3125</v>
      </c>
      <c r="J43" s="63">
        <f t="shared" si="1"/>
        <v>0</v>
      </c>
      <c r="K43" s="63">
        <f t="shared" si="2"/>
        <v>0</v>
      </c>
      <c r="L43" s="708" t="s">
        <v>6083</v>
      </c>
      <c r="M43" s="708" t="s">
        <v>6083</v>
      </c>
      <c r="N43" s="708" t="s">
        <v>6083</v>
      </c>
      <c r="O43" s="708"/>
      <c r="P43" s="63"/>
      <c r="Q43" s="63"/>
      <c r="R43" s="114"/>
      <c r="S43" s="114"/>
      <c r="T43" s="114"/>
      <c r="U43" s="114"/>
      <c r="V43" s="63"/>
      <c r="W43" s="708"/>
      <c r="X43" s="400">
        <v>25</v>
      </c>
      <c r="Y43" s="114"/>
      <c r="Z43" s="114"/>
      <c r="AA43" s="63"/>
      <c r="AB43" s="63"/>
      <c r="AC43" s="63"/>
      <c r="AD43" s="114"/>
      <c r="AE43" s="63"/>
      <c r="AF43" s="63"/>
      <c r="AG43" s="63"/>
      <c r="AH43" s="63"/>
      <c r="AI43" s="63">
        <v>50</v>
      </c>
      <c r="AJ43" s="63">
        <v>5</v>
      </c>
      <c r="AK43" s="63"/>
      <c r="AL43" s="63"/>
      <c r="AM43" s="63"/>
      <c r="AN43" s="63"/>
      <c r="AO43" s="63"/>
      <c r="AT43" s="708"/>
      <c r="AU43" s="708"/>
    </row>
    <row r="44" spans="1:47" s="92" customFormat="1">
      <c r="A44" s="63">
        <f>IFERROR(VLOOKUP(Table9[[#This Row],[Player No]],Table11[[#All],[No]:[Age Group]],4,0),"")</f>
        <v>0</v>
      </c>
      <c r="B44" s="61">
        <v>94</v>
      </c>
      <c r="C44" s="77">
        <f>+B44-D44</f>
        <v>54</v>
      </c>
      <c r="D44" s="63">
        <f t="shared" si="3"/>
        <v>40</v>
      </c>
      <c r="E44" s="63">
        <v>8290</v>
      </c>
      <c r="F44" s="93" t="str">
        <f>IFERROR(VLOOKUP(Table9[[#This Row],[Player No]],Table11[[No]:[Province]],2,0),"")</f>
        <v>PHOKI Esinayo</v>
      </c>
      <c r="G44" s="63" t="str">
        <f>IFERROR(VLOOKUP(Table9[[#This Row],[Player No]],Table11[[No]:[Province]],3,0),"")</f>
        <v>EC</v>
      </c>
      <c r="H44" s="635">
        <v>50.5</v>
      </c>
      <c r="I44" s="789">
        <f>Table9[[#This Row],[Points 2025]]/2+SUM(Table9[[#This Row],[O1  ADMIN 2026]:[P2       WC                   CT   Open 2026]])</f>
        <v>25.25</v>
      </c>
      <c r="J44" s="63">
        <f t="shared" si="1"/>
        <v>0</v>
      </c>
      <c r="K44" s="63">
        <f t="shared" si="2"/>
        <v>0</v>
      </c>
      <c r="L44" s="708" t="s">
        <v>6083</v>
      </c>
      <c r="M44" s="708" t="s">
        <v>6083</v>
      </c>
      <c r="N44" s="708" t="s">
        <v>6083</v>
      </c>
      <c r="O44" s="708"/>
      <c r="P44" s="63"/>
      <c r="Q44" s="63"/>
      <c r="R44" s="114"/>
      <c r="S44" s="114"/>
      <c r="T44" s="114"/>
      <c r="U44" s="114"/>
      <c r="V44" s="63"/>
      <c r="W44" s="708"/>
      <c r="X44" s="400">
        <v>50</v>
      </c>
      <c r="Y44" s="114"/>
      <c r="Z44" s="114"/>
      <c r="AA44" s="63"/>
      <c r="AB44" s="63"/>
      <c r="AC44" s="63"/>
      <c r="AD44" s="114"/>
      <c r="AE44" s="63"/>
      <c r="AF44" s="63"/>
      <c r="AG44" s="63"/>
      <c r="AH44" s="63"/>
      <c r="AI44" s="63"/>
      <c r="AJ44" s="63"/>
      <c r="AK44" s="63"/>
      <c r="AL44" s="63"/>
      <c r="AM44" s="63"/>
      <c r="AN44" s="63">
        <v>1</v>
      </c>
      <c r="AO44" s="63"/>
      <c r="AT44" s="708"/>
      <c r="AU44" s="708"/>
    </row>
    <row r="45" spans="1:47" s="92" customFormat="1">
      <c r="A45" s="63">
        <f>IFERROR(VLOOKUP(Table9[[#This Row],[Player No]],Table11[[#All],[No]:[Age Group]],4,0),"")</f>
        <v>0</v>
      </c>
      <c r="B45" s="61">
        <v>54</v>
      </c>
      <c r="C45" s="77">
        <f>+B45-D45</f>
        <v>13</v>
      </c>
      <c r="D45" s="63">
        <f t="shared" si="3"/>
        <v>41</v>
      </c>
      <c r="E45" s="63">
        <v>8124</v>
      </c>
      <c r="F45" s="93" t="str">
        <f>IFERROR(VLOOKUP(Table9[[#This Row],[Player No]],Table11[[No]:[Province]],2,0),"")</f>
        <v>GOLOGOLO Milka</v>
      </c>
      <c r="G45" s="63" t="str">
        <f>IFERROR(VLOOKUP(Table9[[#This Row],[Player No]],Table11[[No]:[Province]],3,0),"")</f>
        <v>FS</v>
      </c>
      <c r="H45" s="635">
        <v>18.25</v>
      </c>
      <c r="I45" s="789">
        <f>Table9[[#This Row],[Points 2025]]/2+SUM(Table9[[#This Row],[O1  ADMIN 2026]:[P2       WC                   CT   Open 2026]])</f>
        <v>25.125</v>
      </c>
      <c r="J45" s="63">
        <f t="shared" si="1"/>
        <v>2</v>
      </c>
      <c r="K45" s="63">
        <f t="shared" si="2"/>
        <v>0</v>
      </c>
      <c r="L45" s="708" t="s">
        <v>6083</v>
      </c>
      <c r="M45" s="708">
        <v>15</v>
      </c>
      <c r="N45" s="708">
        <v>1</v>
      </c>
      <c r="O45" s="708"/>
      <c r="P45" s="63"/>
      <c r="Q45" s="63"/>
      <c r="R45" s="114"/>
      <c r="S45" s="114"/>
      <c r="T45" s="114"/>
      <c r="U45" s="114">
        <v>1</v>
      </c>
      <c r="V45" s="63">
        <v>1</v>
      </c>
      <c r="W45" s="708"/>
      <c r="X45" s="400">
        <v>10</v>
      </c>
      <c r="Y45" s="114"/>
      <c r="Z45" s="114"/>
      <c r="AA45" s="63"/>
      <c r="AB45" s="63"/>
      <c r="AC45" s="63"/>
      <c r="AD45" s="114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T45" s="708"/>
      <c r="AU45" s="708"/>
    </row>
    <row r="46" spans="1:47" s="92" customFormat="1">
      <c r="A46" s="63" t="str">
        <f>IFERROR(VLOOKUP(Table9[[#This Row],[Player No]],Table11[[#All],[No]:[Age Group]],4,0),"")</f>
        <v>U13</v>
      </c>
      <c r="B46" s="61">
        <v>112</v>
      </c>
      <c r="C46" s="77">
        <f>+B46-D46</f>
        <v>70</v>
      </c>
      <c r="D46" s="63">
        <f t="shared" si="3"/>
        <v>42</v>
      </c>
      <c r="E46" s="63">
        <v>8079</v>
      </c>
      <c r="F46" s="93" t="str">
        <f>IFERROR(VLOOKUP(Table9[[#This Row],[Player No]],Table11[[No]:[Province]],2,0),"")</f>
        <v>NGQEZA Minenhle</v>
      </c>
      <c r="G46" s="63" t="str">
        <f>IFERROR(VLOOKUP(Table9[[#This Row],[Player No]],Table11[[No]:[Province]],3,0),"")</f>
        <v>EDEN</v>
      </c>
      <c r="H46" s="635">
        <v>50.125</v>
      </c>
      <c r="I46" s="789">
        <f>Table9[[#This Row],[Points 2025]]/2+SUM(Table9[[#This Row],[O1  ADMIN 2026]:[P2       WC                   CT   Open 2026]])</f>
        <v>25.0625</v>
      </c>
      <c r="J46" s="63">
        <f t="shared" si="1"/>
        <v>0</v>
      </c>
      <c r="K46" s="63">
        <f t="shared" si="2"/>
        <v>0</v>
      </c>
      <c r="L46" s="708" t="s">
        <v>6083</v>
      </c>
      <c r="M46" s="708" t="s">
        <v>6083</v>
      </c>
      <c r="N46" s="708" t="s">
        <v>6083</v>
      </c>
      <c r="O46" s="708"/>
      <c r="P46" s="63"/>
      <c r="Q46" s="63"/>
      <c r="R46" s="114"/>
      <c r="S46" s="114"/>
      <c r="T46" s="114"/>
      <c r="U46" s="114"/>
      <c r="V46" s="63"/>
      <c r="W46" s="708"/>
      <c r="X46" s="400">
        <v>25</v>
      </c>
      <c r="Y46" s="114"/>
      <c r="Z46" s="114"/>
      <c r="AA46" s="63"/>
      <c r="AB46" s="63"/>
      <c r="AC46" s="63"/>
      <c r="AD46" s="114"/>
      <c r="AE46" s="63"/>
      <c r="AF46" s="63"/>
      <c r="AG46" s="63"/>
      <c r="AH46" s="63"/>
      <c r="AI46" s="63">
        <v>25</v>
      </c>
      <c r="AJ46" s="63">
        <v>25</v>
      </c>
      <c r="AK46" s="63"/>
      <c r="AL46" s="63"/>
      <c r="AM46" s="63"/>
      <c r="AN46" s="63"/>
      <c r="AO46" s="63"/>
      <c r="AT46" s="834"/>
      <c r="AU46" s="834"/>
    </row>
    <row r="47" spans="1:47" s="92" customFormat="1">
      <c r="A47" s="388" t="e">
        <f>A46+1</f>
        <v>#VALUE!</v>
      </c>
      <c r="B47" s="389"/>
      <c r="C47" s="390" t="e">
        <f>+B47-#REF!</f>
        <v>#REF!</v>
      </c>
      <c r="D47" s="63">
        <f t="shared" si="3"/>
        <v>43</v>
      </c>
      <c r="E47" s="394">
        <v>8499</v>
      </c>
      <c r="F47" s="93" t="str">
        <f>IFERROR(VLOOKUP(Table9[[#This Row],[Player No]],Table11[[No]:[Province]],2,0),"")</f>
        <v xml:space="preserve">BABA Sisitha </v>
      </c>
      <c r="G47" s="63" t="str">
        <f>IFERROR(VLOOKUP(Table9[[#This Row],[Player No]],Table11[[No]:[Province]],3,0),"")</f>
        <v>WC</v>
      </c>
      <c r="H47" s="635">
        <v>50</v>
      </c>
      <c r="I47" s="822">
        <f>Table9[[#This Row],[Points 2025]]/2+SUM(Table9[[#This Row],[O1  ADMIN 2026]:[P2       WC                   CT   Open 2026]])</f>
        <v>25</v>
      </c>
      <c r="J47" s="63">
        <f t="shared" si="1"/>
        <v>0</v>
      </c>
      <c r="K47" s="394">
        <f t="shared" si="2"/>
        <v>0</v>
      </c>
      <c r="L47" s="834" t="s">
        <v>6083</v>
      </c>
      <c r="M47" s="834" t="s">
        <v>6083</v>
      </c>
      <c r="N47" s="834" t="s">
        <v>6083</v>
      </c>
      <c r="O47" s="834"/>
      <c r="P47" s="392"/>
      <c r="Q47" s="392"/>
      <c r="R47" s="386"/>
      <c r="S47" s="386"/>
      <c r="T47" s="386"/>
      <c r="U47" s="386"/>
      <c r="V47" s="392"/>
      <c r="W47" s="714"/>
      <c r="X47" s="603">
        <v>0</v>
      </c>
      <c r="Y47" s="386"/>
      <c r="Z47" s="386"/>
      <c r="AA47" s="392">
        <v>50</v>
      </c>
      <c r="AB47" s="392"/>
      <c r="AC47" s="392"/>
      <c r="AD47" s="386"/>
      <c r="AE47" s="392"/>
      <c r="AF47" s="392"/>
      <c r="AG47" s="392"/>
      <c r="AH47" s="392"/>
      <c r="AI47" s="392"/>
      <c r="AJ47" s="392"/>
      <c r="AK47" s="392"/>
      <c r="AL47" s="392"/>
      <c r="AM47" s="392"/>
      <c r="AN47" s="392"/>
      <c r="AO47" s="392"/>
      <c r="AT47" s="834"/>
      <c r="AU47" s="834"/>
    </row>
    <row r="48" spans="1:47" s="92" customFormat="1">
      <c r="A48" s="388" t="e">
        <f>A47+1</f>
        <v>#VALUE!</v>
      </c>
      <c r="B48" s="389"/>
      <c r="C48" s="390" t="e">
        <f>+B48-#REF!</f>
        <v>#REF!</v>
      </c>
      <c r="D48" s="63">
        <f t="shared" si="3"/>
        <v>44</v>
      </c>
      <c r="E48" s="394">
        <v>8762</v>
      </c>
      <c r="F48" s="93" t="str">
        <f>IFERROR(VLOOKUP(Table9[[#This Row],[Player No]],Table11[[No]:[Province]],2,0),"")</f>
        <v xml:space="preserve">BLOM Robin </v>
      </c>
      <c r="G48" s="63" t="str">
        <f>IFERROR(VLOOKUP(Table9[[#This Row],[Player No]],Table11[[No]:[Province]],3,0),"")</f>
        <v>CW</v>
      </c>
      <c r="H48" s="635">
        <v>50</v>
      </c>
      <c r="I48" s="822">
        <f>Table9[[#This Row],[Points 2025]]/2+SUM(Table9[[#This Row],[O1  ADMIN 2026]:[P2       WC                   CT   Open 2026]])</f>
        <v>25</v>
      </c>
      <c r="J48" s="63">
        <f t="shared" si="1"/>
        <v>0</v>
      </c>
      <c r="K48" s="394">
        <f t="shared" si="2"/>
        <v>0</v>
      </c>
      <c r="L48" s="834" t="s">
        <v>6083</v>
      </c>
      <c r="M48" s="834" t="s">
        <v>6083</v>
      </c>
      <c r="N48" s="834" t="s">
        <v>6083</v>
      </c>
      <c r="O48" s="834"/>
      <c r="P48" s="392"/>
      <c r="Q48" s="392"/>
      <c r="R48" s="386"/>
      <c r="S48" s="386"/>
      <c r="T48" s="386"/>
      <c r="U48" s="386"/>
      <c r="V48" s="392"/>
      <c r="W48" s="714"/>
      <c r="X48" s="603"/>
      <c r="Y48" s="386"/>
      <c r="Z48" s="386"/>
      <c r="AA48" s="392">
        <v>50</v>
      </c>
      <c r="AB48" s="392"/>
      <c r="AC48" s="392"/>
      <c r="AD48" s="386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T48" s="834"/>
      <c r="AU48" s="834"/>
    </row>
    <row r="49" spans="1:47" s="92" customFormat="1">
      <c r="A49" s="388" t="e">
        <f>A48+1</f>
        <v>#VALUE!</v>
      </c>
      <c r="B49" s="389"/>
      <c r="C49" s="390" t="e">
        <f>+B49-#REF!</f>
        <v>#REF!</v>
      </c>
      <c r="D49" s="63">
        <f t="shared" si="3"/>
        <v>45</v>
      </c>
      <c r="E49" s="394">
        <v>8763</v>
      </c>
      <c r="F49" s="93" t="str">
        <f>IFERROR(VLOOKUP(Table9[[#This Row],[Player No]],Table11[[No]:[Province]],2,0),"")</f>
        <v xml:space="preserve">DINISO Likum </v>
      </c>
      <c r="G49" s="63" t="str">
        <f>IFERROR(VLOOKUP(Table9[[#This Row],[Player No]],Table11[[No]:[Province]],3,0),"")</f>
        <v>WC</v>
      </c>
      <c r="H49" s="635">
        <v>50</v>
      </c>
      <c r="I49" s="822">
        <f>Table9[[#This Row],[Points 2025]]/2+SUM(Table9[[#This Row],[O1  ADMIN 2026]:[P2       WC                   CT   Open 2026]])</f>
        <v>25</v>
      </c>
      <c r="J49" s="63">
        <f t="shared" si="1"/>
        <v>0</v>
      </c>
      <c r="K49" s="394">
        <f t="shared" si="2"/>
        <v>0</v>
      </c>
      <c r="L49" s="834" t="s">
        <v>6083</v>
      </c>
      <c r="M49" s="834" t="s">
        <v>6083</v>
      </c>
      <c r="N49" s="834" t="s">
        <v>6083</v>
      </c>
      <c r="O49" s="834"/>
      <c r="P49" s="392"/>
      <c r="Q49" s="392"/>
      <c r="R49" s="386"/>
      <c r="S49" s="386"/>
      <c r="T49" s="386"/>
      <c r="U49" s="386"/>
      <c r="V49" s="392"/>
      <c r="W49" s="714"/>
      <c r="X49" s="603">
        <v>0</v>
      </c>
      <c r="Y49" s="386"/>
      <c r="Z49" s="386"/>
      <c r="AA49" s="392">
        <v>50</v>
      </c>
      <c r="AB49" s="392"/>
      <c r="AC49" s="392"/>
      <c r="AD49" s="386"/>
      <c r="AE49" s="392"/>
      <c r="AF49" s="392"/>
      <c r="AG49" s="392"/>
      <c r="AH49" s="392"/>
      <c r="AI49" s="392"/>
      <c r="AJ49" s="392"/>
      <c r="AK49" s="392"/>
      <c r="AL49" s="392"/>
      <c r="AM49" s="392"/>
      <c r="AN49" s="392"/>
      <c r="AO49" s="392"/>
      <c r="AT49" s="834"/>
      <c r="AU49" s="834"/>
    </row>
    <row r="50" spans="1:47" s="92" customFormat="1">
      <c r="A50" s="388" t="e">
        <f>A49+1</f>
        <v>#VALUE!</v>
      </c>
      <c r="B50" s="389"/>
      <c r="C50" s="390" t="e">
        <f>+B50-#REF!</f>
        <v>#REF!</v>
      </c>
      <c r="D50" s="63">
        <f t="shared" si="3"/>
        <v>46</v>
      </c>
      <c r="E50" s="394">
        <v>8801</v>
      </c>
      <c r="F50" s="93" t="str">
        <f>IFERROR(VLOOKUP(Table9[[#This Row],[Player No]],Table11[[No]:[Province]],2,0),"")</f>
        <v>MAILA Shantel</v>
      </c>
      <c r="G50" s="63" t="str">
        <f>IFERROR(VLOOKUP(Table9[[#This Row],[Player No]],Table11[[No]:[Province]],3,0),"")</f>
        <v>LIM</v>
      </c>
      <c r="H50" s="635">
        <v>50</v>
      </c>
      <c r="I50" s="822">
        <f>Table9[[#This Row],[Points 2025]]/2+SUM(Table9[[#This Row],[O1  ADMIN 2026]:[P2       WC                   CT   Open 2026]])</f>
        <v>25</v>
      </c>
      <c r="J50" s="63">
        <f t="shared" si="1"/>
        <v>0</v>
      </c>
      <c r="K50" s="394">
        <f t="shared" si="2"/>
        <v>0</v>
      </c>
      <c r="L50" s="834" t="s">
        <v>6083</v>
      </c>
      <c r="M50" s="834" t="s">
        <v>6083</v>
      </c>
      <c r="N50" s="834" t="s">
        <v>6083</v>
      </c>
      <c r="O50" s="834"/>
      <c r="P50" s="392"/>
      <c r="Q50" s="392"/>
      <c r="R50" s="386"/>
      <c r="S50" s="386"/>
      <c r="T50" s="386"/>
      <c r="U50" s="386"/>
      <c r="V50" s="392"/>
      <c r="W50" s="714"/>
      <c r="X50" s="603">
        <v>50</v>
      </c>
      <c r="Y50" s="386"/>
      <c r="Z50" s="386"/>
      <c r="AA50" s="392"/>
      <c r="AB50" s="392"/>
      <c r="AC50" s="392"/>
      <c r="AD50" s="386"/>
      <c r="AE50" s="392"/>
      <c r="AF50" s="392"/>
      <c r="AG50" s="392"/>
      <c r="AH50" s="392"/>
      <c r="AI50" s="392"/>
      <c r="AJ50" s="392"/>
      <c r="AK50" s="392"/>
      <c r="AL50" s="392"/>
      <c r="AM50" s="392"/>
      <c r="AN50" s="392"/>
      <c r="AO50" s="392"/>
      <c r="AT50" s="708"/>
      <c r="AU50" s="708"/>
    </row>
    <row r="51" spans="1:47" s="92" customFormat="1">
      <c r="A51" s="63" t="str">
        <f>IFERROR(VLOOKUP(Table9[[#This Row],[Player No]],Table11[[#All],[No]:[Age Group]],4,0),"")</f>
        <v>U13</v>
      </c>
      <c r="B51" s="61">
        <v>112</v>
      </c>
      <c r="C51" s="77">
        <f>+B51-D51</f>
        <v>65</v>
      </c>
      <c r="D51" s="63">
        <f t="shared" si="3"/>
        <v>47</v>
      </c>
      <c r="E51" s="63">
        <v>8240</v>
      </c>
      <c r="F51" s="93" t="str">
        <f>IFERROR(VLOOKUP(Table9[[#This Row],[Player No]],Table11[[No]:[Province]],2,0),"")</f>
        <v>FRANCIES Ashley-Ann</v>
      </c>
      <c r="G51" s="63" t="str">
        <f>IFERROR(VLOOKUP(Table9[[#This Row],[Player No]],Table11[[No]:[Province]],3,0),"")</f>
        <v>Eden</v>
      </c>
      <c r="H51" s="635">
        <v>47.625</v>
      </c>
      <c r="I51" s="789">
        <f>Table9[[#This Row],[Points 2025]]/2+SUM(Table9[[#This Row],[O1  ADMIN 2026]:[P2       WC                   CT   Open 2026]])</f>
        <v>23.8125</v>
      </c>
      <c r="J51" s="63">
        <f t="shared" si="1"/>
        <v>0</v>
      </c>
      <c r="K51" s="63">
        <f t="shared" si="2"/>
        <v>0</v>
      </c>
      <c r="L51" s="708" t="s">
        <v>6083</v>
      </c>
      <c r="M51" s="708" t="s">
        <v>6083</v>
      </c>
      <c r="N51" s="708" t="s">
        <v>6083</v>
      </c>
      <c r="O51" s="708"/>
      <c r="P51" s="63"/>
      <c r="Q51" s="63"/>
      <c r="R51" s="114"/>
      <c r="S51" s="114"/>
      <c r="T51" s="114"/>
      <c r="U51" s="114"/>
      <c r="V51" s="63"/>
      <c r="W51" s="708"/>
      <c r="X51" s="400">
        <v>10</v>
      </c>
      <c r="Y51" s="114"/>
      <c r="Z51" s="114"/>
      <c r="AA51" s="63"/>
      <c r="AB51" s="63"/>
      <c r="AC51" s="63"/>
      <c r="AD51" s="114"/>
      <c r="AE51" s="63"/>
      <c r="AF51" s="63"/>
      <c r="AG51" s="63"/>
      <c r="AH51" s="63"/>
      <c r="AI51" s="63">
        <v>50</v>
      </c>
      <c r="AJ51" s="63">
        <v>25</v>
      </c>
      <c r="AK51" s="63"/>
      <c r="AL51" s="63"/>
      <c r="AM51" s="63"/>
      <c r="AN51" s="63"/>
      <c r="AO51" s="63"/>
      <c r="AT51" s="708"/>
      <c r="AU51" s="708"/>
    </row>
    <row r="52" spans="1:47" s="92" customFormat="1">
      <c r="A52" s="63">
        <f>IFERROR(VLOOKUP(Table9[[#This Row],[Player No]],Table11[[#All],[No]:[Age Group]],4,0),"")</f>
        <v>0</v>
      </c>
      <c r="B52" s="61"/>
      <c r="C52" s="77"/>
      <c r="D52" s="63">
        <f t="shared" si="3"/>
        <v>48</v>
      </c>
      <c r="E52" s="63">
        <v>8479</v>
      </c>
      <c r="F52" s="93" t="str">
        <f>IFERROR(VLOOKUP(Table9[[#This Row],[Player No]],Table11[[No]:[Province]],2,0),"")</f>
        <v>KRISTIN KATA</v>
      </c>
      <c r="G52" s="63" t="str">
        <f>IFERROR(VLOOKUP(Table9[[#This Row],[Player No]],Table11[[No]:[Province]],3,0),"")</f>
        <v>JTTA</v>
      </c>
      <c r="H52" s="635">
        <v>47.5</v>
      </c>
      <c r="I52" s="789">
        <f>Table9[[#This Row],[Points 2025]]/2+SUM(Table9[[#This Row],[O1  ADMIN 2026]:[P2       WC                   CT   Open 2026]])</f>
        <v>23.75</v>
      </c>
      <c r="J52" s="63">
        <f t="shared" si="1"/>
        <v>0</v>
      </c>
      <c r="K52" s="63">
        <f t="shared" si="2"/>
        <v>0</v>
      </c>
      <c r="L52" s="708" t="s">
        <v>6083</v>
      </c>
      <c r="M52" s="708" t="s">
        <v>6083</v>
      </c>
      <c r="N52" s="708" t="s">
        <v>6083</v>
      </c>
      <c r="O52" s="708"/>
      <c r="P52" s="63"/>
      <c r="Q52" s="63"/>
      <c r="R52" s="114"/>
      <c r="S52" s="114"/>
      <c r="T52" s="114"/>
      <c r="U52" s="114"/>
      <c r="V52" s="63"/>
      <c r="W52" s="708"/>
      <c r="X52" s="400">
        <v>10</v>
      </c>
      <c r="Y52" s="114"/>
      <c r="Z52" s="114"/>
      <c r="AA52" s="63"/>
      <c r="AB52" s="63"/>
      <c r="AC52" s="63"/>
      <c r="AD52" s="114"/>
      <c r="AE52" s="63">
        <v>25</v>
      </c>
      <c r="AF52" s="63"/>
      <c r="AG52" s="63"/>
      <c r="AH52" s="63"/>
      <c r="AI52" s="63"/>
      <c r="AJ52" s="63"/>
      <c r="AK52" s="63"/>
      <c r="AL52" s="63">
        <v>25</v>
      </c>
      <c r="AM52" s="63"/>
      <c r="AN52" s="63"/>
      <c r="AO52" s="63"/>
      <c r="AT52" s="708"/>
      <c r="AU52" s="708"/>
    </row>
    <row r="53" spans="1:47" s="92" customFormat="1">
      <c r="A53" s="63">
        <f>IFERROR(VLOOKUP(Table9[[#This Row],[Player No]],Table11[[#All],[No]:[Age Group]],4,0),"")</f>
        <v>0</v>
      </c>
      <c r="B53" s="61">
        <v>112</v>
      </c>
      <c r="C53" s="77">
        <f>+B53-D53</f>
        <v>63</v>
      </c>
      <c r="D53" s="63">
        <f t="shared" si="3"/>
        <v>49</v>
      </c>
      <c r="E53" s="63">
        <v>8353</v>
      </c>
      <c r="F53" s="93" t="str">
        <f>IFERROR(VLOOKUP(Table9[[#This Row],[Player No]],Table11[[No]:[Province]],2,0),"")</f>
        <v>CUPIDO Zahra-Skye</v>
      </c>
      <c r="G53" s="63" t="str">
        <f>IFERROR(VLOOKUP(Table9[[#This Row],[Player No]],Table11[[No]:[Province]],3,0),"")</f>
        <v>CW</v>
      </c>
      <c r="H53" s="635">
        <v>39.125</v>
      </c>
      <c r="I53" s="789">
        <f>Table9[[#This Row],[Points 2025]]/2+SUM(Table9[[#This Row],[O1  ADMIN 2026]:[P2       WC                   CT   Open 2026]])</f>
        <v>19.5625</v>
      </c>
      <c r="J53" s="63">
        <f t="shared" si="1"/>
        <v>0</v>
      </c>
      <c r="K53" s="63">
        <f t="shared" si="2"/>
        <v>0</v>
      </c>
      <c r="L53" s="708" t="s">
        <v>6083</v>
      </c>
      <c r="M53" s="708" t="s">
        <v>6083</v>
      </c>
      <c r="N53" s="708" t="s">
        <v>6083</v>
      </c>
      <c r="O53" s="708"/>
      <c r="P53" s="63"/>
      <c r="Q53" s="63"/>
      <c r="R53" s="114"/>
      <c r="S53" s="114"/>
      <c r="T53" s="114"/>
      <c r="U53" s="114"/>
      <c r="V53" s="63"/>
      <c r="W53" s="708"/>
      <c r="X53" s="400"/>
      <c r="Y53" s="114">
        <v>0.5</v>
      </c>
      <c r="Z53" s="114"/>
      <c r="AA53" s="63">
        <v>25</v>
      </c>
      <c r="AB53" s="63"/>
      <c r="AC53" s="63"/>
      <c r="AD53" s="114"/>
      <c r="AE53" s="63"/>
      <c r="AF53" s="63"/>
      <c r="AG53" s="63"/>
      <c r="AH53" s="63">
        <v>25</v>
      </c>
      <c r="AI53" s="63">
        <v>2</v>
      </c>
      <c r="AJ53" s="63"/>
      <c r="AK53" s="63"/>
      <c r="AL53" s="63"/>
      <c r="AM53" s="63"/>
      <c r="AN53" s="63"/>
      <c r="AO53" s="63"/>
      <c r="AT53" s="708"/>
      <c r="AU53" s="708"/>
    </row>
    <row r="54" spans="1:47" s="92" customFormat="1">
      <c r="A54" s="63">
        <f>IFERROR(VLOOKUP(Table9[[#This Row],[Player No]],Table11[[#All],[No]:[Age Group]],4,0),"")</f>
        <v>0</v>
      </c>
      <c r="B54" s="61">
        <v>13</v>
      </c>
      <c r="C54" s="77">
        <f>+B54-D54</f>
        <v>-37</v>
      </c>
      <c r="D54" s="63">
        <f t="shared" si="3"/>
        <v>50</v>
      </c>
      <c r="E54" s="63">
        <v>7801</v>
      </c>
      <c r="F54" s="93" t="str">
        <f>IFERROR(VLOOKUP(Table9[[#This Row],[Player No]],Table11[[No]:[Province]],2,0),"")</f>
        <v>FOURIE Riana</v>
      </c>
      <c r="G54" s="63" t="str">
        <f>IFERROR(VLOOKUP(Table9[[#This Row],[Player No]],Table11[[No]:[Province]],3,0),"")</f>
        <v>FS</v>
      </c>
      <c r="H54" s="635">
        <v>35.0078125</v>
      </c>
      <c r="I54" s="789">
        <f>Table9[[#This Row],[Points 2025]]/2+SUM(Table9[[#This Row],[O1  ADMIN 2026]:[P2       WC                   CT   Open 2026]])</f>
        <v>17.50390625</v>
      </c>
      <c r="J54" s="63">
        <f t="shared" si="1"/>
        <v>0</v>
      </c>
      <c r="K54" s="63">
        <f t="shared" si="2"/>
        <v>0</v>
      </c>
      <c r="L54" s="708" t="s">
        <v>6083</v>
      </c>
      <c r="M54" s="708" t="s">
        <v>6083</v>
      </c>
      <c r="N54" s="708" t="s">
        <v>6083</v>
      </c>
      <c r="O54" s="708"/>
      <c r="P54" s="63"/>
      <c r="Q54" s="63"/>
      <c r="R54" s="114"/>
      <c r="S54" s="114"/>
      <c r="T54" s="114"/>
      <c r="U54" s="114"/>
      <c r="V54" s="63"/>
      <c r="W54" s="708"/>
      <c r="X54" s="400"/>
      <c r="Y54" s="114"/>
      <c r="Z54" s="114"/>
      <c r="AA54" s="63"/>
      <c r="AB54" s="63"/>
      <c r="AC54" s="63"/>
      <c r="AD54" s="114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T54" s="827"/>
      <c r="AU54" s="827"/>
    </row>
    <row r="55" spans="1:47" s="92" customFormat="1">
      <c r="A55" s="138">
        <f>A54+1</f>
        <v>1</v>
      </c>
      <c r="B55" s="61"/>
      <c r="C55" s="77" t="e">
        <f>+B55-#REF!</f>
        <v>#REF!</v>
      </c>
      <c r="D55" s="63">
        <f t="shared" si="3"/>
        <v>51</v>
      </c>
      <c r="E55" s="154">
        <v>8401</v>
      </c>
      <c r="F55" s="93" t="str">
        <f>IFERROR(VLOOKUP(Table9[[#This Row],[Player No]],Table11[[No]:[Province]],2,0),"")</f>
        <v>PHIRI Thato</v>
      </c>
      <c r="G55" s="63" t="str">
        <f>IFERROR(VLOOKUP(Table9[[#This Row],[Player No]],Table11[[No]:[Province]],3,0),"")</f>
        <v>EKU</v>
      </c>
      <c r="H55" s="635">
        <v>35</v>
      </c>
      <c r="I55" s="789">
        <f>Table9[[#This Row],[Points 2025]]/2+SUM(Table9[[#This Row],[O1  ADMIN 2026]:[P2       WC                   CT   Open 2026]])</f>
        <v>17.5</v>
      </c>
      <c r="J55" s="63">
        <f t="shared" si="1"/>
        <v>0</v>
      </c>
      <c r="K55" s="154">
        <f t="shared" si="2"/>
        <v>0</v>
      </c>
      <c r="L55" s="827" t="s">
        <v>6083</v>
      </c>
      <c r="M55" s="827" t="s">
        <v>6083</v>
      </c>
      <c r="N55" s="827" t="s">
        <v>6083</v>
      </c>
      <c r="O55" s="827"/>
      <c r="P55" s="63"/>
      <c r="Q55" s="63"/>
      <c r="R55" s="114"/>
      <c r="S55" s="114"/>
      <c r="T55" s="114"/>
      <c r="U55" s="114"/>
      <c r="V55" s="63"/>
      <c r="W55" s="708"/>
      <c r="X55" s="400"/>
      <c r="Y55" s="114"/>
      <c r="Z55" s="114"/>
      <c r="AA55" s="63"/>
      <c r="AB55" s="63">
        <v>35</v>
      </c>
      <c r="AC55" s="63"/>
      <c r="AD55" s="114" t="s">
        <v>4722</v>
      </c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T55" s="708"/>
      <c r="AU55" s="708"/>
    </row>
    <row r="56" spans="1:47" s="92" customFormat="1">
      <c r="A56" s="63">
        <f>IFERROR(VLOOKUP(Table9[[#This Row],[Player No]],Table11[[#All],[No]:[Age Group]],4,0),"")</f>
        <v>0</v>
      </c>
      <c r="B56" s="61"/>
      <c r="C56" s="77">
        <f t="shared" ref="C56:C63" si="4">+B56-D56</f>
        <v>-52</v>
      </c>
      <c r="D56" s="63">
        <f t="shared" si="3"/>
        <v>52</v>
      </c>
      <c r="E56" s="63">
        <v>8591</v>
      </c>
      <c r="F56" s="93" t="str">
        <f>IFERROR(VLOOKUP(Table9[[#This Row],[Player No]],Table11[[No]:[Province]],2,0),"")</f>
        <v xml:space="preserve">Bokamoso Mojatau </v>
      </c>
      <c r="G56" s="63" t="str">
        <f>IFERROR(VLOOKUP(Table9[[#This Row],[Player No]],Table11[[No]:[Province]],3,0),"")</f>
        <v>FS</v>
      </c>
      <c r="H56" s="635">
        <v>35</v>
      </c>
      <c r="I56" s="789">
        <f>Table9[[#This Row],[Points 2025]]/2+SUM(Table9[[#This Row],[O1  ADMIN 2026]:[P2       WC                   CT   Open 2026]])</f>
        <v>17.5</v>
      </c>
      <c r="J56" s="63">
        <f t="shared" si="1"/>
        <v>0</v>
      </c>
      <c r="K56" s="63">
        <f t="shared" si="2"/>
        <v>0</v>
      </c>
      <c r="L56" s="708" t="s">
        <v>6083</v>
      </c>
      <c r="M56" s="708" t="s">
        <v>6083</v>
      </c>
      <c r="N56" s="708" t="s">
        <v>6083</v>
      </c>
      <c r="O56" s="708"/>
      <c r="P56" s="63"/>
      <c r="Q56" s="63"/>
      <c r="R56" s="114"/>
      <c r="S56" s="114"/>
      <c r="T56" s="114"/>
      <c r="U56" s="114"/>
      <c r="V56" s="63">
        <v>35</v>
      </c>
      <c r="W56" s="708"/>
      <c r="X56" s="400"/>
      <c r="Y56" s="114"/>
      <c r="Z56" s="114"/>
      <c r="AA56" s="63"/>
      <c r="AB56" s="63"/>
      <c r="AC56" s="63"/>
      <c r="AD56" s="1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T56" s="708"/>
      <c r="AU56" s="708"/>
    </row>
    <row r="57" spans="1:47" s="92" customFormat="1">
      <c r="A57" s="63">
        <f>IFERROR(VLOOKUP(Table9[[#This Row],[Player No]],Table11[[#All],[No]:[Age Group]],4,0),"")</f>
        <v>0</v>
      </c>
      <c r="B57" s="61">
        <v>48</v>
      </c>
      <c r="C57" s="77">
        <f t="shared" si="4"/>
        <v>-5</v>
      </c>
      <c r="D57" s="63">
        <f t="shared" si="3"/>
        <v>53</v>
      </c>
      <c r="E57" s="63">
        <v>8040</v>
      </c>
      <c r="F57" s="93" t="str">
        <f>IFERROR(VLOOKUP(Table9[[#This Row],[Player No]],Table11[[No]:[Province]],2,0),"")</f>
        <v>MAJIEDT Logan</v>
      </c>
      <c r="G57" s="63" t="str">
        <f>IFERROR(VLOOKUP(Table9[[#This Row],[Player No]],Table11[[No]:[Province]],3,0),"")</f>
        <v>CT</v>
      </c>
      <c r="H57" s="635">
        <v>31.5</v>
      </c>
      <c r="I57" s="789">
        <f>Table9[[#This Row],[Points 2025]]/2+SUM(Table9[[#This Row],[O1  ADMIN 2026]:[P2       WC                   CT   Open 2026]])</f>
        <v>15.75</v>
      </c>
      <c r="J57" s="63">
        <f t="shared" si="1"/>
        <v>0</v>
      </c>
      <c r="K57" s="63">
        <f t="shared" si="2"/>
        <v>0</v>
      </c>
      <c r="L57" s="708" t="s">
        <v>6083</v>
      </c>
      <c r="M57" s="708" t="s">
        <v>6083</v>
      </c>
      <c r="N57" s="708" t="s">
        <v>6083</v>
      </c>
      <c r="O57" s="708"/>
      <c r="P57" s="63"/>
      <c r="Q57" s="63"/>
      <c r="R57" s="114"/>
      <c r="S57" s="114"/>
      <c r="T57" s="114"/>
      <c r="U57" s="114"/>
      <c r="V57" s="63"/>
      <c r="W57" s="708"/>
      <c r="X57" s="400"/>
      <c r="Y57" s="114"/>
      <c r="Z57" s="114"/>
      <c r="AA57" s="63">
        <v>25</v>
      </c>
      <c r="AB57" s="63"/>
      <c r="AC57" s="63"/>
      <c r="AD57" s="114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T57" s="708"/>
      <c r="AU57" s="708"/>
    </row>
    <row r="58" spans="1:47" s="92" customFormat="1">
      <c r="A58" s="63">
        <f>IFERROR(VLOOKUP(Table9[[#This Row],[Player No]],Table11[[#All],[No]:[Age Group]],4,0),"")</f>
        <v>0</v>
      </c>
      <c r="B58" s="61">
        <v>17</v>
      </c>
      <c r="C58" s="77">
        <f t="shared" si="4"/>
        <v>-37</v>
      </c>
      <c r="D58" s="63">
        <f t="shared" si="3"/>
        <v>54</v>
      </c>
      <c r="E58" s="63">
        <v>8131</v>
      </c>
      <c r="F58" s="93" t="str">
        <f>IFERROR(VLOOKUP(Table9[[#This Row],[Player No]],Table11[[No]:[Province]],2,0),"")</f>
        <v>FAKEY Imaan</v>
      </c>
      <c r="G58" s="63" t="str">
        <f>IFERROR(VLOOKUP(Table9[[#This Row],[Player No]],Table11[[No]:[Province]],3,0),"")</f>
        <v>GN</v>
      </c>
      <c r="H58" s="635">
        <v>31.25</v>
      </c>
      <c r="I58" s="789">
        <f>Table9[[#This Row],[Points 2025]]/2+SUM(Table9[[#This Row],[O1  ADMIN 2026]:[P2       WC                   CT   Open 2026]])</f>
        <v>15.625</v>
      </c>
      <c r="J58" s="63">
        <f t="shared" si="1"/>
        <v>0</v>
      </c>
      <c r="K58" s="63">
        <f t="shared" si="2"/>
        <v>0</v>
      </c>
      <c r="L58" s="708" t="s">
        <v>6083</v>
      </c>
      <c r="M58" s="708" t="s">
        <v>6083</v>
      </c>
      <c r="N58" s="708" t="s">
        <v>6083</v>
      </c>
      <c r="O58" s="708"/>
      <c r="P58" s="63"/>
      <c r="Q58" s="63"/>
      <c r="R58" s="114"/>
      <c r="S58" s="114"/>
      <c r="T58" s="114"/>
      <c r="U58" s="114"/>
      <c r="V58" s="63"/>
      <c r="W58" s="708"/>
      <c r="X58" s="400"/>
      <c r="Y58" s="114"/>
      <c r="Z58" s="114"/>
      <c r="AA58" s="63"/>
      <c r="AB58" s="63"/>
      <c r="AC58" s="63"/>
      <c r="AD58" s="114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T58" s="708"/>
      <c r="AU58" s="708"/>
    </row>
    <row r="59" spans="1:47" s="92" customFormat="1">
      <c r="A59" s="63">
        <f>IFERROR(VLOOKUP(Table9[[#This Row],[Player No]],Table11[[#All],[No]:[Age Group]],4,0),"")</f>
        <v>0</v>
      </c>
      <c r="B59" s="61">
        <v>84</v>
      </c>
      <c r="C59" s="77">
        <f t="shared" si="4"/>
        <v>29</v>
      </c>
      <c r="D59" s="63">
        <f t="shared" si="3"/>
        <v>55</v>
      </c>
      <c r="E59" s="63">
        <v>8272</v>
      </c>
      <c r="F59" s="93" t="str">
        <f>IFERROR(VLOOKUP(Table9[[#This Row],[Player No]],Table11[[No]:[Province]],2,0),"")</f>
        <v xml:space="preserve">NXUMALO  Olwethu  </v>
      </c>
      <c r="G59" s="63" t="str">
        <f>IFERROR(VLOOKUP(Table9[[#This Row],[Player No]],Table11[[No]:[Province]],3,0),"")</f>
        <v>UMZ</v>
      </c>
      <c r="H59" s="635">
        <v>31.25</v>
      </c>
      <c r="I59" s="789">
        <f>Table9[[#This Row],[Points 2025]]/2+SUM(Table9[[#This Row],[O1  ADMIN 2026]:[P2       WC                   CT   Open 2026]])</f>
        <v>15.625</v>
      </c>
      <c r="J59" s="63">
        <f t="shared" si="1"/>
        <v>0</v>
      </c>
      <c r="K59" s="63">
        <f t="shared" si="2"/>
        <v>0</v>
      </c>
      <c r="L59" s="708" t="s">
        <v>6083</v>
      </c>
      <c r="M59" s="708" t="s">
        <v>6083</v>
      </c>
      <c r="N59" s="708" t="s">
        <v>6083</v>
      </c>
      <c r="O59" s="708"/>
      <c r="P59" s="63"/>
      <c r="Q59" s="63"/>
      <c r="R59" s="114"/>
      <c r="S59" s="114"/>
      <c r="T59" s="114"/>
      <c r="U59" s="114"/>
      <c r="V59" s="63"/>
      <c r="W59" s="708"/>
      <c r="X59" s="400">
        <v>5</v>
      </c>
      <c r="Y59" s="114"/>
      <c r="Z59" s="114"/>
      <c r="AA59" s="63"/>
      <c r="AB59" s="63"/>
      <c r="AC59" s="63"/>
      <c r="AD59" s="114"/>
      <c r="AE59" s="63"/>
      <c r="AF59" s="63"/>
      <c r="AG59" s="63"/>
      <c r="AH59" s="63"/>
      <c r="AI59" s="63"/>
      <c r="AJ59" s="63">
        <v>50</v>
      </c>
      <c r="AK59" s="63"/>
      <c r="AL59" s="63"/>
      <c r="AM59" s="63"/>
      <c r="AN59" s="63"/>
      <c r="AO59" s="63"/>
      <c r="AT59" s="708"/>
      <c r="AU59" s="708"/>
    </row>
    <row r="60" spans="1:47" s="92" customFormat="1">
      <c r="A60" s="63">
        <f>IFERROR(VLOOKUP(Table9[[#This Row],[Player No]],Table11[[#All],[No]:[Age Group]],4,0),"")</f>
        <v>0</v>
      </c>
      <c r="B60" s="61">
        <v>112</v>
      </c>
      <c r="C60" s="77">
        <f t="shared" si="4"/>
        <v>56</v>
      </c>
      <c r="D60" s="63">
        <f t="shared" si="3"/>
        <v>56</v>
      </c>
      <c r="E60" s="63">
        <v>8352</v>
      </c>
      <c r="F60" s="93" t="str">
        <f>IFERROR(VLOOKUP(Table9[[#This Row],[Player No]],Table11[[No]:[Province]],2,0),"")</f>
        <v xml:space="preserve">SHORTLES Mia </v>
      </c>
      <c r="G60" s="63" t="str">
        <f>IFERROR(VLOOKUP(Table9[[#This Row],[Player No]],Table11[[No]:[Province]],3,0),"")</f>
        <v>CW</v>
      </c>
      <c r="H60" s="635">
        <v>27.625</v>
      </c>
      <c r="I60" s="789">
        <f>Table9[[#This Row],[Points 2025]]/2+SUM(Table9[[#This Row],[O1  ADMIN 2026]:[P2       WC                   CT   Open 2026]])</f>
        <v>13.8125</v>
      </c>
      <c r="J60" s="63">
        <f t="shared" si="1"/>
        <v>0</v>
      </c>
      <c r="K60" s="63">
        <f t="shared" si="2"/>
        <v>0</v>
      </c>
      <c r="L60" s="708" t="s">
        <v>6083</v>
      </c>
      <c r="M60" s="708" t="s">
        <v>6083</v>
      </c>
      <c r="N60" s="708" t="s">
        <v>6083</v>
      </c>
      <c r="O60" s="708"/>
      <c r="P60" s="63"/>
      <c r="Q60" s="63"/>
      <c r="R60" s="114"/>
      <c r="S60" s="114"/>
      <c r="T60" s="114"/>
      <c r="U60" s="114"/>
      <c r="V60" s="63"/>
      <c r="W60" s="708"/>
      <c r="X60" s="400"/>
      <c r="Y60" s="114"/>
      <c r="Z60" s="114"/>
      <c r="AA60" s="63">
        <v>2</v>
      </c>
      <c r="AB60" s="63"/>
      <c r="AC60" s="63"/>
      <c r="AD60" s="114"/>
      <c r="AE60" s="63"/>
      <c r="AF60" s="63"/>
      <c r="AG60" s="63"/>
      <c r="AH60" s="63">
        <v>1</v>
      </c>
      <c r="AI60" s="63">
        <v>50</v>
      </c>
      <c r="AJ60" s="63"/>
      <c r="AK60" s="63"/>
      <c r="AL60" s="63"/>
      <c r="AM60" s="63"/>
      <c r="AN60" s="63"/>
      <c r="AO60" s="63"/>
      <c r="AT60" s="708"/>
      <c r="AU60" s="708"/>
    </row>
    <row r="61" spans="1:47" s="92" customFormat="1">
      <c r="A61" s="63">
        <f>IFERROR(VLOOKUP(Table9[[#This Row],[Player No]],Table11[[#All],[No]:[Age Group]],4,0),"")</f>
        <v>0</v>
      </c>
      <c r="B61" s="61">
        <v>18</v>
      </c>
      <c r="C61" s="77">
        <f t="shared" si="4"/>
        <v>-39</v>
      </c>
      <c r="D61" s="63">
        <f t="shared" si="3"/>
        <v>57</v>
      </c>
      <c r="E61" s="63">
        <v>7259</v>
      </c>
      <c r="F61" s="93" t="str">
        <f>IFERROR(VLOOKUP(Table9[[#This Row],[Player No]],Table11[[No]:[Province]],2,0),"")</f>
        <v>CARRASCO Ceira</v>
      </c>
      <c r="G61" s="63" t="str">
        <f>IFERROR(VLOOKUP(Table9[[#This Row],[Player No]],Table11[[No]:[Province]],3,0),"")</f>
        <v>FS</v>
      </c>
      <c r="H61" s="635">
        <v>26.875</v>
      </c>
      <c r="I61" s="789">
        <f>Table9[[#This Row],[Points 2025]]/2+SUM(Table9[[#This Row],[O1  ADMIN 2026]:[P2       WC                   CT   Open 2026]])</f>
        <v>13.4375</v>
      </c>
      <c r="J61" s="63">
        <f t="shared" si="1"/>
        <v>0</v>
      </c>
      <c r="K61" s="63">
        <f t="shared" si="2"/>
        <v>0</v>
      </c>
      <c r="L61" s="708" t="s">
        <v>6083</v>
      </c>
      <c r="M61" s="708" t="s">
        <v>6083</v>
      </c>
      <c r="N61" s="708" t="s">
        <v>6083</v>
      </c>
      <c r="O61" s="708"/>
      <c r="P61" s="63"/>
      <c r="Q61" s="63"/>
      <c r="R61" s="114"/>
      <c r="S61" s="114"/>
      <c r="T61" s="114"/>
      <c r="U61" s="114"/>
      <c r="V61" s="63"/>
      <c r="W61" s="708"/>
      <c r="X61" s="400"/>
      <c r="Y61" s="114"/>
      <c r="Z61" s="114"/>
      <c r="AA61" s="63"/>
      <c r="AB61" s="63"/>
      <c r="AC61" s="63"/>
      <c r="AD61" s="114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T61" s="708"/>
      <c r="AU61" s="708"/>
    </row>
    <row r="62" spans="1:47" s="92" customFormat="1">
      <c r="A62" s="63">
        <f>IFERROR(VLOOKUP(Table9[[#This Row],[Player No]],Table11[[#All],[No]:[Age Group]],4,0),"")</f>
        <v>0</v>
      </c>
      <c r="B62" s="61">
        <v>85</v>
      </c>
      <c r="C62" s="77">
        <f t="shared" si="4"/>
        <v>27</v>
      </c>
      <c r="D62" s="63">
        <f t="shared" si="3"/>
        <v>58</v>
      </c>
      <c r="E62" s="63">
        <v>8255</v>
      </c>
      <c r="F62" s="93" t="str">
        <f>IFERROR(VLOOKUP(Table9[[#This Row],[Player No]],Table11[[No]:[Province]],2,0),"")</f>
        <v>JELE Jasmin</v>
      </c>
      <c r="G62" s="63" t="str">
        <f>IFERROR(VLOOKUP(Table9[[#This Row],[Player No]],Table11[[No]:[Province]],3,0),"")</f>
        <v>JTTA</v>
      </c>
      <c r="H62" s="635">
        <v>26.25</v>
      </c>
      <c r="I62" s="789">
        <f>Table9[[#This Row],[Points 2025]]/2+SUM(Table9[[#This Row],[O1  ADMIN 2026]:[P2       WC                   CT   Open 2026]])</f>
        <v>13.125</v>
      </c>
      <c r="J62" s="63">
        <f t="shared" si="1"/>
        <v>0</v>
      </c>
      <c r="K62" s="63">
        <f t="shared" si="2"/>
        <v>0</v>
      </c>
      <c r="L62" s="708" t="s">
        <v>6083</v>
      </c>
      <c r="M62" s="708" t="s">
        <v>6083</v>
      </c>
      <c r="N62" s="708" t="s">
        <v>6083</v>
      </c>
      <c r="O62" s="708"/>
      <c r="P62" s="63"/>
      <c r="Q62" s="63"/>
      <c r="R62" s="114"/>
      <c r="S62" s="114"/>
      <c r="T62" s="114"/>
      <c r="U62" s="114"/>
      <c r="V62" s="63"/>
      <c r="W62" s="708"/>
      <c r="X62" s="400"/>
      <c r="Y62" s="114"/>
      <c r="Z62" s="114"/>
      <c r="AA62" s="63"/>
      <c r="AB62" s="63"/>
      <c r="AC62" s="63"/>
      <c r="AD62" s="114"/>
      <c r="AE62" s="63"/>
      <c r="AF62" s="63"/>
      <c r="AG62" s="63"/>
      <c r="AH62" s="63"/>
      <c r="AI62" s="63"/>
      <c r="AJ62" s="63"/>
      <c r="AK62" s="63"/>
      <c r="AL62" s="63"/>
      <c r="AM62" s="63">
        <v>50</v>
      </c>
      <c r="AN62" s="63"/>
      <c r="AO62" s="63"/>
      <c r="AT62" s="708"/>
      <c r="AU62" s="708"/>
    </row>
    <row r="63" spans="1:47" s="92" customFormat="1">
      <c r="A63" s="63" t="str">
        <f>IFERROR(VLOOKUP(Table9[[#This Row],[Player No]],Table11[[#All],[No]:[Age Group]],4,0),"")</f>
        <v>U13</v>
      </c>
      <c r="B63" s="61">
        <v>19</v>
      </c>
      <c r="C63" s="77">
        <f t="shared" si="4"/>
        <v>-40</v>
      </c>
      <c r="D63" s="63">
        <f t="shared" si="3"/>
        <v>59</v>
      </c>
      <c r="E63" s="63">
        <v>8314</v>
      </c>
      <c r="F63" s="93" t="str">
        <f>IFERROR(VLOOKUP(Table9[[#This Row],[Player No]],Table11[[No]:[Province]],2,0),"")</f>
        <v xml:space="preserve">BHATYO Sibongile </v>
      </c>
      <c r="G63" s="63" t="str">
        <f>IFERROR(VLOOKUP(Table9[[#This Row],[Player No]],Table11[[No]:[Province]],3,0),"")</f>
        <v>ETK</v>
      </c>
      <c r="H63" s="635">
        <v>25.125</v>
      </c>
      <c r="I63" s="789">
        <f>Table9[[#This Row],[Points 2025]]/2+SUM(Table9[[#This Row],[O1  ADMIN 2026]:[P2       WC                   CT   Open 2026]])</f>
        <v>12.5625</v>
      </c>
      <c r="J63" s="63">
        <f t="shared" si="1"/>
        <v>0</v>
      </c>
      <c r="K63" s="63">
        <f t="shared" si="2"/>
        <v>0</v>
      </c>
      <c r="L63" s="708" t="s">
        <v>6083</v>
      </c>
      <c r="M63" s="708" t="s">
        <v>6083</v>
      </c>
      <c r="N63" s="708" t="s">
        <v>6083</v>
      </c>
      <c r="O63" s="708"/>
      <c r="P63" s="63"/>
      <c r="Q63" s="63"/>
      <c r="R63" s="114"/>
      <c r="S63" s="114"/>
      <c r="T63" s="114"/>
      <c r="U63" s="114"/>
      <c r="V63" s="63"/>
      <c r="W63" s="708"/>
      <c r="X63" s="400"/>
      <c r="Y63" s="114"/>
      <c r="Z63" s="114"/>
      <c r="AA63" s="63"/>
      <c r="AB63" s="63"/>
      <c r="AC63" s="63"/>
      <c r="AD63" s="114"/>
      <c r="AE63" s="63"/>
      <c r="AF63" s="63">
        <v>50</v>
      </c>
      <c r="AG63" s="63"/>
      <c r="AH63" s="63"/>
      <c r="AI63" s="63"/>
      <c r="AJ63" s="63"/>
      <c r="AK63" s="63"/>
      <c r="AL63" s="63"/>
      <c r="AM63" s="63"/>
      <c r="AN63" s="63"/>
      <c r="AO63" s="63"/>
      <c r="AT63" s="708"/>
      <c r="AU63" s="708"/>
    </row>
    <row r="64" spans="1:47" s="92" customFormat="1">
      <c r="A64" s="63">
        <f>IFERROR(VLOOKUP(Table9[[#This Row],[Player No]],Table11[[#All],[No]:[Age Group]],4,0),"")</f>
        <v>0</v>
      </c>
      <c r="B64" s="61"/>
      <c r="C64" s="77"/>
      <c r="D64" s="63">
        <f t="shared" si="3"/>
        <v>60</v>
      </c>
      <c r="E64" s="63">
        <v>8494</v>
      </c>
      <c r="F64" s="93" t="str">
        <f>IFERROR(VLOOKUP(Table9[[#This Row],[Player No]],Table11[[No]:[Province]],2,0),"")</f>
        <v>Sinesipho MBOWENI</v>
      </c>
      <c r="G64" s="63" t="str">
        <f>IFERROR(VLOOKUP(Table9[[#This Row],[Player No]],Table11[[No]:[Province]],3,0),"")</f>
        <v>EC</v>
      </c>
      <c r="H64" s="635">
        <v>25</v>
      </c>
      <c r="I64" s="789">
        <f>Table9[[#This Row],[Points 2025]]/2+SUM(Table9[[#This Row],[O1  ADMIN 2026]:[P2       WC                   CT   Open 2026]])</f>
        <v>12.5</v>
      </c>
      <c r="J64" s="63">
        <f t="shared" si="1"/>
        <v>0</v>
      </c>
      <c r="K64" s="63">
        <f t="shared" si="2"/>
        <v>0</v>
      </c>
      <c r="L64" s="708" t="s">
        <v>6083</v>
      </c>
      <c r="M64" s="708" t="s">
        <v>6083</v>
      </c>
      <c r="N64" s="708" t="s">
        <v>6083</v>
      </c>
      <c r="O64" s="708"/>
      <c r="P64" s="63"/>
      <c r="Q64" s="63"/>
      <c r="R64" s="114"/>
      <c r="S64" s="114"/>
      <c r="T64" s="114"/>
      <c r="U64" s="114"/>
      <c r="V64" s="63"/>
      <c r="W64" s="708"/>
      <c r="X64" s="400"/>
      <c r="Y64" s="114"/>
      <c r="Z64" s="114"/>
      <c r="AA64" s="63"/>
      <c r="AB64" s="63"/>
      <c r="AC64" s="63"/>
      <c r="AD64" s="114"/>
      <c r="AE64" s="63"/>
      <c r="AF64" s="63"/>
      <c r="AG64" s="63"/>
      <c r="AH64" s="63"/>
      <c r="AI64" s="63"/>
      <c r="AJ64" s="63">
        <v>50</v>
      </c>
      <c r="AK64" s="63"/>
      <c r="AL64" s="63"/>
      <c r="AM64" s="63"/>
      <c r="AN64" s="63"/>
      <c r="AO64" s="63"/>
      <c r="AT64" s="781"/>
      <c r="AU64" s="781"/>
    </row>
    <row r="65" spans="1:47" s="92" customFormat="1">
      <c r="A65" s="614">
        <f>A64+1</f>
        <v>1</v>
      </c>
      <c r="B65" s="615"/>
      <c r="C65" s="618" t="e">
        <f>+B65-#REF!</f>
        <v>#REF!</v>
      </c>
      <c r="D65" s="63">
        <f t="shared" si="3"/>
        <v>61</v>
      </c>
      <c r="E65" s="620">
        <v>8384</v>
      </c>
      <c r="F65" s="93" t="str">
        <f>IFERROR(VLOOKUP(Table9[[#This Row],[Player No]],Table11[[No]:[Province]],2,0),"")</f>
        <v>MOTLHABANE Masa</v>
      </c>
      <c r="G65" s="63" t="str">
        <f>IFERROR(VLOOKUP(Table9[[#This Row],[Player No]],Table11[[No]:[Province]],3,0),"")</f>
        <v>BOT</v>
      </c>
      <c r="H65" s="635">
        <v>25</v>
      </c>
      <c r="I65" s="819">
        <f>Table9[[#This Row],[Points 2025]]/2+SUM(Table9[[#This Row],[O1  ADMIN 2026]:[P2       WC                   CT   Open 2026]])</f>
        <v>12.5</v>
      </c>
      <c r="J65" s="63">
        <f t="shared" si="1"/>
        <v>0</v>
      </c>
      <c r="K65" s="620">
        <f t="shared" si="2"/>
        <v>0</v>
      </c>
      <c r="L65" s="781" t="s">
        <v>6083</v>
      </c>
      <c r="M65" s="781" t="s">
        <v>6083</v>
      </c>
      <c r="N65" s="781" t="s">
        <v>6083</v>
      </c>
      <c r="O65" s="781"/>
      <c r="P65" s="624"/>
      <c r="Q65" s="624"/>
      <c r="R65" s="625"/>
      <c r="S65" s="625"/>
      <c r="T65" s="625"/>
      <c r="U65" s="625"/>
      <c r="V65" s="624"/>
      <c r="W65" s="709"/>
      <c r="X65" s="611">
        <v>25</v>
      </c>
      <c r="Y65" s="625"/>
      <c r="Z65" s="625"/>
      <c r="AA65" s="624"/>
      <c r="AB65" s="624"/>
      <c r="AC65" s="624"/>
      <c r="AD65" s="625"/>
      <c r="AE65" s="624"/>
      <c r="AF65" s="624"/>
      <c r="AG65" s="624"/>
      <c r="AH65" s="624"/>
      <c r="AI65" s="624"/>
      <c r="AJ65" s="624"/>
      <c r="AK65" s="624"/>
      <c r="AL65" s="624"/>
      <c r="AM65" s="624"/>
      <c r="AN65" s="624"/>
      <c r="AO65" s="624"/>
      <c r="AT65" s="708"/>
      <c r="AU65" s="708"/>
    </row>
    <row r="66" spans="1:47" s="92" customFormat="1">
      <c r="A66" s="63">
        <f>IFERROR(VLOOKUP(Table9[[#This Row],[Player No]],Table11[[#All],[No]:[Age Group]],4,0),"")</f>
        <v>0</v>
      </c>
      <c r="B66" s="61"/>
      <c r="C66" s="77">
        <f>+B66-D66</f>
        <v>-62</v>
      </c>
      <c r="D66" s="63">
        <f t="shared" si="3"/>
        <v>62</v>
      </c>
      <c r="E66" s="63">
        <v>8592</v>
      </c>
      <c r="F66" s="93" t="str">
        <f>IFERROR(VLOOKUP(Table9[[#This Row],[Player No]],Table11[[No]:[Province]],2,0),"")</f>
        <v xml:space="preserve">Reneiloe Mosoang </v>
      </c>
      <c r="G66" s="63" t="str">
        <f>IFERROR(VLOOKUP(Table9[[#This Row],[Player No]],Table11[[No]:[Province]],3,0),"")</f>
        <v>FS</v>
      </c>
      <c r="H66" s="635">
        <v>25</v>
      </c>
      <c r="I66" s="789">
        <f>Table9[[#This Row],[Points 2025]]/2+SUM(Table9[[#This Row],[O1  ADMIN 2026]:[P2       WC                   CT   Open 2026]])</f>
        <v>12.5</v>
      </c>
      <c r="J66" s="63">
        <f t="shared" si="1"/>
        <v>0</v>
      </c>
      <c r="K66" s="63">
        <f t="shared" si="2"/>
        <v>0</v>
      </c>
      <c r="L66" s="708" t="s">
        <v>6083</v>
      </c>
      <c r="M66" s="708" t="s">
        <v>6083</v>
      </c>
      <c r="N66" s="708" t="s">
        <v>6083</v>
      </c>
      <c r="O66" s="708"/>
      <c r="P66" s="63"/>
      <c r="Q66" s="63"/>
      <c r="R66" s="114"/>
      <c r="S66" s="114"/>
      <c r="T66" s="114"/>
      <c r="U66" s="114"/>
      <c r="V66" s="63">
        <v>25</v>
      </c>
      <c r="W66" s="708"/>
      <c r="X66" s="400"/>
      <c r="Y66" s="114"/>
      <c r="Z66" s="114"/>
      <c r="AA66" s="63"/>
      <c r="AB66" s="63"/>
      <c r="AC66" s="63"/>
      <c r="AD66" s="114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T66" s="708"/>
      <c r="AU66" s="708"/>
    </row>
    <row r="67" spans="1:47" s="92" customFormat="1">
      <c r="A67" s="63">
        <f>IFERROR(VLOOKUP(Table9[[#This Row],[Player No]],Table11[[#All],[No]:[Age Group]],4,0),"")</f>
        <v>0</v>
      </c>
      <c r="B67" s="61"/>
      <c r="C67" s="77">
        <f>+B67-D67</f>
        <v>-63</v>
      </c>
      <c r="D67" s="63">
        <f t="shared" si="3"/>
        <v>63</v>
      </c>
      <c r="E67" s="63">
        <v>8593</v>
      </c>
      <c r="F67" s="93" t="str">
        <f>IFERROR(VLOOKUP(Table9[[#This Row],[Player No]],Table11[[No]:[Province]],2,0),"")</f>
        <v xml:space="preserve">K Moroe </v>
      </c>
      <c r="G67" s="63" t="str">
        <f>IFERROR(VLOOKUP(Table9[[#This Row],[Player No]],Table11[[No]:[Province]],3,0),"")</f>
        <v>FS</v>
      </c>
      <c r="H67" s="635">
        <v>25</v>
      </c>
      <c r="I67" s="789">
        <f>Table9[[#This Row],[Points 2025]]/2+SUM(Table9[[#This Row],[O1  ADMIN 2026]:[P2       WC                   CT   Open 2026]])</f>
        <v>12.5</v>
      </c>
      <c r="J67" s="63">
        <f t="shared" si="1"/>
        <v>0</v>
      </c>
      <c r="K67" s="63">
        <f t="shared" si="2"/>
        <v>0</v>
      </c>
      <c r="L67" s="708" t="s">
        <v>6083</v>
      </c>
      <c r="M67" s="708" t="s">
        <v>6083</v>
      </c>
      <c r="N67" s="708" t="s">
        <v>6083</v>
      </c>
      <c r="O67" s="708"/>
      <c r="P67" s="63"/>
      <c r="Q67" s="63"/>
      <c r="R67" s="114"/>
      <c r="S67" s="114"/>
      <c r="T67" s="114"/>
      <c r="U67" s="114"/>
      <c r="V67" s="63">
        <v>25</v>
      </c>
      <c r="W67" s="708"/>
      <c r="X67" s="400"/>
      <c r="Y67" s="114"/>
      <c r="Z67" s="114"/>
      <c r="AA67" s="63"/>
      <c r="AB67" s="63"/>
      <c r="AC67" s="63"/>
      <c r="AD67" s="114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T67" s="827"/>
      <c r="AU67" s="827"/>
    </row>
    <row r="68" spans="1:47" s="92" customFormat="1">
      <c r="A68" s="138">
        <f>A67+1</f>
        <v>1</v>
      </c>
      <c r="B68" s="61"/>
      <c r="C68" s="77" t="e">
        <f>+B68-#REF!</f>
        <v>#REF!</v>
      </c>
      <c r="D68" s="63">
        <f t="shared" si="3"/>
        <v>64</v>
      </c>
      <c r="E68" s="315">
        <v>8692</v>
      </c>
      <c r="F68" s="93" t="str">
        <f>IFERROR(VLOOKUP(Table9[[#This Row],[Player No]],Table11[[No]:[Province]],2,0),"")</f>
        <v>MABOTJANE Mapaseka</v>
      </c>
      <c r="G68" s="63" t="str">
        <f>IFERROR(VLOOKUP(Table9[[#This Row],[Player No]],Table11[[No]:[Province]],3,0),"")</f>
        <v>EKU</v>
      </c>
      <c r="H68" s="635">
        <v>25</v>
      </c>
      <c r="I68" s="789">
        <f>Table9[[#This Row],[Points 2025]]/2+SUM(Table9[[#This Row],[O1  ADMIN 2026]:[P2       WC                   CT   Open 2026]])</f>
        <v>12.5</v>
      </c>
      <c r="J68" s="63">
        <f t="shared" si="1"/>
        <v>0</v>
      </c>
      <c r="K68" s="154">
        <f t="shared" si="2"/>
        <v>0</v>
      </c>
      <c r="L68" s="827" t="s">
        <v>6083</v>
      </c>
      <c r="M68" s="827" t="s">
        <v>6083</v>
      </c>
      <c r="N68" s="827" t="s">
        <v>6083</v>
      </c>
      <c r="O68" s="827"/>
      <c r="P68" s="63"/>
      <c r="Q68" s="63"/>
      <c r="R68" s="114"/>
      <c r="S68" s="114"/>
      <c r="T68" s="114"/>
      <c r="U68" s="114"/>
      <c r="V68" s="63"/>
      <c r="W68" s="708"/>
      <c r="X68" s="400"/>
      <c r="Y68" s="114"/>
      <c r="Z68" s="114"/>
      <c r="AA68" s="63"/>
      <c r="AB68" s="63">
        <v>25</v>
      </c>
      <c r="AC68" s="63"/>
      <c r="AD68" s="114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T68" s="827"/>
      <c r="AU68" s="827"/>
    </row>
    <row r="69" spans="1:47" s="92" customFormat="1">
      <c r="A69" s="138">
        <f>A68+1</f>
        <v>2</v>
      </c>
      <c r="B69" s="61"/>
      <c r="C69" s="77" t="e">
        <f>+B69-#REF!</f>
        <v>#REF!</v>
      </c>
      <c r="D69" s="63">
        <f t="shared" si="3"/>
        <v>65</v>
      </c>
      <c r="E69" s="315">
        <v>8696</v>
      </c>
      <c r="F69" s="93" t="str">
        <f>IFERROR(VLOOKUP(Table9[[#This Row],[Player No]],Table11[[No]:[Province]],2,0),"")</f>
        <v>MOTLOUNG Neo</v>
      </c>
      <c r="G69" s="63" t="str">
        <f>IFERROR(VLOOKUP(Table9[[#This Row],[Player No]],Table11[[No]:[Province]],3,0),"")</f>
        <v>EKU</v>
      </c>
      <c r="H69" s="635">
        <v>25</v>
      </c>
      <c r="I69" s="789">
        <f>Table9[[#This Row],[Points 2025]]/2+SUM(Table9[[#This Row],[O1  ADMIN 2026]:[P2       WC                   CT   Open 2026]])</f>
        <v>12.5</v>
      </c>
      <c r="J69" s="63">
        <f t="shared" ref="J69:J132" si="5">COUNTIF(L69:O69,"&gt;0")</f>
        <v>0</v>
      </c>
      <c r="K69" s="154">
        <f t="shared" ref="K69:K132" si="6">COUNTIF(M69:AO69,"&lt;0")</f>
        <v>0</v>
      </c>
      <c r="L69" s="827" t="s">
        <v>6083</v>
      </c>
      <c r="M69" s="827" t="s">
        <v>6083</v>
      </c>
      <c r="N69" s="827" t="s">
        <v>6083</v>
      </c>
      <c r="O69" s="827"/>
      <c r="P69" s="63"/>
      <c r="Q69" s="63"/>
      <c r="R69" s="114"/>
      <c r="S69" s="114"/>
      <c r="T69" s="114"/>
      <c r="U69" s="114"/>
      <c r="V69" s="63"/>
      <c r="W69" s="708"/>
      <c r="X69" s="400"/>
      <c r="Y69" s="114"/>
      <c r="Z69" s="114"/>
      <c r="AA69" s="63"/>
      <c r="AB69" s="63">
        <v>25</v>
      </c>
      <c r="AC69" s="63"/>
      <c r="AD69" s="114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T69" s="781"/>
      <c r="AU69" s="781"/>
    </row>
    <row r="70" spans="1:47" s="92" customFormat="1">
      <c r="A70" s="614">
        <f>A69+1</f>
        <v>3</v>
      </c>
      <c r="B70" s="615"/>
      <c r="C70" s="618" t="e">
        <f>+B70-#REF!</f>
        <v>#REF!</v>
      </c>
      <c r="D70" s="63">
        <f t="shared" si="3"/>
        <v>66</v>
      </c>
      <c r="E70" s="620">
        <v>8712</v>
      </c>
      <c r="F70" s="93" t="str">
        <f>IFERROR(VLOOKUP(Table9[[#This Row],[Player No]],Table11[[No]:[Province]],2,0),"")</f>
        <v>TSHABALALA Asemahle</v>
      </c>
      <c r="G70" s="63" t="str">
        <f>IFERROR(VLOOKUP(Table9[[#This Row],[Player No]],Table11[[No]:[Province]],3,0),"")</f>
        <v>JTTA</v>
      </c>
      <c r="H70" s="635">
        <v>25</v>
      </c>
      <c r="I70" s="819">
        <f>Table9[[#This Row],[Points 2025]]/2+SUM(Table9[[#This Row],[O1  ADMIN 2026]:[P2       WC                   CT   Open 2026]])</f>
        <v>12.5</v>
      </c>
      <c r="J70" s="63">
        <f t="shared" si="5"/>
        <v>0</v>
      </c>
      <c r="K70" s="620">
        <f t="shared" si="6"/>
        <v>0</v>
      </c>
      <c r="L70" s="781" t="s">
        <v>6083</v>
      </c>
      <c r="M70" s="781" t="s">
        <v>6083</v>
      </c>
      <c r="N70" s="781" t="s">
        <v>6083</v>
      </c>
      <c r="O70" s="781"/>
      <c r="P70" s="624"/>
      <c r="Q70" s="624"/>
      <c r="R70" s="625"/>
      <c r="S70" s="625"/>
      <c r="T70" s="625"/>
      <c r="U70" s="625"/>
      <c r="V70" s="624"/>
      <c r="W70" s="709"/>
      <c r="X70" s="611">
        <v>25</v>
      </c>
      <c r="Y70" s="625"/>
      <c r="Z70" s="625"/>
      <c r="AA70" s="624"/>
      <c r="AB70" s="624"/>
      <c r="AC70" s="624"/>
      <c r="AD70" s="625"/>
      <c r="AE70" s="624"/>
      <c r="AF70" s="624"/>
      <c r="AG70" s="624"/>
      <c r="AH70" s="624"/>
      <c r="AI70" s="624"/>
      <c r="AJ70" s="624"/>
      <c r="AK70" s="624"/>
      <c r="AL70" s="624"/>
      <c r="AM70" s="624"/>
      <c r="AN70" s="624"/>
      <c r="AO70" s="624"/>
      <c r="AT70" s="781"/>
      <c r="AU70" s="781"/>
    </row>
    <row r="71" spans="1:47" s="92" customFormat="1">
      <c r="A71" s="614">
        <f>A70+1</f>
        <v>4</v>
      </c>
      <c r="B71" s="615"/>
      <c r="C71" s="618" t="e">
        <f>+B71-#REF!</f>
        <v>#REF!</v>
      </c>
      <c r="D71" s="63">
        <f t="shared" ref="D71:D134" si="7">+D70+1</f>
        <v>67</v>
      </c>
      <c r="E71" s="620">
        <v>8805</v>
      </c>
      <c r="F71" s="93" t="str">
        <f>IFERROR(VLOOKUP(Table9[[#This Row],[Player No]],Table11[[No]:[Province]],2,0),"")</f>
        <v>MATSENA  Karabo</v>
      </c>
      <c r="G71" s="63" t="str">
        <f>IFERROR(VLOOKUP(Table9[[#This Row],[Player No]],Table11[[No]:[Province]],3,0),"")</f>
        <v>LIM</v>
      </c>
      <c r="H71" s="635">
        <v>25</v>
      </c>
      <c r="I71" s="819">
        <f>Table9[[#This Row],[Points 2025]]/2+SUM(Table9[[#This Row],[O1  ADMIN 2026]:[P2       WC                   CT   Open 2026]])</f>
        <v>12.5</v>
      </c>
      <c r="J71" s="63">
        <f t="shared" si="5"/>
        <v>0</v>
      </c>
      <c r="K71" s="620">
        <f t="shared" si="6"/>
        <v>0</v>
      </c>
      <c r="L71" s="781" t="s">
        <v>6083</v>
      </c>
      <c r="M71" s="781" t="s">
        <v>6083</v>
      </c>
      <c r="N71" s="781" t="s">
        <v>6083</v>
      </c>
      <c r="O71" s="781"/>
      <c r="P71" s="624"/>
      <c r="Q71" s="624"/>
      <c r="R71" s="625"/>
      <c r="S71" s="625"/>
      <c r="T71" s="625"/>
      <c r="U71" s="625"/>
      <c r="V71" s="624"/>
      <c r="W71" s="709"/>
      <c r="X71" s="611">
        <v>25</v>
      </c>
      <c r="Y71" s="625"/>
      <c r="Z71" s="625"/>
      <c r="AA71" s="624"/>
      <c r="AB71" s="624"/>
      <c r="AC71" s="624"/>
      <c r="AD71" s="625"/>
      <c r="AE71" s="624"/>
      <c r="AF71" s="624"/>
      <c r="AG71" s="624"/>
      <c r="AH71" s="624"/>
      <c r="AI71" s="624"/>
      <c r="AJ71" s="624"/>
      <c r="AK71" s="624"/>
      <c r="AL71" s="624"/>
      <c r="AM71" s="624"/>
      <c r="AN71" s="624"/>
      <c r="AO71" s="624"/>
      <c r="AT71" s="708"/>
      <c r="AU71" s="708"/>
    </row>
    <row r="72" spans="1:47" s="92" customFormat="1">
      <c r="A72" s="63">
        <f>IFERROR(VLOOKUP(Table9[[#This Row],[Player No]],Table11[[#All],[No]:[Age Group]],4,0),"")</f>
        <v>0</v>
      </c>
      <c r="B72" s="61">
        <v>20</v>
      </c>
      <c r="C72" s="77">
        <f>+B72-D72</f>
        <v>-48</v>
      </c>
      <c r="D72" s="63">
        <f t="shared" si="7"/>
        <v>68</v>
      </c>
      <c r="E72" s="63">
        <v>8113</v>
      </c>
      <c r="F72" s="93" t="str">
        <f>IFERROR(VLOOKUP(Table9[[#This Row],[Player No]],Table11[[No]:[Province]],2,0),"")</f>
        <v>NJEMLA MBATHA Olwethu</v>
      </c>
      <c r="G72" s="63" t="str">
        <f>IFERROR(VLOOKUP(Table9[[#This Row],[Player No]],Table11[[No]:[Province]],3,0),"")</f>
        <v>ETK</v>
      </c>
      <c r="H72" s="635">
        <v>24.375</v>
      </c>
      <c r="I72" s="789">
        <f>Table9[[#This Row],[Points 2025]]/2+SUM(Table9[[#This Row],[O1  ADMIN 2026]:[P2       WC                   CT   Open 2026]])</f>
        <v>12.1875</v>
      </c>
      <c r="J72" s="63">
        <f t="shared" si="5"/>
        <v>0</v>
      </c>
      <c r="K72" s="63">
        <f t="shared" si="6"/>
        <v>0</v>
      </c>
      <c r="L72" s="708" t="s">
        <v>6083</v>
      </c>
      <c r="M72" s="708" t="s">
        <v>6083</v>
      </c>
      <c r="N72" s="708" t="s">
        <v>6083</v>
      </c>
      <c r="O72" s="708"/>
      <c r="P72" s="63"/>
      <c r="Q72" s="63"/>
      <c r="R72" s="114"/>
      <c r="S72" s="114"/>
      <c r="T72" s="114"/>
      <c r="U72" s="114"/>
      <c r="V72" s="63"/>
      <c r="W72" s="708"/>
      <c r="X72" s="400"/>
      <c r="Y72" s="114"/>
      <c r="Z72" s="114"/>
      <c r="AA72" s="63"/>
      <c r="AB72" s="63"/>
      <c r="AC72" s="63"/>
      <c r="AD72" s="114"/>
      <c r="AE72" s="63"/>
      <c r="AF72" s="63"/>
      <c r="AG72" s="63">
        <v>35</v>
      </c>
      <c r="AH72" s="63"/>
      <c r="AI72" s="63"/>
      <c r="AJ72" s="63"/>
      <c r="AK72" s="63"/>
      <c r="AL72" s="63"/>
      <c r="AM72" s="63"/>
      <c r="AN72" s="63"/>
      <c r="AO72" s="63"/>
      <c r="AT72" s="708"/>
      <c r="AU72" s="708"/>
    </row>
    <row r="73" spans="1:47" s="92" customFormat="1">
      <c r="A73" s="63" t="str">
        <f>IFERROR(VLOOKUP(Table9[[#This Row],[Player No]],Table11[[#All],[No]:[Age Group]],4,0),"")</f>
        <v>U13</v>
      </c>
      <c r="B73" s="61"/>
      <c r="C73" s="77"/>
      <c r="D73" s="63">
        <f t="shared" si="7"/>
        <v>69</v>
      </c>
      <c r="E73" s="63">
        <v>8407</v>
      </c>
      <c r="F73" s="93" t="str">
        <f>IFERROR(VLOOKUP(Table9[[#This Row],[Player No]],Table11[[No]:[Province]],2,0),"")</f>
        <v>DIBILOANE Katleho</v>
      </c>
      <c r="G73" s="63" t="str">
        <f>IFERROR(VLOOKUP(Table9[[#This Row],[Player No]],Table11[[No]:[Province]],3,0),"")</f>
        <v>EKU</v>
      </c>
      <c r="H73" s="635">
        <v>24</v>
      </c>
      <c r="I73" s="789">
        <f>Table9[[#This Row],[Points 2025]]/2+SUM(Table9[[#This Row],[O1  ADMIN 2026]:[P2       WC                   CT   Open 2026]])</f>
        <v>12</v>
      </c>
      <c r="J73" s="63">
        <f t="shared" si="5"/>
        <v>0</v>
      </c>
      <c r="K73" s="63">
        <f t="shared" si="6"/>
        <v>0</v>
      </c>
      <c r="L73" s="708" t="s">
        <v>6083</v>
      </c>
      <c r="M73" s="708" t="s">
        <v>6083</v>
      </c>
      <c r="N73" s="708" t="s">
        <v>6083</v>
      </c>
      <c r="O73" s="708"/>
      <c r="P73" s="63"/>
      <c r="Q73" s="63"/>
      <c r="R73" s="114"/>
      <c r="S73" s="114"/>
      <c r="T73" s="114"/>
      <c r="U73" s="114"/>
      <c r="V73" s="63"/>
      <c r="W73" s="708"/>
      <c r="X73" s="400">
        <v>5</v>
      </c>
      <c r="Y73" s="114"/>
      <c r="Z73" s="114"/>
      <c r="AA73" s="63"/>
      <c r="AB73" s="63">
        <v>15</v>
      </c>
      <c r="AC73" s="63"/>
      <c r="AD73" s="114">
        <v>0.5</v>
      </c>
      <c r="AE73" s="63">
        <v>1</v>
      </c>
      <c r="AF73" s="63"/>
      <c r="AG73" s="63"/>
      <c r="AH73" s="63"/>
      <c r="AI73" s="63"/>
      <c r="AJ73" s="63">
        <v>5</v>
      </c>
      <c r="AK73" s="63"/>
      <c r="AL73" s="63"/>
      <c r="AM73" s="63"/>
      <c r="AN73" s="63"/>
      <c r="AO73" s="63"/>
      <c r="AT73" s="708"/>
      <c r="AU73" s="708"/>
    </row>
    <row r="74" spans="1:47" s="92" customFormat="1">
      <c r="A74" s="63">
        <f>IFERROR(VLOOKUP(Table9[[#This Row],[Player No]],Table11[[#All],[No]:[Age Group]],4,0),"")</f>
        <v>0</v>
      </c>
      <c r="B74" s="61">
        <v>42</v>
      </c>
      <c r="C74" s="77">
        <f>+B74-D74</f>
        <v>-28</v>
      </c>
      <c r="D74" s="63">
        <f t="shared" si="7"/>
        <v>70</v>
      </c>
      <c r="E74" s="63">
        <v>8348</v>
      </c>
      <c r="F74" s="93" t="str">
        <f>IFERROR(VLOOKUP(Table9[[#This Row],[Player No]],Table11[[No]:[Province]],2,0),"")</f>
        <v>ABRAHAMS Zuri</v>
      </c>
      <c r="G74" s="63" t="str">
        <f>IFERROR(VLOOKUP(Table9[[#This Row],[Player No]],Table11[[No]:[Province]],3,0),"")</f>
        <v>JTTA</v>
      </c>
      <c r="H74" s="635">
        <v>22.5</v>
      </c>
      <c r="I74" s="789">
        <f>Table9[[#This Row],[Points 2025]]/2+SUM(Table9[[#This Row],[O1  ADMIN 2026]:[P2       WC                   CT   Open 2026]])</f>
        <v>11.25</v>
      </c>
      <c r="J74" s="63">
        <f t="shared" si="5"/>
        <v>0</v>
      </c>
      <c r="K74" s="63">
        <f t="shared" si="6"/>
        <v>0</v>
      </c>
      <c r="L74" s="708" t="s">
        <v>6083</v>
      </c>
      <c r="M74" s="708" t="s">
        <v>6083</v>
      </c>
      <c r="N74" s="708" t="s">
        <v>6083</v>
      </c>
      <c r="O74" s="708"/>
      <c r="P74" s="63"/>
      <c r="Q74" s="63"/>
      <c r="R74" s="114"/>
      <c r="S74" s="114"/>
      <c r="T74" s="114"/>
      <c r="U74" s="114"/>
      <c r="V74" s="63"/>
      <c r="W74" s="708"/>
      <c r="X74" s="400"/>
      <c r="Y74" s="114"/>
      <c r="Z74" s="114"/>
      <c r="AA74" s="63"/>
      <c r="AB74" s="63"/>
      <c r="AC74" s="63">
        <v>12.5</v>
      </c>
      <c r="AD74" s="114"/>
      <c r="AE74" s="63"/>
      <c r="AF74" s="63"/>
      <c r="AG74" s="63"/>
      <c r="AH74" s="63"/>
      <c r="AI74" s="63"/>
      <c r="AJ74" s="63"/>
      <c r="AK74" s="63">
        <f>25/2</f>
        <v>12.5</v>
      </c>
      <c r="AL74" s="63"/>
      <c r="AM74" s="63"/>
      <c r="AN74" s="63"/>
      <c r="AO74" s="63">
        <f>15/2</f>
        <v>7.5</v>
      </c>
      <c r="AT74" s="708"/>
      <c r="AU74" s="708"/>
    </row>
    <row r="75" spans="1:47" s="92" customFormat="1">
      <c r="A75" s="63">
        <f>IFERROR(VLOOKUP(Table9[[#This Row],[Player No]],Table11[[#All],[No]:[Age Group]],4,0),"")</f>
        <v>0</v>
      </c>
      <c r="B75" s="61">
        <v>22</v>
      </c>
      <c r="C75" s="77">
        <f>+B75-D75</f>
        <v>-49</v>
      </c>
      <c r="D75" s="63">
        <f t="shared" si="7"/>
        <v>71</v>
      </c>
      <c r="E75" s="63">
        <v>8152</v>
      </c>
      <c r="F75" s="93" t="str">
        <f>IFERROR(VLOOKUP(Table9[[#This Row],[Player No]],Table11[[No]:[Province]],2,0),"")</f>
        <v>ZIDE Iminam</v>
      </c>
      <c r="G75" s="63" t="str">
        <f>IFERROR(VLOOKUP(Table9[[#This Row],[Player No]],Table11[[No]:[Province]],3,0),"")</f>
        <v>EC</v>
      </c>
      <c r="H75" s="635">
        <v>21.875</v>
      </c>
      <c r="I75" s="789">
        <f>Table9[[#This Row],[Points 2025]]/2+SUM(Table9[[#This Row],[O1  ADMIN 2026]:[P2       WC                   CT   Open 2026]])</f>
        <v>10.9375</v>
      </c>
      <c r="J75" s="63">
        <f t="shared" si="5"/>
        <v>0</v>
      </c>
      <c r="K75" s="63">
        <f t="shared" si="6"/>
        <v>0</v>
      </c>
      <c r="L75" s="708" t="s">
        <v>6083</v>
      </c>
      <c r="M75" s="708" t="s">
        <v>6083</v>
      </c>
      <c r="N75" s="708" t="s">
        <v>6083</v>
      </c>
      <c r="O75" s="708"/>
      <c r="P75" s="63"/>
      <c r="Q75" s="63"/>
      <c r="R75" s="114"/>
      <c r="S75" s="114"/>
      <c r="T75" s="114"/>
      <c r="U75" s="114"/>
      <c r="V75" s="63"/>
      <c r="W75" s="708"/>
      <c r="X75" s="400"/>
      <c r="Y75" s="114"/>
      <c r="Z75" s="114"/>
      <c r="AA75" s="63"/>
      <c r="AB75" s="63"/>
      <c r="AC75" s="63"/>
      <c r="AD75" s="114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T75" s="708"/>
      <c r="AU75" s="708"/>
    </row>
    <row r="76" spans="1:47" s="92" customFormat="1">
      <c r="A76" s="63">
        <f>IFERROR(VLOOKUP(Table9[[#This Row],[Player No]],Table11[[#All],[No]:[Age Group]],4,0),"")</f>
        <v>0</v>
      </c>
      <c r="B76" s="61">
        <v>79</v>
      </c>
      <c r="C76" s="77">
        <f>+B76-D76</f>
        <v>7</v>
      </c>
      <c r="D76" s="63">
        <f t="shared" si="7"/>
        <v>72</v>
      </c>
      <c r="E76" s="63">
        <v>8274</v>
      </c>
      <c r="F76" s="93" t="str">
        <f>IFERROR(VLOOKUP(Table9[[#This Row],[Player No]],Table11[[No]:[Province]],2,0),"")</f>
        <v xml:space="preserve">MTHANTI  Siphokazi </v>
      </c>
      <c r="G76" s="63" t="str">
        <f>IFERROR(VLOOKUP(Table9[[#This Row],[Player No]],Table11[[No]:[Province]],3,0),"")</f>
        <v>UMZ</v>
      </c>
      <c r="H76" s="635">
        <v>20</v>
      </c>
      <c r="I76" s="789">
        <f>Table9[[#This Row],[Points 2025]]/2+SUM(Table9[[#This Row],[O1  ADMIN 2026]:[P2       WC                   CT   Open 2026]])</f>
        <v>10</v>
      </c>
      <c r="J76" s="63">
        <f t="shared" si="5"/>
        <v>0</v>
      </c>
      <c r="K76" s="63">
        <f t="shared" si="6"/>
        <v>0</v>
      </c>
      <c r="L76" s="708" t="s">
        <v>6083</v>
      </c>
      <c r="M76" s="708" t="s">
        <v>6083</v>
      </c>
      <c r="N76" s="708" t="s">
        <v>6083</v>
      </c>
      <c r="O76" s="708"/>
      <c r="P76" s="63"/>
      <c r="Q76" s="63"/>
      <c r="R76" s="114"/>
      <c r="S76" s="114"/>
      <c r="T76" s="114"/>
      <c r="U76" s="114"/>
      <c r="V76" s="63"/>
      <c r="W76" s="708"/>
      <c r="X76" s="400">
        <v>5</v>
      </c>
      <c r="Y76" s="114"/>
      <c r="Z76" s="114"/>
      <c r="AA76" s="63"/>
      <c r="AB76" s="63"/>
      <c r="AC76" s="63"/>
      <c r="AD76" s="114"/>
      <c r="AE76" s="63"/>
      <c r="AF76" s="63"/>
      <c r="AG76" s="63"/>
      <c r="AH76" s="63"/>
      <c r="AI76" s="63"/>
      <c r="AJ76" s="63">
        <v>25</v>
      </c>
      <c r="AK76" s="63"/>
      <c r="AL76" s="63"/>
      <c r="AM76" s="63"/>
      <c r="AN76" s="63"/>
      <c r="AO76" s="63"/>
      <c r="AT76" s="708"/>
      <c r="AU76" s="708"/>
    </row>
    <row r="77" spans="1:47" s="92" customFormat="1">
      <c r="A77" s="63">
        <f>IFERROR(VLOOKUP(Table9[[#This Row],[Player No]],Table11[[#All],[No]:[Age Group]],4,0),"")</f>
        <v>0</v>
      </c>
      <c r="B77" s="61">
        <v>25</v>
      </c>
      <c r="C77" s="77">
        <f>+B77-D77</f>
        <v>-48</v>
      </c>
      <c r="D77" s="63">
        <f t="shared" si="7"/>
        <v>73</v>
      </c>
      <c r="E77" s="63">
        <v>8297</v>
      </c>
      <c r="F77" s="93" t="str">
        <f>IFERROR(VLOOKUP(Table9[[#This Row],[Player No]],Table11[[No]:[Province]],2,0),"")</f>
        <v>Mofokeng Topollo</v>
      </c>
      <c r="G77" s="63" t="str">
        <f>IFERROR(VLOOKUP(Table9[[#This Row],[Player No]],Table11[[No]:[Province]],3,0),"")</f>
        <v>ETK</v>
      </c>
      <c r="H77" s="635">
        <v>18.75</v>
      </c>
      <c r="I77" s="789">
        <f>Table9[[#This Row],[Points 2025]]/2+SUM(Table9[[#This Row],[O1  ADMIN 2026]:[P2       WC                   CT   Open 2026]])</f>
        <v>9.375</v>
      </c>
      <c r="J77" s="63">
        <f t="shared" si="5"/>
        <v>0</v>
      </c>
      <c r="K77" s="63">
        <f t="shared" si="6"/>
        <v>0</v>
      </c>
      <c r="L77" s="708" t="s">
        <v>6083</v>
      </c>
      <c r="M77" s="708" t="s">
        <v>6083</v>
      </c>
      <c r="N77" s="708" t="s">
        <v>6083</v>
      </c>
      <c r="O77" s="708"/>
      <c r="P77" s="63"/>
      <c r="Q77" s="63"/>
      <c r="R77" s="114"/>
      <c r="S77" s="114"/>
      <c r="T77" s="114"/>
      <c r="U77" s="114"/>
      <c r="V77" s="63"/>
      <c r="W77" s="708"/>
      <c r="X77" s="400"/>
      <c r="Y77" s="114"/>
      <c r="Z77" s="114"/>
      <c r="AA77" s="63"/>
      <c r="AB77" s="63"/>
      <c r="AC77" s="63"/>
      <c r="AD77" s="114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T77" s="708"/>
      <c r="AU77" s="708"/>
    </row>
    <row r="78" spans="1:47" s="92" customFormat="1">
      <c r="A78" s="63">
        <f>IFERROR(VLOOKUP(Table9[[#This Row],[Player No]],Table11[[#All],[No]:[Age Group]],4,0),"")</f>
        <v>0</v>
      </c>
      <c r="B78" s="61">
        <v>26</v>
      </c>
      <c r="C78" s="77">
        <f>+B78-D78</f>
        <v>-48</v>
      </c>
      <c r="D78" s="63">
        <f t="shared" si="7"/>
        <v>74</v>
      </c>
      <c r="E78" s="63">
        <v>8063</v>
      </c>
      <c r="F78" s="93" t="str">
        <f>IFERROR(VLOOKUP(Table9[[#This Row],[Player No]],Table11[[No]:[Province]],2,0),"")</f>
        <v>TOTARAM Kritika</v>
      </c>
      <c r="G78" s="63" t="str">
        <f>IFERROR(VLOOKUP(Table9[[#This Row],[Player No]],Table11[[No]:[Province]],3,0),"")</f>
        <v>UMG</v>
      </c>
      <c r="H78" s="635">
        <v>18.375</v>
      </c>
      <c r="I78" s="789">
        <f>Table9[[#This Row],[Points 2025]]/2+SUM(Table9[[#This Row],[O1  ADMIN 2026]:[P2       WC                   CT   Open 2026]])</f>
        <v>9.1875</v>
      </c>
      <c r="J78" s="63">
        <f t="shared" si="5"/>
        <v>0</v>
      </c>
      <c r="K78" s="63">
        <f t="shared" si="6"/>
        <v>0</v>
      </c>
      <c r="L78" s="708" t="s">
        <v>6083</v>
      </c>
      <c r="M78" s="708" t="s">
        <v>6083</v>
      </c>
      <c r="N78" s="708" t="s">
        <v>6083</v>
      </c>
      <c r="O78" s="708"/>
      <c r="P78" s="63"/>
      <c r="Q78" s="63"/>
      <c r="R78" s="114"/>
      <c r="S78" s="114"/>
      <c r="T78" s="114"/>
      <c r="U78" s="114"/>
      <c r="V78" s="63"/>
      <c r="W78" s="708"/>
      <c r="X78" s="400"/>
      <c r="Y78" s="114"/>
      <c r="Z78" s="114"/>
      <c r="AA78" s="63"/>
      <c r="AB78" s="63"/>
      <c r="AC78" s="63"/>
      <c r="AD78" s="114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T78" s="708"/>
      <c r="AU78" s="708"/>
    </row>
    <row r="79" spans="1:47" s="92" customFormat="1">
      <c r="A79" s="164">
        <f>A78+1</f>
        <v>1</v>
      </c>
      <c r="B79" s="155"/>
      <c r="C79" s="160" t="e">
        <f>+B79-#REF!</f>
        <v>#REF!</v>
      </c>
      <c r="D79" s="63">
        <f t="shared" si="7"/>
        <v>75</v>
      </c>
      <c r="E79" s="161">
        <v>8574</v>
      </c>
      <c r="F79" s="93" t="str">
        <f>IFERROR(VLOOKUP(Table9[[#This Row],[Player No]],Table11[[No]:[Province]],2,0),"")</f>
        <v>Jiya Naidoo</v>
      </c>
      <c r="G79" s="63" t="str">
        <f>IFERROR(VLOOKUP(Table9[[#This Row],[Player No]],Table11[[No]:[Province]],3,0),"")</f>
        <v>UMG</v>
      </c>
      <c r="H79" s="635">
        <v>13.125</v>
      </c>
      <c r="I79" s="820">
        <f>Table9[[#This Row],[Points 2025]]/2+SUM(Table9[[#This Row],[O1  ADMIN 2026]:[P2       WC                   CT   Open 2026]])</f>
        <v>8.5625</v>
      </c>
      <c r="J79" s="63">
        <f t="shared" si="5"/>
        <v>2</v>
      </c>
      <c r="K79" s="161">
        <f t="shared" si="6"/>
        <v>0</v>
      </c>
      <c r="L79" s="833" t="s">
        <v>6083</v>
      </c>
      <c r="M79" s="833">
        <v>1</v>
      </c>
      <c r="N79" s="833">
        <v>1</v>
      </c>
      <c r="O79" s="833"/>
      <c r="P79" s="157">
        <v>2</v>
      </c>
      <c r="Q79" s="157">
        <v>10</v>
      </c>
      <c r="R79" s="165"/>
      <c r="S79" s="165">
        <v>1</v>
      </c>
      <c r="T79" s="165"/>
      <c r="U79" s="165"/>
      <c r="V79" s="157"/>
      <c r="W79" s="712"/>
      <c r="X79" s="444"/>
      <c r="Y79" s="165"/>
      <c r="Z79" s="165"/>
      <c r="AA79" s="157"/>
      <c r="AB79" s="157"/>
      <c r="AC79" s="157"/>
      <c r="AD79" s="165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T79" s="708"/>
      <c r="AU79" s="708"/>
    </row>
    <row r="80" spans="1:47" s="92" customFormat="1">
      <c r="A80" s="63">
        <f>IFERROR(VLOOKUP(Table9[[#This Row],[Player No]],Table11[[#All],[No]:[Age Group]],4,0),"")</f>
        <v>0</v>
      </c>
      <c r="B80" s="61">
        <v>30</v>
      </c>
      <c r="C80" s="77">
        <f>+B80-D80</f>
        <v>-46</v>
      </c>
      <c r="D80" s="63">
        <f t="shared" si="7"/>
        <v>76</v>
      </c>
      <c r="E80" s="63">
        <v>8160</v>
      </c>
      <c r="F80" s="93" t="str">
        <f>IFERROR(VLOOKUP(Table9[[#This Row],[Player No]],Table11[[No]:[Province]],2,0),"")</f>
        <v xml:space="preserve">MODJADJI Lerato </v>
      </c>
      <c r="G80" s="63" t="str">
        <f>IFERROR(VLOOKUP(Table9[[#This Row],[Player No]],Table11[[No]:[Province]],3,0),"")</f>
        <v>LIM</v>
      </c>
      <c r="H80" s="635">
        <v>15.625</v>
      </c>
      <c r="I80" s="789">
        <f>Table9[[#This Row],[Points 2025]]/2+SUM(Table9[[#This Row],[O1  ADMIN 2026]:[P2       WC                   CT   Open 2026]])</f>
        <v>7.8125</v>
      </c>
      <c r="J80" s="63">
        <f t="shared" si="5"/>
        <v>0</v>
      </c>
      <c r="K80" s="63">
        <f t="shared" si="6"/>
        <v>0</v>
      </c>
      <c r="L80" s="708" t="s">
        <v>6083</v>
      </c>
      <c r="M80" s="708" t="s">
        <v>6083</v>
      </c>
      <c r="N80" s="708" t="s">
        <v>6083</v>
      </c>
      <c r="O80" s="708"/>
      <c r="P80" s="63"/>
      <c r="Q80" s="63"/>
      <c r="R80" s="114"/>
      <c r="S80" s="114"/>
      <c r="T80" s="114"/>
      <c r="U80" s="114"/>
      <c r="V80" s="63"/>
      <c r="W80" s="708"/>
      <c r="X80" s="400"/>
      <c r="Y80" s="114"/>
      <c r="Z80" s="114"/>
      <c r="AA80" s="63"/>
      <c r="AB80" s="63"/>
      <c r="AC80" s="63"/>
      <c r="AD80" s="114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T80" s="833"/>
      <c r="AU80" s="833"/>
    </row>
    <row r="81" spans="1:47" s="92" customFormat="1">
      <c r="A81" s="63">
        <f>IFERROR(VLOOKUP(Table9[[#This Row],[Player No]],Table11[[#All],[No]:[Age Group]],4,0),"")</f>
        <v>0</v>
      </c>
      <c r="B81" s="61"/>
      <c r="C81" s="77"/>
      <c r="D81" s="63">
        <f t="shared" si="7"/>
        <v>77</v>
      </c>
      <c r="E81" s="63">
        <v>8500</v>
      </c>
      <c r="F81" s="93" t="str">
        <f>IFERROR(VLOOKUP(Table9[[#This Row],[Player No]],Table11[[No]:[Province]],2,0),"")</f>
        <v xml:space="preserve">DOMINGO Farah </v>
      </c>
      <c r="G81" s="63" t="str">
        <f>IFERROR(VLOOKUP(Table9[[#This Row],[Player No]],Table11[[No]:[Province]],3,0),"")</f>
        <v>CT</v>
      </c>
      <c r="H81" s="635">
        <v>15</v>
      </c>
      <c r="I81" s="789">
        <f>Table9[[#This Row],[Points 2025]]/2+SUM(Table9[[#This Row],[O1  ADMIN 2026]:[P2       WC                   CT   Open 2026]])</f>
        <v>7.5</v>
      </c>
      <c r="J81" s="63">
        <f t="shared" si="5"/>
        <v>0</v>
      </c>
      <c r="K81" s="63">
        <f t="shared" si="6"/>
        <v>0</v>
      </c>
      <c r="L81" s="708" t="s">
        <v>6083</v>
      </c>
      <c r="M81" s="708" t="s">
        <v>6083</v>
      </c>
      <c r="N81" s="708" t="s">
        <v>6083</v>
      </c>
      <c r="O81" s="708"/>
      <c r="P81" s="63"/>
      <c r="Q81" s="63"/>
      <c r="R81" s="114"/>
      <c r="S81" s="114"/>
      <c r="T81" s="114"/>
      <c r="U81" s="114"/>
      <c r="V81" s="63"/>
      <c r="W81" s="708"/>
      <c r="X81" s="400"/>
      <c r="Y81" s="114">
        <v>12.5</v>
      </c>
      <c r="Z81" s="114"/>
      <c r="AA81" s="63">
        <v>2</v>
      </c>
      <c r="AB81" s="63"/>
      <c r="AC81" s="63"/>
      <c r="AD81" s="114"/>
      <c r="AE81" s="63"/>
      <c r="AF81" s="63"/>
      <c r="AG81" s="63"/>
      <c r="AH81" s="63">
        <v>1</v>
      </c>
      <c r="AI81" s="63"/>
      <c r="AJ81" s="63"/>
      <c r="AK81" s="63"/>
      <c r="AL81" s="63"/>
      <c r="AM81" s="63"/>
      <c r="AN81" s="63"/>
      <c r="AO81" s="63"/>
      <c r="AT81" s="708"/>
      <c r="AU81" s="708"/>
    </row>
    <row r="82" spans="1:47" s="92" customFormat="1">
      <c r="A82" s="63">
        <f>IFERROR(VLOOKUP(Table9[[#This Row],[Player No]],Table11[[#All],[No]:[Age Group]],4,0),"")</f>
        <v>0</v>
      </c>
      <c r="B82" s="61"/>
      <c r="C82" s="77"/>
      <c r="D82" s="63">
        <f t="shared" si="7"/>
        <v>78</v>
      </c>
      <c r="E82" s="42">
        <v>8570</v>
      </c>
      <c r="F82" s="93" t="str">
        <f>IFERROR(VLOOKUP(Table9[[#This Row],[Player No]],Table11[[No]:[Province]],2,0),"")</f>
        <v>MAOME Reitumetse</v>
      </c>
      <c r="G82" s="63" t="str">
        <f>IFERROR(VLOOKUP(Table9[[#This Row],[Player No]],Table11[[No]:[Province]],3,0),"")</f>
        <v>LES</v>
      </c>
      <c r="H82" s="635">
        <v>15</v>
      </c>
      <c r="I82" s="789">
        <f>Table9[[#This Row],[Points 2025]]/2+SUM(Table9[[#This Row],[O1  ADMIN 2026]:[P2       WC                   CT   Open 2026]])</f>
        <v>7.5</v>
      </c>
      <c r="J82" s="63">
        <f t="shared" si="5"/>
        <v>0</v>
      </c>
      <c r="K82" s="63">
        <f t="shared" si="6"/>
        <v>0</v>
      </c>
      <c r="L82" s="708" t="s">
        <v>6083</v>
      </c>
      <c r="M82" s="708" t="s">
        <v>6083</v>
      </c>
      <c r="N82" s="708" t="s">
        <v>6083</v>
      </c>
      <c r="O82" s="708"/>
      <c r="P82" s="63"/>
      <c r="Q82" s="63"/>
      <c r="R82" s="114"/>
      <c r="S82" s="114"/>
      <c r="T82" s="114">
        <v>15</v>
      </c>
      <c r="U82" s="114"/>
      <c r="V82" s="63"/>
      <c r="W82" s="708"/>
      <c r="X82" s="400"/>
      <c r="Y82" s="114"/>
      <c r="Z82" s="114"/>
      <c r="AA82" s="63"/>
      <c r="AB82" s="63"/>
      <c r="AC82" s="63"/>
      <c r="AD82" s="114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T82" s="708"/>
      <c r="AU82" s="708"/>
    </row>
    <row r="83" spans="1:47" s="92" customFormat="1">
      <c r="A83" s="63">
        <f>IFERROR(VLOOKUP(Table9[[#This Row],[Player No]],Table11[[#All],[No]:[Age Group]],4,0),"")</f>
        <v>0</v>
      </c>
      <c r="B83" s="61"/>
      <c r="C83" s="77">
        <f>+B83-D83</f>
        <v>-79</v>
      </c>
      <c r="D83" s="63">
        <f t="shared" si="7"/>
        <v>79</v>
      </c>
      <c r="E83" s="63">
        <v>8594</v>
      </c>
      <c r="F83" s="93" t="str">
        <f>IFERROR(VLOOKUP(Table9[[#This Row],[Player No]],Table11[[No]:[Province]],2,0),"")</f>
        <v xml:space="preserve">K Mpata </v>
      </c>
      <c r="G83" s="63" t="str">
        <f>IFERROR(VLOOKUP(Table9[[#This Row],[Player No]],Table11[[No]:[Province]],3,0),"")</f>
        <v>FS</v>
      </c>
      <c r="H83" s="635">
        <v>15</v>
      </c>
      <c r="I83" s="789">
        <f>Table9[[#This Row],[Points 2025]]/2+SUM(Table9[[#This Row],[O1  ADMIN 2026]:[P2       WC                   CT   Open 2026]])</f>
        <v>7.5</v>
      </c>
      <c r="J83" s="63">
        <f t="shared" si="5"/>
        <v>0</v>
      </c>
      <c r="K83" s="63">
        <f t="shared" si="6"/>
        <v>0</v>
      </c>
      <c r="L83" s="708" t="s">
        <v>6083</v>
      </c>
      <c r="M83" s="708" t="s">
        <v>6083</v>
      </c>
      <c r="N83" s="708" t="s">
        <v>6083</v>
      </c>
      <c r="O83" s="708"/>
      <c r="P83" s="63"/>
      <c r="Q83" s="63"/>
      <c r="R83" s="114"/>
      <c r="S83" s="114"/>
      <c r="T83" s="114"/>
      <c r="U83" s="114"/>
      <c r="V83" s="63">
        <v>15</v>
      </c>
      <c r="W83" s="708"/>
      <c r="X83" s="400"/>
      <c r="Y83" s="114"/>
      <c r="Z83" s="114"/>
      <c r="AA83" s="63"/>
      <c r="AB83" s="63"/>
      <c r="AC83" s="63"/>
      <c r="AD83" s="114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T83" s="708"/>
      <c r="AU83" s="708"/>
    </row>
    <row r="84" spans="1:47" s="92" customFormat="1">
      <c r="A84" s="138">
        <f t="shared" ref="A84:A89" si="8">A83+1</f>
        <v>1</v>
      </c>
      <c r="B84" s="61"/>
      <c r="C84" s="77">
        <f>+B84-D84</f>
        <v>-80</v>
      </c>
      <c r="D84" s="63">
        <f t="shared" si="7"/>
        <v>80</v>
      </c>
      <c r="E84" s="154">
        <v>8595</v>
      </c>
      <c r="F84" s="93" t="str">
        <f>IFERROR(VLOOKUP(Table9[[#This Row],[Player No]],Table11[[No]:[Province]],2,0),"")</f>
        <v xml:space="preserve">R Kantoane </v>
      </c>
      <c r="G84" s="63" t="str">
        <f>IFERROR(VLOOKUP(Table9[[#This Row],[Player No]],Table11[[No]:[Province]],3,0),"")</f>
        <v>FS</v>
      </c>
      <c r="H84" s="635">
        <v>15</v>
      </c>
      <c r="I84" s="789">
        <f>Table9[[#This Row],[Points 2025]]/2+SUM(Table9[[#This Row],[O1  ADMIN 2026]:[P2       WC                   CT   Open 2026]])</f>
        <v>7.5</v>
      </c>
      <c r="J84" s="63">
        <f t="shared" si="5"/>
        <v>0</v>
      </c>
      <c r="K84" s="63">
        <f t="shared" si="6"/>
        <v>0</v>
      </c>
      <c r="L84" s="708" t="s">
        <v>6083</v>
      </c>
      <c r="M84" s="708" t="s">
        <v>6083</v>
      </c>
      <c r="N84" s="708" t="s">
        <v>6083</v>
      </c>
      <c r="O84" s="708"/>
      <c r="P84" s="63"/>
      <c r="Q84" s="63"/>
      <c r="R84" s="114"/>
      <c r="S84" s="114"/>
      <c r="T84" s="114"/>
      <c r="U84" s="114"/>
      <c r="V84" s="63">
        <v>15</v>
      </c>
      <c r="W84" s="708"/>
      <c r="X84" s="400"/>
      <c r="Y84" s="114"/>
      <c r="Z84" s="114"/>
      <c r="AA84" s="63"/>
      <c r="AB84" s="63"/>
      <c r="AC84" s="63"/>
      <c r="AD84" s="114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T84" s="708"/>
      <c r="AU84" s="708"/>
    </row>
    <row r="85" spans="1:47" s="92" customFormat="1">
      <c r="A85" s="138">
        <f t="shared" si="8"/>
        <v>2</v>
      </c>
      <c r="B85" s="61"/>
      <c r="C85" s="77">
        <f>+B85-D85</f>
        <v>-81</v>
      </c>
      <c r="D85" s="63">
        <f t="shared" si="7"/>
        <v>81</v>
      </c>
      <c r="E85" s="154">
        <v>8596</v>
      </c>
      <c r="F85" s="93" t="str">
        <f>IFERROR(VLOOKUP(Table9[[#This Row],[Player No]],Table11[[No]:[Province]],2,0),"")</f>
        <v xml:space="preserve">K Lephoo </v>
      </c>
      <c r="G85" s="63" t="str">
        <f>IFERROR(VLOOKUP(Table9[[#This Row],[Player No]],Table11[[No]:[Province]],3,0),"")</f>
        <v>FS</v>
      </c>
      <c r="H85" s="635">
        <v>15</v>
      </c>
      <c r="I85" s="789">
        <f>Table9[[#This Row],[Points 2025]]/2+SUM(Table9[[#This Row],[O1  ADMIN 2026]:[P2       WC                   CT   Open 2026]])</f>
        <v>7.5</v>
      </c>
      <c r="J85" s="63">
        <f t="shared" si="5"/>
        <v>0</v>
      </c>
      <c r="K85" s="63">
        <f t="shared" si="6"/>
        <v>0</v>
      </c>
      <c r="L85" s="708" t="s">
        <v>6083</v>
      </c>
      <c r="M85" s="708" t="s">
        <v>6083</v>
      </c>
      <c r="N85" s="708" t="s">
        <v>6083</v>
      </c>
      <c r="O85" s="708"/>
      <c r="P85" s="63"/>
      <c r="Q85" s="63"/>
      <c r="R85" s="114"/>
      <c r="S85" s="114"/>
      <c r="T85" s="114"/>
      <c r="U85" s="114"/>
      <c r="V85" s="63">
        <v>15</v>
      </c>
      <c r="W85" s="708"/>
      <c r="X85" s="400"/>
      <c r="Y85" s="114"/>
      <c r="Z85" s="114"/>
      <c r="AA85" s="63"/>
      <c r="AB85" s="63"/>
      <c r="AC85" s="63"/>
      <c r="AD85" s="114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T85" s="708"/>
      <c r="AU85" s="708"/>
    </row>
    <row r="86" spans="1:47" s="92" customFormat="1">
      <c r="A86" s="138">
        <f t="shared" si="8"/>
        <v>3</v>
      </c>
      <c r="B86" s="61"/>
      <c r="C86" s="77">
        <f>+B86-D86</f>
        <v>-82</v>
      </c>
      <c r="D86" s="63">
        <f t="shared" si="7"/>
        <v>82</v>
      </c>
      <c r="E86" s="154">
        <v>8597</v>
      </c>
      <c r="F86" s="93" t="str">
        <f>IFERROR(VLOOKUP(Table9[[#This Row],[Player No]],Table11[[No]:[Province]],2,0),"")</f>
        <v>L Molisenyane</v>
      </c>
      <c r="G86" s="63" t="str">
        <f>IFERROR(VLOOKUP(Table9[[#This Row],[Player No]],Table11[[No]:[Province]],3,0),"")</f>
        <v>FS</v>
      </c>
      <c r="H86" s="635">
        <v>15</v>
      </c>
      <c r="I86" s="789">
        <f>Table9[[#This Row],[Points 2025]]/2+SUM(Table9[[#This Row],[O1  ADMIN 2026]:[P2       WC                   CT   Open 2026]])</f>
        <v>7.5</v>
      </c>
      <c r="J86" s="63">
        <f t="shared" si="5"/>
        <v>0</v>
      </c>
      <c r="K86" s="63">
        <f t="shared" si="6"/>
        <v>0</v>
      </c>
      <c r="L86" s="708" t="s">
        <v>6083</v>
      </c>
      <c r="M86" s="708" t="s">
        <v>6083</v>
      </c>
      <c r="N86" s="708" t="s">
        <v>6083</v>
      </c>
      <c r="O86" s="708"/>
      <c r="P86" s="63"/>
      <c r="Q86" s="63"/>
      <c r="R86" s="114"/>
      <c r="S86" s="114"/>
      <c r="T86" s="114"/>
      <c r="U86" s="114"/>
      <c r="V86" s="63">
        <v>15</v>
      </c>
      <c r="W86" s="708"/>
      <c r="X86" s="400"/>
      <c r="Y86" s="114"/>
      <c r="Z86" s="114"/>
      <c r="AA86" s="63"/>
      <c r="AB86" s="63"/>
      <c r="AC86" s="63"/>
      <c r="AD86" s="114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T86" s="708"/>
      <c r="AU86" s="708"/>
    </row>
    <row r="87" spans="1:47" s="92" customFormat="1">
      <c r="A87" s="138">
        <f t="shared" si="8"/>
        <v>4</v>
      </c>
      <c r="B87" s="61"/>
      <c r="C87" s="77" t="e">
        <f>+B87-#REF!</f>
        <v>#REF!</v>
      </c>
      <c r="D87" s="63">
        <f t="shared" si="7"/>
        <v>83</v>
      </c>
      <c r="E87" s="315">
        <v>8668</v>
      </c>
      <c r="F87" s="93" t="str">
        <f>IFERROR(VLOOKUP(Table9[[#This Row],[Player No]],Table11[[No]:[Province]],2,0),"")</f>
        <v xml:space="preserve"> MOLEFE Lesedi</v>
      </c>
      <c r="G87" s="63" t="str">
        <f>IFERROR(VLOOKUP(Table9[[#This Row],[Player No]],Table11[[No]:[Province]],3,0),"")</f>
        <v>EKU</v>
      </c>
      <c r="H87" s="635">
        <v>15</v>
      </c>
      <c r="I87" s="789">
        <f>Table9[[#This Row],[Points 2025]]/2+SUM(Table9[[#This Row],[O1  ADMIN 2026]:[P2       WC                   CT   Open 2026]])</f>
        <v>7.5</v>
      </c>
      <c r="J87" s="63">
        <f t="shared" si="5"/>
        <v>0</v>
      </c>
      <c r="K87" s="154">
        <f t="shared" si="6"/>
        <v>0</v>
      </c>
      <c r="L87" s="827" t="s">
        <v>6083</v>
      </c>
      <c r="M87" s="827" t="s">
        <v>6083</v>
      </c>
      <c r="N87" s="827" t="s">
        <v>6083</v>
      </c>
      <c r="O87" s="827"/>
      <c r="P87" s="63"/>
      <c r="Q87" s="63"/>
      <c r="R87" s="114"/>
      <c r="S87" s="114"/>
      <c r="T87" s="114"/>
      <c r="U87" s="114"/>
      <c r="V87" s="63"/>
      <c r="W87" s="708"/>
      <c r="X87" s="400"/>
      <c r="Y87" s="114"/>
      <c r="Z87" s="114"/>
      <c r="AA87" s="63"/>
      <c r="AB87" s="63">
        <v>15</v>
      </c>
      <c r="AC87" s="63"/>
      <c r="AD87" s="114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T87" s="827"/>
      <c r="AU87" s="827"/>
    </row>
    <row r="88" spans="1:47" s="92" customFormat="1">
      <c r="A88" s="138">
        <f t="shared" si="8"/>
        <v>5</v>
      </c>
      <c r="B88" s="61"/>
      <c r="C88" s="77" t="e">
        <f>+B88-#REF!</f>
        <v>#REF!</v>
      </c>
      <c r="D88" s="63">
        <f t="shared" si="7"/>
        <v>84</v>
      </c>
      <c r="E88" s="315">
        <v>8694</v>
      </c>
      <c r="F88" s="93" t="str">
        <f>IFERROR(VLOOKUP(Table9[[#This Row],[Player No]],Table11[[No]:[Province]],2,0),"")</f>
        <v>MOHLAMBI Lethabo</v>
      </c>
      <c r="G88" s="63" t="str">
        <f>IFERROR(VLOOKUP(Table9[[#This Row],[Player No]],Table11[[No]:[Province]],3,0),"")</f>
        <v>EKU</v>
      </c>
      <c r="H88" s="635">
        <v>15</v>
      </c>
      <c r="I88" s="789">
        <f>Table9[[#This Row],[Points 2025]]/2+SUM(Table9[[#This Row],[O1  ADMIN 2026]:[P2       WC                   CT   Open 2026]])</f>
        <v>7.5</v>
      </c>
      <c r="J88" s="63">
        <f t="shared" si="5"/>
        <v>0</v>
      </c>
      <c r="K88" s="154">
        <f t="shared" si="6"/>
        <v>0</v>
      </c>
      <c r="L88" s="827" t="s">
        <v>6083</v>
      </c>
      <c r="M88" s="827" t="s">
        <v>6083</v>
      </c>
      <c r="N88" s="827" t="s">
        <v>6083</v>
      </c>
      <c r="O88" s="827"/>
      <c r="P88" s="63"/>
      <c r="Q88" s="63"/>
      <c r="R88" s="114"/>
      <c r="S88" s="114"/>
      <c r="T88" s="114"/>
      <c r="U88" s="114"/>
      <c r="V88" s="63"/>
      <c r="W88" s="708"/>
      <c r="X88" s="400"/>
      <c r="Y88" s="114"/>
      <c r="Z88" s="114"/>
      <c r="AA88" s="63"/>
      <c r="AB88" s="63">
        <v>15</v>
      </c>
      <c r="AC88" s="63"/>
      <c r="AD88" s="114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T88" s="827"/>
      <c r="AU88" s="827"/>
    </row>
    <row r="89" spans="1:47" s="92" customFormat="1">
      <c r="A89" s="138">
        <f t="shared" si="8"/>
        <v>6</v>
      </c>
      <c r="B89" s="61"/>
      <c r="C89" s="77" t="e">
        <f>+B89-#REF!</f>
        <v>#REF!</v>
      </c>
      <c r="D89" s="63">
        <f t="shared" si="7"/>
        <v>85</v>
      </c>
      <c r="E89" s="315">
        <v>8698</v>
      </c>
      <c r="F89" s="93" t="str">
        <f>IFERROR(VLOOKUP(Table9[[#This Row],[Player No]],Table11[[No]:[Province]],2,0),"")</f>
        <v>MCWETYANA Anothando</v>
      </c>
      <c r="G89" s="63" t="str">
        <f>IFERROR(VLOOKUP(Table9[[#This Row],[Player No]],Table11[[No]:[Province]],3,0),"")</f>
        <v>EKU</v>
      </c>
      <c r="H89" s="635">
        <v>15</v>
      </c>
      <c r="I89" s="789">
        <f>Table9[[#This Row],[Points 2025]]/2+SUM(Table9[[#This Row],[O1  ADMIN 2026]:[P2       WC                   CT   Open 2026]])</f>
        <v>7.5</v>
      </c>
      <c r="J89" s="63">
        <f t="shared" si="5"/>
        <v>0</v>
      </c>
      <c r="K89" s="154">
        <f t="shared" si="6"/>
        <v>0</v>
      </c>
      <c r="L89" s="827" t="s">
        <v>6083</v>
      </c>
      <c r="M89" s="827" t="s">
        <v>6083</v>
      </c>
      <c r="N89" s="827" t="s">
        <v>6083</v>
      </c>
      <c r="O89" s="827"/>
      <c r="P89" s="63"/>
      <c r="Q89" s="63"/>
      <c r="R89" s="114"/>
      <c r="S89" s="114"/>
      <c r="T89" s="114"/>
      <c r="U89" s="114"/>
      <c r="V89" s="63"/>
      <c r="W89" s="708"/>
      <c r="X89" s="400"/>
      <c r="Y89" s="114"/>
      <c r="Z89" s="114"/>
      <c r="AA89" s="63"/>
      <c r="AB89" s="63">
        <v>15</v>
      </c>
      <c r="AC89" s="63"/>
      <c r="AD89" s="114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T89" s="827"/>
      <c r="AU89" s="827"/>
    </row>
    <row r="90" spans="1:47" s="92" customFormat="1">
      <c r="A90" s="63">
        <f>IFERROR(VLOOKUP(Table9[[#This Row],[Player No]],Table11[[#All],[No]:[Age Group]],4,0),"")</f>
        <v>0</v>
      </c>
      <c r="B90" s="61">
        <v>82</v>
      </c>
      <c r="C90" s="77">
        <f t="shared" ref="C90:C96" si="9">+B90-D90</f>
        <v>-4</v>
      </c>
      <c r="D90" s="63">
        <f t="shared" si="7"/>
        <v>86</v>
      </c>
      <c r="E90" s="63">
        <v>8158</v>
      </c>
      <c r="F90" s="93" t="str">
        <f>IFERROR(VLOOKUP(Table9[[#This Row],[Player No]],Table11[[No]:[Province]],2,0),"")</f>
        <v>MANYAMA Nthabiseng</v>
      </c>
      <c r="G90" s="63" t="str">
        <f>IFERROR(VLOOKUP(Table9[[#This Row],[Player No]],Table11[[No]:[Province]],3,0),"")</f>
        <v>LIM</v>
      </c>
      <c r="H90" s="635">
        <v>13.75</v>
      </c>
      <c r="I90" s="789">
        <f>Table9[[#This Row],[Points 2025]]/2+SUM(Table9[[#This Row],[O1  ADMIN 2026]:[P2       WC                   CT   Open 2026]])</f>
        <v>6.875</v>
      </c>
      <c r="J90" s="63">
        <f t="shared" si="5"/>
        <v>0</v>
      </c>
      <c r="K90" s="63">
        <f t="shared" si="6"/>
        <v>0</v>
      </c>
      <c r="L90" s="708" t="s">
        <v>6083</v>
      </c>
      <c r="M90" s="708" t="s">
        <v>6083</v>
      </c>
      <c r="N90" s="708" t="s">
        <v>6083</v>
      </c>
      <c r="O90" s="708"/>
      <c r="P90" s="63"/>
      <c r="Q90" s="63"/>
      <c r="R90" s="114"/>
      <c r="S90" s="114"/>
      <c r="T90" s="114"/>
      <c r="U90" s="114"/>
      <c r="V90" s="63"/>
      <c r="W90" s="708"/>
      <c r="X90" s="400"/>
      <c r="Y90" s="114"/>
      <c r="Z90" s="114"/>
      <c r="AA90" s="63"/>
      <c r="AB90" s="63"/>
      <c r="AC90" s="63"/>
      <c r="AD90" s="114"/>
      <c r="AE90" s="63"/>
      <c r="AF90" s="63"/>
      <c r="AG90" s="63"/>
      <c r="AH90" s="63"/>
      <c r="AI90" s="63"/>
      <c r="AJ90" s="63">
        <v>25</v>
      </c>
      <c r="AK90" s="63"/>
      <c r="AL90" s="63"/>
      <c r="AM90" s="63"/>
      <c r="AN90" s="63"/>
      <c r="AO90" s="63"/>
      <c r="AT90" s="708"/>
      <c r="AU90" s="708"/>
    </row>
    <row r="91" spans="1:47" s="92" customFormat="1">
      <c r="A91" s="63" t="str">
        <f>IFERROR(VLOOKUP(Table9[[#This Row],[Player No]],Table11[[#All],[No]:[Age Group]],4,0),"")</f>
        <v>U13</v>
      </c>
      <c r="B91" s="61">
        <v>33</v>
      </c>
      <c r="C91" s="77">
        <f t="shared" si="9"/>
        <v>-54</v>
      </c>
      <c r="D91" s="63">
        <f t="shared" si="7"/>
        <v>87</v>
      </c>
      <c r="E91" s="63">
        <v>7043</v>
      </c>
      <c r="F91" s="93" t="str">
        <f>IFERROR(VLOOKUP(Table9[[#This Row],[Player No]],Table11[[No]:[Province]],2,0),"")</f>
        <v>NKOBANG Lindela</v>
      </c>
      <c r="G91" s="63" t="str">
        <f>IFERROR(VLOOKUP(Table9[[#This Row],[Player No]],Table11[[No]:[Province]],3,0),"")</f>
        <v>NC</v>
      </c>
      <c r="H91" s="635">
        <v>12.75</v>
      </c>
      <c r="I91" s="789">
        <f>Table9[[#This Row],[Points 2025]]/2+SUM(Table9[[#This Row],[O1  ADMIN 2026]:[P2       WC                   CT   Open 2026]])</f>
        <v>6.375</v>
      </c>
      <c r="J91" s="63">
        <f t="shared" si="5"/>
        <v>0</v>
      </c>
      <c r="K91" s="63">
        <f t="shared" si="6"/>
        <v>0</v>
      </c>
      <c r="L91" s="708" t="s">
        <v>6083</v>
      </c>
      <c r="M91" s="708" t="s">
        <v>6083</v>
      </c>
      <c r="N91" s="708" t="s">
        <v>6083</v>
      </c>
      <c r="O91" s="708"/>
      <c r="P91" s="63"/>
      <c r="Q91" s="63"/>
      <c r="R91" s="114"/>
      <c r="S91" s="114"/>
      <c r="T91" s="114"/>
      <c r="U91" s="114"/>
      <c r="V91" s="63"/>
      <c r="W91" s="708"/>
      <c r="X91" s="400">
        <v>0</v>
      </c>
      <c r="Y91" s="114"/>
      <c r="Z91" s="114"/>
      <c r="AA91" s="63"/>
      <c r="AB91" s="63"/>
      <c r="AC91" s="63"/>
      <c r="AD91" s="114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T91" s="708"/>
      <c r="AU91" s="708"/>
    </row>
    <row r="92" spans="1:47" s="92" customFormat="1">
      <c r="A92" s="63">
        <f>IFERROR(VLOOKUP(Table9[[#This Row],[Player No]],Table11[[#All],[No]:[Age Group]],4,0),"")</f>
        <v>0</v>
      </c>
      <c r="B92" s="61">
        <v>112</v>
      </c>
      <c r="C92" s="77">
        <f t="shared" si="9"/>
        <v>24</v>
      </c>
      <c r="D92" s="63">
        <f t="shared" si="7"/>
        <v>88</v>
      </c>
      <c r="E92" s="63">
        <v>8354</v>
      </c>
      <c r="F92" s="93" t="str">
        <f>IFERROR(VLOOKUP(Table9[[#This Row],[Player No]],Table11[[No]:[Province]],2,0),"")</f>
        <v>REURINK Noa-Marie</v>
      </c>
      <c r="G92" s="63" t="str">
        <f>IFERROR(VLOOKUP(Table9[[#This Row],[Player No]],Table11[[No]:[Province]],3,0),"")</f>
        <v>CW</v>
      </c>
      <c r="H92" s="635">
        <v>12.625</v>
      </c>
      <c r="I92" s="789">
        <f>Table9[[#This Row],[Points 2025]]/2+SUM(Table9[[#This Row],[O1  ADMIN 2026]:[P2       WC                   CT   Open 2026]])</f>
        <v>6.3125</v>
      </c>
      <c r="J92" s="63">
        <f t="shared" si="5"/>
        <v>0</v>
      </c>
      <c r="K92" s="63">
        <f t="shared" si="6"/>
        <v>0</v>
      </c>
      <c r="L92" s="708" t="s">
        <v>6083</v>
      </c>
      <c r="M92" s="708" t="s">
        <v>6083</v>
      </c>
      <c r="N92" s="708" t="s">
        <v>6083</v>
      </c>
      <c r="O92" s="708"/>
      <c r="P92" s="63"/>
      <c r="Q92" s="63"/>
      <c r="R92" s="114"/>
      <c r="S92" s="114"/>
      <c r="T92" s="114"/>
      <c r="U92" s="114"/>
      <c r="V92" s="63"/>
      <c r="W92" s="708"/>
      <c r="X92" s="400"/>
      <c r="Y92" s="114"/>
      <c r="Z92" s="114"/>
      <c r="AA92" s="63"/>
      <c r="AB92" s="63"/>
      <c r="AC92" s="63"/>
      <c r="AD92" s="114"/>
      <c r="AE92" s="63"/>
      <c r="AF92" s="63"/>
      <c r="AG92" s="63"/>
      <c r="AH92" s="63"/>
      <c r="AI92" s="63">
        <v>25</v>
      </c>
      <c r="AJ92" s="63"/>
      <c r="AK92" s="63"/>
      <c r="AL92" s="63"/>
      <c r="AM92" s="63"/>
      <c r="AN92" s="63"/>
      <c r="AO92" s="63"/>
      <c r="AT92" s="708"/>
      <c r="AU92" s="708"/>
    </row>
    <row r="93" spans="1:47" s="92" customFormat="1">
      <c r="A93" s="63" t="str">
        <f>IFERROR(VLOOKUP(Table9[[#This Row],[Player No]],Table11[[#All],[No]:[Age Group]],4,0),"")</f>
        <v>U13</v>
      </c>
      <c r="B93" s="61">
        <v>34</v>
      </c>
      <c r="C93" s="77">
        <f t="shared" si="9"/>
        <v>-55</v>
      </c>
      <c r="D93" s="63">
        <f t="shared" si="7"/>
        <v>89</v>
      </c>
      <c r="E93" s="63">
        <v>8388</v>
      </c>
      <c r="F93" s="93" t="str">
        <f>IFERROR(VLOOKUP(Table9[[#This Row],[Player No]],Table11[[No]:[Province]],2,0),"")</f>
        <v>GUMEDE Luyanda</v>
      </c>
      <c r="G93" s="63" t="str">
        <f>IFERROR(VLOOKUP(Table9[[#This Row],[Player No]],Table11[[No]:[Province]],3,0),"")</f>
        <v>ETK</v>
      </c>
      <c r="H93" s="635">
        <v>12.625</v>
      </c>
      <c r="I93" s="789">
        <f>Table9[[#This Row],[Points 2025]]/2+SUM(Table9[[#This Row],[O1  ADMIN 2026]:[P2       WC                   CT   Open 2026]])</f>
        <v>6.3125</v>
      </c>
      <c r="J93" s="63">
        <f t="shared" si="5"/>
        <v>0</v>
      </c>
      <c r="K93" s="63">
        <f t="shared" si="6"/>
        <v>0</v>
      </c>
      <c r="L93" s="708" t="s">
        <v>6083</v>
      </c>
      <c r="M93" s="708" t="s">
        <v>6083</v>
      </c>
      <c r="N93" s="708" t="s">
        <v>6083</v>
      </c>
      <c r="O93" s="708"/>
      <c r="P93" s="63"/>
      <c r="Q93" s="63"/>
      <c r="R93" s="114"/>
      <c r="S93" s="114"/>
      <c r="T93" s="114"/>
      <c r="U93" s="114"/>
      <c r="V93" s="63"/>
      <c r="W93" s="708"/>
      <c r="X93" s="400"/>
      <c r="Y93" s="114"/>
      <c r="Z93" s="114"/>
      <c r="AA93" s="63"/>
      <c r="AB93" s="63"/>
      <c r="AC93" s="63"/>
      <c r="AD93" s="114"/>
      <c r="AE93" s="63"/>
      <c r="AF93" s="63">
        <v>25</v>
      </c>
      <c r="AG93" s="63"/>
      <c r="AH93" s="63"/>
      <c r="AI93" s="63"/>
      <c r="AJ93" s="63"/>
      <c r="AK93" s="63"/>
      <c r="AL93" s="63"/>
      <c r="AM93" s="63"/>
      <c r="AN93" s="63"/>
      <c r="AO93" s="63"/>
      <c r="AT93" s="708"/>
      <c r="AU93" s="708"/>
    </row>
    <row r="94" spans="1:47" s="92" customFormat="1">
      <c r="A94" s="63">
        <f>IFERROR(VLOOKUP(Table9[[#This Row],[Player No]],Table11[[#All],[No]:[Age Group]],4,0),"")</f>
        <v>0</v>
      </c>
      <c r="B94" s="61">
        <v>37</v>
      </c>
      <c r="C94" s="77">
        <f t="shared" si="9"/>
        <v>-53</v>
      </c>
      <c r="D94" s="63">
        <f t="shared" si="7"/>
        <v>90</v>
      </c>
      <c r="E94" s="63">
        <v>7339</v>
      </c>
      <c r="F94" s="93" t="str">
        <f>IFERROR(VLOOKUP(Table9[[#This Row],[Player No]],Table11[[No]:[Province]],2,0),"")</f>
        <v>MOATI Nthabiseng</v>
      </c>
      <c r="G94" s="63" t="str">
        <f>IFERROR(VLOOKUP(Table9[[#This Row],[Player No]],Table11[[No]:[Province]],3,0),"")</f>
        <v>LIM</v>
      </c>
      <c r="H94" s="635">
        <v>12.5</v>
      </c>
      <c r="I94" s="789">
        <f>Table9[[#This Row],[Points 2025]]/2+SUM(Table9[[#This Row],[O1  ADMIN 2026]:[P2       WC                   CT   Open 2026]])</f>
        <v>6.25</v>
      </c>
      <c r="J94" s="63">
        <f t="shared" si="5"/>
        <v>0</v>
      </c>
      <c r="K94" s="63">
        <f t="shared" si="6"/>
        <v>0</v>
      </c>
      <c r="L94" s="708" t="s">
        <v>6083</v>
      </c>
      <c r="M94" s="708" t="s">
        <v>6083</v>
      </c>
      <c r="N94" s="708" t="s">
        <v>6083</v>
      </c>
      <c r="O94" s="708"/>
      <c r="P94" s="63"/>
      <c r="Q94" s="63"/>
      <c r="R94" s="114"/>
      <c r="S94" s="114"/>
      <c r="T94" s="114"/>
      <c r="U94" s="114"/>
      <c r="V94" s="63"/>
      <c r="W94" s="708"/>
      <c r="X94" s="400"/>
      <c r="Y94" s="114"/>
      <c r="Z94" s="114"/>
      <c r="AA94" s="63"/>
      <c r="AB94" s="63"/>
      <c r="AC94" s="63"/>
      <c r="AD94" s="114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T94" s="708"/>
      <c r="AU94" s="708"/>
    </row>
    <row r="95" spans="1:47" s="92" customFormat="1">
      <c r="A95" s="63">
        <f>IFERROR(VLOOKUP(Table9[[#This Row],[Player No]],Table11[[#All],[No]:[Age Group]],4,0),"")</f>
        <v>0</v>
      </c>
      <c r="B95" s="61">
        <v>38</v>
      </c>
      <c r="C95" s="77">
        <f t="shared" si="9"/>
        <v>-53</v>
      </c>
      <c r="D95" s="63">
        <f t="shared" si="7"/>
        <v>91</v>
      </c>
      <c r="E95" s="63">
        <v>8104</v>
      </c>
      <c r="F95" s="93" t="str">
        <f>IFERROR(VLOOKUP(Table9[[#This Row],[Player No]],Table11[[No]:[Province]],2,0),"")</f>
        <v>BATYO Yonela</v>
      </c>
      <c r="G95" s="63" t="str">
        <f>IFERROR(VLOOKUP(Table9[[#This Row],[Player No]],Table11[[No]:[Province]],3,0),"")</f>
        <v>ETK</v>
      </c>
      <c r="H95" s="635">
        <v>12.5</v>
      </c>
      <c r="I95" s="789">
        <f>Table9[[#This Row],[Points 2025]]/2+SUM(Table9[[#This Row],[O1  ADMIN 2026]:[P2       WC                   CT   Open 2026]])</f>
        <v>6.25</v>
      </c>
      <c r="J95" s="63">
        <f t="shared" si="5"/>
        <v>0</v>
      </c>
      <c r="K95" s="63">
        <f t="shared" si="6"/>
        <v>0</v>
      </c>
      <c r="L95" s="708" t="s">
        <v>6083</v>
      </c>
      <c r="M95" s="708" t="s">
        <v>6083</v>
      </c>
      <c r="N95" s="708" t="s">
        <v>6083</v>
      </c>
      <c r="O95" s="708"/>
      <c r="P95" s="63"/>
      <c r="Q95" s="63"/>
      <c r="R95" s="114"/>
      <c r="S95" s="114"/>
      <c r="T95" s="114"/>
      <c r="U95" s="114"/>
      <c r="V95" s="63"/>
      <c r="W95" s="708"/>
      <c r="X95" s="400"/>
      <c r="Y95" s="114"/>
      <c r="Z95" s="114"/>
      <c r="AA95" s="63"/>
      <c r="AB95" s="63"/>
      <c r="AC95" s="63"/>
      <c r="AD95" s="114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T95" s="708"/>
      <c r="AU95" s="708"/>
    </row>
    <row r="96" spans="1:47" s="92" customFormat="1">
      <c r="A96" s="63">
        <f>IFERROR(VLOOKUP(Table9[[#This Row],[Player No]],Table11[[#All],[No]:[Age Group]],4,0),"")</f>
        <v>0</v>
      </c>
      <c r="B96" s="61">
        <v>40</v>
      </c>
      <c r="C96" s="77">
        <f t="shared" si="9"/>
        <v>-52</v>
      </c>
      <c r="D96" s="63">
        <f t="shared" si="7"/>
        <v>92</v>
      </c>
      <c r="E96" s="63">
        <v>8292</v>
      </c>
      <c r="F96" s="93" t="str">
        <f>IFERROR(VLOOKUP(Table9[[#This Row],[Player No]],Table11[[No]:[Province]],2,0),"")</f>
        <v>MBONISENI Sinesipho</v>
      </c>
      <c r="G96" s="63" t="str">
        <f>IFERROR(VLOOKUP(Table9[[#This Row],[Player No]],Table11[[No]:[Province]],3,0),"")</f>
        <v>EC</v>
      </c>
      <c r="H96" s="635">
        <v>12.5</v>
      </c>
      <c r="I96" s="789">
        <f>Table9[[#This Row],[Points 2025]]/2+SUM(Table9[[#This Row],[O1  ADMIN 2026]:[P2       WC                   CT   Open 2026]])</f>
        <v>6.25</v>
      </c>
      <c r="J96" s="63">
        <f t="shared" si="5"/>
        <v>0</v>
      </c>
      <c r="K96" s="63">
        <f t="shared" si="6"/>
        <v>0</v>
      </c>
      <c r="L96" s="708" t="s">
        <v>6083</v>
      </c>
      <c r="M96" s="708" t="s">
        <v>6083</v>
      </c>
      <c r="N96" s="708" t="s">
        <v>6083</v>
      </c>
      <c r="O96" s="708"/>
      <c r="P96" s="63"/>
      <c r="Q96" s="63"/>
      <c r="R96" s="114"/>
      <c r="S96" s="114"/>
      <c r="T96" s="114"/>
      <c r="U96" s="114"/>
      <c r="V96" s="63"/>
      <c r="W96" s="708"/>
      <c r="X96" s="400"/>
      <c r="Y96" s="114"/>
      <c r="Z96" s="114"/>
      <c r="AA96" s="63"/>
      <c r="AB96" s="63"/>
      <c r="AC96" s="63"/>
      <c r="AD96" s="114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T96" s="708"/>
      <c r="AU96" s="708"/>
    </row>
    <row r="97" spans="1:47" s="92" customFormat="1">
      <c r="A97" s="63">
        <f>IFERROR(VLOOKUP(Table9[[#This Row],[Player No]],Table11[[#All],[No]:[Age Group]],4,0),"")</f>
        <v>0</v>
      </c>
      <c r="B97" s="61"/>
      <c r="C97" s="77"/>
      <c r="D97" s="63">
        <f t="shared" si="7"/>
        <v>93</v>
      </c>
      <c r="E97" s="63">
        <v>8299</v>
      </c>
      <c r="F97" s="93" t="str">
        <f>IFERROR(VLOOKUP(Table9[[#This Row],[Player No]],Table11[[No]:[Province]],2,0),"")</f>
        <v>NJEMLA Olwethu</v>
      </c>
      <c r="G97" s="63" t="str">
        <f>IFERROR(VLOOKUP(Table9[[#This Row],[Player No]],Table11[[No]:[Province]],3,0),"")</f>
        <v>ETK</v>
      </c>
      <c r="H97" s="635">
        <v>12.5</v>
      </c>
      <c r="I97" s="789">
        <f>Table9[[#This Row],[Points 2025]]/2+SUM(Table9[[#This Row],[O1  ADMIN 2026]:[P2       WC                   CT   Open 2026]])</f>
        <v>6.25</v>
      </c>
      <c r="J97" s="63">
        <f t="shared" si="5"/>
        <v>0</v>
      </c>
      <c r="K97" s="63">
        <f t="shared" si="6"/>
        <v>0</v>
      </c>
      <c r="L97" s="708" t="s">
        <v>6083</v>
      </c>
      <c r="M97" s="708" t="s">
        <v>6083</v>
      </c>
      <c r="N97" s="708" t="s">
        <v>6083</v>
      </c>
      <c r="O97" s="708"/>
      <c r="P97" s="63"/>
      <c r="Q97" s="63"/>
      <c r="R97" s="114"/>
      <c r="S97" s="114"/>
      <c r="T97" s="114"/>
      <c r="U97" s="114"/>
      <c r="V97" s="63"/>
      <c r="W97" s="708"/>
      <c r="X97" s="400"/>
      <c r="Y97" s="114"/>
      <c r="Z97" s="114"/>
      <c r="AA97" s="63"/>
      <c r="AB97" s="63"/>
      <c r="AC97" s="63"/>
      <c r="AD97" s="114"/>
      <c r="AE97" s="63"/>
      <c r="AF97" s="63"/>
      <c r="AG97" s="63"/>
      <c r="AH97" s="63"/>
      <c r="AI97" s="63"/>
      <c r="AJ97" s="63">
        <v>25</v>
      </c>
      <c r="AK97" s="63"/>
      <c r="AL97" s="63"/>
      <c r="AM97" s="63"/>
      <c r="AN97" s="63"/>
      <c r="AO97" s="63"/>
      <c r="AT97" s="708"/>
      <c r="AU97" s="708"/>
    </row>
    <row r="98" spans="1:47" s="92" customFormat="1">
      <c r="A98" s="63">
        <f>IFERROR(VLOOKUP(Table9[[#This Row],[Player No]],Table11[[#All],[No]:[Age Group]],4,0),"")</f>
        <v>0</v>
      </c>
      <c r="B98" s="61">
        <v>41</v>
      </c>
      <c r="C98" s="77">
        <f>+B98-D98</f>
        <v>-53</v>
      </c>
      <c r="D98" s="63">
        <f t="shared" si="7"/>
        <v>94</v>
      </c>
      <c r="E98" s="63">
        <v>8340</v>
      </c>
      <c r="F98" s="93" t="str">
        <f>IFERROR(VLOOKUP(Table9[[#This Row],[Player No]],Table11[[No]:[Province]],2,0),"")</f>
        <v>THEBEHALE Palesa</v>
      </c>
      <c r="G98" s="63" t="str">
        <f>IFERROR(VLOOKUP(Table9[[#This Row],[Player No]],Table11[[No]:[Province]],3,0),"")</f>
        <v>JTTA</v>
      </c>
      <c r="H98" s="635">
        <v>12.5</v>
      </c>
      <c r="I98" s="789">
        <f>Table9[[#This Row],[Points 2025]]/2+SUM(Table9[[#This Row],[O1  ADMIN 2026]:[P2       WC                   CT   Open 2026]])</f>
        <v>6.25</v>
      </c>
      <c r="J98" s="63">
        <f t="shared" si="5"/>
        <v>0</v>
      </c>
      <c r="K98" s="63">
        <f t="shared" si="6"/>
        <v>0</v>
      </c>
      <c r="L98" s="708" t="s">
        <v>6083</v>
      </c>
      <c r="M98" s="708" t="s">
        <v>6083</v>
      </c>
      <c r="N98" s="708" t="s">
        <v>6083</v>
      </c>
      <c r="O98" s="708"/>
      <c r="P98" s="63"/>
      <c r="Q98" s="63"/>
      <c r="R98" s="114"/>
      <c r="S98" s="114"/>
      <c r="T98" s="114"/>
      <c r="U98" s="114"/>
      <c r="V98" s="63"/>
      <c r="W98" s="708"/>
      <c r="X98" s="400"/>
      <c r="Y98" s="114"/>
      <c r="Z98" s="114"/>
      <c r="AA98" s="63"/>
      <c r="AB98" s="63"/>
      <c r="AC98" s="63"/>
      <c r="AD98" s="114"/>
      <c r="AE98" s="63"/>
      <c r="AF98" s="63"/>
      <c r="AG98" s="63"/>
      <c r="AH98" s="63"/>
      <c r="AI98" s="63"/>
      <c r="AJ98" s="63"/>
      <c r="AK98" s="63"/>
      <c r="AL98" s="63"/>
      <c r="AM98" s="63"/>
      <c r="AN98" s="63">
        <v>25</v>
      </c>
      <c r="AO98" s="63"/>
      <c r="AT98" s="708"/>
      <c r="AU98" s="708"/>
    </row>
    <row r="99" spans="1:47" s="92" customFormat="1">
      <c r="A99" s="63">
        <f>IFERROR(VLOOKUP(Table9[[#This Row],[Player No]],Table11[[#All],[No]:[Age Group]],4,0),"")</f>
        <v>0</v>
      </c>
      <c r="B99" s="61"/>
      <c r="C99" s="77"/>
      <c r="D99" s="63">
        <f t="shared" si="7"/>
        <v>95</v>
      </c>
      <c r="E99" s="63">
        <v>8365</v>
      </c>
      <c r="F99" s="93" t="str">
        <f>IFERROR(VLOOKUP(Table9[[#This Row],[Player No]],Table11[[No]:[Province]],2,0),"")</f>
        <v>KEITLHABILE Reneilwe</v>
      </c>
      <c r="G99" s="63" t="str">
        <f>IFERROR(VLOOKUP(Table9[[#This Row],[Player No]],Table11[[No]:[Province]],3,0),"")</f>
        <v>NW</v>
      </c>
      <c r="H99" s="635">
        <v>12.5</v>
      </c>
      <c r="I99" s="789">
        <f>Table9[[#This Row],[Points 2025]]/2+SUM(Table9[[#This Row],[O1  ADMIN 2026]:[P2       WC                   CT   Open 2026]])</f>
        <v>6.25</v>
      </c>
      <c r="J99" s="63">
        <f t="shared" si="5"/>
        <v>0</v>
      </c>
      <c r="K99" s="63">
        <f t="shared" si="6"/>
        <v>0</v>
      </c>
      <c r="L99" s="708" t="s">
        <v>6083</v>
      </c>
      <c r="M99" s="708" t="s">
        <v>6083</v>
      </c>
      <c r="N99" s="708" t="s">
        <v>6083</v>
      </c>
      <c r="O99" s="708"/>
      <c r="P99" s="63"/>
      <c r="Q99" s="63"/>
      <c r="R99" s="114"/>
      <c r="S99" s="114"/>
      <c r="T99" s="114"/>
      <c r="U99" s="114"/>
      <c r="V99" s="63"/>
      <c r="W99" s="708"/>
      <c r="X99" s="400"/>
      <c r="Y99" s="114"/>
      <c r="Z99" s="114"/>
      <c r="AA99" s="63"/>
      <c r="AB99" s="63"/>
      <c r="AC99" s="63"/>
      <c r="AD99" s="114"/>
      <c r="AE99" s="63"/>
      <c r="AF99" s="63"/>
      <c r="AG99" s="63"/>
      <c r="AH99" s="63"/>
      <c r="AI99" s="63"/>
      <c r="AJ99" s="63">
        <v>25</v>
      </c>
      <c r="AK99" s="63"/>
      <c r="AL99" s="63"/>
      <c r="AM99" s="63"/>
      <c r="AN99" s="63"/>
      <c r="AO99" s="63"/>
      <c r="AT99" s="708"/>
      <c r="AU99" s="708"/>
    </row>
    <row r="100" spans="1:47" s="92" customFormat="1">
      <c r="A100" s="63" t="str">
        <f>IFERROR(VLOOKUP(Table9[[#This Row],[Player No]],Table11[[#All],[No]:[Age Group]],4,0),"")</f>
        <v>U13</v>
      </c>
      <c r="B100" s="61"/>
      <c r="C100" s="77"/>
      <c r="D100" s="63">
        <f t="shared" si="7"/>
        <v>96</v>
      </c>
      <c r="E100" s="63">
        <v>8433</v>
      </c>
      <c r="F100" s="93" t="str">
        <f>IFERROR(VLOOKUP(Table9[[#This Row],[Player No]],Table11[[No]:[Province]],2,0),"")</f>
        <v>RAMPEDI  Morongwa</v>
      </c>
      <c r="G100" s="63" t="str">
        <f>IFERROR(VLOOKUP(Table9[[#This Row],[Player No]],Table11[[No]:[Province]],3,0),"")</f>
        <v>LIM</v>
      </c>
      <c r="H100" s="635">
        <v>12.5</v>
      </c>
      <c r="I100" s="789">
        <f>Table9[[#This Row],[Points 2025]]/2+SUM(Table9[[#This Row],[O1  ADMIN 2026]:[P2       WC                   CT   Open 2026]])</f>
        <v>6.25</v>
      </c>
      <c r="J100" s="63">
        <f t="shared" si="5"/>
        <v>0</v>
      </c>
      <c r="K100" s="63">
        <f t="shared" si="6"/>
        <v>0</v>
      </c>
      <c r="L100" s="708" t="s">
        <v>6083</v>
      </c>
      <c r="M100" s="708" t="s">
        <v>6083</v>
      </c>
      <c r="N100" s="708" t="s">
        <v>6083</v>
      </c>
      <c r="O100" s="708"/>
      <c r="P100" s="63"/>
      <c r="Q100" s="63"/>
      <c r="R100" s="114"/>
      <c r="S100" s="114"/>
      <c r="T100" s="114"/>
      <c r="U100" s="114"/>
      <c r="V100" s="63"/>
      <c r="W100" s="708"/>
      <c r="X100" s="400"/>
      <c r="Y100" s="114"/>
      <c r="Z100" s="114"/>
      <c r="AA100" s="63"/>
      <c r="AB100" s="63"/>
      <c r="AC100" s="63"/>
      <c r="AD100" s="114"/>
      <c r="AE100" s="63"/>
      <c r="AF100" s="63"/>
      <c r="AG100" s="63"/>
      <c r="AH100" s="63"/>
      <c r="AI100" s="63"/>
      <c r="AJ100" s="63">
        <v>25</v>
      </c>
      <c r="AK100" s="63"/>
      <c r="AL100" s="63"/>
      <c r="AM100" s="63"/>
      <c r="AN100" s="63"/>
      <c r="AO100" s="63"/>
      <c r="AT100" s="708"/>
      <c r="AU100" s="708"/>
    </row>
    <row r="101" spans="1:47" s="92" customFormat="1">
      <c r="A101" s="63">
        <f>IFERROR(VLOOKUP(Table9[[#This Row],[Player No]],Table11[[#All],[No]:[Age Group]],4,0),"")</f>
        <v>0</v>
      </c>
      <c r="B101" s="61"/>
      <c r="C101" s="77"/>
      <c r="D101" s="63">
        <f t="shared" si="7"/>
        <v>97</v>
      </c>
      <c r="E101" s="63">
        <v>8505</v>
      </c>
      <c r="F101" s="93" t="str">
        <f>IFERROR(VLOOKUP(Table9[[#This Row],[Player No]],Table11[[No]:[Province]],2,0),"")</f>
        <v xml:space="preserve">MALITI Lumphumlo </v>
      </c>
      <c r="G101" s="63" t="str">
        <f>IFERROR(VLOOKUP(Table9[[#This Row],[Player No]],Table11[[No]:[Province]],3,0),"")</f>
        <v>WC</v>
      </c>
      <c r="H101" s="635">
        <v>12.5</v>
      </c>
      <c r="I101" s="789">
        <f>Table9[[#This Row],[Points 2025]]/2+SUM(Table9[[#This Row],[O1  ADMIN 2026]:[P2       WC                   CT   Open 2026]])</f>
        <v>6.25</v>
      </c>
      <c r="J101" s="63">
        <f t="shared" si="5"/>
        <v>0</v>
      </c>
      <c r="K101" s="63">
        <f t="shared" si="6"/>
        <v>0</v>
      </c>
      <c r="L101" s="708" t="s">
        <v>6083</v>
      </c>
      <c r="M101" s="708" t="s">
        <v>6083</v>
      </c>
      <c r="N101" s="708" t="s">
        <v>6083</v>
      </c>
      <c r="O101" s="708"/>
      <c r="P101" s="63"/>
      <c r="Q101" s="63"/>
      <c r="R101" s="114"/>
      <c r="S101" s="114"/>
      <c r="T101" s="114"/>
      <c r="U101" s="114"/>
      <c r="V101" s="63"/>
      <c r="W101" s="708"/>
      <c r="X101" s="400"/>
      <c r="Y101" s="114"/>
      <c r="Z101" s="114"/>
      <c r="AA101" s="63"/>
      <c r="AB101" s="63"/>
      <c r="AC101" s="63"/>
      <c r="AD101" s="114"/>
      <c r="AE101" s="63"/>
      <c r="AF101" s="63"/>
      <c r="AG101" s="63"/>
      <c r="AH101" s="63">
        <v>25</v>
      </c>
      <c r="AI101" s="63"/>
      <c r="AJ101" s="63"/>
      <c r="AK101" s="63"/>
      <c r="AL101" s="63"/>
      <c r="AM101" s="63"/>
      <c r="AN101" s="63"/>
      <c r="AO101" s="63"/>
      <c r="AT101" s="708"/>
      <c r="AU101" s="708"/>
    </row>
    <row r="102" spans="1:47" s="92" customFormat="1">
      <c r="A102" s="63">
        <f>IFERROR(VLOOKUP(Table9[[#This Row],[Player No]],Table11[[#All],[No]:[Age Group]],4,0),"")</f>
        <v>0</v>
      </c>
      <c r="B102" s="61"/>
      <c r="C102" s="77"/>
      <c r="D102" s="63">
        <f t="shared" si="7"/>
        <v>98</v>
      </c>
      <c r="E102" s="63">
        <v>8492</v>
      </c>
      <c r="F102" s="93" t="str">
        <f>IFERROR(VLOOKUP(Table9[[#This Row],[Player No]],Table11[[No]:[Province]],2,0),"")</f>
        <v>Aneliswa KUNENE</v>
      </c>
      <c r="G102" s="63" t="str">
        <f>IFERROR(VLOOKUP(Table9[[#This Row],[Player No]],Table11[[No]:[Province]],3,0),"")</f>
        <v>UMZ</v>
      </c>
      <c r="H102" s="635">
        <v>12.5</v>
      </c>
      <c r="I102" s="789">
        <f>Table9[[#This Row],[Points 2025]]/2+SUM(Table9[[#This Row],[O1  ADMIN 2026]:[P2       WC                   CT   Open 2026]])</f>
        <v>6.25</v>
      </c>
      <c r="J102" s="63">
        <f t="shared" si="5"/>
        <v>0</v>
      </c>
      <c r="K102" s="63">
        <f t="shared" si="6"/>
        <v>0</v>
      </c>
      <c r="L102" s="708" t="s">
        <v>6083</v>
      </c>
      <c r="M102" s="708" t="s">
        <v>6083</v>
      </c>
      <c r="N102" s="708" t="s">
        <v>6083</v>
      </c>
      <c r="O102" s="708"/>
      <c r="P102" s="63"/>
      <c r="Q102" s="63"/>
      <c r="R102" s="114"/>
      <c r="S102" s="114"/>
      <c r="T102" s="114"/>
      <c r="U102" s="114"/>
      <c r="V102" s="63"/>
      <c r="W102" s="708"/>
      <c r="X102" s="400">
        <v>10</v>
      </c>
      <c r="Y102" s="114"/>
      <c r="Z102" s="114"/>
      <c r="AA102" s="63"/>
      <c r="AB102" s="63"/>
      <c r="AC102" s="63"/>
      <c r="AD102" s="114"/>
      <c r="AE102" s="63"/>
      <c r="AF102" s="63"/>
      <c r="AG102" s="63"/>
      <c r="AH102" s="63"/>
      <c r="AI102" s="63"/>
      <c r="AJ102" s="63">
        <v>5</v>
      </c>
      <c r="AK102" s="63"/>
      <c r="AL102" s="63"/>
      <c r="AM102" s="63"/>
      <c r="AN102" s="63"/>
      <c r="AO102" s="63"/>
      <c r="AT102" s="708"/>
      <c r="AU102" s="708"/>
    </row>
    <row r="103" spans="1:47" s="92" customFormat="1">
      <c r="A103" s="138">
        <f>A102+1</f>
        <v>1</v>
      </c>
      <c r="B103" s="61"/>
      <c r="C103" s="77" t="e">
        <f>+B103-#REF!</f>
        <v>#REF!</v>
      </c>
      <c r="D103" s="63">
        <f t="shared" si="7"/>
        <v>99</v>
      </c>
      <c r="E103" s="154">
        <v>8675</v>
      </c>
      <c r="F103" s="93" t="str">
        <f>IFERROR(VLOOKUP(Table9[[#This Row],[Player No]],Table11[[No]:[Province]],2,0),"")</f>
        <v>MOHANLAL Narisha</v>
      </c>
      <c r="G103" s="63" t="str">
        <f>IFERROR(VLOOKUP(Table9[[#This Row],[Player No]],Table11[[No]:[Province]],3,0),"")</f>
        <v>UMG</v>
      </c>
      <c r="H103" s="635">
        <v>12.5</v>
      </c>
      <c r="I103" s="789">
        <f>Table9[[#This Row],[Points 2025]]/2+SUM(Table9[[#This Row],[O1  ADMIN 2026]:[P2       WC                   CT   Open 2026]])</f>
        <v>6.25</v>
      </c>
      <c r="J103" s="63">
        <f t="shared" si="5"/>
        <v>0</v>
      </c>
      <c r="K103" s="63">
        <f t="shared" si="6"/>
        <v>0</v>
      </c>
      <c r="L103" s="708" t="s">
        <v>6083</v>
      </c>
      <c r="M103" s="708" t="s">
        <v>6083</v>
      </c>
      <c r="N103" s="708" t="s">
        <v>6083</v>
      </c>
      <c r="O103" s="708"/>
      <c r="P103" s="63"/>
      <c r="Q103" s="63"/>
      <c r="R103" s="114"/>
      <c r="S103" s="114"/>
      <c r="T103" s="114"/>
      <c r="U103" s="114"/>
      <c r="V103" s="63"/>
      <c r="W103" s="708"/>
      <c r="X103" s="400"/>
      <c r="Y103" s="114"/>
      <c r="Z103" s="114"/>
      <c r="AA103" s="63"/>
      <c r="AB103" s="63"/>
      <c r="AC103" s="63">
        <v>12.5</v>
      </c>
      <c r="AD103" s="114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T103" s="708"/>
      <c r="AU103" s="708"/>
    </row>
    <row r="104" spans="1:47" s="92" customFormat="1">
      <c r="A104" s="63">
        <f>IFERROR(VLOOKUP(Table9[[#This Row],[Player No]],Table11[[#All],[No]:[Age Group]],4,0),"")</f>
        <v>0</v>
      </c>
      <c r="B104" s="61"/>
      <c r="C104" s="77"/>
      <c r="D104" s="63">
        <f t="shared" si="7"/>
        <v>100</v>
      </c>
      <c r="E104" s="63">
        <v>8503</v>
      </c>
      <c r="F104" s="93" t="str">
        <f>IFERROR(VLOOKUP(Table9[[#This Row],[Player No]],Table11[[No]:[Province]],2,0),"")</f>
        <v xml:space="preserve">DOMINGO Imaan </v>
      </c>
      <c r="G104" s="63" t="str">
        <f>IFERROR(VLOOKUP(Table9[[#This Row],[Player No]],Table11[[No]:[Province]],3,0),"")</f>
        <v>CT</v>
      </c>
      <c r="H104" s="635">
        <v>10</v>
      </c>
      <c r="I104" s="789">
        <f>Table9[[#This Row],[Points 2025]]/2+SUM(Table9[[#This Row],[O1  ADMIN 2026]:[P2       WC                   CT   Open 2026]])</f>
        <v>5</v>
      </c>
      <c r="J104" s="63">
        <f t="shared" si="5"/>
        <v>0</v>
      </c>
      <c r="K104" s="63">
        <f t="shared" si="6"/>
        <v>0</v>
      </c>
      <c r="L104" s="708" t="s">
        <v>6083</v>
      </c>
      <c r="M104" s="708" t="s">
        <v>6083</v>
      </c>
      <c r="N104" s="708" t="s">
        <v>6083</v>
      </c>
      <c r="O104" s="708"/>
      <c r="P104" s="63"/>
      <c r="Q104" s="63"/>
      <c r="R104" s="114"/>
      <c r="S104" s="114"/>
      <c r="T104" s="114"/>
      <c r="U104" s="114"/>
      <c r="V104" s="63"/>
      <c r="W104" s="708"/>
      <c r="X104" s="400"/>
      <c r="Y104" s="114">
        <v>7.5</v>
      </c>
      <c r="Z104" s="114"/>
      <c r="AA104" s="63">
        <v>2</v>
      </c>
      <c r="AB104" s="63"/>
      <c r="AC104" s="63"/>
      <c r="AD104" s="114"/>
      <c r="AE104" s="63"/>
      <c r="AF104" s="63"/>
      <c r="AG104" s="63"/>
      <c r="AH104" s="63">
        <v>1</v>
      </c>
      <c r="AI104" s="63"/>
      <c r="AJ104" s="63"/>
      <c r="AK104" s="63"/>
      <c r="AL104" s="63"/>
      <c r="AM104" s="63"/>
      <c r="AN104" s="63"/>
      <c r="AO104" s="63"/>
      <c r="AT104" s="708"/>
      <c r="AU104" s="708"/>
    </row>
    <row r="105" spans="1:47" s="92" customFormat="1">
      <c r="A105" s="614">
        <f>A104+1</f>
        <v>1</v>
      </c>
      <c r="B105" s="615"/>
      <c r="C105" s="618" t="e">
        <f>+B105-#REF!</f>
        <v>#REF!</v>
      </c>
      <c r="D105" s="63">
        <f t="shared" si="7"/>
        <v>101</v>
      </c>
      <c r="E105" s="620">
        <v>7649</v>
      </c>
      <c r="F105" s="93" t="str">
        <f>IFERROR(VLOOKUP(Table9[[#This Row],[Player No]],Table11[[No]:[Province]],2,0),"")</f>
        <v>BATSHOLENG Shephanie</v>
      </c>
      <c r="G105" s="63" t="str">
        <f>IFERROR(VLOOKUP(Table9[[#This Row],[Player No]],Table11[[No]:[Province]],3,0),"")</f>
        <v>BOT</v>
      </c>
      <c r="H105" s="635">
        <v>10</v>
      </c>
      <c r="I105" s="819">
        <f>Table9[[#This Row],[Points 2025]]/2+SUM(Table9[[#This Row],[O1  ADMIN 2026]:[P2       WC                   CT   Open 2026]])</f>
        <v>5</v>
      </c>
      <c r="J105" s="63">
        <f t="shared" si="5"/>
        <v>0</v>
      </c>
      <c r="K105" s="620">
        <f t="shared" si="6"/>
        <v>0</v>
      </c>
      <c r="L105" s="781" t="s">
        <v>6083</v>
      </c>
      <c r="M105" s="781" t="s">
        <v>6083</v>
      </c>
      <c r="N105" s="781" t="s">
        <v>6083</v>
      </c>
      <c r="O105" s="781"/>
      <c r="P105" s="624"/>
      <c r="Q105" s="624"/>
      <c r="R105" s="625"/>
      <c r="S105" s="625"/>
      <c r="T105" s="625"/>
      <c r="U105" s="625"/>
      <c r="V105" s="624"/>
      <c r="W105" s="709"/>
      <c r="X105" s="611">
        <v>10</v>
      </c>
      <c r="Y105" s="625"/>
      <c r="Z105" s="625"/>
      <c r="AA105" s="624"/>
      <c r="AB105" s="624"/>
      <c r="AC105" s="624"/>
      <c r="AD105" s="625"/>
      <c r="AE105" s="624"/>
      <c r="AF105" s="624"/>
      <c r="AG105" s="624"/>
      <c r="AH105" s="624"/>
      <c r="AI105" s="624"/>
      <c r="AJ105" s="624"/>
      <c r="AK105" s="624"/>
      <c r="AL105" s="624"/>
      <c r="AM105" s="624"/>
      <c r="AN105" s="624"/>
      <c r="AO105" s="624"/>
      <c r="AT105" s="781"/>
      <c r="AU105" s="781"/>
    </row>
    <row r="106" spans="1:47" s="92" customFormat="1">
      <c r="A106" s="614">
        <f>A105+1</f>
        <v>2</v>
      </c>
      <c r="B106" s="615"/>
      <c r="C106" s="618" t="e">
        <f>+B106-#REF!</f>
        <v>#REF!</v>
      </c>
      <c r="D106" s="63">
        <f t="shared" si="7"/>
        <v>102</v>
      </c>
      <c r="E106" s="620">
        <v>8738</v>
      </c>
      <c r="F106" s="93" t="str">
        <f>IFERROR(VLOOKUP(Table9[[#This Row],[Player No]],Table11[[No]:[Province]],2,0),"")</f>
        <v>Princess Tichiwangani</v>
      </c>
      <c r="G106" s="63" t="str">
        <f>IFERROR(VLOOKUP(Table9[[#This Row],[Player No]],Table11[[No]:[Province]],3,0),"")</f>
        <v>ZIM</v>
      </c>
      <c r="H106" s="635">
        <v>10</v>
      </c>
      <c r="I106" s="819">
        <f>Table9[[#This Row],[Points 2025]]/2+SUM(Table9[[#This Row],[O1  ADMIN 2026]:[P2       WC                   CT   Open 2026]])</f>
        <v>5</v>
      </c>
      <c r="J106" s="63">
        <f t="shared" si="5"/>
        <v>0</v>
      </c>
      <c r="K106" s="620">
        <f t="shared" si="6"/>
        <v>0</v>
      </c>
      <c r="L106" s="781" t="s">
        <v>6083</v>
      </c>
      <c r="M106" s="781" t="s">
        <v>6083</v>
      </c>
      <c r="N106" s="781" t="s">
        <v>6083</v>
      </c>
      <c r="O106" s="781"/>
      <c r="P106" s="624"/>
      <c r="Q106" s="624"/>
      <c r="R106" s="625"/>
      <c r="S106" s="625"/>
      <c r="T106" s="625"/>
      <c r="U106" s="625"/>
      <c r="V106" s="624"/>
      <c r="W106" s="709"/>
      <c r="X106" s="611">
        <v>10</v>
      </c>
      <c r="Y106" s="625"/>
      <c r="Z106" s="625"/>
      <c r="AA106" s="624"/>
      <c r="AB106" s="624"/>
      <c r="AC106" s="624"/>
      <c r="AD106" s="625"/>
      <c r="AE106" s="624"/>
      <c r="AF106" s="624"/>
      <c r="AG106" s="624"/>
      <c r="AH106" s="624"/>
      <c r="AI106" s="624"/>
      <c r="AJ106" s="624"/>
      <c r="AK106" s="624"/>
      <c r="AL106" s="624"/>
      <c r="AM106" s="624"/>
      <c r="AN106" s="624"/>
      <c r="AO106" s="624"/>
      <c r="AT106" s="781"/>
      <c r="AU106" s="781"/>
    </row>
    <row r="107" spans="1:47" s="92" customFormat="1">
      <c r="A107" s="614">
        <f>A106+1</f>
        <v>3</v>
      </c>
      <c r="B107" s="615"/>
      <c r="C107" s="618" t="e">
        <f>+B107-#REF!</f>
        <v>#REF!</v>
      </c>
      <c r="D107" s="63">
        <f t="shared" si="7"/>
        <v>103</v>
      </c>
      <c r="E107" s="620">
        <v>8819</v>
      </c>
      <c r="F107" s="93" t="str">
        <f>IFERROR(VLOOKUP(Table9[[#This Row],[Player No]],Table11[[No]:[Province]],2,0),"")</f>
        <v>SEKETE Nthabeleng</v>
      </c>
      <c r="G107" s="63" t="str">
        <f>IFERROR(VLOOKUP(Table9[[#This Row],[Player No]],Table11[[No]:[Province]],3,0),"")</f>
        <v>DRKKTTA</v>
      </c>
      <c r="H107" s="635">
        <v>10</v>
      </c>
      <c r="I107" s="819">
        <f>Table9[[#This Row],[Points 2025]]/2+SUM(Table9[[#This Row],[O1  ADMIN 2026]:[P2       WC                   CT   Open 2026]])</f>
        <v>5</v>
      </c>
      <c r="J107" s="63">
        <f t="shared" si="5"/>
        <v>0</v>
      </c>
      <c r="K107" s="620">
        <f t="shared" si="6"/>
        <v>0</v>
      </c>
      <c r="L107" s="781" t="s">
        <v>6083</v>
      </c>
      <c r="M107" s="781" t="s">
        <v>6083</v>
      </c>
      <c r="N107" s="781" t="s">
        <v>6083</v>
      </c>
      <c r="O107" s="781"/>
      <c r="P107" s="624"/>
      <c r="Q107" s="624"/>
      <c r="R107" s="625"/>
      <c r="S107" s="625"/>
      <c r="T107" s="625"/>
      <c r="U107" s="625"/>
      <c r="V107" s="624"/>
      <c r="W107" s="709"/>
      <c r="X107" s="611">
        <v>10</v>
      </c>
      <c r="Y107" s="625"/>
      <c r="Z107" s="625"/>
      <c r="AA107" s="624"/>
      <c r="AB107" s="624"/>
      <c r="AC107" s="624"/>
      <c r="AD107" s="625"/>
      <c r="AE107" s="624"/>
      <c r="AF107" s="624"/>
      <c r="AG107" s="624"/>
      <c r="AH107" s="624"/>
      <c r="AI107" s="624"/>
      <c r="AJ107" s="624"/>
      <c r="AK107" s="624"/>
      <c r="AL107" s="624"/>
      <c r="AM107" s="624"/>
      <c r="AN107" s="624"/>
      <c r="AO107" s="624"/>
      <c r="AT107" s="781"/>
      <c r="AU107" s="781"/>
    </row>
    <row r="108" spans="1:47" s="92" customFormat="1">
      <c r="A108" s="138" t="e">
        <f>#REF!+1</f>
        <v>#REF!</v>
      </c>
      <c r="B108" s="61"/>
      <c r="C108" s="77" t="e">
        <f>+B108-#REF!</f>
        <v>#REF!</v>
      </c>
      <c r="D108" s="63">
        <f t="shared" si="7"/>
        <v>104</v>
      </c>
      <c r="E108" s="315">
        <v>8530</v>
      </c>
      <c r="F108" s="93" t="str">
        <f>IFERROR(VLOOKUP(Table9[[#This Row],[Player No]],Table11[[No]:[Province]],2,0),"")</f>
        <v xml:space="preserve">Zahraa Cassiem                </v>
      </c>
      <c r="G108" s="63" t="str">
        <f>IFERROR(VLOOKUP(Table9[[#This Row],[Player No]],Table11[[No]:[Province]],3,0),"")</f>
        <v>CT</v>
      </c>
      <c r="H108" s="635">
        <v>9.5</v>
      </c>
      <c r="I108" s="789">
        <f>Table9[[#This Row],[Points 2025]]/2+SUM(Table9[[#This Row],[O1  ADMIN 2026]:[P2       WC                   CT   Open 2026]])</f>
        <v>4.75</v>
      </c>
      <c r="J108" s="63">
        <f t="shared" si="5"/>
        <v>0</v>
      </c>
      <c r="K108" s="154">
        <f t="shared" si="6"/>
        <v>0</v>
      </c>
      <c r="L108" s="827" t="s">
        <v>6083</v>
      </c>
      <c r="M108" s="827" t="s">
        <v>6083</v>
      </c>
      <c r="N108" s="827" t="s">
        <v>6083</v>
      </c>
      <c r="O108" s="827"/>
      <c r="P108" s="63"/>
      <c r="Q108" s="63"/>
      <c r="R108" s="114"/>
      <c r="S108" s="114"/>
      <c r="T108" s="114"/>
      <c r="U108" s="114"/>
      <c r="V108" s="63"/>
      <c r="W108" s="708"/>
      <c r="X108" s="400"/>
      <c r="Y108" s="114">
        <v>7.5</v>
      </c>
      <c r="Z108" s="114"/>
      <c r="AA108" s="63">
        <v>2</v>
      </c>
      <c r="AB108" s="63"/>
      <c r="AC108" s="63"/>
      <c r="AD108" s="114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T108" s="827"/>
      <c r="AU108" s="827"/>
    </row>
    <row r="109" spans="1:47" s="92" customFormat="1">
      <c r="A109" s="63">
        <f>IFERROR(VLOOKUP(Table9[[#This Row],[Player No]],Table11[[#All],[No]:[Age Group]],4,0),"")</f>
        <v>0</v>
      </c>
      <c r="B109" s="61">
        <v>44</v>
      </c>
      <c r="C109" s="77">
        <f>+B109-D109</f>
        <v>-61</v>
      </c>
      <c r="D109" s="63">
        <f t="shared" si="7"/>
        <v>105</v>
      </c>
      <c r="E109" s="63">
        <v>8308</v>
      </c>
      <c r="F109" s="93" t="str">
        <f>IFERROR(VLOOKUP(Table9[[#This Row],[Player No]],Table11[[No]:[Province]],2,0),"")</f>
        <v>BULLEN Isabel</v>
      </c>
      <c r="G109" s="63" t="str">
        <f>IFERROR(VLOOKUP(Table9[[#This Row],[Player No]],Table11[[No]:[Province]],3,0),"")</f>
        <v>JTTA</v>
      </c>
      <c r="H109" s="635">
        <v>8.125</v>
      </c>
      <c r="I109" s="789">
        <f>Table9[[#This Row],[Points 2025]]/2+SUM(Table9[[#This Row],[O1  ADMIN 2026]:[P2       WC                   CT   Open 2026]])</f>
        <v>4.0625</v>
      </c>
      <c r="J109" s="63">
        <f t="shared" si="5"/>
        <v>0</v>
      </c>
      <c r="K109" s="63">
        <f t="shared" si="6"/>
        <v>0</v>
      </c>
      <c r="L109" s="708" t="s">
        <v>6083</v>
      </c>
      <c r="M109" s="708" t="s">
        <v>6083</v>
      </c>
      <c r="N109" s="708" t="s">
        <v>6083</v>
      </c>
      <c r="O109" s="708"/>
      <c r="P109" s="63"/>
      <c r="Q109" s="63"/>
      <c r="R109" s="114"/>
      <c r="S109" s="114"/>
      <c r="T109" s="114"/>
      <c r="U109" s="114"/>
      <c r="V109" s="63"/>
      <c r="W109" s="708"/>
      <c r="X109" s="400"/>
      <c r="Y109" s="114"/>
      <c r="Z109" s="114"/>
      <c r="AA109" s="63"/>
      <c r="AB109" s="63"/>
      <c r="AC109" s="63"/>
      <c r="AD109" s="114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>
        <f>25/2</f>
        <v>12.5</v>
      </c>
      <c r="AT109" s="708"/>
      <c r="AU109" s="708"/>
    </row>
    <row r="110" spans="1:47" s="92" customFormat="1">
      <c r="A110" s="63">
        <f>IFERROR(VLOOKUP(Table9[[#This Row],[Player No]],Table11[[#All],[No]:[Age Group]],4,0),"")</f>
        <v>0</v>
      </c>
      <c r="B110" s="61">
        <v>45</v>
      </c>
      <c r="C110" s="77">
        <f>+B110-D110</f>
        <v>-61</v>
      </c>
      <c r="D110" s="63">
        <f t="shared" si="7"/>
        <v>106</v>
      </c>
      <c r="E110" s="63">
        <v>8072</v>
      </c>
      <c r="F110" s="93" t="str">
        <f>IFERROR(VLOOKUP(Table9[[#This Row],[Player No]],Table11[[No]:[Province]],2,0),"")</f>
        <v>JAYSON Raylin</v>
      </c>
      <c r="G110" s="63" t="str">
        <f>IFERROR(VLOOKUP(Table9[[#This Row],[Player No]],Table11[[No]:[Province]],3,0),"")</f>
        <v>CT</v>
      </c>
      <c r="H110" s="635">
        <v>7.5</v>
      </c>
      <c r="I110" s="789">
        <f>Table9[[#This Row],[Points 2025]]/2+SUM(Table9[[#This Row],[O1  ADMIN 2026]:[P2       WC                   CT   Open 2026]])</f>
        <v>3.75</v>
      </c>
      <c r="J110" s="63">
        <f t="shared" si="5"/>
        <v>0</v>
      </c>
      <c r="K110" s="63">
        <f t="shared" si="6"/>
        <v>0</v>
      </c>
      <c r="L110" s="708" t="s">
        <v>6083</v>
      </c>
      <c r="M110" s="708" t="s">
        <v>6083</v>
      </c>
      <c r="N110" s="708" t="s">
        <v>6083</v>
      </c>
      <c r="O110" s="708"/>
      <c r="P110" s="63"/>
      <c r="Q110" s="63"/>
      <c r="R110" s="114"/>
      <c r="S110" s="114"/>
      <c r="T110" s="114"/>
      <c r="U110" s="114"/>
      <c r="V110" s="63"/>
      <c r="W110" s="708"/>
      <c r="X110" s="400"/>
      <c r="Y110" s="114"/>
      <c r="Z110" s="114"/>
      <c r="AA110" s="63"/>
      <c r="AB110" s="63"/>
      <c r="AC110" s="63"/>
      <c r="AD110" s="114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T110" s="708"/>
      <c r="AU110" s="708"/>
    </row>
    <row r="111" spans="1:47" s="92" customFormat="1">
      <c r="A111" s="63">
        <f>IFERROR(VLOOKUP(Table9[[#This Row],[Player No]],Table11[[#All],[No]:[Age Group]],4,0),"")</f>
        <v>0</v>
      </c>
      <c r="B111" s="61">
        <v>46</v>
      </c>
      <c r="C111" s="77">
        <f>+B111-D111</f>
        <v>-61</v>
      </c>
      <c r="D111" s="63">
        <f t="shared" si="7"/>
        <v>107</v>
      </c>
      <c r="E111" s="63">
        <v>8121</v>
      </c>
      <c r="F111" s="93" t="str">
        <f>IFERROR(VLOOKUP(Table9[[#This Row],[Player No]],Table11[[No]:[Province]],2,0),"")</f>
        <v>FOURIE Daleen</v>
      </c>
      <c r="G111" s="63" t="str">
        <f>IFERROR(VLOOKUP(Table9[[#This Row],[Player No]],Table11[[No]:[Province]],3,0),"")</f>
        <v>FS</v>
      </c>
      <c r="H111" s="635">
        <v>7.5</v>
      </c>
      <c r="I111" s="789">
        <f>Table9[[#This Row],[Points 2025]]/2+SUM(Table9[[#This Row],[O1  ADMIN 2026]:[P2       WC                   CT   Open 2026]])</f>
        <v>3.75</v>
      </c>
      <c r="J111" s="63">
        <f t="shared" si="5"/>
        <v>0</v>
      </c>
      <c r="K111" s="63">
        <f t="shared" si="6"/>
        <v>0</v>
      </c>
      <c r="L111" s="708" t="s">
        <v>6083</v>
      </c>
      <c r="M111" s="708" t="s">
        <v>6083</v>
      </c>
      <c r="N111" s="708" t="s">
        <v>6083</v>
      </c>
      <c r="O111" s="708"/>
      <c r="P111" s="63"/>
      <c r="Q111" s="63"/>
      <c r="R111" s="114"/>
      <c r="S111" s="114"/>
      <c r="T111" s="114"/>
      <c r="U111" s="114"/>
      <c r="V111" s="63"/>
      <c r="W111" s="708"/>
      <c r="X111" s="400"/>
      <c r="Y111" s="114"/>
      <c r="Z111" s="114"/>
      <c r="AA111" s="63"/>
      <c r="AB111" s="63"/>
      <c r="AC111" s="63"/>
      <c r="AD111" s="114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T111" s="708"/>
      <c r="AU111" s="708"/>
    </row>
    <row r="112" spans="1:47" s="92" customFormat="1">
      <c r="A112" s="63">
        <f>IFERROR(VLOOKUP(Table9[[#This Row],[Player No]],Table11[[#All],[No]:[Age Group]],4,0),"")</f>
        <v>0</v>
      </c>
      <c r="B112" s="61">
        <v>47</v>
      </c>
      <c r="C112" s="77">
        <f>+B112-D112</f>
        <v>-61</v>
      </c>
      <c r="D112" s="63">
        <f t="shared" si="7"/>
        <v>108</v>
      </c>
      <c r="E112" s="63">
        <v>8338</v>
      </c>
      <c r="F112" s="93" t="str">
        <f>IFERROR(VLOOKUP(Table9[[#This Row],[Player No]],Table11[[No]:[Province]],2,0),"")</f>
        <v>SIVNANNAN Sivarna</v>
      </c>
      <c r="G112" s="63" t="str">
        <f>IFERROR(VLOOKUP(Table9[[#This Row],[Player No]],Table11[[No]:[Province]],3,0),"")</f>
        <v>UMG</v>
      </c>
      <c r="H112" s="635">
        <v>7.5</v>
      </c>
      <c r="I112" s="789">
        <f>Table9[[#This Row],[Points 2025]]/2+SUM(Table9[[#This Row],[O1  ADMIN 2026]:[P2       WC                   CT   Open 2026]])</f>
        <v>3.75</v>
      </c>
      <c r="J112" s="63">
        <f t="shared" si="5"/>
        <v>0</v>
      </c>
      <c r="K112" s="63">
        <f t="shared" si="6"/>
        <v>0</v>
      </c>
      <c r="L112" s="708" t="s">
        <v>6083</v>
      </c>
      <c r="M112" s="708" t="s">
        <v>6083</v>
      </c>
      <c r="N112" s="708" t="s">
        <v>6083</v>
      </c>
      <c r="O112" s="708"/>
      <c r="P112" s="63"/>
      <c r="Q112" s="63"/>
      <c r="R112" s="114"/>
      <c r="S112" s="114"/>
      <c r="T112" s="114"/>
      <c r="U112" s="114"/>
      <c r="V112" s="63"/>
      <c r="W112" s="708"/>
      <c r="X112" s="400"/>
      <c r="Y112" s="114"/>
      <c r="Z112" s="114"/>
      <c r="AA112" s="63"/>
      <c r="AB112" s="63"/>
      <c r="AC112" s="63"/>
      <c r="AD112" s="114"/>
      <c r="AE112" s="63"/>
      <c r="AF112" s="63"/>
      <c r="AG112" s="63">
        <v>15</v>
      </c>
      <c r="AH112" s="63"/>
      <c r="AI112" s="63"/>
      <c r="AJ112" s="63"/>
      <c r="AK112" s="63"/>
      <c r="AL112" s="63"/>
      <c r="AM112" s="63"/>
      <c r="AN112" s="63"/>
      <c r="AO112" s="63"/>
      <c r="AT112" s="708"/>
      <c r="AU112" s="708"/>
    </row>
    <row r="113" spans="1:47" s="92" customFormat="1">
      <c r="A113" s="138">
        <f>A112+1</f>
        <v>1</v>
      </c>
      <c r="B113" s="61"/>
      <c r="C113" s="77" t="e">
        <f>+B113-#REF!</f>
        <v>#REF!</v>
      </c>
      <c r="D113" s="63">
        <f t="shared" si="7"/>
        <v>109</v>
      </c>
      <c r="E113" s="154">
        <v>8714</v>
      </c>
      <c r="F113" s="93" t="str">
        <f>IFERROR(VLOOKUP(Table9[[#This Row],[Player No]],Table11[[No]:[Province]],2,0),"")</f>
        <v>EBRHAIM Nasreen</v>
      </c>
      <c r="G113" s="63" t="str">
        <f>IFERROR(VLOOKUP(Table9[[#This Row],[Player No]],Table11[[No]:[Province]],3,0),"")</f>
        <v>JTTA</v>
      </c>
      <c r="H113" s="635">
        <v>7.5</v>
      </c>
      <c r="I113" s="789">
        <f>Table9[[#This Row],[Points 2025]]/2+SUM(Table9[[#This Row],[O1  ADMIN 2026]:[P2       WC                   CT   Open 2026]])</f>
        <v>3.75</v>
      </c>
      <c r="J113" s="63">
        <f t="shared" si="5"/>
        <v>0</v>
      </c>
      <c r="K113" s="154">
        <f t="shared" si="6"/>
        <v>0</v>
      </c>
      <c r="L113" s="827" t="s">
        <v>6083</v>
      </c>
      <c r="M113" s="827" t="s">
        <v>6083</v>
      </c>
      <c r="N113" s="827" t="s">
        <v>6083</v>
      </c>
      <c r="O113" s="827"/>
      <c r="P113" s="63"/>
      <c r="Q113" s="63"/>
      <c r="R113" s="114"/>
      <c r="S113" s="114"/>
      <c r="T113" s="114"/>
      <c r="U113" s="114"/>
      <c r="V113" s="63"/>
      <c r="W113" s="708"/>
      <c r="X113" s="400"/>
      <c r="Y113" s="114">
        <v>7.5</v>
      </c>
      <c r="Z113" s="114"/>
      <c r="AA113" s="63"/>
      <c r="AB113" s="63"/>
      <c r="AC113" s="63"/>
      <c r="AD113" s="114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T113" s="827"/>
      <c r="AU113" s="827"/>
    </row>
    <row r="114" spans="1:47" s="92" customFormat="1">
      <c r="A114" s="63">
        <f>IFERROR(VLOOKUP(Table9[[#This Row],[Player No]],Table11[[#All],[No]:[Age Group]],4,0),"")</f>
        <v>0</v>
      </c>
      <c r="B114" s="61">
        <v>49</v>
      </c>
      <c r="C114" s="77">
        <f t="shared" ref="C114:C125" si="10">+B114-D114</f>
        <v>-61</v>
      </c>
      <c r="D114" s="63">
        <f t="shared" si="7"/>
        <v>110</v>
      </c>
      <c r="E114" s="63">
        <v>8067</v>
      </c>
      <c r="F114" s="93" t="str">
        <f>IFERROR(VLOOKUP(Table9[[#This Row],[Player No]],Table11[[No]:[Province]],2,0),"")</f>
        <v>BHUNDOO Ashriya</v>
      </c>
      <c r="G114" s="63" t="str">
        <f>IFERROR(VLOOKUP(Table9[[#This Row],[Player No]],Table11[[No]:[Province]],3,0),"")</f>
        <v>UMG</v>
      </c>
      <c r="H114" s="635">
        <v>6.25</v>
      </c>
      <c r="I114" s="789">
        <f>Table9[[#This Row],[Points 2025]]/2+SUM(Table9[[#This Row],[O1  ADMIN 2026]:[P2       WC                   CT   Open 2026]])</f>
        <v>3.125</v>
      </c>
      <c r="J114" s="63">
        <f t="shared" si="5"/>
        <v>0</v>
      </c>
      <c r="K114" s="63">
        <f t="shared" si="6"/>
        <v>0</v>
      </c>
      <c r="L114" s="708" t="s">
        <v>6083</v>
      </c>
      <c r="M114" s="708" t="s">
        <v>6083</v>
      </c>
      <c r="N114" s="708" t="s">
        <v>6083</v>
      </c>
      <c r="O114" s="708"/>
      <c r="P114" s="63"/>
      <c r="Q114" s="63"/>
      <c r="R114" s="114"/>
      <c r="S114" s="114"/>
      <c r="T114" s="114"/>
      <c r="U114" s="114"/>
      <c r="V114" s="63"/>
      <c r="W114" s="708"/>
      <c r="X114" s="400"/>
      <c r="Y114" s="114"/>
      <c r="Z114" s="114"/>
      <c r="AA114" s="63"/>
      <c r="AB114" s="63"/>
      <c r="AC114" s="63"/>
      <c r="AD114" s="114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T114" s="708"/>
      <c r="AU114" s="708"/>
    </row>
    <row r="115" spans="1:47" s="92" customFormat="1">
      <c r="A115" s="63">
        <f>IFERROR(VLOOKUP(Table9[[#This Row],[Player No]],Table11[[#All],[No]:[Age Group]],4,0),"")</f>
        <v>0</v>
      </c>
      <c r="B115" s="61">
        <v>52</v>
      </c>
      <c r="C115" s="77">
        <f t="shared" si="10"/>
        <v>-59</v>
      </c>
      <c r="D115" s="63">
        <f t="shared" si="7"/>
        <v>111</v>
      </c>
      <c r="E115" s="63">
        <v>8109</v>
      </c>
      <c r="F115" s="93" t="str">
        <f>IFERROR(VLOOKUP(Table9[[#This Row],[Player No]],Table11[[No]:[Province]],2,0),"")</f>
        <v>TSHWETSHWELA Elona</v>
      </c>
      <c r="G115" s="63" t="str">
        <f>IFERROR(VLOOKUP(Table9[[#This Row],[Player No]],Table11[[No]:[Province]],3,0),"")</f>
        <v>ETK</v>
      </c>
      <c r="H115" s="635">
        <v>6.25</v>
      </c>
      <c r="I115" s="789">
        <f>Table9[[#This Row],[Points 2025]]/2+SUM(Table9[[#This Row],[O1  ADMIN 2026]:[P2       WC                   CT   Open 2026]])</f>
        <v>3.125</v>
      </c>
      <c r="J115" s="63">
        <f t="shared" si="5"/>
        <v>0</v>
      </c>
      <c r="K115" s="63">
        <f t="shared" si="6"/>
        <v>0</v>
      </c>
      <c r="L115" s="708" t="s">
        <v>6083</v>
      </c>
      <c r="M115" s="708" t="s">
        <v>6083</v>
      </c>
      <c r="N115" s="708" t="s">
        <v>6083</v>
      </c>
      <c r="O115" s="708"/>
      <c r="P115" s="63"/>
      <c r="Q115" s="63"/>
      <c r="R115" s="114"/>
      <c r="S115" s="114"/>
      <c r="T115" s="114"/>
      <c r="U115" s="114"/>
      <c r="V115" s="63"/>
      <c r="W115" s="708"/>
      <c r="X115" s="400"/>
      <c r="Y115" s="114"/>
      <c r="Z115" s="114"/>
      <c r="AA115" s="63"/>
      <c r="AB115" s="63"/>
      <c r="AC115" s="63"/>
      <c r="AD115" s="114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T115" s="708"/>
      <c r="AU115" s="708"/>
    </row>
    <row r="116" spans="1:47" s="92" customFormat="1">
      <c r="A116" s="63">
        <f>IFERROR(VLOOKUP(Table9[[#This Row],[Player No]],Table11[[#All],[No]:[Age Group]],4,0),"")</f>
        <v>0</v>
      </c>
      <c r="B116" s="61">
        <v>53</v>
      </c>
      <c r="C116" s="77">
        <f t="shared" si="10"/>
        <v>-59</v>
      </c>
      <c r="D116" s="63">
        <f t="shared" si="7"/>
        <v>112</v>
      </c>
      <c r="E116" s="63">
        <v>8123</v>
      </c>
      <c r="F116" s="93" t="str">
        <f>IFERROR(VLOOKUP(Table9[[#This Row],[Player No]],Table11[[No]:[Province]],2,0),"")</f>
        <v>OMPHILE Motseki</v>
      </c>
      <c r="G116" s="63" t="str">
        <f>IFERROR(VLOOKUP(Table9[[#This Row],[Player No]],Table11[[No]:[Province]],3,0),"")</f>
        <v>FS</v>
      </c>
      <c r="H116" s="635">
        <v>6.25</v>
      </c>
      <c r="I116" s="789">
        <f>Table9[[#This Row],[Points 2025]]/2+SUM(Table9[[#This Row],[O1  ADMIN 2026]:[P2       WC                   CT   Open 2026]])</f>
        <v>3.125</v>
      </c>
      <c r="J116" s="63">
        <f t="shared" si="5"/>
        <v>0</v>
      </c>
      <c r="K116" s="63">
        <f t="shared" si="6"/>
        <v>0</v>
      </c>
      <c r="L116" s="708" t="s">
        <v>6083</v>
      </c>
      <c r="M116" s="708" t="s">
        <v>6083</v>
      </c>
      <c r="N116" s="708" t="s">
        <v>6083</v>
      </c>
      <c r="O116" s="708"/>
      <c r="P116" s="63"/>
      <c r="Q116" s="63"/>
      <c r="R116" s="114"/>
      <c r="S116" s="114"/>
      <c r="T116" s="114"/>
      <c r="U116" s="114"/>
      <c r="V116" s="63"/>
      <c r="W116" s="708"/>
      <c r="X116" s="400"/>
      <c r="Y116" s="114"/>
      <c r="Z116" s="114"/>
      <c r="AA116" s="63"/>
      <c r="AB116" s="63"/>
      <c r="AC116" s="63"/>
      <c r="AD116" s="114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T116" s="708"/>
      <c r="AU116" s="708"/>
    </row>
    <row r="117" spans="1:47" s="92" customFormat="1">
      <c r="A117" s="63">
        <f>IFERROR(VLOOKUP(Table9[[#This Row],[Player No]],Table11[[#All],[No]:[Age Group]],4,0),"")</f>
        <v>0</v>
      </c>
      <c r="B117" s="61">
        <v>55</v>
      </c>
      <c r="C117" s="77">
        <f t="shared" si="10"/>
        <v>-58</v>
      </c>
      <c r="D117" s="63">
        <f t="shared" si="7"/>
        <v>113</v>
      </c>
      <c r="E117" s="63">
        <v>8126</v>
      </c>
      <c r="F117" s="93" t="str">
        <f>IFERROR(VLOOKUP(Table9[[#This Row],[Player No]],Table11[[No]:[Province]],2,0),"")</f>
        <v>GOLOLOSEGO Nyokong</v>
      </c>
      <c r="G117" s="63" t="str">
        <f>IFERROR(VLOOKUP(Table9[[#This Row],[Player No]],Table11[[No]:[Province]],3,0),"")</f>
        <v>FS</v>
      </c>
      <c r="H117" s="635">
        <v>6.25</v>
      </c>
      <c r="I117" s="789">
        <f>Table9[[#This Row],[Points 2025]]/2+SUM(Table9[[#This Row],[O1  ADMIN 2026]:[P2       WC                   CT   Open 2026]])</f>
        <v>3.125</v>
      </c>
      <c r="J117" s="63">
        <f t="shared" si="5"/>
        <v>0</v>
      </c>
      <c r="K117" s="63">
        <f t="shared" si="6"/>
        <v>0</v>
      </c>
      <c r="L117" s="708" t="s">
        <v>6083</v>
      </c>
      <c r="M117" s="708" t="s">
        <v>6083</v>
      </c>
      <c r="N117" s="708" t="s">
        <v>6083</v>
      </c>
      <c r="O117" s="708"/>
      <c r="P117" s="63"/>
      <c r="Q117" s="63"/>
      <c r="R117" s="114"/>
      <c r="S117" s="114"/>
      <c r="T117" s="114"/>
      <c r="U117" s="114"/>
      <c r="V117" s="63"/>
      <c r="W117" s="708"/>
      <c r="X117" s="400"/>
      <c r="Y117" s="114"/>
      <c r="Z117" s="114"/>
      <c r="AA117" s="63"/>
      <c r="AB117" s="63"/>
      <c r="AC117" s="63"/>
      <c r="AD117" s="114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T117" s="708"/>
      <c r="AU117" s="708"/>
    </row>
    <row r="118" spans="1:47" s="92" customFormat="1">
      <c r="A118" s="63">
        <f>IFERROR(VLOOKUP(Table9[[#This Row],[Player No]],Table11[[#All],[No]:[Age Group]],4,0),"")</f>
        <v>0</v>
      </c>
      <c r="B118" s="61">
        <v>56</v>
      </c>
      <c r="C118" s="77">
        <f t="shared" si="10"/>
        <v>-58</v>
      </c>
      <c r="D118" s="63">
        <f t="shared" si="7"/>
        <v>114</v>
      </c>
      <c r="E118" s="63">
        <v>8127</v>
      </c>
      <c r="F118" s="93" t="str">
        <f>IFERROR(VLOOKUP(Table9[[#This Row],[Player No]],Table11[[No]:[Province]],2,0),"")</f>
        <v>MFUNDISI Nalelo</v>
      </c>
      <c r="G118" s="63" t="str">
        <f>IFERROR(VLOOKUP(Table9[[#This Row],[Player No]],Table11[[No]:[Province]],3,0),"")</f>
        <v>FS</v>
      </c>
      <c r="H118" s="635">
        <v>6.25</v>
      </c>
      <c r="I118" s="789">
        <f>Table9[[#This Row],[Points 2025]]/2+SUM(Table9[[#This Row],[O1  ADMIN 2026]:[P2       WC                   CT   Open 2026]])</f>
        <v>3.125</v>
      </c>
      <c r="J118" s="63">
        <f t="shared" si="5"/>
        <v>0</v>
      </c>
      <c r="K118" s="63">
        <f t="shared" si="6"/>
        <v>0</v>
      </c>
      <c r="L118" s="708" t="s">
        <v>6083</v>
      </c>
      <c r="M118" s="708" t="s">
        <v>6083</v>
      </c>
      <c r="N118" s="708" t="s">
        <v>6083</v>
      </c>
      <c r="O118" s="708"/>
      <c r="P118" s="63"/>
      <c r="Q118" s="63"/>
      <c r="R118" s="114"/>
      <c r="S118" s="114"/>
      <c r="T118" s="114"/>
      <c r="U118" s="114"/>
      <c r="V118" s="63"/>
      <c r="W118" s="708"/>
      <c r="X118" s="400"/>
      <c r="Y118" s="114"/>
      <c r="Z118" s="114"/>
      <c r="AA118" s="63"/>
      <c r="AB118" s="63"/>
      <c r="AC118" s="63"/>
      <c r="AD118" s="114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T118" s="708"/>
      <c r="AU118" s="708"/>
    </row>
    <row r="119" spans="1:47" s="92" customFormat="1">
      <c r="A119" s="63">
        <f>IFERROR(VLOOKUP(Table9[[#This Row],[Player No]],Table11[[#All],[No]:[Age Group]],4,0),"")</f>
        <v>0</v>
      </c>
      <c r="B119" s="61">
        <v>57</v>
      </c>
      <c r="C119" s="77">
        <f t="shared" si="10"/>
        <v>-58</v>
      </c>
      <c r="D119" s="63">
        <f t="shared" si="7"/>
        <v>115</v>
      </c>
      <c r="E119" s="63">
        <v>8128</v>
      </c>
      <c r="F119" s="93" t="str">
        <f>IFERROR(VLOOKUP(Table9[[#This Row],[Player No]],Table11[[No]:[Province]],2,0),"")</f>
        <v>KGOMOTSO Matlakeng</v>
      </c>
      <c r="G119" s="63" t="str">
        <f>IFERROR(VLOOKUP(Table9[[#This Row],[Player No]],Table11[[No]:[Province]],3,0),"")</f>
        <v>FS</v>
      </c>
      <c r="H119" s="635">
        <v>6.25</v>
      </c>
      <c r="I119" s="789">
        <f>Table9[[#This Row],[Points 2025]]/2+SUM(Table9[[#This Row],[O1  ADMIN 2026]:[P2       WC                   CT   Open 2026]])</f>
        <v>3.125</v>
      </c>
      <c r="J119" s="63">
        <f t="shared" si="5"/>
        <v>0</v>
      </c>
      <c r="K119" s="63">
        <f t="shared" si="6"/>
        <v>0</v>
      </c>
      <c r="L119" s="708" t="s">
        <v>6083</v>
      </c>
      <c r="M119" s="708" t="s">
        <v>6083</v>
      </c>
      <c r="N119" s="708" t="s">
        <v>6083</v>
      </c>
      <c r="O119" s="708"/>
      <c r="P119" s="63"/>
      <c r="Q119" s="63"/>
      <c r="R119" s="114"/>
      <c r="S119" s="114"/>
      <c r="T119" s="114"/>
      <c r="U119" s="114"/>
      <c r="V119" s="63"/>
      <c r="W119" s="708"/>
      <c r="X119" s="400"/>
      <c r="Y119" s="114"/>
      <c r="Z119" s="114"/>
      <c r="AA119" s="63"/>
      <c r="AB119" s="63"/>
      <c r="AC119" s="63"/>
      <c r="AD119" s="114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T119" s="708"/>
      <c r="AU119" s="708"/>
    </row>
    <row r="120" spans="1:47" s="92" customFormat="1">
      <c r="A120" s="63">
        <f>IFERROR(VLOOKUP(Table9[[#This Row],[Player No]],Table11[[#All],[No]:[Age Group]],4,0),"")</f>
        <v>0</v>
      </c>
      <c r="B120" s="61">
        <v>50</v>
      </c>
      <c r="C120" s="77">
        <f t="shared" si="10"/>
        <v>-66</v>
      </c>
      <c r="D120" s="63">
        <f t="shared" si="7"/>
        <v>116</v>
      </c>
      <c r="E120" s="63">
        <v>8154</v>
      </c>
      <c r="F120" s="93" t="str">
        <f>IFERROR(VLOOKUP(Table9[[#This Row],[Player No]],Table11[[No]:[Province]],2,0),"")</f>
        <v>ONELISA Dumezela</v>
      </c>
      <c r="G120" s="63" t="str">
        <f>IFERROR(VLOOKUP(Table9[[#This Row],[Player No]],Table11[[No]:[Province]],3,0),"")</f>
        <v>EC</v>
      </c>
      <c r="H120" s="635">
        <v>6.25</v>
      </c>
      <c r="I120" s="789">
        <f>Table9[[#This Row],[Points 2025]]/2+SUM(Table9[[#This Row],[O1  ADMIN 2026]:[P2       WC                   CT   Open 2026]])</f>
        <v>3.125</v>
      </c>
      <c r="J120" s="63">
        <f t="shared" si="5"/>
        <v>0</v>
      </c>
      <c r="K120" s="63">
        <f t="shared" si="6"/>
        <v>0</v>
      </c>
      <c r="L120" s="708" t="s">
        <v>6083</v>
      </c>
      <c r="M120" s="708" t="s">
        <v>6083</v>
      </c>
      <c r="N120" s="708" t="s">
        <v>6083</v>
      </c>
      <c r="O120" s="708"/>
      <c r="P120" s="63"/>
      <c r="Q120" s="63"/>
      <c r="R120" s="114"/>
      <c r="S120" s="114"/>
      <c r="T120" s="114"/>
      <c r="U120" s="114"/>
      <c r="V120" s="63"/>
      <c r="W120" s="708"/>
      <c r="X120" s="400"/>
      <c r="Y120" s="114"/>
      <c r="Z120" s="114"/>
      <c r="AA120" s="63"/>
      <c r="AB120" s="63"/>
      <c r="AC120" s="63"/>
      <c r="AD120" s="114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T120" s="708"/>
      <c r="AU120" s="708"/>
    </row>
    <row r="121" spans="1:47" s="92" customFormat="1">
      <c r="A121" s="63">
        <f>IFERROR(VLOOKUP(Table9[[#This Row],[Player No]],Table11[[#All],[No]:[Age Group]],4,0),"")</f>
        <v>0</v>
      </c>
      <c r="B121" s="61">
        <v>59</v>
      </c>
      <c r="C121" s="77">
        <f t="shared" si="10"/>
        <v>-58</v>
      </c>
      <c r="D121" s="63">
        <f t="shared" si="7"/>
        <v>117</v>
      </c>
      <c r="E121" s="63">
        <v>8161</v>
      </c>
      <c r="F121" s="93" t="str">
        <f>IFERROR(VLOOKUP(Table9[[#This Row],[Player No]],Table11[[No]:[Province]],2,0),"")</f>
        <v>RAMPEDI Morongwa</v>
      </c>
      <c r="G121" s="63" t="str">
        <f>IFERROR(VLOOKUP(Table9[[#This Row],[Player No]],Table11[[No]:[Province]],3,0),"")</f>
        <v>LIM</v>
      </c>
      <c r="H121" s="635">
        <v>6.25</v>
      </c>
      <c r="I121" s="789">
        <f>Table9[[#This Row],[Points 2025]]/2+SUM(Table9[[#This Row],[O1  ADMIN 2026]:[P2       WC                   CT   Open 2026]])</f>
        <v>3.125</v>
      </c>
      <c r="J121" s="63">
        <f t="shared" si="5"/>
        <v>0</v>
      </c>
      <c r="K121" s="63">
        <f t="shared" si="6"/>
        <v>0</v>
      </c>
      <c r="L121" s="708" t="s">
        <v>6083</v>
      </c>
      <c r="M121" s="708" t="s">
        <v>6083</v>
      </c>
      <c r="N121" s="708" t="s">
        <v>6083</v>
      </c>
      <c r="O121" s="708"/>
      <c r="P121" s="63"/>
      <c r="Q121" s="63"/>
      <c r="R121" s="114"/>
      <c r="S121" s="114"/>
      <c r="T121" s="114"/>
      <c r="U121" s="114"/>
      <c r="V121" s="63"/>
      <c r="W121" s="708"/>
      <c r="X121" s="400"/>
      <c r="Y121" s="114"/>
      <c r="Z121" s="114"/>
      <c r="AA121" s="63"/>
      <c r="AB121" s="63"/>
      <c r="AC121" s="63"/>
      <c r="AD121" s="114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T121" s="708"/>
      <c r="AU121" s="708"/>
    </row>
    <row r="122" spans="1:47" s="92" customFormat="1">
      <c r="A122" s="63">
        <f>IFERROR(VLOOKUP(Table9[[#This Row],[Player No]],Table11[[#All],[No]:[Age Group]],4,0),"")</f>
        <v>0</v>
      </c>
      <c r="B122" s="61">
        <v>62</v>
      </c>
      <c r="C122" s="77">
        <f t="shared" si="10"/>
        <v>-56</v>
      </c>
      <c r="D122" s="63">
        <f t="shared" si="7"/>
        <v>118</v>
      </c>
      <c r="E122" s="63">
        <v>8286</v>
      </c>
      <c r="F122" s="93" t="str">
        <f>IFERROR(VLOOKUP(Table9[[#This Row],[Player No]],Table11[[No]:[Province]],2,0),"")</f>
        <v>PERRANG Megarle</v>
      </c>
      <c r="G122" s="63" t="str">
        <f>IFERROR(VLOOKUP(Table9[[#This Row],[Player No]],Table11[[No]:[Province]],3,0),"")</f>
        <v>WC</v>
      </c>
      <c r="H122" s="635">
        <v>6.25</v>
      </c>
      <c r="I122" s="789">
        <f>Table9[[#This Row],[Points 2025]]/2+SUM(Table9[[#This Row],[O1  ADMIN 2026]:[P2       WC                   CT   Open 2026]])</f>
        <v>3.125</v>
      </c>
      <c r="J122" s="63">
        <f t="shared" si="5"/>
        <v>0</v>
      </c>
      <c r="K122" s="63">
        <f t="shared" si="6"/>
        <v>0</v>
      </c>
      <c r="L122" s="708" t="s">
        <v>6083</v>
      </c>
      <c r="M122" s="708" t="s">
        <v>6083</v>
      </c>
      <c r="N122" s="708" t="s">
        <v>6083</v>
      </c>
      <c r="O122" s="708"/>
      <c r="P122" s="63"/>
      <c r="Q122" s="63"/>
      <c r="R122" s="114"/>
      <c r="S122" s="114"/>
      <c r="T122" s="114"/>
      <c r="U122" s="114"/>
      <c r="V122" s="63"/>
      <c r="W122" s="708"/>
      <c r="X122" s="400"/>
      <c r="Y122" s="114"/>
      <c r="Z122" s="114"/>
      <c r="AA122" s="63"/>
      <c r="AB122" s="63"/>
      <c r="AC122" s="63"/>
      <c r="AD122" s="114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T122" s="708"/>
      <c r="AU122" s="708"/>
    </row>
    <row r="123" spans="1:47" s="92" customFormat="1">
      <c r="A123" s="63">
        <f>IFERROR(VLOOKUP(Table9[[#This Row],[Player No]],Table11[[#All],[No]:[Age Group]],4,0),"")</f>
        <v>0</v>
      </c>
      <c r="B123" s="61">
        <v>63</v>
      </c>
      <c r="C123" s="77">
        <f t="shared" si="10"/>
        <v>-56</v>
      </c>
      <c r="D123" s="63">
        <f t="shared" si="7"/>
        <v>119</v>
      </c>
      <c r="E123" s="63">
        <v>8291</v>
      </c>
      <c r="F123" s="93" t="str">
        <f>IFERROR(VLOOKUP(Table9[[#This Row],[Player No]],Table11[[No]:[Province]],2,0),"")</f>
        <v>ZALIGOBE Iviwe</v>
      </c>
      <c r="G123" s="63" t="str">
        <f>IFERROR(VLOOKUP(Table9[[#This Row],[Player No]],Table11[[No]:[Province]],3,0),"")</f>
        <v>EC</v>
      </c>
      <c r="H123" s="635">
        <v>6.25</v>
      </c>
      <c r="I123" s="789">
        <f>Table9[[#This Row],[Points 2025]]/2+SUM(Table9[[#This Row],[O1  ADMIN 2026]:[P2       WC                   CT   Open 2026]])</f>
        <v>3.125</v>
      </c>
      <c r="J123" s="63">
        <f t="shared" si="5"/>
        <v>0</v>
      </c>
      <c r="K123" s="63">
        <f t="shared" si="6"/>
        <v>0</v>
      </c>
      <c r="L123" s="708" t="s">
        <v>6083</v>
      </c>
      <c r="M123" s="708" t="s">
        <v>6083</v>
      </c>
      <c r="N123" s="708" t="s">
        <v>6083</v>
      </c>
      <c r="O123" s="708"/>
      <c r="P123" s="63"/>
      <c r="Q123" s="63"/>
      <c r="R123" s="114"/>
      <c r="S123" s="114"/>
      <c r="T123" s="114"/>
      <c r="U123" s="114"/>
      <c r="V123" s="63"/>
      <c r="W123" s="708"/>
      <c r="X123" s="400"/>
      <c r="Y123" s="114"/>
      <c r="Z123" s="114"/>
      <c r="AA123" s="63"/>
      <c r="AB123" s="63"/>
      <c r="AC123" s="63"/>
      <c r="AD123" s="114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T123" s="708"/>
      <c r="AU123" s="708"/>
    </row>
    <row r="124" spans="1:47" s="92" customFormat="1">
      <c r="A124" s="63">
        <f>IFERROR(VLOOKUP(Table9[[#This Row],[Player No]],Table11[[#All],[No]:[Age Group]],4,0),"")</f>
        <v>0</v>
      </c>
      <c r="B124" s="61">
        <v>61</v>
      </c>
      <c r="C124" s="77">
        <f t="shared" si="10"/>
        <v>-59</v>
      </c>
      <c r="D124" s="63">
        <f t="shared" si="7"/>
        <v>120</v>
      </c>
      <c r="E124" s="63">
        <v>8298</v>
      </c>
      <c r="F124" s="93" t="str">
        <f>IFERROR(VLOOKUP(Table9[[#This Row],[Player No]],Table11[[No]:[Province]],2,0),"")</f>
        <v>NJTTAobo Smangele</v>
      </c>
      <c r="G124" s="63" t="str">
        <f>IFERROR(VLOOKUP(Table9[[#This Row],[Player No]],Table11[[No]:[Province]],3,0),"")</f>
        <v>ETK</v>
      </c>
      <c r="H124" s="635">
        <v>6.25</v>
      </c>
      <c r="I124" s="789">
        <f>Table9[[#This Row],[Points 2025]]/2+SUM(Table9[[#This Row],[O1  ADMIN 2026]:[P2       WC                   CT   Open 2026]])</f>
        <v>3.125</v>
      </c>
      <c r="J124" s="63">
        <f t="shared" si="5"/>
        <v>0</v>
      </c>
      <c r="K124" s="63">
        <f t="shared" si="6"/>
        <v>0</v>
      </c>
      <c r="L124" s="708" t="s">
        <v>6083</v>
      </c>
      <c r="M124" s="708" t="s">
        <v>6083</v>
      </c>
      <c r="N124" s="708" t="s">
        <v>6083</v>
      </c>
      <c r="O124" s="708"/>
      <c r="P124" s="63"/>
      <c r="Q124" s="63"/>
      <c r="R124" s="114"/>
      <c r="S124" s="114"/>
      <c r="T124" s="114"/>
      <c r="U124" s="114"/>
      <c r="V124" s="63"/>
      <c r="W124" s="708"/>
      <c r="X124" s="400"/>
      <c r="Y124" s="114"/>
      <c r="Z124" s="114"/>
      <c r="AA124" s="63"/>
      <c r="AB124" s="63"/>
      <c r="AC124" s="63"/>
      <c r="AD124" s="114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T124" s="708"/>
      <c r="AU124" s="708"/>
    </row>
    <row r="125" spans="1:47" s="92" customFormat="1">
      <c r="A125" s="63">
        <f>IFERROR(VLOOKUP(Table9[[#This Row],[Player No]],Table11[[#All],[No]:[Age Group]],4,0),"")</f>
        <v>0</v>
      </c>
      <c r="B125" s="61">
        <v>86</v>
      </c>
      <c r="C125" s="77">
        <f t="shared" si="10"/>
        <v>-35</v>
      </c>
      <c r="D125" s="63">
        <f t="shared" si="7"/>
        <v>121</v>
      </c>
      <c r="E125" s="63">
        <v>8275</v>
      </c>
      <c r="F125" s="93" t="str">
        <f>IFERROR(VLOOKUP(Table9[[#This Row],[Player No]],Table11[[No]:[Province]],2,0),"")</f>
        <v xml:space="preserve">KUNENE  Minenhle </v>
      </c>
      <c r="G125" s="63" t="str">
        <f>IFERROR(VLOOKUP(Table9[[#This Row],[Player No]],Table11[[No]:[Province]],3,0),"")</f>
        <v>UMZ</v>
      </c>
      <c r="H125" s="635">
        <v>6.25</v>
      </c>
      <c r="I125" s="789">
        <f>Table9[[#This Row],[Points 2025]]/2+SUM(Table9[[#This Row],[O1  ADMIN 2026]:[P2       WC                   CT   Open 2026]])</f>
        <v>3.125</v>
      </c>
      <c r="J125" s="63">
        <f t="shared" si="5"/>
        <v>0</v>
      </c>
      <c r="K125" s="63">
        <f t="shared" si="6"/>
        <v>0</v>
      </c>
      <c r="L125" s="708" t="s">
        <v>6083</v>
      </c>
      <c r="M125" s="708" t="s">
        <v>6083</v>
      </c>
      <c r="N125" s="708" t="s">
        <v>6083</v>
      </c>
      <c r="O125" s="708"/>
      <c r="P125" s="63"/>
      <c r="Q125" s="63"/>
      <c r="R125" s="114"/>
      <c r="S125" s="114"/>
      <c r="T125" s="114"/>
      <c r="U125" s="114"/>
      <c r="V125" s="63"/>
      <c r="W125" s="708"/>
      <c r="X125" s="400">
        <v>5</v>
      </c>
      <c r="Y125" s="114"/>
      <c r="Z125" s="114"/>
      <c r="AA125" s="63"/>
      <c r="AB125" s="63"/>
      <c r="AC125" s="63"/>
      <c r="AD125" s="114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T125" s="708"/>
      <c r="AU125" s="708"/>
    </row>
    <row r="126" spans="1:47" s="92" customFormat="1">
      <c r="A126" s="138">
        <f t="shared" ref="A126:A132" si="11">A125+1</f>
        <v>1</v>
      </c>
      <c r="B126" s="61"/>
      <c r="C126" s="77" t="e">
        <f>+B126-#REF!</f>
        <v>#REF!</v>
      </c>
      <c r="D126" s="63">
        <f t="shared" si="7"/>
        <v>122</v>
      </c>
      <c r="E126" s="154">
        <v>8465</v>
      </c>
      <c r="F126" s="93" t="str">
        <f>IFERROR(VLOOKUP(Table9[[#This Row],[Player No]],Table11[[No]:[Province]],2,0),"")</f>
        <v>MOJATAU Bokamoso</v>
      </c>
      <c r="G126" s="63" t="str">
        <f>IFERROR(VLOOKUP(Table9[[#This Row],[Player No]],Table11[[No]:[Province]],3,0),"")</f>
        <v>FS</v>
      </c>
      <c r="H126" s="635">
        <v>6</v>
      </c>
      <c r="I126" s="789">
        <f>Table9[[#This Row],[Points 2025]]/2+SUM(Table9[[#This Row],[O1  ADMIN 2026]:[P2       WC                   CT   Open 2026]])</f>
        <v>3</v>
      </c>
      <c r="J126" s="63">
        <f t="shared" si="5"/>
        <v>0</v>
      </c>
      <c r="K126" s="154">
        <f t="shared" si="6"/>
        <v>0</v>
      </c>
      <c r="L126" s="827" t="s">
        <v>6083</v>
      </c>
      <c r="M126" s="827" t="s">
        <v>6083</v>
      </c>
      <c r="N126" s="827" t="s">
        <v>6083</v>
      </c>
      <c r="O126" s="827"/>
      <c r="P126" s="63"/>
      <c r="Q126" s="63"/>
      <c r="R126" s="114"/>
      <c r="S126" s="114"/>
      <c r="T126" s="114"/>
      <c r="U126" s="114">
        <v>1</v>
      </c>
      <c r="V126" s="63"/>
      <c r="W126" s="708"/>
      <c r="X126" s="400">
        <v>5</v>
      </c>
      <c r="Y126" s="114"/>
      <c r="Z126" s="114"/>
      <c r="AA126" s="63"/>
      <c r="AB126" s="63"/>
      <c r="AC126" s="63"/>
      <c r="AD126" s="114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T126" s="827"/>
      <c r="AU126" s="827"/>
    </row>
    <row r="127" spans="1:47" s="92" customFormat="1">
      <c r="A127" s="366">
        <f t="shared" si="11"/>
        <v>2</v>
      </c>
      <c r="B127" s="359"/>
      <c r="C127" s="360" t="e">
        <f>+B127-#REF!</f>
        <v>#REF!</v>
      </c>
      <c r="D127" s="63">
        <f t="shared" si="7"/>
        <v>123</v>
      </c>
      <c r="E127" s="623">
        <v>8634</v>
      </c>
      <c r="F127" s="118" t="str">
        <f>IFERROR(VLOOKUP(Table9[[#This Row],[Player No]],Table11[[No]:[Province]],2,0),"")</f>
        <v>GOVINDSAMY Letai-Shai Anne</v>
      </c>
      <c r="G127" s="63" t="str">
        <f>IFERROR(VLOOKUP(Table9[[#This Row],[Player No]],Table11[[No]:[Province]],3,0),"")</f>
        <v>ETTA</v>
      </c>
      <c r="H127" s="635">
        <v>6</v>
      </c>
      <c r="I127" s="831">
        <f>Table9[[#This Row],[Points 2025]]/2+SUM(Table9[[#This Row],[O1  ADMIN 2026]:[P2       WC                   CT   Open 2026]])</f>
        <v>3</v>
      </c>
      <c r="J127" s="63">
        <f t="shared" si="5"/>
        <v>0</v>
      </c>
      <c r="K127" s="355">
        <f t="shared" si="6"/>
        <v>0</v>
      </c>
      <c r="L127" s="828" t="s">
        <v>6083</v>
      </c>
      <c r="M127" s="828" t="s">
        <v>6083</v>
      </c>
      <c r="N127" s="828" t="s">
        <v>6083</v>
      </c>
      <c r="O127" s="828"/>
      <c r="P127" s="361"/>
      <c r="Q127" s="361"/>
      <c r="R127" s="357"/>
      <c r="S127" s="357">
        <v>1</v>
      </c>
      <c r="T127" s="357"/>
      <c r="U127" s="357"/>
      <c r="V127" s="361"/>
      <c r="W127" s="738"/>
      <c r="X127" s="406">
        <v>5</v>
      </c>
      <c r="Y127" s="357"/>
      <c r="Z127" s="357"/>
      <c r="AA127" s="361"/>
      <c r="AB127" s="361"/>
      <c r="AC127" s="361"/>
      <c r="AD127" s="357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T127" s="828"/>
      <c r="AU127" s="828"/>
    </row>
    <row r="128" spans="1:47" s="92" customFormat="1">
      <c r="A128" s="138">
        <f t="shared" si="11"/>
        <v>3</v>
      </c>
      <c r="B128" s="61"/>
      <c r="C128" s="77" t="e">
        <f>+B128-#REF!</f>
        <v>#REF!</v>
      </c>
      <c r="D128" s="63">
        <f t="shared" si="7"/>
        <v>124</v>
      </c>
      <c r="E128" s="772">
        <v>8720</v>
      </c>
      <c r="F128" s="118" t="str">
        <f>IFERROR(VLOOKUP(Table9[[#This Row],[Player No]],Table11[[No]:[Province]],2,0),"")</f>
        <v>OSMAN Khadija</v>
      </c>
      <c r="G128" s="63" t="str">
        <f>IFERROR(VLOOKUP(Table9[[#This Row],[Player No]],Table11[[No]:[Province]],3,0),"")</f>
        <v>FS</v>
      </c>
      <c r="H128" s="635">
        <v>6</v>
      </c>
      <c r="I128" s="789">
        <f>Table9[[#This Row],[Points 2025]]/2+SUM(Table9[[#This Row],[O1  ADMIN 2026]:[P2       WC                   CT   Open 2026]])</f>
        <v>3</v>
      </c>
      <c r="J128" s="63">
        <f t="shared" si="5"/>
        <v>0</v>
      </c>
      <c r="K128" s="154">
        <f t="shared" si="6"/>
        <v>0</v>
      </c>
      <c r="L128" s="827" t="s">
        <v>6083</v>
      </c>
      <c r="M128" s="827" t="s">
        <v>6083</v>
      </c>
      <c r="N128" s="827" t="s">
        <v>6083</v>
      </c>
      <c r="O128" s="827"/>
      <c r="P128" s="63"/>
      <c r="Q128" s="63"/>
      <c r="R128" s="114"/>
      <c r="S128" s="114"/>
      <c r="T128" s="114"/>
      <c r="U128" s="114">
        <v>1</v>
      </c>
      <c r="V128" s="63"/>
      <c r="W128" s="708"/>
      <c r="X128" s="400">
        <v>5</v>
      </c>
      <c r="Y128" s="114"/>
      <c r="Z128" s="114"/>
      <c r="AA128" s="63"/>
      <c r="AB128" s="63"/>
      <c r="AC128" s="63"/>
      <c r="AD128" s="114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T128" s="827"/>
      <c r="AU128" s="827"/>
    </row>
    <row r="129" spans="1:47" s="92" customFormat="1">
      <c r="A129" s="614">
        <f t="shared" si="11"/>
        <v>4</v>
      </c>
      <c r="B129" s="615"/>
      <c r="C129" s="618" t="e">
        <f>+B129-#REF!</f>
        <v>#REF!</v>
      </c>
      <c r="D129" s="63">
        <f t="shared" si="7"/>
        <v>125</v>
      </c>
      <c r="E129" s="768">
        <v>8362</v>
      </c>
      <c r="F129" s="118" t="str">
        <f>IFERROR(VLOOKUP(Table9[[#This Row],[Player No]],Table11[[No]:[Province]],2,0),"")</f>
        <v>MABILO Delite</v>
      </c>
      <c r="G129" s="63" t="str">
        <f>IFERROR(VLOOKUP(Table9[[#This Row],[Player No]],Table11[[No]:[Province]],3,0),"")</f>
        <v>NW</v>
      </c>
      <c r="H129" s="635">
        <v>5</v>
      </c>
      <c r="I129" s="819">
        <f>Table9[[#This Row],[Points 2025]]/2+SUM(Table9[[#This Row],[O1  ADMIN 2026]:[P2       WC                   CT   Open 2026]])</f>
        <v>2.5</v>
      </c>
      <c r="J129" s="63">
        <f t="shared" si="5"/>
        <v>0</v>
      </c>
      <c r="K129" s="620">
        <f t="shared" si="6"/>
        <v>0</v>
      </c>
      <c r="L129" s="781" t="s">
        <v>6083</v>
      </c>
      <c r="M129" s="781" t="s">
        <v>6083</v>
      </c>
      <c r="N129" s="781" t="s">
        <v>6083</v>
      </c>
      <c r="O129" s="781"/>
      <c r="P129" s="624"/>
      <c r="Q129" s="624"/>
      <c r="R129" s="625"/>
      <c r="S129" s="625"/>
      <c r="T129" s="625"/>
      <c r="U129" s="625"/>
      <c r="V129" s="624"/>
      <c r="W129" s="709"/>
      <c r="X129" s="611">
        <v>5</v>
      </c>
      <c r="Y129" s="625"/>
      <c r="Z129" s="625"/>
      <c r="AA129" s="624"/>
      <c r="AB129" s="624"/>
      <c r="AC129" s="624"/>
      <c r="AD129" s="625"/>
      <c r="AE129" s="624"/>
      <c r="AF129" s="624"/>
      <c r="AG129" s="624"/>
      <c r="AH129" s="624"/>
      <c r="AI129" s="624"/>
      <c r="AJ129" s="624"/>
      <c r="AK129" s="624"/>
      <c r="AL129" s="624"/>
      <c r="AM129" s="624"/>
      <c r="AN129" s="624"/>
      <c r="AO129" s="624"/>
      <c r="AT129" s="781"/>
      <c r="AU129" s="781"/>
    </row>
    <row r="130" spans="1:47" s="92" customFormat="1">
      <c r="A130" s="614">
        <f t="shared" si="11"/>
        <v>5</v>
      </c>
      <c r="B130" s="615"/>
      <c r="C130" s="618" t="e">
        <f>+B130-#REF!</f>
        <v>#REF!</v>
      </c>
      <c r="D130" s="63">
        <f t="shared" si="7"/>
        <v>126</v>
      </c>
      <c r="E130" s="774">
        <v>8363</v>
      </c>
      <c r="F130" s="93" t="str">
        <f>IFERROR(VLOOKUP(Table9[[#This Row],[Player No]],Table11[[No]:[Province]],2,0),"")</f>
        <v>MATLOU Thandi</v>
      </c>
      <c r="G130" s="63" t="str">
        <f>IFERROR(VLOOKUP(Table9[[#This Row],[Player No]],Table11[[No]:[Province]],3,0),"")</f>
        <v>NW</v>
      </c>
      <c r="H130" s="635">
        <v>5</v>
      </c>
      <c r="I130" s="819">
        <f>Table9[[#This Row],[Points 2025]]/2+SUM(Table9[[#This Row],[O1  ADMIN 2026]:[P2       WC                   CT   Open 2026]])</f>
        <v>2.5</v>
      </c>
      <c r="J130" s="63">
        <f t="shared" si="5"/>
        <v>0</v>
      </c>
      <c r="K130" s="620">
        <f t="shared" si="6"/>
        <v>0</v>
      </c>
      <c r="L130" s="781" t="s">
        <v>6083</v>
      </c>
      <c r="M130" s="781" t="s">
        <v>6083</v>
      </c>
      <c r="N130" s="781" t="s">
        <v>6083</v>
      </c>
      <c r="O130" s="781"/>
      <c r="P130" s="624"/>
      <c r="Q130" s="624"/>
      <c r="R130" s="625"/>
      <c r="S130" s="625"/>
      <c r="T130" s="625"/>
      <c r="U130" s="625"/>
      <c r="V130" s="624"/>
      <c r="W130" s="709"/>
      <c r="X130" s="611">
        <v>5</v>
      </c>
      <c r="Y130" s="625"/>
      <c r="Z130" s="625"/>
      <c r="AA130" s="624"/>
      <c r="AB130" s="624"/>
      <c r="AC130" s="624"/>
      <c r="AD130" s="625"/>
      <c r="AE130" s="624"/>
      <c r="AF130" s="624"/>
      <c r="AG130" s="624"/>
      <c r="AH130" s="624"/>
      <c r="AI130" s="624"/>
      <c r="AJ130" s="624"/>
      <c r="AK130" s="624"/>
      <c r="AL130" s="624"/>
      <c r="AM130" s="624"/>
      <c r="AN130" s="624"/>
      <c r="AO130" s="624"/>
      <c r="AT130" s="781"/>
      <c r="AU130" s="781"/>
    </row>
    <row r="131" spans="1:47" s="92" customFormat="1">
      <c r="A131" s="614">
        <f t="shared" si="11"/>
        <v>6</v>
      </c>
      <c r="B131" s="615"/>
      <c r="C131" s="618" t="e">
        <f>+B131-#REF!</f>
        <v>#REF!</v>
      </c>
      <c r="D131" s="63">
        <f t="shared" si="7"/>
        <v>127</v>
      </c>
      <c r="E131" s="620">
        <v>8534</v>
      </c>
      <c r="F131" s="93" t="str">
        <f>IFERROR(VLOOKUP(Table9[[#This Row],[Player No]],Table11[[No]:[Province]],2,0),"")</f>
        <v>LOUW Leyla</v>
      </c>
      <c r="G131" s="63" t="str">
        <f>IFERROR(VLOOKUP(Table9[[#This Row],[Player No]],Table11[[No]:[Province]],3,0),"")</f>
        <v>EDEN</v>
      </c>
      <c r="H131" s="635">
        <v>5</v>
      </c>
      <c r="I131" s="819">
        <f>Table9[[#This Row],[Points 2025]]/2+SUM(Table9[[#This Row],[O1  ADMIN 2026]:[P2       WC                   CT   Open 2026]])</f>
        <v>2.5</v>
      </c>
      <c r="J131" s="63">
        <f t="shared" si="5"/>
        <v>0</v>
      </c>
      <c r="K131" s="620">
        <f t="shared" si="6"/>
        <v>0</v>
      </c>
      <c r="L131" s="781" t="s">
        <v>6083</v>
      </c>
      <c r="M131" s="781" t="s">
        <v>6083</v>
      </c>
      <c r="N131" s="781" t="s">
        <v>6083</v>
      </c>
      <c r="O131" s="781"/>
      <c r="P131" s="624"/>
      <c r="Q131" s="624"/>
      <c r="R131" s="625"/>
      <c r="S131" s="625"/>
      <c r="T131" s="625"/>
      <c r="U131" s="625"/>
      <c r="V131" s="624"/>
      <c r="W131" s="709"/>
      <c r="X131" s="611">
        <v>5</v>
      </c>
      <c r="Y131" s="625"/>
      <c r="Z131" s="625"/>
      <c r="AA131" s="624"/>
      <c r="AB131" s="624"/>
      <c r="AC131" s="624"/>
      <c r="AD131" s="625"/>
      <c r="AE131" s="624"/>
      <c r="AF131" s="624"/>
      <c r="AG131" s="624"/>
      <c r="AH131" s="624"/>
      <c r="AI131" s="624"/>
      <c r="AJ131" s="624"/>
      <c r="AK131" s="624"/>
      <c r="AL131" s="624"/>
      <c r="AM131" s="624"/>
      <c r="AN131" s="624"/>
      <c r="AO131" s="624"/>
      <c r="AT131" s="781"/>
      <c r="AU131" s="781"/>
    </row>
    <row r="132" spans="1:47" s="92" customFormat="1">
      <c r="A132" s="614">
        <f t="shared" si="11"/>
        <v>7</v>
      </c>
      <c r="B132" s="615"/>
      <c r="C132" s="618" t="e">
        <f>+B132-#REF!</f>
        <v>#REF!</v>
      </c>
      <c r="D132" s="63">
        <f t="shared" si="7"/>
        <v>128</v>
      </c>
      <c r="E132" s="620">
        <v>8536</v>
      </c>
      <c r="F132" s="93" t="str">
        <f>IFERROR(VLOOKUP(Table9[[#This Row],[Player No]],Table11[[No]:[Province]],2,0),"")</f>
        <v>RUITERS Taylor</v>
      </c>
      <c r="G132" s="63" t="str">
        <f>IFERROR(VLOOKUP(Table9[[#This Row],[Player No]],Table11[[No]:[Province]],3,0),"")</f>
        <v>EDEN</v>
      </c>
      <c r="H132" s="635">
        <v>5</v>
      </c>
      <c r="I132" s="819">
        <f>Table9[[#This Row],[Points 2025]]/2+SUM(Table9[[#This Row],[O1  ADMIN 2026]:[P2       WC                   CT   Open 2026]])</f>
        <v>2.5</v>
      </c>
      <c r="J132" s="63">
        <f t="shared" si="5"/>
        <v>0</v>
      </c>
      <c r="K132" s="620">
        <f t="shared" si="6"/>
        <v>0</v>
      </c>
      <c r="L132" s="781" t="s">
        <v>6083</v>
      </c>
      <c r="M132" s="781" t="s">
        <v>6083</v>
      </c>
      <c r="N132" s="781" t="s">
        <v>6083</v>
      </c>
      <c r="O132" s="781"/>
      <c r="P132" s="624"/>
      <c r="Q132" s="624"/>
      <c r="R132" s="625"/>
      <c r="S132" s="625"/>
      <c r="T132" s="625"/>
      <c r="U132" s="625"/>
      <c r="V132" s="624"/>
      <c r="W132" s="709"/>
      <c r="X132" s="611">
        <v>5</v>
      </c>
      <c r="Y132" s="625"/>
      <c r="Z132" s="625"/>
      <c r="AA132" s="624"/>
      <c r="AB132" s="624"/>
      <c r="AC132" s="624"/>
      <c r="AD132" s="625"/>
      <c r="AE132" s="624"/>
      <c r="AF132" s="624"/>
      <c r="AG132" s="624"/>
      <c r="AH132" s="624"/>
      <c r="AI132" s="624"/>
      <c r="AJ132" s="624"/>
      <c r="AK132" s="624"/>
      <c r="AL132" s="624"/>
      <c r="AM132" s="624"/>
      <c r="AN132" s="624"/>
      <c r="AO132" s="624"/>
      <c r="AT132" s="781"/>
      <c r="AU132" s="781"/>
    </row>
    <row r="133" spans="1:47">
      <c r="A133" s="135">
        <f>IFERROR(VLOOKUP(Table9[[#This Row],[Player No]],Table11[[#All],[No]:[Age Group]],4,0),"")</f>
        <v>0</v>
      </c>
      <c r="B133" s="129"/>
      <c r="C133" s="77"/>
      <c r="D133" s="63">
        <f t="shared" si="7"/>
        <v>129</v>
      </c>
      <c r="E133" s="391">
        <v>8571</v>
      </c>
      <c r="F133" s="93" t="str">
        <f>IFERROR(VLOOKUP(Table9[[#This Row],[Player No]],Table11[[No]:[Province]],2,0),"")</f>
        <v>Leranya Govender</v>
      </c>
      <c r="G133" s="63" t="str">
        <f>IFERROR(VLOOKUP(Table9[[#This Row],[Player No]],Table11[[No]:[Province]],3,0),"")</f>
        <v>UMG</v>
      </c>
      <c r="H133" s="635">
        <v>5</v>
      </c>
      <c r="I133" s="661">
        <f>Table9[[#This Row],[Points 2025]]/2+SUM(Table9[[#This Row],[O1  ADMIN 2026]:[P2       WC                   CT   Open 2026]])</f>
        <v>2.5</v>
      </c>
      <c r="J133" s="63">
        <f t="shared" ref="J133:J196" si="12">COUNTIF(L133:O133,"&gt;0")</f>
        <v>0</v>
      </c>
      <c r="K133" s="133">
        <f t="shared" ref="K133:K196" si="13">COUNTIF(M133:AO133,"&lt;0")</f>
        <v>0</v>
      </c>
      <c r="L133" s="442" t="s">
        <v>6083</v>
      </c>
      <c r="M133" s="442" t="s">
        <v>6083</v>
      </c>
      <c r="N133" s="442" t="s">
        <v>6083</v>
      </c>
      <c r="O133" s="442"/>
      <c r="P133" s="133">
        <v>2</v>
      </c>
      <c r="Q133" s="133">
        <v>1</v>
      </c>
      <c r="R133" s="189">
        <v>1</v>
      </c>
      <c r="S133" s="189"/>
      <c r="T133" s="133">
        <v>1</v>
      </c>
      <c r="U133" s="189"/>
      <c r="V133" s="133"/>
      <c r="W133" s="442"/>
      <c r="X133" s="401"/>
      <c r="Y133" s="189"/>
      <c r="Z133" s="189"/>
      <c r="AA133" s="133"/>
      <c r="AB133" s="189"/>
      <c r="AC133" s="189"/>
      <c r="AD133" s="189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4"/>
      <c r="AT133" s="442"/>
      <c r="AU133" s="442"/>
    </row>
    <row r="134" spans="1:47">
      <c r="A134" s="612">
        <f>A133+1</f>
        <v>1</v>
      </c>
      <c r="B134" s="616"/>
      <c r="C134" s="618" t="e">
        <f>+B134-#REF!</f>
        <v>#REF!</v>
      </c>
      <c r="D134" s="63">
        <f t="shared" si="7"/>
        <v>130</v>
      </c>
      <c r="E134" s="622">
        <v>8739</v>
      </c>
      <c r="F134" s="93" t="str">
        <f>IFERROR(VLOOKUP(Table9[[#This Row],[Player No]],Table11[[No]:[Province]],2,0),"")</f>
        <v>Prudence Point Pashi</v>
      </c>
      <c r="G134" s="63" t="str">
        <f>IFERROR(VLOOKUP(Table9[[#This Row],[Player No]],Table11[[No]:[Province]],3,0),"")</f>
        <v>ZIM</v>
      </c>
      <c r="H134" s="635">
        <v>5</v>
      </c>
      <c r="I134" s="766">
        <f>Table9[[#This Row],[Points 2025]]/2+SUM(Table9[[#This Row],[O1  ADMIN 2026]:[P2       WC                   CT   Open 2026]])</f>
        <v>2.5</v>
      </c>
      <c r="J134" s="63">
        <f t="shared" si="12"/>
        <v>0</v>
      </c>
      <c r="K134" s="622">
        <f t="shared" si="13"/>
        <v>0</v>
      </c>
      <c r="L134" s="780" t="s">
        <v>6083</v>
      </c>
      <c r="M134" s="780" t="s">
        <v>6083</v>
      </c>
      <c r="N134" s="780" t="s">
        <v>6083</v>
      </c>
      <c r="O134" s="780"/>
      <c r="P134" s="627"/>
      <c r="Q134" s="627"/>
      <c r="R134" s="628"/>
      <c r="S134" s="628"/>
      <c r="T134" s="627"/>
      <c r="U134" s="628"/>
      <c r="V134" s="627"/>
      <c r="W134" s="678"/>
      <c r="X134" s="793">
        <v>5</v>
      </c>
      <c r="Y134" s="628"/>
      <c r="Z134" s="628"/>
      <c r="AA134" s="627"/>
      <c r="AB134" s="628"/>
      <c r="AC134" s="628"/>
      <c r="AD134" s="628"/>
      <c r="AE134" s="627"/>
      <c r="AF134" s="627"/>
      <c r="AG134" s="627"/>
      <c r="AH134" s="627"/>
      <c r="AI134" s="627"/>
      <c r="AJ134" s="627"/>
      <c r="AK134" s="627"/>
      <c r="AL134" s="627"/>
      <c r="AM134" s="627"/>
      <c r="AN134" s="627"/>
      <c r="AO134" s="613"/>
      <c r="AT134" s="780"/>
      <c r="AU134" s="780"/>
    </row>
    <row r="135" spans="1:47">
      <c r="A135" s="612">
        <f>A134+1</f>
        <v>2</v>
      </c>
      <c r="B135" s="616"/>
      <c r="C135" s="618" t="e">
        <f>+B135-#REF!</f>
        <v>#REF!</v>
      </c>
      <c r="D135" s="63">
        <f t="shared" ref="D135:D188" si="14">+D134+1</f>
        <v>131</v>
      </c>
      <c r="E135" s="622">
        <v>8760</v>
      </c>
      <c r="F135" s="93" t="str">
        <f>IFERROR(VLOOKUP(Table9[[#This Row],[Player No]],Table11[[No]:[Province]],2,0),"")</f>
        <v>Leche VERSTER</v>
      </c>
      <c r="G135" s="63" t="str">
        <f>IFERROR(VLOOKUP(Table9[[#This Row],[Player No]],Table11[[No]:[Province]],3,0),"")</f>
        <v>GN</v>
      </c>
      <c r="H135" s="635">
        <v>5</v>
      </c>
      <c r="I135" s="766">
        <f>Table9[[#This Row],[Points 2025]]/2+SUM(Table9[[#This Row],[O1  ADMIN 2026]:[P2       WC                   CT   Open 2026]])</f>
        <v>2.5</v>
      </c>
      <c r="J135" s="63">
        <f t="shared" si="12"/>
        <v>0</v>
      </c>
      <c r="K135" s="622">
        <f t="shared" si="13"/>
        <v>0</v>
      </c>
      <c r="L135" s="780" t="s">
        <v>6083</v>
      </c>
      <c r="M135" s="780" t="s">
        <v>6083</v>
      </c>
      <c r="N135" s="780" t="s">
        <v>6083</v>
      </c>
      <c r="O135" s="780"/>
      <c r="P135" s="627"/>
      <c r="Q135" s="627"/>
      <c r="R135" s="628"/>
      <c r="S135" s="628"/>
      <c r="T135" s="627"/>
      <c r="U135" s="628"/>
      <c r="V135" s="627"/>
      <c r="W135" s="678"/>
      <c r="X135" s="793">
        <v>5</v>
      </c>
      <c r="Y135" s="628"/>
      <c r="Z135" s="628"/>
      <c r="AA135" s="627"/>
      <c r="AB135" s="628"/>
      <c r="AC135" s="628"/>
      <c r="AD135" s="628"/>
      <c r="AE135" s="627"/>
      <c r="AF135" s="627"/>
      <c r="AG135" s="627"/>
      <c r="AH135" s="627"/>
      <c r="AI135" s="627"/>
      <c r="AJ135" s="627"/>
      <c r="AK135" s="627"/>
      <c r="AL135" s="627"/>
      <c r="AM135" s="627"/>
      <c r="AN135" s="627"/>
      <c r="AO135" s="613"/>
      <c r="AT135" s="780"/>
      <c r="AU135" s="780"/>
    </row>
    <row r="136" spans="1:47">
      <c r="A136" s="769">
        <f>A135+1</f>
        <v>3</v>
      </c>
      <c r="B136" s="770"/>
      <c r="C136" s="771" t="e">
        <f>+B136-#REF!</f>
        <v>#REF!</v>
      </c>
      <c r="D136" s="63">
        <f t="shared" si="14"/>
        <v>132</v>
      </c>
      <c r="E136" s="773">
        <v>8771</v>
      </c>
      <c r="F136" s="93" t="str">
        <f>IFERROR(VLOOKUP(Table9[[#This Row],[Player No]],Table11[[No]:[Province]],2,0),"")</f>
        <v>MAKOKOE Solofelang</v>
      </c>
      <c r="G136" s="63" t="str">
        <f>IFERROR(VLOOKUP(Table9[[#This Row],[Player No]],Table11[[No]:[Province]],3,0),"")</f>
        <v>NMMTTA</v>
      </c>
      <c r="H136" s="635">
        <v>5</v>
      </c>
      <c r="I136" s="763">
        <f>Table9[[#This Row],[Points 2025]]/2+SUM(Table9[[#This Row],[O1  ADMIN 2026]:[P2       WC                   CT   Open 2026]])</f>
        <v>2.5</v>
      </c>
      <c r="J136" s="63">
        <f t="shared" si="12"/>
        <v>0</v>
      </c>
      <c r="K136" s="773">
        <f t="shared" si="13"/>
        <v>0</v>
      </c>
      <c r="L136" s="835" t="s">
        <v>6083</v>
      </c>
      <c r="M136" s="835" t="s">
        <v>6083</v>
      </c>
      <c r="N136" s="835" t="s">
        <v>6083</v>
      </c>
      <c r="O136" s="835"/>
      <c r="P136" s="775"/>
      <c r="Q136" s="775"/>
      <c r="R136" s="387"/>
      <c r="S136" s="387"/>
      <c r="T136" s="775"/>
      <c r="U136" s="387"/>
      <c r="V136" s="775"/>
      <c r="W136" s="426"/>
      <c r="X136" s="417">
        <v>5</v>
      </c>
      <c r="Y136" s="387"/>
      <c r="Z136" s="387"/>
      <c r="AA136" s="775"/>
      <c r="AB136" s="387"/>
      <c r="AC136" s="387"/>
      <c r="AD136" s="387"/>
      <c r="AE136" s="775"/>
      <c r="AF136" s="775"/>
      <c r="AG136" s="775"/>
      <c r="AH136" s="775"/>
      <c r="AI136" s="775"/>
      <c r="AJ136" s="775"/>
      <c r="AK136" s="775"/>
      <c r="AL136" s="775"/>
      <c r="AM136" s="775"/>
      <c r="AN136" s="775"/>
      <c r="AO136" s="776"/>
      <c r="AT136" s="835"/>
      <c r="AU136" s="835"/>
    </row>
    <row r="137" spans="1:47">
      <c r="A137" s="612">
        <f>A136+1</f>
        <v>4</v>
      </c>
      <c r="B137" s="616"/>
      <c r="C137" s="619" t="e">
        <f>+B137-#REF!</f>
        <v>#REF!</v>
      </c>
      <c r="D137" s="63">
        <f t="shared" si="14"/>
        <v>133</v>
      </c>
      <c r="E137" s="622">
        <v>8806</v>
      </c>
      <c r="F137" s="93" t="str">
        <f>IFERROR(VLOOKUP(Table9[[#This Row],[Player No]],Table11[[No]:[Province]],2,0),"")</f>
        <v xml:space="preserve">MAGOPA Molebatse </v>
      </c>
      <c r="G137" s="63" t="str">
        <f>IFERROR(VLOOKUP(Table9[[#This Row],[Player No]],Table11[[No]:[Province]],3,0),"")</f>
        <v>LIM</v>
      </c>
      <c r="H137" s="635">
        <v>5</v>
      </c>
      <c r="I137" s="766">
        <f>Table9[[#This Row],[Points 2025]]/2+SUM(Table9[[#This Row],[O1  ADMIN 2026]:[P2       WC                   CT   Open 2026]])</f>
        <v>2.5</v>
      </c>
      <c r="J137" s="63">
        <f t="shared" si="12"/>
        <v>0</v>
      </c>
      <c r="K137" s="622">
        <f t="shared" si="13"/>
        <v>0</v>
      </c>
      <c r="L137" s="780" t="s">
        <v>6083</v>
      </c>
      <c r="M137" s="780" t="s">
        <v>6083</v>
      </c>
      <c r="N137" s="780" t="s">
        <v>6083</v>
      </c>
      <c r="O137" s="780"/>
      <c r="P137" s="627"/>
      <c r="Q137" s="627"/>
      <c r="R137" s="628"/>
      <c r="S137" s="628"/>
      <c r="T137" s="627"/>
      <c r="U137" s="628"/>
      <c r="V137" s="627"/>
      <c r="W137" s="678"/>
      <c r="X137" s="793">
        <v>5</v>
      </c>
      <c r="Y137" s="628"/>
      <c r="Z137" s="628"/>
      <c r="AA137" s="627"/>
      <c r="AB137" s="628"/>
      <c r="AC137" s="628"/>
      <c r="AD137" s="628"/>
      <c r="AE137" s="627"/>
      <c r="AF137" s="627"/>
      <c r="AG137" s="627"/>
      <c r="AH137" s="627"/>
      <c r="AI137" s="627"/>
      <c r="AJ137" s="627"/>
      <c r="AK137" s="627"/>
      <c r="AL137" s="627"/>
      <c r="AM137" s="627"/>
      <c r="AN137" s="627"/>
      <c r="AO137" s="613"/>
      <c r="AT137" s="780"/>
      <c r="AU137" s="780"/>
    </row>
    <row r="138" spans="1:47">
      <c r="A138" s="180">
        <f>A137+1</f>
        <v>5</v>
      </c>
      <c r="B138" s="129"/>
      <c r="C138" s="153" t="e">
        <f>+B138-#REF!</f>
        <v>#REF!</v>
      </c>
      <c r="D138" s="63">
        <f t="shared" si="14"/>
        <v>134</v>
      </c>
      <c r="E138" s="1099">
        <v>8952</v>
      </c>
      <c r="F138" s="93" t="str">
        <f>IFERROR(VLOOKUP(Table9[[#This Row],[Player No]],Table11[[No]:[Province]],2,0),"")</f>
        <v>INCE Skylar</v>
      </c>
      <c r="G138" s="63" t="str">
        <f>IFERROR(VLOOKUP(Table9[[#This Row],[Player No]],Table11[[No]:[Province]],3,0),"")</f>
        <v>UMG</v>
      </c>
      <c r="H138" s="635">
        <v>0</v>
      </c>
      <c r="I138" s="661">
        <f>Table9[[#This Row],[Points 2025]]/2+SUM(Table9[[#This Row],[O1  ADMIN 2026]:[P2       WC                   CT   Open 2026]])</f>
        <v>2</v>
      </c>
      <c r="J138" s="154">
        <f t="shared" si="12"/>
        <v>2</v>
      </c>
      <c r="K138" s="1099">
        <f t="shared" si="13"/>
        <v>0</v>
      </c>
      <c r="L138" s="736" t="s">
        <v>6083</v>
      </c>
      <c r="M138" s="442">
        <v>1</v>
      </c>
      <c r="N138" s="442">
        <v>1</v>
      </c>
      <c r="O138" s="442"/>
      <c r="P138" s="133"/>
      <c r="Q138" s="133"/>
      <c r="R138" s="189"/>
      <c r="S138" s="189"/>
      <c r="T138" s="133"/>
      <c r="U138" s="189"/>
      <c r="V138" s="133"/>
      <c r="W138" s="442"/>
      <c r="X138" s="401"/>
      <c r="Y138" s="189"/>
      <c r="Z138" s="189"/>
      <c r="AA138" s="133"/>
      <c r="AB138" s="189"/>
      <c r="AC138" s="189"/>
      <c r="AD138" s="189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4"/>
      <c r="AT138" s="442"/>
      <c r="AU138" s="442"/>
    </row>
    <row r="139" spans="1:47">
      <c r="A139" s="136">
        <f>IFERROR(VLOOKUP(Table9[[#This Row],[Player No]],Table11[[#All],[No]:[Age Group]],4,0),"")</f>
        <v>0</v>
      </c>
      <c r="B139" s="61">
        <v>112</v>
      </c>
      <c r="C139" s="77">
        <f t="shared" ref="C139:C146" si="15">+B139-D139</f>
        <v>-23</v>
      </c>
      <c r="D139" s="63">
        <f t="shared" si="14"/>
        <v>135</v>
      </c>
      <c r="E139" s="63">
        <v>8394</v>
      </c>
      <c r="F139" s="93" t="str">
        <f>IFERROR(VLOOKUP(Table9[[#This Row],[Player No]],Table11[[No]:[Province]],2,0),"")</f>
        <v>Rashieda Abrahams</v>
      </c>
      <c r="G139" s="63" t="str">
        <f>IFERROR(VLOOKUP(Table9[[#This Row],[Player No]],Table11[[No]:[Province]],3,0),"")</f>
        <v>Eden</v>
      </c>
      <c r="H139" s="635">
        <v>3.625</v>
      </c>
      <c r="I139" s="789">
        <f>Table9[[#This Row],[Points 2025]]/2+SUM(Table9[[#This Row],[O1  ADMIN 2026]:[P2       WC                   CT   Open 2026]])</f>
        <v>1.8125</v>
      </c>
      <c r="J139" s="63">
        <f t="shared" si="12"/>
        <v>0</v>
      </c>
      <c r="K139" s="63">
        <f t="shared" si="13"/>
        <v>0</v>
      </c>
      <c r="L139" s="708" t="s">
        <v>6083</v>
      </c>
      <c r="M139" s="708" t="s">
        <v>6083</v>
      </c>
      <c r="N139" s="708" t="s">
        <v>6083</v>
      </c>
      <c r="O139" s="708"/>
      <c r="P139" s="63"/>
      <c r="Q139" s="63"/>
      <c r="R139" s="114"/>
      <c r="S139" s="114"/>
      <c r="T139" s="63"/>
      <c r="U139" s="114"/>
      <c r="V139" s="63"/>
      <c r="W139" s="708"/>
      <c r="X139" s="400"/>
      <c r="Y139" s="114"/>
      <c r="Z139" s="114"/>
      <c r="AA139" s="63"/>
      <c r="AB139" s="63"/>
      <c r="AC139" s="63"/>
      <c r="AD139" s="114"/>
      <c r="AE139" s="63"/>
      <c r="AF139" s="63"/>
      <c r="AG139" s="63"/>
      <c r="AH139" s="63"/>
      <c r="AI139" s="63">
        <v>2</v>
      </c>
      <c r="AJ139" s="63">
        <v>5</v>
      </c>
      <c r="AK139" s="63"/>
      <c r="AL139" s="63"/>
      <c r="AM139" s="63"/>
      <c r="AN139" s="63"/>
      <c r="AO139" s="127"/>
      <c r="AT139" s="708"/>
      <c r="AU139" s="708"/>
    </row>
    <row r="140" spans="1:47">
      <c r="A140" s="136">
        <f>IFERROR(VLOOKUP(Table9[[#This Row],[Player No]],Table11[[#All],[No]:[Age Group]],4,0),"")</f>
        <v>0</v>
      </c>
      <c r="B140" s="61">
        <v>68</v>
      </c>
      <c r="C140" s="77">
        <f t="shared" si="15"/>
        <v>-68</v>
      </c>
      <c r="D140" s="63">
        <f t="shared" si="14"/>
        <v>136</v>
      </c>
      <c r="E140" s="63">
        <v>8084</v>
      </c>
      <c r="F140" s="93" t="str">
        <f>IFERROR(VLOOKUP(Table9[[#This Row],[Player No]],Table11[[No]:[Province]],2,0),"")</f>
        <v xml:space="preserve">NDLOVU Khanyisile </v>
      </c>
      <c r="G140" s="63" t="str">
        <f>IFERROR(VLOOKUP(Table9[[#This Row],[Player No]],Table11[[No]:[Province]],3,0),"")</f>
        <v>NW</v>
      </c>
      <c r="H140" s="635">
        <v>3.125</v>
      </c>
      <c r="I140" s="789">
        <f>Table9[[#This Row],[Points 2025]]/2+SUM(Table9[[#This Row],[O1  ADMIN 2026]:[P2       WC                   CT   Open 2026]])</f>
        <v>1.5625</v>
      </c>
      <c r="J140" s="63">
        <f t="shared" si="12"/>
        <v>0</v>
      </c>
      <c r="K140" s="63">
        <f t="shared" si="13"/>
        <v>0</v>
      </c>
      <c r="L140" s="708" t="s">
        <v>6083</v>
      </c>
      <c r="M140" s="708" t="s">
        <v>6083</v>
      </c>
      <c r="N140" s="708" t="s">
        <v>6083</v>
      </c>
      <c r="O140" s="708"/>
      <c r="P140" s="63"/>
      <c r="Q140" s="63"/>
      <c r="R140" s="114"/>
      <c r="S140" s="114"/>
      <c r="T140" s="63"/>
      <c r="U140" s="114"/>
      <c r="V140" s="63"/>
      <c r="W140" s="708"/>
      <c r="X140" s="400"/>
      <c r="Y140" s="114"/>
      <c r="Z140" s="114"/>
      <c r="AA140" s="63"/>
      <c r="AB140" s="63"/>
      <c r="AC140" s="63"/>
      <c r="AD140" s="114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127"/>
      <c r="AT140" s="708"/>
      <c r="AU140" s="708"/>
    </row>
    <row r="141" spans="1:47">
      <c r="A141" s="135">
        <f>IFERROR(VLOOKUP(Table9[[#This Row],[Player No]],Table11[[#All],[No]:[Age Group]],4,0),"")</f>
        <v>0</v>
      </c>
      <c r="B141" s="129">
        <v>67</v>
      </c>
      <c r="C141" s="153">
        <f t="shared" si="15"/>
        <v>-70</v>
      </c>
      <c r="D141" s="63">
        <f t="shared" si="14"/>
        <v>137</v>
      </c>
      <c r="E141" s="133">
        <v>8112</v>
      </c>
      <c r="F141" s="93" t="str">
        <f>IFERROR(VLOOKUP(Table9[[#This Row],[Player No]],Table11[[No]:[Province]],2,0),"")</f>
        <v>NDLOVU Tshepiso</v>
      </c>
      <c r="G141" s="63" t="str">
        <f>IFERROR(VLOOKUP(Table9[[#This Row],[Player No]],Table11[[No]:[Province]],3,0),"")</f>
        <v>ETK</v>
      </c>
      <c r="H141" s="635">
        <v>3.125</v>
      </c>
      <c r="I141" s="661">
        <f>Table9[[#This Row],[Points 2025]]/2+SUM(Table9[[#This Row],[O1  ADMIN 2026]:[P2       WC                   CT   Open 2026]])</f>
        <v>1.5625</v>
      </c>
      <c r="J141" s="63">
        <f t="shared" si="12"/>
        <v>0</v>
      </c>
      <c r="K141" s="133">
        <f t="shared" si="13"/>
        <v>0</v>
      </c>
      <c r="L141" s="442" t="s">
        <v>6083</v>
      </c>
      <c r="M141" s="442" t="s">
        <v>6083</v>
      </c>
      <c r="N141" s="442" t="s">
        <v>6083</v>
      </c>
      <c r="O141" s="442"/>
      <c r="P141" s="133"/>
      <c r="Q141" s="133"/>
      <c r="R141" s="189"/>
      <c r="S141" s="189"/>
      <c r="T141" s="133"/>
      <c r="U141" s="189"/>
      <c r="V141" s="133"/>
      <c r="W141" s="442"/>
      <c r="X141" s="401"/>
      <c r="Y141" s="189"/>
      <c r="Z141" s="189"/>
      <c r="AA141" s="133"/>
      <c r="AB141" s="189"/>
      <c r="AC141" s="189"/>
      <c r="AD141" s="189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4"/>
      <c r="AT141" s="442"/>
      <c r="AU141" s="442"/>
    </row>
    <row r="142" spans="1:47">
      <c r="A142" s="135">
        <f>IFERROR(VLOOKUP(Table9[[#This Row],[Player No]],Table11[[#All],[No]:[Age Group]],4,0),"")</f>
        <v>0</v>
      </c>
      <c r="B142" s="190">
        <v>66</v>
      </c>
      <c r="C142" s="195">
        <f t="shared" si="15"/>
        <v>-72</v>
      </c>
      <c r="D142" s="63">
        <f t="shared" si="14"/>
        <v>138</v>
      </c>
      <c r="E142" s="189">
        <v>8140</v>
      </c>
      <c r="F142" s="93" t="str">
        <f>IFERROR(VLOOKUP(Table9[[#This Row],[Player No]],Table11[[No]:[Province]],2,0),"")</f>
        <v>NOMANDLA Skhosana</v>
      </c>
      <c r="G142" s="63" t="str">
        <f>IFERROR(VLOOKUP(Table9[[#This Row],[Player No]],Table11[[No]:[Province]],3,0),"")</f>
        <v>UTH</v>
      </c>
      <c r="H142" s="635">
        <v>3.125</v>
      </c>
      <c r="I142" s="789">
        <f>Table9[[#This Row],[Points 2025]]/2+SUM(Table9[[#This Row],[O1  ADMIN 2026]:[P2       WC                   CT   Open 2026]])</f>
        <v>1.5625</v>
      </c>
      <c r="J142" s="63">
        <f t="shared" si="12"/>
        <v>0</v>
      </c>
      <c r="K142" s="189">
        <f t="shared" si="13"/>
        <v>0</v>
      </c>
      <c r="L142" s="442" t="s">
        <v>6083</v>
      </c>
      <c r="M142" s="442" t="s">
        <v>6083</v>
      </c>
      <c r="N142" s="442" t="s">
        <v>6083</v>
      </c>
      <c r="O142" s="442"/>
      <c r="P142" s="189"/>
      <c r="Q142" s="189"/>
      <c r="R142" s="189"/>
      <c r="S142" s="189"/>
      <c r="T142" s="189"/>
      <c r="U142" s="189"/>
      <c r="V142" s="189"/>
      <c r="W142" s="442"/>
      <c r="X142" s="401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34"/>
      <c r="AT142" s="442"/>
      <c r="AU142" s="442"/>
    </row>
    <row r="143" spans="1:47">
      <c r="A143" s="135">
        <f>IFERROR(VLOOKUP(Table9[[#This Row],[Player No]],Table11[[#All],[No]:[Age Group]],4,0),"")</f>
        <v>0</v>
      </c>
      <c r="B143" s="190">
        <v>69</v>
      </c>
      <c r="C143" s="195">
        <f t="shared" si="15"/>
        <v>-70</v>
      </c>
      <c r="D143" s="63">
        <f t="shared" si="14"/>
        <v>139</v>
      </c>
      <c r="E143" s="189">
        <v>8142</v>
      </c>
      <c r="F143" s="93" t="str">
        <f>IFERROR(VLOOKUP(Table9[[#This Row],[Player No]],Table11[[No]:[Province]],2,0),"")</f>
        <v>VELEM Nozipho</v>
      </c>
      <c r="G143" s="63" t="str">
        <f>IFERROR(VLOOKUP(Table9[[#This Row],[Player No]],Table11[[No]:[Province]],3,0),"")</f>
        <v>UTH</v>
      </c>
      <c r="H143" s="635">
        <v>3.125</v>
      </c>
      <c r="I143" s="661">
        <f>Table9[[#This Row],[Points 2025]]/2+SUM(Table9[[#This Row],[O1  ADMIN 2026]:[P2       WC                   CT   Open 2026]])</f>
        <v>1.5625</v>
      </c>
      <c r="J143" s="63">
        <f t="shared" si="12"/>
        <v>0</v>
      </c>
      <c r="K143" s="63">
        <f t="shared" si="13"/>
        <v>0</v>
      </c>
      <c r="L143" s="442" t="s">
        <v>6083</v>
      </c>
      <c r="M143" s="442" t="s">
        <v>6083</v>
      </c>
      <c r="N143" s="442" t="s">
        <v>6083</v>
      </c>
      <c r="O143" s="442"/>
      <c r="P143" s="189"/>
      <c r="Q143" s="189"/>
      <c r="R143" s="189"/>
      <c r="S143" s="189"/>
      <c r="T143" s="189"/>
      <c r="U143" s="189"/>
      <c r="V143" s="189"/>
      <c r="W143" s="442"/>
      <c r="X143" s="401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34"/>
      <c r="AT143" s="442"/>
      <c r="AU143" s="442"/>
    </row>
    <row r="144" spans="1:47">
      <c r="A144" s="135">
        <f>IFERROR(VLOOKUP(Table9[[#This Row],[Player No]],Table11[[#All],[No]:[Age Group]],4,0),"")</f>
        <v>0</v>
      </c>
      <c r="B144" s="190">
        <v>72</v>
      </c>
      <c r="C144" s="195">
        <f t="shared" si="15"/>
        <v>-68</v>
      </c>
      <c r="D144" s="63">
        <f t="shared" si="14"/>
        <v>140</v>
      </c>
      <c r="E144" s="189">
        <v>8153</v>
      </c>
      <c r="F144" s="93" t="str">
        <f>IFERROR(VLOOKUP(Table9[[#This Row],[Player No]],Table11[[No]:[Province]],2,0),"")</f>
        <v>MKOLWANA Elihle</v>
      </c>
      <c r="G144" s="63" t="str">
        <f>IFERROR(VLOOKUP(Table9[[#This Row],[Player No]],Table11[[No]:[Province]],3,0),"")</f>
        <v>EC</v>
      </c>
      <c r="H144" s="635">
        <v>3.125</v>
      </c>
      <c r="I144" s="661">
        <f>Table9[[#This Row],[Points 2025]]/2+SUM(Table9[[#This Row],[O1  ADMIN 2026]:[P2       WC                   CT   Open 2026]])</f>
        <v>1.5625</v>
      </c>
      <c r="J144" s="63">
        <f t="shared" si="12"/>
        <v>0</v>
      </c>
      <c r="K144" s="189">
        <f t="shared" si="13"/>
        <v>0</v>
      </c>
      <c r="L144" s="442" t="s">
        <v>6083</v>
      </c>
      <c r="M144" s="442" t="s">
        <v>6083</v>
      </c>
      <c r="N144" s="442" t="s">
        <v>6083</v>
      </c>
      <c r="O144" s="442"/>
      <c r="P144" s="189"/>
      <c r="Q144" s="189"/>
      <c r="R144" s="189"/>
      <c r="S144" s="189"/>
      <c r="T144" s="189"/>
      <c r="U144" s="189"/>
      <c r="V144" s="189"/>
      <c r="W144" s="442"/>
      <c r="X144" s="401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34"/>
      <c r="AT144" s="442"/>
      <c r="AU144" s="442"/>
    </row>
    <row r="145" spans="1:47">
      <c r="A145" s="136">
        <f>IFERROR(VLOOKUP(Table9[[#This Row],[Player No]],Table11[[#All],[No]:[Age Group]],4,0),"")</f>
        <v>0</v>
      </c>
      <c r="B145" s="61">
        <v>71</v>
      </c>
      <c r="C145" s="77">
        <f t="shared" si="15"/>
        <v>-70</v>
      </c>
      <c r="D145" s="63">
        <f t="shared" si="14"/>
        <v>141</v>
      </c>
      <c r="E145" s="63">
        <v>8155</v>
      </c>
      <c r="F145" s="93" t="str">
        <f>IFERROR(VLOOKUP(Table9[[#This Row],[Player No]],Table11[[No]:[Province]],2,0),"")</f>
        <v xml:space="preserve">HANU Unathi </v>
      </c>
      <c r="G145" s="63" t="str">
        <f>IFERROR(VLOOKUP(Table9[[#This Row],[Player No]],Table11[[No]:[Province]],3,0),"")</f>
        <v>EC</v>
      </c>
      <c r="H145" s="635">
        <v>3.125</v>
      </c>
      <c r="I145" s="789">
        <f>Table9[[#This Row],[Points 2025]]/2+SUM(Table9[[#This Row],[O1  ADMIN 2026]:[P2       WC                   CT   Open 2026]])</f>
        <v>1.5625</v>
      </c>
      <c r="J145" s="63">
        <f t="shared" si="12"/>
        <v>0</v>
      </c>
      <c r="K145" s="63">
        <f t="shared" si="13"/>
        <v>0</v>
      </c>
      <c r="L145" s="708" t="s">
        <v>6083</v>
      </c>
      <c r="M145" s="708" t="s">
        <v>6083</v>
      </c>
      <c r="N145" s="708" t="s">
        <v>6083</v>
      </c>
      <c r="O145" s="708"/>
      <c r="P145" s="63"/>
      <c r="Q145" s="189"/>
      <c r="R145" s="189"/>
      <c r="S145" s="189"/>
      <c r="T145" s="63"/>
      <c r="U145" s="114"/>
      <c r="V145" s="63"/>
      <c r="W145" s="708"/>
      <c r="X145" s="400"/>
      <c r="Y145" s="114"/>
      <c r="Z145" s="114"/>
      <c r="AA145" s="63"/>
      <c r="AB145" s="63"/>
      <c r="AC145" s="63"/>
      <c r="AD145" s="114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127"/>
      <c r="AT145" s="708"/>
      <c r="AU145" s="708"/>
    </row>
    <row r="146" spans="1:47">
      <c r="A146" s="136">
        <f>IFERROR(VLOOKUP(Table9[[#This Row],[Player No]],Table11[[#All],[No]:[Age Group]],4,0),"")</f>
        <v>0</v>
      </c>
      <c r="B146" s="61">
        <v>70</v>
      </c>
      <c r="C146" s="77">
        <f t="shared" si="15"/>
        <v>-72</v>
      </c>
      <c r="D146" s="63">
        <f t="shared" si="14"/>
        <v>142</v>
      </c>
      <c r="E146" s="85">
        <v>8162</v>
      </c>
      <c r="F146" s="93" t="str">
        <f>IFERROR(VLOOKUP(Table9[[#This Row],[Player No]],Table11[[No]:[Province]],2,0),"")</f>
        <v>MOHATLI Dipheta</v>
      </c>
      <c r="G146" s="63" t="str">
        <f>IFERROR(VLOOKUP(Table9[[#This Row],[Player No]],Table11[[No]:[Province]],3,0),"")</f>
        <v>LIM</v>
      </c>
      <c r="H146" s="635">
        <v>3.125</v>
      </c>
      <c r="I146" s="789">
        <f>Table9[[#This Row],[Points 2025]]/2+SUM(Table9[[#This Row],[O1  ADMIN 2026]:[P2       WC                   CT   Open 2026]])</f>
        <v>1.5625</v>
      </c>
      <c r="J146" s="63">
        <f t="shared" si="12"/>
        <v>0</v>
      </c>
      <c r="K146" s="63">
        <f t="shared" si="13"/>
        <v>0</v>
      </c>
      <c r="L146" s="708" t="s">
        <v>6083</v>
      </c>
      <c r="M146" s="708" t="s">
        <v>6083</v>
      </c>
      <c r="N146" s="708" t="s">
        <v>6083</v>
      </c>
      <c r="O146" s="708"/>
      <c r="P146" s="63"/>
      <c r="Q146" s="189"/>
      <c r="R146" s="189"/>
      <c r="S146" s="189"/>
      <c r="T146" s="63"/>
      <c r="U146" s="114"/>
      <c r="V146" s="63"/>
      <c r="W146" s="708"/>
      <c r="X146" s="400"/>
      <c r="Y146" s="114"/>
      <c r="Z146" s="114"/>
      <c r="AA146" s="63"/>
      <c r="AB146" s="63"/>
      <c r="AC146" s="63"/>
      <c r="AD146" s="114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127"/>
      <c r="AT146" s="827"/>
      <c r="AU146" s="827"/>
    </row>
    <row r="147" spans="1:47">
      <c r="A147" s="295">
        <f>A146+1</f>
        <v>1</v>
      </c>
      <c r="B147" s="61"/>
      <c r="C147" s="77" t="e">
        <f>+B147-#REF!</f>
        <v>#REF!</v>
      </c>
      <c r="D147" s="63">
        <f t="shared" si="14"/>
        <v>143</v>
      </c>
      <c r="E147" s="772">
        <v>8756</v>
      </c>
      <c r="F147" s="93" t="str">
        <f>IFERROR(VLOOKUP(Table9[[#This Row],[Player No]],Table11[[No]:[Province]],2,0),"")</f>
        <v xml:space="preserve">DAVIDS Rukaya </v>
      </c>
      <c r="G147" s="63" t="str">
        <f>IFERROR(VLOOKUP(Table9[[#This Row],[Player No]],Table11[[No]:[Province]],3,0),"")</f>
        <v>CT</v>
      </c>
      <c r="H147" s="635">
        <v>3</v>
      </c>
      <c r="I147" s="789">
        <f>Table9[[#This Row],[Points 2025]]/2+SUM(Table9[[#This Row],[O1  ADMIN 2026]:[P2       WC                   CT   Open 2026]])</f>
        <v>1.5</v>
      </c>
      <c r="J147" s="63">
        <f t="shared" si="12"/>
        <v>0</v>
      </c>
      <c r="K147" s="154">
        <f t="shared" si="13"/>
        <v>0</v>
      </c>
      <c r="L147" s="827" t="s">
        <v>6083</v>
      </c>
      <c r="M147" s="827" t="s">
        <v>6083</v>
      </c>
      <c r="N147" s="827" t="s">
        <v>6083</v>
      </c>
      <c r="O147" s="827"/>
      <c r="P147" s="63"/>
      <c r="Q147" s="189"/>
      <c r="R147" s="189">
        <v>1</v>
      </c>
      <c r="S147" s="189"/>
      <c r="T147" s="63"/>
      <c r="U147" s="114"/>
      <c r="V147" s="63"/>
      <c r="W147" s="708"/>
      <c r="X147" s="400"/>
      <c r="Y147" s="114"/>
      <c r="Z147" s="114"/>
      <c r="AA147" s="63">
        <v>2</v>
      </c>
      <c r="AB147" s="63"/>
      <c r="AC147" s="63"/>
      <c r="AD147" s="114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127"/>
      <c r="AT147" s="828"/>
      <c r="AU147" s="828"/>
    </row>
    <row r="148" spans="1:47">
      <c r="A148" s="364">
        <f>A147+1</f>
        <v>2</v>
      </c>
      <c r="B148" s="359"/>
      <c r="C148" s="360" t="e">
        <f>+B148-#REF!</f>
        <v>#REF!</v>
      </c>
      <c r="D148" s="63">
        <f t="shared" si="14"/>
        <v>144</v>
      </c>
      <c r="E148" s="623">
        <v>8730</v>
      </c>
      <c r="F148" s="93" t="str">
        <f>IFERROR(VLOOKUP(Table9[[#This Row],[Player No]],Table11[[No]:[Province]],2,0),"")</f>
        <v>NAIDOO Isabella Rose</v>
      </c>
      <c r="G148" s="63" t="str">
        <f>IFERROR(VLOOKUP(Table9[[#This Row],[Player No]],Table11[[No]:[Province]],3,0),"")</f>
        <v>ETTA</v>
      </c>
      <c r="H148" s="635">
        <v>1</v>
      </c>
      <c r="I148" s="831">
        <f>Table9[[#This Row],[Points 2025]]/2+SUM(Table9[[#This Row],[O1  ADMIN 2026]:[P2       WC                   CT   Open 2026]])</f>
        <v>1.5</v>
      </c>
      <c r="J148" s="63">
        <f t="shared" si="12"/>
        <v>1</v>
      </c>
      <c r="K148" s="355">
        <f t="shared" si="13"/>
        <v>0</v>
      </c>
      <c r="L148" s="828" t="s">
        <v>6083</v>
      </c>
      <c r="M148" s="828" t="s">
        <v>6083</v>
      </c>
      <c r="N148" s="828">
        <v>1</v>
      </c>
      <c r="O148" s="828"/>
      <c r="P148" s="361"/>
      <c r="Q148" s="354"/>
      <c r="R148" s="354"/>
      <c r="S148" s="354">
        <v>1</v>
      </c>
      <c r="T148" s="361"/>
      <c r="U148" s="357"/>
      <c r="V148" s="361"/>
      <c r="W148" s="738"/>
      <c r="X148" s="400" t="s">
        <v>4722</v>
      </c>
      <c r="Y148" s="357"/>
      <c r="Z148" s="357"/>
      <c r="AA148" s="361"/>
      <c r="AB148" s="361"/>
      <c r="AC148" s="361"/>
      <c r="AD148" s="357"/>
      <c r="AE148" s="361"/>
      <c r="AF148" s="361"/>
      <c r="AG148" s="361"/>
      <c r="AH148" s="361"/>
      <c r="AI148" s="361"/>
      <c r="AJ148" s="361"/>
      <c r="AK148" s="361"/>
      <c r="AL148" s="361"/>
      <c r="AM148" s="361"/>
      <c r="AN148" s="361"/>
      <c r="AO148" s="395"/>
      <c r="AT148" s="708"/>
      <c r="AU148" s="708"/>
    </row>
    <row r="149" spans="1:47">
      <c r="A149" s="136">
        <f>IFERROR(VLOOKUP(Table9[[#This Row],[Player No]],Table11[[#All],[No]:[Age Group]],4,0),"")</f>
        <v>0</v>
      </c>
      <c r="B149" s="61">
        <v>75</v>
      </c>
      <c r="C149" s="77">
        <f>+B149-D149</f>
        <v>-70</v>
      </c>
      <c r="D149" s="63">
        <f t="shared" si="14"/>
        <v>145</v>
      </c>
      <c r="E149" s="85">
        <v>8075</v>
      </c>
      <c r="F149" s="93" t="str">
        <f>IFERROR(VLOOKUP(Table9[[#This Row],[Player No]],Table11[[No]:[Province]],2,0),"")</f>
        <v>JOHNSON Leandre'</v>
      </c>
      <c r="G149" s="63" t="str">
        <f>IFERROR(VLOOKUP(Table9[[#This Row],[Player No]],Table11[[No]:[Province]],3,0),"")</f>
        <v>CT</v>
      </c>
      <c r="H149" s="635">
        <v>2.75</v>
      </c>
      <c r="I149" s="789">
        <f>Table9[[#This Row],[Points 2025]]/2+SUM(Table9[[#This Row],[O1  ADMIN 2026]:[P2       WC                   CT   Open 2026]])</f>
        <v>1.375</v>
      </c>
      <c r="J149" s="63">
        <f t="shared" si="12"/>
        <v>0</v>
      </c>
      <c r="K149" s="63">
        <f t="shared" si="13"/>
        <v>0</v>
      </c>
      <c r="L149" s="708" t="s">
        <v>6083</v>
      </c>
      <c r="M149" s="708" t="s">
        <v>6083</v>
      </c>
      <c r="N149" s="708" t="s">
        <v>6083</v>
      </c>
      <c r="O149" s="708"/>
      <c r="P149" s="63"/>
      <c r="Q149" s="189"/>
      <c r="R149" s="189"/>
      <c r="S149" s="189"/>
      <c r="T149" s="63"/>
      <c r="U149" s="114"/>
      <c r="V149" s="63"/>
      <c r="W149" s="708"/>
      <c r="X149" s="400"/>
      <c r="Y149" s="114"/>
      <c r="Z149" s="114"/>
      <c r="AA149" s="63"/>
      <c r="AB149" s="63"/>
      <c r="AC149" s="63"/>
      <c r="AD149" s="114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127"/>
      <c r="AT149" s="708"/>
      <c r="AU149" s="708"/>
    </row>
    <row r="150" spans="1:47">
      <c r="A150" s="136">
        <f>IFERROR(VLOOKUP(Table9[[#This Row],[Player No]],Table11[[#All],[No]:[Age Group]],4,0),"")</f>
        <v>0</v>
      </c>
      <c r="B150" s="61">
        <v>80</v>
      </c>
      <c r="C150" s="77">
        <f>+B150-D150</f>
        <v>-66</v>
      </c>
      <c r="D150" s="63">
        <f t="shared" si="14"/>
        <v>146</v>
      </c>
      <c r="E150" s="85">
        <v>8189</v>
      </c>
      <c r="F150" s="93" t="str">
        <f>IFERROR(VLOOKUP(Table9[[#This Row],[Player No]],Table11[[No]:[Province]],2,0),"")</f>
        <v>NDLOVU Nonhlelelo</v>
      </c>
      <c r="G150" s="63" t="str">
        <f>IFERROR(VLOOKUP(Table9[[#This Row],[Player No]],Table11[[No]:[Province]],3,0),"")</f>
        <v>UTH</v>
      </c>
      <c r="H150" s="635">
        <v>2.5</v>
      </c>
      <c r="I150" s="789">
        <f>Table9[[#This Row],[Points 2025]]/2+SUM(Table9[[#This Row],[O1  ADMIN 2026]:[P2       WC                   CT   Open 2026]])</f>
        <v>1.25</v>
      </c>
      <c r="J150" s="63">
        <f t="shared" si="12"/>
        <v>0</v>
      </c>
      <c r="K150" s="63">
        <f t="shared" si="13"/>
        <v>0</v>
      </c>
      <c r="L150" s="708" t="s">
        <v>6083</v>
      </c>
      <c r="M150" s="708" t="s">
        <v>6083</v>
      </c>
      <c r="N150" s="708" t="s">
        <v>6083</v>
      </c>
      <c r="O150" s="708"/>
      <c r="P150" s="63"/>
      <c r="Q150" s="189"/>
      <c r="R150" s="189"/>
      <c r="S150" s="189"/>
      <c r="T150" s="63"/>
      <c r="U150" s="114"/>
      <c r="V150" s="63"/>
      <c r="W150" s="708"/>
      <c r="X150" s="400"/>
      <c r="Y150" s="114"/>
      <c r="Z150" s="114"/>
      <c r="AA150" s="63"/>
      <c r="AB150" s="63"/>
      <c r="AC150" s="63"/>
      <c r="AD150" s="114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127"/>
      <c r="AT150" s="708"/>
      <c r="AU150" s="708"/>
    </row>
    <row r="151" spans="1:47">
      <c r="A151" s="136">
        <f>IFERROR(VLOOKUP(Table9[[#This Row],[Player No]],Table11[[#All],[No]:[Age Group]],4,0),"")</f>
        <v>0</v>
      </c>
      <c r="B151" s="61">
        <v>77</v>
      </c>
      <c r="C151" s="77">
        <f>+B151-D151</f>
        <v>-70</v>
      </c>
      <c r="D151" s="63">
        <f t="shared" si="14"/>
        <v>147</v>
      </c>
      <c r="E151" s="85">
        <v>8273</v>
      </c>
      <c r="F151" s="93" t="str">
        <f>IFERROR(VLOOKUP(Table9[[#This Row],[Player No]],Table11[[No]:[Province]],2,0),"")</f>
        <v xml:space="preserve">KUNENE  Aneliswa  </v>
      </c>
      <c r="G151" s="63" t="str">
        <f>IFERROR(VLOOKUP(Table9[[#This Row],[Player No]],Table11[[No]:[Province]],3,0),"")</f>
        <v>UMZ</v>
      </c>
      <c r="H151" s="635">
        <v>2.5</v>
      </c>
      <c r="I151" s="789">
        <f>Table9[[#This Row],[Points 2025]]/2+SUM(Table9[[#This Row],[O1  ADMIN 2026]:[P2       WC                   CT   Open 2026]])</f>
        <v>1.25</v>
      </c>
      <c r="J151" s="63">
        <f t="shared" si="12"/>
        <v>0</v>
      </c>
      <c r="K151" s="63">
        <f t="shared" si="13"/>
        <v>0</v>
      </c>
      <c r="L151" s="708" t="s">
        <v>6083</v>
      </c>
      <c r="M151" s="708" t="s">
        <v>6083</v>
      </c>
      <c r="N151" s="708" t="s">
        <v>6083</v>
      </c>
      <c r="O151" s="708"/>
      <c r="P151" s="63"/>
      <c r="Q151" s="189"/>
      <c r="R151" s="189"/>
      <c r="S151" s="189"/>
      <c r="T151" s="63"/>
      <c r="U151" s="114"/>
      <c r="V151" s="63"/>
      <c r="W151" s="708"/>
      <c r="X151" s="400"/>
      <c r="Y151" s="114"/>
      <c r="Z151" s="114"/>
      <c r="AA151" s="63"/>
      <c r="AB151" s="63"/>
      <c r="AC151" s="63"/>
      <c r="AD151" s="114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127"/>
      <c r="AT151" s="708"/>
      <c r="AU151" s="708"/>
    </row>
    <row r="152" spans="1:47">
      <c r="A152" s="136">
        <f>IFERROR(VLOOKUP(Table9[[#This Row],[Player No]],Table11[[#All],[No]:[Age Group]],4,0),"")</f>
        <v>0</v>
      </c>
      <c r="B152" s="61"/>
      <c r="C152" s="77"/>
      <c r="D152" s="63">
        <f t="shared" si="14"/>
        <v>148</v>
      </c>
      <c r="E152" s="85">
        <v>8364</v>
      </c>
      <c r="F152" s="93" t="str">
        <f>IFERROR(VLOOKUP(Table9[[#This Row],[Player No]],Table11[[No]:[Province]],2,0),"")</f>
        <v>LEHLOO Tshepiso</v>
      </c>
      <c r="G152" s="63" t="str">
        <f>IFERROR(VLOOKUP(Table9[[#This Row],[Player No]],Table11[[No]:[Province]],3,0),"")</f>
        <v>NW</v>
      </c>
      <c r="H152" s="635">
        <v>2.5</v>
      </c>
      <c r="I152" s="789">
        <f>Table9[[#This Row],[Points 2025]]/2+SUM(Table9[[#This Row],[O1  ADMIN 2026]:[P2       WC                   CT   Open 2026]])</f>
        <v>1.25</v>
      </c>
      <c r="J152" s="63">
        <f t="shared" si="12"/>
        <v>0</v>
      </c>
      <c r="K152" s="63">
        <f t="shared" si="13"/>
        <v>0</v>
      </c>
      <c r="L152" s="708" t="s">
        <v>6083</v>
      </c>
      <c r="M152" s="708" t="s">
        <v>6083</v>
      </c>
      <c r="N152" s="708" t="s">
        <v>6083</v>
      </c>
      <c r="O152" s="708"/>
      <c r="P152" s="63"/>
      <c r="Q152" s="189"/>
      <c r="R152" s="189"/>
      <c r="S152" s="189"/>
      <c r="T152" s="63"/>
      <c r="U152" s="114"/>
      <c r="V152" s="63"/>
      <c r="W152" s="708"/>
      <c r="X152" s="400"/>
      <c r="Y152" s="114"/>
      <c r="Z152" s="114"/>
      <c r="AA152" s="63"/>
      <c r="AB152" s="63"/>
      <c r="AC152" s="63"/>
      <c r="AD152" s="114"/>
      <c r="AE152" s="63"/>
      <c r="AF152" s="63"/>
      <c r="AG152" s="63"/>
      <c r="AH152" s="63"/>
      <c r="AI152" s="63"/>
      <c r="AJ152" s="63">
        <v>5</v>
      </c>
      <c r="AK152" s="63"/>
      <c r="AL152" s="63"/>
      <c r="AM152" s="63"/>
      <c r="AN152" s="63"/>
      <c r="AO152" s="127"/>
      <c r="AT152" s="708"/>
      <c r="AU152" s="708"/>
    </row>
    <row r="153" spans="1:47">
      <c r="A153" s="136">
        <f>IFERROR(VLOOKUP(Table9[[#This Row],[Player No]],Table11[[#All],[No]:[Age Group]],4,0),"")</f>
        <v>0</v>
      </c>
      <c r="B153" s="61"/>
      <c r="C153" s="77"/>
      <c r="D153" s="63">
        <f t="shared" si="14"/>
        <v>149</v>
      </c>
      <c r="E153" s="85">
        <v>8366</v>
      </c>
      <c r="F153" s="93" t="str">
        <f>IFERROR(VLOOKUP(Table9[[#This Row],[Player No]],Table11[[No]:[Province]],2,0),"")</f>
        <v>SEBOPEL Keletso</v>
      </c>
      <c r="G153" s="63" t="str">
        <f>IFERROR(VLOOKUP(Table9[[#This Row],[Player No]],Table11[[No]:[Province]],3,0),"")</f>
        <v>NW</v>
      </c>
      <c r="H153" s="635">
        <v>2.5</v>
      </c>
      <c r="I153" s="789">
        <f>Table9[[#This Row],[Points 2025]]/2+SUM(Table9[[#This Row],[O1  ADMIN 2026]:[P2       WC                   CT   Open 2026]])</f>
        <v>1.25</v>
      </c>
      <c r="J153" s="63">
        <f t="shared" si="12"/>
        <v>0</v>
      </c>
      <c r="K153" s="63">
        <f t="shared" si="13"/>
        <v>0</v>
      </c>
      <c r="L153" s="708" t="s">
        <v>6083</v>
      </c>
      <c r="M153" s="708" t="s">
        <v>6083</v>
      </c>
      <c r="N153" s="708" t="s">
        <v>6083</v>
      </c>
      <c r="O153" s="708"/>
      <c r="P153" s="63"/>
      <c r="Q153" s="189"/>
      <c r="R153" s="189"/>
      <c r="S153" s="189"/>
      <c r="T153" s="63"/>
      <c r="U153" s="114"/>
      <c r="V153" s="63"/>
      <c r="W153" s="708"/>
      <c r="X153" s="400"/>
      <c r="Y153" s="114"/>
      <c r="Z153" s="114"/>
      <c r="AA153" s="63"/>
      <c r="AB153" s="63"/>
      <c r="AC153" s="63"/>
      <c r="AD153" s="114"/>
      <c r="AE153" s="63"/>
      <c r="AF153" s="63"/>
      <c r="AG153" s="63"/>
      <c r="AH153" s="63"/>
      <c r="AI153" s="63"/>
      <c r="AJ153" s="63">
        <v>5</v>
      </c>
      <c r="AK153" s="63"/>
      <c r="AL153" s="63"/>
      <c r="AM153" s="63"/>
      <c r="AN153" s="63"/>
      <c r="AO153" s="127"/>
      <c r="AT153" s="708"/>
      <c r="AU153" s="708"/>
    </row>
    <row r="154" spans="1:47">
      <c r="A154" s="136" t="str">
        <f>IFERROR(VLOOKUP(Table9[[#This Row],[Player No]],Table11[[#All],[No]:[Age Group]],4,0),"")</f>
        <v>U13</v>
      </c>
      <c r="B154" s="61"/>
      <c r="C154" s="77"/>
      <c r="D154" s="63">
        <f t="shared" si="14"/>
        <v>150</v>
      </c>
      <c r="E154" s="85">
        <v>8425</v>
      </c>
      <c r="F154" s="93" t="str">
        <f>IFERROR(VLOOKUP(Table9[[#This Row],[Player No]],Table11[[No]:[Province]],2,0),"")</f>
        <v>MADUNA  Thandeka</v>
      </c>
      <c r="G154" s="63" t="str">
        <f>IFERROR(VLOOKUP(Table9[[#This Row],[Player No]],Table11[[No]:[Province]],3,0),"")</f>
        <v>GN</v>
      </c>
      <c r="H154" s="635">
        <v>2.5</v>
      </c>
      <c r="I154" s="789">
        <f>Table9[[#This Row],[Points 2025]]/2+SUM(Table9[[#This Row],[O1  ADMIN 2026]:[P2       WC                   CT   Open 2026]])</f>
        <v>1.25</v>
      </c>
      <c r="J154" s="63">
        <f t="shared" si="12"/>
        <v>0</v>
      </c>
      <c r="K154" s="63">
        <f t="shared" si="13"/>
        <v>0</v>
      </c>
      <c r="L154" s="708" t="s">
        <v>6083</v>
      </c>
      <c r="M154" s="708" t="s">
        <v>6083</v>
      </c>
      <c r="N154" s="708" t="s">
        <v>6083</v>
      </c>
      <c r="O154" s="708"/>
      <c r="P154" s="63"/>
      <c r="Q154" s="189"/>
      <c r="R154" s="189"/>
      <c r="S154" s="189"/>
      <c r="T154" s="63"/>
      <c r="U154" s="114"/>
      <c r="V154" s="63"/>
      <c r="W154" s="708"/>
      <c r="X154" s="400"/>
      <c r="Y154" s="114"/>
      <c r="Z154" s="114"/>
      <c r="AA154" s="63"/>
      <c r="AB154" s="63"/>
      <c r="AC154" s="63"/>
      <c r="AD154" s="114"/>
      <c r="AE154" s="63"/>
      <c r="AF154" s="63"/>
      <c r="AG154" s="63"/>
      <c r="AH154" s="63"/>
      <c r="AI154" s="63"/>
      <c r="AJ154" s="63">
        <v>5</v>
      </c>
      <c r="AK154" s="63"/>
      <c r="AL154" s="63"/>
      <c r="AM154" s="63"/>
      <c r="AN154" s="63"/>
      <c r="AO154" s="127"/>
      <c r="AT154" s="708"/>
      <c r="AU154" s="708"/>
    </row>
    <row r="155" spans="1:47">
      <c r="A155" s="136" t="str">
        <f>IFERROR(VLOOKUP(Table9[[#This Row],[Player No]],Table11[[#All],[No]:[Age Group]],4,0),"")</f>
        <v>U13</v>
      </c>
      <c r="B155" s="61"/>
      <c r="C155" s="77"/>
      <c r="D155" s="63">
        <f t="shared" si="14"/>
        <v>151</v>
      </c>
      <c r="E155" s="85">
        <v>8446</v>
      </c>
      <c r="F155" s="93" t="str">
        <f>IFERROR(VLOOKUP(Table9[[#This Row],[Player No]],Table11[[No]:[Province]],2,0),"")</f>
        <v>RAMCHURRAN Leora</v>
      </c>
      <c r="G155" s="63" t="str">
        <f>IFERROR(VLOOKUP(Table9[[#This Row],[Player No]],Table11[[No]:[Province]],3,0),"")</f>
        <v>UMG</v>
      </c>
      <c r="H155" s="635">
        <v>2.5</v>
      </c>
      <c r="I155" s="789">
        <f>Table9[[#This Row],[Points 2025]]/2+SUM(Table9[[#This Row],[O1  ADMIN 2026]:[P2       WC                   CT   Open 2026]])</f>
        <v>1.25</v>
      </c>
      <c r="J155" s="63">
        <f t="shared" si="12"/>
        <v>0</v>
      </c>
      <c r="K155" s="63">
        <f t="shared" si="13"/>
        <v>0</v>
      </c>
      <c r="L155" s="708" t="s">
        <v>6083</v>
      </c>
      <c r="M155" s="708" t="s">
        <v>6083</v>
      </c>
      <c r="N155" s="708" t="s">
        <v>6083</v>
      </c>
      <c r="O155" s="708"/>
      <c r="P155" s="63"/>
      <c r="Q155" s="189"/>
      <c r="R155" s="189"/>
      <c r="S155" s="189"/>
      <c r="T155" s="63"/>
      <c r="U155" s="114"/>
      <c r="V155" s="63"/>
      <c r="W155" s="708"/>
      <c r="X155" s="400"/>
      <c r="Y155" s="114"/>
      <c r="Z155" s="114"/>
      <c r="AA155" s="63"/>
      <c r="AB155" s="63"/>
      <c r="AC155" s="63"/>
      <c r="AD155" s="114"/>
      <c r="AE155" s="63"/>
      <c r="AF155" s="63"/>
      <c r="AG155" s="63"/>
      <c r="AH155" s="63"/>
      <c r="AI155" s="63"/>
      <c r="AJ155" s="63">
        <v>5</v>
      </c>
      <c r="AK155" s="63"/>
      <c r="AL155" s="63"/>
      <c r="AM155" s="63"/>
      <c r="AN155" s="63"/>
      <c r="AO155" s="127"/>
      <c r="AT155" s="708"/>
      <c r="AU155" s="708"/>
    </row>
    <row r="156" spans="1:47">
      <c r="A156" s="136" t="str">
        <f>IFERROR(VLOOKUP(Table9[[#This Row],[Player No]],Table11[[#All],[No]:[Age Group]],4,0),"")</f>
        <v>U13</v>
      </c>
      <c r="B156" s="113"/>
      <c r="C156" s="115"/>
      <c r="D156" s="63">
        <f t="shared" si="14"/>
        <v>152</v>
      </c>
      <c r="E156" s="114">
        <v>8458</v>
      </c>
      <c r="F156" s="93" t="str">
        <f>IFERROR(VLOOKUP(Table9[[#This Row],[Player No]],Table11[[No]:[Province]],2,0),"")</f>
        <v>MPATA Keabetswe</v>
      </c>
      <c r="G156" s="63" t="str">
        <f>IFERROR(VLOOKUP(Table9[[#This Row],[Player No]],Table11[[No]:[Province]],3,0),"")</f>
        <v>FS</v>
      </c>
      <c r="H156" s="635">
        <v>2.5</v>
      </c>
      <c r="I156" s="789">
        <f>Table9[[#This Row],[Points 2025]]/2+SUM(Table9[[#This Row],[O1  ADMIN 2026]:[P2       WC                   CT   Open 2026]])</f>
        <v>1.25</v>
      </c>
      <c r="J156" s="63">
        <f t="shared" si="12"/>
        <v>0</v>
      </c>
      <c r="K156" s="114">
        <f t="shared" si="13"/>
        <v>0</v>
      </c>
      <c r="L156" s="708" t="s">
        <v>6083</v>
      </c>
      <c r="M156" s="708" t="s">
        <v>6083</v>
      </c>
      <c r="N156" s="708" t="s">
        <v>6083</v>
      </c>
      <c r="O156" s="708"/>
      <c r="P156" s="114"/>
      <c r="Q156" s="189"/>
      <c r="R156" s="189"/>
      <c r="S156" s="189"/>
      <c r="T156" s="114"/>
      <c r="U156" s="114"/>
      <c r="V156" s="114"/>
      <c r="W156" s="708"/>
      <c r="X156" s="400">
        <v>0</v>
      </c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>
        <v>5</v>
      </c>
      <c r="AK156" s="114"/>
      <c r="AL156" s="114"/>
      <c r="AM156" s="114"/>
      <c r="AN156" s="114"/>
      <c r="AO156" s="127"/>
      <c r="AT156" s="827"/>
      <c r="AU156" s="827"/>
    </row>
    <row r="157" spans="1:47">
      <c r="A157" s="295" t="e">
        <f>A156+1</f>
        <v>#VALUE!</v>
      </c>
      <c r="B157" s="113"/>
      <c r="C157" s="115" t="e">
        <f>+B157-#REF!</f>
        <v>#REF!</v>
      </c>
      <c r="D157" s="63">
        <f t="shared" si="14"/>
        <v>153</v>
      </c>
      <c r="E157" s="330">
        <v>8716</v>
      </c>
      <c r="F157" s="93" t="str">
        <f>IFERROR(VLOOKUP(Table9[[#This Row],[Player No]],Table11[[No]:[Province]],2,0),"")</f>
        <v xml:space="preserve">MUSINGUZI Shivan </v>
      </c>
      <c r="G157" s="63" t="str">
        <f>IFERROR(VLOOKUP(Table9[[#This Row],[Player No]],Table11[[No]:[Province]],3,0),"")</f>
        <v>CT</v>
      </c>
      <c r="H157" s="635">
        <v>2.5</v>
      </c>
      <c r="I157" s="789">
        <f>Table9[[#This Row],[Points 2025]]/2+SUM(Table9[[#This Row],[O1  ADMIN 2026]:[P2       WC                   CT   Open 2026]])</f>
        <v>1.25</v>
      </c>
      <c r="J157" s="63">
        <f t="shared" si="12"/>
        <v>0</v>
      </c>
      <c r="K157" s="330">
        <f t="shared" si="13"/>
        <v>0</v>
      </c>
      <c r="L157" s="827" t="s">
        <v>6083</v>
      </c>
      <c r="M157" s="827" t="s">
        <v>6083</v>
      </c>
      <c r="N157" s="827" t="s">
        <v>6083</v>
      </c>
      <c r="O157" s="827"/>
      <c r="P157" s="114"/>
      <c r="Q157" s="189"/>
      <c r="R157" s="189"/>
      <c r="S157" s="189"/>
      <c r="T157" s="114"/>
      <c r="U157" s="114"/>
      <c r="V157" s="114"/>
      <c r="W157" s="708"/>
      <c r="X157" s="400"/>
      <c r="Y157" s="114">
        <v>0.5</v>
      </c>
      <c r="Z157" s="114"/>
      <c r="AA157" s="114">
        <v>2</v>
      </c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27"/>
      <c r="AT157" s="708"/>
      <c r="AU157" s="708"/>
    </row>
    <row r="158" spans="1:47">
      <c r="A158" s="608" t="e">
        <f>#REF!+1</f>
        <v>#REF!</v>
      </c>
      <c r="B158" s="345"/>
      <c r="C158" s="380" t="e">
        <f>+B158-#REF!</f>
        <v>#REF!</v>
      </c>
      <c r="D158" s="63">
        <f t="shared" si="14"/>
        <v>154</v>
      </c>
      <c r="E158" s="621">
        <v>8671</v>
      </c>
      <c r="F158" s="93" t="str">
        <f>IFERROR(VLOOKUP(Table9[[#This Row],[Player No]],Table11[[No]:[Province]],2,0),"")</f>
        <v>Boitumelo PHELEU</v>
      </c>
      <c r="G158" s="63" t="str">
        <f>IFERROR(VLOOKUP(Table9[[#This Row],[Player No]],Table11[[No]:[Province]],3,0),"")</f>
        <v>EKU</v>
      </c>
      <c r="H158" s="635">
        <v>2</v>
      </c>
      <c r="I158" s="821">
        <f>Table9[[#This Row],[Points 2025]]/2+SUM(Table9[[#This Row],[O1  ADMIN 2026]:[P2       WC                   CT   Open 2026]])</f>
        <v>1</v>
      </c>
      <c r="J158" s="63">
        <f t="shared" si="12"/>
        <v>0</v>
      </c>
      <c r="K158" s="114">
        <f t="shared" si="13"/>
        <v>0</v>
      </c>
      <c r="L158" s="708" t="s">
        <v>6083</v>
      </c>
      <c r="M158" s="708" t="s">
        <v>6083</v>
      </c>
      <c r="N158" s="708" t="s">
        <v>6083</v>
      </c>
      <c r="O158" s="708"/>
      <c r="P158" s="318"/>
      <c r="Q158" s="294"/>
      <c r="R158" s="294"/>
      <c r="S158" s="294"/>
      <c r="T158" s="318"/>
      <c r="U158" s="318"/>
      <c r="V158" s="318"/>
      <c r="W158" s="713"/>
      <c r="X158" s="402"/>
      <c r="Y158" s="318"/>
      <c r="Z158" s="318"/>
      <c r="AA158" s="318"/>
      <c r="AB158" s="318">
        <v>1</v>
      </c>
      <c r="AC158" s="318"/>
      <c r="AD158" s="318"/>
      <c r="AE158" s="318">
        <v>1</v>
      </c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609"/>
      <c r="AT158" s="708"/>
      <c r="AU158" s="708"/>
    </row>
    <row r="159" spans="1:47">
      <c r="A159" s="295" t="e">
        <f>A158+1</f>
        <v>#REF!</v>
      </c>
      <c r="B159" s="113"/>
      <c r="C159" s="115" t="e">
        <f>+B159-#REF!</f>
        <v>#REF!</v>
      </c>
      <c r="D159" s="63">
        <f t="shared" si="14"/>
        <v>155</v>
      </c>
      <c r="E159" s="330">
        <v>8678</v>
      </c>
      <c r="F159" s="93" t="str">
        <f>IFERROR(VLOOKUP(Table9[[#This Row],[Player No]],Table11[[No]:[Province]],2,0),"")</f>
        <v>BULL .H</v>
      </c>
      <c r="G159" s="63" t="str">
        <f>IFERROR(VLOOKUP(Table9[[#This Row],[Player No]],Table11[[No]:[Province]],3,0),"")</f>
        <v>UMG</v>
      </c>
      <c r="H159" s="635">
        <v>2</v>
      </c>
      <c r="I159" s="789">
        <f>Table9[[#This Row],[Points 2025]]/2+SUM(Table9[[#This Row],[O1  ADMIN 2026]:[P2       WC                   CT   Open 2026]])</f>
        <v>1</v>
      </c>
      <c r="J159" s="63">
        <f t="shared" si="12"/>
        <v>0</v>
      </c>
      <c r="K159" s="114">
        <f t="shared" si="13"/>
        <v>0</v>
      </c>
      <c r="L159" s="708" t="s">
        <v>6083</v>
      </c>
      <c r="M159" s="708" t="s">
        <v>6083</v>
      </c>
      <c r="N159" s="708" t="s">
        <v>6083</v>
      </c>
      <c r="O159" s="708"/>
      <c r="P159" s="114">
        <v>2</v>
      </c>
      <c r="Q159" s="189"/>
      <c r="R159" s="189"/>
      <c r="S159" s="189"/>
      <c r="T159" s="114"/>
      <c r="U159" s="114"/>
      <c r="V159" s="114"/>
      <c r="W159" s="708"/>
      <c r="X159" s="400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27"/>
      <c r="AT159" s="834"/>
      <c r="AU159" s="834"/>
    </row>
    <row r="160" spans="1:47">
      <c r="A160" s="769" t="e">
        <f>A159+1</f>
        <v>#REF!</v>
      </c>
      <c r="B160" s="1098"/>
      <c r="C160" s="669" t="e">
        <f>+B160-#REF!</f>
        <v>#REF!</v>
      </c>
      <c r="D160" s="63">
        <f t="shared" si="14"/>
        <v>156</v>
      </c>
      <c r="E160" s="1100">
        <v>8757</v>
      </c>
      <c r="F160" s="93" t="str">
        <f>IFERROR(VLOOKUP(Table9[[#This Row],[Player No]],Table11[[No]:[Province]],2,0),"")</f>
        <v xml:space="preserve">DE BRUYN Mishkah </v>
      </c>
      <c r="G160" s="63" t="str">
        <f>IFERROR(VLOOKUP(Table9[[#This Row],[Player No]],Table11[[No]:[Province]],3,0),"")</f>
        <v>CT</v>
      </c>
      <c r="H160" s="635">
        <v>2</v>
      </c>
      <c r="I160" s="763">
        <f>Table9[[#This Row],[Points 2025]]/2+SUM(Table9[[#This Row],[O1  ADMIN 2026]:[P2       WC                   CT   Open 2026]])</f>
        <v>1</v>
      </c>
      <c r="J160" s="63">
        <f t="shared" si="12"/>
        <v>0</v>
      </c>
      <c r="K160" s="1100">
        <f t="shared" si="13"/>
        <v>0</v>
      </c>
      <c r="L160" s="835" t="s">
        <v>6083</v>
      </c>
      <c r="M160" s="835" t="s">
        <v>6083</v>
      </c>
      <c r="N160" s="835" t="s">
        <v>6083</v>
      </c>
      <c r="O160" s="835"/>
      <c r="P160" s="387"/>
      <c r="Q160" s="387"/>
      <c r="R160" s="387"/>
      <c r="S160" s="387"/>
      <c r="T160" s="387"/>
      <c r="U160" s="387"/>
      <c r="V160" s="387"/>
      <c r="W160" s="426"/>
      <c r="X160" s="417"/>
      <c r="Y160" s="387"/>
      <c r="Z160" s="387"/>
      <c r="AA160" s="387">
        <v>2</v>
      </c>
      <c r="AB160" s="387"/>
      <c r="AC160" s="387"/>
      <c r="AD160" s="387"/>
      <c r="AE160" s="387"/>
      <c r="AF160" s="387"/>
      <c r="AG160" s="387"/>
      <c r="AH160" s="387"/>
      <c r="AI160" s="387"/>
      <c r="AJ160" s="387"/>
      <c r="AK160" s="387"/>
      <c r="AL160" s="387"/>
      <c r="AM160" s="387"/>
      <c r="AN160" s="387"/>
      <c r="AO160" s="776"/>
      <c r="AT160" s="442"/>
      <c r="AU160" s="736"/>
    </row>
    <row r="161" spans="1:47">
      <c r="A161" s="135">
        <f>IFERROR(VLOOKUP(Table9[[#This Row],[Player No]],Table11[[#All],[No]:[Age Group]],4,0),"")</f>
        <v>0</v>
      </c>
      <c r="B161" s="190">
        <v>81</v>
      </c>
      <c r="C161" s="195">
        <f>+B161-D161</f>
        <v>-76</v>
      </c>
      <c r="D161" s="63">
        <f t="shared" si="14"/>
        <v>157</v>
      </c>
      <c r="E161" s="189">
        <v>8254</v>
      </c>
      <c r="F161" s="93" t="str">
        <f>IFERROR(VLOOKUP(Table9[[#This Row],[Player No]],Table11[[No]:[Province]],2,0),"")</f>
        <v>ALI Nuralhuda</v>
      </c>
      <c r="G161" s="63" t="str">
        <f>IFERROR(VLOOKUP(Table9[[#This Row],[Player No]],Table11[[No]:[Province]],3,0),"")</f>
        <v>JTTA</v>
      </c>
      <c r="H161" s="635">
        <v>1.875</v>
      </c>
      <c r="I161" s="661">
        <f>Table9[[#This Row],[Points 2025]]/2+SUM(Table9[[#This Row],[O1  ADMIN 2026]:[P2       WC                   CT   Open 2026]])</f>
        <v>0.9375</v>
      </c>
      <c r="J161" s="63">
        <f t="shared" si="12"/>
        <v>0</v>
      </c>
      <c r="K161" s="189">
        <f t="shared" si="13"/>
        <v>0</v>
      </c>
      <c r="L161" s="442" t="s">
        <v>6083</v>
      </c>
      <c r="M161" s="442" t="s">
        <v>6083</v>
      </c>
      <c r="N161" s="442" t="s">
        <v>6083</v>
      </c>
      <c r="O161" s="442"/>
      <c r="P161" s="189"/>
      <c r="Q161" s="189"/>
      <c r="R161" s="189"/>
      <c r="S161" s="189"/>
      <c r="T161" s="189"/>
      <c r="U161" s="189"/>
      <c r="V161" s="189"/>
      <c r="W161" s="442"/>
      <c r="X161" s="401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34"/>
      <c r="AT161" s="442"/>
      <c r="AU161" s="442"/>
    </row>
    <row r="162" spans="1:47">
      <c r="A162" s="135">
        <f>IFERROR(VLOOKUP(Table9[[#This Row],[Player No]],Table11[[#All],[No]:[Age Group]],4,0),"")</f>
        <v>0</v>
      </c>
      <c r="B162" s="190">
        <v>112</v>
      </c>
      <c r="C162" s="195">
        <f>+B162-D162</f>
        <v>-46</v>
      </c>
      <c r="D162" s="63">
        <f t="shared" si="14"/>
        <v>158</v>
      </c>
      <c r="E162" s="189">
        <v>8395</v>
      </c>
      <c r="F162" s="93" t="str">
        <f>IFERROR(VLOOKUP(Table9[[#This Row],[Player No]],Table11[[No]:[Province]],2,0),"")</f>
        <v>Tamzin Human</v>
      </c>
      <c r="G162" s="63" t="str">
        <f>IFERROR(VLOOKUP(Table9[[#This Row],[Player No]],Table11[[No]:[Province]],3,0),"")</f>
        <v>CW</v>
      </c>
      <c r="H162" s="635">
        <v>1.625</v>
      </c>
      <c r="I162" s="661">
        <f>Table9[[#This Row],[Points 2025]]/2+SUM(Table9[[#This Row],[O1  ADMIN 2026]:[P2       WC                   CT   Open 2026]])</f>
        <v>0.8125</v>
      </c>
      <c r="J162" s="63">
        <f t="shared" si="12"/>
        <v>0</v>
      </c>
      <c r="K162" s="189">
        <f t="shared" si="13"/>
        <v>0</v>
      </c>
      <c r="L162" s="442" t="s">
        <v>6083</v>
      </c>
      <c r="M162" s="442" t="s">
        <v>6083</v>
      </c>
      <c r="N162" s="442" t="s">
        <v>6083</v>
      </c>
      <c r="O162" s="442"/>
      <c r="P162" s="189"/>
      <c r="Q162" s="189"/>
      <c r="R162" s="189"/>
      <c r="S162" s="189"/>
      <c r="T162" s="189"/>
      <c r="U162" s="189"/>
      <c r="V162" s="189"/>
      <c r="W162" s="442"/>
      <c r="X162" s="401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>
        <v>1</v>
      </c>
      <c r="AI162" s="189">
        <v>2</v>
      </c>
      <c r="AJ162" s="189"/>
      <c r="AK162" s="189"/>
      <c r="AL162" s="189"/>
      <c r="AM162" s="189"/>
      <c r="AN162" s="189"/>
      <c r="AO162" s="134"/>
      <c r="AT162" s="442"/>
      <c r="AU162" s="442"/>
    </row>
    <row r="163" spans="1:47">
      <c r="A163" s="135">
        <f>IFERROR(VLOOKUP(Table9[[#This Row],[Player No]],Table11[[#All],[No]:[Age Group]],4,0),"")</f>
        <v>0</v>
      </c>
      <c r="B163" s="190">
        <v>112</v>
      </c>
      <c r="C163" s="195">
        <f>+B163-D163</f>
        <v>-47</v>
      </c>
      <c r="D163" s="63">
        <f t="shared" si="14"/>
        <v>159</v>
      </c>
      <c r="E163" s="189">
        <v>8355</v>
      </c>
      <c r="F163" s="93" t="str">
        <f>IFERROR(VLOOKUP(Table9[[#This Row],[Player No]],Table11[[No]:[Province]],2,0),"")</f>
        <v>SWARTS Ledinia</v>
      </c>
      <c r="G163" s="63" t="str">
        <f>IFERROR(VLOOKUP(Table9[[#This Row],[Player No]],Table11[[No]:[Province]],3,0),"")</f>
        <v>CW</v>
      </c>
      <c r="H163" s="635">
        <v>1.125</v>
      </c>
      <c r="I163" s="661">
        <f>Table9[[#This Row],[Points 2025]]/2+SUM(Table9[[#This Row],[O1  ADMIN 2026]:[P2       WC                   CT   Open 2026]])</f>
        <v>0.5625</v>
      </c>
      <c r="J163" s="63">
        <f t="shared" si="12"/>
        <v>0</v>
      </c>
      <c r="K163" s="189">
        <f t="shared" si="13"/>
        <v>0</v>
      </c>
      <c r="L163" s="442" t="s">
        <v>6083</v>
      </c>
      <c r="M163" s="442" t="s">
        <v>6083</v>
      </c>
      <c r="N163" s="442" t="s">
        <v>6083</v>
      </c>
      <c r="O163" s="442"/>
      <c r="P163" s="189"/>
      <c r="Q163" s="189"/>
      <c r="R163" s="189"/>
      <c r="S163" s="189"/>
      <c r="T163" s="189"/>
      <c r="U163" s="189"/>
      <c r="V163" s="189"/>
      <c r="W163" s="442"/>
      <c r="X163" s="401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>
        <v>2</v>
      </c>
      <c r="AJ163" s="189"/>
      <c r="AK163" s="189"/>
      <c r="AL163" s="189"/>
      <c r="AM163" s="189"/>
      <c r="AN163" s="189"/>
      <c r="AO163" s="134"/>
      <c r="AT163" s="442"/>
      <c r="AU163" s="442"/>
    </row>
    <row r="164" spans="1:47">
      <c r="A164" s="135">
        <f>IFERROR(VLOOKUP(Table9[[#This Row],[Player No]],Table11[[#All],[No]:[Age Group]],4,0),"")</f>
        <v>0</v>
      </c>
      <c r="B164" s="190"/>
      <c r="C164" s="195"/>
      <c r="D164" s="63">
        <f t="shared" si="14"/>
        <v>160</v>
      </c>
      <c r="E164" s="671">
        <v>8573</v>
      </c>
      <c r="F164" s="93" t="str">
        <f>IFERROR(VLOOKUP(Table9[[#This Row],[Player No]],Table11[[No]:[Province]],2,0),"")</f>
        <v>Hassanah Arbee</v>
      </c>
      <c r="G164" s="63" t="str">
        <f>IFERROR(VLOOKUP(Table9[[#This Row],[Player No]],Table11[[No]:[Province]],3,0),"")</f>
        <v>UMG</v>
      </c>
      <c r="H164" s="635">
        <v>1</v>
      </c>
      <c r="I164" s="661">
        <f>Table9[[#This Row],[Points 2025]]/2+SUM(Table9[[#This Row],[O1  ADMIN 2026]:[P2       WC                   CT   Open 2026]])</f>
        <v>0.5</v>
      </c>
      <c r="J164" s="63">
        <f t="shared" si="12"/>
        <v>0</v>
      </c>
      <c r="K164" s="189">
        <f t="shared" si="13"/>
        <v>0</v>
      </c>
      <c r="L164" s="442" t="s">
        <v>6083</v>
      </c>
      <c r="M164" s="442" t="s">
        <v>6083</v>
      </c>
      <c r="N164" s="442" t="s">
        <v>6083</v>
      </c>
      <c r="O164" s="442"/>
      <c r="P164" s="189"/>
      <c r="Q164" s="189"/>
      <c r="R164" s="189"/>
      <c r="S164" s="189"/>
      <c r="T164" s="189">
        <v>1</v>
      </c>
      <c r="U164" s="189"/>
      <c r="V164" s="189"/>
      <c r="W164" s="442"/>
      <c r="X164" s="401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34"/>
      <c r="AT164" s="442"/>
      <c r="AU164" s="442"/>
    </row>
    <row r="165" spans="1:47">
      <c r="A165" s="180">
        <f t="shared" ref="A165:A170" si="16">A164+1</f>
        <v>1</v>
      </c>
      <c r="B165" s="190"/>
      <c r="C165" s="195">
        <f>+B165-D165</f>
        <v>-161</v>
      </c>
      <c r="D165" s="63">
        <f t="shared" si="14"/>
        <v>161</v>
      </c>
      <c r="E165" s="293">
        <v>8598</v>
      </c>
      <c r="F165" s="93" t="str">
        <f>IFERROR(VLOOKUP(Table9[[#This Row],[Player No]],Table11[[No]:[Province]],2,0),"")</f>
        <v xml:space="preserve">R Ntombela </v>
      </c>
      <c r="G165" s="63" t="str">
        <f>IFERROR(VLOOKUP(Table9[[#This Row],[Player No]],Table11[[No]:[Province]],3,0),"")</f>
        <v>FS</v>
      </c>
      <c r="H165" s="635">
        <v>1</v>
      </c>
      <c r="I165" s="661">
        <f>Table9[[#This Row],[Points 2025]]/2+SUM(Table9[[#This Row],[O1  ADMIN 2026]:[P2       WC                   CT   Open 2026]])</f>
        <v>0.5</v>
      </c>
      <c r="J165" s="63">
        <f t="shared" si="12"/>
        <v>0</v>
      </c>
      <c r="K165" s="189">
        <f t="shared" si="13"/>
        <v>0</v>
      </c>
      <c r="L165" s="442" t="s">
        <v>6083</v>
      </c>
      <c r="M165" s="442" t="s">
        <v>6083</v>
      </c>
      <c r="N165" s="442" t="s">
        <v>6083</v>
      </c>
      <c r="O165" s="442"/>
      <c r="P165" s="189"/>
      <c r="Q165" s="189"/>
      <c r="R165" s="189"/>
      <c r="S165" s="189"/>
      <c r="T165" s="189"/>
      <c r="U165" s="189"/>
      <c r="V165" s="189">
        <v>1</v>
      </c>
      <c r="W165" s="442"/>
      <c r="X165" s="401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34"/>
      <c r="AT165" s="442"/>
      <c r="AU165" s="442"/>
    </row>
    <row r="166" spans="1:47">
      <c r="A166" s="180">
        <f t="shared" si="16"/>
        <v>2</v>
      </c>
      <c r="B166" s="190"/>
      <c r="C166" s="195">
        <f>+B166-D166</f>
        <v>-162</v>
      </c>
      <c r="D166" s="63">
        <f t="shared" si="14"/>
        <v>162</v>
      </c>
      <c r="E166" s="293">
        <v>8599</v>
      </c>
      <c r="F166" s="93" t="str">
        <f>IFERROR(VLOOKUP(Table9[[#This Row],[Player No]],Table11[[No]:[Province]],2,0),"")</f>
        <v xml:space="preserve">O Mokoari </v>
      </c>
      <c r="G166" s="63" t="str">
        <f>IFERROR(VLOOKUP(Table9[[#This Row],[Player No]],Table11[[No]:[Province]],3,0),"")</f>
        <v>FS</v>
      </c>
      <c r="H166" s="635">
        <v>1</v>
      </c>
      <c r="I166" s="661">
        <f>Table9[[#This Row],[Points 2025]]/2+SUM(Table9[[#This Row],[O1  ADMIN 2026]:[P2       WC                   CT   Open 2026]])</f>
        <v>0.5</v>
      </c>
      <c r="J166" s="63">
        <f t="shared" si="12"/>
        <v>0</v>
      </c>
      <c r="K166" s="189">
        <f t="shared" si="13"/>
        <v>0</v>
      </c>
      <c r="L166" s="442" t="s">
        <v>6083</v>
      </c>
      <c r="M166" s="442" t="s">
        <v>6083</v>
      </c>
      <c r="N166" s="442" t="s">
        <v>6083</v>
      </c>
      <c r="O166" s="442"/>
      <c r="P166" s="189"/>
      <c r="Q166" s="189"/>
      <c r="R166" s="189"/>
      <c r="S166" s="189"/>
      <c r="T166" s="189"/>
      <c r="U166" s="189"/>
      <c r="V166" s="189">
        <v>1</v>
      </c>
      <c r="W166" s="442"/>
      <c r="X166" s="401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34"/>
      <c r="AT166" s="442"/>
      <c r="AU166" s="442"/>
    </row>
    <row r="167" spans="1:47">
      <c r="A167" s="295">
        <f t="shared" si="16"/>
        <v>3</v>
      </c>
      <c r="B167" s="113"/>
      <c r="C167" s="115">
        <f>+B167-D167</f>
        <v>-163</v>
      </c>
      <c r="D167" s="63">
        <f t="shared" si="14"/>
        <v>163</v>
      </c>
      <c r="E167" s="330">
        <v>8600</v>
      </c>
      <c r="F167" s="93" t="str">
        <f>IFERROR(VLOOKUP(Table9[[#This Row],[Player No]],Table11[[No]:[Province]],2,0),"")</f>
        <v xml:space="preserve">T Mojonothoano </v>
      </c>
      <c r="G167" s="63" t="str">
        <f>IFERROR(VLOOKUP(Table9[[#This Row],[Player No]],Table11[[No]:[Province]],3,0),"")</f>
        <v>FS</v>
      </c>
      <c r="H167" s="635">
        <v>1</v>
      </c>
      <c r="I167" s="789">
        <f>Table9[[#This Row],[Points 2025]]/2+SUM(Table9[[#This Row],[O1  ADMIN 2026]:[P2       WC                   CT   Open 2026]])</f>
        <v>0.5</v>
      </c>
      <c r="J167" s="63">
        <f t="shared" si="12"/>
        <v>0</v>
      </c>
      <c r="K167" s="114">
        <f t="shared" si="13"/>
        <v>0</v>
      </c>
      <c r="L167" s="708" t="s">
        <v>6083</v>
      </c>
      <c r="M167" s="708" t="s">
        <v>6083</v>
      </c>
      <c r="N167" s="708" t="s">
        <v>6083</v>
      </c>
      <c r="O167" s="708"/>
      <c r="P167" s="114"/>
      <c r="Q167" s="114"/>
      <c r="R167" s="189"/>
      <c r="S167" s="189"/>
      <c r="T167" s="114"/>
      <c r="U167" s="114"/>
      <c r="V167" s="114">
        <v>1</v>
      </c>
      <c r="W167" s="708"/>
      <c r="X167" s="400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27"/>
      <c r="AT167" s="708"/>
      <c r="AU167" s="708"/>
    </row>
    <row r="168" spans="1:47">
      <c r="A168" s="295">
        <f t="shared" si="16"/>
        <v>4</v>
      </c>
      <c r="B168" s="113"/>
      <c r="C168" s="115">
        <f>+B168-D168</f>
        <v>-164</v>
      </c>
      <c r="D168" s="63">
        <f t="shared" si="14"/>
        <v>164</v>
      </c>
      <c r="E168" s="330">
        <v>8601</v>
      </c>
      <c r="F168" s="93" t="str">
        <f>IFERROR(VLOOKUP(Table9[[#This Row],[Player No]],Table11[[No]:[Province]],2,0),"")</f>
        <v xml:space="preserve">B. Jones </v>
      </c>
      <c r="G168" s="63" t="str">
        <f>IFERROR(VLOOKUP(Table9[[#This Row],[Player No]],Table11[[No]:[Province]],3,0),"")</f>
        <v>FS</v>
      </c>
      <c r="H168" s="635">
        <v>1</v>
      </c>
      <c r="I168" s="789">
        <f>Table9[[#This Row],[Points 2025]]/2+SUM(Table9[[#This Row],[O1  ADMIN 2026]:[P2       WC                   CT   Open 2026]])</f>
        <v>0.5</v>
      </c>
      <c r="J168" s="63">
        <f t="shared" si="12"/>
        <v>0</v>
      </c>
      <c r="K168" s="114">
        <f t="shared" si="13"/>
        <v>0</v>
      </c>
      <c r="L168" s="708" t="s">
        <v>6083</v>
      </c>
      <c r="M168" s="708" t="s">
        <v>6083</v>
      </c>
      <c r="N168" s="708" t="s">
        <v>6083</v>
      </c>
      <c r="O168" s="708"/>
      <c r="P168" s="114"/>
      <c r="Q168" s="114"/>
      <c r="R168" s="189"/>
      <c r="S168" s="189"/>
      <c r="T168" s="114"/>
      <c r="U168" s="114"/>
      <c r="V168" s="114">
        <v>1</v>
      </c>
      <c r="W168" s="708"/>
      <c r="X168" s="400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27"/>
      <c r="AT168" s="708"/>
      <c r="AU168" s="708"/>
    </row>
    <row r="169" spans="1:47">
      <c r="A169" s="295">
        <f t="shared" si="16"/>
        <v>5</v>
      </c>
      <c r="B169" s="113"/>
      <c r="C169" s="115" t="e">
        <f>+B169-#REF!</f>
        <v>#REF!</v>
      </c>
      <c r="D169" s="63">
        <f t="shared" si="14"/>
        <v>165</v>
      </c>
      <c r="E169" s="27">
        <v>8693</v>
      </c>
      <c r="F169" s="93" t="str">
        <f>IFERROR(VLOOKUP(Table9[[#This Row],[Player No]],Table11[[No]:[Province]],2,0),"")</f>
        <v>MDLULI Bonolo</v>
      </c>
      <c r="G169" s="63" t="str">
        <f>IFERROR(VLOOKUP(Table9[[#This Row],[Player No]],Table11[[No]:[Province]],3,0),"")</f>
        <v>EKU</v>
      </c>
      <c r="H169" s="635">
        <v>1</v>
      </c>
      <c r="I169" s="789">
        <f>Table9[[#This Row],[Points 2025]]/2+SUM(Table9[[#This Row],[O1  ADMIN 2026]:[P2       WC                   CT   Open 2026]])</f>
        <v>0.5</v>
      </c>
      <c r="J169" s="63">
        <f t="shared" si="12"/>
        <v>0</v>
      </c>
      <c r="K169" s="330">
        <f t="shared" si="13"/>
        <v>0</v>
      </c>
      <c r="L169" s="827" t="s">
        <v>6083</v>
      </c>
      <c r="M169" s="827" t="s">
        <v>6083</v>
      </c>
      <c r="N169" s="827" t="s">
        <v>6083</v>
      </c>
      <c r="O169" s="827"/>
      <c r="P169" s="114"/>
      <c r="Q169" s="114"/>
      <c r="R169" s="189"/>
      <c r="S169" s="189"/>
      <c r="T169" s="114"/>
      <c r="U169" s="114"/>
      <c r="V169" s="114"/>
      <c r="W169" s="708"/>
      <c r="X169" s="400"/>
      <c r="Y169" s="114"/>
      <c r="Z169" s="114"/>
      <c r="AA169" s="114"/>
      <c r="AB169" s="114">
        <v>1</v>
      </c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27"/>
      <c r="AT169" s="827"/>
      <c r="AU169" s="827"/>
    </row>
    <row r="170" spans="1:47">
      <c r="A170" s="295">
        <f t="shared" si="16"/>
        <v>6</v>
      </c>
      <c r="B170" s="113"/>
      <c r="C170" s="115" t="e">
        <f>+B170-#REF!</f>
        <v>#REF!</v>
      </c>
      <c r="D170" s="63">
        <f t="shared" si="14"/>
        <v>166</v>
      </c>
      <c r="E170" s="27">
        <v>8697</v>
      </c>
      <c r="F170" s="93" t="str">
        <f>IFERROR(VLOOKUP(Table9[[#This Row],[Player No]],Table11[[No]:[Province]],2,0),"")</f>
        <v xml:space="preserve">SEOLA Relebohile </v>
      </c>
      <c r="G170" s="114" t="str">
        <f>IFERROR(VLOOKUP(Table9[[#This Row],[Player No]],Table11[[No]:[Province]],3,0),"")</f>
        <v>EKU</v>
      </c>
      <c r="H170" s="635">
        <v>1</v>
      </c>
      <c r="I170" s="789">
        <f>Table9[[#This Row],[Points 2025]]/2+SUM(Table9[[#This Row],[O1  ADMIN 2026]:[P2       WC                   CT   Open 2026]])</f>
        <v>0.5</v>
      </c>
      <c r="J170" s="63">
        <f t="shared" si="12"/>
        <v>0</v>
      </c>
      <c r="K170" s="330">
        <f t="shared" si="13"/>
        <v>0</v>
      </c>
      <c r="L170" s="827" t="s">
        <v>6083</v>
      </c>
      <c r="M170" s="827" t="s">
        <v>6083</v>
      </c>
      <c r="N170" s="827" t="s">
        <v>6083</v>
      </c>
      <c r="O170" s="827"/>
      <c r="P170" s="114"/>
      <c r="Q170" s="114"/>
      <c r="R170" s="189"/>
      <c r="S170" s="189"/>
      <c r="T170" s="114"/>
      <c r="U170" s="114"/>
      <c r="V170" s="114"/>
      <c r="W170" s="708"/>
      <c r="X170" s="400"/>
      <c r="Y170" s="114"/>
      <c r="Z170" s="114"/>
      <c r="AA170" s="114"/>
      <c r="AB170" s="114">
        <v>1</v>
      </c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27"/>
      <c r="AT170" s="827"/>
      <c r="AU170" s="827"/>
    </row>
    <row r="171" spans="1:47">
      <c r="A171" s="135">
        <f>IFERROR(VLOOKUP(Table9[[#This Row],[Player No]],Table11[[#All],[No]:[Age Group]],4,0),"")</f>
        <v>0</v>
      </c>
      <c r="B171" s="190">
        <v>95</v>
      </c>
      <c r="C171" s="195">
        <f>+B171-D171</f>
        <v>-72</v>
      </c>
      <c r="D171" s="63">
        <f t="shared" si="14"/>
        <v>167</v>
      </c>
      <c r="E171" s="189">
        <v>8341</v>
      </c>
      <c r="F171" s="93" t="str">
        <f>IFERROR(VLOOKUP(Table9[[#This Row],[Player No]],Table11[[No]:[Province]],2,0),"")</f>
        <v>BALOYI Philis</v>
      </c>
      <c r="G171" s="114" t="str">
        <f>IFERROR(VLOOKUP(Table9[[#This Row],[Player No]],Table11[[No]:[Province]],3,0),"")</f>
        <v>GN</v>
      </c>
      <c r="H171" s="635">
        <v>0.5</v>
      </c>
      <c r="I171" s="661">
        <f>Table9[[#This Row],[Points 2025]]/2+SUM(Table9[[#This Row],[O1  ADMIN 2026]:[P2       WC                   CT   Open 2026]])</f>
        <v>0.25</v>
      </c>
      <c r="J171" s="63">
        <f t="shared" si="12"/>
        <v>0</v>
      </c>
      <c r="K171" s="189">
        <f t="shared" si="13"/>
        <v>0</v>
      </c>
      <c r="L171" s="442" t="s">
        <v>6083</v>
      </c>
      <c r="M171" s="442" t="s">
        <v>6083</v>
      </c>
      <c r="N171" s="442" t="s">
        <v>6083</v>
      </c>
      <c r="O171" s="442"/>
      <c r="P171" s="189"/>
      <c r="Q171" s="189"/>
      <c r="R171" s="189"/>
      <c r="S171" s="189"/>
      <c r="T171" s="189"/>
      <c r="U171" s="189"/>
      <c r="V171" s="189"/>
      <c r="W171" s="442"/>
      <c r="X171" s="401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>
        <v>1</v>
      </c>
      <c r="AO171" s="134"/>
      <c r="AT171" s="442"/>
      <c r="AU171" s="442"/>
    </row>
    <row r="172" spans="1:47">
      <c r="A172" s="767">
        <f>IFERROR(VLOOKUP(Table9[[#This Row],[Player No]],Table11[[#All],[No]:[Age Group]],4,0),"")</f>
        <v>0</v>
      </c>
      <c r="B172" s="413">
        <v>96</v>
      </c>
      <c r="C172" s="398">
        <f>+B172-D172</f>
        <v>-72</v>
      </c>
      <c r="D172" s="63">
        <f t="shared" si="14"/>
        <v>168</v>
      </c>
      <c r="E172" s="400">
        <v>8342</v>
      </c>
      <c r="F172" s="93" t="str">
        <f>IFERROR(VLOOKUP(Table9[[#This Row],[Player No]],Table11[[No]:[Province]],2,0),"")</f>
        <v>CORTINHAS Shamel</v>
      </c>
      <c r="G172" s="114" t="str">
        <f>IFERROR(VLOOKUP(Table9[[#This Row],[Player No]],Table11[[No]:[Province]],3,0),"")</f>
        <v>JTTA</v>
      </c>
      <c r="H172" s="635">
        <v>0.5</v>
      </c>
      <c r="I172" s="789">
        <f>Table9[[#This Row],[Points 2025]]/2+SUM(Table9[[#This Row],[O1  ADMIN 2026]:[P2       WC                   CT   Open 2026]])</f>
        <v>0.25</v>
      </c>
      <c r="J172" s="63">
        <f t="shared" si="12"/>
        <v>0</v>
      </c>
      <c r="K172" s="400">
        <f t="shared" si="13"/>
        <v>0</v>
      </c>
      <c r="L172" s="708" t="s">
        <v>6083</v>
      </c>
      <c r="M172" s="708" t="s">
        <v>6083</v>
      </c>
      <c r="N172" s="708" t="s">
        <v>6083</v>
      </c>
      <c r="O172" s="708"/>
      <c r="P172" s="400"/>
      <c r="Q172" s="401"/>
      <c r="R172" s="401"/>
      <c r="S172" s="401"/>
      <c r="T172" s="400"/>
      <c r="U172" s="400"/>
      <c r="V172" s="400"/>
      <c r="W172" s="708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0"/>
      <c r="AI172" s="400"/>
      <c r="AJ172" s="400"/>
      <c r="AK172" s="400"/>
      <c r="AL172" s="400"/>
      <c r="AM172" s="400"/>
      <c r="AN172" s="400">
        <v>1</v>
      </c>
      <c r="AO172" s="629"/>
      <c r="AT172" s="708"/>
      <c r="AU172" s="708"/>
    </row>
    <row r="173" spans="1:47">
      <c r="A173" s="767">
        <f>IFERROR(VLOOKUP(Table9[[#This Row],[Player No]],Table11[[#All],[No]:[Age Group]],4,0),"")</f>
        <v>0</v>
      </c>
      <c r="B173" s="413"/>
      <c r="C173" s="398"/>
      <c r="D173" s="63">
        <f t="shared" si="14"/>
        <v>169</v>
      </c>
      <c r="E173" s="400">
        <v>8504</v>
      </c>
      <c r="F173" s="93" t="str">
        <f>IFERROR(VLOOKUP(Table9[[#This Row],[Player No]],Table11[[No]:[Province]],2,0),"")</f>
        <v xml:space="preserve">VD WESTERHUIZEN Shakira </v>
      </c>
      <c r="G173" s="114" t="str">
        <f>IFERROR(VLOOKUP(Table9[[#This Row],[Player No]],Table11[[No]:[Province]],3,0),"")</f>
        <v>WC</v>
      </c>
      <c r="H173" s="635">
        <v>0.5</v>
      </c>
      <c r="I173" s="789">
        <f>Table9[[#This Row],[Points 2025]]/2+SUM(Table9[[#This Row],[O1  ADMIN 2026]:[P2       WC                   CT   Open 2026]])</f>
        <v>0.25</v>
      </c>
      <c r="J173" s="63">
        <f t="shared" si="12"/>
        <v>0</v>
      </c>
      <c r="K173" s="400">
        <f t="shared" si="13"/>
        <v>0</v>
      </c>
      <c r="L173" s="708" t="s">
        <v>6083</v>
      </c>
      <c r="M173" s="708" t="s">
        <v>6083</v>
      </c>
      <c r="N173" s="708" t="s">
        <v>6083</v>
      </c>
      <c r="O173" s="708"/>
      <c r="P173" s="400"/>
      <c r="Q173" s="401"/>
      <c r="R173" s="401"/>
      <c r="S173" s="401"/>
      <c r="T173" s="400"/>
      <c r="U173" s="400"/>
      <c r="V173" s="400"/>
      <c r="W173" s="708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0">
        <v>1</v>
      </c>
      <c r="AI173" s="400"/>
      <c r="AJ173" s="400"/>
      <c r="AK173" s="400"/>
      <c r="AL173" s="400"/>
      <c r="AM173" s="400"/>
      <c r="AN173" s="400"/>
      <c r="AO173" s="629"/>
      <c r="AT173" s="708"/>
      <c r="AU173" s="708"/>
    </row>
    <row r="174" spans="1:47">
      <c r="A174" s="412">
        <f>A173+1</f>
        <v>1</v>
      </c>
      <c r="B174" s="413"/>
      <c r="C174" s="398" t="e">
        <f>+B174-#REF!</f>
        <v>#REF!</v>
      </c>
      <c r="D174" s="63">
        <f t="shared" si="14"/>
        <v>170</v>
      </c>
      <c r="E174" s="409">
        <v>8717</v>
      </c>
      <c r="F174" s="93" t="str">
        <f>IFERROR(VLOOKUP(Table9[[#This Row],[Player No]],Table11[[No]:[Province]],2,0),"")</f>
        <v>SMITH Willow</v>
      </c>
      <c r="G174" s="114" t="str">
        <f>IFERROR(VLOOKUP(Table9[[#This Row],[Player No]],Table11[[No]:[Province]],3,0),"")</f>
        <v>CT</v>
      </c>
      <c r="H174" s="635">
        <v>0.5</v>
      </c>
      <c r="I174" s="789">
        <f>Table9[[#This Row],[Points 2025]]/2+SUM(Table9[[#This Row],[O1  ADMIN 2026]:[P2       WC                   CT   Open 2026]])</f>
        <v>0.25</v>
      </c>
      <c r="J174" s="63">
        <f t="shared" si="12"/>
        <v>0</v>
      </c>
      <c r="K174" s="409">
        <f t="shared" si="13"/>
        <v>0</v>
      </c>
      <c r="L174" s="827" t="s">
        <v>6083</v>
      </c>
      <c r="M174" s="827" t="s">
        <v>6083</v>
      </c>
      <c r="N174" s="827" t="s">
        <v>6083</v>
      </c>
      <c r="O174" s="827"/>
      <c r="P174" s="400"/>
      <c r="Q174" s="401"/>
      <c r="R174" s="401"/>
      <c r="S174" s="401"/>
      <c r="T174" s="400"/>
      <c r="U174" s="400"/>
      <c r="V174" s="400"/>
      <c r="W174" s="708"/>
      <c r="X174" s="400"/>
      <c r="Y174" s="400">
        <v>0.5</v>
      </c>
      <c r="Z174" s="400"/>
      <c r="AA174" s="400"/>
      <c r="AB174" s="400"/>
      <c r="AC174" s="400"/>
      <c r="AD174" s="400"/>
      <c r="AE174" s="400"/>
      <c r="AF174" s="400"/>
      <c r="AG174" s="400"/>
      <c r="AH174" s="400"/>
      <c r="AI174" s="400"/>
      <c r="AJ174" s="400"/>
      <c r="AK174" s="400"/>
      <c r="AL174" s="400"/>
      <c r="AM174" s="400"/>
      <c r="AN174" s="400"/>
      <c r="AO174" s="629"/>
      <c r="AT174" s="827"/>
      <c r="AU174" s="827"/>
    </row>
    <row r="175" spans="1:47">
      <c r="A175" s="412">
        <f>A174+1</f>
        <v>2</v>
      </c>
      <c r="B175" s="413"/>
      <c r="C175" s="398" t="e">
        <f>+B175-#REF!</f>
        <v>#REF!</v>
      </c>
      <c r="D175" s="63">
        <f t="shared" si="14"/>
        <v>171</v>
      </c>
      <c r="E175" s="409">
        <v>8737</v>
      </c>
      <c r="F175" s="605" t="str">
        <f>IFERROR(VLOOKUP(Table9[[#This Row],[Player No]],Table11[[No]:[Province]],2,0),"")</f>
        <v xml:space="preserve">RAJCOOMAR Sairah </v>
      </c>
      <c r="G175" s="400" t="str">
        <f>IFERROR(VLOOKUP(Table9[[#This Row],[Player No]],Table11[[No]:[Province]],3,0),"")</f>
        <v>UMG</v>
      </c>
      <c r="H175" s="635">
        <v>0.5</v>
      </c>
      <c r="I175" s="789">
        <f>Table9[[#This Row],[Points 2025]]/2+SUM(Table9[[#This Row],[O1  ADMIN 2026]:[P2       WC                   CT   Open 2026]])</f>
        <v>0.25</v>
      </c>
      <c r="J175" s="63">
        <f t="shared" si="12"/>
        <v>0</v>
      </c>
      <c r="K175" s="409">
        <f t="shared" si="13"/>
        <v>0</v>
      </c>
      <c r="L175" s="827" t="s">
        <v>6083</v>
      </c>
      <c r="M175" s="827" t="s">
        <v>6083</v>
      </c>
      <c r="N175" s="827" t="s">
        <v>6083</v>
      </c>
      <c r="O175" s="827"/>
      <c r="P175" s="400"/>
      <c r="Q175" s="400"/>
      <c r="R175" s="401"/>
      <c r="S175" s="401"/>
      <c r="T175" s="400"/>
      <c r="U175" s="400"/>
      <c r="V175" s="400"/>
      <c r="W175" s="708"/>
      <c r="X175" s="400"/>
      <c r="Y175" s="400">
        <v>0.5</v>
      </c>
      <c r="Z175" s="400"/>
      <c r="AA175" s="400"/>
      <c r="AB175" s="400"/>
      <c r="AC175" s="400"/>
      <c r="AD175" s="400"/>
      <c r="AE175" s="400"/>
      <c r="AF175" s="400"/>
      <c r="AG175" s="400"/>
      <c r="AH175" s="400"/>
      <c r="AI175" s="400"/>
      <c r="AJ175" s="400"/>
      <c r="AK175" s="400"/>
      <c r="AL175" s="400"/>
      <c r="AM175" s="400"/>
      <c r="AN175" s="400"/>
      <c r="AO175" s="629"/>
      <c r="AT175" s="827"/>
      <c r="AU175" s="827"/>
    </row>
    <row r="176" spans="1:47">
      <c r="A176" s="767">
        <f>IFERROR(VLOOKUP(Table9[[#This Row],[Player No]],Table11[[#All],[No]:[Age Group]],4,0),"")</f>
        <v>0</v>
      </c>
      <c r="B176" s="413">
        <v>111</v>
      </c>
      <c r="C176" s="398">
        <f t="shared" ref="C176:C187" si="17">+B176-D176</f>
        <v>-61</v>
      </c>
      <c r="D176" s="63">
        <f t="shared" si="14"/>
        <v>172</v>
      </c>
      <c r="E176" s="400">
        <v>7308</v>
      </c>
      <c r="F176" s="605" t="str">
        <f>IFERROR(VLOOKUP(Table9[[#This Row],[Player No]],Table11[[No]:[Province]],2,0),"")</f>
        <v>RADEBE Onalerona</v>
      </c>
      <c r="G176" s="400" t="str">
        <f>IFERROR(VLOOKUP(Table9[[#This Row],[Player No]],Table11[[No]:[Province]],3,0),"")</f>
        <v>FS</v>
      </c>
      <c r="H176" s="635">
        <v>0.25</v>
      </c>
      <c r="I176" s="789">
        <f>Table9[[#This Row],[Points 2025]]/2+SUM(Table9[[#This Row],[O1  ADMIN 2026]:[P2       WC                   CT   Open 2026]])</f>
        <v>0.125</v>
      </c>
      <c r="J176" s="63">
        <f t="shared" si="12"/>
        <v>0</v>
      </c>
      <c r="K176" s="400">
        <f t="shared" si="13"/>
        <v>0</v>
      </c>
      <c r="L176" s="708" t="s">
        <v>6083</v>
      </c>
      <c r="M176" s="708" t="s">
        <v>6083</v>
      </c>
      <c r="N176" s="708" t="s">
        <v>6083</v>
      </c>
      <c r="O176" s="708"/>
      <c r="P176" s="400"/>
      <c r="Q176" s="400"/>
      <c r="R176" s="401"/>
      <c r="S176" s="401"/>
      <c r="T176" s="400"/>
      <c r="U176" s="400"/>
      <c r="V176" s="400"/>
      <c r="W176" s="708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0"/>
      <c r="AI176" s="400"/>
      <c r="AJ176" s="400"/>
      <c r="AK176" s="400"/>
      <c r="AL176" s="400"/>
      <c r="AM176" s="400"/>
      <c r="AN176" s="400"/>
      <c r="AO176" s="629"/>
      <c r="AT176" s="708"/>
      <c r="AU176" s="708"/>
    </row>
    <row r="177" spans="1:47">
      <c r="A177" s="767">
        <f>IFERROR(VLOOKUP(Table9[[#This Row],[Player No]],Table11[[#All],[No]:[Age Group]],4,0),"")</f>
        <v>0</v>
      </c>
      <c r="B177" s="413">
        <v>99</v>
      </c>
      <c r="C177" s="398">
        <f t="shared" si="17"/>
        <v>-74</v>
      </c>
      <c r="D177" s="63">
        <f t="shared" si="14"/>
        <v>173</v>
      </c>
      <c r="E177" s="400">
        <v>8070</v>
      </c>
      <c r="F177" s="605" t="str">
        <f>IFERROR(VLOOKUP(Table9[[#This Row],[Player No]],Table11[[No]:[Province]],2,0),"")</f>
        <v>DE KLERK Amore</v>
      </c>
      <c r="G177" s="400" t="str">
        <f>IFERROR(VLOOKUP(Table9[[#This Row],[Player No]],Table11[[No]:[Province]],3,0),"")</f>
        <v>WC</v>
      </c>
      <c r="H177" s="635">
        <v>0.25</v>
      </c>
      <c r="I177" s="789">
        <f>Table9[[#This Row],[Points 2025]]/2+SUM(Table9[[#This Row],[O1  ADMIN 2026]:[P2       WC                   CT   Open 2026]])</f>
        <v>0.125</v>
      </c>
      <c r="J177" s="63">
        <f t="shared" si="12"/>
        <v>0</v>
      </c>
      <c r="K177" s="400">
        <f t="shared" si="13"/>
        <v>0</v>
      </c>
      <c r="L177" s="708" t="s">
        <v>6083</v>
      </c>
      <c r="M177" s="708" t="s">
        <v>6083</v>
      </c>
      <c r="N177" s="708" t="s">
        <v>6083</v>
      </c>
      <c r="O177" s="708"/>
      <c r="P177" s="400"/>
      <c r="Q177" s="400"/>
      <c r="R177" s="401"/>
      <c r="S177" s="401"/>
      <c r="T177" s="400"/>
      <c r="U177" s="400"/>
      <c r="V177" s="400"/>
      <c r="W177" s="708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0"/>
      <c r="AI177" s="400"/>
      <c r="AJ177" s="400"/>
      <c r="AK177" s="400"/>
      <c r="AL177" s="400"/>
      <c r="AM177" s="400"/>
      <c r="AN177" s="400"/>
      <c r="AO177" s="629"/>
      <c r="AT177" s="708"/>
      <c r="AU177" s="708"/>
    </row>
    <row r="178" spans="1:47">
      <c r="A178" s="767">
        <f>IFERROR(VLOOKUP(Table9[[#This Row],[Player No]],Table11[[#All],[No]:[Age Group]],4,0),"")</f>
        <v>0</v>
      </c>
      <c r="B178" s="413">
        <v>101</v>
      </c>
      <c r="C178" s="398">
        <f t="shared" si="17"/>
        <v>-73</v>
      </c>
      <c r="D178" s="63">
        <f t="shared" si="14"/>
        <v>174</v>
      </c>
      <c r="E178" s="400">
        <v>8088</v>
      </c>
      <c r="F178" s="605" t="str">
        <f>IFERROR(VLOOKUP(Table9[[#This Row],[Player No]],Table11[[No]:[Province]],2,0),"")</f>
        <v>NAROTAM Sajal</v>
      </c>
      <c r="G178" s="400">
        <f>IFERROR(VLOOKUP(Table9[[#This Row],[Player No]],Table11[[No]:[Province]],3,0),"")</f>
        <v>0</v>
      </c>
      <c r="H178" s="635">
        <v>0.25</v>
      </c>
      <c r="I178" s="789">
        <f>Table9[[#This Row],[Points 2025]]/2+SUM(Table9[[#This Row],[O1  ADMIN 2026]:[P2       WC                   CT   Open 2026]])</f>
        <v>0.125</v>
      </c>
      <c r="J178" s="63">
        <f t="shared" si="12"/>
        <v>0</v>
      </c>
      <c r="K178" s="400">
        <f t="shared" si="13"/>
        <v>0</v>
      </c>
      <c r="L178" s="708" t="s">
        <v>6083</v>
      </c>
      <c r="M178" s="708" t="s">
        <v>6083</v>
      </c>
      <c r="N178" s="708" t="s">
        <v>6083</v>
      </c>
      <c r="O178" s="708"/>
      <c r="P178" s="400"/>
      <c r="Q178" s="400"/>
      <c r="R178" s="401"/>
      <c r="S178" s="401"/>
      <c r="T178" s="400"/>
      <c r="U178" s="400"/>
      <c r="V178" s="400"/>
      <c r="W178" s="708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0"/>
      <c r="AI178" s="400"/>
      <c r="AJ178" s="400"/>
      <c r="AK178" s="400"/>
      <c r="AL178" s="400"/>
      <c r="AM178" s="400"/>
      <c r="AN178" s="400"/>
      <c r="AO178" s="629"/>
      <c r="AT178" s="708"/>
      <c r="AU178" s="708"/>
    </row>
    <row r="179" spans="1:47">
      <c r="A179" s="767">
        <f>IFERROR(VLOOKUP(Table9[[#This Row],[Player No]],Table11[[#All],[No]:[Age Group]],4,0),"")</f>
        <v>0</v>
      </c>
      <c r="B179" s="413">
        <v>102</v>
      </c>
      <c r="C179" s="398">
        <f t="shared" si="17"/>
        <v>-73</v>
      </c>
      <c r="D179" s="63">
        <f t="shared" si="14"/>
        <v>175</v>
      </c>
      <c r="E179" s="400">
        <v>8101</v>
      </c>
      <c r="F179" s="605" t="str">
        <f>IFERROR(VLOOKUP(Table9[[#This Row],[Player No]],Table11[[No]:[Province]],2,0),"")</f>
        <v>FISHER Tamsyn</v>
      </c>
      <c r="G179" s="400" t="str">
        <f>IFERROR(VLOOKUP(Table9[[#This Row],[Player No]],Table11[[No]:[Province]],3,0),"")</f>
        <v>UMG</v>
      </c>
      <c r="H179" s="635">
        <v>0.25</v>
      </c>
      <c r="I179" s="789">
        <f>Table9[[#This Row],[Points 2025]]/2+SUM(Table9[[#This Row],[O1  ADMIN 2026]:[P2       WC                   CT   Open 2026]])</f>
        <v>0.125</v>
      </c>
      <c r="J179" s="63">
        <f t="shared" si="12"/>
        <v>0</v>
      </c>
      <c r="K179" s="400">
        <f t="shared" si="13"/>
        <v>0</v>
      </c>
      <c r="L179" s="708" t="s">
        <v>6083</v>
      </c>
      <c r="M179" s="708" t="s">
        <v>6083</v>
      </c>
      <c r="N179" s="708" t="s">
        <v>6083</v>
      </c>
      <c r="O179" s="708"/>
      <c r="P179" s="400"/>
      <c r="Q179" s="400"/>
      <c r="R179" s="401"/>
      <c r="S179" s="401"/>
      <c r="T179" s="400"/>
      <c r="U179" s="400"/>
      <c r="V179" s="400"/>
      <c r="W179" s="708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0"/>
      <c r="AI179" s="400"/>
      <c r="AJ179" s="400"/>
      <c r="AK179" s="400"/>
      <c r="AL179" s="400"/>
      <c r="AM179" s="400"/>
      <c r="AN179" s="400"/>
      <c r="AO179" s="629"/>
      <c r="AT179" s="708"/>
      <c r="AU179" s="708"/>
    </row>
    <row r="180" spans="1:47">
      <c r="A180" s="767">
        <f>IFERROR(VLOOKUP(Table9[[#This Row],[Player No]],Table11[[#All],[No]:[Age Group]],4,0),"")</f>
        <v>0</v>
      </c>
      <c r="B180" s="413">
        <v>103</v>
      </c>
      <c r="C180" s="398">
        <f t="shared" si="17"/>
        <v>-73</v>
      </c>
      <c r="D180" s="63">
        <f t="shared" si="14"/>
        <v>176</v>
      </c>
      <c r="E180" s="400">
        <v>8102</v>
      </c>
      <c r="F180" s="605" t="str">
        <f>IFERROR(VLOOKUP(Table9[[#This Row],[Player No]],Table11[[No]:[Province]],2,0),"")</f>
        <v>NAIDOO Sonali</v>
      </c>
      <c r="G180" s="400" t="str">
        <f>IFERROR(VLOOKUP(Table9[[#This Row],[Player No]],Table11[[No]:[Province]],3,0),"")</f>
        <v>UMG</v>
      </c>
      <c r="H180" s="635">
        <v>0.25</v>
      </c>
      <c r="I180" s="789">
        <f>Table9[[#This Row],[Points 2025]]/2+SUM(Table9[[#This Row],[O1  ADMIN 2026]:[P2       WC                   CT   Open 2026]])</f>
        <v>0.125</v>
      </c>
      <c r="J180" s="63">
        <f t="shared" si="12"/>
        <v>0</v>
      </c>
      <c r="K180" s="400">
        <f t="shared" si="13"/>
        <v>0</v>
      </c>
      <c r="L180" s="708" t="s">
        <v>6083</v>
      </c>
      <c r="M180" s="708" t="s">
        <v>6083</v>
      </c>
      <c r="N180" s="708" t="s">
        <v>6083</v>
      </c>
      <c r="O180" s="708"/>
      <c r="P180" s="400"/>
      <c r="Q180" s="400"/>
      <c r="R180" s="401"/>
      <c r="S180" s="401"/>
      <c r="T180" s="400"/>
      <c r="U180" s="400"/>
      <c r="V180" s="400"/>
      <c r="W180" s="708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0"/>
      <c r="AI180" s="400"/>
      <c r="AJ180" s="400"/>
      <c r="AK180" s="400"/>
      <c r="AL180" s="400"/>
      <c r="AM180" s="400"/>
      <c r="AN180" s="400"/>
      <c r="AO180" s="629"/>
      <c r="AT180" s="708"/>
      <c r="AU180" s="708"/>
    </row>
    <row r="181" spans="1:47">
      <c r="A181" s="767">
        <f>IFERROR(VLOOKUP(Table9[[#This Row],[Player No]],Table11[[#All],[No]:[Age Group]],4,0),"")</f>
        <v>0</v>
      </c>
      <c r="B181" s="413">
        <v>104</v>
      </c>
      <c r="C181" s="398">
        <f t="shared" si="17"/>
        <v>-73</v>
      </c>
      <c r="D181" s="63">
        <f t="shared" si="14"/>
        <v>177</v>
      </c>
      <c r="E181" s="400">
        <v>8103</v>
      </c>
      <c r="F181" s="605" t="str">
        <f>IFERROR(VLOOKUP(Table9[[#This Row],[Player No]],Table11[[No]:[Province]],2,0),"")</f>
        <v>MARION Keren</v>
      </c>
      <c r="G181" s="400" t="str">
        <f>IFERROR(VLOOKUP(Table9[[#This Row],[Player No]],Table11[[No]:[Province]],3,0),"")</f>
        <v>UMG</v>
      </c>
      <c r="H181" s="635">
        <v>0.25</v>
      </c>
      <c r="I181" s="789">
        <f>Table9[[#This Row],[Points 2025]]/2+SUM(Table9[[#This Row],[O1  ADMIN 2026]:[P2       WC                   CT   Open 2026]])</f>
        <v>0.125</v>
      </c>
      <c r="J181" s="63">
        <f t="shared" si="12"/>
        <v>0</v>
      </c>
      <c r="K181" s="400">
        <f t="shared" si="13"/>
        <v>0</v>
      </c>
      <c r="L181" s="708" t="s">
        <v>6083</v>
      </c>
      <c r="M181" s="708" t="s">
        <v>6083</v>
      </c>
      <c r="N181" s="708" t="s">
        <v>6083</v>
      </c>
      <c r="O181" s="708"/>
      <c r="P181" s="400"/>
      <c r="Q181" s="400"/>
      <c r="R181" s="401"/>
      <c r="S181" s="401"/>
      <c r="T181" s="400"/>
      <c r="U181" s="400"/>
      <c r="V181" s="400"/>
      <c r="W181" s="708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0"/>
      <c r="AI181" s="400"/>
      <c r="AJ181" s="400"/>
      <c r="AK181" s="400"/>
      <c r="AL181" s="400"/>
      <c r="AM181" s="400"/>
      <c r="AN181" s="400"/>
      <c r="AO181" s="629"/>
      <c r="AT181" s="708"/>
      <c r="AU181" s="708"/>
    </row>
    <row r="182" spans="1:47">
      <c r="A182" s="767">
        <f>IFERROR(VLOOKUP(Table9[[#This Row],[Player No]],Table11[[#All],[No]:[Age Group]],4,0),"")</f>
        <v>0</v>
      </c>
      <c r="B182" s="413">
        <v>105</v>
      </c>
      <c r="C182" s="398">
        <f t="shared" si="17"/>
        <v>-73</v>
      </c>
      <c r="D182" s="63">
        <f t="shared" si="14"/>
        <v>178</v>
      </c>
      <c r="E182" s="400">
        <v>8132</v>
      </c>
      <c r="F182" s="605" t="str">
        <f>IFERROR(VLOOKUP(Table9[[#This Row],[Player No]],Table11[[No]:[Province]],2,0),"")</f>
        <v>MOTAKE Mara</v>
      </c>
      <c r="G182" s="400" t="str">
        <f>IFERROR(VLOOKUP(Table9[[#This Row],[Player No]],Table11[[No]:[Province]],3,0),"")</f>
        <v>FS</v>
      </c>
      <c r="H182" s="635">
        <v>0.25</v>
      </c>
      <c r="I182" s="789">
        <f>Table9[[#This Row],[Points 2025]]/2+SUM(Table9[[#This Row],[O1  ADMIN 2026]:[P2       WC                   CT   Open 2026]])</f>
        <v>0.125</v>
      </c>
      <c r="J182" s="63">
        <f t="shared" si="12"/>
        <v>0</v>
      </c>
      <c r="K182" s="400">
        <f t="shared" si="13"/>
        <v>0</v>
      </c>
      <c r="L182" s="708" t="s">
        <v>6083</v>
      </c>
      <c r="M182" s="708" t="s">
        <v>6083</v>
      </c>
      <c r="N182" s="708" t="s">
        <v>6083</v>
      </c>
      <c r="O182" s="708"/>
      <c r="P182" s="400"/>
      <c r="Q182" s="400"/>
      <c r="R182" s="401"/>
      <c r="S182" s="401"/>
      <c r="T182" s="400"/>
      <c r="U182" s="400"/>
      <c r="V182" s="400"/>
      <c r="W182" s="708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0"/>
      <c r="AI182" s="400"/>
      <c r="AJ182" s="400"/>
      <c r="AK182" s="400"/>
      <c r="AL182" s="400"/>
      <c r="AM182" s="400"/>
      <c r="AN182" s="400"/>
      <c r="AO182" s="629"/>
      <c r="AT182" s="708"/>
      <c r="AU182" s="708"/>
    </row>
    <row r="183" spans="1:47">
      <c r="A183" s="767">
        <f>IFERROR(VLOOKUP(Table9[[#This Row],[Player No]],Table11[[#All],[No]:[Age Group]],4,0),"")</f>
        <v>0</v>
      </c>
      <c r="B183" s="413">
        <v>106</v>
      </c>
      <c r="C183" s="398">
        <f t="shared" si="17"/>
        <v>-73</v>
      </c>
      <c r="D183" s="63">
        <f t="shared" si="14"/>
        <v>179</v>
      </c>
      <c r="E183" s="400">
        <v>8135</v>
      </c>
      <c r="F183" s="605" t="str">
        <f>IFERROR(VLOOKUP(Table9[[#This Row],[Player No]],Table11[[No]:[Province]],2,0),"")</f>
        <v>MOSOLENG Lebohang</v>
      </c>
      <c r="G183" s="400" t="str">
        <f>IFERROR(VLOOKUP(Table9[[#This Row],[Player No]],Table11[[No]:[Province]],3,0),"")</f>
        <v>FS</v>
      </c>
      <c r="H183" s="635">
        <v>0.25</v>
      </c>
      <c r="I183" s="789">
        <f>Table9[[#This Row],[Points 2025]]/2+SUM(Table9[[#This Row],[O1  ADMIN 2026]:[P2       WC                   CT   Open 2026]])</f>
        <v>0.125</v>
      </c>
      <c r="J183" s="63">
        <f t="shared" si="12"/>
        <v>0</v>
      </c>
      <c r="K183" s="400">
        <f t="shared" si="13"/>
        <v>0</v>
      </c>
      <c r="L183" s="708" t="s">
        <v>6083</v>
      </c>
      <c r="M183" s="708" t="s">
        <v>6083</v>
      </c>
      <c r="N183" s="708" t="s">
        <v>6083</v>
      </c>
      <c r="O183" s="708"/>
      <c r="P183" s="400"/>
      <c r="Q183" s="400"/>
      <c r="R183" s="401"/>
      <c r="S183" s="401"/>
      <c r="T183" s="400"/>
      <c r="U183" s="400"/>
      <c r="V183" s="400"/>
      <c r="W183" s="708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0"/>
      <c r="AI183" s="400"/>
      <c r="AJ183" s="400"/>
      <c r="AK183" s="400"/>
      <c r="AL183" s="400"/>
      <c r="AM183" s="400"/>
      <c r="AN183" s="400"/>
      <c r="AO183" s="629"/>
      <c r="AT183" s="708"/>
      <c r="AU183" s="708"/>
    </row>
    <row r="184" spans="1:47">
      <c r="A184" s="767">
        <f>IFERROR(VLOOKUP(Table9[[#This Row],[Player No]],Table11[[#All],[No]:[Age Group]],4,0),"")</f>
        <v>0</v>
      </c>
      <c r="B184" s="413">
        <v>107</v>
      </c>
      <c r="C184" s="398">
        <f t="shared" si="17"/>
        <v>-73</v>
      </c>
      <c r="D184" s="63">
        <f t="shared" si="14"/>
        <v>180</v>
      </c>
      <c r="E184" s="400">
        <v>8137</v>
      </c>
      <c r="F184" s="605" t="str">
        <f>IFERROR(VLOOKUP(Table9[[#This Row],[Player No]],Table11[[No]:[Province]],2,0),"")</f>
        <v>RALEI Nthabiseng</v>
      </c>
      <c r="G184" s="400" t="str">
        <f>IFERROR(VLOOKUP(Table9[[#This Row],[Player No]],Table11[[No]:[Province]],3,0),"")</f>
        <v>LES</v>
      </c>
      <c r="H184" s="635">
        <v>0.25</v>
      </c>
      <c r="I184" s="789">
        <f>Table9[[#This Row],[Points 2025]]/2+SUM(Table9[[#This Row],[O1  ADMIN 2026]:[P2       WC                   CT   Open 2026]])</f>
        <v>0.125</v>
      </c>
      <c r="J184" s="63">
        <f t="shared" si="12"/>
        <v>0</v>
      </c>
      <c r="K184" s="400">
        <f t="shared" si="13"/>
        <v>0</v>
      </c>
      <c r="L184" s="708" t="s">
        <v>6083</v>
      </c>
      <c r="M184" s="708" t="s">
        <v>6083</v>
      </c>
      <c r="N184" s="708" t="s">
        <v>6083</v>
      </c>
      <c r="O184" s="708"/>
      <c r="P184" s="400"/>
      <c r="Q184" s="400"/>
      <c r="R184" s="401"/>
      <c r="S184" s="401"/>
      <c r="T184" s="400"/>
      <c r="U184" s="400"/>
      <c r="V184" s="400"/>
      <c r="W184" s="708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0"/>
      <c r="AI184" s="400"/>
      <c r="AJ184" s="400"/>
      <c r="AK184" s="400"/>
      <c r="AL184" s="400"/>
      <c r="AM184" s="400"/>
      <c r="AN184" s="400"/>
      <c r="AO184" s="629"/>
      <c r="AT184" s="708"/>
      <c r="AU184" s="708"/>
    </row>
    <row r="185" spans="1:47">
      <c r="A185" s="767">
        <f>IFERROR(VLOOKUP(Table9[[#This Row],[Player No]],Table11[[#All],[No]:[Age Group]],4,0),"")</f>
        <v>0</v>
      </c>
      <c r="B185" s="413">
        <v>108</v>
      </c>
      <c r="C185" s="398">
        <f t="shared" si="17"/>
        <v>-73</v>
      </c>
      <c r="D185" s="63">
        <f t="shared" si="14"/>
        <v>181</v>
      </c>
      <c r="E185" s="400">
        <v>8138</v>
      </c>
      <c r="F185" s="605" t="str">
        <f>IFERROR(VLOOKUP(Table9[[#This Row],[Player No]],Table11[[No]:[Province]],2,0),"")</f>
        <v>MAPHUZA Tshwarelo</v>
      </c>
      <c r="G185" s="400" t="str">
        <f>IFERROR(VLOOKUP(Table9[[#This Row],[Player No]],Table11[[No]:[Province]],3,0),"")</f>
        <v>FS</v>
      </c>
      <c r="H185" s="635">
        <v>0.25</v>
      </c>
      <c r="I185" s="789">
        <f>Table9[[#This Row],[Points 2025]]/2+SUM(Table9[[#This Row],[O1  ADMIN 2026]:[P2       WC                   CT   Open 2026]])</f>
        <v>0.125</v>
      </c>
      <c r="J185" s="63">
        <f t="shared" si="12"/>
        <v>0</v>
      </c>
      <c r="K185" s="400">
        <f t="shared" si="13"/>
        <v>0</v>
      </c>
      <c r="L185" s="708" t="s">
        <v>6083</v>
      </c>
      <c r="M185" s="708" t="s">
        <v>6083</v>
      </c>
      <c r="N185" s="708" t="s">
        <v>6083</v>
      </c>
      <c r="O185" s="708"/>
      <c r="P185" s="400"/>
      <c r="Q185" s="400"/>
      <c r="R185" s="401"/>
      <c r="S185" s="401"/>
      <c r="T185" s="400"/>
      <c r="U185" s="400"/>
      <c r="V185" s="400"/>
      <c r="W185" s="708"/>
      <c r="X185" s="40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0"/>
      <c r="AI185" s="400"/>
      <c r="AJ185" s="400"/>
      <c r="AK185" s="400"/>
      <c r="AL185" s="400"/>
      <c r="AM185" s="400"/>
      <c r="AN185" s="400"/>
      <c r="AO185" s="629"/>
      <c r="AT185" s="708"/>
      <c r="AU185" s="708"/>
    </row>
    <row r="186" spans="1:47">
      <c r="A186" s="767">
        <f>IFERROR(VLOOKUP(Table9[[#This Row],[Player No]],Table11[[#All],[No]:[Age Group]],4,0),"")</f>
        <v>0</v>
      </c>
      <c r="B186" s="413">
        <v>109</v>
      </c>
      <c r="C186" s="398">
        <f t="shared" si="17"/>
        <v>-73</v>
      </c>
      <c r="D186" s="63">
        <f t="shared" si="14"/>
        <v>182</v>
      </c>
      <c r="E186" s="400">
        <v>8139</v>
      </c>
      <c r="F186" s="605" t="str">
        <f>IFERROR(VLOOKUP(Table9[[#This Row],[Player No]],Table11[[No]:[Province]],2,0),"")</f>
        <v>CHAKOSE Lesedi</v>
      </c>
      <c r="G186" s="400" t="str">
        <f>IFERROR(VLOOKUP(Table9[[#This Row],[Player No]],Table11[[No]:[Province]],3,0),"")</f>
        <v>FS</v>
      </c>
      <c r="H186" s="635">
        <v>0.25</v>
      </c>
      <c r="I186" s="789">
        <f>Table9[[#This Row],[Points 2025]]/2+SUM(Table9[[#This Row],[O1  ADMIN 2026]:[P2       WC                   CT   Open 2026]])</f>
        <v>0.125</v>
      </c>
      <c r="J186" s="63">
        <f t="shared" si="12"/>
        <v>0</v>
      </c>
      <c r="K186" s="400">
        <f t="shared" si="13"/>
        <v>0</v>
      </c>
      <c r="L186" s="708" t="s">
        <v>6083</v>
      </c>
      <c r="M186" s="708" t="s">
        <v>6083</v>
      </c>
      <c r="N186" s="708" t="s">
        <v>6083</v>
      </c>
      <c r="O186" s="708"/>
      <c r="P186" s="400"/>
      <c r="Q186" s="400"/>
      <c r="R186" s="401"/>
      <c r="S186" s="401"/>
      <c r="T186" s="400"/>
      <c r="U186" s="400"/>
      <c r="V186" s="400"/>
      <c r="W186" s="708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0"/>
      <c r="AI186" s="400"/>
      <c r="AJ186" s="400"/>
      <c r="AK186" s="400"/>
      <c r="AL186" s="400"/>
      <c r="AM186" s="400"/>
      <c r="AN186" s="400"/>
      <c r="AO186" s="629"/>
      <c r="AT186" s="708"/>
      <c r="AU186" s="708"/>
    </row>
    <row r="187" spans="1:47">
      <c r="A187" s="135">
        <f>IFERROR(VLOOKUP(Table9[[#This Row],[Player No]],Table11[[#All],[No]:[Age Group]],4,0),"")</f>
        <v>0</v>
      </c>
      <c r="B187" s="735">
        <v>110</v>
      </c>
      <c r="C187" s="399">
        <f t="shared" si="17"/>
        <v>-73</v>
      </c>
      <c r="D187" s="63">
        <f t="shared" si="14"/>
        <v>183</v>
      </c>
      <c r="E187" s="401">
        <v>8141</v>
      </c>
      <c r="F187" s="607" t="str">
        <f>IFERROR(VLOOKUP(Table9[[#This Row],[Player No]],Table11[[No]:[Province]],2,0),"")</f>
        <v>MOTHOANA Katleho</v>
      </c>
      <c r="G187" s="401" t="str">
        <f>IFERROR(VLOOKUP(Table9[[#This Row],[Player No]],Table11[[No]:[Province]],3,0),"")</f>
        <v>FS</v>
      </c>
      <c r="H187" s="766">
        <v>0.25</v>
      </c>
      <c r="I187" s="661">
        <f>Table9[[#This Row],[Points 2025]]/2+SUM(Table9[[#This Row],[O1  ADMIN 2026]:[P2       WC                   CT   Open 2026]])</f>
        <v>0.125</v>
      </c>
      <c r="J187" s="63">
        <f t="shared" si="12"/>
        <v>0</v>
      </c>
      <c r="K187" s="401">
        <f t="shared" si="13"/>
        <v>0</v>
      </c>
      <c r="L187" s="442" t="s">
        <v>6083</v>
      </c>
      <c r="M187" s="442" t="s">
        <v>6083</v>
      </c>
      <c r="N187" s="442" t="s">
        <v>6083</v>
      </c>
      <c r="O187" s="442"/>
      <c r="P187" s="401"/>
      <c r="Q187" s="401"/>
      <c r="R187" s="401"/>
      <c r="S187" s="401"/>
      <c r="T187" s="401"/>
      <c r="U187" s="401"/>
      <c r="V187" s="401"/>
      <c r="W187" s="442"/>
      <c r="X187" s="401"/>
      <c r="Y187" s="401"/>
      <c r="Z187" s="401"/>
      <c r="AA187" s="401"/>
      <c r="AB187" s="401"/>
      <c r="AC187" s="401"/>
      <c r="AD187" s="401"/>
      <c r="AE187" s="401"/>
      <c r="AF187" s="401"/>
      <c r="AG187" s="401"/>
      <c r="AH187" s="401"/>
      <c r="AI187" s="401"/>
      <c r="AJ187" s="401"/>
      <c r="AK187" s="401"/>
      <c r="AL187" s="401"/>
      <c r="AM187" s="401"/>
      <c r="AN187" s="401"/>
      <c r="AO187" s="134"/>
      <c r="AT187" s="442"/>
      <c r="AU187" s="442"/>
    </row>
    <row r="188" spans="1:47">
      <c r="A188" s="180">
        <f t="shared" ref="A188:A207" si="18">A187+1</f>
        <v>1</v>
      </c>
      <c r="B188" s="428"/>
      <c r="C188" s="659" t="e">
        <f>+B188-#REF!</f>
        <v>#REF!</v>
      </c>
      <c r="D188" s="63">
        <f t="shared" si="14"/>
        <v>184</v>
      </c>
      <c r="E188" s="942">
        <v>8695</v>
      </c>
      <c r="F188" s="607" t="str">
        <f>IFERROR(VLOOKUP(Table9[[#This Row],[Player No]],Table11[[No]:[Province]],2,0),"")</f>
        <v>MOKHELE Mosa</v>
      </c>
      <c r="G188" s="401" t="str">
        <f>IFERROR(VLOOKUP(Table9[[#This Row],[Player No]],Table11[[No]:[Province]],3,0),"")</f>
        <v>EKU</v>
      </c>
      <c r="H188" s="766">
        <v>0</v>
      </c>
      <c r="I188" s="661">
        <f>Table9[[#This Row],[Points 2025]]/2+SUM(Table9[[#This Row],[O1  ADMIN 2026]:[P2       WC                   CT   Open 2026]])</f>
        <v>0</v>
      </c>
      <c r="J188" s="442">
        <f t="shared" si="12"/>
        <v>0</v>
      </c>
      <c r="K188" s="736">
        <f t="shared" si="13"/>
        <v>0</v>
      </c>
      <c r="L188" s="736" t="s">
        <v>6083</v>
      </c>
      <c r="M188" s="736" t="s">
        <v>6083</v>
      </c>
      <c r="N188" s="736" t="s">
        <v>6083</v>
      </c>
      <c r="O188" s="736"/>
      <c r="P188" s="442"/>
      <c r="Q188" s="442"/>
      <c r="R188" s="442"/>
      <c r="S188" s="442"/>
      <c r="T188" s="442"/>
      <c r="U188" s="442"/>
      <c r="V188" s="442"/>
      <c r="W188" s="442"/>
      <c r="X188" s="442"/>
      <c r="Y188" s="442"/>
      <c r="Z188" s="442"/>
      <c r="AA188" s="442"/>
      <c r="AB188" s="442">
        <v>0</v>
      </c>
      <c r="AC188" s="442"/>
      <c r="AD188" s="442"/>
      <c r="AE188" s="442"/>
      <c r="AF188" s="442"/>
      <c r="AG188" s="442"/>
      <c r="AH188" s="442"/>
      <c r="AI188" s="442"/>
      <c r="AJ188" s="442"/>
      <c r="AK188" s="442"/>
      <c r="AL188" s="442"/>
      <c r="AM188" s="442"/>
      <c r="AN188" s="442"/>
      <c r="AO188" s="134"/>
      <c r="AT188" s="736"/>
      <c r="AU188" s="736"/>
    </row>
    <row r="189" spans="1:47">
      <c r="A189" s="1009">
        <f t="shared" si="18"/>
        <v>2</v>
      </c>
      <c r="B189" s="746"/>
      <c r="C189" s="943" t="e">
        <f>+B189-#REF!</f>
        <v>#REF!</v>
      </c>
      <c r="D189" s="943"/>
      <c r="E189" s="827"/>
      <c r="F189" s="1003"/>
      <c r="G189" s="708"/>
      <c r="H189" s="789"/>
      <c r="I189" s="789">
        <f>Table9[[#This Row],[Points 2025]]/2+SUM(Table9[[#This Row],[O1  ADMIN 2026]:[P2       WC                   CT   Open 2026]])</f>
        <v>0</v>
      </c>
      <c r="J189" s="827">
        <f t="shared" si="12"/>
        <v>0</v>
      </c>
      <c r="K189" s="827">
        <f t="shared" si="13"/>
        <v>0</v>
      </c>
      <c r="L189" s="442" t="s">
        <v>6083</v>
      </c>
      <c r="M189" s="708"/>
      <c r="N189" s="708"/>
      <c r="O189" s="708"/>
      <c r="P189" s="708"/>
      <c r="Q189" s="442"/>
      <c r="R189" s="442"/>
      <c r="S189" s="442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N189" s="708"/>
      <c r="AO189" s="1010"/>
      <c r="AT189" s="791"/>
      <c r="AU189" s="442"/>
    </row>
    <row r="190" spans="1:47">
      <c r="A190" s="1009">
        <f t="shared" si="18"/>
        <v>3</v>
      </c>
      <c r="B190" s="746"/>
      <c r="C190" s="943" t="e">
        <f>+B190-#REF!</f>
        <v>#REF!</v>
      </c>
      <c r="D190" s="943"/>
      <c r="E190" s="827"/>
      <c r="F190" s="1003"/>
      <c r="G190" s="708"/>
      <c r="H190" s="789"/>
      <c r="I190" s="789">
        <f>Table9[[#This Row],[Points 2025]]/2+SUM(Table9[[#This Row],[O1  ADMIN 2026]:[P2       WC                   CT   Open 2026]])</f>
        <v>0</v>
      </c>
      <c r="J190" s="827">
        <f t="shared" si="12"/>
        <v>0</v>
      </c>
      <c r="K190" s="827">
        <f t="shared" si="13"/>
        <v>0</v>
      </c>
      <c r="L190" s="442" t="s">
        <v>6083</v>
      </c>
      <c r="M190" s="708"/>
      <c r="N190" s="708"/>
      <c r="O190" s="708"/>
      <c r="P190" s="708"/>
      <c r="Q190" s="442"/>
      <c r="R190" s="442"/>
      <c r="S190" s="442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N190" s="708"/>
      <c r="AO190" s="1010"/>
      <c r="AT190" s="791"/>
      <c r="AU190" s="442"/>
    </row>
    <row r="191" spans="1:47">
      <c r="A191" s="1009">
        <f t="shared" si="18"/>
        <v>4</v>
      </c>
      <c r="B191" s="746"/>
      <c r="C191" s="943" t="e">
        <f>+B191-#REF!</f>
        <v>#REF!</v>
      </c>
      <c r="D191" s="943"/>
      <c r="E191" s="827"/>
      <c r="F191" s="1003"/>
      <c r="G191" s="708"/>
      <c r="H191" s="789"/>
      <c r="I191" s="789">
        <f>Table9[[#This Row],[Points 2025]]/2+SUM(Table9[[#This Row],[O1  ADMIN 2026]:[P2       WC                   CT   Open 2026]])</f>
        <v>0</v>
      </c>
      <c r="J191" s="827">
        <f t="shared" si="12"/>
        <v>0</v>
      </c>
      <c r="K191" s="827">
        <f t="shared" si="13"/>
        <v>0</v>
      </c>
      <c r="L191" s="442" t="s">
        <v>6083</v>
      </c>
      <c r="M191" s="708"/>
      <c r="N191" s="708"/>
      <c r="O191" s="708"/>
      <c r="P191" s="708"/>
      <c r="Q191" s="442"/>
      <c r="R191" s="442"/>
      <c r="S191" s="442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N191" s="708"/>
      <c r="AO191" s="1010"/>
      <c r="AT191" s="791"/>
      <c r="AU191" s="442"/>
    </row>
    <row r="192" spans="1:47">
      <c r="A192" s="1009">
        <f t="shared" si="18"/>
        <v>5</v>
      </c>
      <c r="B192" s="746"/>
      <c r="C192" s="943" t="e">
        <f>+B192-#REF!</f>
        <v>#REF!</v>
      </c>
      <c r="D192" s="943"/>
      <c r="E192" s="827"/>
      <c r="F192" s="1003"/>
      <c r="G192" s="708"/>
      <c r="H192" s="789"/>
      <c r="I192" s="789">
        <f>Table9[[#This Row],[Points 2025]]/2+SUM(Table9[[#This Row],[O1  ADMIN 2026]:[P2       WC                   CT   Open 2026]])</f>
        <v>0</v>
      </c>
      <c r="J192" s="827">
        <f t="shared" si="12"/>
        <v>0</v>
      </c>
      <c r="K192" s="827">
        <f t="shared" si="13"/>
        <v>0</v>
      </c>
      <c r="L192" s="442" t="s">
        <v>6083</v>
      </c>
      <c r="M192" s="708"/>
      <c r="N192" s="708"/>
      <c r="O192" s="708"/>
      <c r="P192" s="708"/>
      <c r="Q192" s="442"/>
      <c r="R192" s="442"/>
      <c r="S192" s="442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/>
      <c r="AI192" s="708"/>
      <c r="AJ192" s="708"/>
      <c r="AK192" s="708"/>
      <c r="AL192" s="708"/>
      <c r="AM192" s="708"/>
      <c r="AN192" s="708"/>
      <c r="AO192" s="1010"/>
      <c r="AT192" s="791"/>
      <c r="AU192" s="442"/>
    </row>
    <row r="193" spans="1:47">
      <c r="A193" s="1009">
        <f t="shared" si="18"/>
        <v>6</v>
      </c>
      <c r="B193" s="746"/>
      <c r="C193" s="943" t="e">
        <f>+B193-#REF!</f>
        <v>#REF!</v>
      </c>
      <c r="D193" s="943"/>
      <c r="E193" s="827"/>
      <c r="F193" s="1003"/>
      <c r="G193" s="708"/>
      <c r="H193" s="789"/>
      <c r="I193" s="789">
        <f>Table9[[#This Row],[Points 2025]]/2+SUM(Table9[[#This Row],[O1  ADMIN 2026]:[P2       WC                   CT   Open 2026]])</f>
        <v>0</v>
      </c>
      <c r="J193" s="827">
        <f t="shared" si="12"/>
        <v>0</v>
      </c>
      <c r="K193" s="827">
        <f t="shared" si="13"/>
        <v>0</v>
      </c>
      <c r="L193" s="442" t="s">
        <v>6083</v>
      </c>
      <c r="M193" s="708"/>
      <c r="N193" s="708"/>
      <c r="O193" s="708"/>
      <c r="P193" s="708"/>
      <c r="Q193" s="442"/>
      <c r="R193" s="442"/>
      <c r="S193" s="442"/>
      <c r="T193" s="708"/>
      <c r="U193" s="708"/>
      <c r="V193" s="708"/>
      <c r="W193" s="708"/>
      <c r="X193" s="708"/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1010"/>
      <c r="AT193" s="791"/>
      <c r="AU193" s="442"/>
    </row>
    <row r="194" spans="1:47">
      <c r="A194" s="1009">
        <f t="shared" si="18"/>
        <v>7</v>
      </c>
      <c r="B194" s="746"/>
      <c r="C194" s="943" t="e">
        <f>+B194-#REF!</f>
        <v>#REF!</v>
      </c>
      <c r="D194" s="943"/>
      <c r="E194" s="827"/>
      <c r="F194" s="1003"/>
      <c r="G194" s="708"/>
      <c r="H194" s="789"/>
      <c r="I194" s="789">
        <f>Table9[[#This Row],[Points 2025]]/2+SUM(Table9[[#This Row],[O1  ADMIN 2026]:[P2       WC                   CT   Open 2026]])</f>
        <v>0</v>
      </c>
      <c r="J194" s="827">
        <f t="shared" si="12"/>
        <v>0</v>
      </c>
      <c r="K194" s="827">
        <f t="shared" si="13"/>
        <v>0</v>
      </c>
      <c r="L194" s="442" t="s">
        <v>6083</v>
      </c>
      <c r="M194" s="708"/>
      <c r="N194" s="708"/>
      <c r="O194" s="708"/>
      <c r="P194" s="708"/>
      <c r="Q194" s="442"/>
      <c r="R194" s="442"/>
      <c r="S194" s="442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/>
      <c r="AI194" s="708"/>
      <c r="AJ194" s="708"/>
      <c r="AK194" s="708"/>
      <c r="AL194" s="708"/>
      <c r="AM194" s="708"/>
      <c r="AN194" s="708"/>
      <c r="AO194" s="1010"/>
      <c r="AT194" s="791"/>
      <c r="AU194" s="442"/>
    </row>
    <row r="195" spans="1:47">
      <c r="A195" s="1009">
        <f t="shared" si="18"/>
        <v>8</v>
      </c>
      <c r="B195" s="746"/>
      <c r="C195" s="943" t="e">
        <f>+B195-#REF!</f>
        <v>#REF!</v>
      </c>
      <c r="D195" s="943"/>
      <c r="E195" s="827"/>
      <c r="F195" s="1003"/>
      <c r="G195" s="708"/>
      <c r="H195" s="789"/>
      <c r="I195" s="789">
        <f>Table9[[#This Row],[Points 2025]]/2+SUM(Table9[[#This Row],[O1  ADMIN 2026]:[P2       WC                   CT   Open 2026]])</f>
        <v>0</v>
      </c>
      <c r="J195" s="827">
        <f t="shared" si="12"/>
        <v>0</v>
      </c>
      <c r="K195" s="827">
        <f t="shared" si="13"/>
        <v>0</v>
      </c>
      <c r="L195" s="442" t="s">
        <v>6083</v>
      </c>
      <c r="M195" s="708"/>
      <c r="N195" s="708"/>
      <c r="O195" s="708"/>
      <c r="P195" s="708"/>
      <c r="Q195" s="442"/>
      <c r="R195" s="442"/>
      <c r="S195" s="442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/>
      <c r="AI195" s="708"/>
      <c r="AJ195" s="708"/>
      <c r="AK195" s="708"/>
      <c r="AL195" s="708"/>
      <c r="AM195" s="708"/>
      <c r="AN195" s="708"/>
      <c r="AO195" s="1010"/>
      <c r="AT195" s="791"/>
      <c r="AU195" s="442"/>
    </row>
    <row r="196" spans="1:47">
      <c r="A196" s="1009">
        <f t="shared" si="18"/>
        <v>9</v>
      </c>
      <c r="B196" s="746"/>
      <c r="C196" s="943" t="e">
        <f>+B196-#REF!</f>
        <v>#REF!</v>
      </c>
      <c r="D196" s="943"/>
      <c r="E196" s="827"/>
      <c r="F196" s="1003"/>
      <c r="G196" s="708"/>
      <c r="H196" s="789"/>
      <c r="I196" s="789">
        <f>Table9[[#This Row],[Points 2025]]/2+SUM(Table9[[#This Row],[O1  ADMIN 2026]:[P2       WC                   CT   Open 2026]])</f>
        <v>0</v>
      </c>
      <c r="J196" s="827">
        <f t="shared" si="12"/>
        <v>0</v>
      </c>
      <c r="K196" s="827">
        <f t="shared" si="13"/>
        <v>0</v>
      </c>
      <c r="L196" s="442" t="s">
        <v>6083</v>
      </c>
      <c r="M196" s="708"/>
      <c r="N196" s="708"/>
      <c r="O196" s="708"/>
      <c r="P196" s="708"/>
      <c r="Q196" s="442"/>
      <c r="R196" s="442"/>
      <c r="S196" s="442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/>
      <c r="AI196" s="708"/>
      <c r="AJ196" s="708"/>
      <c r="AK196" s="708"/>
      <c r="AL196" s="708"/>
      <c r="AM196" s="708"/>
      <c r="AN196" s="708"/>
      <c r="AO196" s="1010"/>
      <c r="AT196" s="791"/>
      <c r="AU196" s="442"/>
    </row>
    <row r="197" spans="1:47">
      <c r="A197" s="1009">
        <f t="shared" si="18"/>
        <v>10</v>
      </c>
      <c r="B197" s="746"/>
      <c r="C197" s="943" t="e">
        <f>+B197-#REF!</f>
        <v>#REF!</v>
      </c>
      <c r="D197" s="943"/>
      <c r="E197" s="827"/>
      <c r="F197" s="1003"/>
      <c r="G197" s="708"/>
      <c r="H197" s="789"/>
      <c r="I197" s="789">
        <f>Table9[[#This Row],[Points 2025]]/2+SUM(Table9[[#This Row],[O1  ADMIN 2026]:[P2       WC                   CT   Open 2026]])</f>
        <v>0</v>
      </c>
      <c r="J197" s="827">
        <f t="shared" ref="J197:J207" si="19">COUNTIF(L197:O197,"&gt;0")</f>
        <v>0</v>
      </c>
      <c r="K197" s="827">
        <f t="shared" ref="K197:K207" si="20">COUNTIF(M197:AO197,"&lt;0")</f>
        <v>0</v>
      </c>
      <c r="L197" s="442" t="s">
        <v>6083</v>
      </c>
      <c r="M197" s="708"/>
      <c r="N197" s="708"/>
      <c r="O197" s="708"/>
      <c r="P197" s="708"/>
      <c r="Q197" s="442"/>
      <c r="R197" s="442"/>
      <c r="S197" s="442"/>
      <c r="T197" s="708"/>
      <c r="U197" s="708"/>
      <c r="V197" s="708"/>
      <c r="W197" s="708"/>
      <c r="X197" s="708"/>
      <c r="Y197" s="708"/>
      <c r="Z197" s="708"/>
      <c r="AA197" s="708"/>
      <c r="AB197" s="708"/>
      <c r="AC197" s="708"/>
      <c r="AD197" s="708"/>
      <c r="AE197" s="708"/>
      <c r="AF197" s="708"/>
      <c r="AG197" s="708"/>
      <c r="AH197" s="708"/>
      <c r="AI197" s="708"/>
      <c r="AJ197" s="708"/>
      <c r="AK197" s="708"/>
      <c r="AL197" s="708"/>
      <c r="AM197" s="708"/>
      <c r="AN197" s="708"/>
      <c r="AO197" s="1010"/>
      <c r="AT197" s="791"/>
      <c r="AU197" s="442"/>
    </row>
    <row r="198" spans="1:47">
      <c r="A198" s="1009">
        <f t="shared" si="18"/>
        <v>11</v>
      </c>
      <c r="B198" s="746"/>
      <c r="C198" s="943" t="e">
        <f>+B198-#REF!</f>
        <v>#REF!</v>
      </c>
      <c r="D198" s="943"/>
      <c r="E198" s="827"/>
      <c r="F198" s="1003"/>
      <c r="G198" s="708"/>
      <c r="H198" s="789"/>
      <c r="I198" s="789">
        <f>Table9[[#This Row],[Points 2025]]/2+SUM(Table9[[#This Row],[O1  ADMIN 2026]:[P2       WC                   CT   Open 2026]])</f>
        <v>0</v>
      </c>
      <c r="J198" s="827">
        <f t="shared" si="19"/>
        <v>0</v>
      </c>
      <c r="K198" s="827">
        <f t="shared" si="20"/>
        <v>0</v>
      </c>
      <c r="L198" s="442"/>
      <c r="M198" s="708"/>
      <c r="N198" s="708"/>
      <c r="O198" s="708"/>
      <c r="P198" s="708"/>
      <c r="Q198" s="442"/>
      <c r="R198" s="442"/>
      <c r="S198" s="442"/>
      <c r="T198" s="708"/>
      <c r="U198" s="708"/>
      <c r="V198" s="708"/>
      <c r="W198" s="708"/>
      <c r="X198" s="708"/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N198" s="708"/>
      <c r="AO198" s="1010"/>
      <c r="AU198" s="791"/>
    </row>
    <row r="199" spans="1:47">
      <c r="A199" s="1009">
        <f t="shared" si="18"/>
        <v>12</v>
      </c>
      <c r="B199" s="746"/>
      <c r="C199" s="943" t="e">
        <f>+B199-#REF!</f>
        <v>#REF!</v>
      </c>
      <c r="D199" s="943"/>
      <c r="E199" s="827"/>
      <c r="F199" s="1003"/>
      <c r="G199" s="708"/>
      <c r="H199" s="789"/>
      <c r="I199" s="789">
        <f>Table9[[#This Row],[Points 2025]]/2+SUM(Table9[[#This Row],[O1  ADMIN 2026]:[P2       WC                   CT   Open 2026]])</f>
        <v>0</v>
      </c>
      <c r="J199" s="827">
        <f t="shared" si="19"/>
        <v>0</v>
      </c>
      <c r="K199" s="827">
        <f t="shared" si="20"/>
        <v>0</v>
      </c>
      <c r="L199" s="442"/>
      <c r="M199" s="708"/>
      <c r="N199" s="708"/>
      <c r="O199" s="708"/>
      <c r="P199" s="708"/>
      <c r="Q199" s="442"/>
      <c r="R199" s="442"/>
      <c r="S199" s="442"/>
      <c r="T199" s="708"/>
      <c r="U199" s="708"/>
      <c r="V199" s="708"/>
      <c r="W199" s="708"/>
      <c r="X199" s="708"/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1010"/>
      <c r="AU199" s="791"/>
    </row>
    <row r="200" spans="1:47">
      <c r="A200" s="1009">
        <f t="shared" si="18"/>
        <v>13</v>
      </c>
      <c r="B200" s="746"/>
      <c r="C200" s="943" t="e">
        <f>+B200-#REF!</f>
        <v>#REF!</v>
      </c>
      <c r="D200" s="943"/>
      <c r="E200" s="827"/>
      <c r="F200" s="1003"/>
      <c r="G200" s="708"/>
      <c r="H200" s="789"/>
      <c r="I200" s="789">
        <f>Table9[[#This Row],[Points 2025]]/2+SUM(Table9[[#This Row],[O1  ADMIN 2026]:[P2       WC                   CT   Open 2026]])</f>
        <v>0</v>
      </c>
      <c r="J200" s="827">
        <f t="shared" si="19"/>
        <v>0</v>
      </c>
      <c r="K200" s="827">
        <f t="shared" si="20"/>
        <v>0</v>
      </c>
      <c r="L200" s="442"/>
      <c r="M200" s="708"/>
      <c r="N200" s="708"/>
      <c r="O200" s="708"/>
      <c r="P200" s="708"/>
      <c r="Q200" s="442"/>
      <c r="R200" s="442"/>
      <c r="S200" s="442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N200" s="708"/>
      <c r="AO200" s="1010"/>
      <c r="AU200" s="791"/>
    </row>
    <row r="201" spans="1:47">
      <c r="A201" s="1009">
        <f t="shared" si="18"/>
        <v>14</v>
      </c>
      <c r="B201" s="746"/>
      <c r="C201" s="943" t="e">
        <f>+B201-#REF!</f>
        <v>#REF!</v>
      </c>
      <c r="D201" s="943"/>
      <c r="E201" s="827"/>
      <c r="F201" s="1003"/>
      <c r="G201" s="708"/>
      <c r="H201" s="789"/>
      <c r="I201" s="789">
        <f>Table9[[#This Row],[Points 2025]]/2+SUM(Table9[[#This Row],[O1  ADMIN 2026]:[P2       WC                   CT   Open 2026]])</f>
        <v>0</v>
      </c>
      <c r="J201" s="827">
        <f t="shared" si="19"/>
        <v>0</v>
      </c>
      <c r="K201" s="827">
        <f t="shared" si="20"/>
        <v>0</v>
      </c>
      <c r="L201" s="442"/>
      <c r="M201" s="708"/>
      <c r="N201" s="708"/>
      <c r="O201" s="708"/>
      <c r="P201" s="708"/>
      <c r="Q201" s="442"/>
      <c r="R201" s="442"/>
      <c r="S201" s="442"/>
      <c r="T201" s="708"/>
      <c r="U201" s="708"/>
      <c r="V201" s="708"/>
      <c r="W201" s="708"/>
      <c r="X201" s="708"/>
      <c r="Y201" s="708"/>
      <c r="Z201" s="708"/>
      <c r="AA201" s="708"/>
      <c r="AB201" s="708"/>
      <c r="AC201" s="708"/>
      <c r="AD201" s="708"/>
      <c r="AE201" s="708"/>
      <c r="AF201" s="708"/>
      <c r="AG201" s="708"/>
      <c r="AH201" s="708"/>
      <c r="AI201" s="708"/>
      <c r="AJ201" s="708"/>
      <c r="AK201" s="708"/>
      <c r="AL201" s="708"/>
      <c r="AM201" s="708"/>
      <c r="AN201" s="708"/>
      <c r="AO201" s="1010"/>
      <c r="AU201" s="791"/>
    </row>
    <row r="202" spans="1:47">
      <c r="A202" s="1009">
        <f t="shared" si="18"/>
        <v>15</v>
      </c>
      <c r="B202" s="746"/>
      <c r="C202" s="943" t="e">
        <f>+B202-#REF!</f>
        <v>#REF!</v>
      </c>
      <c r="D202" s="943"/>
      <c r="E202" s="827"/>
      <c r="F202" s="1003"/>
      <c r="G202" s="708"/>
      <c r="H202" s="789"/>
      <c r="I202" s="789">
        <f>Table9[[#This Row],[Points 2025]]/2+SUM(Table9[[#This Row],[O1  ADMIN 2026]:[P2       WC                   CT   Open 2026]])</f>
        <v>0</v>
      </c>
      <c r="J202" s="827">
        <f t="shared" si="19"/>
        <v>0</v>
      </c>
      <c r="K202" s="827">
        <f t="shared" si="20"/>
        <v>0</v>
      </c>
      <c r="L202" s="442"/>
      <c r="M202" s="708"/>
      <c r="N202" s="708"/>
      <c r="O202" s="708"/>
      <c r="P202" s="708"/>
      <c r="Q202" s="442"/>
      <c r="R202" s="442"/>
      <c r="S202" s="442"/>
      <c r="T202" s="708"/>
      <c r="U202" s="708"/>
      <c r="V202" s="708"/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1010"/>
      <c r="AU202" s="791"/>
    </row>
    <row r="203" spans="1:47">
      <c r="A203" s="1009">
        <f t="shared" si="18"/>
        <v>16</v>
      </c>
      <c r="B203" s="746"/>
      <c r="C203" s="943" t="e">
        <f>+B203-#REF!</f>
        <v>#REF!</v>
      </c>
      <c r="D203" s="943"/>
      <c r="E203" s="827"/>
      <c r="F203" s="1003"/>
      <c r="G203" s="708"/>
      <c r="H203" s="789"/>
      <c r="I203" s="789">
        <f>Table9[[#This Row],[Points 2025]]/2+SUM(Table9[[#This Row],[O1  ADMIN 2026]:[P2       WC                   CT   Open 2026]])</f>
        <v>0</v>
      </c>
      <c r="J203" s="827">
        <f t="shared" si="19"/>
        <v>0</v>
      </c>
      <c r="K203" s="827">
        <f t="shared" si="20"/>
        <v>0</v>
      </c>
      <c r="L203" s="442"/>
      <c r="M203" s="708"/>
      <c r="N203" s="708"/>
      <c r="O203" s="708"/>
      <c r="P203" s="708"/>
      <c r="Q203" s="442"/>
      <c r="R203" s="442"/>
      <c r="S203" s="442"/>
      <c r="T203" s="708"/>
      <c r="U203" s="708"/>
      <c r="V203" s="708"/>
      <c r="W203" s="708"/>
      <c r="X203" s="708"/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1010"/>
      <c r="AU203" s="791"/>
    </row>
    <row r="204" spans="1:47">
      <c r="A204" s="1009">
        <f t="shared" si="18"/>
        <v>17</v>
      </c>
      <c r="B204" s="746"/>
      <c r="C204" s="943" t="e">
        <f>+B204-#REF!</f>
        <v>#REF!</v>
      </c>
      <c r="D204" s="943"/>
      <c r="E204" s="827"/>
      <c r="F204" s="1003"/>
      <c r="G204" s="708"/>
      <c r="H204" s="789"/>
      <c r="I204" s="789">
        <f>Table9[[#This Row],[Points 2025]]/2+SUM(Table9[[#This Row],[O1  ADMIN 2026]:[P2       WC                   CT   Open 2026]])</f>
        <v>0</v>
      </c>
      <c r="J204" s="827">
        <f t="shared" si="19"/>
        <v>0</v>
      </c>
      <c r="K204" s="827">
        <f t="shared" si="20"/>
        <v>0</v>
      </c>
      <c r="L204" s="442"/>
      <c r="M204" s="708"/>
      <c r="N204" s="708"/>
      <c r="O204" s="708"/>
      <c r="P204" s="708"/>
      <c r="Q204" s="442"/>
      <c r="R204" s="442"/>
      <c r="S204" s="442"/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N204" s="708"/>
      <c r="AO204" s="1010"/>
      <c r="AU204" s="791"/>
    </row>
    <row r="205" spans="1:47">
      <c r="A205" s="1009">
        <f t="shared" si="18"/>
        <v>18</v>
      </c>
      <c r="B205" s="746"/>
      <c r="C205" s="943" t="e">
        <f>+B205-#REF!</f>
        <v>#REF!</v>
      </c>
      <c r="D205" s="943"/>
      <c r="E205" s="827"/>
      <c r="F205" s="1003"/>
      <c r="G205" s="708"/>
      <c r="H205" s="789"/>
      <c r="I205" s="789">
        <f>Table9[[#This Row],[Points 2025]]/2+SUM(Table9[[#This Row],[O1  ADMIN 2026]:[P2       WC                   CT   Open 2026]])</f>
        <v>0</v>
      </c>
      <c r="J205" s="827">
        <f t="shared" si="19"/>
        <v>0</v>
      </c>
      <c r="K205" s="827">
        <f t="shared" si="20"/>
        <v>0</v>
      </c>
      <c r="L205" s="442"/>
      <c r="M205" s="708"/>
      <c r="N205" s="708"/>
      <c r="O205" s="708"/>
      <c r="P205" s="708"/>
      <c r="Q205" s="442"/>
      <c r="R205" s="442"/>
      <c r="S205" s="442"/>
      <c r="T205" s="708"/>
      <c r="U205" s="708"/>
      <c r="V205" s="708"/>
      <c r="W205" s="708"/>
      <c r="X205" s="708"/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N205" s="708"/>
      <c r="AO205" s="1010"/>
      <c r="AU205" s="791"/>
    </row>
    <row r="206" spans="1:47">
      <c r="A206" s="1009">
        <f t="shared" si="18"/>
        <v>19</v>
      </c>
      <c r="B206" s="746"/>
      <c r="C206" s="943" t="e">
        <f>+B206-#REF!</f>
        <v>#REF!</v>
      </c>
      <c r="D206" s="943"/>
      <c r="E206" s="827"/>
      <c r="F206" s="1003"/>
      <c r="G206" s="708"/>
      <c r="H206" s="789"/>
      <c r="I206" s="789">
        <f>Table9[[#This Row],[Points 2025]]/2+SUM(Table9[[#This Row],[O1  ADMIN 2026]:[P2       WC                   CT   Open 2026]])</f>
        <v>0</v>
      </c>
      <c r="J206" s="827">
        <f t="shared" si="19"/>
        <v>0</v>
      </c>
      <c r="K206" s="827">
        <f t="shared" si="20"/>
        <v>0</v>
      </c>
      <c r="L206" s="442"/>
      <c r="M206" s="708"/>
      <c r="N206" s="708"/>
      <c r="O206" s="708"/>
      <c r="P206" s="708"/>
      <c r="Q206" s="442"/>
      <c r="R206" s="442"/>
      <c r="S206" s="442"/>
      <c r="T206" s="708"/>
      <c r="U206" s="708"/>
      <c r="V206" s="708"/>
      <c r="W206" s="708"/>
      <c r="X206" s="708"/>
      <c r="Y206" s="708"/>
      <c r="Z206" s="708"/>
      <c r="AA206" s="708"/>
      <c r="AB206" s="708"/>
      <c r="AC206" s="708"/>
      <c r="AD206" s="708"/>
      <c r="AE206" s="708"/>
      <c r="AF206" s="708"/>
      <c r="AG206" s="708"/>
      <c r="AH206" s="708"/>
      <c r="AI206" s="708"/>
      <c r="AJ206" s="708"/>
      <c r="AK206" s="708"/>
      <c r="AL206" s="708"/>
      <c r="AM206" s="708"/>
      <c r="AN206" s="708"/>
      <c r="AO206" s="1010"/>
      <c r="AU206" s="791"/>
    </row>
    <row r="207" spans="1:47">
      <c r="A207" s="1009">
        <f t="shared" si="18"/>
        <v>20</v>
      </c>
      <c r="B207" s="746"/>
      <c r="C207" s="943" t="e">
        <f>+B207-#REF!</f>
        <v>#REF!</v>
      </c>
      <c r="D207" s="943"/>
      <c r="E207" s="827"/>
      <c r="F207" s="1003"/>
      <c r="G207" s="708"/>
      <c r="H207" s="789"/>
      <c r="I207" s="789">
        <f>Table9[[#This Row],[Points 2025]]/2+SUM(Table9[[#This Row],[O1  ADMIN 2026]:[P2       WC                   CT   Open 2026]])</f>
        <v>0</v>
      </c>
      <c r="J207" s="827">
        <f t="shared" si="19"/>
        <v>0</v>
      </c>
      <c r="K207" s="827">
        <f t="shared" si="20"/>
        <v>0</v>
      </c>
      <c r="L207" s="442"/>
      <c r="M207" s="708"/>
      <c r="N207" s="708"/>
      <c r="O207" s="708"/>
      <c r="P207" s="708"/>
      <c r="Q207" s="442"/>
      <c r="R207" s="442"/>
      <c r="S207" s="442"/>
      <c r="T207" s="708"/>
      <c r="U207" s="708"/>
      <c r="V207" s="708"/>
      <c r="W207" s="708"/>
      <c r="X207" s="708"/>
      <c r="Y207" s="708"/>
      <c r="Z207" s="708"/>
      <c r="AA207" s="708"/>
      <c r="AB207" s="708"/>
      <c r="AC207" s="708"/>
      <c r="AD207" s="708"/>
      <c r="AE207" s="708"/>
      <c r="AF207" s="708"/>
      <c r="AG207" s="708"/>
      <c r="AH207" s="708"/>
      <c r="AI207" s="708"/>
      <c r="AJ207" s="708"/>
      <c r="AK207" s="708"/>
      <c r="AL207" s="708"/>
      <c r="AM207" s="708"/>
      <c r="AN207" s="708"/>
      <c r="AO207" s="1010"/>
      <c r="AU207" s="791"/>
    </row>
    <row r="1110" spans="3:3">
      <c r="C1110" s="78">
        <v>2.2222222222222201E+93</v>
      </c>
    </row>
  </sheetData>
  <sheetProtection algorithmName="SHA-512" hashValue="/BZZ0V1kat17aewncz3RwzL246dhdYn6tovehEbRBYjMseHFxQdM/5EZ4WnLrkJVRWeF0PStPGNHlt4jkDAQKw==" saltValue="0MkOQLDCkoL29Y/O2ans2A==" spinCount="100000" sheet="1" selectLockedCells="1" sort="0" autoFilter="0" selectUnlockedCells="1"/>
  <sortState xmlns:xlrd2="http://schemas.microsoft.com/office/spreadsheetml/2017/richdata2" ref="A5:P36">
    <sortCondition ref="E5:E36"/>
  </sortState>
  <mergeCells count="14">
    <mergeCell ref="A1:J1"/>
    <mergeCell ref="C2:H2"/>
    <mergeCell ref="C3:H3"/>
    <mergeCell ref="AK3:AO3"/>
    <mergeCell ref="AF2:AO2"/>
    <mergeCell ref="AF3:AG3"/>
    <mergeCell ref="AH3:AI3"/>
    <mergeCell ref="P3:T3"/>
    <mergeCell ref="AC3:AE3"/>
    <mergeCell ref="U3:V3"/>
    <mergeCell ref="Y3:AA3"/>
    <mergeCell ref="P2:AE2"/>
    <mergeCell ref="M3:N3"/>
    <mergeCell ref="L2:O2"/>
  </mergeCells>
  <phoneticPr fontId="33" type="noConversion"/>
  <conditionalFormatting sqref="F1:F1048576">
    <cfRule type="duplicateValues" dxfId="160" priority="1"/>
  </conditionalFormatting>
  <printOptions horizontalCentered="1"/>
  <pageMargins left="0.23622047244094491" right="0.23622047244094491" top="0.15748031496062992" bottom="0.15748031496062992" header="0.31496062992125984" footer="0.31496062992125984"/>
  <pageSetup paperSize="9" scale="29" fitToHeight="0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BC146"/>
  <sheetViews>
    <sheetView workbookViewId="0">
      <pane ySplit="4" topLeftCell="A110" activePane="bottomLeft" state="frozen"/>
      <selection activeCell="D4" sqref="D4"/>
      <selection pane="bottomLeft" activeCell="E148" sqref="E148"/>
    </sheetView>
  </sheetViews>
  <sheetFormatPr defaultColWidth="8.81640625" defaultRowHeight="15.5" outlineLevelRow="1" outlineLevelCol="1"/>
  <cols>
    <col min="1" max="2" width="8.81640625" style="78" hidden="1" customWidth="1" outlineLevel="1"/>
    <col min="3" max="3" width="13.1796875" style="78" hidden="1" customWidth="1"/>
    <col min="4" max="4" width="5.7265625" style="78" customWidth="1"/>
    <col min="5" max="5" width="9" style="90" customWidth="1"/>
    <col min="6" max="6" width="27" style="91" bestFit="1" customWidth="1"/>
    <col min="7" max="7" width="11" style="90" customWidth="1"/>
    <col min="8" max="8" width="11" style="79" hidden="1" customWidth="1"/>
    <col min="9" max="9" width="11" style="79" customWidth="1"/>
    <col min="10" max="10" width="11" style="791" customWidth="1"/>
    <col min="11" max="12" width="8.453125" style="79" customWidth="1" outlineLevel="1"/>
    <col min="13" max="16" width="8.453125" style="791" customWidth="1" outlineLevel="1"/>
    <col min="17" max="18" width="8.453125" style="79" customWidth="1" outlineLevel="1"/>
    <col min="19" max="20" width="8.453125" style="117" customWidth="1" outlineLevel="1"/>
    <col min="21" max="21" width="8.453125" style="79" customWidth="1" outlineLevel="1"/>
    <col min="22" max="22" width="8.453125" style="117" customWidth="1" outlineLevel="1"/>
    <col min="23" max="24" width="8.453125" style="79" customWidth="1" outlineLevel="1"/>
    <col min="25" max="25" width="8.453125" style="117" customWidth="1" outlineLevel="1"/>
    <col min="26" max="26" width="8.453125" style="79" customWidth="1" outlineLevel="1"/>
    <col min="27" max="27" width="8.453125" style="117" customWidth="1" outlineLevel="1"/>
    <col min="28" max="29" width="9.1796875" style="79" customWidth="1" outlineLevel="1"/>
    <col min="30" max="30" width="9.1796875" style="117" customWidth="1" outlineLevel="1"/>
    <col min="31" max="38" width="9.1796875" style="79" customWidth="1" outlineLevel="1"/>
    <col min="39" max="16384" width="8.81640625" style="91"/>
  </cols>
  <sheetData>
    <row r="1" spans="1:55" ht="134.25" customHeight="1" thickBot="1">
      <c r="A1" s="238"/>
      <c r="B1" s="238"/>
      <c r="C1" s="238"/>
      <c r="D1" s="257"/>
      <c r="E1" s="257"/>
      <c r="F1" s="257"/>
      <c r="G1" s="257"/>
      <c r="H1" s="257"/>
      <c r="I1" s="257"/>
      <c r="J1" s="257"/>
      <c r="K1" s="257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243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</row>
    <row r="2" spans="1:55" ht="28.5" thickBot="1">
      <c r="A2" s="59"/>
      <c r="B2" s="82"/>
      <c r="C2" s="1157">
        <f>Tournaments!F3</f>
        <v>46113</v>
      </c>
      <c r="D2" s="1158"/>
      <c r="E2" s="1158"/>
      <c r="F2" s="1158"/>
      <c r="G2" s="1159"/>
      <c r="H2" s="239"/>
      <c r="I2" s="922"/>
      <c r="J2" s="938"/>
      <c r="K2" s="926"/>
      <c r="L2" s="925"/>
      <c r="M2" s="1244">
        <v>2026</v>
      </c>
      <c r="N2" s="1244"/>
      <c r="O2" s="1244"/>
      <c r="P2" s="1245"/>
      <c r="Q2" s="1182">
        <v>2025</v>
      </c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3"/>
      <c r="AD2" s="1183"/>
      <c r="AE2" s="1184"/>
      <c r="AF2" s="1163">
        <v>2024</v>
      </c>
      <c r="AG2" s="1160"/>
      <c r="AH2" s="1160"/>
      <c r="AI2" s="1160"/>
      <c r="AJ2" s="1160"/>
      <c r="AK2" s="1160"/>
      <c r="AL2" s="1161"/>
      <c r="AM2" s="97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</row>
    <row r="3" spans="1:55" ht="31" thickBot="1">
      <c r="A3" s="59"/>
      <c r="B3" s="59"/>
      <c r="C3" s="1175" t="s">
        <v>3627</v>
      </c>
      <c r="D3" s="1176"/>
      <c r="E3" s="1176"/>
      <c r="F3" s="1176"/>
      <c r="G3" s="1177"/>
      <c r="H3" s="979"/>
      <c r="I3" s="933"/>
      <c r="J3" s="934"/>
      <c r="K3" s="934"/>
      <c r="L3" s="928"/>
      <c r="M3" s="980" t="s">
        <v>3453</v>
      </c>
      <c r="N3" s="1182" t="s">
        <v>2406</v>
      </c>
      <c r="O3" s="1184"/>
      <c r="P3" s="429" t="s">
        <v>1914</v>
      </c>
      <c r="Q3" s="1243" t="s">
        <v>2406</v>
      </c>
      <c r="R3" s="1197"/>
      <c r="S3" s="1197"/>
      <c r="T3" s="1197"/>
      <c r="U3" s="1198"/>
      <c r="V3" s="1243" t="s">
        <v>251</v>
      </c>
      <c r="W3" s="1198"/>
      <c r="X3" s="290" t="s">
        <v>4658</v>
      </c>
      <c r="Y3" s="1243" t="s">
        <v>1914</v>
      </c>
      <c r="Z3" s="1198"/>
      <c r="AA3" s="787" t="s">
        <v>3452</v>
      </c>
      <c r="AB3" s="1243" t="s">
        <v>3453</v>
      </c>
      <c r="AC3" s="1197"/>
      <c r="AD3" s="1197"/>
      <c r="AE3" s="1198"/>
      <c r="AF3" s="258" t="s">
        <v>2406</v>
      </c>
      <c r="AG3" s="1240" t="s">
        <v>1914</v>
      </c>
      <c r="AH3" s="1241"/>
      <c r="AI3" s="258" t="s">
        <v>3452</v>
      </c>
      <c r="AJ3" s="1240" t="s">
        <v>3453</v>
      </c>
      <c r="AK3" s="1242"/>
      <c r="AL3" s="1241"/>
      <c r="AM3" s="97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</row>
    <row r="4" spans="1:55" ht="87.5" outlineLevel="1" thickBot="1">
      <c r="A4" s="252" t="s">
        <v>3279</v>
      </c>
      <c r="B4" s="253" t="s">
        <v>3751</v>
      </c>
      <c r="C4" s="102" t="s">
        <v>3874</v>
      </c>
      <c r="D4" s="102" t="s">
        <v>80</v>
      </c>
      <c r="E4" s="102" t="s">
        <v>113</v>
      </c>
      <c r="F4" s="103" t="s">
        <v>3076</v>
      </c>
      <c r="G4" s="102" t="s">
        <v>3502</v>
      </c>
      <c r="H4" s="102" t="s">
        <v>4238</v>
      </c>
      <c r="I4" s="924" t="s">
        <v>4930</v>
      </c>
      <c r="J4" s="924" t="s">
        <v>6139</v>
      </c>
      <c r="K4" s="924" t="s">
        <v>219</v>
      </c>
      <c r="L4" s="924" t="s">
        <v>4237</v>
      </c>
      <c r="M4" s="924" t="s">
        <v>6209</v>
      </c>
      <c r="N4" s="104" t="s">
        <v>6155</v>
      </c>
      <c r="O4" s="104" t="s">
        <v>6157</v>
      </c>
      <c r="P4" s="104" t="s">
        <v>6145</v>
      </c>
      <c r="Q4" s="104" t="s">
        <v>6153</v>
      </c>
      <c r="R4" s="104" t="s">
        <v>5249</v>
      </c>
      <c r="S4" s="104" t="s">
        <v>5645</v>
      </c>
      <c r="T4" s="104" t="s">
        <v>5691</v>
      </c>
      <c r="U4" s="104" t="s">
        <v>5077</v>
      </c>
      <c r="V4" s="104" t="s">
        <v>5640</v>
      </c>
      <c r="W4" s="104" t="s">
        <v>5221</v>
      </c>
      <c r="X4" s="104" t="s">
        <v>5501</v>
      </c>
      <c r="Y4" s="104" t="s">
        <v>5513</v>
      </c>
      <c r="Z4" s="104" t="s">
        <v>5399</v>
      </c>
      <c r="AA4" s="104" t="s">
        <v>6049</v>
      </c>
      <c r="AB4" s="104" t="s">
        <v>5408</v>
      </c>
      <c r="AC4" s="104" t="s">
        <v>5400</v>
      </c>
      <c r="AD4" s="104" t="s">
        <v>6060</v>
      </c>
      <c r="AE4" s="104" t="s">
        <v>5768</v>
      </c>
      <c r="AF4" s="104" t="s">
        <v>4935</v>
      </c>
      <c r="AG4" s="104" t="s">
        <v>4327</v>
      </c>
      <c r="AH4" s="104" t="s">
        <v>4329</v>
      </c>
      <c r="AI4" s="102" t="s">
        <v>4845</v>
      </c>
      <c r="AJ4" s="104" t="s">
        <v>4501</v>
      </c>
      <c r="AK4" s="104" t="s">
        <v>4721</v>
      </c>
      <c r="AL4" s="104" t="s">
        <v>4326</v>
      </c>
      <c r="AM4" s="97"/>
    </row>
    <row r="5" spans="1:55" s="92" customFormat="1">
      <c r="A5" s="63"/>
      <c r="B5" s="61"/>
      <c r="C5" s="105">
        <f t="shared" ref="C5:C36" si="0">+B5-D5</f>
        <v>-1</v>
      </c>
      <c r="D5" s="106">
        <v>1</v>
      </c>
      <c r="E5" s="106">
        <v>4010</v>
      </c>
      <c r="F5" s="107" t="str">
        <f>IFERROR(VLOOKUP(Table818[[#This Row],[Player No]],Table10[[No]:[Province]],2,0),"")</f>
        <v>RAMCHURRAN Diyaan</v>
      </c>
      <c r="G5" s="108" t="str">
        <f>IFERROR(VLOOKUP(Table818[[#This Row],[Player No]],Table10[[No]:[Province]],3,0),"")</f>
        <v>UMG</v>
      </c>
      <c r="H5" s="109">
        <v>25</v>
      </c>
      <c r="I5" s="110">
        <v>647.5</v>
      </c>
      <c r="J5" s="110">
        <f>Table818[[#This Row],[Points 2025]]/2+SUM(Table818[[#This Row],[O1  ADMIN 2026]:[P2           WC         CT Open 2026]])</f>
        <v>373.75</v>
      </c>
      <c r="K5" s="106">
        <f t="shared" ref="K5:K36" si="1">COUNTIF(M5:P5,"&gt;0")</f>
        <v>1</v>
      </c>
      <c r="L5" s="106">
        <f t="shared" ref="L5:L36" si="2">COUNTIF(N5:AL5,"&lt;0")</f>
        <v>0</v>
      </c>
      <c r="M5" s="106"/>
      <c r="N5" s="106"/>
      <c r="O5" s="106">
        <v>50</v>
      </c>
      <c r="P5" s="106"/>
      <c r="Q5" s="106">
        <v>150</v>
      </c>
      <c r="R5" s="106">
        <v>50</v>
      </c>
      <c r="S5" s="106">
        <v>35</v>
      </c>
      <c r="T5" s="63"/>
      <c r="U5" s="106">
        <v>50</v>
      </c>
      <c r="V5" s="106"/>
      <c r="W5" s="106"/>
      <c r="X5" s="106"/>
      <c r="Y5" s="63"/>
      <c r="Z5" s="106"/>
      <c r="AA5" s="106">
        <v>250</v>
      </c>
      <c r="AB5" s="106"/>
      <c r="AC5" s="106">
        <v>50</v>
      </c>
      <c r="AD5" s="106"/>
      <c r="AE5" s="106">
        <v>50</v>
      </c>
      <c r="AF5" s="106"/>
      <c r="AG5" s="106"/>
      <c r="AH5" s="106"/>
      <c r="AI5" s="106">
        <v>25</v>
      </c>
      <c r="AJ5" s="106"/>
      <c r="AK5" s="106"/>
      <c r="AL5" s="106"/>
    </row>
    <row r="6" spans="1:55" s="92" customFormat="1">
      <c r="A6" s="63"/>
      <c r="B6" s="61">
        <v>4</v>
      </c>
      <c r="C6" s="105">
        <f t="shared" si="0"/>
        <v>2</v>
      </c>
      <c r="D6" s="63">
        <f>+D5+1</f>
        <v>2</v>
      </c>
      <c r="E6" s="63">
        <v>4018</v>
      </c>
      <c r="F6" s="64" t="str">
        <f>IFERROR(VLOOKUP(Table818[[#This Row],[Player No]],Table10[[No]:[Province]],2,0),"")</f>
        <v>GOKHALE Aakash</v>
      </c>
      <c r="G6" s="65" t="str">
        <f>IFERROR(VLOOKUP(Table818[[#This Row],[Player No]],Table10[[No]:[Province]],3,0),"")</f>
        <v>GN</v>
      </c>
      <c r="H6" s="66">
        <v>75</v>
      </c>
      <c r="I6" s="110">
        <v>462.5</v>
      </c>
      <c r="J6" s="110">
        <f>Table818[[#This Row],[Points 2025]]/2+SUM(Table818[[#This Row],[O1  ADMIN 2026]:[P2           WC         CT Open 2026]])</f>
        <v>231.25</v>
      </c>
      <c r="K6" s="106">
        <f t="shared" si="1"/>
        <v>0</v>
      </c>
      <c r="L6" s="106">
        <f t="shared" si="2"/>
        <v>0</v>
      </c>
      <c r="M6" s="106"/>
      <c r="N6" s="106"/>
      <c r="O6" s="106"/>
      <c r="P6" s="106"/>
      <c r="Q6" s="63"/>
      <c r="R6" s="63"/>
      <c r="S6" s="114"/>
      <c r="T6" s="63">
        <v>100</v>
      </c>
      <c r="U6" s="63"/>
      <c r="V6" s="114"/>
      <c r="W6" s="63"/>
      <c r="X6" s="63">
        <v>50</v>
      </c>
      <c r="Y6" s="63"/>
      <c r="Z6" s="63"/>
      <c r="AA6" s="114">
        <v>175</v>
      </c>
      <c r="AB6" s="63"/>
      <c r="AC6" s="63">
        <v>25</v>
      </c>
      <c r="AD6" s="114"/>
      <c r="AE6" s="63">
        <v>75</v>
      </c>
      <c r="AF6" s="63"/>
      <c r="AG6" s="63"/>
      <c r="AH6" s="63"/>
      <c r="AI6" s="63">
        <v>75</v>
      </c>
      <c r="AJ6" s="63"/>
      <c r="AK6" s="63"/>
      <c r="AL6" s="63"/>
    </row>
    <row r="7" spans="1:55" s="92" customFormat="1">
      <c r="A7" s="63" t="str">
        <f>IFERROR(VLOOKUP(Table818[[#This Row],[Player No]],Table10[[#All],[No]:[Age Group]],4,0),"")</f>
        <v>U11</v>
      </c>
      <c r="B7" s="61">
        <v>37</v>
      </c>
      <c r="C7" s="62">
        <f t="shared" si="0"/>
        <v>34</v>
      </c>
      <c r="D7" s="63">
        <f>+D6+1</f>
        <v>3</v>
      </c>
      <c r="E7" s="63">
        <v>3864</v>
      </c>
      <c r="F7" s="64" t="str">
        <f>IFERROR(VLOOKUP(Table818[[#This Row],[Player No]],Table10[[No]:[Province]],2,0),"")</f>
        <v>TIFFLIN Saeed</v>
      </c>
      <c r="G7" s="65" t="str">
        <f>IFERROR(VLOOKUP(Table818[[#This Row],[Player No]],Table10[[No]:[Province]],3,0),"")</f>
        <v>JTTA</v>
      </c>
      <c r="H7" s="66">
        <v>117.5</v>
      </c>
      <c r="I7" s="96">
        <v>346.25</v>
      </c>
      <c r="J7" s="110">
        <f>Table818[[#This Row],[Points 2025]]/2+SUM(Table818[[#This Row],[O1  ADMIN 2026]:[P2           WC         CT Open 2026]])</f>
        <v>173.125</v>
      </c>
      <c r="K7" s="106">
        <f t="shared" si="1"/>
        <v>0</v>
      </c>
      <c r="L7" s="106">
        <f t="shared" si="2"/>
        <v>0</v>
      </c>
      <c r="M7" s="106"/>
      <c r="N7" s="106"/>
      <c r="O7" s="106"/>
      <c r="P7" s="106"/>
      <c r="Q7" s="63"/>
      <c r="R7" s="63"/>
      <c r="S7" s="114"/>
      <c r="T7" s="63"/>
      <c r="U7" s="63"/>
      <c r="V7" s="114">
        <v>100</v>
      </c>
      <c r="W7" s="63"/>
      <c r="X7" s="63"/>
      <c r="Y7" s="63"/>
      <c r="Z7" s="63"/>
      <c r="AA7" s="114">
        <v>50</v>
      </c>
      <c r="AB7" s="63">
        <v>17.5</v>
      </c>
      <c r="AC7" s="63">
        <v>100</v>
      </c>
      <c r="AD7" s="114"/>
      <c r="AE7" s="63">
        <v>20</v>
      </c>
      <c r="AF7" s="63"/>
      <c r="AG7" s="63"/>
      <c r="AH7" s="63"/>
      <c r="AI7" s="63">
        <v>25</v>
      </c>
      <c r="AJ7" s="63">
        <f>35/2</f>
        <v>17.5</v>
      </c>
      <c r="AK7" s="63">
        <v>75</v>
      </c>
      <c r="AL7" s="63"/>
    </row>
    <row r="8" spans="1:55" s="92" customFormat="1">
      <c r="A8" s="63" t="str">
        <f>IFERROR(VLOOKUP(Table818[[#This Row],[Player No]],Table10[[#All],[No]:[Age Group]],4,0),"")</f>
        <v>U11</v>
      </c>
      <c r="B8" s="61">
        <v>6</v>
      </c>
      <c r="C8" s="62">
        <f t="shared" si="0"/>
        <v>2</v>
      </c>
      <c r="D8" s="63">
        <f>D7+1</f>
        <v>4</v>
      </c>
      <c r="E8" s="63">
        <v>3850</v>
      </c>
      <c r="F8" s="64" t="str">
        <f>IFERROR(VLOOKUP(Table818[[#This Row],[Player No]],Table10[[No]:[Province]],2,0),"")</f>
        <v>PADAYACHEE Vaishant</v>
      </c>
      <c r="G8" s="65" t="str">
        <f>IFERROR(VLOOKUP(Table818[[#This Row],[Player No]],Table10[[No]:[Province]],3,0),"")</f>
        <v>JTTA</v>
      </c>
      <c r="H8" s="66">
        <v>117.5</v>
      </c>
      <c r="I8" s="96">
        <v>343.75</v>
      </c>
      <c r="J8" s="110">
        <f>Table818[[#This Row],[Points 2025]]/2+SUM(Table818[[#This Row],[O1  ADMIN 2026]:[P2           WC         CT Open 2026]])</f>
        <v>171.875</v>
      </c>
      <c r="K8" s="106">
        <f t="shared" si="1"/>
        <v>0</v>
      </c>
      <c r="L8" s="106">
        <f t="shared" si="2"/>
        <v>0</v>
      </c>
      <c r="M8" s="106"/>
      <c r="N8" s="106"/>
      <c r="O8" s="106"/>
      <c r="P8" s="106"/>
      <c r="Q8" s="63">
        <v>75</v>
      </c>
      <c r="R8" s="63"/>
      <c r="S8" s="114"/>
      <c r="T8" s="63"/>
      <c r="U8" s="63"/>
      <c r="V8" s="114"/>
      <c r="W8" s="63"/>
      <c r="X8" s="63">
        <v>25</v>
      </c>
      <c r="Y8" s="63"/>
      <c r="Z8" s="63"/>
      <c r="AA8" s="114">
        <v>50</v>
      </c>
      <c r="AB8" s="63">
        <v>25</v>
      </c>
      <c r="AC8" s="63">
        <v>75</v>
      </c>
      <c r="AD8" s="114"/>
      <c r="AE8" s="63">
        <v>35</v>
      </c>
      <c r="AF8" s="63"/>
      <c r="AG8" s="63"/>
      <c r="AH8" s="63"/>
      <c r="AI8" s="63">
        <v>5</v>
      </c>
      <c r="AJ8" s="63">
        <f>50/2</f>
        <v>25</v>
      </c>
      <c r="AK8" s="63">
        <v>50</v>
      </c>
      <c r="AL8" s="63">
        <f>75/2</f>
        <v>37.5</v>
      </c>
    </row>
    <row r="9" spans="1:55" s="92" customFormat="1">
      <c r="A9" s="63">
        <f>IFERROR(VLOOKUP(Table818[[#This Row],[Player No]],Table10[[#All],[No]:[Age Group]],4,0),"")</f>
        <v>0</v>
      </c>
      <c r="B9" s="61">
        <v>9</v>
      </c>
      <c r="C9" s="62">
        <f t="shared" si="0"/>
        <v>4</v>
      </c>
      <c r="D9" s="63">
        <f t="shared" ref="D9:D40" si="3">+D8+1</f>
        <v>5</v>
      </c>
      <c r="E9" s="63">
        <v>3381</v>
      </c>
      <c r="F9" s="64" t="str">
        <f>IFERROR(VLOOKUP(Table818[[#This Row],[Player No]],Table10[[No]:[Province]],2,0),"")</f>
        <v>SCHRIEFF Samuel</v>
      </c>
      <c r="G9" s="65" t="str">
        <f>IFERROR(VLOOKUP(Table818[[#This Row],[Player No]],Table10[[No]:[Province]],3,0),"")</f>
        <v>CT</v>
      </c>
      <c r="H9" s="66">
        <v>171.5</v>
      </c>
      <c r="I9" s="96">
        <v>303.25</v>
      </c>
      <c r="J9" s="110">
        <f>Table818[[#This Row],[Points 2025]]/2+SUM(Table818[[#This Row],[O1  ADMIN 2026]:[P2           WC         CT Open 2026]])</f>
        <v>151.625</v>
      </c>
      <c r="K9" s="106">
        <f t="shared" si="1"/>
        <v>0</v>
      </c>
      <c r="L9" s="106">
        <f t="shared" si="2"/>
        <v>0</v>
      </c>
      <c r="M9" s="106"/>
      <c r="N9" s="106"/>
      <c r="O9" s="106"/>
      <c r="P9" s="106"/>
      <c r="Q9" s="63"/>
      <c r="R9" s="63"/>
      <c r="S9" s="114"/>
      <c r="T9" s="63"/>
      <c r="U9" s="63"/>
      <c r="V9" s="114">
        <v>50</v>
      </c>
      <c r="W9" s="63"/>
      <c r="X9" s="63"/>
      <c r="Y9" s="63">
        <v>17.5</v>
      </c>
      <c r="Z9" s="63">
        <v>75</v>
      </c>
      <c r="AA9" s="114">
        <v>75</v>
      </c>
      <c r="AB9" s="63"/>
      <c r="AC9" s="63"/>
      <c r="AD9" s="114"/>
      <c r="AE9" s="63"/>
      <c r="AF9" s="63"/>
      <c r="AG9" s="63">
        <v>1</v>
      </c>
      <c r="AH9" s="63">
        <f>50-50</f>
        <v>0</v>
      </c>
      <c r="AI9" s="63">
        <v>50</v>
      </c>
      <c r="AJ9" s="63"/>
      <c r="AK9" s="63">
        <v>75</v>
      </c>
      <c r="AL9" s="63"/>
    </row>
    <row r="10" spans="1:55" s="92" customFormat="1">
      <c r="A10" s="63" t="str">
        <f>IFERROR(VLOOKUP(Table818[[#This Row],[Player No]],Table10[[#All],[No]:[Age Group]],4,0),"")</f>
        <v>U11</v>
      </c>
      <c r="B10" s="61">
        <v>17</v>
      </c>
      <c r="C10" s="62">
        <f t="shared" si="0"/>
        <v>11</v>
      </c>
      <c r="D10" s="63">
        <f t="shared" si="3"/>
        <v>6</v>
      </c>
      <c r="E10" s="63">
        <v>3800</v>
      </c>
      <c r="F10" s="64" t="str">
        <f>IFERROR(VLOOKUP(Table818[[#This Row],[Player No]],Table10[[No]:[Province]],2,0),"")</f>
        <v>VILAKAZI Mhlengi Kwanele</v>
      </c>
      <c r="G10" s="65" t="str">
        <f>IFERROR(VLOOKUP(Table818[[#This Row],[Player No]],Table10[[No]:[Province]],3,0),"")</f>
        <v>ETTA</v>
      </c>
      <c r="H10" s="66">
        <v>87.5</v>
      </c>
      <c r="I10" s="96">
        <v>268.75</v>
      </c>
      <c r="J10" s="110">
        <f>Table818[[#This Row],[Points 2025]]/2+SUM(Table818[[#This Row],[O1  ADMIN 2026]:[P2           WC         CT Open 2026]])</f>
        <v>134.375</v>
      </c>
      <c r="K10" s="106">
        <f t="shared" si="1"/>
        <v>0</v>
      </c>
      <c r="L10" s="106">
        <f t="shared" si="2"/>
        <v>0</v>
      </c>
      <c r="M10" s="106"/>
      <c r="N10" s="106"/>
      <c r="O10" s="106"/>
      <c r="P10" s="106"/>
      <c r="Q10" s="63">
        <v>100</v>
      </c>
      <c r="R10" s="63">
        <v>25</v>
      </c>
      <c r="S10" s="114"/>
      <c r="T10" s="63">
        <v>50</v>
      </c>
      <c r="U10" s="63"/>
      <c r="V10" s="114"/>
      <c r="W10" s="63"/>
      <c r="X10" s="63"/>
      <c r="Y10" s="63"/>
      <c r="Z10" s="63"/>
      <c r="AA10" s="114">
        <v>50</v>
      </c>
      <c r="AB10" s="63"/>
      <c r="AC10" s="63"/>
      <c r="AD10" s="114"/>
      <c r="AE10" s="63"/>
      <c r="AF10" s="63">
        <f>75/2</f>
        <v>37.5</v>
      </c>
      <c r="AG10" s="63"/>
      <c r="AH10" s="63"/>
      <c r="AI10" s="63">
        <v>50</v>
      </c>
      <c r="AJ10" s="63"/>
      <c r="AK10" s="63"/>
      <c r="AL10" s="63"/>
    </row>
    <row r="11" spans="1:55" s="594" customFormat="1">
      <c r="A11" s="63">
        <f>IFERROR(VLOOKUP(Table818[[#This Row],[Player No]],Table10[[#All],[No]:[Age Group]],4,0),"")</f>
        <v>0</v>
      </c>
      <c r="B11" s="61">
        <v>10</v>
      </c>
      <c r="C11" s="62">
        <f t="shared" si="0"/>
        <v>3</v>
      </c>
      <c r="D11" s="63">
        <f t="shared" si="3"/>
        <v>7</v>
      </c>
      <c r="E11" s="63">
        <v>3479</v>
      </c>
      <c r="F11" s="64" t="str">
        <f>IFERROR(VLOOKUP(Table818[[#This Row],[Player No]],Table10[[No]:[Province]],2,0),"")</f>
        <v>MARUMO Amogelang</v>
      </c>
      <c r="G11" s="65" t="str">
        <f>IFERROR(VLOOKUP(Table818[[#This Row],[Player No]],Table10[[No]:[Province]],3,0),"")</f>
        <v>FS</v>
      </c>
      <c r="H11" s="66">
        <v>93.75</v>
      </c>
      <c r="I11" s="110">
        <v>221.875</v>
      </c>
      <c r="J11" s="110">
        <f>Table818[[#This Row],[Points 2025]]/2+SUM(Table818[[#This Row],[O1  ADMIN 2026]:[P2           WC         CT Open 2026]])</f>
        <v>110.9375</v>
      </c>
      <c r="K11" s="106">
        <f t="shared" si="1"/>
        <v>0</v>
      </c>
      <c r="L11" s="106">
        <f t="shared" si="2"/>
        <v>0</v>
      </c>
      <c r="M11" s="106"/>
      <c r="N11" s="106"/>
      <c r="O11" s="106"/>
      <c r="P11" s="106"/>
      <c r="Q11" s="63"/>
      <c r="R11" s="63"/>
      <c r="S11" s="114"/>
      <c r="T11" s="63"/>
      <c r="U11" s="63"/>
      <c r="V11" s="114">
        <v>75</v>
      </c>
      <c r="W11" s="63">
        <v>25</v>
      </c>
      <c r="X11" s="63"/>
      <c r="Y11" s="63"/>
      <c r="Z11" s="63"/>
      <c r="AA11" s="114">
        <v>75</v>
      </c>
      <c r="AB11" s="63"/>
      <c r="AC11" s="63"/>
      <c r="AD11" s="114"/>
      <c r="AE11" s="63"/>
      <c r="AF11" s="63"/>
      <c r="AG11" s="63"/>
      <c r="AH11" s="63"/>
      <c r="AI11" s="63">
        <v>50</v>
      </c>
      <c r="AJ11" s="63"/>
      <c r="AK11" s="63"/>
      <c r="AL11" s="63"/>
    </row>
    <row r="12" spans="1:55" s="92" customFormat="1">
      <c r="A12" s="61"/>
      <c r="B12" s="61"/>
      <c r="C12" s="62">
        <f t="shared" si="0"/>
        <v>-8</v>
      </c>
      <c r="D12" s="63">
        <f t="shared" si="3"/>
        <v>8</v>
      </c>
      <c r="E12" s="76">
        <v>4236</v>
      </c>
      <c r="F12" s="64" t="str">
        <f>IFERROR(VLOOKUP(Table818[[#This Row],[Player No]],Table10[[No]:[Province]],2,0),"")</f>
        <v>CAYDON Brigraj</v>
      </c>
      <c r="G12" s="65" t="str">
        <f>IFERROR(VLOOKUP(Table818[[#This Row],[Player No]],Table10[[No]:[Province]],3,0),"")</f>
        <v>UMG</v>
      </c>
      <c r="H12" s="66">
        <v>0</v>
      </c>
      <c r="I12" s="96">
        <v>213</v>
      </c>
      <c r="J12" s="110">
        <f>Table818[[#This Row],[Points 2025]]/2+SUM(Table818[[#This Row],[O1  ADMIN 2026]:[P2           WC         CT Open 2026]])</f>
        <v>106.5</v>
      </c>
      <c r="K12" s="106">
        <f t="shared" si="1"/>
        <v>0</v>
      </c>
      <c r="L12" s="106">
        <f t="shared" si="2"/>
        <v>0</v>
      </c>
      <c r="M12" s="106"/>
      <c r="N12" s="106"/>
      <c r="O12" s="106"/>
      <c r="P12" s="106"/>
      <c r="Q12" s="63">
        <v>2</v>
      </c>
      <c r="R12" s="63">
        <v>1</v>
      </c>
      <c r="S12" s="114">
        <v>50</v>
      </c>
      <c r="T12" s="63">
        <v>75</v>
      </c>
      <c r="U12" s="63">
        <v>35</v>
      </c>
      <c r="V12" s="114"/>
      <c r="W12" s="63"/>
      <c r="X12" s="63"/>
      <c r="Y12" s="63"/>
      <c r="Z12" s="63"/>
      <c r="AA12" s="114">
        <v>50</v>
      </c>
      <c r="AB12" s="63"/>
      <c r="AC12" s="63"/>
      <c r="AD12" s="114"/>
      <c r="AE12" s="63"/>
      <c r="AF12" s="63"/>
      <c r="AG12" s="63"/>
      <c r="AH12" s="63"/>
      <c r="AI12" s="63"/>
      <c r="AJ12" s="63"/>
      <c r="AK12" s="63"/>
      <c r="AL12" s="63"/>
    </row>
    <row r="13" spans="1:55" s="92" customFormat="1">
      <c r="A13" s="63">
        <f>IFERROR(VLOOKUP(Table818[[#This Row],[Player No]],Table10[[#All],[No]:[Age Group]],4,0),"")</f>
        <v>0</v>
      </c>
      <c r="B13" s="61">
        <v>11</v>
      </c>
      <c r="C13" s="62">
        <f t="shared" si="0"/>
        <v>2</v>
      </c>
      <c r="D13" s="63">
        <f t="shared" si="3"/>
        <v>9</v>
      </c>
      <c r="E13" s="63">
        <v>3249</v>
      </c>
      <c r="F13" s="64" t="str">
        <f>IFERROR(VLOOKUP(Table818[[#This Row],[Player No]],Table10[[No]:[Province]],2,0),"")</f>
        <v>JONES Micah</v>
      </c>
      <c r="G13" s="65" t="str">
        <f>IFERROR(VLOOKUP(Table818[[#This Row],[Player No]],Table10[[No]:[Province]],3,0),"")</f>
        <v>CT</v>
      </c>
      <c r="H13" s="66">
        <v>54</v>
      </c>
      <c r="I13" s="96">
        <v>164.5</v>
      </c>
      <c r="J13" s="110">
        <f>Table818[[#This Row],[Points 2025]]/2+SUM(Table818[[#This Row],[O1  ADMIN 2026]:[P2           WC         CT Open 2026]])</f>
        <v>82.25</v>
      </c>
      <c r="K13" s="106">
        <f t="shared" si="1"/>
        <v>0</v>
      </c>
      <c r="L13" s="106">
        <f t="shared" si="2"/>
        <v>0</v>
      </c>
      <c r="M13" s="106"/>
      <c r="N13" s="106"/>
      <c r="O13" s="106"/>
      <c r="P13" s="106"/>
      <c r="Q13" s="63"/>
      <c r="R13" s="63"/>
      <c r="S13" s="114"/>
      <c r="T13" s="189"/>
      <c r="U13" s="63"/>
      <c r="V13" s="114"/>
      <c r="W13" s="63"/>
      <c r="X13" s="63"/>
      <c r="Y13" s="63">
        <v>12.5</v>
      </c>
      <c r="Z13" s="63">
        <v>100</v>
      </c>
      <c r="AA13" s="114">
        <v>25</v>
      </c>
      <c r="AB13" s="63"/>
      <c r="AC13" s="63"/>
      <c r="AD13" s="114"/>
      <c r="AE13" s="63"/>
      <c r="AF13" s="63"/>
      <c r="AG13" s="63">
        <v>15</v>
      </c>
      <c r="AH13" s="63"/>
      <c r="AI13" s="63"/>
      <c r="AJ13" s="63"/>
      <c r="AK13" s="63"/>
      <c r="AL13" s="63"/>
    </row>
    <row r="14" spans="1:55" s="92" customFormat="1">
      <c r="A14" s="63">
        <f>IFERROR(VLOOKUP(Table818[[#This Row],[Player No]],Table10[[#All],[No]:[Age Group]],4,0),"")</f>
        <v>0</v>
      </c>
      <c r="B14" s="61">
        <v>72</v>
      </c>
      <c r="C14" s="62">
        <f t="shared" si="0"/>
        <v>62</v>
      </c>
      <c r="D14" s="63">
        <f t="shared" si="3"/>
        <v>10</v>
      </c>
      <c r="E14" s="63">
        <v>3880</v>
      </c>
      <c r="F14" s="64" t="str">
        <f>IFERROR(VLOOKUP(Table818[[#This Row],[Player No]],Table10[[No]:[Province]],2,0),"")</f>
        <v>JACOBS Umar</v>
      </c>
      <c r="G14" s="65" t="str">
        <f>IFERROR(VLOOKUP(Table818[[#This Row],[Player No]],Table10[[No]:[Province]],3,0),"")</f>
        <v>CW</v>
      </c>
      <c r="H14" s="66">
        <v>2</v>
      </c>
      <c r="I14" s="96">
        <v>151.5</v>
      </c>
      <c r="J14" s="110">
        <f>Table818[[#This Row],[Points 2025]]/2+SUM(Table818[[#This Row],[O1  ADMIN 2026]:[P2           WC         CT Open 2026]])</f>
        <v>75.75</v>
      </c>
      <c r="K14" s="106">
        <f t="shared" si="1"/>
        <v>0</v>
      </c>
      <c r="L14" s="106">
        <f t="shared" si="2"/>
        <v>0</v>
      </c>
      <c r="M14" s="106"/>
      <c r="N14" s="106"/>
      <c r="O14" s="106"/>
      <c r="P14" s="106"/>
      <c r="Q14" s="63"/>
      <c r="R14" s="63"/>
      <c r="S14" s="114"/>
      <c r="T14" s="114"/>
      <c r="U14" s="63"/>
      <c r="V14" s="114"/>
      <c r="W14" s="63"/>
      <c r="X14" s="63"/>
      <c r="Y14" s="63">
        <v>0.5</v>
      </c>
      <c r="Z14" s="63">
        <v>150</v>
      </c>
      <c r="AA14" s="114"/>
      <c r="AB14" s="63"/>
      <c r="AC14" s="63"/>
      <c r="AD14" s="114"/>
      <c r="AE14" s="63"/>
      <c r="AF14" s="63"/>
      <c r="AG14" s="63">
        <v>1</v>
      </c>
      <c r="AH14" s="63">
        <v>1</v>
      </c>
      <c r="AI14" s="63"/>
      <c r="AJ14" s="63"/>
      <c r="AK14" s="63"/>
      <c r="AL14" s="63"/>
    </row>
    <row r="15" spans="1:55" s="92" customFormat="1">
      <c r="A15" s="63" t="str">
        <f>IFERROR(VLOOKUP(Table818[[#This Row],[Player No]],Table10[[#All],[No]:[Age Group]],4,0),"")</f>
        <v>U11</v>
      </c>
      <c r="B15" s="61">
        <v>8</v>
      </c>
      <c r="C15" s="62">
        <f t="shared" si="0"/>
        <v>-3</v>
      </c>
      <c r="D15" s="63">
        <f t="shared" si="3"/>
        <v>11</v>
      </c>
      <c r="E15" s="63">
        <v>3803</v>
      </c>
      <c r="F15" s="64" t="str">
        <f>IFERROR(VLOOKUP(Table818[[#This Row],[Player No]],Table10[[No]:[Province]],2,0),"")</f>
        <v>NHLAPO Kwanda Okuhle</v>
      </c>
      <c r="G15" s="65" t="str">
        <f>IFERROR(VLOOKUP(Table818[[#This Row],[Player No]],Table10[[No]:[Province]],3,0),"")</f>
        <v>ETTA</v>
      </c>
      <c r="H15" s="66">
        <v>75</v>
      </c>
      <c r="I15" s="96">
        <v>147.5</v>
      </c>
      <c r="J15" s="110">
        <f>Table818[[#This Row],[Points 2025]]/2+SUM(Table818[[#This Row],[O1  ADMIN 2026]:[P2           WC         CT Open 2026]])</f>
        <v>73.75</v>
      </c>
      <c r="K15" s="106">
        <f t="shared" si="1"/>
        <v>0</v>
      </c>
      <c r="L15" s="106">
        <f t="shared" si="2"/>
        <v>0</v>
      </c>
      <c r="M15" s="106"/>
      <c r="N15" s="106"/>
      <c r="O15" s="106"/>
      <c r="P15" s="106"/>
      <c r="Q15" s="63"/>
      <c r="R15" s="63">
        <v>35</v>
      </c>
      <c r="S15" s="114"/>
      <c r="T15" s="114">
        <v>25</v>
      </c>
      <c r="U15" s="63"/>
      <c r="V15" s="114"/>
      <c r="W15" s="63"/>
      <c r="X15" s="63"/>
      <c r="Y15" s="63"/>
      <c r="Z15" s="63"/>
      <c r="AA15" s="114">
        <v>50</v>
      </c>
      <c r="AB15" s="63"/>
      <c r="AC15" s="63"/>
      <c r="AD15" s="114"/>
      <c r="AE15" s="63"/>
      <c r="AF15" s="63">
        <f>100/2</f>
        <v>50</v>
      </c>
      <c r="AG15" s="63"/>
      <c r="AH15" s="63"/>
      <c r="AI15" s="63">
        <v>25</v>
      </c>
      <c r="AJ15" s="63"/>
      <c r="AK15" s="63"/>
      <c r="AL15" s="63"/>
    </row>
    <row r="16" spans="1:55" s="92" customFormat="1">
      <c r="A16" s="61"/>
      <c r="B16" s="61"/>
      <c r="C16" s="62">
        <f t="shared" si="0"/>
        <v>-12</v>
      </c>
      <c r="D16" s="63">
        <f t="shared" si="3"/>
        <v>12</v>
      </c>
      <c r="E16" s="63">
        <v>4760</v>
      </c>
      <c r="F16" s="64" t="str">
        <f>IFERROR(VLOOKUP(Table818[[#This Row],[Player No]],Table10[[No]:[Province]],2,0),"")</f>
        <v>NGAMBU Nzameko</v>
      </c>
      <c r="G16" s="65" t="str">
        <f>IFERROR(VLOOKUP(Table818[[#This Row],[Player No]],Table10[[No]:[Province]],3,0),"")</f>
        <v>EC</v>
      </c>
      <c r="H16" s="66">
        <v>0</v>
      </c>
      <c r="I16" s="96">
        <v>125</v>
      </c>
      <c r="J16" s="110">
        <f>Table818[[#This Row],[Points 2025]]/2+SUM(Table818[[#This Row],[O1  ADMIN 2026]:[P2           WC         CT Open 2026]])</f>
        <v>62.5</v>
      </c>
      <c r="K16" s="106">
        <f t="shared" si="1"/>
        <v>0</v>
      </c>
      <c r="L16" s="106">
        <f t="shared" si="2"/>
        <v>0</v>
      </c>
      <c r="M16" s="106"/>
      <c r="N16" s="106"/>
      <c r="O16" s="106"/>
      <c r="P16" s="106"/>
      <c r="Q16" s="63"/>
      <c r="R16" s="63"/>
      <c r="S16" s="114"/>
      <c r="T16" s="114"/>
      <c r="U16" s="63"/>
      <c r="V16" s="114"/>
      <c r="W16" s="63"/>
      <c r="X16" s="63"/>
      <c r="Y16" s="63"/>
      <c r="Z16" s="63"/>
      <c r="AA16" s="114">
        <v>125</v>
      </c>
      <c r="AB16" s="63"/>
      <c r="AC16" s="63"/>
      <c r="AD16" s="114"/>
      <c r="AE16" s="63"/>
      <c r="AF16" s="63"/>
      <c r="AG16" s="63"/>
      <c r="AH16" s="63"/>
      <c r="AI16" s="63"/>
      <c r="AJ16" s="63"/>
      <c r="AK16" s="63"/>
      <c r="AL16" s="63"/>
    </row>
    <row r="17" spans="1:38" s="92" customFormat="1">
      <c r="A17" s="61"/>
      <c r="B17" s="61"/>
      <c r="C17" s="62">
        <f t="shared" si="0"/>
        <v>-13</v>
      </c>
      <c r="D17" s="63">
        <f t="shared" si="3"/>
        <v>13</v>
      </c>
      <c r="E17" s="63">
        <v>1300</v>
      </c>
      <c r="F17" s="64" t="str">
        <f>IFERROR(VLOOKUP(Table818[[#This Row],[Player No]],Table10[[No]:[Province]],2,0),"")</f>
        <v xml:space="preserve"> SEBETLELA Agobakwe</v>
      </c>
      <c r="G17" s="65" t="str">
        <f>IFERROR(VLOOKUP(Table818[[#This Row],[Player No]],Table10[[No]:[Province]],3,0),"")</f>
        <v>BOT</v>
      </c>
      <c r="H17" s="66">
        <v>0</v>
      </c>
      <c r="I17" s="96">
        <v>125</v>
      </c>
      <c r="J17" s="110">
        <f>Table818[[#This Row],[Points 2025]]/2+SUM(Table818[[#This Row],[O1  ADMIN 2026]:[P2           WC         CT Open 2026]])</f>
        <v>62.5</v>
      </c>
      <c r="K17" s="106">
        <f t="shared" si="1"/>
        <v>0</v>
      </c>
      <c r="L17" s="106">
        <f t="shared" si="2"/>
        <v>0</v>
      </c>
      <c r="M17" s="106"/>
      <c r="N17" s="106"/>
      <c r="O17" s="106"/>
      <c r="P17" s="106"/>
      <c r="Q17" s="63"/>
      <c r="R17" s="63"/>
      <c r="S17" s="114"/>
      <c r="T17" s="114"/>
      <c r="U17" s="63"/>
      <c r="V17" s="114"/>
      <c r="W17" s="63"/>
      <c r="X17" s="63"/>
      <c r="Y17" s="63"/>
      <c r="Z17" s="63"/>
      <c r="AA17" s="114">
        <v>125</v>
      </c>
      <c r="AB17" s="63"/>
      <c r="AC17" s="63"/>
      <c r="AD17" s="114"/>
      <c r="AE17" s="63"/>
      <c r="AF17" s="63"/>
      <c r="AG17" s="63"/>
      <c r="AH17" s="63"/>
      <c r="AI17" s="63"/>
      <c r="AJ17" s="63"/>
      <c r="AK17" s="63"/>
      <c r="AL17" s="63"/>
    </row>
    <row r="18" spans="1:38" s="92" customFormat="1">
      <c r="A18" s="63"/>
      <c r="B18" s="61">
        <v>4</v>
      </c>
      <c r="C18" s="62">
        <f t="shared" si="0"/>
        <v>-10</v>
      </c>
      <c r="D18" s="63">
        <f t="shared" si="3"/>
        <v>14</v>
      </c>
      <c r="E18" s="63">
        <v>3989</v>
      </c>
      <c r="F18" s="64" t="str">
        <f>IFERROR(VLOOKUP(Table818[[#This Row],[Player No]],Table10[[No]:[Province]],2,0),"")</f>
        <v xml:space="preserve">PAKO Shaun </v>
      </c>
      <c r="G18" s="65" t="str">
        <f>IFERROR(VLOOKUP(Table818[[#This Row],[Player No]],Table10[[No]:[Province]],3,0),"")</f>
        <v>LIM</v>
      </c>
      <c r="H18" s="66">
        <v>125</v>
      </c>
      <c r="I18" s="96">
        <v>112.5</v>
      </c>
      <c r="J18" s="110">
        <f>Table818[[#This Row],[Points 2025]]/2+SUM(Table818[[#This Row],[O1  ADMIN 2026]:[P2           WC         CT Open 2026]])</f>
        <v>56.25</v>
      </c>
      <c r="K18" s="106">
        <f t="shared" si="1"/>
        <v>0</v>
      </c>
      <c r="L18" s="106">
        <f t="shared" si="2"/>
        <v>0</v>
      </c>
      <c r="M18" s="106"/>
      <c r="N18" s="106"/>
      <c r="O18" s="106"/>
      <c r="P18" s="106"/>
      <c r="Q18" s="63"/>
      <c r="R18" s="63"/>
      <c r="S18" s="114"/>
      <c r="T18" s="114"/>
      <c r="U18" s="63"/>
      <c r="V18" s="114"/>
      <c r="W18" s="63"/>
      <c r="X18" s="63"/>
      <c r="Y18" s="63"/>
      <c r="Z18" s="63"/>
      <c r="AA18" s="114">
        <v>50</v>
      </c>
      <c r="AB18" s="63"/>
      <c r="AC18" s="63"/>
      <c r="AD18" s="114"/>
      <c r="AE18" s="63"/>
      <c r="AF18" s="63"/>
      <c r="AG18" s="63"/>
      <c r="AH18" s="63"/>
      <c r="AI18" s="63">
        <v>125</v>
      </c>
      <c r="AJ18" s="63"/>
      <c r="AK18" s="63"/>
      <c r="AL18" s="63"/>
    </row>
    <row r="19" spans="1:38" s="92" customFormat="1">
      <c r="A19" s="61"/>
      <c r="B19" s="61"/>
      <c r="C19" s="62">
        <f t="shared" si="0"/>
        <v>-15</v>
      </c>
      <c r="D19" s="63">
        <f t="shared" si="3"/>
        <v>15</v>
      </c>
      <c r="E19" s="154">
        <v>4539</v>
      </c>
      <c r="F19" s="280" t="str">
        <f>IFERROR(VLOOKUP(Table818[[#This Row],[Player No]],Table10[[No]:[Province]],2,0),"")</f>
        <v xml:space="preserve">RANCK Turzo </v>
      </c>
      <c r="G19" s="281" t="str">
        <f>IFERROR(VLOOKUP(Table818[[#This Row],[Player No]],Table10[[No]:[Province]],3,0),"")</f>
        <v>CT</v>
      </c>
      <c r="H19" s="654">
        <v>15</v>
      </c>
      <c r="I19" s="96">
        <v>108</v>
      </c>
      <c r="J19" s="110">
        <f>Table818[[#This Row],[Points 2025]]/2+SUM(Table818[[#This Row],[O1  ADMIN 2026]:[P2           WC         CT Open 2026]])</f>
        <v>54</v>
      </c>
      <c r="K19" s="106">
        <f t="shared" si="1"/>
        <v>0</v>
      </c>
      <c r="L19" s="106">
        <f t="shared" si="2"/>
        <v>0</v>
      </c>
      <c r="M19" s="106"/>
      <c r="N19" s="655"/>
      <c r="O19" s="655"/>
      <c r="P19" s="655"/>
      <c r="Q19" s="154"/>
      <c r="R19" s="154"/>
      <c r="S19" s="330"/>
      <c r="T19" s="330"/>
      <c r="U19" s="154"/>
      <c r="V19" s="330"/>
      <c r="W19" s="154"/>
      <c r="X19" s="154"/>
      <c r="Y19" s="154">
        <v>0.5</v>
      </c>
      <c r="Z19" s="154">
        <v>50</v>
      </c>
      <c r="AA19" s="114">
        <v>50</v>
      </c>
      <c r="AB19" s="154"/>
      <c r="AC19" s="154"/>
      <c r="AD19" s="330"/>
      <c r="AE19" s="154"/>
      <c r="AF19" s="154"/>
      <c r="AG19" s="154">
        <v>15</v>
      </c>
      <c r="AH19" s="154"/>
      <c r="AI19" s="154"/>
      <c r="AJ19" s="63"/>
      <c r="AK19" s="63"/>
      <c r="AL19" s="63"/>
    </row>
    <row r="20" spans="1:38" s="92" customFormat="1">
      <c r="A20" s="61"/>
      <c r="B20" s="61"/>
      <c r="C20" s="62">
        <f t="shared" si="0"/>
        <v>-16</v>
      </c>
      <c r="D20" s="63">
        <f t="shared" si="3"/>
        <v>16</v>
      </c>
      <c r="E20" s="63">
        <v>4530</v>
      </c>
      <c r="F20" s="64" t="str">
        <f>IFERROR(VLOOKUP(Table818[[#This Row],[Player No]],Table10[[No]:[Province]],2,0),"")</f>
        <v>BOCKS Sergiano</v>
      </c>
      <c r="G20" s="65" t="str">
        <f>IFERROR(VLOOKUP(Table818[[#This Row],[Player No]],Table10[[No]:[Province]],3,0),"")</f>
        <v>WC</v>
      </c>
      <c r="H20" s="66">
        <v>50</v>
      </c>
      <c r="I20" s="96">
        <v>100</v>
      </c>
      <c r="J20" s="110">
        <f>Table818[[#This Row],[Points 2025]]/2+SUM(Table818[[#This Row],[O1  ADMIN 2026]:[P2           WC         CT Open 2026]])</f>
        <v>50</v>
      </c>
      <c r="K20" s="106">
        <f t="shared" si="1"/>
        <v>0</v>
      </c>
      <c r="L20" s="106">
        <f t="shared" si="2"/>
        <v>0</v>
      </c>
      <c r="M20" s="106"/>
      <c r="N20" s="106"/>
      <c r="O20" s="106"/>
      <c r="P20" s="106"/>
      <c r="Q20" s="63"/>
      <c r="R20" s="63"/>
      <c r="S20" s="114"/>
      <c r="T20" s="114"/>
      <c r="U20" s="63"/>
      <c r="V20" s="114"/>
      <c r="W20" s="63"/>
      <c r="X20" s="63"/>
      <c r="Y20" s="63"/>
      <c r="Z20" s="63">
        <v>75</v>
      </c>
      <c r="AA20" s="114">
        <v>0</v>
      </c>
      <c r="AB20" s="63"/>
      <c r="AC20" s="63"/>
      <c r="AD20" s="114"/>
      <c r="AE20" s="63"/>
      <c r="AF20" s="63"/>
      <c r="AG20" s="63">
        <v>50</v>
      </c>
      <c r="AH20" s="63"/>
      <c r="AI20" s="63"/>
      <c r="AJ20" s="63"/>
      <c r="AK20" s="63"/>
      <c r="AL20" s="63"/>
    </row>
    <row r="21" spans="1:38" s="92" customFormat="1">
      <c r="A21" s="63">
        <f>IFERROR(VLOOKUP(Table818[[#This Row],[Player No]],Table10[[#All],[No]:[Age Group]],4,0),"")</f>
        <v>0</v>
      </c>
      <c r="B21" s="61">
        <v>31</v>
      </c>
      <c r="C21" s="62">
        <f t="shared" si="0"/>
        <v>14</v>
      </c>
      <c r="D21" s="63">
        <f t="shared" si="3"/>
        <v>17</v>
      </c>
      <c r="E21" s="63">
        <v>3908</v>
      </c>
      <c r="F21" s="64" t="str">
        <f>IFERROR(VLOOKUP(Table818[[#This Row],[Player No]],Table10[[No]:[Province]],2,0),"")</f>
        <v>CELE Melokuhle</v>
      </c>
      <c r="G21" s="65" t="str">
        <f>IFERROR(VLOOKUP(Table818[[#This Row],[Player No]],Table10[[No]:[Province]],3,0),"")</f>
        <v>ETTA</v>
      </c>
      <c r="H21" s="66">
        <v>25</v>
      </c>
      <c r="I21" s="96">
        <v>92.5</v>
      </c>
      <c r="J21" s="110">
        <f>Table818[[#This Row],[Points 2025]]/2+SUM(Table818[[#This Row],[O1  ADMIN 2026]:[P2           WC         CT Open 2026]])</f>
        <v>46.25</v>
      </c>
      <c r="K21" s="106">
        <f t="shared" si="1"/>
        <v>0</v>
      </c>
      <c r="L21" s="106">
        <f t="shared" si="2"/>
        <v>0</v>
      </c>
      <c r="M21" s="106"/>
      <c r="N21" s="106"/>
      <c r="O21" s="106"/>
      <c r="P21" s="106"/>
      <c r="Q21" s="63"/>
      <c r="R21" s="63">
        <v>25</v>
      </c>
      <c r="S21" s="114"/>
      <c r="T21" s="114">
        <v>50</v>
      </c>
      <c r="U21" s="63"/>
      <c r="V21" s="114"/>
      <c r="W21" s="63"/>
      <c r="X21" s="63"/>
      <c r="Y21" s="63"/>
      <c r="Z21" s="63"/>
      <c r="AA21" s="114">
        <v>5</v>
      </c>
      <c r="AB21" s="63"/>
      <c r="AC21" s="63"/>
      <c r="AD21" s="114"/>
      <c r="AE21" s="63"/>
      <c r="AF21" s="63">
        <f>50/2</f>
        <v>25</v>
      </c>
      <c r="AG21" s="63"/>
      <c r="AH21" s="63"/>
      <c r="AI21" s="63"/>
      <c r="AJ21" s="63"/>
      <c r="AK21" s="63"/>
      <c r="AL21" s="63"/>
    </row>
    <row r="22" spans="1:38" s="92" customFormat="1">
      <c r="A22" s="63">
        <f>IFERROR(VLOOKUP(Table818[[#This Row],[Player No]],Table10[[#All],[No]:[Age Group]],4,0),"")</f>
        <v>0</v>
      </c>
      <c r="B22" s="61">
        <v>68</v>
      </c>
      <c r="C22" s="62">
        <f t="shared" si="0"/>
        <v>50</v>
      </c>
      <c r="D22" s="63">
        <f t="shared" si="3"/>
        <v>18</v>
      </c>
      <c r="E22" s="63">
        <v>3910</v>
      </c>
      <c r="F22" s="64" t="str">
        <f>IFERROR(VLOOKUP(Table818[[#This Row],[Player No]],Table10[[No]:[Province]],2,0),"")</f>
        <v>REDDY Mikyle</v>
      </c>
      <c r="G22" s="65" t="str">
        <f>IFERROR(VLOOKUP(Table818[[#This Row],[Player No]],Table10[[No]:[Province]],3,0),"")</f>
        <v>ETTA</v>
      </c>
      <c r="H22" s="66">
        <v>26</v>
      </c>
      <c r="I22" s="96">
        <v>91</v>
      </c>
      <c r="J22" s="110">
        <f>Table818[[#This Row],[Points 2025]]/2+SUM(Table818[[#This Row],[O1  ADMIN 2026]:[P2           WC         CT Open 2026]])</f>
        <v>45.5</v>
      </c>
      <c r="K22" s="106">
        <f t="shared" si="1"/>
        <v>0</v>
      </c>
      <c r="L22" s="106">
        <f t="shared" si="2"/>
        <v>0</v>
      </c>
      <c r="M22" s="106"/>
      <c r="N22" s="106"/>
      <c r="O22" s="106"/>
      <c r="P22" s="106"/>
      <c r="Q22" s="63">
        <v>2</v>
      </c>
      <c r="R22" s="63">
        <v>1</v>
      </c>
      <c r="S22" s="114">
        <v>25</v>
      </c>
      <c r="T22" s="114">
        <v>25</v>
      </c>
      <c r="U22" s="63"/>
      <c r="V22" s="114"/>
      <c r="W22" s="63"/>
      <c r="X22" s="63"/>
      <c r="Y22" s="63"/>
      <c r="Z22" s="63"/>
      <c r="AA22" s="114">
        <v>25</v>
      </c>
      <c r="AB22" s="63"/>
      <c r="AC22" s="63"/>
      <c r="AD22" s="114"/>
      <c r="AE22" s="63"/>
      <c r="AF22" s="63">
        <f>2/2</f>
        <v>1</v>
      </c>
      <c r="AG22" s="63"/>
      <c r="AH22" s="63"/>
      <c r="AI22" s="63">
        <v>25</v>
      </c>
      <c r="AJ22" s="63"/>
      <c r="AK22" s="63"/>
      <c r="AL22" s="63"/>
    </row>
    <row r="23" spans="1:38" s="92" customFormat="1">
      <c r="A23" s="63">
        <f>IFERROR(VLOOKUP(Table818[[#This Row],[Player No]],Table10[[#All],[No]:[Age Group]],4,0),"")</f>
        <v>0</v>
      </c>
      <c r="B23" s="61">
        <v>28</v>
      </c>
      <c r="C23" s="62">
        <f t="shared" si="0"/>
        <v>9</v>
      </c>
      <c r="D23" s="63">
        <f t="shared" si="3"/>
        <v>19</v>
      </c>
      <c r="E23" s="63">
        <v>3851</v>
      </c>
      <c r="F23" s="64" t="str">
        <f>IFERROR(VLOOKUP(Table818[[#This Row],[Player No]],Table10[[No]:[Province]],2,0),"")</f>
        <v>MASHOKO Stuad</v>
      </c>
      <c r="G23" s="65" t="str">
        <f>IFERROR(VLOOKUP(Table818[[#This Row],[Player No]],Table10[[No]:[Province]],3,0),"")</f>
        <v>GN</v>
      </c>
      <c r="H23" s="66">
        <v>25</v>
      </c>
      <c r="I23" s="96">
        <v>87.5</v>
      </c>
      <c r="J23" s="110">
        <f>Table818[[#This Row],[Points 2025]]/2+SUM(Table818[[#This Row],[O1  ADMIN 2026]:[P2           WC         CT Open 2026]])</f>
        <v>43.75</v>
      </c>
      <c r="K23" s="106">
        <f t="shared" si="1"/>
        <v>0</v>
      </c>
      <c r="L23" s="106">
        <f t="shared" si="2"/>
        <v>0</v>
      </c>
      <c r="M23" s="106"/>
      <c r="N23" s="106"/>
      <c r="O23" s="106"/>
      <c r="P23" s="106"/>
      <c r="Q23" s="63">
        <v>75</v>
      </c>
      <c r="R23" s="63"/>
      <c r="S23" s="114"/>
      <c r="T23" s="114"/>
      <c r="U23" s="63"/>
      <c r="V23" s="114"/>
      <c r="W23" s="63"/>
      <c r="X23" s="63"/>
      <c r="Y23" s="63"/>
      <c r="Z23" s="63"/>
      <c r="AA23" s="114"/>
      <c r="AB23" s="63"/>
      <c r="AC23" s="63"/>
      <c r="AD23" s="114"/>
      <c r="AE23" s="63"/>
      <c r="AF23" s="63"/>
      <c r="AG23" s="63"/>
      <c r="AH23" s="63"/>
      <c r="AI23" s="63"/>
      <c r="AJ23" s="63"/>
      <c r="AK23" s="63"/>
      <c r="AL23" s="63">
        <f>50/2</f>
        <v>25</v>
      </c>
    </row>
    <row r="24" spans="1:38" s="92" customFormat="1">
      <c r="A24" s="63"/>
      <c r="B24" s="61"/>
      <c r="C24" s="62">
        <f t="shared" si="0"/>
        <v>-20</v>
      </c>
      <c r="D24" s="63">
        <f t="shared" si="3"/>
        <v>20</v>
      </c>
      <c r="E24" s="63">
        <v>3962</v>
      </c>
      <c r="F24" s="64" t="str">
        <f>IFERROR(VLOOKUP(Table818[[#This Row],[Player No]],Table10[[No]:[Province]],2,0),"")</f>
        <v>PHUTSISI Kabelo</v>
      </c>
      <c r="G24" s="65" t="str">
        <f>IFERROR(VLOOKUP(Table818[[#This Row],[Player No]],Table10[[No]:[Province]],3,0),"")</f>
        <v>EKU</v>
      </c>
      <c r="H24" s="66">
        <v>5</v>
      </c>
      <c r="I24" s="96">
        <v>87.5</v>
      </c>
      <c r="J24" s="110">
        <f>Table818[[#This Row],[Points 2025]]/2+SUM(Table818[[#This Row],[O1  ADMIN 2026]:[P2           WC         CT Open 2026]])</f>
        <v>43.75</v>
      </c>
      <c r="K24" s="106">
        <f t="shared" si="1"/>
        <v>0</v>
      </c>
      <c r="L24" s="106">
        <f t="shared" si="2"/>
        <v>0</v>
      </c>
      <c r="M24" s="106"/>
      <c r="N24" s="106"/>
      <c r="O24" s="106"/>
      <c r="P24" s="106"/>
      <c r="Q24" s="63"/>
      <c r="R24" s="63"/>
      <c r="S24" s="114"/>
      <c r="T24" s="114"/>
      <c r="U24" s="63"/>
      <c r="V24" s="114"/>
      <c r="W24" s="63"/>
      <c r="X24" s="63">
        <v>35</v>
      </c>
      <c r="Y24" s="63"/>
      <c r="Z24" s="63"/>
      <c r="AA24" s="114">
        <v>25</v>
      </c>
      <c r="AB24" s="63"/>
      <c r="AC24" s="63">
        <v>25</v>
      </c>
      <c r="AD24" s="114"/>
      <c r="AE24" s="63"/>
      <c r="AF24" s="63"/>
      <c r="AG24" s="63"/>
      <c r="AH24" s="63"/>
      <c r="AI24" s="63">
        <v>5</v>
      </c>
      <c r="AJ24" s="63"/>
      <c r="AK24" s="63"/>
      <c r="AL24" s="63"/>
    </row>
    <row r="25" spans="1:38" s="92" customFormat="1">
      <c r="A25" s="61"/>
      <c r="B25" s="61"/>
      <c r="C25" s="62">
        <f t="shared" si="0"/>
        <v>-21</v>
      </c>
      <c r="D25" s="63">
        <f t="shared" si="3"/>
        <v>21</v>
      </c>
      <c r="E25" s="63">
        <v>4119</v>
      </c>
      <c r="F25" s="64" t="str">
        <f>IFERROR(VLOOKUP(Table818[[#This Row],[Player No]],Table10[[No]:[Province]],2,0),"")</f>
        <v>Akhile JAYI</v>
      </c>
      <c r="G25" s="65" t="str">
        <f>IFERROR(VLOOKUP(Table818[[#This Row],[Player No]],Table10[[No]:[Province]],3,0),"")</f>
        <v>EC</v>
      </c>
      <c r="H25" s="66">
        <v>175</v>
      </c>
      <c r="I25" s="96">
        <v>87.5</v>
      </c>
      <c r="J25" s="110">
        <f>Table818[[#This Row],[Points 2025]]/2+SUM(Table818[[#This Row],[O1  ADMIN 2026]:[P2           WC         CT Open 2026]])</f>
        <v>43.75</v>
      </c>
      <c r="K25" s="106">
        <f t="shared" si="1"/>
        <v>0</v>
      </c>
      <c r="L25" s="106">
        <f t="shared" si="2"/>
        <v>0</v>
      </c>
      <c r="M25" s="106"/>
      <c r="N25" s="106"/>
      <c r="O25" s="106"/>
      <c r="P25" s="106"/>
      <c r="Q25" s="63"/>
      <c r="R25" s="63"/>
      <c r="S25" s="114"/>
      <c r="T25" s="114"/>
      <c r="U25" s="63"/>
      <c r="V25" s="114"/>
      <c r="W25" s="63"/>
      <c r="X25" s="63"/>
      <c r="Y25" s="63"/>
      <c r="Z25" s="63"/>
      <c r="AA25" s="114"/>
      <c r="AB25" s="63"/>
      <c r="AC25" s="63"/>
      <c r="AD25" s="114"/>
      <c r="AE25" s="63"/>
      <c r="AF25" s="63"/>
      <c r="AG25" s="63"/>
      <c r="AH25" s="63"/>
      <c r="AI25" s="63">
        <v>175</v>
      </c>
      <c r="AJ25" s="63"/>
      <c r="AK25" s="63"/>
      <c r="AL25" s="63"/>
    </row>
    <row r="26" spans="1:38" s="92" customFormat="1">
      <c r="A26" s="61"/>
      <c r="B26" s="61"/>
      <c r="C26" s="62">
        <f t="shared" si="0"/>
        <v>-22</v>
      </c>
      <c r="D26" s="63">
        <f t="shared" si="3"/>
        <v>22</v>
      </c>
      <c r="E26" s="63">
        <v>4556</v>
      </c>
      <c r="F26" s="64" t="str">
        <f>IFERROR(VLOOKUP(Table818[[#This Row],[Player No]],Table10[[No]:[Province]],2,0),"")</f>
        <v xml:space="preserve">JACOBS Umr </v>
      </c>
      <c r="G26" s="65" t="str">
        <f>IFERROR(VLOOKUP(Table818[[#This Row],[Player No]],Table10[[No]:[Province]],3,0),"")</f>
        <v>CW</v>
      </c>
      <c r="H26" s="66">
        <v>0</v>
      </c>
      <c r="I26" s="96">
        <v>75</v>
      </c>
      <c r="J26" s="110">
        <f>Table818[[#This Row],[Points 2025]]/2+SUM(Table818[[#This Row],[O1  ADMIN 2026]:[P2           WC         CT Open 2026]])</f>
        <v>37.5</v>
      </c>
      <c r="K26" s="106">
        <f t="shared" si="1"/>
        <v>0</v>
      </c>
      <c r="L26" s="106">
        <f t="shared" si="2"/>
        <v>0</v>
      </c>
      <c r="M26" s="106"/>
      <c r="N26" s="106"/>
      <c r="O26" s="106"/>
      <c r="P26" s="106"/>
      <c r="Q26" s="63"/>
      <c r="R26" s="63"/>
      <c r="S26" s="114"/>
      <c r="T26" s="114"/>
      <c r="U26" s="63"/>
      <c r="V26" s="114"/>
      <c r="W26" s="63"/>
      <c r="X26" s="63"/>
      <c r="Y26" s="63"/>
      <c r="Z26" s="63"/>
      <c r="AA26" s="114">
        <v>75</v>
      </c>
      <c r="AB26" s="63"/>
      <c r="AC26" s="63"/>
      <c r="AD26" s="114"/>
      <c r="AE26" s="63"/>
      <c r="AF26" s="63"/>
      <c r="AG26" s="63"/>
      <c r="AH26" s="63"/>
      <c r="AI26" s="63"/>
      <c r="AJ26" s="63"/>
      <c r="AK26" s="63"/>
      <c r="AL26" s="63"/>
    </row>
    <row r="27" spans="1:38" s="92" customFormat="1">
      <c r="A27" s="61"/>
      <c r="B27" s="61"/>
      <c r="C27" s="62">
        <f t="shared" si="0"/>
        <v>-23</v>
      </c>
      <c r="D27" s="63">
        <f t="shared" si="3"/>
        <v>23</v>
      </c>
      <c r="E27" s="154">
        <v>4633</v>
      </c>
      <c r="F27" s="280" t="str">
        <f>IFERROR(VLOOKUP(Table818[[#This Row],[Player No]],Table10[[No]:[Province]],2,0),"")</f>
        <v>ZAROOZNY Remy</v>
      </c>
      <c r="G27" s="281" t="str">
        <f>IFERROR(VLOOKUP(Table818[[#This Row],[Player No]],Table10[[No]:[Province]],3,0),"")</f>
        <v>CT</v>
      </c>
      <c r="H27" s="66">
        <v>0</v>
      </c>
      <c r="I27" s="96">
        <v>75</v>
      </c>
      <c r="J27" s="110">
        <f>Table818[[#This Row],[Points 2025]]/2+SUM(Table818[[#This Row],[O1  ADMIN 2026]:[P2           WC         CT Open 2026]])</f>
        <v>37.5</v>
      </c>
      <c r="K27" s="106">
        <f t="shared" si="1"/>
        <v>0</v>
      </c>
      <c r="L27" s="106">
        <f t="shared" si="2"/>
        <v>0</v>
      </c>
      <c r="M27" s="106"/>
      <c r="N27" s="106"/>
      <c r="O27" s="106"/>
      <c r="P27" s="106"/>
      <c r="Q27" s="63"/>
      <c r="R27" s="63"/>
      <c r="S27" s="114"/>
      <c r="T27" s="114"/>
      <c r="U27" s="63"/>
      <c r="V27" s="114"/>
      <c r="W27" s="63"/>
      <c r="X27" s="63"/>
      <c r="Y27" s="63">
        <v>25</v>
      </c>
      <c r="Z27" s="63">
        <v>50</v>
      </c>
      <c r="AA27" s="114"/>
      <c r="AB27" s="154"/>
      <c r="AC27" s="154"/>
      <c r="AD27" s="330"/>
      <c r="AE27" s="154"/>
      <c r="AF27" s="154"/>
      <c r="AG27" s="63"/>
      <c r="AH27" s="63"/>
      <c r="AI27" s="63"/>
      <c r="AJ27" s="63"/>
      <c r="AK27" s="63"/>
      <c r="AL27" s="63"/>
    </row>
    <row r="28" spans="1:38" s="92" customFormat="1">
      <c r="A28" s="61"/>
      <c r="B28" s="61"/>
      <c r="C28" s="62">
        <f t="shared" si="0"/>
        <v>-24</v>
      </c>
      <c r="D28" s="63">
        <f t="shared" si="3"/>
        <v>24</v>
      </c>
      <c r="E28" s="63">
        <v>4761</v>
      </c>
      <c r="F28" s="64" t="str">
        <f>IFERROR(VLOOKUP(Table818[[#This Row],[Player No]],Table10[[No]:[Province]],2,0),"")</f>
        <v>PAPU Thapelo</v>
      </c>
      <c r="G28" s="65" t="str">
        <f>IFERROR(VLOOKUP(Table818[[#This Row],[Player No]],Table10[[No]:[Province]],3,0),"")</f>
        <v>EC</v>
      </c>
      <c r="H28" s="66">
        <v>0</v>
      </c>
      <c r="I28" s="96">
        <v>75</v>
      </c>
      <c r="J28" s="110">
        <f>Table818[[#This Row],[Points 2025]]/2+SUM(Table818[[#This Row],[O1  ADMIN 2026]:[P2           WC         CT Open 2026]])</f>
        <v>37.5</v>
      </c>
      <c r="K28" s="106">
        <f t="shared" si="1"/>
        <v>0</v>
      </c>
      <c r="L28" s="106">
        <f t="shared" si="2"/>
        <v>0</v>
      </c>
      <c r="M28" s="106"/>
      <c r="N28" s="106"/>
      <c r="O28" s="106"/>
      <c r="P28" s="106"/>
      <c r="Q28" s="63"/>
      <c r="R28" s="63"/>
      <c r="S28" s="114"/>
      <c r="T28" s="114"/>
      <c r="U28" s="63"/>
      <c r="V28" s="114"/>
      <c r="W28" s="63"/>
      <c r="X28" s="63"/>
      <c r="Y28" s="63"/>
      <c r="Z28" s="63"/>
      <c r="AA28" s="114">
        <v>75</v>
      </c>
      <c r="AB28" s="63"/>
      <c r="AC28" s="63"/>
      <c r="AD28" s="114"/>
      <c r="AE28" s="63"/>
      <c r="AF28" s="63"/>
      <c r="AG28" s="63"/>
      <c r="AH28" s="63"/>
      <c r="AI28" s="63"/>
      <c r="AJ28" s="63"/>
      <c r="AK28" s="63"/>
      <c r="AL28" s="63"/>
    </row>
    <row r="29" spans="1:38" s="92" customFormat="1">
      <c r="A29" s="61"/>
      <c r="B29" s="61"/>
      <c r="C29" s="62">
        <f t="shared" si="0"/>
        <v>-25</v>
      </c>
      <c r="D29" s="63">
        <f t="shared" si="3"/>
        <v>25</v>
      </c>
      <c r="E29" s="76">
        <v>4238</v>
      </c>
      <c r="F29" s="64" t="str">
        <f>IFERROR(VLOOKUP(Table818[[#This Row],[Player No]],Table10[[No]:[Province]],2,0),"")</f>
        <v>ALI Ahmed</v>
      </c>
      <c r="G29" s="65" t="str">
        <f>IFERROR(VLOOKUP(Table818[[#This Row],[Player No]],Table10[[No]:[Province]],3,0),"")</f>
        <v>UMG</v>
      </c>
      <c r="H29" s="66">
        <v>0</v>
      </c>
      <c r="I29" s="96">
        <v>1</v>
      </c>
      <c r="J29" s="110">
        <f>Table818[[#This Row],[Points 2025]]/2+SUM(Table818[[#This Row],[O1  ADMIN 2026]:[P2           WC         CT Open 2026]])</f>
        <v>35.5</v>
      </c>
      <c r="K29" s="106">
        <f t="shared" si="1"/>
        <v>1</v>
      </c>
      <c r="L29" s="106">
        <f t="shared" si="2"/>
        <v>0</v>
      </c>
      <c r="M29" s="106"/>
      <c r="N29" s="106"/>
      <c r="O29" s="106">
        <v>35</v>
      </c>
      <c r="P29" s="106"/>
      <c r="Q29" s="63"/>
      <c r="R29" s="63"/>
      <c r="S29" s="114"/>
      <c r="T29" s="114"/>
      <c r="U29" s="63">
        <v>1</v>
      </c>
      <c r="V29" s="114"/>
      <c r="W29" s="63"/>
      <c r="X29" s="63"/>
      <c r="Y29" s="63"/>
      <c r="Z29" s="63"/>
      <c r="AA29" s="114"/>
      <c r="AB29" s="63"/>
      <c r="AC29" s="63"/>
      <c r="AD29" s="114"/>
      <c r="AE29" s="63"/>
      <c r="AF29" s="63"/>
      <c r="AG29" s="63"/>
      <c r="AH29" s="63"/>
      <c r="AI29" s="63"/>
      <c r="AJ29" s="63"/>
      <c r="AK29" s="63"/>
      <c r="AL29" s="63"/>
    </row>
    <row r="30" spans="1:38" s="92" customFormat="1">
      <c r="A30" s="61"/>
      <c r="B30" s="61"/>
      <c r="C30" s="62">
        <f t="shared" si="0"/>
        <v>-26</v>
      </c>
      <c r="D30" s="63">
        <f t="shared" si="3"/>
        <v>26</v>
      </c>
      <c r="E30" s="63">
        <v>4041</v>
      </c>
      <c r="F30" s="64" t="str">
        <f>IFERROR(VLOOKUP(Table818[[#This Row],[Player No]],Table10[[No]:[Province]],2,0),"")</f>
        <v>MATEKANE Onalenna</v>
      </c>
      <c r="G30" s="65" t="str">
        <f>IFERROR(VLOOKUP(Table818[[#This Row],[Player No]],Table10[[No]:[Province]],3,0),"")</f>
        <v>FS</v>
      </c>
      <c r="H30" s="66">
        <v>0</v>
      </c>
      <c r="I30" s="96">
        <v>67.5</v>
      </c>
      <c r="J30" s="110">
        <f>Table818[[#This Row],[Points 2025]]/2+SUM(Table818[[#This Row],[O1  ADMIN 2026]:[P2           WC         CT Open 2026]])</f>
        <v>33.75</v>
      </c>
      <c r="K30" s="106">
        <f t="shared" si="1"/>
        <v>0</v>
      </c>
      <c r="L30" s="106">
        <f t="shared" si="2"/>
        <v>0</v>
      </c>
      <c r="M30" s="106"/>
      <c r="N30" s="106"/>
      <c r="O30" s="106"/>
      <c r="P30" s="106"/>
      <c r="Q30" s="63"/>
      <c r="R30" s="63"/>
      <c r="S30" s="114"/>
      <c r="T30" s="114"/>
      <c r="U30" s="63"/>
      <c r="V30" s="114">
        <v>50</v>
      </c>
      <c r="W30" s="63">
        <v>7.5</v>
      </c>
      <c r="X30" s="63"/>
      <c r="Y30" s="63"/>
      <c r="Z30" s="63"/>
      <c r="AA30" s="114">
        <v>10</v>
      </c>
      <c r="AB30" s="63"/>
      <c r="AC30" s="63"/>
      <c r="AD30" s="114"/>
      <c r="AE30" s="63"/>
      <c r="AF30" s="63"/>
      <c r="AG30" s="63"/>
      <c r="AH30" s="63"/>
      <c r="AI30" s="63"/>
      <c r="AJ30" s="63"/>
      <c r="AK30" s="63"/>
      <c r="AL30" s="63"/>
    </row>
    <row r="31" spans="1:38" s="92" customFormat="1">
      <c r="A31" s="63">
        <f>IFERROR(VLOOKUP(Table818[[#This Row],[Player No]],Table10[[#All],[No]:[Age Group]],4,0),"")</f>
        <v>0</v>
      </c>
      <c r="B31" s="61">
        <v>4</v>
      </c>
      <c r="C31" s="62">
        <f t="shared" si="0"/>
        <v>-23</v>
      </c>
      <c r="D31" s="63">
        <f t="shared" si="3"/>
        <v>27</v>
      </c>
      <c r="E31" s="63">
        <v>3604</v>
      </c>
      <c r="F31" s="64" t="str">
        <f>IFERROR(VLOOKUP(Table818[[#This Row],[Player No]],Table10[[No]:[Province]],2,0),"")</f>
        <v>DHRAMPAL Cole</v>
      </c>
      <c r="G31" s="65" t="str">
        <f>IFERROR(VLOOKUP(Table818[[#This Row],[Player No]],Table10[[No]:[Province]],3,0),"")</f>
        <v>UMG</v>
      </c>
      <c r="H31" s="66">
        <v>127.5</v>
      </c>
      <c r="I31" s="96">
        <v>63.75</v>
      </c>
      <c r="J31" s="110">
        <f>Table818[[#This Row],[Points 2025]]/2+SUM(Table818[[#This Row],[O1  ADMIN 2026]:[P2           WC         CT Open 2026]])</f>
        <v>31.875</v>
      </c>
      <c r="K31" s="106">
        <f t="shared" si="1"/>
        <v>0</v>
      </c>
      <c r="L31" s="106">
        <f t="shared" si="2"/>
        <v>0</v>
      </c>
      <c r="M31" s="106"/>
      <c r="N31" s="106"/>
      <c r="O31" s="106"/>
      <c r="P31" s="106"/>
      <c r="Q31" s="63"/>
      <c r="R31" s="63"/>
      <c r="S31" s="114"/>
      <c r="T31" s="114"/>
      <c r="U31" s="63"/>
      <c r="V31" s="114"/>
      <c r="W31" s="63"/>
      <c r="X31" s="63"/>
      <c r="Y31" s="63"/>
      <c r="Z31" s="63"/>
      <c r="AA31" s="114"/>
      <c r="AB31" s="63"/>
      <c r="AC31" s="63"/>
      <c r="AD31" s="114"/>
      <c r="AE31" s="63"/>
      <c r="AF31" s="63">
        <f>150/2</f>
        <v>75</v>
      </c>
      <c r="AG31" s="63"/>
      <c r="AH31" s="63"/>
      <c r="AI31" s="63">
        <v>50</v>
      </c>
      <c r="AJ31" s="63"/>
      <c r="AK31" s="63"/>
      <c r="AL31" s="63"/>
    </row>
    <row r="32" spans="1:38" s="92" customFormat="1">
      <c r="A32" s="63"/>
      <c r="B32" s="61"/>
      <c r="C32" s="62">
        <f t="shared" si="0"/>
        <v>-28</v>
      </c>
      <c r="D32" s="63">
        <f t="shared" si="3"/>
        <v>28</v>
      </c>
      <c r="E32" s="63">
        <v>3990</v>
      </c>
      <c r="F32" s="64" t="str">
        <f>IFERROR(VLOOKUP(Table818[[#This Row],[Player No]],Table10[[No]:[Province]],2,0),"")</f>
        <v xml:space="preserve">MOKWENA Kwena </v>
      </c>
      <c r="G32" s="65" t="str">
        <f>IFERROR(VLOOKUP(Table818[[#This Row],[Player No]],Table10[[No]:[Province]],3,0),"")</f>
        <v>LIM</v>
      </c>
      <c r="H32" s="66">
        <v>75</v>
      </c>
      <c r="I32" s="96">
        <v>62.5</v>
      </c>
      <c r="J32" s="110">
        <f>Table818[[#This Row],[Points 2025]]/2+SUM(Table818[[#This Row],[O1  ADMIN 2026]:[P2           WC         CT Open 2026]])</f>
        <v>31.25</v>
      </c>
      <c r="K32" s="106">
        <f t="shared" si="1"/>
        <v>0</v>
      </c>
      <c r="L32" s="106">
        <f t="shared" si="2"/>
        <v>0</v>
      </c>
      <c r="M32" s="106"/>
      <c r="N32" s="106"/>
      <c r="O32" s="106"/>
      <c r="P32" s="106"/>
      <c r="Q32" s="63"/>
      <c r="R32" s="63"/>
      <c r="S32" s="114"/>
      <c r="T32" s="114"/>
      <c r="U32" s="63"/>
      <c r="V32" s="114"/>
      <c r="W32" s="63"/>
      <c r="X32" s="63"/>
      <c r="Y32" s="63"/>
      <c r="Z32" s="63"/>
      <c r="AA32" s="114">
        <v>25</v>
      </c>
      <c r="AB32" s="63"/>
      <c r="AC32" s="63"/>
      <c r="AD32" s="114"/>
      <c r="AE32" s="63"/>
      <c r="AF32" s="63"/>
      <c r="AG32" s="63"/>
      <c r="AH32" s="63"/>
      <c r="AI32" s="63">
        <v>75</v>
      </c>
      <c r="AJ32" s="63"/>
      <c r="AK32" s="63"/>
      <c r="AL32" s="63"/>
    </row>
    <row r="33" spans="1:38" s="92" customFormat="1">
      <c r="A33" s="61"/>
      <c r="B33" s="61"/>
      <c r="C33" s="62">
        <f t="shared" si="0"/>
        <v>-29</v>
      </c>
      <c r="D33" s="63">
        <f t="shared" si="3"/>
        <v>29</v>
      </c>
      <c r="E33" s="76">
        <v>4237</v>
      </c>
      <c r="F33" s="64" t="str">
        <f>IFERROR(VLOOKUP(Table818[[#This Row],[Player No]],Table10[[No]:[Province]],2,0),"")</f>
        <v>TAYLIN Naipal</v>
      </c>
      <c r="G33" s="65" t="str">
        <f>IFERROR(VLOOKUP(Table818[[#This Row],[Player No]],Table10[[No]:[Province]],3,0),"")</f>
        <v>UMG</v>
      </c>
      <c r="H33" s="66">
        <v>0</v>
      </c>
      <c r="I33" s="96">
        <v>58</v>
      </c>
      <c r="J33" s="110">
        <f>Table818[[#This Row],[Points 2025]]/2+SUM(Table818[[#This Row],[O1  ADMIN 2026]:[P2           WC         CT Open 2026]])</f>
        <v>29</v>
      </c>
      <c r="K33" s="106">
        <f t="shared" si="1"/>
        <v>0</v>
      </c>
      <c r="L33" s="106">
        <f t="shared" si="2"/>
        <v>0</v>
      </c>
      <c r="M33" s="106"/>
      <c r="N33" s="106"/>
      <c r="O33" s="106"/>
      <c r="P33" s="106"/>
      <c r="Q33" s="63">
        <v>2</v>
      </c>
      <c r="R33" s="63">
        <v>1</v>
      </c>
      <c r="S33" s="114">
        <v>25</v>
      </c>
      <c r="T33" s="114"/>
      <c r="U33" s="63">
        <v>25</v>
      </c>
      <c r="V33" s="114"/>
      <c r="W33" s="63"/>
      <c r="X33" s="63"/>
      <c r="Y33" s="157"/>
      <c r="Z33" s="63"/>
      <c r="AA33" s="114">
        <v>5</v>
      </c>
      <c r="AB33" s="63"/>
      <c r="AC33" s="63"/>
      <c r="AD33" s="114"/>
      <c r="AE33" s="63"/>
      <c r="AF33" s="63"/>
      <c r="AG33" s="63"/>
      <c r="AH33" s="63"/>
      <c r="AI33" s="63"/>
      <c r="AJ33" s="63"/>
      <c r="AK33" s="63"/>
      <c r="AL33" s="63"/>
    </row>
    <row r="34" spans="1:38" s="92" customFormat="1">
      <c r="A34" s="61"/>
      <c r="B34" s="61"/>
      <c r="C34" s="62">
        <f t="shared" si="0"/>
        <v>-30</v>
      </c>
      <c r="D34" s="63">
        <f t="shared" si="3"/>
        <v>30</v>
      </c>
      <c r="E34" s="76">
        <v>4239</v>
      </c>
      <c r="F34" s="64" t="str">
        <f>IFERROR(VLOOKUP(Table818[[#This Row],[Player No]],Table10[[No]:[Province]],2,0),"")</f>
        <v>ARBEE Muhammad Moosa</v>
      </c>
      <c r="G34" s="65" t="str">
        <f>IFERROR(VLOOKUP(Table818[[#This Row],[Player No]],Table10[[No]:[Province]],3,0),"")</f>
        <v>UMG</v>
      </c>
      <c r="H34" s="66">
        <v>0</v>
      </c>
      <c r="I34" s="96">
        <v>1</v>
      </c>
      <c r="J34" s="110">
        <f>Table818[[#This Row],[Points 2025]]/2+SUM(Table818[[#This Row],[O1  ADMIN 2026]:[P2           WC         CT Open 2026]])</f>
        <v>25.5</v>
      </c>
      <c r="K34" s="106">
        <f t="shared" si="1"/>
        <v>1</v>
      </c>
      <c r="L34" s="106">
        <f t="shared" si="2"/>
        <v>0</v>
      </c>
      <c r="M34" s="106"/>
      <c r="N34" s="106"/>
      <c r="O34" s="106">
        <v>25</v>
      </c>
      <c r="P34" s="106"/>
      <c r="Q34" s="63"/>
      <c r="R34" s="63"/>
      <c r="S34" s="114"/>
      <c r="T34" s="114"/>
      <c r="U34" s="63">
        <v>1</v>
      </c>
      <c r="V34" s="114"/>
      <c r="W34" s="63"/>
      <c r="X34" s="63"/>
      <c r="Y34" s="63"/>
      <c r="Z34" s="63"/>
      <c r="AA34" s="114"/>
      <c r="AB34" s="63"/>
      <c r="AC34" s="63"/>
      <c r="AD34" s="114"/>
      <c r="AE34" s="63"/>
      <c r="AF34" s="63"/>
      <c r="AG34" s="63"/>
      <c r="AH34" s="63"/>
      <c r="AI34" s="63"/>
      <c r="AJ34" s="63"/>
      <c r="AK34" s="63"/>
      <c r="AL34" s="63"/>
    </row>
    <row r="35" spans="1:38" s="92" customFormat="1">
      <c r="A35" s="155"/>
      <c r="B35" s="155"/>
      <c r="C35" s="62">
        <f t="shared" si="0"/>
        <v>-31</v>
      </c>
      <c r="D35" s="63">
        <f t="shared" si="3"/>
        <v>31</v>
      </c>
      <c r="E35" s="157">
        <v>4393</v>
      </c>
      <c r="F35" s="64" t="str">
        <f>IFERROR(VLOOKUP(Table818[[#This Row],[Player No]],Table10[[No]:[Province]],2,0),"")</f>
        <v>ASULIN Ori</v>
      </c>
      <c r="G35" s="65" t="str">
        <f>IFERROR(VLOOKUP(Table818[[#This Row],[Player No]],Table10[[No]:[Province]],3,0),"")</f>
        <v>JTTA</v>
      </c>
      <c r="H35" s="158">
        <v>0</v>
      </c>
      <c r="I35" s="96">
        <v>50</v>
      </c>
      <c r="J35" s="110">
        <f>Table818[[#This Row],[Points 2025]]/2+SUM(Table818[[#This Row],[O1  ADMIN 2026]:[P2           WC         CT Open 2026]])</f>
        <v>25</v>
      </c>
      <c r="K35" s="106">
        <f t="shared" si="1"/>
        <v>0</v>
      </c>
      <c r="L35" s="106">
        <f t="shared" si="2"/>
        <v>0</v>
      </c>
      <c r="M35" s="106"/>
      <c r="N35" s="106"/>
      <c r="O35" s="106"/>
      <c r="P35" s="106"/>
      <c r="Q35" s="157"/>
      <c r="R35" s="157"/>
      <c r="S35" s="165"/>
      <c r="T35" s="165"/>
      <c r="U35" s="157"/>
      <c r="V35" s="165"/>
      <c r="W35" s="157"/>
      <c r="X35" s="157"/>
      <c r="Y35" s="63"/>
      <c r="Z35" s="157"/>
      <c r="AA35" s="165"/>
      <c r="AB35" s="157"/>
      <c r="AC35" s="157">
        <v>50</v>
      </c>
      <c r="AD35" s="165"/>
      <c r="AE35" s="157"/>
      <c r="AF35" s="157"/>
      <c r="AG35" s="157"/>
      <c r="AH35" s="157"/>
      <c r="AI35" s="157"/>
      <c r="AJ35" s="157"/>
      <c r="AK35" s="157"/>
      <c r="AL35" s="157"/>
    </row>
    <row r="36" spans="1:38" s="92" customFormat="1">
      <c r="A36" s="61"/>
      <c r="B36" s="61"/>
      <c r="C36" s="62">
        <f t="shared" si="0"/>
        <v>-32</v>
      </c>
      <c r="D36" s="63">
        <f t="shared" si="3"/>
        <v>32</v>
      </c>
      <c r="E36" s="63">
        <v>4634</v>
      </c>
      <c r="F36" s="64" t="str">
        <f>IFERROR(VLOOKUP(Table818[[#This Row],[Player No]],Table10[[No]:[Province]],2,0),"")</f>
        <v>SKIPPERS Chris-Will</v>
      </c>
      <c r="G36" s="65" t="str">
        <f>IFERROR(VLOOKUP(Table818[[#This Row],[Player No]],Table10[[No]:[Province]],3,0),"")</f>
        <v>WC</v>
      </c>
      <c r="H36" s="66">
        <v>0</v>
      </c>
      <c r="I36" s="96">
        <v>50</v>
      </c>
      <c r="J36" s="110">
        <f>Table818[[#This Row],[Points 2025]]/2+SUM(Table818[[#This Row],[O1  ADMIN 2026]:[P2           WC         CT Open 2026]])</f>
        <v>25</v>
      </c>
      <c r="K36" s="106">
        <f t="shared" si="1"/>
        <v>0</v>
      </c>
      <c r="L36" s="106">
        <f t="shared" si="2"/>
        <v>0</v>
      </c>
      <c r="M36" s="106"/>
      <c r="N36" s="106"/>
      <c r="O36" s="106"/>
      <c r="P36" s="106"/>
      <c r="Q36" s="63"/>
      <c r="R36" s="63"/>
      <c r="S36" s="114"/>
      <c r="T36" s="114"/>
      <c r="U36" s="63"/>
      <c r="V36" s="114"/>
      <c r="W36" s="63"/>
      <c r="X36" s="63"/>
      <c r="Y36" s="63"/>
      <c r="Z36" s="63">
        <v>50</v>
      </c>
      <c r="AA36" s="114">
        <v>0</v>
      </c>
      <c r="AB36" s="63"/>
      <c r="AC36" s="63"/>
      <c r="AD36" s="114"/>
      <c r="AE36" s="63"/>
      <c r="AF36" s="63"/>
      <c r="AG36" s="63"/>
      <c r="AH36" s="63"/>
      <c r="AI36" s="63"/>
      <c r="AJ36" s="63"/>
      <c r="AK36" s="63"/>
      <c r="AL36" s="63"/>
    </row>
    <row r="37" spans="1:38" s="92" customFormat="1">
      <c r="A37" s="61"/>
      <c r="B37" s="61"/>
      <c r="C37" s="62">
        <f t="shared" ref="C37:C68" si="4">+B37-D37</f>
        <v>-33</v>
      </c>
      <c r="D37" s="63">
        <f t="shared" si="3"/>
        <v>33</v>
      </c>
      <c r="E37" s="63">
        <v>4635</v>
      </c>
      <c r="F37" s="64" t="str">
        <f>IFERROR(VLOOKUP(Table818[[#This Row],[Player No]],Table10[[No]:[Province]],2,0),"")</f>
        <v xml:space="preserve">ISAACS Zeeshan </v>
      </c>
      <c r="G37" s="65" t="str">
        <f>IFERROR(VLOOKUP(Table818[[#This Row],[Player No]],Table10[[No]:[Province]],3,0),"")</f>
        <v>CT</v>
      </c>
      <c r="H37" s="66">
        <v>0</v>
      </c>
      <c r="I37" s="96">
        <v>50</v>
      </c>
      <c r="J37" s="110">
        <f>Table818[[#This Row],[Points 2025]]/2+SUM(Table818[[#This Row],[O1  ADMIN 2026]:[P2           WC         CT Open 2026]])</f>
        <v>25</v>
      </c>
      <c r="K37" s="106">
        <f t="shared" ref="K37:K68" si="5">COUNTIF(M37:P37,"&gt;0")</f>
        <v>0</v>
      </c>
      <c r="L37" s="106">
        <f t="shared" ref="L37:L68" si="6">COUNTIF(N37:AL37,"&lt;0")</f>
        <v>0</v>
      </c>
      <c r="M37" s="106"/>
      <c r="N37" s="106"/>
      <c r="O37" s="106"/>
      <c r="P37" s="106"/>
      <c r="Q37" s="63"/>
      <c r="R37" s="63"/>
      <c r="S37" s="114"/>
      <c r="T37" s="114"/>
      <c r="U37" s="63"/>
      <c r="V37" s="114"/>
      <c r="W37" s="63"/>
      <c r="X37" s="63"/>
      <c r="Y37" s="63"/>
      <c r="Z37" s="63">
        <v>50</v>
      </c>
      <c r="AA37" s="114"/>
      <c r="AB37" s="63"/>
      <c r="AC37" s="63"/>
      <c r="AD37" s="114"/>
      <c r="AE37" s="63"/>
      <c r="AF37" s="63"/>
      <c r="AG37" s="63"/>
      <c r="AH37" s="63"/>
      <c r="AI37" s="63"/>
      <c r="AJ37" s="63"/>
      <c r="AK37" s="63"/>
      <c r="AL37" s="63"/>
    </row>
    <row r="38" spans="1:38" s="92" customFormat="1">
      <c r="A38" s="61"/>
      <c r="B38" s="61"/>
      <c r="C38" s="62">
        <f t="shared" si="4"/>
        <v>-34</v>
      </c>
      <c r="D38" s="63">
        <f t="shared" si="3"/>
        <v>34</v>
      </c>
      <c r="E38" s="63">
        <v>4762</v>
      </c>
      <c r="F38" s="64" t="str">
        <f>IFERROR(VLOOKUP(Table818[[#This Row],[Player No]],Table10[[No]:[Province]],2,0),"")</f>
        <v>DAFETI Kwanganathi</v>
      </c>
      <c r="G38" s="65" t="str">
        <f>IFERROR(VLOOKUP(Table818[[#This Row],[Player No]],Table10[[No]:[Province]],3,0),"")</f>
        <v>EC</v>
      </c>
      <c r="H38" s="66">
        <v>0</v>
      </c>
      <c r="I38" s="96">
        <v>50</v>
      </c>
      <c r="J38" s="110">
        <f>Table818[[#This Row],[Points 2025]]/2+SUM(Table818[[#This Row],[O1  ADMIN 2026]:[P2           WC         CT Open 2026]])</f>
        <v>25</v>
      </c>
      <c r="K38" s="106">
        <f t="shared" si="5"/>
        <v>0</v>
      </c>
      <c r="L38" s="106">
        <f t="shared" si="6"/>
        <v>0</v>
      </c>
      <c r="M38" s="106"/>
      <c r="N38" s="106"/>
      <c r="O38" s="106"/>
      <c r="P38" s="106"/>
      <c r="Q38" s="63"/>
      <c r="R38" s="63"/>
      <c r="S38" s="114"/>
      <c r="T38" s="114"/>
      <c r="U38" s="63"/>
      <c r="V38" s="114"/>
      <c r="W38" s="63"/>
      <c r="X38" s="63"/>
      <c r="Y38" s="63"/>
      <c r="Z38" s="63"/>
      <c r="AA38" s="114">
        <v>50</v>
      </c>
      <c r="AB38" s="63"/>
      <c r="AC38" s="63"/>
      <c r="AD38" s="114"/>
      <c r="AE38" s="63"/>
      <c r="AF38" s="63"/>
      <c r="AG38" s="63"/>
      <c r="AH38" s="63"/>
      <c r="AI38" s="63"/>
      <c r="AJ38" s="63"/>
      <c r="AK38" s="63"/>
      <c r="AL38" s="63"/>
    </row>
    <row r="39" spans="1:38" s="92" customFormat="1">
      <c r="A39" s="63">
        <f>IFERROR(VLOOKUP(Table818[[#This Row],[Player No]],Table10[[#All],[No]:[Age Group]],4,0),"")</f>
        <v>0</v>
      </c>
      <c r="B39" s="61"/>
      <c r="C39" s="62">
        <f t="shared" si="4"/>
        <v>-35</v>
      </c>
      <c r="D39" s="63">
        <f t="shared" si="3"/>
        <v>35</v>
      </c>
      <c r="E39" s="63">
        <v>4110</v>
      </c>
      <c r="F39" s="64" t="str">
        <f>IFERROR(VLOOKUP(Table818[[#This Row],[Player No]],Table10[[No]:[Province]],2,0),"")</f>
        <v>Indiphile VOLIBI</v>
      </c>
      <c r="G39" s="65" t="str">
        <f>IFERROR(VLOOKUP(Table818[[#This Row],[Player No]],Table10[[No]:[Province]],3,0),"")</f>
        <v>EC</v>
      </c>
      <c r="H39" s="66">
        <v>75</v>
      </c>
      <c r="I39" s="96">
        <v>37.5</v>
      </c>
      <c r="J39" s="110">
        <f>Table818[[#This Row],[Points 2025]]/2+SUM(Table818[[#This Row],[O1  ADMIN 2026]:[P2           WC         CT Open 2026]])</f>
        <v>18.75</v>
      </c>
      <c r="K39" s="106">
        <f t="shared" si="5"/>
        <v>0</v>
      </c>
      <c r="L39" s="106">
        <f t="shared" si="6"/>
        <v>0</v>
      </c>
      <c r="M39" s="106"/>
      <c r="N39" s="106"/>
      <c r="O39" s="106"/>
      <c r="P39" s="106"/>
      <c r="Q39" s="63"/>
      <c r="R39" s="63"/>
      <c r="S39" s="114"/>
      <c r="T39" s="114"/>
      <c r="U39" s="63"/>
      <c r="V39" s="114"/>
      <c r="W39" s="63"/>
      <c r="X39" s="63"/>
      <c r="Y39" s="63"/>
      <c r="Z39" s="63"/>
      <c r="AA39" s="114"/>
      <c r="AB39" s="63"/>
      <c r="AC39" s="63"/>
      <c r="AD39" s="114"/>
      <c r="AE39" s="63"/>
      <c r="AF39" s="63"/>
      <c r="AG39" s="63"/>
      <c r="AH39" s="63"/>
      <c r="AI39" s="63">
        <v>75</v>
      </c>
      <c r="AJ39" s="63"/>
      <c r="AK39" s="63"/>
      <c r="AL39" s="63"/>
    </row>
    <row r="40" spans="1:38" s="92" customFormat="1">
      <c r="A40" s="63"/>
      <c r="B40" s="61"/>
      <c r="C40" s="62">
        <f t="shared" si="4"/>
        <v>-36</v>
      </c>
      <c r="D40" s="63">
        <f t="shared" si="3"/>
        <v>36</v>
      </c>
      <c r="E40" s="63">
        <v>3991</v>
      </c>
      <c r="F40" s="64" t="str">
        <f>IFERROR(VLOOKUP(Table818[[#This Row],[Player No]],Table10[[No]:[Province]],2,0),"")</f>
        <v>MABOKO  Kamogelo</v>
      </c>
      <c r="G40" s="65" t="str">
        <f>IFERROR(VLOOKUP(Table818[[#This Row],[Player No]],Table10[[No]:[Province]],3,0),"")</f>
        <v>LIM</v>
      </c>
      <c r="H40" s="66">
        <v>25</v>
      </c>
      <c r="I40" s="96">
        <v>37.5</v>
      </c>
      <c r="J40" s="110">
        <f>Table818[[#This Row],[Points 2025]]/2+SUM(Table818[[#This Row],[O1  ADMIN 2026]:[P2           WC         CT Open 2026]])</f>
        <v>18.75</v>
      </c>
      <c r="K40" s="106">
        <f t="shared" si="5"/>
        <v>0</v>
      </c>
      <c r="L40" s="106">
        <f t="shared" si="6"/>
        <v>0</v>
      </c>
      <c r="M40" s="106"/>
      <c r="N40" s="106"/>
      <c r="O40" s="106"/>
      <c r="P40" s="106"/>
      <c r="Q40" s="63"/>
      <c r="R40" s="63"/>
      <c r="S40" s="114"/>
      <c r="T40" s="114"/>
      <c r="U40" s="63"/>
      <c r="V40" s="114"/>
      <c r="W40" s="63"/>
      <c r="X40" s="63"/>
      <c r="Y40" s="63"/>
      <c r="Z40" s="63"/>
      <c r="AA40" s="114">
        <v>25</v>
      </c>
      <c r="AB40" s="63"/>
      <c r="AC40" s="63"/>
      <c r="AD40" s="114"/>
      <c r="AE40" s="63"/>
      <c r="AF40" s="63"/>
      <c r="AG40" s="63"/>
      <c r="AH40" s="63"/>
      <c r="AI40" s="63">
        <v>25</v>
      </c>
      <c r="AJ40" s="63"/>
      <c r="AK40" s="63"/>
      <c r="AL40" s="63"/>
    </row>
    <row r="41" spans="1:38" s="92" customFormat="1">
      <c r="A41" s="61"/>
      <c r="B41" s="61"/>
      <c r="C41" s="62">
        <f t="shared" si="4"/>
        <v>-37</v>
      </c>
      <c r="D41" s="63">
        <f t="shared" ref="D41:D104" si="7">+D40+1</f>
        <v>37</v>
      </c>
      <c r="E41" s="63">
        <v>4535</v>
      </c>
      <c r="F41" s="64" t="str">
        <f>IFERROR(VLOOKUP(Table818[[#This Row],[Player No]],Table10[[No]:[Province]],2,0),"")</f>
        <v>DOMINGO Yaqoob</v>
      </c>
      <c r="G41" s="65" t="str">
        <f>IFERROR(VLOOKUP(Table818[[#This Row],[Player No]],Table10[[No]:[Province]],3,0),"")</f>
        <v>CT</v>
      </c>
      <c r="H41" s="66">
        <v>1</v>
      </c>
      <c r="I41" s="96">
        <v>35</v>
      </c>
      <c r="J41" s="110">
        <f>Table818[[#This Row],[Points 2025]]/2+SUM(Table818[[#This Row],[O1  ADMIN 2026]:[P2           WC         CT Open 2026]])</f>
        <v>17.5</v>
      </c>
      <c r="K41" s="106">
        <f t="shared" si="5"/>
        <v>0</v>
      </c>
      <c r="L41" s="106">
        <f t="shared" si="6"/>
        <v>0</v>
      </c>
      <c r="M41" s="106"/>
      <c r="N41" s="106"/>
      <c r="O41" s="106"/>
      <c r="P41" s="106"/>
      <c r="Q41" s="63"/>
      <c r="R41" s="63"/>
      <c r="S41" s="114"/>
      <c r="T41" s="114"/>
      <c r="U41" s="63"/>
      <c r="V41" s="114"/>
      <c r="W41" s="63"/>
      <c r="X41" s="63"/>
      <c r="Y41" s="63">
        <v>7.5</v>
      </c>
      <c r="Z41" s="63">
        <v>2</v>
      </c>
      <c r="AA41" s="114">
        <v>25</v>
      </c>
      <c r="AB41" s="63"/>
      <c r="AC41" s="63"/>
      <c r="AD41" s="114"/>
      <c r="AE41" s="63"/>
      <c r="AF41" s="63"/>
      <c r="AG41" s="63">
        <v>1</v>
      </c>
      <c r="AH41" s="63"/>
      <c r="AI41" s="63"/>
      <c r="AJ41" s="63"/>
      <c r="AK41" s="63"/>
      <c r="AL41" s="63"/>
    </row>
    <row r="42" spans="1:38" s="92" customFormat="1">
      <c r="A42" s="63">
        <f>IFERROR(VLOOKUP(Table818[[#This Row],[Player No]],Table10[[#All],[No]:[Age Group]],4,0),"")</f>
        <v>0</v>
      </c>
      <c r="B42" s="61">
        <v>72</v>
      </c>
      <c r="C42" s="62">
        <f t="shared" si="4"/>
        <v>34</v>
      </c>
      <c r="D42" s="63">
        <f t="shared" si="7"/>
        <v>38</v>
      </c>
      <c r="E42" s="63">
        <v>3953</v>
      </c>
      <c r="F42" s="64" t="str">
        <f>IFERROR(VLOOKUP(Table818[[#This Row],[Player No]],Table10[[No]:[Province]],2,0),"")</f>
        <v>BEUKES Zian</v>
      </c>
      <c r="G42" s="65" t="str">
        <f>IFERROR(VLOOKUP(Table818[[#This Row],[Player No]],Table10[[No]:[Province]],3,0),"")</f>
        <v>Eden</v>
      </c>
      <c r="H42" s="66">
        <v>66</v>
      </c>
      <c r="I42" s="96">
        <v>33</v>
      </c>
      <c r="J42" s="110">
        <f>Table818[[#This Row],[Points 2025]]/2+SUM(Table818[[#This Row],[O1  ADMIN 2026]:[P2           WC         CT Open 2026]])</f>
        <v>16.5</v>
      </c>
      <c r="K42" s="106">
        <f t="shared" si="5"/>
        <v>0</v>
      </c>
      <c r="L42" s="106">
        <f t="shared" si="6"/>
        <v>0</v>
      </c>
      <c r="M42" s="106"/>
      <c r="N42" s="106"/>
      <c r="O42" s="106"/>
      <c r="P42" s="106"/>
      <c r="Q42" s="63"/>
      <c r="R42" s="63"/>
      <c r="S42" s="114"/>
      <c r="T42" s="114"/>
      <c r="U42" s="63"/>
      <c r="V42" s="114"/>
      <c r="W42" s="63"/>
      <c r="X42" s="63"/>
      <c r="Y42" s="63"/>
      <c r="Z42" s="63"/>
      <c r="AA42" s="114"/>
      <c r="AB42" s="63"/>
      <c r="AC42" s="63"/>
      <c r="AD42" s="114"/>
      <c r="AE42" s="63"/>
      <c r="AF42" s="63"/>
      <c r="AG42" s="63">
        <v>15</v>
      </c>
      <c r="AH42" s="63">
        <v>1</v>
      </c>
      <c r="AI42" s="63">
        <v>50</v>
      </c>
      <c r="AJ42" s="63"/>
      <c r="AK42" s="63"/>
      <c r="AL42" s="63"/>
    </row>
    <row r="43" spans="1:38" s="92" customFormat="1">
      <c r="A43" s="63"/>
      <c r="B43" s="61"/>
      <c r="C43" s="62">
        <f t="shared" si="4"/>
        <v>-39</v>
      </c>
      <c r="D43" s="63">
        <f t="shared" si="7"/>
        <v>39</v>
      </c>
      <c r="E43" s="63">
        <v>3963</v>
      </c>
      <c r="F43" s="64" t="str">
        <f>IFERROR(VLOOKUP(Table818[[#This Row],[Player No]],Table10[[No]:[Province]],2,0),"")</f>
        <v>SOHA Lesego</v>
      </c>
      <c r="G43" s="65" t="str">
        <f>IFERROR(VLOOKUP(Table818[[#This Row],[Player No]],Table10[[No]:[Province]],3,0),"")</f>
        <v>EKU</v>
      </c>
      <c r="H43" s="66">
        <v>5</v>
      </c>
      <c r="I43" s="96">
        <v>32.5</v>
      </c>
      <c r="J43" s="110">
        <f>Table818[[#This Row],[Points 2025]]/2+SUM(Table818[[#This Row],[O1  ADMIN 2026]:[P2           WC         CT Open 2026]])</f>
        <v>16.25</v>
      </c>
      <c r="K43" s="106">
        <f t="shared" si="5"/>
        <v>0</v>
      </c>
      <c r="L43" s="106">
        <f t="shared" si="6"/>
        <v>0</v>
      </c>
      <c r="M43" s="106"/>
      <c r="N43" s="106"/>
      <c r="O43" s="106"/>
      <c r="P43" s="106"/>
      <c r="Q43" s="63"/>
      <c r="R43" s="63"/>
      <c r="S43" s="114"/>
      <c r="T43" s="114"/>
      <c r="U43" s="63"/>
      <c r="V43" s="114"/>
      <c r="W43" s="63"/>
      <c r="X43" s="63">
        <v>25</v>
      </c>
      <c r="Y43" s="63"/>
      <c r="Z43" s="63"/>
      <c r="AA43" s="114">
        <v>5</v>
      </c>
      <c r="AB43" s="63"/>
      <c r="AC43" s="63"/>
      <c r="AD43" s="114"/>
      <c r="AE43" s="63"/>
      <c r="AF43" s="63"/>
      <c r="AG43" s="63"/>
      <c r="AH43" s="63"/>
      <c r="AI43" s="63">
        <v>5</v>
      </c>
      <c r="AJ43" s="63"/>
      <c r="AK43" s="63"/>
      <c r="AL43" s="63"/>
    </row>
    <row r="44" spans="1:38" s="92" customFormat="1">
      <c r="A44" s="63">
        <f>IFERROR(VLOOKUP(Table818[[#This Row],[Player No]],Table10[[#All],[No]:[Age Group]],4,0),"")</f>
        <v>0</v>
      </c>
      <c r="B44" s="61">
        <v>71</v>
      </c>
      <c r="C44" s="62">
        <f t="shared" si="4"/>
        <v>31</v>
      </c>
      <c r="D44" s="63">
        <f t="shared" si="7"/>
        <v>40</v>
      </c>
      <c r="E44" s="63">
        <v>3937</v>
      </c>
      <c r="F44" s="64" t="str">
        <f>IFERROR(VLOOKUP(Table818[[#This Row],[Player No]],Table10[[No]:[Province]],2,0),"")</f>
        <v>NQGULA Njongo</v>
      </c>
      <c r="G44" s="65" t="str">
        <f>IFERROR(VLOOKUP(Table818[[#This Row],[Player No]],Table10[[No]:[Province]],3,0),"")</f>
        <v>CT</v>
      </c>
      <c r="H44" s="66">
        <v>62.5</v>
      </c>
      <c r="I44" s="96">
        <v>31.25</v>
      </c>
      <c r="J44" s="110">
        <f>Table818[[#This Row],[Points 2025]]/2+SUM(Table818[[#This Row],[O1  ADMIN 2026]:[P2           WC         CT Open 2026]])</f>
        <v>15.625</v>
      </c>
      <c r="K44" s="106">
        <f t="shared" si="5"/>
        <v>0</v>
      </c>
      <c r="L44" s="106">
        <f t="shared" si="6"/>
        <v>0</v>
      </c>
      <c r="M44" s="106"/>
      <c r="N44" s="106"/>
      <c r="O44" s="106"/>
      <c r="P44" s="106"/>
      <c r="Q44" s="63"/>
      <c r="R44" s="63"/>
      <c r="S44" s="114"/>
      <c r="T44" s="114"/>
      <c r="U44" s="63"/>
      <c r="V44" s="114"/>
      <c r="W44" s="63"/>
      <c r="X44" s="63"/>
      <c r="Y44" s="63"/>
      <c r="Z44" s="63"/>
      <c r="AA44" s="114"/>
      <c r="AB44" s="63"/>
      <c r="AC44" s="63"/>
      <c r="AD44" s="114"/>
      <c r="AE44" s="63"/>
      <c r="AF44" s="63"/>
      <c r="AG44" s="63">
        <v>25</v>
      </c>
      <c r="AH44" s="63">
        <f>75/2</f>
        <v>37.5</v>
      </c>
      <c r="AI44" s="63"/>
      <c r="AJ44" s="63"/>
      <c r="AK44" s="63"/>
      <c r="AL44" s="63"/>
    </row>
    <row r="45" spans="1:38" s="92" customFormat="1">
      <c r="A45" s="61"/>
      <c r="B45" s="61"/>
      <c r="C45" s="62">
        <f t="shared" si="4"/>
        <v>-41</v>
      </c>
      <c r="D45" s="63">
        <f t="shared" si="7"/>
        <v>41</v>
      </c>
      <c r="E45" s="76">
        <v>3879</v>
      </c>
      <c r="F45" s="64" t="str">
        <f>IFERROR(VLOOKUP(Table818[[#This Row],[Player No]],Table10[[No]:[Province]],2,0),"")</f>
        <v>REDLINGHYS Ezra</v>
      </c>
      <c r="G45" s="65" t="str">
        <f>IFERROR(VLOOKUP(Table818[[#This Row],[Player No]],Table10[[No]:[Province]],3,0),"")</f>
        <v>UMG</v>
      </c>
      <c r="H45" s="66">
        <v>0</v>
      </c>
      <c r="I45" s="96">
        <v>31</v>
      </c>
      <c r="J45" s="110">
        <f>Table818[[#This Row],[Points 2025]]/2+SUM(Table818[[#This Row],[O1  ADMIN 2026]:[P2           WC         CT Open 2026]])</f>
        <v>15.5</v>
      </c>
      <c r="K45" s="106">
        <f t="shared" si="5"/>
        <v>0</v>
      </c>
      <c r="L45" s="106">
        <f t="shared" si="6"/>
        <v>0</v>
      </c>
      <c r="M45" s="106"/>
      <c r="N45" s="106"/>
      <c r="O45" s="106"/>
      <c r="P45" s="106"/>
      <c r="Q45" s="63"/>
      <c r="R45" s="63">
        <v>1</v>
      </c>
      <c r="S45" s="114"/>
      <c r="T45" s="114"/>
      <c r="U45" s="63">
        <v>25</v>
      </c>
      <c r="V45" s="114"/>
      <c r="W45" s="63"/>
      <c r="X45" s="63"/>
      <c r="Y45" s="63"/>
      <c r="Z45" s="63"/>
      <c r="AA45" s="114">
        <v>5</v>
      </c>
      <c r="AB45" s="63"/>
      <c r="AC45" s="63"/>
      <c r="AD45" s="114"/>
      <c r="AE45" s="63"/>
      <c r="AF45" s="63">
        <v>1</v>
      </c>
      <c r="AG45" s="63"/>
      <c r="AH45" s="63"/>
      <c r="AI45" s="63"/>
      <c r="AJ45" s="63"/>
      <c r="AK45" s="63"/>
      <c r="AL45" s="63"/>
    </row>
    <row r="46" spans="1:38" s="92" customFormat="1">
      <c r="A46" s="63">
        <f>IFERROR(VLOOKUP(Table818[[#This Row],[Player No]],Table10[[#All],[No]:[Age Group]],4,0),"")</f>
        <v>0</v>
      </c>
      <c r="B46" s="61"/>
      <c r="C46" s="62">
        <f t="shared" si="4"/>
        <v>-42</v>
      </c>
      <c r="D46" s="63">
        <f t="shared" si="7"/>
        <v>42</v>
      </c>
      <c r="E46" s="63">
        <v>4114</v>
      </c>
      <c r="F46" s="64" t="str">
        <f>IFERROR(VLOOKUP(Table818[[#This Row],[Player No]],Table10[[No]:[Province]],2,0),"")</f>
        <v>Zayd HOOSEN</v>
      </c>
      <c r="G46" s="65" t="str">
        <f>IFERROR(VLOOKUP(Table818[[#This Row],[Player No]],Table10[[No]:[Province]],3,0),"")</f>
        <v>JTTA</v>
      </c>
      <c r="H46" s="66">
        <v>5</v>
      </c>
      <c r="I46" s="96">
        <v>28.5</v>
      </c>
      <c r="J46" s="110">
        <f>Table818[[#This Row],[Points 2025]]/2+SUM(Table818[[#This Row],[O1  ADMIN 2026]:[P2           WC         CT Open 2026]])</f>
        <v>14.25</v>
      </c>
      <c r="K46" s="106">
        <f t="shared" si="5"/>
        <v>0</v>
      </c>
      <c r="L46" s="106">
        <f t="shared" si="6"/>
        <v>0</v>
      </c>
      <c r="M46" s="106"/>
      <c r="N46" s="106"/>
      <c r="O46" s="106"/>
      <c r="P46" s="106"/>
      <c r="Q46" s="63"/>
      <c r="R46" s="63"/>
      <c r="S46" s="114"/>
      <c r="T46" s="114"/>
      <c r="U46" s="63"/>
      <c r="V46" s="114"/>
      <c r="W46" s="63"/>
      <c r="X46" s="63"/>
      <c r="Y46" s="63"/>
      <c r="Z46" s="63"/>
      <c r="AA46" s="114">
        <v>25</v>
      </c>
      <c r="AB46" s="63"/>
      <c r="AC46" s="63">
        <v>1</v>
      </c>
      <c r="AD46" s="114"/>
      <c r="AE46" s="63"/>
      <c r="AF46" s="63"/>
      <c r="AG46" s="63"/>
      <c r="AH46" s="63"/>
      <c r="AI46" s="63">
        <v>5</v>
      </c>
      <c r="AJ46" s="63"/>
      <c r="AK46" s="63"/>
      <c r="AL46" s="63"/>
    </row>
    <row r="47" spans="1:38" s="92" customFormat="1">
      <c r="A47" s="61"/>
      <c r="B47" s="61"/>
      <c r="C47" s="62">
        <f t="shared" si="4"/>
        <v>-43</v>
      </c>
      <c r="D47" s="63">
        <f t="shared" si="7"/>
        <v>43</v>
      </c>
      <c r="E47" s="76">
        <v>4372</v>
      </c>
      <c r="F47" s="64" t="str">
        <f>IFERROR(VLOOKUP(Table818[[#This Row],[Player No]],Table10[[No]:[Province]],2,0),"")</f>
        <v>SINGH Yuvaan</v>
      </c>
      <c r="G47" s="65" t="str">
        <f>IFERROR(VLOOKUP(Table818[[#This Row],[Player No]],Table10[[No]:[Province]],3,0),"")</f>
        <v>ETTA</v>
      </c>
      <c r="H47" s="66">
        <v>0</v>
      </c>
      <c r="I47" s="96">
        <v>27</v>
      </c>
      <c r="J47" s="110">
        <f>Table818[[#This Row],[Points 2025]]/2+SUM(Table818[[#This Row],[O1  ADMIN 2026]:[P2           WC         CT Open 2026]])</f>
        <v>13.5</v>
      </c>
      <c r="K47" s="106">
        <f t="shared" si="5"/>
        <v>0</v>
      </c>
      <c r="L47" s="106">
        <f t="shared" si="6"/>
        <v>0</v>
      </c>
      <c r="M47" s="106"/>
      <c r="N47" s="106"/>
      <c r="O47" s="106"/>
      <c r="P47" s="106"/>
      <c r="Q47" s="63"/>
      <c r="R47" s="63"/>
      <c r="S47" s="114">
        <v>1</v>
      </c>
      <c r="T47" s="114">
        <v>1</v>
      </c>
      <c r="U47" s="63"/>
      <c r="V47" s="114"/>
      <c r="W47" s="63"/>
      <c r="X47" s="63"/>
      <c r="Y47" s="63"/>
      <c r="Z47" s="63"/>
      <c r="AA47" s="114">
        <v>25</v>
      </c>
      <c r="AB47" s="63"/>
      <c r="AC47" s="63"/>
      <c r="AD47" s="114"/>
      <c r="AE47" s="63"/>
      <c r="AF47" s="63"/>
      <c r="AG47" s="63"/>
      <c r="AH47" s="63"/>
      <c r="AI47" s="63"/>
      <c r="AJ47" s="63"/>
      <c r="AK47" s="63"/>
      <c r="AL47" s="63"/>
    </row>
    <row r="48" spans="1:38" s="92" customFormat="1">
      <c r="A48" s="63">
        <f>IFERROR(VLOOKUP(Table818[[#This Row],[Player No]],Table10[[#All],[No]:[Age Group]],4,0),"")</f>
        <v>0</v>
      </c>
      <c r="B48" s="61">
        <v>72</v>
      </c>
      <c r="C48" s="62">
        <f t="shared" si="4"/>
        <v>28</v>
      </c>
      <c r="D48" s="63">
        <f t="shared" si="7"/>
        <v>44</v>
      </c>
      <c r="E48" s="63">
        <v>3951</v>
      </c>
      <c r="F48" s="64" t="str">
        <f>IFERROR(VLOOKUP(Table818[[#This Row],[Player No]],Table10[[No]:[Province]],2,0),"")</f>
        <v>WINDVOGEL Kai</v>
      </c>
      <c r="G48" s="65" t="str">
        <f>IFERROR(VLOOKUP(Table818[[#This Row],[Player No]],Table10[[No]:[Province]],3,0),"")</f>
        <v>Eden</v>
      </c>
      <c r="H48" s="66">
        <v>1</v>
      </c>
      <c r="I48" s="96">
        <v>25.5</v>
      </c>
      <c r="J48" s="110">
        <f>Table818[[#This Row],[Points 2025]]/2+SUM(Table818[[#This Row],[O1  ADMIN 2026]:[P2           WC         CT Open 2026]])</f>
        <v>12.75</v>
      </c>
      <c r="K48" s="106">
        <f t="shared" si="5"/>
        <v>0</v>
      </c>
      <c r="L48" s="106">
        <f t="shared" si="6"/>
        <v>0</v>
      </c>
      <c r="M48" s="106"/>
      <c r="N48" s="106"/>
      <c r="O48" s="106"/>
      <c r="P48" s="106"/>
      <c r="Q48" s="63"/>
      <c r="R48" s="63"/>
      <c r="S48" s="114"/>
      <c r="T48" s="114"/>
      <c r="U48" s="63"/>
      <c r="V48" s="114"/>
      <c r="W48" s="63"/>
      <c r="X48" s="63"/>
      <c r="Y48" s="63"/>
      <c r="Z48" s="63"/>
      <c r="AA48" s="114">
        <v>25</v>
      </c>
      <c r="AB48" s="63"/>
      <c r="AC48" s="63"/>
      <c r="AD48" s="114"/>
      <c r="AE48" s="63"/>
      <c r="AF48" s="63"/>
      <c r="AG48" s="63"/>
      <c r="AH48" s="63">
        <v>1</v>
      </c>
      <c r="AI48" s="63"/>
      <c r="AJ48" s="63"/>
      <c r="AK48" s="63"/>
      <c r="AL48" s="63"/>
    </row>
    <row r="49" spans="1:38" s="92" customFormat="1">
      <c r="A49" s="61"/>
      <c r="B49" s="61"/>
      <c r="C49" s="62">
        <f t="shared" si="4"/>
        <v>-45</v>
      </c>
      <c r="D49" s="63">
        <f t="shared" si="7"/>
        <v>45</v>
      </c>
      <c r="E49" s="63">
        <v>4463</v>
      </c>
      <c r="F49" s="64" t="str">
        <f>IFERROR(VLOOKUP(Table818[[#This Row],[Player No]],Table10[[No]:[Province]],2,0),"")</f>
        <v xml:space="preserve">MANUEL Abdullah </v>
      </c>
      <c r="G49" s="65" t="str">
        <f>IFERROR(VLOOKUP(Table818[[#This Row],[Player No]],Table10[[No]:[Province]],3,0),"")</f>
        <v>CT</v>
      </c>
      <c r="H49" s="66">
        <v>0</v>
      </c>
      <c r="I49" s="96">
        <v>25.5</v>
      </c>
      <c r="J49" s="110">
        <f>Table818[[#This Row],[Points 2025]]/2+SUM(Table818[[#This Row],[O1  ADMIN 2026]:[P2           WC         CT Open 2026]])</f>
        <v>12.75</v>
      </c>
      <c r="K49" s="106">
        <f t="shared" si="5"/>
        <v>0</v>
      </c>
      <c r="L49" s="106">
        <f t="shared" si="6"/>
        <v>0</v>
      </c>
      <c r="M49" s="106"/>
      <c r="N49" s="106"/>
      <c r="O49" s="106"/>
      <c r="P49" s="106"/>
      <c r="Q49" s="63"/>
      <c r="R49" s="63"/>
      <c r="S49" s="114"/>
      <c r="T49" s="114"/>
      <c r="U49" s="63"/>
      <c r="V49" s="114"/>
      <c r="W49" s="63"/>
      <c r="X49" s="63"/>
      <c r="Y49" s="63">
        <v>0.5</v>
      </c>
      <c r="Z49" s="63">
        <v>25</v>
      </c>
      <c r="AA49" s="114"/>
      <c r="AB49" s="63"/>
      <c r="AC49" s="63"/>
      <c r="AD49" s="114"/>
      <c r="AE49" s="63"/>
      <c r="AF49" s="63"/>
      <c r="AG49" s="63"/>
      <c r="AH49" s="63"/>
      <c r="AI49" s="63"/>
      <c r="AJ49" s="63"/>
      <c r="AK49" s="63"/>
      <c r="AL49" s="63"/>
    </row>
    <row r="50" spans="1:38" s="92" customFormat="1">
      <c r="A50" s="61"/>
      <c r="B50" s="61"/>
      <c r="C50" s="62">
        <f t="shared" si="4"/>
        <v>-46</v>
      </c>
      <c r="D50" s="63">
        <f t="shared" si="7"/>
        <v>46</v>
      </c>
      <c r="E50" s="63">
        <v>2271</v>
      </c>
      <c r="F50" s="64" t="str">
        <f>IFERROR(VLOOKUP(Table818[[#This Row],[Player No]],Table10[[No]:[Province]],2,0),"")</f>
        <v>NGOBESE Luyanda</v>
      </c>
      <c r="G50" s="65" t="str">
        <f>IFERROR(VLOOKUP(Table818[[#This Row],[Player No]],Table10[[No]:[Province]],3,0),"")</f>
        <v>UMZ</v>
      </c>
      <c r="H50" s="66">
        <v>0</v>
      </c>
      <c r="I50" s="96">
        <v>25</v>
      </c>
      <c r="J50" s="110">
        <f>Table818[[#This Row],[Points 2025]]/2+SUM(Table818[[#This Row],[O1  ADMIN 2026]:[P2           WC         CT Open 2026]])</f>
        <v>12.5</v>
      </c>
      <c r="K50" s="106">
        <f t="shared" si="5"/>
        <v>0</v>
      </c>
      <c r="L50" s="106">
        <f t="shared" si="6"/>
        <v>0</v>
      </c>
      <c r="M50" s="106"/>
      <c r="N50" s="106"/>
      <c r="O50" s="106"/>
      <c r="P50" s="106"/>
      <c r="Q50" s="63"/>
      <c r="R50" s="63"/>
      <c r="S50" s="114"/>
      <c r="T50" s="114"/>
      <c r="U50" s="63"/>
      <c r="V50" s="114"/>
      <c r="W50" s="63"/>
      <c r="X50" s="63"/>
      <c r="Y50" s="63"/>
      <c r="Z50" s="63"/>
      <c r="AA50" s="114">
        <v>25</v>
      </c>
      <c r="AB50" s="63"/>
      <c r="AC50" s="63"/>
      <c r="AD50" s="114"/>
      <c r="AE50" s="63"/>
      <c r="AF50" s="63"/>
      <c r="AG50" s="63"/>
      <c r="AH50" s="63"/>
      <c r="AI50" s="63"/>
      <c r="AJ50" s="63"/>
      <c r="AK50" s="63"/>
      <c r="AL50" s="63"/>
    </row>
    <row r="51" spans="1:38" s="92" customFormat="1" ht="15.75" customHeight="1">
      <c r="A51" s="63">
        <f>IFERROR(VLOOKUP(Table818[[#This Row],[Player No]],Table10[[#All],[No]:[Age Group]],4,0),"")</f>
        <v>0</v>
      </c>
      <c r="B51" s="61"/>
      <c r="C51" s="62">
        <f t="shared" si="4"/>
        <v>-47</v>
      </c>
      <c r="D51" s="63">
        <f t="shared" si="7"/>
        <v>47</v>
      </c>
      <c r="E51" s="63">
        <v>3892</v>
      </c>
      <c r="F51" s="64" t="str">
        <f>IFERROR(VLOOKUP(Table818[[#This Row],[Player No]],Table10[[No]:[Province]],2,0),"")</f>
        <v>MBOQO Olerato</v>
      </c>
      <c r="G51" s="65" t="str">
        <f>IFERROR(VLOOKUP(Table818[[#This Row],[Player No]],Table10[[No]:[Province]],3,0),"")</f>
        <v>NWP</v>
      </c>
      <c r="H51" s="66">
        <v>50</v>
      </c>
      <c r="I51" s="96">
        <v>25</v>
      </c>
      <c r="J51" s="110">
        <f>Table818[[#This Row],[Points 2025]]/2+SUM(Table818[[#This Row],[O1  ADMIN 2026]:[P2           WC         CT Open 2026]])</f>
        <v>12.5</v>
      </c>
      <c r="K51" s="106">
        <f t="shared" si="5"/>
        <v>0</v>
      </c>
      <c r="L51" s="106">
        <f t="shared" si="6"/>
        <v>0</v>
      </c>
      <c r="M51" s="106"/>
      <c r="N51" s="106"/>
      <c r="O51" s="106"/>
      <c r="P51" s="106"/>
      <c r="Q51" s="63"/>
      <c r="R51" s="63"/>
      <c r="S51" s="114"/>
      <c r="T51" s="114"/>
      <c r="U51" s="63"/>
      <c r="V51" s="114"/>
      <c r="W51" s="63"/>
      <c r="X51" s="63"/>
      <c r="Y51" s="63"/>
      <c r="Z51" s="63"/>
      <c r="AA51" s="114"/>
      <c r="AB51" s="63"/>
      <c r="AC51" s="63"/>
      <c r="AD51" s="114"/>
      <c r="AE51" s="63"/>
      <c r="AF51" s="63"/>
      <c r="AG51" s="63"/>
      <c r="AH51" s="63"/>
      <c r="AI51" s="63">
        <v>50</v>
      </c>
      <c r="AJ51" s="63"/>
      <c r="AK51" s="63"/>
      <c r="AL51" s="63"/>
    </row>
    <row r="52" spans="1:38" s="92" customFormat="1">
      <c r="A52" s="61"/>
      <c r="B52" s="61"/>
      <c r="C52" s="62">
        <f t="shared" si="4"/>
        <v>-48</v>
      </c>
      <c r="D52" s="63">
        <f t="shared" si="7"/>
        <v>48</v>
      </c>
      <c r="E52" s="63">
        <v>4466</v>
      </c>
      <c r="F52" s="64" t="str">
        <f>IFERROR(VLOOKUP(Table818[[#This Row],[Player No]],Table10[[No]:[Province]],2,0),"")</f>
        <v>LEPHEANE Reamohetse</v>
      </c>
      <c r="G52" s="65" t="str">
        <f>IFERROR(VLOOKUP(Table818[[#This Row],[Player No]],Table10[[No]:[Province]],3,0),"")</f>
        <v>FS</v>
      </c>
      <c r="H52" s="66">
        <v>0</v>
      </c>
      <c r="I52" s="96">
        <v>25</v>
      </c>
      <c r="J52" s="110">
        <f>Table818[[#This Row],[Points 2025]]/2+SUM(Table818[[#This Row],[O1  ADMIN 2026]:[P2           WC         CT Open 2026]])</f>
        <v>12.5</v>
      </c>
      <c r="K52" s="106">
        <f t="shared" si="5"/>
        <v>0</v>
      </c>
      <c r="L52" s="106">
        <f t="shared" si="6"/>
        <v>0</v>
      </c>
      <c r="M52" s="106"/>
      <c r="N52" s="106"/>
      <c r="O52" s="106"/>
      <c r="P52" s="106"/>
      <c r="Q52" s="63"/>
      <c r="R52" s="63"/>
      <c r="S52" s="114"/>
      <c r="T52" s="114"/>
      <c r="U52" s="63"/>
      <c r="V52" s="114"/>
      <c r="W52" s="63"/>
      <c r="X52" s="63"/>
      <c r="Y52" s="63"/>
      <c r="Z52" s="63"/>
      <c r="AA52" s="114">
        <v>25</v>
      </c>
      <c r="AB52" s="63"/>
      <c r="AC52" s="63"/>
      <c r="AD52" s="114"/>
      <c r="AE52" s="63"/>
      <c r="AF52" s="63"/>
      <c r="AG52" s="63"/>
      <c r="AH52" s="63"/>
      <c r="AI52" s="63"/>
      <c r="AJ52" s="63"/>
      <c r="AK52" s="63"/>
      <c r="AL52" s="63"/>
    </row>
    <row r="53" spans="1:38" s="92" customFormat="1" ht="15.75" customHeight="1">
      <c r="A53" s="61"/>
      <c r="B53" s="61"/>
      <c r="C53" s="62">
        <f t="shared" si="4"/>
        <v>-49</v>
      </c>
      <c r="D53" s="63">
        <f t="shared" si="7"/>
        <v>49</v>
      </c>
      <c r="E53" s="63">
        <v>4599</v>
      </c>
      <c r="F53" s="64" t="str">
        <f>IFERROR(VLOOKUP(Table818[[#This Row],[Player No]],Table10[[No]:[Province]],2,0),"")</f>
        <v>kelvin Zvikomborero Maposa</v>
      </c>
      <c r="G53" s="65" t="str">
        <f>IFERROR(VLOOKUP(Table818[[#This Row],[Player No]],Table10[[No]:[Province]],3,0),"")</f>
        <v>ZIM</v>
      </c>
      <c r="H53" s="66">
        <v>0</v>
      </c>
      <c r="I53" s="96">
        <v>25</v>
      </c>
      <c r="J53" s="110">
        <f>Table818[[#This Row],[Points 2025]]/2+SUM(Table818[[#This Row],[O1  ADMIN 2026]:[P2           WC         CT Open 2026]])</f>
        <v>12.5</v>
      </c>
      <c r="K53" s="106">
        <f t="shared" si="5"/>
        <v>0</v>
      </c>
      <c r="L53" s="106">
        <f t="shared" si="6"/>
        <v>0</v>
      </c>
      <c r="M53" s="106"/>
      <c r="N53" s="106"/>
      <c r="O53" s="106"/>
      <c r="P53" s="106"/>
      <c r="Q53" s="63"/>
      <c r="R53" s="63"/>
      <c r="S53" s="114"/>
      <c r="T53" s="114"/>
      <c r="U53" s="63"/>
      <c r="V53" s="114"/>
      <c r="W53" s="63"/>
      <c r="X53" s="63"/>
      <c r="Y53" s="63"/>
      <c r="Z53" s="63"/>
      <c r="AA53" s="114">
        <v>25</v>
      </c>
      <c r="AB53" s="63"/>
      <c r="AC53" s="63"/>
      <c r="AD53" s="114"/>
      <c r="AE53" s="63"/>
      <c r="AF53" s="63"/>
      <c r="AG53" s="63"/>
      <c r="AH53" s="63"/>
      <c r="AI53" s="63"/>
      <c r="AJ53" s="63"/>
      <c r="AK53" s="63"/>
      <c r="AL53" s="63"/>
    </row>
    <row r="54" spans="1:38" s="92" customFormat="1" ht="15.75" customHeight="1">
      <c r="A54" s="61"/>
      <c r="B54" s="61"/>
      <c r="C54" s="62">
        <f t="shared" si="4"/>
        <v>-50</v>
      </c>
      <c r="D54" s="63">
        <f t="shared" si="7"/>
        <v>50</v>
      </c>
      <c r="E54" s="63">
        <v>4600</v>
      </c>
      <c r="F54" s="64" t="str">
        <f>IFERROR(VLOOKUP(Table818[[#This Row],[Player No]],Table10[[No]:[Province]],2,0),"")</f>
        <v>Prencely Israel Gweru</v>
      </c>
      <c r="G54" s="65" t="str">
        <f>IFERROR(VLOOKUP(Table818[[#This Row],[Player No]],Table10[[No]:[Province]],3,0),"")</f>
        <v>ZIM</v>
      </c>
      <c r="H54" s="66">
        <v>0</v>
      </c>
      <c r="I54" s="96">
        <v>25</v>
      </c>
      <c r="J54" s="110">
        <f>Table818[[#This Row],[Points 2025]]/2+SUM(Table818[[#This Row],[O1  ADMIN 2026]:[P2           WC         CT Open 2026]])</f>
        <v>12.5</v>
      </c>
      <c r="K54" s="106">
        <f t="shared" si="5"/>
        <v>0</v>
      </c>
      <c r="L54" s="106">
        <f t="shared" si="6"/>
        <v>0</v>
      </c>
      <c r="M54" s="106"/>
      <c r="N54" s="106"/>
      <c r="O54" s="106"/>
      <c r="P54" s="106"/>
      <c r="Q54" s="63"/>
      <c r="R54" s="63"/>
      <c r="S54" s="114"/>
      <c r="T54" s="114"/>
      <c r="U54" s="63"/>
      <c r="V54" s="114"/>
      <c r="W54" s="63"/>
      <c r="X54" s="63"/>
      <c r="Y54" s="63"/>
      <c r="Z54" s="63"/>
      <c r="AA54" s="114">
        <v>25</v>
      </c>
      <c r="AB54" s="63"/>
      <c r="AC54" s="63"/>
      <c r="AD54" s="114"/>
      <c r="AE54" s="63"/>
      <c r="AF54" s="63"/>
      <c r="AG54" s="63"/>
      <c r="AH54" s="63"/>
      <c r="AI54" s="63"/>
      <c r="AJ54" s="63"/>
      <c r="AK54" s="63"/>
      <c r="AL54" s="63"/>
    </row>
    <row r="55" spans="1:38" s="92" customFormat="1">
      <c r="A55" s="61"/>
      <c r="B55" s="61"/>
      <c r="C55" s="62">
        <f t="shared" si="4"/>
        <v>-51</v>
      </c>
      <c r="D55" s="63">
        <f t="shared" si="7"/>
        <v>51</v>
      </c>
      <c r="E55" s="63">
        <v>4636</v>
      </c>
      <c r="F55" s="64" t="str">
        <f>IFERROR(VLOOKUP(Table818[[#This Row],[Player No]],Table10[[No]:[Province]],2,0),"")</f>
        <v xml:space="preserve">WAKENS Zeegon </v>
      </c>
      <c r="G55" s="65" t="str">
        <f>IFERROR(VLOOKUP(Table818[[#This Row],[Player No]],Table10[[No]:[Province]],3,0),"")</f>
        <v>CT</v>
      </c>
      <c r="H55" s="66">
        <v>0</v>
      </c>
      <c r="I55" s="96">
        <v>25</v>
      </c>
      <c r="J55" s="110">
        <f>Table818[[#This Row],[Points 2025]]/2+SUM(Table818[[#This Row],[O1  ADMIN 2026]:[P2           WC         CT Open 2026]])</f>
        <v>12.5</v>
      </c>
      <c r="K55" s="106">
        <f t="shared" si="5"/>
        <v>0</v>
      </c>
      <c r="L55" s="106">
        <f t="shared" si="6"/>
        <v>0</v>
      </c>
      <c r="M55" s="106"/>
      <c r="N55" s="106"/>
      <c r="O55" s="106"/>
      <c r="P55" s="106"/>
      <c r="Q55" s="63"/>
      <c r="R55" s="63"/>
      <c r="S55" s="114"/>
      <c r="T55" s="114"/>
      <c r="U55" s="63"/>
      <c r="V55" s="114"/>
      <c r="W55" s="63"/>
      <c r="X55" s="63"/>
      <c r="Y55" s="63"/>
      <c r="Z55" s="63">
        <v>25</v>
      </c>
      <c r="AA55" s="114"/>
      <c r="AB55" s="63"/>
      <c r="AC55" s="63"/>
      <c r="AD55" s="114"/>
      <c r="AE55" s="63"/>
      <c r="AF55" s="63"/>
      <c r="AG55" s="63"/>
      <c r="AH55" s="63"/>
      <c r="AI55" s="63"/>
      <c r="AJ55" s="63"/>
      <c r="AK55" s="63"/>
      <c r="AL55" s="63"/>
    </row>
    <row r="56" spans="1:38" s="92" customFormat="1">
      <c r="A56" s="61"/>
      <c r="B56" s="61"/>
      <c r="C56" s="62">
        <f t="shared" si="4"/>
        <v>-52</v>
      </c>
      <c r="D56" s="63">
        <f t="shared" si="7"/>
        <v>52</v>
      </c>
      <c r="E56" s="63">
        <v>4696</v>
      </c>
      <c r="F56" s="64" t="str">
        <f>IFERROR(VLOOKUP(Table818[[#This Row],[Player No]],Table10[[No]:[Province]],2,0),"")</f>
        <v>MOKHUTSANE Omphemetse</v>
      </c>
      <c r="G56" s="65" t="str">
        <f>IFERROR(VLOOKUP(Table818[[#This Row],[Player No]],Table10[[No]:[Province]],3,0),"")</f>
        <v>DRKKTTA</v>
      </c>
      <c r="H56" s="66">
        <v>0</v>
      </c>
      <c r="I56" s="96">
        <v>25</v>
      </c>
      <c r="J56" s="110">
        <f>Table818[[#This Row],[Points 2025]]/2+SUM(Table818[[#This Row],[O1  ADMIN 2026]:[P2           WC         CT Open 2026]])</f>
        <v>12.5</v>
      </c>
      <c r="K56" s="106">
        <f t="shared" si="5"/>
        <v>0</v>
      </c>
      <c r="L56" s="106">
        <f t="shared" si="6"/>
        <v>0</v>
      </c>
      <c r="M56" s="106"/>
      <c r="N56" s="106"/>
      <c r="O56" s="106"/>
      <c r="P56" s="106"/>
      <c r="Q56" s="63"/>
      <c r="R56" s="63"/>
      <c r="S56" s="114"/>
      <c r="T56" s="114"/>
      <c r="U56" s="63"/>
      <c r="V56" s="114"/>
      <c r="W56" s="63"/>
      <c r="X56" s="63"/>
      <c r="Y56" s="63"/>
      <c r="Z56" s="63"/>
      <c r="AA56" s="114">
        <v>25</v>
      </c>
      <c r="AB56" s="63"/>
      <c r="AC56" s="63"/>
      <c r="AD56" s="114"/>
      <c r="AE56" s="63"/>
      <c r="AF56" s="63"/>
      <c r="AG56" s="63"/>
      <c r="AH56" s="63"/>
      <c r="AI56" s="63"/>
      <c r="AJ56" s="63"/>
      <c r="AK56" s="63"/>
      <c r="AL56" s="63"/>
    </row>
    <row r="57" spans="1:38" s="92" customFormat="1">
      <c r="A57" s="61"/>
      <c r="B57" s="61"/>
      <c r="C57" s="62">
        <f t="shared" si="4"/>
        <v>-53</v>
      </c>
      <c r="D57" s="63">
        <f t="shared" si="7"/>
        <v>53</v>
      </c>
      <c r="E57" s="63">
        <v>4732</v>
      </c>
      <c r="F57" s="64" t="str">
        <f>IFERROR(VLOOKUP(Table818[[#This Row],[Player No]],Table10[[No]:[Province]],2,0),"")</f>
        <v>MOKWANA  Reabetswe</v>
      </c>
      <c r="G57" s="65" t="str">
        <f>IFERROR(VLOOKUP(Table818[[#This Row],[Player No]],Table10[[No]:[Province]],3,0),"")</f>
        <v>LIM</v>
      </c>
      <c r="H57" s="66">
        <v>0</v>
      </c>
      <c r="I57" s="96">
        <v>25</v>
      </c>
      <c r="J57" s="110">
        <f>Table818[[#This Row],[Points 2025]]/2+SUM(Table818[[#This Row],[O1  ADMIN 2026]:[P2           WC         CT Open 2026]])</f>
        <v>12.5</v>
      </c>
      <c r="K57" s="106">
        <f t="shared" si="5"/>
        <v>0</v>
      </c>
      <c r="L57" s="106">
        <f t="shared" si="6"/>
        <v>0</v>
      </c>
      <c r="M57" s="106"/>
      <c r="N57" s="106"/>
      <c r="O57" s="106"/>
      <c r="P57" s="106"/>
      <c r="Q57" s="63"/>
      <c r="R57" s="63"/>
      <c r="S57" s="114"/>
      <c r="T57" s="114"/>
      <c r="U57" s="63"/>
      <c r="V57" s="114"/>
      <c r="W57" s="63"/>
      <c r="X57" s="63"/>
      <c r="Y57" s="63"/>
      <c r="Z57" s="63"/>
      <c r="AA57" s="114">
        <v>25</v>
      </c>
      <c r="AB57" s="63"/>
      <c r="AC57" s="63"/>
      <c r="AD57" s="114"/>
      <c r="AE57" s="63"/>
      <c r="AF57" s="63"/>
      <c r="AG57" s="63"/>
      <c r="AH57" s="63"/>
      <c r="AI57" s="63"/>
      <c r="AJ57" s="63"/>
      <c r="AK57" s="63"/>
      <c r="AL57" s="63"/>
    </row>
    <row r="58" spans="1:38" s="92" customFormat="1">
      <c r="A58" s="61"/>
      <c r="B58" s="61"/>
      <c r="C58" s="62">
        <f t="shared" si="4"/>
        <v>-54</v>
      </c>
      <c r="D58" s="63">
        <f t="shared" si="7"/>
        <v>54</v>
      </c>
      <c r="E58" s="63">
        <v>4759</v>
      </c>
      <c r="F58" s="64" t="str">
        <f>IFERROR(VLOOKUP(Table818[[#This Row],[Player No]],Table10[[No]:[Province]],2,0),"")</f>
        <v>MBETHE Ayola</v>
      </c>
      <c r="G58" s="65" t="str">
        <f>IFERROR(VLOOKUP(Table818[[#This Row],[Player No]],Table10[[No]:[Province]],3,0),"")</f>
        <v>EC</v>
      </c>
      <c r="H58" s="66">
        <v>0</v>
      </c>
      <c r="I58" s="96">
        <v>25</v>
      </c>
      <c r="J58" s="110">
        <f>Table818[[#This Row],[Points 2025]]/2+SUM(Table818[[#This Row],[O1  ADMIN 2026]:[P2           WC         CT Open 2026]])</f>
        <v>12.5</v>
      </c>
      <c r="K58" s="106">
        <f t="shared" si="5"/>
        <v>0</v>
      </c>
      <c r="L58" s="106">
        <f t="shared" si="6"/>
        <v>0</v>
      </c>
      <c r="M58" s="106"/>
      <c r="N58" s="106"/>
      <c r="O58" s="106"/>
      <c r="P58" s="106"/>
      <c r="Q58" s="63"/>
      <c r="R58" s="63"/>
      <c r="S58" s="114"/>
      <c r="T58" s="114"/>
      <c r="U58" s="63"/>
      <c r="V58" s="114"/>
      <c r="W58" s="63"/>
      <c r="X58" s="63"/>
      <c r="Y58" s="63"/>
      <c r="Z58" s="63"/>
      <c r="AA58" s="114">
        <v>25</v>
      </c>
      <c r="AB58" s="63"/>
      <c r="AC58" s="63"/>
      <c r="AD58" s="114"/>
      <c r="AE58" s="63"/>
      <c r="AF58" s="63"/>
      <c r="AG58" s="63"/>
      <c r="AH58" s="63"/>
      <c r="AI58" s="63"/>
      <c r="AJ58" s="63"/>
      <c r="AK58" s="63"/>
      <c r="AL58" s="63"/>
    </row>
    <row r="59" spans="1:38" s="92" customFormat="1">
      <c r="A59" s="63">
        <f>IFERROR(VLOOKUP(Table818[[#This Row],[Player No]],Table10[[#All],[No]:[Age Group]],4,0),"")</f>
        <v>0</v>
      </c>
      <c r="B59" s="61">
        <v>12</v>
      </c>
      <c r="C59" s="62">
        <f t="shared" si="4"/>
        <v>-43</v>
      </c>
      <c r="D59" s="63">
        <f t="shared" si="7"/>
        <v>55</v>
      </c>
      <c r="E59" s="63">
        <v>3558</v>
      </c>
      <c r="F59" s="64" t="str">
        <f>IFERROR(VLOOKUP(Table818[[#This Row],[Player No]],Table10[[No]:[Province]],2,0),"")</f>
        <v>ZHANG Derick</v>
      </c>
      <c r="G59" s="65" t="str">
        <f>IFERROR(VLOOKUP(Table818[[#This Row],[Player No]],Table10[[No]:[Province]],3,0),"")</f>
        <v>FS</v>
      </c>
      <c r="H59" s="66">
        <v>37.5</v>
      </c>
      <c r="I59" s="96">
        <v>18.75</v>
      </c>
      <c r="J59" s="110">
        <f>Table818[[#This Row],[Points 2025]]/2+SUM(Table818[[#This Row],[O1  ADMIN 2026]:[P2           WC         CT Open 2026]])</f>
        <v>9.375</v>
      </c>
      <c r="K59" s="106">
        <f t="shared" si="5"/>
        <v>0</v>
      </c>
      <c r="L59" s="106">
        <f t="shared" si="6"/>
        <v>0</v>
      </c>
      <c r="M59" s="106"/>
      <c r="N59" s="106"/>
      <c r="O59" s="106"/>
      <c r="P59" s="106"/>
      <c r="Q59" s="63"/>
      <c r="R59" s="63"/>
      <c r="S59" s="114"/>
      <c r="T59" s="114"/>
      <c r="U59" s="63"/>
      <c r="V59" s="114"/>
      <c r="W59" s="63"/>
      <c r="X59" s="63"/>
      <c r="Y59" s="63"/>
      <c r="Z59" s="63"/>
      <c r="AA59" s="114"/>
      <c r="AB59" s="63"/>
      <c r="AC59" s="63"/>
      <c r="AD59" s="114"/>
      <c r="AE59" s="63"/>
      <c r="AF59" s="63"/>
      <c r="AG59" s="63"/>
      <c r="AH59" s="63"/>
      <c r="AI59" s="63"/>
      <c r="AJ59" s="63"/>
      <c r="AK59" s="63"/>
      <c r="AL59" s="63"/>
    </row>
    <row r="60" spans="1:38" s="92" customFormat="1">
      <c r="A60" s="63">
        <f>IFERROR(VLOOKUP(Table818[[#This Row],[Player No]],Table10[[#All],[No]:[Age Group]],4,0),"")</f>
        <v>0</v>
      </c>
      <c r="B60" s="61">
        <v>13</v>
      </c>
      <c r="C60" s="62">
        <f t="shared" si="4"/>
        <v>-43</v>
      </c>
      <c r="D60" s="63">
        <f t="shared" si="7"/>
        <v>56</v>
      </c>
      <c r="E60" s="63">
        <v>3566</v>
      </c>
      <c r="F60" s="64" t="str">
        <f>IFERROR(VLOOKUP(Table818[[#This Row],[Player No]],Table10[[No]:[Province]],2,0),"")</f>
        <v>MOTSE Noge</v>
      </c>
      <c r="G60" s="65" t="str">
        <f>IFERROR(VLOOKUP(Table818[[#This Row],[Player No]],Table10[[No]:[Province]],3,0),"")</f>
        <v>FS</v>
      </c>
      <c r="H60" s="66">
        <v>37.5</v>
      </c>
      <c r="I60" s="96">
        <v>18.75</v>
      </c>
      <c r="J60" s="110">
        <f>Table818[[#This Row],[Points 2025]]/2+SUM(Table818[[#This Row],[O1  ADMIN 2026]:[P2           WC         CT Open 2026]])</f>
        <v>9.375</v>
      </c>
      <c r="K60" s="106">
        <f t="shared" si="5"/>
        <v>0</v>
      </c>
      <c r="L60" s="106">
        <f t="shared" si="6"/>
        <v>0</v>
      </c>
      <c r="M60" s="106"/>
      <c r="N60" s="106"/>
      <c r="O60" s="106"/>
      <c r="P60" s="106"/>
      <c r="Q60" s="63"/>
      <c r="R60" s="63"/>
      <c r="S60" s="114"/>
      <c r="T60" s="114"/>
      <c r="U60" s="63"/>
      <c r="V60" s="114"/>
      <c r="W60" s="63"/>
      <c r="X60" s="63"/>
      <c r="Y60" s="63"/>
      <c r="Z60" s="63"/>
      <c r="AA60" s="114"/>
      <c r="AB60" s="63"/>
      <c r="AC60" s="63"/>
      <c r="AD60" s="114"/>
      <c r="AE60" s="63"/>
      <c r="AF60" s="63"/>
      <c r="AG60" s="63"/>
      <c r="AH60" s="63"/>
      <c r="AI60" s="63"/>
      <c r="AJ60" s="63"/>
      <c r="AK60" s="63"/>
      <c r="AL60" s="63"/>
    </row>
    <row r="61" spans="1:38" s="92" customFormat="1">
      <c r="A61" s="63">
        <f>IFERROR(VLOOKUP(Table818[[#This Row],[Player No]],Table10[[#All],[No]:[Age Group]],4,0),"")</f>
        <v>0</v>
      </c>
      <c r="B61" s="61">
        <v>15</v>
      </c>
      <c r="C61" s="62">
        <f t="shared" si="4"/>
        <v>-42</v>
      </c>
      <c r="D61" s="63">
        <f t="shared" si="7"/>
        <v>57</v>
      </c>
      <c r="E61" s="63">
        <v>3761</v>
      </c>
      <c r="F61" s="64" t="str">
        <f>IFERROR(VLOOKUP(Table818[[#This Row],[Player No]],Table10[[No]:[Province]],2,0),"")</f>
        <v>SITHENDE Lithalethu</v>
      </c>
      <c r="G61" s="65" t="str">
        <f>IFERROR(VLOOKUP(Table818[[#This Row],[Player No]],Table10[[No]:[Province]],3,0),"")</f>
        <v>EC</v>
      </c>
      <c r="H61" s="66">
        <v>37.5</v>
      </c>
      <c r="I61" s="96">
        <v>18.75</v>
      </c>
      <c r="J61" s="110">
        <f>Table818[[#This Row],[Points 2025]]/2+SUM(Table818[[#This Row],[O1  ADMIN 2026]:[P2           WC         CT Open 2026]])</f>
        <v>9.375</v>
      </c>
      <c r="K61" s="106">
        <f t="shared" si="5"/>
        <v>0</v>
      </c>
      <c r="L61" s="106">
        <f t="shared" si="6"/>
        <v>0</v>
      </c>
      <c r="M61" s="106"/>
      <c r="N61" s="106"/>
      <c r="O61" s="106"/>
      <c r="P61" s="106"/>
      <c r="Q61" s="63"/>
      <c r="R61" s="63"/>
      <c r="S61" s="114"/>
      <c r="T61" s="114"/>
      <c r="U61" s="63"/>
      <c r="V61" s="114"/>
      <c r="W61" s="63"/>
      <c r="X61" s="63"/>
      <c r="Y61" s="63"/>
      <c r="Z61" s="63"/>
      <c r="AA61" s="114"/>
      <c r="AB61" s="63"/>
      <c r="AC61" s="63"/>
      <c r="AD61" s="114"/>
      <c r="AE61" s="63"/>
      <c r="AF61" s="63"/>
      <c r="AG61" s="63"/>
      <c r="AH61" s="63"/>
      <c r="AI61" s="63"/>
      <c r="AJ61" s="63"/>
      <c r="AK61" s="63"/>
      <c r="AL61" s="63"/>
    </row>
    <row r="62" spans="1:38" s="92" customFormat="1">
      <c r="A62" s="63" t="str">
        <f>IFERROR(VLOOKUP(Table818[[#This Row],[Player No]],Table10[[#All],[No]:[Age Group]],4,0),"")</f>
        <v>U11</v>
      </c>
      <c r="B62" s="61">
        <v>65</v>
      </c>
      <c r="C62" s="62">
        <f t="shared" si="4"/>
        <v>7</v>
      </c>
      <c r="D62" s="63">
        <f t="shared" si="7"/>
        <v>58</v>
      </c>
      <c r="E62" s="63">
        <v>4036</v>
      </c>
      <c r="F62" s="64" t="str">
        <f>IFERROR(VLOOKUP(Table818[[#This Row],[Player No]],Table10[[No]:[Province]],2,0),"")</f>
        <v>SEKIKE Kgotso</v>
      </c>
      <c r="G62" s="65" t="str">
        <f>IFERROR(VLOOKUP(Table818[[#This Row],[Player No]],Table10[[No]:[Province]],3,0),"")</f>
        <v>FS</v>
      </c>
      <c r="H62" s="66">
        <v>27.5</v>
      </c>
      <c r="I62" s="96">
        <v>18.75</v>
      </c>
      <c r="J62" s="110">
        <f>Table818[[#This Row],[Points 2025]]/2+SUM(Table818[[#This Row],[O1  ADMIN 2026]:[P2           WC         CT Open 2026]])</f>
        <v>9.375</v>
      </c>
      <c r="K62" s="106">
        <f t="shared" si="5"/>
        <v>0</v>
      </c>
      <c r="L62" s="106">
        <f t="shared" si="6"/>
        <v>0</v>
      </c>
      <c r="M62" s="106"/>
      <c r="N62" s="106"/>
      <c r="O62" s="106"/>
      <c r="P62" s="106"/>
      <c r="Q62" s="63"/>
      <c r="R62" s="63"/>
      <c r="S62" s="114"/>
      <c r="T62" s="114"/>
      <c r="U62" s="63"/>
      <c r="V62" s="114"/>
      <c r="W62" s="63"/>
      <c r="X62" s="63"/>
      <c r="Y62" s="63"/>
      <c r="Z62" s="63"/>
      <c r="AA62" s="114">
        <v>5</v>
      </c>
      <c r="AB62" s="63"/>
      <c r="AC62" s="63"/>
      <c r="AD62" s="114"/>
      <c r="AE62" s="63"/>
      <c r="AF62" s="63"/>
      <c r="AG62" s="63"/>
      <c r="AH62" s="63"/>
      <c r="AI62" s="63">
        <v>25</v>
      </c>
      <c r="AJ62" s="63"/>
      <c r="AK62" s="63"/>
      <c r="AL62" s="63"/>
    </row>
    <row r="63" spans="1:38" s="92" customFormat="1">
      <c r="A63" s="61"/>
      <c r="B63" s="61"/>
      <c r="C63" s="62">
        <f t="shared" si="4"/>
        <v>-59</v>
      </c>
      <c r="D63" s="63">
        <f t="shared" si="7"/>
        <v>59</v>
      </c>
      <c r="E63" s="63">
        <v>4316</v>
      </c>
      <c r="F63" s="64" t="str">
        <f>IFERROR(VLOOKUP(Table818[[#This Row],[Player No]],Table10[[No]:[Province]],2,0),"")</f>
        <v xml:space="preserve">Omphile Tsoai </v>
      </c>
      <c r="G63" s="65" t="str">
        <f>IFERROR(VLOOKUP(Table818[[#This Row],[Player No]],Table10[[No]:[Province]],3,0),"")</f>
        <v>FS</v>
      </c>
      <c r="H63" s="66">
        <v>0</v>
      </c>
      <c r="I63" s="96">
        <v>17.5</v>
      </c>
      <c r="J63" s="110">
        <f>Table818[[#This Row],[Points 2025]]/2+SUM(Table818[[#This Row],[O1  ADMIN 2026]:[P2           WC         CT Open 2026]])</f>
        <v>8.75</v>
      </c>
      <c r="K63" s="106">
        <f t="shared" si="5"/>
        <v>0</v>
      </c>
      <c r="L63" s="106">
        <f t="shared" si="6"/>
        <v>0</v>
      </c>
      <c r="M63" s="106"/>
      <c r="N63" s="106"/>
      <c r="O63" s="106"/>
      <c r="P63" s="106"/>
      <c r="Q63" s="63"/>
      <c r="R63" s="63"/>
      <c r="S63" s="114"/>
      <c r="T63" s="114"/>
      <c r="U63" s="63"/>
      <c r="V63" s="114"/>
      <c r="W63" s="63">
        <v>17.5</v>
      </c>
      <c r="X63" s="63"/>
      <c r="Y63" s="157"/>
      <c r="Z63" s="63"/>
      <c r="AA63" s="114"/>
      <c r="AB63" s="63"/>
      <c r="AC63" s="63"/>
      <c r="AD63" s="114"/>
      <c r="AE63" s="63"/>
      <c r="AF63" s="63"/>
      <c r="AG63" s="63"/>
      <c r="AH63" s="63"/>
      <c r="AI63" s="63"/>
      <c r="AJ63" s="63"/>
      <c r="AK63" s="63"/>
      <c r="AL63" s="63"/>
    </row>
    <row r="64" spans="1:38" s="92" customFormat="1">
      <c r="A64" s="61"/>
      <c r="B64" s="61"/>
      <c r="C64" s="62">
        <f t="shared" si="4"/>
        <v>-60</v>
      </c>
      <c r="D64" s="63">
        <f t="shared" si="7"/>
        <v>60</v>
      </c>
      <c r="E64" s="63">
        <v>4643</v>
      </c>
      <c r="F64" s="64" t="str">
        <f>IFERROR(VLOOKUP(Table818[[#This Row],[Player No]],Table10[[No]:[Province]],2,0),"")</f>
        <v>CJ VERSTER</v>
      </c>
      <c r="G64" s="65" t="str">
        <f>IFERROR(VLOOKUP(Table818[[#This Row],[Player No]],Table10[[No]:[Province]],3,0),"")</f>
        <v>GN</v>
      </c>
      <c r="H64" s="66">
        <v>0</v>
      </c>
      <c r="I64" s="96">
        <v>17</v>
      </c>
      <c r="J64" s="110">
        <f>Table818[[#This Row],[Points 2025]]/2+SUM(Table818[[#This Row],[O1  ADMIN 2026]:[P2           WC         CT Open 2026]])</f>
        <v>8.5</v>
      </c>
      <c r="K64" s="106">
        <f t="shared" si="5"/>
        <v>0</v>
      </c>
      <c r="L64" s="106">
        <f t="shared" si="6"/>
        <v>0</v>
      </c>
      <c r="M64" s="106"/>
      <c r="N64" s="106"/>
      <c r="O64" s="106"/>
      <c r="P64" s="106"/>
      <c r="Q64" s="63"/>
      <c r="R64" s="63"/>
      <c r="S64" s="114"/>
      <c r="T64" s="114"/>
      <c r="U64" s="63"/>
      <c r="V64" s="114"/>
      <c r="W64" s="63"/>
      <c r="X64" s="63"/>
      <c r="Y64" s="63"/>
      <c r="Z64" s="63"/>
      <c r="AA64" s="114">
        <v>5</v>
      </c>
      <c r="AB64" s="63"/>
      <c r="AC64" s="63"/>
      <c r="AD64" s="114"/>
      <c r="AE64" s="63">
        <v>12</v>
      </c>
      <c r="AF64" s="63"/>
      <c r="AG64" s="63"/>
      <c r="AH64" s="63"/>
      <c r="AI64" s="63"/>
      <c r="AJ64" s="63"/>
      <c r="AK64" s="63"/>
      <c r="AL64" s="63"/>
    </row>
    <row r="65" spans="1:38" s="92" customFormat="1">
      <c r="A65" s="155"/>
      <c r="B65" s="155"/>
      <c r="C65" s="156">
        <f t="shared" si="4"/>
        <v>-61</v>
      </c>
      <c r="D65" s="63">
        <f t="shared" si="7"/>
        <v>61</v>
      </c>
      <c r="E65" s="157">
        <v>4394</v>
      </c>
      <c r="F65" s="64" t="str">
        <f>IFERROR(VLOOKUP(Table818[[#This Row],[Player No]],Table10[[No]:[Province]],2,0),"")</f>
        <v>HLASA Jafta</v>
      </c>
      <c r="G65" s="65" t="str">
        <f>IFERROR(VLOOKUP(Table818[[#This Row],[Player No]],Table10[[No]:[Province]],3,0),"")</f>
        <v>EKU</v>
      </c>
      <c r="H65" s="158">
        <v>0</v>
      </c>
      <c r="I65" s="159">
        <v>16</v>
      </c>
      <c r="J65" s="836">
        <f>Table818[[#This Row],[Points 2025]]/2+SUM(Table818[[#This Row],[O1  ADMIN 2026]:[P2           WC         CT Open 2026]])</f>
        <v>8</v>
      </c>
      <c r="K65" s="106">
        <f t="shared" si="5"/>
        <v>0</v>
      </c>
      <c r="L65" s="106">
        <f t="shared" si="6"/>
        <v>0</v>
      </c>
      <c r="M65" s="106"/>
      <c r="N65" s="106"/>
      <c r="O65" s="106"/>
      <c r="P65" s="106"/>
      <c r="Q65" s="157"/>
      <c r="R65" s="157"/>
      <c r="S65" s="165"/>
      <c r="T65" s="165"/>
      <c r="U65" s="157"/>
      <c r="V65" s="165"/>
      <c r="W65" s="157"/>
      <c r="X65" s="157">
        <v>15</v>
      </c>
      <c r="Y65" s="63"/>
      <c r="Z65" s="157"/>
      <c r="AA65" s="165"/>
      <c r="AB65" s="157"/>
      <c r="AC65" s="157">
        <v>1</v>
      </c>
      <c r="AD65" s="165"/>
      <c r="AE65" s="157"/>
      <c r="AF65" s="157"/>
      <c r="AG65" s="157"/>
      <c r="AH65" s="157"/>
      <c r="AI65" s="157"/>
      <c r="AJ65" s="157"/>
      <c r="AK65" s="157"/>
      <c r="AL65" s="157"/>
    </row>
    <row r="66" spans="1:38" s="92" customFormat="1">
      <c r="A66" s="63">
        <f>IFERROR(VLOOKUP(Table818[[#This Row],[Player No]],Table10[[#All],[No]:[Age Group]],4,0),"")</f>
        <v>0</v>
      </c>
      <c r="B66" s="61">
        <v>29</v>
      </c>
      <c r="C66" s="62">
        <f t="shared" si="4"/>
        <v>-33</v>
      </c>
      <c r="D66" s="63">
        <f t="shared" si="7"/>
        <v>62</v>
      </c>
      <c r="E66" s="63">
        <v>3852</v>
      </c>
      <c r="F66" s="64" t="str">
        <f>IFERROR(VLOOKUP(Table818[[#This Row],[Player No]],Table10[[No]:[Province]],2,0),"")</f>
        <v>MOETI Amohelang</v>
      </c>
      <c r="G66" s="65" t="str">
        <f>IFERROR(VLOOKUP(Table818[[#This Row],[Player No]],Table10[[No]:[Province]],3,0),"")</f>
        <v>JTTA</v>
      </c>
      <c r="H66" s="66">
        <v>25</v>
      </c>
      <c r="I66" s="96">
        <v>14.5</v>
      </c>
      <c r="J66" s="110">
        <f>Table818[[#This Row],[Points 2025]]/2+SUM(Table818[[#This Row],[O1  ADMIN 2026]:[P2           WC         CT Open 2026]])</f>
        <v>7.25</v>
      </c>
      <c r="K66" s="106">
        <f t="shared" si="5"/>
        <v>0</v>
      </c>
      <c r="L66" s="106">
        <f t="shared" si="6"/>
        <v>0</v>
      </c>
      <c r="M66" s="106"/>
      <c r="N66" s="106"/>
      <c r="O66" s="106"/>
      <c r="P66" s="106"/>
      <c r="Q66" s="63">
        <v>2</v>
      </c>
      <c r="R66" s="63"/>
      <c r="S66" s="114"/>
      <c r="T66" s="114"/>
      <c r="U66" s="63"/>
      <c r="V66" s="114"/>
      <c r="W66" s="63"/>
      <c r="X66" s="63"/>
      <c r="Y66" s="63"/>
      <c r="Z66" s="63"/>
      <c r="AA66" s="114"/>
      <c r="AB66" s="63"/>
      <c r="AC66" s="63"/>
      <c r="AD66" s="114"/>
      <c r="AE66" s="63"/>
      <c r="AF66" s="63"/>
      <c r="AG66" s="63"/>
      <c r="AH66" s="63"/>
      <c r="AI66" s="63"/>
      <c r="AJ66" s="63"/>
      <c r="AK66" s="63"/>
      <c r="AL66" s="63">
        <f>50/2</f>
        <v>25</v>
      </c>
    </row>
    <row r="67" spans="1:38" s="92" customFormat="1">
      <c r="A67" s="61"/>
      <c r="B67" s="61"/>
      <c r="C67" s="62">
        <f t="shared" si="4"/>
        <v>-63</v>
      </c>
      <c r="D67" s="63">
        <f t="shared" si="7"/>
        <v>63</v>
      </c>
      <c r="E67" s="63">
        <v>4456</v>
      </c>
      <c r="F67" s="64" t="str">
        <f>IFERROR(VLOOKUP(Table818[[#This Row],[Player No]],Table10[[No]:[Province]],2,0),"")</f>
        <v xml:space="preserve">MTHWA Jacob </v>
      </c>
      <c r="G67" s="65" t="str">
        <f>IFERROR(VLOOKUP(Table818[[#This Row],[Player No]],Table10[[No]:[Province]],3,0),"")</f>
        <v>CT</v>
      </c>
      <c r="H67" s="66">
        <v>0</v>
      </c>
      <c r="I67" s="96">
        <v>14.5</v>
      </c>
      <c r="J67" s="110">
        <f>Table818[[#This Row],[Points 2025]]/2+SUM(Table818[[#This Row],[O1  ADMIN 2026]:[P2           WC         CT Open 2026]])</f>
        <v>7.25</v>
      </c>
      <c r="K67" s="106">
        <f t="shared" si="5"/>
        <v>0</v>
      </c>
      <c r="L67" s="106">
        <f t="shared" si="6"/>
        <v>0</v>
      </c>
      <c r="M67" s="106"/>
      <c r="N67" s="106"/>
      <c r="O67" s="106"/>
      <c r="P67" s="106"/>
      <c r="Q67" s="63"/>
      <c r="R67" s="63"/>
      <c r="S67" s="114"/>
      <c r="T67" s="114"/>
      <c r="U67" s="63"/>
      <c r="V67" s="114"/>
      <c r="W67" s="63"/>
      <c r="X67" s="63"/>
      <c r="Y67" s="63">
        <v>12.5</v>
      </c>
      <c r="Z67" s="63">
        <v>2</v>
      </c>
      <c r="AA67" s="114"/>
      <c r="AB67" s="63"/>
      <c r="AC67" s="63"/>
      <c r="AD67" s="114"/>
      <c r="AE67" s="63"/>
      <c r="AF67" s="63"/>
      <c r="AG67" s="63"/>
      <c r="AH67" s="63"/>
      <c r="AI67" s="63"/>
      <c r="AJ67" s="63"/>
      <c r="AK67" s="63"/>
      <c r="AL67" s="63"/>
    </row>
    <row r="68" spans="1:38" s="92" customFormat="1">
      <c r="A68" s="63">
        <f>IFERROR(VLOOKUP(Table818[[#This Row],[Player No]],Table10[[#All],[No]:[Age Group]],4,0),"")</f>
        <v>0</v>
      </c>
      <c r="B68" s="61">
        <v>26</v>
      </c>
      <c r="C68" s="62">
        <f t="shared" si="4"/>
        <v>-38</v>
      </c>
      <c r="D68" s="63">
        <f t="shared" si="7"/>
        <v>64</v>
      </c>
      <c r="E68" s="63">
        <v>3764</v>
      </c>
      <c r="F68" s="64" t="str">
        <f>IFERROR(VLOOKUP(Table818[[#This Row],[Player No]],Table10[[No]:[Province]],2,0),"")</f>
        <v>ADONIS Keagan</v>
      </c>
      <c r="G68" s="65" t="str">
        <f>IFERROR(VLOOKUP(Table818[[#This Row],[Player No]],Table10[[No]:[Province]],3,0),"")</f>
        <v>EC</v>
      </c>
      <c r="H68" s="66">
        <v>25</v>
      </c>
      <c r="I68" s="96">
        <v>12.5</v>
      </c>
      <c r="J68" s="110">
        <f>Table818[[#This Row],[Points 2025]]/2+SUM(Table818[[#This Row],[O1  ADMIN 2026]:[P2           WC         CT Open 2026]])</f>
        <v>6.25</v>
      </c>
      <c r="K68" s="106">
        <f t="shared" si="5"/>
        <v>0</v>
      </c>
      <c r="L68" s="106">
        <f t="shared" si="6"/>
        <v>0</v>
      </c>
      <c r="M68" s="106"/>
      <c r="N68" s="106"/>
      <c r="O68" s="106"/>
      <c r="P68" s="106"/>
      <c r="Q68" s="63"/>
      <c r="R68" s="63"/>
      <c r="S68" s="114"/>
      <c r="T68" s="114"/>
      <c r="U68" s="63"/>
      <c r="V68" s="114"/>
      <c r="W68" s="63"/>
      <c r="X68" s="63"/>
      <c r="Y68" s="63"/>
      <c r="Z68" s="63"/>
      <c r="AA68" s="114"/>
      <c r="AB68" s="63"/>
      <c r="AC68" s="63"/>
      <c r="AD68" s="114"/>
      <c r="AE68" s="63"/>
      <c r="AF68" s="63"/>
      <c r="AG68" s="63"/>
      <c r="AH68" s="63"/>
      <c r="AI68" s="63"/>
      <c r="AJ68" s="63"/>
      <c r="AK68" s="63"/>
      <c r="AL68" s="63"/>
    </row>
    <row r="69" spans="1:38" s="92" customFormat="1">
      <c r="A69" s="63">
        <f>IFERROR(VLOOKUP(Table818[[#This Row],[Player No]],Table10[[#All],[No]:[Age Group]],4,0),"")</f>
        <v>0</v>
      </c>
      <c r="B69" s="61"/>
      <c r="C69" s="62">
        <f t="shared" ref="C69:C99" si="8">+B69-D69</f>
        <v>-65</v>
      </c>
      <c r="D69" s="63">
        <f t="shared" si="7"/>
        <v>65</v>
      </c>
      <c r="E69" s="63">
        <v>4111</v>
      </c>
      <c r="F69" s="64" t="str">
        <f>IFERROR(VLOOKUP(Table818[[#This Row],[Player No]],Table10[[No]:[Province]],2,0),"")</f>
        <v>Indivile VOLIBI</v>
      </c>
      <c r="G69" s="65" t="str">
        <f>IFERROR(VLOOKUP(Table818[[#This Row],[Player No]],Table10[[No]:[Province]],3,0),"")</f>
        <v>EC</v>
      </c>
      <c r="H69" s="66">
        <v>25</v>
      </c>
      <c r="I69" s="96">
        <v>12.5</v>
      </c>
      <c r="J69" s="110">
        <f>Table818[[#This Row],[Points 2025]]/2+SUM(Table818[[#This Row],[O1  ADMIN 2026]:[P2           WC         CT Open 2026]])</f>
        <v>6.25</v>
      </c>
      <c r="K69" s="106">
        <f t="shared" ref="K69:K99" si="9">COUNTIF(M69:P69,"&gt;0")</f>
        <v>0</v>
      </c>
      <c r="L69" s="106">
        <f t="shared" ref="L69:L99" si="10">COUNTIF(N69:AL69,"&lt;0")</f>
        <v>0</v>
      </c>
      <c r="M69" s="106"/>
      <c r="N69" s="106"/>
      <c r="O69" s="106"/>
      <c r="P69" s="106"/>
      <c r="Q69" s="63"/>
      <c r="R69" s="63"/>
      <c r="S69" s="114"/>
      <c r="T69" s="114"/>
      <c r="U69" s="63"/>
      <c r="V69" s="114"/>
      <c r="W69" s="63"/>
      <c r="X69" s="63"/>
      <c r="Y69" s="157"/>
      <c r="Z69" s="63"/>
      <c r="AA69" s="114"/>
      <c r="AB69" s="63"/>
      <c r="AC69" s="63"/>
      <c r="AD69" s="114"/>
      <c r="AE69" s="63"/>
      <c r="AF69" s="63"/>
      <c r="AG69" s="63"/>
      <c r="AH69" s="63"/>
      <c r="AI69" s="63">
        <v>25</v>
      </c>
      <c r="AJ69" s="63"/>
      <c r="AK69" s="63"/>
      <c r="AL69" s="63"/>
    </row>
    <row r="70" spans="1:38" s="92" customFormat="1">
      <c r="A70" s="63">
        <f>IFERROR(VLOOKUP(Table818[[#This Row],[Player No]],Table10[[#All],[No]:[Age Group]],4,0),"")</f>
        <v>0</v>
      </c>
      <c r="B70" s="61"/>
      <c r="C70" s="62">
        <f t="shared" si="8"/>
        <v>-66</v>
      </c>
      <c r="D70" s="63">
        <f t="shared" si="7"/>
        <v>66</v>
      </c>
      <c r="E70" s="63">
        <v>3893</v>
      </c>
      <c r="F70" s="64" t="str">
        <f>IFERROR(VLOOKUP(Table818[[#This Row],[Player No]],Table10[[No]:[Province]],2,0),"")</f>
        <v>DITHIPE N</v>
      </c>
      <c r="G70" s="65" t="str">
        <f>IFERROR(VLOOKUP(Table818[[#This Row],[Player No]],Table10[[No]:[Province]],3,0),"")</f>
        <v>NWP</v>
      </c>
      <c r="H70" s="66">
        <v>25</v>
      </c>
      <c r="I70" s="96">
        <v>12.5</v>
      </c>
      <c r="J70" s="110">
        <f>Table818[[#This Row],[Points 2025]]/2+SUM(Table818[[#This Row],[O1  ADMIN 2026]:[P2           WC         CT Open 2026]])</f>
        <v>6.25</v>
      </c>
      <c r="K70" s="106">
        <f t="shared" si="9"/>
        <v>0</v>
      </c>
      <c r="L70" s="106">
        <f t="shared" si="10"/>
        <v>0</v>
      </c>
      <c r="M70" s="106"/>
      <c r="N70" s="106"/>
      <c r="O70" s="106"/>
      <c r="P70" s="106"/>
      <c r="Q70" s="63"/>
      <c r="R70" s="63"/>
      <c r="S70" s="114"/>
      <c r="T70" s="114"/>
      <c r="U70" s="63"/>
      <c r="V70" s="114"/>
      <c r="W70" s="63"/>
      <c r="X70" s="63"/>
      <c r="Y70" s="63"/>
      <c r="Z70" s="63"/>
      <c r="AA70" s="114"/>
      <c r="AB70" s="63"/>
      <c r="AC70" s="63"/>
      <c r="AD70" s="114"/>
      <c r="AE70" s="63"/>
      <c r="AF70" s="63"/>
      <c r="AG70" s="63"/>
      <c r="AH70" s="63"/>
      <c r="AI70" s="63">
        <v>25</v>
      </c>
      <c r="AJ70" s="63"/>
      <c r="AK70" s="63"/>
      <c r="AL70" s="63"/>
    </row>
    <row r="71" spans="1:38" s="92" customFormat="1">
      <c r="A71" s="63"/>
      <c r="B71" s="61"/>
      <c r="C71" s="62">
        <f t="shared" si="8"/>
        <v>-67</v>
      </c>
      <c r="D71" s="63">
        <f t="shared" si="7"/>
        <v>67</v>
      </c>
      <c r="E71" s="63">
        <v>4120</v>
      </c>
      <c r="F71" s="64" t="str">
        <f>IFERROR(VLOOKUP(Table818[[#This Row],[Player No]],Table10[[No]:[Province]],2,0),"")</f>
        <v>Yibanathi MTHIKRAKRA</v>
      </c>
      <c r="G71" s="65" t="str">
        <f>IFERROR(VLOOKUP(Table818[[#This Row],[Player No]],Table10[[No]:[Province]],3,0),"")</f>
        <v>EC</v>
      </c>
      <c r="H71" s="66">
        <v>25</v>
      </c>
      <c r="I71" s="96">
        <v>12.5</v>
      </c>
      <c r="J71" s="110">
        <f>Table818[[#This Row],[Points 2025]]/2+SUM(Table818[[#This Row],[O1  ADMIN 2026]:[P2           WC         CT Open 2026]])</f>
        <v>6.25</v>
      </c>
      <c r="K71" s="106">
        <f t="shared" si="9"/>
        <v>0</v>
      </c>
      <c r="L71" s="106">
        <f t="shared" si="10"/>
        <v>0</v>
      </c>
      <c r="M71" s="106"/>
      <c r="N71" s="106"/>
      <c r="O71" s="106"/>
      <c r="P71" s="106"/>
      <c r="Q71" s="63"/>
      <c r="R71" s="63"/>
      <c r="S71" s="114"/>
      <c r="T71" s="114"/>
      <c r="U71" s="63"/>
      <c r="V71" s="114"/>
      <c r="W71" s="63"/>
      <c r="X71" s="63"/>
      <c r="Y71" s="63"/>
      <c r="Z71" s="63"/>
      <c r="AA71" s="114"/>
      <c r="AB71" s="63"/>
      <c r="AC71" s="63"/>
      <c r="AD71" s="114"/>
      <c r="AE71" s="63"/>
      <c r="AF71" s="63"/>
      <c r="AG71" s="63"/>
      <c r="AH71" s="63"/>
      <c r="AI71" s="63">
        <v>25</v>
      </c>
      <c r="AJ71" s="63"/>
      <c r="AK71" s="63"/>
      <c r="AL71" s="63"/>
    </row>
    <row r="72" spans="1:38" s="92" customFormat="1">
      <c r="A72" s="63">
        <f>IFERROR(VLOOKUP(Table818[[#This Row],[Player No]],Table10[[#All],[No]:[Age Group]],4,0),"")</f>
        <v>0</v>
      </c>
      <c r="B72" s="61">
        <v>23</v>
      </c>
      <c r="C72" s="62">
        <f t="shared" si="8"/>
        <v>-45</v>
      </c>
      <c r="D72" s="63">
        <f t="shared" si="7"/>
        <v>68</v>
      </c>
      <c r="E72" s="63">
        <v>3480</v>
      </c>
      <c r="F72" s="64" t="str">
        <f>IFERROR(VLOOKUP(Table818[[#This Row],[Player No]],Table10[[No]:[Province]],2,0),"")</f>
        <v>PARBHOO Shyaam</v>
      </c>
      <c r="G72" s="65" t="str">
        <f>IFERROR(VLOOKUP(Table818[[#This Row],[Player No]],Table10[[No]:[Province]],3,0),"")</f>
        <v>GN</v>
      </c>
      <c r="H72" s="66">
        <v>25</v>
      </c>
      <c r="I72" s="96">
        <v>12.5</v>
      </c>
      <c r="J72" s="110">
        <f>Table818[[#This Row],[Points 2025]]/2+SUM(Table818[[#This Row],[O1  ADMIN 2026]:[P2           WC         CT Open 2026]])</f>
        <v>6.25</v>
      </c>
      <c r="K72" s="106">
        <f t="shared" si="9"/>
        <v>0</v>
      </c>
      <c r="L72" s="106">
        <f t="shared" si="10"/>
        <v>0</v>
      </c>
      <c r="M72" s="106"/>
      <c r="N72" s="106"/>
      <c r="O72" s="106"/>
      <c r="P72" s="106"/>
      <c r="Q72" s="63"/>
      <c r="R72" s="63"/>
      <c r="S72" s="114"/>
      <c r="T72" s="114"/>
      <c r="U72" s="63"/>
      <c r="V72" s="114"/>
      <c r="W72" s="63"/>
      <c r="X72" s="63"/>
      <c r="Y72" s="63"/>
      <c r="Z72" s="63"/>
      <c r="AA72" s="114"/>
      <c r="AB72" s="63"/>
      <c r="AC72" s="63"/>
      <c r="AD72" s="114"/>
      <c r="AE72" s="63"/>
      <c r="AF72" s="63"/>
      <c r="AG72" s="63"/>
      <c r="AH72" s="63"/>
      <c r="AI72" s="63"/>
      <c r="AJ72" s="63"/>
      <c r="AK72" s="63"/>
      <c r="AL72" s="63"/>
    </row>
    <row r="73" spans="1:38" s="92" customFormat="1">
      <c r="A73" s="63">
        <f>IFERROR(VLOOKUP(Table818[[#This Row],[Player No]],Table10[[#All],[No]:[Age Group]],4,0),"")</f>
        <v>0</v>
      </c>
      <c r="B73" s="61">
        <v>20</v>
      </c>
      <c r="C73" s="62">
        <f t="shared" si="8"/>
        <v>-49</v>
      </c>
      <c r="D73" s="63">
        <f t="shared" ref="D73:D136" si="11">+D72+1</f>
        <v>69</v>
      </c>
      <c r="E73" s="63">
        <v>3567</v>
      </c>
      <c r="F73" s="64" t="str">
        <f>IFERROR(VLOOKUP(Table818[[#This Row],[Player No]],Table10[[No]:[Province]],2,0),"")</f>
        <v>PHUTI Mohau</v>
      </c>
      <c r="G73" s="65" t="str">
        <f>IFERROR(VLOOKUP(Table818[[#This Row],[Player No]],Table10[[No]:[Province]],3,0),"")</f>
        <v>FS</v>
      </c>
      <c r="H73" s="66">
        <v>25</v>
      </c>
      <c r="I73" s="96">
        <v>12.5</v>
      </c>
      <c r="J73" s="110">
        <f>Table818[[#This Row],[Points 2025]]/2+SUM(Table818[[#This Row],[O1  ADMIN 2026]:[P2           WC         CT Open 2026]])</f>
        <v>6.25</v>
      </c>
      <c r="K73" s="106">
        <f t="shared" si="9"/>
        <v>0</v>
      </c>
      <c r="L73" s="106">
        <f t="shared" si="10"/>
        <v>0</v>
      </c>
      <c r="M73" s="106"/>
      <c r="N73" s="106"/>
      <c r="O73" s="106"/>
      <c r="P73" s="106"/>
      <c r="Q73" s="63"/>
      <c r="R73" s="63"/>
      <c r="S73" s="114"/>
      <c r="T73" s="114"/>
      <c r="U73" s="63"/>
      <c r="V73" s="114"/>
      <c r="W73" s="63"/>
      <c r="X73" s="63"/>
      <c r="Y73" s="63"/>
      <c r="Z73" s="63"/>
      <c r="AA73" s="114"/>
      <c r="AB73" s="63"/>
      <c r="AC73" s="63"/>
      <c r="AD73" s="114"/>
      <c r="AE73" s="63"/>
      <c r="AF73" s="63"/>
      <c r="AG73" s="63"/>
      <c r="AH73" s="63"/>
      <c r="AI73" s="63"/>
      <c r="AJ73" s="63"/>
      <c r="AK73" s="63"/>
      <c r="AL73" s="63"/>
    </row>
    <row r="74" spans="1:38" s="92" customFormat="1">
      <c r="A74" s="63">
        <f>IFERROR(VLOOKUP(Table818[[#This Row],[Player No]],Table10[[#All],[No]:[Age Group]],4,0),"")</f>
        <v>0</v>
      </c>
      <c r="B74" s="61">
        <v>22</v>
      </c>
      <c r="C74" s="62">
        <f t="shared" si="8"/>
        <v>-48</v>
      </c>
      <c r="D74" s="63">
        <f t="shared" si="7"/>
        <v>70</v>
      </c>
      <c r="E74" s="63">
        <v>3569</v>
      </c>
      <c r="F74" s="64" t="str">
        <f>IFERROR(VLOOKUP(Table818[[#This Row],[Player No]],Table10[[No]:[Province]],2,0),"")</f>
        <v xml:space="preserve">PHORE Tshegofatso </v>
      </c>
      <c r="G74" s="65" t="str">
        <f>IFERROR(VLOOKUP(Table818[[#This Row],[Player No]],Table10[[No]:[Province]],3,0),"")</f>
        <v>FS</v>
      </c>
      <c r="H74" s="66">
        <v>25</v>
      </c>
      <c r="I74" s="96">
        <v>12.5</v>
      </c>
      <c r="J74" s="110">
        <f>Table818[[#This Row],[Points 2025]]/2+SUM(Table818[[#This Row],[O1  ADMIN 2026]:[P2           WC         CT Open 2026]])</f>
        <v>6.25</v>
      </c>
      <c r="K74" s="106">
        <f t="shared" si="9"/>
        <v>0</v>
      </c>
      <c r="L74" s="106">
        <f t="shared" si="10"/>
        <v>0</v>
      </c>
      <c r="M74" s="106"/>
      <c r="N74" s="106"/>
      <c r="O74" s="106"/>
      <c r="P74" s="106"/>
      <c r="Q74" s="63"/>
      <c r="R74" s="63"/>
      <c r="S74" s="114"/>
      <c r="T74" s="114"/>
      <c r="U74" s="63"/>
      <c r="V74" s="114"/>
      <c r="W74" s="63"/>
      <c r="X74" s="63"/>
      <c r="Y74" s="63"/>
      <c r="Z74" s="63"/>
      <c r="AA74" s="114"/>
      <c r="AB74" s="63"/>
      <c r="AC74" s="63"/>
      <c r="AD74" s="114"/>
      <c r="AE74" s="63"/>
      <c r="AF74" s="63"/>
      <c r="AG74" s="63"/>
      <c r="AH74" s="63"/>
      <c r="AI74" s="63"/>
      <c r="AJ74" s="63"/>
      <c r="AK74" s="63"/>
      <c r="AL74" s="63"/>
    </row>
    <row r="75" spans="1:38" s="92" customFormat="1">
      <c r="A75" s="63">
        <f>IFERROR(VLOOKUP(Table818[[#This Row],[Player No]],Table10[[#All],[No]:[Age Group]],4,0),"")</f>
        <v>0</v>
      </c>
      <c r="B75" s="61">
        <v>27</v>
      </c>
      <c r="C75" s="62">
        <f t="shared" si="8"/>
        <v>-44</v>
      </c>
      <c r="D75" s="63">
        <f t="shared" si="11"/>
        <v>71</v>
      </c>
      <c r="E75" s="63">
        <v>3749</v>
      </c>
      <c r="F75" s="64" t="str">
        <f>IFERROR(VLOOKUP(Table818[[#This Row],[Player No]],Table10[[No]:[Province]],2,0),"")</f>
        <v>LEKHOTLA Lebohang</v>
      </c>
      <c r="G75" s="65" t="str">
        <f>IFERROR(VLOOKUP(Table818[[#This Row],[Player No]],Table10[[No]:[Province]],3,0),"")</f>
        <v>FS</v>
      </c>
      <c r="H75" s="66">
        <v>25</v>
      </c>
      <c r="I75" s="96">
        <v>12.5</v>
      </c>
      <c r="J75" s="110">
        <f>Table818[[#This Row],[Points 2025]]/2+SUM(Table818[[#This Row],[O1  ADMIN 2026]:[P2           WC         CT Open 2026]])</f>
        <v>6.25</v>
      </c>
      <c r="K75" s="106">
        <f t="shared" si="9"/>
        <v>0</v>
      </c>
      <c r="L75" s="106">
        <f t="shared" si="10"/>
        <v>0</v>
      </c>
      <c r="M75" s="106"/>
      <c r="N75" s="106"/>
      <c r="O75" s="106"/>
      <c r="P75" s="106"/>
      <c r="Q75" s="63"/>
      <c r="R75" s="63"/>
      <c r="S75" s="114"/>
      <c r="T75" s="114"/>
      <c r="U75" s="63"/>
      <c r="V75" s="114"/>
      <c r="W75" s="63"/>
      <c r="X75" s="63"/>
      <c r="Y75" s="63"/>
      <c r="Z75" s="63"/>
      <c r="AA75" s="114"/>
      <c r="AB75" s="63"/>
      <c r="AC75" s="63"/>
      <c r="AD75" s="114"/>
      <c r="AE75" s="63"/>
      <c r="AF75" s="63"/>
      <c r="AG75" s="63"/>
      <c r="AH75" s="63"/>
      <c r="AI75" s="63"/>
      <c r="AJ75" s="63"/>
      <c r="AK75" s="63"/>
      <c r="AL75" s="63"/>
    </row>
    <row r="76" spans="1:38" s="92" customFormat="1">
      <c r="A76" s="63">
        <f>IFERROR(VLOOKUP(Table818[[#This Row],[Player No]],Table10[[#All],[No]:[Age Group]],4,0),"")</f>
        <v>0</v>
      </c>
      <c r="B76" s="61">
        <v>24</v>
      </c>
      <c r="C76" s="62">
        <f t="shared" si="8"/>
        <v>-48</v>
      </c>
      <c r="D76" s="63">
        <f t="shared" si="7"/>
        <v>72</v>
      </c>
      <c r="E76" s="63">
        <v>3762</v>
      </c>
      <c r="F76" s="64" t="str">
        <f>IFERROR(VLOOKUP(Table818[[#This Row],[Player No]],Table10[[No]:[Province]],2,0),"")</f>
        <v>ZWENI Endinako</v>
      </c>
      <c r="G76" s="65" t="str">
        <f>IFERROR(VLOOKUP(Table818[[#This Row],[Player No]],Table10[[No]:[Province]],3,0),"")</f>
        <v>EC</v>
      </c>
      <c r="H76" s="66">
        <v>25</v>
      </c>
      <c r="I76" s="96">
        <v>12.5</v>
      </c>
      <c r="J76" s="110">
        <f>Table818[[#This Row],[Points 2025]]/2+SUM(Table818[[#This Row],[O1  ADMIN 2026]:[P2           WC         CT Open 2026]])</f>
        <v>6.25</v>
      </c>
      <c r="K76" s="106">
        <f t="shared" si="9"/>
        <v>0</v>
      </c>
      <c r="L76" s="106">
        <f t="shared" si="10"/>
        <v>0</v>
      </c>
      <c r="M76" s="106"/>
      <c r="N76" s="106"/>
      <c r="O76" s="106"/>
      <c r="P76" s="106"/>
      <c r="Q76" s="63"/>
      <c r="R76" s="63"/>
      <c r="S76" s="114"/>
      <c r="T76" s="114"/>
      <c r="U76" s="63"/>
      <c r="V76" s="114"/>
      <c r="W76" s="63"/>
      <c r="X76" s="63"/>
      <c r="Y76" s="63"/>
      <c r="Z76" s="63"/>
      <c r="AA76" s="114"/>
      <c r="AB76" s="63"/>
      <c r="AC76" s="63"/>
      <c r="AD76" s="114"/>
      <c r="AE76" s="63"/>
      <c r="AF76" s="63"/>
      <c r="AG76" s="63"/>
      <c r="AH76" s="63"/>
      <c r="AI76" s="63"/>
      <c r="AJ76" s="63"/>
      <c r="AK76" s="63"/>
      <c r="AL76" s="63"/>
    </row>
    <row r="77" spans="1:38" s="92" customFormat="1">
      <c r="A77" s="63">
        <f>IFERROR(VLOOKUP(Table818[[#This Row],[Player No]],Table10[[#All],[No]:[Age Group]],4,0),"")</f>
        <v>0</v>
      </c>
      <c r="B77" s="61">
        <v>25</v>
      </c>
      <c r="C77" s="62">
        <f t="shared" si="8"/>
        <v>-48</v>
      </c>
      <c r="D77" s="63">
        <f t="shared" si="11"/>
        <v>73</v>
      </c>
      <c r="E77" s="63">
        <v>3763</v>
      </c>
      <c r="F77" s="64" t="str">
        <f>IFERROR(VLOOKUP(Table818[[#This Row],[Player No]],Table10[[No]:[Province]],2,0),"")</f>
        <v>MADANGATYA limise</v>
      </c>
      <c r="G77" s="65" t="str">
        <f>IFERROR(VLOOKUP(Table818[[#This Row],[Player No]],Table10[[No]:[Province]],3,0),"")</f>
        <v>EC</v>
      </c>
      <c r="H77" s="66">
        <v>25</v>
      </c>
      <c r="I77" s="96">
        <v>12.5</v>
      </c>
      <c r="J77" s="110">
        <f>Table818[[#This Row],[Points 2025]]/2+SUM(Table818[[#This Row],[O1  ADMIN 2026]:[P2           WC         CT Open 2026]])</f>
        <v>6.25</v>
      </c>
      <c r="K77" s="106">
        <f t="shared" si="9"/>
        <v>0</v>
      </c>
      <c r="L77" s="106">
        <f t="shared" si="10"/>
        <v>0</v>
      </c>
      <c r="M77" s="106"/>
      <c r="N77" s="106"/>
      <c r="O77" s="106"/>
      <c r="P77" s="106"/>
      <c r="Q77" s="63"/>
      <c r="R77" s="63"/>
      <c r="S77" s="114"/>
      <c r="T77" s="114"/>
      <c r="U77" s="63"/>
      <c r="V77" s="114"/>
      <c r="W77" s="63"/>
      <c r="X77" s="63"/>
      <c r="Y77" s="63"/>
      <c r="Z77" s="63"/>
      <c r="AA77" s="114"/>
      <c r="AB77" s="63"/>
      <c r="AC77" s="63"/>
      <c r="AD77" s="114"/>
      <c r="AE77" s="63"/>
      <c r="AF77" s="63"/>
      <c r="AG77" s="63"/>
      <c r="AH77" s="63"/>
      <c r="AI77" s="63"/>
      <c r="AJ77" s="63"/>
      <c r="AK77" s="63"/>
      <c r="AL77" s="63"/>
    </row>
    <row r="78" spans="1:38" s="92" customFormat="1">
      <c r="A78" s="63">
        <f>IFERROR(VLOOKUP(Table818[[#This Row],[Player No]],Table10[[#All],[No]:[Age Group]],4,0),"")</f>
        <v>0</v>
      </c>
      <c r="B78" s="61"/>
      <c r="C78" s="62">
        <f t="shared" si="8"/>
        <v>-74</v>
      </c>
      <c r="D78" s="63">
        <f t="shared" si="7"/>
        <v>74</v>
      </c>
      <c r="E78" s="63">
        <v>3891</v>
      </c>
      <c r="F78" s="64" t="str">
        <f>IFERROR(VLOOKUP(Table818[[#This Row],[Player No]],Table10[[No]:[Province]],2,0),"")</f>
        <v>RANTSHO Atlegang</v>
      </c>
      <c r="G78" s="65" t="str">
        <f>IFERROR(VLOOKUP(Table818[[#This Row],[Player No]],Table10[[No]:[Province]],3,0),"")</f>
        <v>NWP</v>
      </c>
      <c r="H78" s="66">
        <v>25</v>
      </c>
      <c r="I78" s="96">
        <v>12.5</v>
      </c>
      <c r="J78" s="110">
        <f>Table818[[#This Row],[Points 2025]]/2+SUM(Table818[[#This Row],[O1  ADMIN 2026]:[P2           WC         CT Open 2026]])</f>
        <v>6.25</v>
      </c>
      <c r="K78" s="106">
        <f t="shared" si="9"/>
        <v>0</v>
      </c>
      <c r="L78" s="106">
        <f t="shared" si="10"/>
        <v>0</v>
      </c>
      <c r="M78" s="106"/>
      <c r="N78" s="106"/>
      <c r="O78" s="106"/>
      <c r="P78" s="106"/>
      <c r="Q78" s="63"/>
      <c r="R78" s="63"/>
      <c r="S78" s="114"/>
      <c r="T78" s="114"/>
      <c r="U78" s="63"/>
      <c r="V78" s="114"/>
      <c r="W78" s="63"/>
      <c r="X78" s="63"/>
      <c r="Y78" s="63"/>
      <c r="Z78" s="63"/>
      <c r="AA78" s="114"/>
      <c r="AB78" s="63"/>
      <c r="AC78" s="63"/>
      <c r="AD78" s="114"/>
      <c r="AE78" s="63"/>
      <c r="AF78" s="63"/>
      <c r="AG78" s="63"/>
      <c r="AH78" s="63"/>
      <c r="AI78" s="63">
        <v>25</v>
      </c>
      <c r="AJ78" s="63"/>
      <c r="AK78" s="63"/>
      <c r="AL78" s="63"/>
    </row>
    <row r="79" spans="1:38" s="92" customFormat="1">
      <c r="A79" s="63">
        <f>IFERROR(VLOOKUP(Table818[[#This Row],[Player No]],Table10[[#All],[No]:[Age Group]],4,0),"")</f>
        <v>0</v>
      </c>
      <c r="B79" s="61">
        <v>30</v>
      </c>
      <c r="C79" s="62">
        <f t="shared" si="8"/>
        <v>-45</v>
      </c>
      <c r="D79" s="63">
        <f t="shared" si="11"/>
        <v>75</v>
      </c>
      <c r="E79" s="63">
        <v>3907</v>
      </c>
      <c r="F79" s="64" t="str">
        <f>IFERROR(VLOOKUP(Table818[[#This Row],[Player No]],Table10[[No]:[Province]],2,0),"")</f>
        <v>APPLESAMY Kaylin</v>
      </c>
      <c r="G79" s="65" t="str">
        <f>IFERROR(VLOOKUP(Table818[[#This Row],[Player No]],Table10[[No]:[Province]],3,0),"")</f>
        <v>ETTA</v>
      </c>
      <c r="H79" s="66">
        <v>25</v>
      </c>
      <c r="I79" s="96">
        <v>12.5</v>
      </c>
      <c r="J79" s="110">
        <f>Table818[[#This Row],[Points 2025]]/2+SUM(Table818[[#This Row],[O1  ADMIN 2026]:[P2           WC         CT Open 2026]])</f>
        <v>6.25</v>
      </c>
      <c r="K79" s="106">
        <f t="shared" si="9"/>
        <v>0</v>
      </c>
      <c r="L79" s="106">
        <f t="shared" si="10"/>
        <v>0</v>
      </c>
      <c r="M79" s="106"/>
      <c r="N79" s="106"/>
      <c r="O79" s="106"/>
      <c r="P79" s="106"/>
      <c r="Q79" s="63"/>
      <c r="R79" s="63"/>
      <c r="S79" s="114"/>
      <c r="T79" s="114"/>
      <c r="U79" s="63"/>
      <c r="V79" s="114"/>
      <c r="W79" s="63"/>
      <c r="X79" s="63"/>
      <c r="Y79" s="63"/>
      <c r="Z79" s="63"/>
      <c r="AA79" s="114"/>
      <c r="AB79" s="63"/>
      <c r="AC79" s="63"/>
      <c r="AD79" s="114"/>
      <c r="AE79" s="63"/>
      <c r="AF79" s="63">
        <f>50/2</f>
        <v>25</v>
      </c>
      <c r="AG79" s="63"/>
      <c r="AH79" s="63"/>
      <c r="AI79" s="63"/>
      <c r="AJ79" s="63"/>
      <c r="AK79" s="63"/>
      <c r="AL79" s="63"/>
    </row>
    <row r="80" spans="1:38" s="92" customFormat="1">
      <c r="A80" s="63"/>
      <c r="B80" s="61"/>
      <c r="C80" s="62">
        <f t="shared" si="8"/>
        <v>-76</v>
      </c>
      <c r="D80" s="63">
        <f t="shared" si="7"/>
        <v>76</v>
      </c>
      <c r="E80" s="63">
        <v>4007</v>
      </c>
      <c r="F80" s="64" t="str">
        <f>IFERROR(VLOOKUP(Table818[[#This Row],[Player No]],Table10[[No]:[Province]],2,0),"")</f>
        <v>CHETTY Saerin</v>
      </c>
      <c r="G80" s="65" t="str">
        <f>IFERROR(VLOOKUP(Table818[[#This Row],[Player No]],Table10[[No]:[Province]],3,0),"")</f>
        <v>UMG</v>
      </c>
      <c r="H80" s="66">
        <v>25</v>
      </c>
      <c r="I80" s="96">
        <v>12.5</v>
      </c>
      <c r="J80" s="110">
        <f>Table818[[#This Row],[Points 2025]]/2+SUM(Table818[[#This Row],[O1  ADMIN 2026]:[P2           WC         CT Open 2026]])</f>
        <v>6.25</v>
      </c>
      <c r="K80" s="106">
        <f t="shared" si="9"/>
        <v>0</v>
      </c>
      <c r="L80" s="106">
        <f t="shared" si="10"/>
        <v>0</v>
      </c>
      <c r="M80" s="106"/>
      <c r="N80" s="106"/>
      <c r="O80" s="106"/>
      <c r="P80" s="106"/>
      <c r="Q80" s="63"/>
      <c r="R80" s="63"/>
      <c r="S80" s="114"/>
      <c r="T80" s="114"/>
      <c r="U80" s="63"/>
      <c r="V80" s="114"/>
      <c r="W80" s="63"/>
      <c r="X80" s="63"/>
      <c r="Y80" s="63"/>
      <c r="Z80" s="63"/>
      <c r="AA80" s="114"/>
      <c r="AB80" s="63"/>
      <c r="AC80" s="63"/>
      <c r="AD80" s="114"/>
      <c r="AE80" s="63"/>
      <c r="AF80" s="63"/>
      <c r="AG80" s="63"/>
      <c r="AH80" s="63"/>
      <c r="AI80" s="63">
        <v>25</v>
      </c>
      <c r="AJ80" s="63"/>
      <c r="AK80" s="63"/>
      <c r="AL80" s="63"/>
    </row>
    <row r="81" spans="1:38">
      <c r="A81" s="63"/>
      <c r="B81" s="61"/>
      <c r="C81" s="62">
        <f t="shared" si="8"/>
        <v>-77</v>
      </c>
      <c r="D81" s="63">
        <f t="shared" si="11"/>
        <v>77</v>
      </c>
      <c r="E81" s="63">
        <v>4037</v>
      </c>
      <c r="F81" s="64" t="str">
        <f>IFERROR(VLOOKUP(Table818[[#This Row],[Player No]],Table10[[No]:[Province]],2,0),"")</f>
        <v>MATEANE  Thabang</v>
      </c>
      <c r="G81" s="65" t="str">
        <f>IFERROR(VLOOKUP(Table818[[#This Row],[Player No]],Table10[[No]:[Province]],3,0),"")</f>
        <v>FS</v>
      </c>
      <c r="H81" s="66">
        <v>25</v>
      </c>
      <c r="I81" s="96">
        <v>12.5</v>
      </c>
      <c r="J81" s="110">
        <f>Table818[[#This Row],[Points 2025]]/2+SUM(Table818[[#This Row],[O1  ADMIN 2026]:[P2           WC         CT Open 2026]])</f>
        <v>6.25</v>
      </c>
      <c r="K81" s="106">
        <f t="shared" si="9"/>
        <v>0</v>
      </c>
      <c r="L81" s="106">
        <f t="shared" si="10"/>
        <v>0</v>
      </c>
      <c r="M81" s="106"/>
      <c r="N81" s="106"/>
      <c r="O81" s="106"/>
      <c r="P81" s="106"/>
      <c r="Q81" s="63"/>
      <c r="R81" s="63"/>
      <c r="S81" s="114"/>
      <c r="T81" s="114"/>
      <c r="U81" s="63"/>
      <c r="V81" s="114"/>
      <c r="W81" s="63"/>
      <c r="X81" s="63"/>
      <c r="Y81" s="157"/>
      <c r="Z81" s="63"/>
      <c r="AA81" s="114"/>
      <c r="AB81" s="63"/>
      <c r="AC81" s="63"/>
      <c r="AD81" s="114"/>
      <c r="AE81" s="63"/>
      <c r="AF81" s="63"/>
      <c r="AG81" s="63"/>
      <c r="AH81" s="63"/>
      <c r="AI81" s="63">
        <v>25</v>
      </c>
      <c r="AJ81" s="63"/>
      <c r="AK81" s="63"/>
      <c r="AL81" s="63"/>
    </row>
    <row r="82" spans="1:38">
      <c r="A82" s="155"/>
      <c r="B82" s="155"/>
      <c r="C82" s="156">
        <f t="shared" si="8"/>
        <v>-78</v>
      </c>
      <c r="D82" s="63">
        <f t="shared" si="7"/>
        <v>78</v>
      </c>
      <c r="E82" s="157">
        <v>4301</v>
      </c>
      <c r="F82" s="64" t="str">
        <f>IFERROR(VLOOKUP(Table818[[#This Row],[Player No]],Table10[[No]:[Province]],2,0),"")</f>
        <v xml:space="preserve">K Sekike </v>
      </c>
      <c r="G82" s="65" t="str">
        <f>IFERROR(VLOOKUP(Table818[[#This Row],[Player No]],Table10[[No]:[Province]],3,0),"")</f>
        <v>FS</v>
      </c>
      <c r="H82" s="158">
        <v>0</v>
      </c>
      <c r="I82" s="159">
        <v>12.5</v>
      </c>
      <c r="J82" s="836">
        <f>Table818[[#This Row],[Points 2025]]/2+SUM(Table818[[#This Row],[O1  ADMIN 2026]:[P2           WC         CT Open 2026]])</f>
        <v>6.25</v>
      </c>
      <c r="K82" s="106">
        <f t="shared" si="9"/>
        <v>0</v>
      </c>
      <c r="L82" s="106">
        <f t="shared" si="10"/>
        <v>0</v>
      </c>
      <c r="M82" s="106"/>
      <c r="N82" s="106"/>
      <c r="O82" s="106"/>
      <c r="P82" s="106"/>
      <c r="Q82" s="157"/>
      <c r="R82" s="157"/>
      <c r="S82" s="165"/>
      <c r="T82" s="165"/>
      <c r="U82" s="157"/>
      <c r="V82" s="165"/>
      <c r="W82" s="157">
        <v>12.5</v>
      </c>
      <c r="X82" s="157"/>
      <c r="Y82" s="63"/>
      <c r="Z82" s="157"/>
      <c r="AA82" s="165"/>
      <c r="AB82" s="157"/>
      <c r="AC82" s="157"/>
      <c r="AD82" s="165"/>
      <c r="AE82" s="157"/>
      <c r="AF82" s="157"/>
      <c r="AG82" s="157"/>
      <c r="AH82" s="157"/>
      <c r="AI82" s="157"/>
      <c r="AJ82" s="157"/>
      <c r="AK82" s="157"/>
      <c r="AL82" s="157"/>
    </row>
    <row r="83" spans="1:38">
      <c r="A83" s="155"/>
      <c r="B83" s="155"/>
      <c r="C83" s="156">
        <f t="shared" si="8"/>
        <v>-79</v>
      </c>
      <c r="D83" s="63">
        <f t="shared" si="11"/>
        <v>79</v>
      </c>
      <c r="E83" s="157">
        <v>4317</v>
      </c>
      <c r="F83" s="64" t="str">
        <f>IFERROR(VLOOKUP(Table818[[#This Row],[Player No]],Table10[[No]:[Province]],2,0),"")</f>
        <v>LEEUW Mbulelo</v>
      </c>
      <c r="G83" s="65" t="str">
        <f>IFERROR(VLOOKUP(Table818[[#This Row],[Player No]],Table10[[No]:[Province]],3,0),"")</f>
        <v>FS</v>
      </c>
      <c r="H83" s="158">
        <v>0</v>
      </c>
      <c r="I83" s="159">
        <v>12.5</v>
      </c>
      <c r="J83" s="836">
        <f>Table818[[#This Row],[Points 2025]]/2+SUM(Table818[[#This Row],[O1  ADMIN 2026]:[P2           WC         CT Open 2026]])</f>
        <v>6.25</v>
      </c>
      <c r="K83" s="106">
        <f t="shared" si="9"/>
        <v>0</v>
      </c>
      <c r="L83" s="106">
        <f t="shared" si="10"/>
        <v>0</v>
      </c>
      <c r="M83" s="106"/>
      <c r="N83" s="106"/>
      <c r="O83" s="106"/>
      <c r="P83" s="106"/>
      <c r="Q83" s="157"/>
      <c r="R83" s="157"/>
      <c r="S83" s="165"/>
      <c r="T83" s="165"/>
      <c r="U83" s="157"/>
      <c r="V83" s="165"/>
      <c r="W83" s="157">
        <v>12.5</v>
      </c>
      <c r="X83" s="157"/>
      <c r="Y83" s="63"/>
      <c r="Z83" s="157"/>
      <c r="AA83" s="165"/>
      <c r="AB83" s="157"/>
      <c r="AC83" s="157"/>
      <c r="AD83" s="165"/>
      <c r="AE83" s="157"/>
      <c r="AF83" s="157"/>
      <c r="AG83" s="157"/>
      <c r="AH83" s="157"/>
      <c r="AI83" s="157"/>
      <c r="AJ83" s="157"/>
      <c r="AK83" s="157"/>
      <c r="AL83" s="157"/>
    </row>
    <row r="84" spans="1:38">
      <c r="A84" s="61"/>
      <c r="B84" s="61"/>
      <c r="C84" s="62">
        <f t="shared" si="8"/>
        <v>-80</v>
      </c>
      <c r="D84" s="63">
        <f t="shared" si="7"/>
        <v>80</v>
      </c>
      <c r="E84" s="63">
        <v>4412</v>
      </c>
      <c r="F84" s="64" t="str">
        <f>IFERROR(VLOOKUP(Table818[[#This Row],[Player No]],Table10[[No]:[Province]],2,0),"")</f>
        <v xml:space="preserve">Idris Abrahams </v>
      </c>
      <c r="G84" s="65" t="str">
        <f>IFERROR(VLOOKUP(Table818[[#This Row],[Player No]],Table10[[No]:[Province]],3,0),"")</f>
        <v>JTTA</v>
      </c>
      <c r="H84" s="66">
        <v>0</v>
      </c>
      <c r="I84" s="96">
        <v>12.5</v>
      </c>
      <c r="J84" s="110">
        <f>Table818[[#This Row],[Points 2025]]/2+SUM(Table818[[#This Row],[O1  ADMIN 2026]:[P2           WC         CT Open 2026]])</f>
        <v>6.25</v>
      </c>
      <c r="K84" s="106">
        <f t="shared" si="9"/>
        <v>0</v>
      </c>
      <c r="L84" s="106">
        <f t="shared" si="10"/>
        <v>0</v>
      </c>
      <c r="M84" s="106"/>
      <c r="N84" s="106"/>
      <c r="O84" s="106"/>
      <c r="P84" s="106"/>
      <c r="Q84" s="63"/>
      <c r="R84" s="63"/>
      <c r="S84" s="114"/>
      <c r="T84" s="114"/>
      <c r="U84" s="63"/>
      <c r="V84" s="114"/>
      <c r="W84" s="63"/>
      <c r="X84" s="63"/>
      <c r="Y84" s="63"/>
      <c r="Z84" s="63"/>
      <c r="AA84" s="114"/>
      <c r="AB84" s="63">
        <v>12.5</v>
      </c>
      <c r="AC84" s="63"/>
      <c r="AD84" s="114"/>
      <c r="AE84" s="63"/>
      <c r="AF84" s="63"/>
      <c r="AG84" s="63"/>
      <c r="AH84" s="63"/>
      <c r="AI84" s="63"/>
      <c r="AJ84" s="63"/>
      <c r="AK84" s="63"/>
      <c r="AL84" s="63"/>
    </row>
    <row r="85" spans="1:38">
      <c r="A85" s="61"/>
      <c r="B85" s="61"/>
      <c r="C85" s="62">
        <f t="shared" si="8"/>
        <v>-81</v>
      </c>
      <c r="D85" s="63">
        <f t="shared" si="11"/>
        <v>81</v>
      </c>
      <c r="E85" s="63">
        <v>4413</v>
      </c>
      <c r="F85" s="64" t="str">
        <f>IFERROR(VLOOKUP(Table818[[#This Row],[Player No]],Table10[[No]:[Province]],2,0),"")</f>
        <v xml:space="preserve">PETOVSKY Pavol Usman </v>
      </c>
      <c r="G85" s="65" t="str">
        <f>IFERROR(VLOOKUP(Table818[[#This Row],[Player No]],Table10[[No]:[Province]],3,0),"")</f>
        <v>JTTA</v>
      </c>
      <c r="H85" s="66">
        <v>0</v>
      </c>
      <c r="I85" s="96">
        <v>12.5</v>
      </c>
      <c r="J85" s="110">
        <f>Table818[[#This Row],[Points 2025]]/2+SUM(Table818[[#This Row],[O1  ADMIN 2026]:[P2           WC         CT Open 2026]])</f>
        <v>6.25</v>
      </c>
      <c r="K85" s="106">
        <f t="shared" si="9"/>
        <v>0</v>
      </c>
      <c r="L85" s="106">
        <f t="shared" si="10"/>
        <v>0</v>
      </c>
      <c r="M85" s="106"/>
      <c r="N85" s="106"/>
      <c r="O85" s="106"/>
      <c r="P85" s="106"/>
      <c r="Q85" s="63"/>
      <c r="R85" s="63"/>
      <c r="S85" s="114"/>
      <c r="T85" s="114"/>
      <c r="U85" s="63"/>
      <c r="V85" s="114"/>
      <c r="W85" s="63"/>
      <c r="X85" s="63"/>
      <c r="Y85" s="63"/>
      <c r="Z85" s="63"/>
      <c r="AA85" s="114"/>
      <c r="AB85" s="63">
        <v>12.5</v>
      </c>
      <c r="AC85" s="63"/>
      <c r="AD85" s="114"/>
      <c r="AE85" s="63"/>
      <c r="AF85" s="63"/>
      <c r="AG85" s="63"/>
      <c r="AH85" s="63"/>
      <c r="AI85" s="63"/>
      <c r="AJ85" s="63"/>
      <c r="AK85" s="63"/>
      <c r="AL85" s="63"/>
    </row>
    <row r="86" spans="1:38">
      <c r="A86" s="61"/>
      <c r="B86" s="61"/>
      <c r="C86" s="62">
        <f t="shared" si="8"/>
        <v>-82</v>
      </c>
      <c r="D86" s="63">
        <f t="shared" si="7"/>
        <v>82</v>
      </c>
      <c r="E86" s="63">
        <v>4532</v>
      </c>
      <c r="F86" s="64" t="str">
        <f>IFERROR(VLOOKUP(Table818[[#This Row],[Player No]],Table10[[No]:[Province]],2,0),"")</f>
        <v xml:space="preserve">KLAASEN Liam </v>
      </c>
      <c r="G86" s="65" t="str">
        <f>IFERROR(VLOOKUP(Table818[[#This Row],[Player No]],Table10[[No]:[Province]],3,0),"")</f>
        <v>CT</v>
      </c>
      <c r="H86" s="66">
        <v>25</v>
      </c>
      <c r="I86" s="96">
        <v>12.5</v>
      </c>
      <c r="J86" s="110">
        <f>Table818[[#This Row],[Points 2025]]/2+SUM(Table818[[#This Row],[O1  ADMIN 2026]:[P2           WC         CT Open 2026]])</f>
        <v>6.25</v>
      </c>
      <c r="K86" s="106">
        <f t="shared" si="9"/>
        <v>0</v>
      </c>
      <c r="L86" s="106">
        <f t="shared" si="10"/>
        <v>0</v>
      </c>
      <c r="M86" s="106"/>
      <c r="N86" s="106"/>
      <c r="O86" s="106"/>
      <c r="P86" s="106"/>
      <c r="Q86" s="63"/>
      <c r="R86" s="63"/>
      <c r="S86" s="114"/>
      <c r="T86" s="114"/>
      <c r="U86" s="63"/>
      <c r="V86" s="114"/>
      <c r="W86" s="63"/>
      <c r="X86" s="63"/>
      <c r="Y86" s="63"/>
      <c r="Z86" s="63"/>
      <c r="AA86" s="114"/>
      <c r="AB86" s="63"/>
      <c r="AC86" s="63"/>
      <c r="AD86" s="114"/>
      <c r="AE86" s="63"/>
      <c r="AF86" s="63"/>
      <c r="AG86" s="63">
        <v>25</v>
      </c>
      <c r="AH86" s="63"/>
      <c r="AI86" s="63"/>
      <c r="AJ86" s="63"/>
      <c r="AK86" s="63"/>
      <c r="AL86" s="63"/>
    </row>
    <row r="87" spans="1:38">
      <c r="A87" s="61"/>
      <c r="B87" s="61"/>
      <c r="C87" s="62">
        <f t="shared" si="8"/>
        <v>-83</v>
      </c>
      <c r="D87" s="63">
        <f t="shared" si="11"/>
        <v>83</v>
      </c>
      <c r="E87" s="63">
        <v>4697</v>
      </c>
      <c r="F87" s="64" t="str">
        <f>IFERROR(VLOOKUP(Table818[[#This Row],[Player No]],Table10[[No]:[Province]],2,0),"")</f>
        <v>SEMETSO Boitshepo</v>
      </c>
      <c r="G87" s="65" t="str">
        <f>IFERROR(VLOOKUP(Table818[[#This Row],[Player No]],Table10[[No]:[Province]],3,0),"")</f>
        <v>NMMTTA</v>
      </c>
      <c r="H87" s="66">
        <v>0</v>
      </c>
      <c r="I87" s="96">
        <v>10</v>
      </c>
      <c r="J87" s="110">
        <f>Table818[[#This Row],[Points 2025]]/2+SUM(Table818[[#This Row],[O1  ADMIN 2026]:[P2           WC         CT Open 2026]])</f>
        <v>5</v>
      </c>
      <c r="K87" s="106">
        <f t="shared" si="9"/>
        <v>0</v>
      </c>
      <c r="L87" s="106">
        <f t="shared" si="10"/>
        <v>0</v>
      </c>
      <c r="M87" s="106"/>
      <c r="N87" s="106"/>
      <c r="O87" s="106"/>
      <c r="P87" s="106"/>
      <c r="Q87" s="63"/>
      <c r="R87" s="63"/>
      <c r="S87" s="114"/>
      <c r="T87" s="114"/>
      <c r="U87" s="63"/>
      <c r="V87" s="114"/>
      <c r="W87" s="63"/>
      <c r="X87" s="63"/>
      <c r="Y87" s="63"/>
      <c r="Z87" s="63"/>
      <c r="AA87" s="114">
        <v>10</v>
      </c>
      <c r="AB87" s="63"/>
      <c r="AC87" s="63"/>
      <c r="AD87" s="114"/>
      <c r="AE87" s="63"/>
      <c r="AF87" s="63"/>
      <c r="AG87" s="63"/>
      <c r="AH87" s="63"/>
      <c r="AI87" s="63"/>
      <c r="AJ87" s="63"/>
      <c r="AK87" s="63"/>
      <c r="AL87" s="63"/>
    </row>
    <row r="88" spans="1:38">
      <c r="A88" s="63">
        <f>IFERROR(VLOOKUP(Table818[[#This Row],[Player No]],Table10[[#All],[No]:[Age Group]],4,0),"")</f>
        <v>0</v>
      </c>
      <c r="B88" s="61">
        <v>35</v>
      </c>
      <c r="C88" s="62">
        <f t="shared" si="8"/>
        <v>-49</v>
      </c>
      <c r="D88" s="63">
        <f t="shared" si="7"/>
        <v>84</v>
      </c>
      <c r="E88" s="63">
        <v>3477</v>
      </c>
      <c r="F88" s="64" t="str">
        <f>IFERROR(VLOOKUP(Table818[[#This Row],[Player No]],Table10[[No]:[Province]],2,0),"")</f>
        <v>DE WET Christo</v>
      </c>
      <c r="G88" s="65" t="str">
        <f>IFERROR(VLOOKUP(Table818[[#This Row],[Player No]],Table10[[No]:[Province]],3,0),"")</f>
        <v>GN</v>
      </c>
      <c r="H88" s="66">
        <v>18.75</v>
      </c>
      <c r="I88" s="96">
        <v>9.375</v>
      </c>
      <c r="J88" s="110">
        <f>Table818[[#This Row],[Points 2025]]/2+SUM(Table818[[#This Row],[O1  ADMIN 2026]:[P2           WC         CT Open 2026]])</f>
        <v>4.6875</v>
      </c>
      <c r="K88" s="106">
        <f t="shared" si="9"/>
        <v>0</v>
      </c>
      <c r="L88" s="106">
        <f t="shared" si="10"/>
        <v>0</v>
      </c>
      <c r="M88" s="106"/>
      <c r="N88" s="106"/>
      <c r="O88" s="106"/>
      <c r="P88" s="106"/>
      <c r="Q88" s="63"/>
      <c r="R88" s="63"/>
      <c r="S88" s="114"/>
      <c r="T88" s="114"/>
      <c r="U88" s="63"/>
      <c r="V88" s="114"/>
      <c r="W88" s="63"/>
      <c r="X88" s="63"/>
      <c r="Y88" s="63"/>
      <c r="Z88" s="63"/>
      <c r="AA88" s="114"/>
      <c r="AB88" s="63"/>
      <c r="AC88" s="63"/>
      <c r="AD88" s="114"/>
      <c r="AE88" s="63"/>
      <c r="AF88" s="63"/>
      <c r="AG88" s="63"/>
      <c r="AH88" s="63"/>
      <c r="AI88" s="63"/>
      <c r="AJ88" s="63"/>
      <c r="AK88" s="63"/>
      <c r="AL88" s="63"/>
    </row>
    <row r="89" spans="1:38">
      <c r="A89" s="63">
        <f>IFERROR(VLOOKUP(Table818[[#This Row],[Player No]],Table10[[#All],[No]:[Age Group]],4,0),"")</f>
        <v>0</v>
      </c>
      <c r="B89" s="61">
        <v>36</v>
      </c>
      <c r="C89" s="62">
        <f t="shared" si="8"/>
        <v>-49</v>
      </c>
      <c r="D89" s="63">
        <f t="shared" si="11"/>
        <v>85</v>
      </c>
      <c r="E89" s="63">
        <v>3478</v>
      </c>
      <c r="F89" s="64" t="str">
        <f>IFERROR(VLOOKUP(Table818[[#This Row],[Player No]],Table10[[No]:[Province]],2,0),"")</f>
        <v>DE WET Michael</v>
      </c>
      <c r="G89" s="65" t="str">
        <f>IFERROR(VLOOKUP(Table818[[#This Row],[Player No]],Table10[[No]:[Province]],3,0),"")</f>
        <v>GN</v>
      </c>
      <c r="H89" s="66">
        <v>18.75</v>
      </c>
      <c r="I89" s="96">
        <v>9.375</v>
      </c>
      <c r="J89" s="110">
        <f>Table818[[#This Row],[Points 2025]]/2+SUM(Table818[[#This Row],[O1  ADMIN 2026]:[P2           WC         CT Open 2026]])</f>
        <v>4.6875</v>
      </c>
      <c r="K89" s="106">
        <f t="shared" si="9"/>
        <v>0</v>
      </c>
      <c r="L89" s="106">
        <f t="shared" si="10"/>
        <v>0</v>
      </c>
      <c r="M89" s="106"/>
      <c r="N89" s="106"/>
      <c r="O89" s="106"/>
      <c r="P89" s="106"/>
      <c r="Q89" s="63"/>
      <c r="R89" s="63"/>
      <c r="S89" s="114"/>
      <c r="T89" s="114"/>
      <c r="U89" s="63"/>
      <c r="V89" s="114"/>
      <c r="W89" s="63"/>
      <c r="X89" s="63"/>
      <c r="Y89" s="63"/>
      <c r="Z89" s="63"/>
      <c r="AA89" s="114"/>
      <c r="AB89" s="63"/>
      <c r="AC89" s="63"/>
      <c r="AD89" s="114"/>
      <c r="AE89" s="63"/>
      <c r="AF89" s="63"/>
      <c r="AG89" s="63"/>
      <c r="AH89" s="63"/>
      <c r="AI89" s="63"/>
      <c r="AJ89" s="63"/>
      <c r="AK89" s="63"/>
      <c r="AL89" s="63"/>
    </row>
    <row r="90" spans="1:38">
      <c r="A90" s="63">
        <f>IFERROR(VLOOKUP(Table818[[#This Row],[Player No]],Table10[[#All],[No]:[Age Group]],4,0),"")</f>
        <v>0</v>
      </c>
      <c r="B90" s="61"/>
      <c r="C90" s="62">
        <f t="shared" si="8"/>
        <v>-86</v>
      </c>
      <c r="D90" s="63">
        <f t="shared" si="7"/>
        <v>86</v>
      </c>
      <c r="E90" s="63">
        <v>4113</v>
      </c>
      <c r="F90" s="64" t="str">
        <f>IFERROR(VLOOKUP(Table818[[#This Row],[Player No]],Table10[[No]:[Province]],2,0),"")</f>
        <v>Muaaz HOOSEN</v>
      </c>
      <c r="G90" s="65" t="str">
        <f>IFERROR(VLOOKUP(Table818[[#This Row],[Player No]],Table10[[No]:[Province]],3,0),"")</f>
        <v>JTTA</v>
      </c>
      <c r="H90" s="66">
        <v>5</v>
      </c>
      <c r="I90" s="96">
        <v>8.5</v>
      </c>
      <c r="J90" s="110">
        <f>Table818[[#This Row],[Points 2025]]/2+SUM(Table818[[#This Row],[O1  ADMIN 2026]:[P2           WC         CT Open 2026]])</f>
        <v>4.25</v>
      </c>
      <c r="K90" s="106">
        <f t="shared" si="9"/>
        <v>0</v>
      </c>
      <c r="L90" s="106">
        <f t="shared" si="10"/>
        <v>0</v>
      </c>
      <c r="M90" s="106"/>
      <c r="N90" s="106"/>
      <c r="O90" s="106"/>
      <c r="P90" s="106"/>
      <c r="Q90" s="63"/>
      <c r="R90" s="63"/>
      <c r="S90" s="114"/>
      <c r="T90" s="114"/>
      <c r="U90" s="63"/>
      <c r="V90" s="114"/>
      <c r="W90" s="63"/>
      <c r="X90" s="63"/>
      <c r="Y90" s="63"/>
      <c r="Z90" s="63"/>
      <c r="AA90" s="114">
        <v>5</v>
      </c>
      <c r="AB90" s="63"/>
      <c r="AC90" s="63">
        <v>1</v>
      </c>
      <c r="AD90" s="114"/>
      <c r="AE90" s="63"/>
      <c r="AF90" s="63"/>
      <c r="AG90" s="63"/>
      <c r="AH90" s="63"/>
      <c r="AI90" s="63">
        <v>5</v>
      </c>
      <c r="AJ90" s="63"/>
      <c r="AK90" s="63"/>
      <c r="AL90" s="63"/>
    </row>
    <row r="91" spans="1:38">
      <c r="A91" s="63">
        <f>IFERROR(VLOOKUP(Table818[[#This Row],[Player No]],Table10[[#All],[No]:[Age Group]],4,0),"")</f>
        <v>0</v>
      </c>
      <c r="B91" s="61">
        <v>39</v>
      </c>
      <c r="C91" s="62">
        <f t="shared" si="8"/>
        <v>-48</v>
      </c>
      <c r="D91" s="63">
        <f t="shared" si="11"/>
        <v>87</v>
      </c>
      <c r="E91" s="63">
        <v>3574</v>
      </c>
      <c r="F91" s="64" t="str">
        <f>IFERROR(VLOOKUP(Table818[[#This Row],[Player No]],Table10[[No]:[Province]],2,0),"")</f>
        <v>VAN DER SCHYFF Yaseen</v>
      </c>
      <c r="G91" s="65" t="str">
        <f>IFERROR(VLOOKUP(Table818[[#This Row],[Player No]],Table10[[No]:[Province]],3,0),"")</f>
        <v>CT</v>
      </c>
      <c r="H91" s="66">
        <v>15.5</v>
      </c>
      <c r="I91" s="96">
        <v>7.75</v>
      </c>
      <c r="J91" s="110">
        <f>Table818[[#This Row],[Points 2025]]/2+SUM(Table818[[#This Row],[O1  ADMIN 2026]:[P2           WC         CT Open 2026]])</f>
        <v>3.875</v>
      </c>
      <c r="K91" s="106">
        <f t="shared" si="9"/>
        <v>0</v>
      </c>
      <c r="L91" s="106">
        <f t="shared" si="10"/>
        <v>0</v>
      </c>
      <c r="M91" s="106"/>
      <c r="N91" s="106"/>
      <c r="O91" s="106"/>
      <c r="P91" s="106"/>
      <c r="Q91" s="63"/>
      <c r="R91" s="63"/>
      <c r="S91" s="114"/>
      <c r="T91" s="114"/>
      <c r="U91" s="63"/>
      <c r="V91" s="114"/>
      <c r="W91" s="63"/>
      <c r="X91" s="63"/>
      <c r="Y91" s="63"/>
      <c r="Z91" s="63"/>
      <c r="AA91" s="114"/>
      <c r="AB91" s="63"/>
      <c r="AC91" s="63"/>
      <c r="AD91" s="114"/>
      <c r="AE91" s="63"/>
      <c r="AF91" s="63"/>
      <c r="AG91" s="63"/>
      <c r="AH91" s="63"/>
      <c r="AI91" s="63"/>
      <c r="AJ91" s="63"/>
      <c r="AK91" s="63"/>
      <c r="AL91" s="63"/>
    </row>
    <row r="92" spans="1:38">
      <c r="A92" s="126"/>
      <c r="B92" s="61"/>
      <c r="C92" s="62">
        <f t="shared" si="8"/>
        <v>-88</v>
      </c>
      <c r="D92" s="63">
        <f t="shared" si="7"/>
        <v>88</v>
      </c>
      <c r="E92" s="63">
        <v>4457</v>
      </c>
      <c r="F92" s="64" t="str">
        <f>IFERROR(VLOOKUP(Table818[[#This Row],[Player No]],Table10[[No]:[Province]],2,0),"")</f>
        <v xml:space="preserve">STANDER Arren </v>
      </c>
      <c r="G92" s="65" t="str">
        <f>IFERROR(VLOOKUP(Table818[[#This Row],[Player No]],Table10[[No]:[Province]],3,0),"")</f>
        <v>CT</v>
      </c>
      <c r="H92" s="66">
        <v>0</v>
      </c>
      <c r="I92" s="96">
        <v>7.5</v>
      </c>
      <c r="J92" s="110">
        <f>Table818[[#This Row],[Points 2025]]/2+SUM(Table818[[#This Row],[O1  ADMIN 2026]:[P2           WC         CT Open 2026]])</f>
        <v>3.75</v>
      </c>
      <c r="K92" s="106">
        <f t="shared" si="9"/>
        <v>0</v>
      </c>
      <c r="L92" s="106">
        <f t="shared" si="10"/>
        <v>0</v>
      </c>
      <c r="M92" s="106"/>
      <c r="N92" s="106"/>
      <c r="O92" s="106"/>
      <c r="P92" s="106"/>
      <c r="Q92" s="63"/>
      <c r="R92" s="63"/>
      <c r="S92" s="114"/>
      <c r="T92" s="114"/>
      <c r="U92" s="63"/>
      <c r="V92" s="114"/>
      <c r="W92" s="63"/>
      <c r="X92" s="63"/>
      <c r="Y92" s="63">
        <v>7.5</v>
      </c>
      <c r="Z92" s="63"/>
      <c r="AA92" s="114"/>
      <c r="AB92" s="63"/>
      <c r="AC92" s="63"/>
      <c r="AD92" s="114"/>
      <c r="AE92" s="63"/>
      <c r="AF92" s="63"/>
      <c r="AG92" s="63"/>
      <c r="AH92" s="63"/>
      <c r="AI92" s="63"/>
      <c r="AJ92" s="63"/>
      <c r="AK92" s="63"/>
      <c r="AL92" s="127"/>
    </row>
    <row r="93" spans="1:38">
      <c r="A93" s="136">
        <f>IFERROR(VLOOKUP(Table818[[#This Row],[Player No]],Table10[[#All],[No]:[Age Group]],4,0),"")</f>
        <v>0</v>
      </c>
      <c r="B93" s="61"/>
      <c r="C93" s="62">
        <f t="shared" si="8"/>
        <v>-89</v>
      </c>
      <c r="D93" s="63">
        <f t="shared" si="11"/>
        <v>89</v>
      </c>
      <c r="E93" s="63">
        <v>4533</v>
      </c>
      <c r="F93" s="64" t="str">
        <f>IFERROR(VLOOKUP(Table818[[#This Row],[Player No]],Table10[[No]:[Province]],2,0),"")</f>
        <v xml:space="preserve">CUPIDO Caden </v>
      </c>
      <c r="G93" s="65" t="str">
        <f>IFERROR(VLOOKUP(Table818[[#This Row],[Player No]],Table10[[No]:[Province]],3,0),"")</f>
        <v>CT</v>
      </c>
      <c r="H93" s="66">
        <v>15</v>
      </c>
      <c r="I93" s="96">
        <v>7.5</v>
      </c>
      <c r="J93" s="110">
        <f>Table818[[#This Row],[Points 2025]]/2+SUM(Table818[[#This Row],[O1  ADMIN 2026]:[P2           WC         CT Open 2026]])</f>
        <v>3.75</v>
      </c>
      <c r="K93" s="106">
        <f t="shared" si="9"/>
        <v>0</v>
      </c>
      <c r="L93" s="106">
        <f t="shared" si="10"/>
        <v>0</v>
      </c>
      <c r="M93" s="106"/>
      <c r="N93" s="106"/>
      <c r="O93" s="106"/>
      <c r="P93" s="106"/>
      <c r="Q93" s="63"/>
      <c r="R93" s="63"/>
      <c r="S93" s="114"/>
      <c r="T93" s="114"/>
      <c r="U93" s="63"/>
      <c r="V93" s="114"/>
      <c r="W93" s="63"/>
      <c r="X93" s="63"/>
      <c r="Y93" s="63"/>
      <c r="Z93" s="63"/>
      <c r="AA93" s="114"/>
      <c r="AB93" s="63"/>
      <c r="AC93" s="63"/>
      <c r="AD93" s="114"/>
      <c r="AE93" s="63"/>
      <c r="AF93" s="63"/>
      <c r="AG93" s="63">
        <v>15</v>
      </c>
      <c r="AH93" s="63"/>
      <c r="AI93" s="63"/>
      <c r="AJ93" s="63"/>
      <c r="AK93" s="63"/>
      <c r="AL93" s="127"/>
    </row>
    <row r="94" spans="1:38">
      <c r="A94" s="126"/>
      <c r="B94" s="61"/>
      <c r="C94" s="130">
        <f t="shared" si="8"/>
        <v>-90</v>
      </c>
      <c r="D94" s="63">
        <f t="shared" si="7"/>
        <v>90</v>
      </c>
      <c r="E94" s="63">
        <v>4536</v>
      </c>
      <c r="F94" s="64" t="str">
        <f>IFERROR(VLOOKUP(Table818[[#This Row],[Player No]],Table10[[No]:[Province]],2,0),"")</f>
        <v xml:space="preserve">KUSE Junior </v>
      </c>
      <c r="G94" s="65" t="str">
        <f>IFERROR(VLOOKUP(Table818[[#This Row],[Player No]],Table10[[No]:[Province]],3,0),"")</f>
        <v>CT</v>
      </c>
      <c r="H94" s="66">
        <v>15</v>
      </c>
      <c r="I94" s="96">
        <v>7.5</v>
      </c>
      <c r="J94" s="110">
        <f>Table818[[#This Row],[Points 2025]]/2+SUM(Table818[[#This Row],[O1  ADMIN 2026]:[P2           WC         CT Open 2026]])</f>
        <v>3.75</v>
      </c>
      <c r="K94" s="106">
        <f t="shared" si="9"/>
        <v>0</v>
      </c>
      <c r="L94" s="106">
        <f t="shared" si="10"/>
        <v>0</v>
      </c>
      <c r="M94" s="106"/>
      <c r="N94" s="106"/>
      <c r="O94" s="106"/>
      <c r="P94" s="106"/>
      <c r="Q94" s="63"/>
      <c r="R94" s="63"/>
      <c r="S94" s="114"/>
      <c r="T94" s="114"/>
      <c r="U94" s="63"/>
      <c r="V94" s="114"/>
      <c r="W94" s="63"/>
      <c r="X94" s="63"/>
      <c r="Y94" s="63"/>
      <c r="Z94" s="63"/>
      <c r="AA94" s="114"/>
      <c r="AB94" s="63"/>
      <c r="AC94" s="63"/>
      <c r="AD94" s="114"/>
      <c r="AE94" s="63"/>
      <c r="AF94" s="63"/>
      <c r="AG94" s="63">
        <v>15</v>
      </c>
      <c r="AH94" s="63"/>
      <c r="AI94" s="63"/>
      <c r="AJ94" s="63"/>
      <c r="AK94" s="63"/>
      <c r="AL94" s="127"/>
    </row>
    <row r="95" spans="1:38">
      <c r="A95" s="126"/>
      <c r="B95" s="61"/>
      <c r="C95" s="130">
        <f t="shared" si="8"/>
        <v>-91</v>
      </c>
      <c r="D95" s="63">
        <f t="shared" si="11"/>
        <v>91</v>
      </c>
      <c r="E95" s="63">
        <v>4537</v>
      </c>
      <c r="F95" s="64" t="str">
        <f>IFERROR(VLOOKUP(Table818[[#This Row],[Player No]],Table10[[No]:[Province]],2,0),"")</f>
        <v xml:space="preserve">WILSON Aiden </v>
      </c>
      <c r="G95" s="65" t="str">
        <f>IFERROR(VLOOKUP(Table818[[#This Row],[Player No]],Table10[[No]:[Province]],3,0),"")</f>
        <v>CT</v>
      </c>
      <c r="H95" s="66">
        <v>15</v>
      </c>
      <c r="I95" s="96">
        <v>7.5</v>
      </c>
      <c r="J95" s="110">
        <f>Table818[[#This Row],[Points 2025]]/2+SUM(Table818[[#This Row],[O1  ADMIN 2026]:[P2           WC         CT Open 2026]])</f>
        <v>3.75</v>
      </c>
      <c r="K95" s="106">
        <f t="shared" si="9"/>
        <v>0</v>
      </c>
      <c r="L95" s="106">
        <f t="shared" si="10"/>
        <v>0</v>
      </c>
      <c r="M95" s="106"/>
      <c r="N95" s="106"/>
      <c r="O95" s="106"/>
      <c r="P95" s="106"/>
      <c r="Q95" s="63"/>
      <c r="R95" s="63"/>
      <c r="S95" s="114"/>
      <c r="T95" s="114"/>
      <c r="U95" s="63"/>
      <c r="V95" s="114"/>
      <c r="W95" s="63"/>
      <c r="X95" s="63"/>
      <c r="Y95" s="63"/>
      <c r="Z95" s="63"/>
      <c r="AA95" s="114"/>
      <c r="AB95" s="63"/>
      <c r="AC95" s="63"/>
      <c r="AD95" s="114"/>
      <c r="AE95" s="63"/>
      <c r="AF95" s="63"/>
      <c r="AG95" s="63">
        <v>15</v>
      </c>
      <c r="AH95" s="63"/>
      <c r="AI95" s="63"/>
      <c r="AJ95" s="63"/>
      <c r="AK95" s="63"/>
      <c r="AL95" s="127"/>
    </row>
    <row r="96" spans="1:38">
      <c r="A96" s="126"/>
      <c r="B96" s="61"/>
      <c r="C96" s="130">
        <f t="shared" si="8"/>
        <v>-92</v>
      </c>
      <c r="D96" s="63">
        <f t="shared" si="7"/>
        <v>92</v>
      </c>
      <c r="E96" s="63">
        <v>4538</v>
      </c>
      <c r="F96" s="64" t="str">
        <f>IFERROR(VLOOKUP(Table818[[#This Row],[Player No]],Table10[[No]:[Province]],2,0),"")</f>
        <v xml:space="preserve">NGWENZE Hlomla </v>
      </c>
      <c r="G96" s="65" t="str">
        <f>IFERROR(VLOOKUP(Table818[[#This Row],[Player No]],Table10[[No]:[Province]],3,0),"")</f>
        <v>WC</v>
      </c>
      <c r="H96" s="66">
        <v>15</v>
      </c>
      <c r="I96" s="96">
        <v>7.5</v>
      </c>
      <c r="J96" s="110">
        <f>Table818[[#This Row],[Points 2025]]/2+SUM(Table818[[#This Row],[O1  ADMIN 2026]:[P2           WC         CT Open 2026]])</f>
        <v>3.75</v>
      </c>
      <c r="K96" s="106">
        <f t="shared" si="9"/>
        <v>0</v>
      </c>
      <c r="L96" s="106">
        <f t="shared" si="10"/>
        <v>0</v>
      </c>
      <c r="M96" s="106"/>
      <c r="N96" s="106"/>
      <c r="O96" s="106"/>
      <c r="P96" s="106"/>
      <c r="Q96" s="63"/>
      <c r="R96" s="63"/>
      <c r="S96" s="114"/>
      <c r="T96" s="114"/>
      <c r="U96" s="63"/>
      <c r="V96" s="114"/>
      <c r="W96" s="63"/>
      <c r="X96" s="63"/>
      <c r="Y96" s="937"/>
      <c r="Z96" s="63"/>
      <c r="AA96" s="114"/>
      <c r="AB96" s="63"/>
      <c r="AC96" s="63"/>
      <c r="AD96" s="114"/>
      <c r="AE96" s="63"/>
      <c r="AF96" s="63"/>
      <c r="AG96" s="63">
        <v>15</v>
      </c>
      <c r="AH96" s="63"/>
      <c r="AI96" s="63"/>
      <c r="AJ96" s="63"/>
      <c r="AK96" s="63"/>
      <c r="AL96" s="127"/>
    </row>
    <row r="97" spans="1:38">
      <c r="A97" s="135">
        <f>IFERROR(VLOOKUP(Table818[[#This Row],[Player No]],Table10[[#All],[No]:[Age Group]],4,0),"")</f>
        <v>0</v>
      </c>
      <c r="B97" s="129">
        <v>47</v>
      </c>
      <c r="C97" s="130">
        <f t="shared" si="8"/>
        <v>-46</v>
      </c>
      <c r="D97" s="63">
        <f t="shared" si="11"/>
        <v>93</v>
      </c>
      <c r="E97" s="133">
        <v>3549</v>
      </c>
      <c r="F97" s="64" t="str">
        <f>IFERROR(VLOOKUP(Table818[[#This Row],[Player No]],Table10[[No]:[Province]],2,0),"")</f>
        <v>LEEUW Jayden</v>
      </c>
      <c r="G97" s="65" t="str">
        <f>IFERROR(VLOOKUP(Table818[[#This Row],[Player No]],Table10[[No]:[Province]],3,0),"")</f>
        <v>FS</v>
      </c>
      <c r="H97" s="131">
        <v>12.5</v>
      </c>
      <c r="I97" s="132">
        <v>7.25</v>
      </c>
      <c r="J97" s="837">
        <f>Table818[[#This Row],[Points 2025]]/2+SUM(Table818[[#This Row],[O1  ADMIN 2026]:[P2           WC         CT Open 2026]])</f>
        <v>3.625</v>
      </c>
      <c r="K97" s="106">
        <f t="shared" si="9"/>
        <v>0</v>
      </c>
      <c r="L97" s="106">
        <f t="shared" si="10"/>
        <v>0</v>
      </c>
      <c r="M97" s="838"/>
      <c r="N97" s="838"/>
      <c r="O97" s="838"/>
      <c r="P97" s="838"/>
      <c r="Q97" s="133"/>
      <c r="R97" s="133"/>
      <c r="S97" s="189"/>
      <c r="T97" s="189"/>
      <c r="U97" s="133"/>
      <c r="V97" s="189">
        <v>1</v>
      </c>
      <c r="W97" s="133"/>
      <c r="X97" s="189"/>
      <c r="Y97" s="189"/>
      <c r="Z97" s="133"/>
      <c r="AA97" s="189"/>
      <c r="AB97" s="189"/>
      <c r="AC97" s="133"/>
      <c r="AD97" s="189"/>
      <c r="AE97" s="133"/>
      <c r="AF97" s="133"/>
      <c r="AG97" s="133"/>
      <c r="AH97" s="133"/>
      <c r="AI97" s="133"/>
      <c r="AJ97" s="133"/>
      <c r="AK97" s="133"/>
      <c r="AL97" s="134"/>
    </row>
    <row r="98" spans="1:38">
      <c r="A98" s="135">
        <f>IFERROR(VLOOKUP(Table818[[#This Row],[Player No]],Table10[[#All],[No]:[Age Group]],4,0),"")</f>
        <v>0</v>
      </c>
      <c r="B98" s="129">
        <v>51</v>
      </c>
      <c r="C98" s="130">
        <f t="shared" si="8"/>
        <v>-43</v>
      </c>
      <c r="D98" s="63">
        <f t="shared" si="7"/>
        <v>94</v>
      </c>
      <c r="E98" s="133">
        <v>3924</v>
      </c>
      <c r="F98" s="64" t="str">
        <f>IFERROR(VLOOKUP(Table818[[#This Row],[Player No]],Table10[[No]:[Province]],2,0),"")</f>
        <v>SHAIK Haneef</v>
      </c>
      <c r="G98" s="65" t="str">
        <f>IFERROR(VLOOKUP(Table818[[#This Row],[Player No]],Table10[[No]:[Province]],3,0),"")</f>
        <v>JTTA</v>
      </c>
      <c r="H98" s="131">
        <v>14.5</v>
      </c>
      <c r="I98" s="132">
        <v>7.25</v>
      </c>
      <c r="J98" s="837">
        <f>Table818[[#This Row],[Points 2025]]/2+SUM(Table818[[#This Row],[O1  ADMIN 2026]:[P2           WC         CT Open 2026]])</f>
        <v>3.625</v>
      </c>
      <c r="K98" s="106">
        <f t="shared" si="9"/>
        <v>0</v>
      </c>
      <c r="L98" s="106">
        <f t="shared" si="10"/>
        <v>0</v>
      </c>
      <c r="M98" s="838"/>
      <c r="N98" s="838"/>
      <c r="O98" s="838"/>
      <c r="P98" s="838"/>
      <c r="Q98" s="133"/>
      <c r="R98" s="133"/>
      <c r="S98" s="189"/>
      <c r="T98" s="189"/>
      <c r="U98" s="133"/>
      <c r="V98" s="189"/>
      <c r="W98" s="133"/>
      <c r="X98" s="189"/>
      <c r="Y98" s="189"/>
      <c r="Z98" s="133"/>
      <c r="AA98" s="189"/>
      <c r="AB98" s="189"/>
      <c r="AC98" s="133"/>
      <c r="AD98" s="189"/>
      <c r="AE98" s="133"/>
      <c r="AF98" s="133"/>
      <c r="AG98" s="133"/>
      <c r="AH98" s="133"/>
      <c r="AI98" s="133"/>
      <c r="AJ98" s="133">
        <f>25/2</f>
        <v>12.5</v>
      </c>
      <c r="AK98" s="133">
        <v>2</v>
      </c>
      <c r="AL98" s="134"/>
    </row>
    <row r="99" spans="1:38">
      <c r="A99" s="128"/>
      <c r="B99" s="129"/>
      <c r="C99" s="130">
        <f t="shared" si="8"/>
        <v>-95</v>
      </c>
      <c r="D99" s="63">
        <f t="shared" si="11"/>
        <v>95</v>
      </c>
      <c r="E99" s="645">
        <v>4373</v>
      </c>
      <c r="F99" s="64" t="str">
        <f>IFERROR(VLOOKUP(Table818[[#This Row],[Player No]],Table10[[No]:[Province]],2,0),"")</f>
        <v>SINGH Amerish</v>
      </c>
      <c r="G99" s="65" t="str">
        <f>IFERROR(VLOOKUP(Table818[[#This Row],[Player No]],Table10[[No]:[Province]],3,0),"")</f>
        <v>ETTA</v>
      </c>
      <c r="H99" s="131">
        <v>0</v>
      </c>
      <c r="I99" s="132">
        <v>7</v>
      </c>
      <c r="J99" s="837">
        <f>Table818[[#This Row],[Points 2025]]/2+SUM(Table818[[#This Row],[O1  ADMIN 2026]:[P2           WC         CT Open 2026]])</f>
        <v>3.5</v>
      </c>
      <c r="K99" s="106">
        <f t="shared" si="9"/>
        <v>0</v>
      </c>
      <c r="L99" s="106">
        <f t="shared" si="10"/>
        <v>0</v>
      </c>
      <c r="M99" s="838"/>
      <c r="N99" s="838"/>
      <c r="O99" s="838"/>
      <c r="P99" s="838"/>
      <c r="Q99" s="133"/>
      <c r="R99" s="133"/>
      <c r="S99" s="189">
        <v>1</v>
      </c>
      <c r="T99" s="189">
        <v>1</v>
      </c>
      <c r="U99" s="133"/>
      <c r="V99" s="189"/>
      <c r="W99" s="133"/>
      <c r="X99" s="189"/>
      <c r="Y99" s="189"/>
      <c r="Z99" s="133"/>
      <c r="AA99" s="189">
        <v>5</v>
      </c>
      <c r="AB99" s="189"/>
      <c r="AC99" s="133"/>
      <c r="AD99" s="189"/>
      <c r="AE99" s="133"/>
      <c r="AF99" s="133"/>
      <c r="AG99" s="133"/>
      <c r="AH99" s="133"/>
      <c r="AI99" s="133"/>
      <c r="AJ99" s="133"/>
      <c r="AK99" s="133"/>
      <c r="AL99" s="134"/>
    </row>
    <row r="100" spans="1:38">
      <c r="A100" s="128"/>
      <c r="B100" s="129"/>
      <c r="C100" s="130">
        <f t="shared" ref="C100:C131" si="12">+B100-D100</f>
        <v>-96</v>
      </c>
      <c r="D100" s="63">
        <f t="shared" si="7"/>
        <v>96</v>
      </c>
      <c r="E100" s="645">
        <v>4594</v>
      </c>
      <c r="F100" s="64" t="str">
        <f>IFERROR(VLOOKUP(Table818[[#This Row],[Player No]],Table10[[No]:[Province]],2,0),"")</f>
        <v xml:space="preserve">MACHI Bongisipho </v>
      </c>
      <c r="G100" s="65" t="str">
        <f>IFERROR(VLOOKUP(Table818[[#This Row],[Player No]],Table10[[No]:[Province]],3,0),"")</f>
        <v>ETTA</v>
      </c>
      <c r="H100" s="131">
        <v>0</v>
      </c>
      <c r="I100" s="132">
        <v>7</v>
      </c>
      <c r="J100" s="837">
        <f>Table818[[#This Row],[Points 2025]]/2+SUM(Table818[[#This Row],[O1  ADMIN 2026]:[P2           WC         CT Open 2026]])</f>
        <v>3.5</v>
      </c>
      <c r="K100" s="106">
        <f t="shared" ref="K100:K131" si="13">COUNTIF(M100:P100,"&gt;0")</f>
        <v>0</v>
      </c>
      <c r="L100" s="106">
        <f t="shared" ref="L100:L131" si="14">COUNTIF(N100:AL100,"&lt;0")</f>
        <v>0</v>
      </c>
      <c r="M100" s="838"/>
      <c r="N100" s="838"/>
      <c r="O100" s="838"/>
      <c r="P100" s="838"/>
      <c r="Q100" s="133"/>
      <c r="R100" s="133"/>
      <c r="S100" s="189">
        <v>1</v>
      </c>
      <c r="T100" s="189">
        <v>1</v>
      </c>
      <c r="U100" s="133"/>
      <c r="V100" s="189"/>
      <c r="W100" s="133"/>
      <c r="X100" s="189"/>
      <c r="Y100" s="189"/>
      <c r="Z100" s="133"/>
      <c r="AA100" s="189">
        <v>5</v>
      </c>
      <c r="AB100" s="189"/>
      <c r="AC100" s="133"/>
      <c r="AD100" s="189"/>
      <c r="AE100" s="133"/>
      <c r="AF100" s="133"/>
      <c r="AG100" s="133"/>
      <c r="AH100" s="133"/>
      <c r="AI100" s="133"/>
      <c r="AJ100" s="133"/>
      <c r="AK100" s="133"/>
      <c r="AL100" s="134"/>
    </row>
    <row r="101" spans="1:38">
      <c r="A101" s="135">
        <f>IFERROR(VLOOKUP(Table818[[#This Row],[Player No]],Table10[[#All],[No]:[Age Group]],4,0),"")</f>
        <v>0</v>
      </c>
      <c r="B101" s="190">
        <v>42</v>
      </c>
      <c r="C101" s="191">
        <f t="shared" si="12"/>
        <v>-55</v>
      </c>
      <c r="D101" s="63">
        <f t="shared" si="11"/>
        <v>97</v>
      </c>
      <c r="E101" s="189">
        <v>3446</v>
      </c>
      <c r="F101" s="64" t="str">
        <f>IFERROR(VLOOKUP(Table818[[#This Row],[Player No]],Table10[[No]:[Province]],2,0),"")</f>
        <v>MTHABISA Lithabile</v>
      </c>
      <c r="G101" s="65" t="str">
        <f>IFERROR(VLOOKUP(Table818[[#This Row],[Player No]],Table10[[No]:[Province]],3,0),"")</f>
        <v>EC</v>
      </c>
      <c r="H101" s="192">
        <v>12.5</v>
      </c>
      <c r="I101" s="193">
        <v>6.25</v>
      </c>
      <c r="J101" s="837">
        <f>Table818[[#This Row],[Points 2025]]/2+SUM(Table818[[#This Row],[O1  ADMIN 2026]:[P2           WC         CT Open 2026]])</f>
        <v>3.125</v>
      </c>
      <c r="K101" s="106">
        <f t="shared" si="13"/>
        <v>0</v>
      </c>
      <c r="L101" s="106">
        <f t="shared" si="14"/>
        <v>0</v>
      </c>
      <c r="M101" s="838"/>
      <c r="N101" s="838"/>
      <c r="O101" s="838"/>
      <c r="P101" s="838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34"/>
    </row>
    <row r="102" spans="1:38">
      <c r="A102" s="135">
        <f>IFERROR(VLOOKUP(Table818[[#This Row],[Player No]],Table10[[#All],[No]:[Age Group]],4,0),"")</f>
        <v>0</v>
      </c>
      <c r="B102" s="190">
        <v>45</v>
      </c>
      <c r="C102" s="191">
        <f t="shared" si="12"/>
        <v>-53</v>
      </c>
      <c r="D102" s="63">
        <f t="shared" si="7"/>
        <v>98</v>
      </c>
      <c r="E102" s="189">
        <v>3570</v>
      </c>
      <c r="F102" s="64" t="str">
        <f>IFERROR(VLOOKUP(Table818[[#This Row],[Player No]],Table10[[No]:[Province]],2,0),"")</f>
        <v>MOKOLOKO Amogelang</v>
      </c>
      <c r="G102" s="65" t="str">
        <f>IFERROR(VLOOKUP(Table818[[#This Row],[Player No]],Table10[[No]:[Province]],3,0),"")</f>
        <v>FS</v>
      </c>
      <c r="H102" s="192">
        <v>12.5</v>
      </c>
      <c r="I102" s="193">
        <v>6.25</v>
      </c>
      <c r="J102" s="837">
        <f>Table818[[#This Row],[Points 2025]]/2+SUM(Table818[[#This Row],[O1  ADMIN 2026]:[P2           WC         CT Open 2026]])</f>
        <v>3.125</v>
      </c>
      <c r="K102" s="106">
        <f t="shared" si="13"/>
        <v>0</v>
      </c>
      <c r="L102" s="106">
        <f t="shared" si="14"/>
        <v>0</v>
      </c>
      <c r="M102" s="838"/>
      <c r="N102" s="838"/>
      <c r="O102" s="838"/>
      <c r="P102" s="838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34"/>
    </row>
    <row r="103" spans="1:38">
      <c r="A103" s="135">
        <f>IFERROR(VLOOKUP(Table818[[#This Row],[Player No]],Table10[[#All],[No]:[Age Group]],4,0),"")</f>
        <v>0</v>
      </c>
      <c r="B103" s="190">
        <v>46</v>
      </c>
      <c r="C103" s="191">
        <f t="shared" si="12"/>
        <v>-53</v>
      </c>
      <c r="D103" s="63">
        <f t="shared" si="11"/>
        <v>99</v>
      </c>
      <c r="E103" s="189">
        <v>3571</v>
      </c>
      <c r="F103" s="64" t="str">
        <f>IFERROR(VLOOKUP(Table818[[#This Row],[Player No]],Table10[[No]:[Province]],2,0),"")</f>
        <v>MOSESE Luvuyo</v>
      </c>
      <c r="G103" s="65" t="str">
        <f>IFERROR(VLOOKUP(Table818[[#This Row],[Player No]],Table10[[No]:[Province]],3,0),"")</f>
        <v>FS</v>
      </c>
      <c r="H103" s="192">
        <v>12.5</v>
      </c>
      <c r="I103" s="193">
        <v>6.25</v>
      </c>
      <c r="J103" s="837">
        <f>Table818[[#This Row],[Points 2025]]/2+SUM(Table818[[#This Row],[O1  ADMIN 2026]:[P2           WC         CT Open 2026]])</f>
        <v>3.125</v>
      </c>
      <c r="K103" s="106">
        <f t="shared" si="13"/>
        <v>0</v>
      </c>
      <c r="L103" s="106">
        <f t="shared" si="14"/>
        <v>0</v>
      </c>
      <c r="M103" s="838"/>
      <c r="N103" s="838"/>
      <c r="O103" s="838"/>
      <c r="P103" s="838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34"/>
    </row>
    <row r="104" spans="1:38" ht="15" customHeight="1">
      <c r="A104" s="135">
        <f>IFERROR(VLOOKUP(Table818[[#This Row],[Player No]],Table10[[#All],[No]:[Age Group]],4,0),"")</f>
        <v>0</v>
      </c>
      <c r="B104" s="190">
        <v>48</v>
      </c>
      <c r="C104" s="191">
        <f t="shared" si="12"/>
        <v>-52</v>
      </c>
      <c r="D104" s="63">
        <f t="shared" si="7"/>
        <v>100</v>
      </c>
      <c r="E104" s="189">
        <v>3757</v>
      </c>
      <c r="F104" s="64" t="str">
        <f>IFERROR(VLOOKUP(Table818[[#This Row],[Player No]],Table10[[No]:[Province]],2,0),"")</f>
        <v>KHOPE Soyama</v>
      </c>
      <c r="G104" s="65" t="str">
        <f>IFERROR(VLOOKUP(Table818[[#This Row],[Player No]],Table10[[No]:[Province]],3,0),"")</f>
        <v>WC</v>
      </c>
      <c r="H104" s="192">
        <v>12.5</v>
      </c>
      <c r="I104" s="124">
        <v>6.25</v>
      </c>
      <c r="J104" s="110">
        <f>Table818[[#This Row],[Points 2025]]/2+SUM(Table818[[#This Row],[O1  ADMIN 2026]:[P2           WC         CT Open 2026]])</f>
        <v>3.125</v>
      </c>
      <c r="K104" s="106">
        <f t="shared" si="13"/>
        <v>0</v>
      </c>
      <c r="L104" s="106">
        <f t="shared" si="14"/>
        <v>0</v>
      </c>
      <c r="M104" s="838"/>
      <c r="N104" s="838"/>
      <c r="O104" s="838"/>
      <c r="P104" s="838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34"/>
    </row>
    <row r="105" spans="1:38" ht="15.75" customHeight="1">
      <c r="A105" s="136">
        <f>IFERROR(VLOOKUP(Table818[[#This Row],[Player No]],Table10[[#All],[No]:[Age Group]],4,0),"")</f>
        <v>0</v>
      </c>
      <c r="B105" s="113">
        <v>52</v>
      </c>
      <c r="C105" s="150">
        <f t="shared" si="12"/>
        <v>-49</v>
      </c>
      <c r="D105" s="63">
        <f t="shared" si="11"/>
        <v>101</v>
      </c>
      <c r="E105" s="114">
        <v>3925</v>
      </c>
      <c r="F105" s="64" t="str">
        <f>IFERROR(VLOOKUP(Table818[[#This Row],[Player No]],Table10[[No]:[Province]],2,0),"")</f>
        <v>VAN DER MEULEN Max</v>
      </c>
      <c r="G105" s="65" t="str">
        <f>IFERROR(VLOOKUP(Table818[[#This Row],[Player No]],Table10[[No]:[Province]],3,0),"")</f>
        <v>JTTA</v>
      </c>
      <c r="H105" s="116">
        <v>12.5</v>
      </c>
      <c r="I105" s="124">
        <v>6.25</v>
      </c>
      <c r="J105" s="789">
        <f>Table818[[#This Row],[Points 2025]]/2+SUM(Table818[[#This Row],[O1  ADMIN 2026]:[P2           WC         CT Open 2026]])</f>
        <v>3.125</v>
      </c>
      <c r="K105" s="106">
        <f t="shared" si="13"/>
        <v>0</v>
      </c>
      <c r="L105" s="106">
        <f t="shared" si="14"/>
        <v>0</v>
      </c>
      <c r="M105" s="106"/>
      <c r="N105" s="708"/>
      <c r="O105" s="708"/>
      <c r="P105" s="708"/>
      <c r="Q105" s="114"/>
      <c r="R105" s="189"/>
      <c r="S105" s="189"/>
      <c r="T105" s="189"/>
      <c r="U105" s="114"/>
      <c r="V105" s="189"/>
      <c r="W105" s="189"/>
      <c r="X105" s="189"/>
      <c r="Y105" s="189"/>
      <c r="Z105" s="114"/>
      <c r="AA105" s="189"/>
      <c r="AB105" s="189" t="s">
        <v>5765</v>
      </c>
      <c r="AC105" s="189"/>
      <c r="AD105" s="189"/>
      <c r="AE105" s="114"/>
      <c r="AF105" s="114"/>
      <c r="AG105" s="114"/>
      <c r="AH105" s="114"/>
      <c r="AI105" s="114"/>
      <c r="AJ105" s="114">
        <f>25/2</f>
        <v>12.5</v>
      </c>
      <c r="AK105" s="114"/>
      <c r="AL105" s="127"/>
    </row>
    <row r="106" spans="1:38">
      <c r="A106" s="126"/>
      <c r="B106" s="113"/>
      <c r="C106" s="150">
        <f t="shared" si="12"/>
        <v>-102</v>
      </c>
      <c r="D106" s="63">
        <f t="shared" si="11"/>
        <v>102</v>
      </c>
      <c r="E106" s="114">
        <v>4694</v>
      </c>
      <c r="F106" s="64" t="str">
        <f>IFERROR(VLOOKUP(Table818[[#This Row],[Player No]],Table10[[No]:[Province]],2,0),"")</f>
        <v>LEKWENE One</v>
      </c>
      <c r="G106" s="65" t="str">
        <f>IFERROR(VLOOKUP(Table818[[#This Row],[Player No]],Table10[[No]:[Province]],3,0),"")</f>
        <v>DRRSMTTA</v>
      </c>
      <c r="H106" s="116">
        <v>0</v>
      </c>
      <c r="I106" s="124">
        <v>5</v>
      </c>
      <c r="J106" s="789">
        <f>Table818[[#This Row],[Points 2025]]/2+SUM(Table818[[#This Row],[O1  ADMIN 2026]:[P2           WC         CT Open 2026]])</f>
        <v>2.5</v>
      </c>
      <c r="K106" s="106">
        <f t="shared" si="13"/>
        <v>0</v>
      </c>
      <c r="L106" s="106">
        <f t="shared" si="14"/>
        <v>0</v>
      </c>
      <c r="M106" s="106"/>
      <c r="N106" s="708"/>
      <c r="O106" s="708"/>
      <c r="P106" s="708"/>
      <c r="Q106" s="114"/>
      <c r="R106" s="189"/>
      <c r="S106" s="189"/>
      <c r="T106" s="189"/>
      <c r="U106" s="114"/>
      <c r="V106" s="189"/>
      <c r="W106" s="189"/>
      <c r="X106" s="189"/>
      <c r="Y106" s="189"/>
      <c r="Z106" s="114"/>
      <c r="AA106" s="189">
        <v>5</v>
      </c>
      <c r="AB106" s="189"/>
      <c r="AC106" s="189"/>
      <c r="AD106" s="189"/>
      <c r="AE106" s="114"/>
      <c r="AF106" s="114"/>
      <c r="AG106" s="114"/>
      <c r="AH106" s="114"/>
      <c r="AI106" s="114"/>
      <c r="AJ106" s="114"/>
      <c r="AK106" s="114"/>
      <c r="AL106" s="127"/>
    </row>
    <row r="107" spans="1:38" ht="15.75" customHeight="1">
      <c r="A107" s="126"/>
      <c r="B107" s="113"/>
      <c r="C107" s="150">
        <f t="shared" si="12"/>
        <v>-103</v>
      </c>
      <c r="D107" s="63">
        <f t="shared" si="11"/>
        <v>103</v>
      </c>
      <c r="E107" s="114">
        <v>4695</v>
      </c>
      <c r="F107" s="64" t="str">
        <f>IFERROR(VLOOKUP(Table818[[#This Row],[Player No]],Table10[[No]:[Province]],2,0),"")</f>
        <v>MOABI Oageng</v>
      </c>
      <c r="G107" s="65" t="str">
        <f>IFERROR(VLOOKUP(Table818[[#This Row],[Player No]],Table10[[No]:[Province]],3,0),"")</f>
        <v>DRRSMTTA</v>
      </c>
      <c r="H107" s="116">
        <v>0</v>
      </c>
      <c r="I107" s="124">
        <v>5</v>
      </c>
      <c r="J107" s="789">
        <f>Table818[[#This Row],[Points 2025]]/2+SUM(Table818[[#This Row],[O1  ADMIN 2026]:[P2           WC         CT Open 2026]])</f>
        <v>2.5</v>
      </c>
      <c r="K107" s="106">
        <f t="shared" si="13"/>
        <v>0</v>
      </c>
      <c r="L107" s="106">
        <f t="shared" si="14"/>
        <v>0</v>
      </c>
      <c r="M107" s="106"/>
      <c r="N107" s="708"/>
      <c r="O107" s="708"/>
      <c r="P107" s="708"/>
      <c r="Q107" s="114"/>
      <c r="R107" s="189"/>
      <c r="S107" s="189"/>
      <c r="T107" s="189"/>
      <c r="U107" s="114"/>
      <c r="V107" s="189"/>
      <c r="W107" s="189"/>
      <c r="X107" s="189"/>
      <c r="Y107" s="189"/>
      <c r="Z107" s="114"/>
      <c r="AA107" s="189">
        <v>5</v>
      </c>
      <c r="AB107" s="189"/>
      <c r="AC107" s="189"/>
      <c r="AD107" s="189"/>
      <c r="AE107" s="114"/>
      <c r="AF107" s="114"/>
      <c r="AG107" s="114"/>
      <c r="AH107" s="114"/>
      <c r="AI107" s="114"/>
      <c r="AJ107" s="114"/>
      <c r="AK107" s="114"/>
      <c r="AL107" s="127"/>
    </row>
    <row r="108" spans="1:38">
      <c r="A108" s="136">
        <f>IFERROR(VLOOKUP(Table818[[#This Row],[Player No]],Table10[[#All],[No]:[Age Group]],4,0),"")</f>
        <v>0</v>
      </c>
      <c r="B108" s="113">
        <v>59</v>
      </c>
      <c r="C108" s="150">
        <f t="shared" si="12"/>
        <v>-45</v>
      </c>
      <c r="D108" s="63">
        <f t="shared" si="11"/>
        <v>104</v>
      </c>
      <c r="E108" s="114">
        <v>3421</v>
      </c>
      <c r="F108" s="64" t="str">
        <f>IFERROR(VLOOKUP(Table818[[#This Row],[Player No]],Table10[[No]:[Province]],2,0),"")</f>
        <v>ONKARABETSE Sam</v>
      </c>
      <c r="G108" s="65" t="str">
        <f>IFERROR(VLOOKUP(Table818[[#This Row],[Player No]],Table10[[No]:[Province]],3,0),"")</f>
        <v>NWP</v>
      </c>
      <c r="H108" s="116">
        <v>6.25</v>
      </c>
      <c r="I108" s="124">
        <v>3.125</v>
      </c>
      <c r="J108" s="789">
        <f>Table818[[#This Row],[Points 2025]]/2+SUM(Table818[[#This Row],[O1  ADMIN 2026]:[P2           WC         CT Open 2026]])</f>
        <v>1.5625</v>
      </c>
      <c r="K108" s="106">
        <f t="shared" si="13"/>
        <v>0</v>
      </c>
      <c r="L108" s="106">
        <f t="shared" si="14"/>
        <v>0</v>
      </c>
      <c r="M108" s="106"/>
      <c r="N108" s="708"/>
      <c r="O108" s="708"/>
      <c r="P108" s="708"/>
      <c r="Q108" s="114"/>
      <c r="R108" s="114"/>
      <c r="S108" s="114"/>
      <c r="T108" s="114"/>
      <c r="U108" s="114"/>
      <c r="V108" s="114"/>
      <c r="W108" s="114"/>
      <c r="X108" s="189"/>
      <c r="Y108" s="189"/>
      <c r="Z108" s="114"/>
      <c r="AA108" s="189"/>
      <c r="AB108" s="189"/>
      <c r="AC108" s="189"/>
      <c r="AD108" s="189"/>
      <c r="AE108" s="114"/>
      <c r="AF108" s="114"/>
      <c r="AG108" s="114"/>
      <c r="AH108" s="114"/>
      <c r="AI108" s="114"/>
      <c r="AJ108" s="114"/>
      <c r="AK108" s="114"/>
      <c r="AL108" s="127"/>
    </row>
    <row r="109" spans="1:38">
      <c r="A109" s="136">
        <f>IFERROR(VLOOKUP(Table818[[#This Row],[Player No]],Table10[[#All],[No]:[Age Group]],4,0),"")</f>
        <v>0</v>
      </c>
      <c r="B109" s="113">
        <v>60</v>
      </c>
      <c r="C109" s="150">
        <f t="shared" si="12"/>
        <v>-45</v>
      </c>
      <c r="D109" s="63">
        <f t="shared" si="11"/>
        <v>105</v>
      </c>
      <c r="E109" s="114">
        <v>3426</v>
      </c>
      <c r="F109" s="64" t="str">
        <f>IFERROR(VLOOKUP(Table818[[#This Row],[Player No]],Table10[[No]:[Province]],2,0),"")</f>
        <v xml:space="preserve">Kholomanyane Keamogetswe </v>
      </c>
      <c r="G109" s="65" t="str">
        <f>IFERROR(VLOOKUP(Table818[[#This Row],[Player No]],Table10[[No]:[Province]],3,0),"")</f>
        <v>NWP</v>
      </c>
      <c r="H109" s="116">
        <v>6.25</v>
      </c>
      <c r="I109" s="124">
        <v>3.125</v>
      </c>
      <c r="J109" s="789">
        <f>Table818[[#This Row],[Points 2025]]/2+SUM(Table818[[#This Row],[O1  ADMIN 2026]:[P2           WC         CT Open 2026]])</f>
        <v>1.5625</v>
      </c>
      <c r="K109" s="106">
        <f t="shared" si="13"/>
        <v>0</v>
      </c>
      <c r="L109" s="106">
        <f t="shared" si="14"/>
        <v>0</v>
      </c>
      <c r="M109" s="106"/>
      <c r="N109" s="708"/>
      <c r="O109" s="708"/>
      <c r="P109" s="708"/>
      <c r="Q109" s="114"/>
      <c r="R109" s="114"/>
      <c r="S109" s="114"/>
      <c r="T109" s="114"/>
      <c r="U109" s="114"/>
      <c r="V109" s="114"/>
      <c r="W109" s="114"/>
      <c r="X109" s="189"/>
      <c r="Y109" s="189"/>
      <c r="Z109" s="114"/>
      <c r="AA109" s="189"/>
      <c r="AB109" s="189"/>
      <c r="AC109" s="189"/>
      <c r="AD109" s="189"/>
      <c r="AE109" s="114"/>
      <c r="AF109" s="114"/>
      <c r="AG109" s="114"/>
      <c r="AH109" s="114"/>
      <c r="AI109" s="114"/>
      <c r="AJ109" s="114"/>
      <c r="AK109" s="114"/>
      <c r="AL109" s="127"/>
    </row>
    <row r="110" spans="1:38">
      <c r="A110" s="135">
        <f>IFERROR(VLOOKUP(Table818[[#This Row],[Player No]],Table10[[#All],[No]:[Age Group]],4,0),"")</f>
        <v>0</v>
      </c>
      <c r="B110" s="190">
        <v>57</v>
      </c>
      <c r="C110" s="191">
        <f t="shared" si="12"/>
        <v>-49</v>
      </c>
      <c r="D110" s="63">
        <f t="shared" si="11"/>
        <v>106</v>
      </c>
      <c r="E110" s="189">
        <v>3429</v>
      </c>
      <c r="F110" s="64" t="str">
        <f>IFERROR(VLOOKUP(Table818[[#This Row],[Player No]],Table10[[No]:[Province]],2,0),"")</f>
        <v>MANANA Siphelele</v>
      </c>
      <c r="G110" s="65" t="str">
        <f>IFERROR(VLOOKUP(Table818[[#This Row],[Player No]],Table10[[No]:[Province]],3,0),"")</f>
        <v>UTH</v>
      </c>
      <c r="H110" s="192">
        <v>6.25</v>
      </c>
      <c r="I110" s="193">
        <v>3.125</v>
      </c>
      <c r="J110" s="661">
        <f>Table818[[#This Row],[Points 2025]]/2+SUM(Table818[[#This Row],[O1  ADMIN 2026]:[P2           WC         CT Open 2026]])</f>
        <v>1.5625</v>
      </c>
      <c r="K110" s="106">
        <f t="shared" si="13"/>
        <v>0</v>
      </c>
      <c r="L110" s="106">
        <f t="shared" si="14"/>
        <v>0</v>
      </c>
      <c r="M110" s="838"/>
      <c r="N110" s="442"/>
      <c r="O110" s="442"/>
      <c r="P110" s="442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34"/>
    </row>
    <row r="111" spans="1:38">
      <c r="A111" s="136">
        <f>IFERROR(VLOOKUP(Table818[[#This Row],[Player No]],Table10[[#All],[No]:[Age Group]],4,0),"")</f>
        <v>0</v>
      </c>
      <c r="B111" s="113">
        <v>55</v>
      </c>
      <c r="C111" s="150">
        <f t="shared" si="12"/>
        <v>-52</v>
      </c>
      <c r="D111" s="63">
        <f t="shared" si="11"/>
        <v>107</v>
      </c>
      <c r="E111" s="114">
        <v>3462</v>
      </c>
      <c r="F111" s="64" t="str">
        <f>IFERROR(VLOOKUP(Table818[[#This Row],[Player No]],Table10[[No]:[Province]],2,0),"")</f>
        <v>DIKGALE Mpho</v>
      </c>
      <c r="G111" s="65" t="str">
        <f>IFERROR(VLOOKUP(Table818[[#This Row],[Player No]],Table10[[No]:[Province]],3,0),"")</f>
        <v>LIM</v>
      </c>
      <c r="H111" s="116">
        <v>6.25</v>
      </c>
      <c r="I111" s="124">
        <v>3.125</v>
      </c>
      <c r="J111" s="789">
        <f>Table818[[#This Row],[Points 2025]]/2+SUM(Table818[[#This Row],[O1  ADMIN 2026]:[P2           WC         CT Open 2026]])</f>
        <v>1.5625</v>
      </c>
      <c r="K111" s="106">
        <f t="shared" si="13"/>
        <v>0</v>
      </c>
      <c r="L111" s="106">
        <f t="shared" si="14"/>
        <v>0</v>
      </c>
      <c r="M111" s="106"/>
      <c r="N111" s="708"/>
      <c r="O111" s="708"/>
      <c r="P111" s="708"/>
      <c r="Q111" s="114"/>
      <c r="R111" s="114"/>
      <c r="S111" s="114"/>
      <c r="T111" s="114"/>
      <c r="U111" s="114"/>
      <c r="V111" s="114"/>
      <c r="W111" s="114"/>
      <c r="X111" s="189"/>
      <c r="Y111" s="189"/>
      <c r="Z111" s="114"/>
      <c r="AA111" s="189"/>
      <c r="AB111" s="189"/>
      <c r="AC111" s="189"/>
      <c r="AD111" s="189"/>
      <c r="AE111" s="114"/>
      <c r="AF111" s="114"/>
      <c r="AG111" s="114"/>
      <c r="AH111" s="114"/>
      <c r="AI111" s="114"/>
      <c r="AJ111" s="114"/>
      <c r="AK111" s="114"/>
      <c r="AL111" s="127"/>
    </row>
    <row r="112" spans="1:38">
      <c r="A112" s="136">
        <f>IFERROR(VLOOKUP(Table818[[#This Row],[Player No]],Table10[[#All],[No]:[Age Group]],4,0),"")</f>
        <v>0</v>
      </c>
      <c r="B112" s="113">
        <v>62</v>
      </c>
      <c r="C112" s="150">
        <f t="shared" si="12"/>
        <v>-46</v>
      </c>
      <c r="D112" s="63">
        <f t="shared" si="11"/>
        <v>108</v>
      </c>
      <c r="E112" s="114">
        <v>3465</v>
      </c>
      <c r="F112" s="64" t="str">
        <f>IFERROR(VLOOKUP(Table818[[#This Row],[Player No]],Table10[[No]:[Province]],2,0),"")</f>
        <v>TEMA Tebogo David</v>
      </c>
      <c r="G112" s="65" t="str">
        <f>IFERROR(VLOOKUP(Table818[[#This Row],[Player No]],Table10[[No]:[Province]],3,0),"")</f>
        <v>LIM</v>
      </c>
      <c r="H112" s="116">
        <v>6.25</v>
      </c>
      <c r="I112" s="124">
        <v>3.125</v>
      </c>
      <c r="J112" s="789">
        <f>Table818[[#This Row],[Points 2025]]/2+SUM(Table818[[#This Row],[O1  ADMIN 2026]:[P2           WC         CT Open 2026]])</f>
        <v>1.5625</v>
      </c>
      <c r="K112" s="106">
        <f t="shared" si="13"/>
        <v>0</v>
      </c>
      <c r="L112" s="106">
        <f t="shared" si="14"/>
        <v>0</v>
      </c>
      <c r="M112" s="106"/>
      <c r="N112" s="708"/>
      <c r="O112" s="708"/>
      <c r="P112" s="708"/>
      <c r="Q112" s="114"/>
      <c r="R112" s="114"/>
      <c r="S112" s="114"/>
      <c r="T112" s="114"/>
      <c r="U112" s="114"/>
      <c r="V112" s="114"/>
      <c r="W112" s="114"/>
      <c r="X112" s="189"/>
      <c r="Y112" s="189"/>
      <c r="Z112" s="114"/>
      <c r="AA112" s="189"/>
      <c r="AB112" s="189"/>
      <c r="AC112" s="189"/>
      <c r="AD112" s="189"/>
      <c r="AE112" s="114"/>
      <c r="AF112" s="114"/>
      <c r="AG112" s="114"/>
      <c r="AH112" s="114"/>
      <c r="AI112" s="114"/>
      <c r="AJ112" s="114"/>
      <c r="AK112" s="114"/>
      <c r="AL112" s="127"/>
    </row>
    <row r="113" spans="1:38">
      <c r="A113" s="135">
        <f>IFERROR(VLOOKUP(Table818[[#This Row],[Player No]],Table10[[#All],[No]:[Age Group]],4,0),"")</f>
        <v>0</v>
      </c>
      <c r="B113" s="190"/>
      <c r="C113" s="191">
        <f t="shared" si="12"/>
        <v>-109</v>
      </c>
      <c r="D113" s="63">
        <f t="shared" si="11"/>
        <v>109</v>
      </c>
      <c r="E113" s="189">
        <v>3894</v>
      </c>
      <c r="F113" s="64" t="str">
        <f>IFERROR(VLOOKUP(Table818[[#This Row],[Player No]],Table10[[No]:[Province]],2,0),"")</f>
        <v>KEAGILE Ofentse</v>
      </c>
      <c r="G113" s="65" t="str">
        <f>IFERROR(VLOOKUP(Table818[[#This Row],[Player No]],Table10[[No]:[Province]],3,0),"")</f>
        <v>NWP</v>
      </c>
      <c r="H113" s="192">
        <v>5</v>
      </c>
      <c r="I113" s="193">
        <v>2.5</v>
      </c>
      <c r="J113" s="661">
        <f>Table818[[#This Row],[Points 2025]]/2+SUM(Table818[[#This Row],[O1  ADMIN 2026]:[P2           WC         CT Open 2026]])</f>
        <v>1.25</v>
      </c>
      <c r="K113" s="106">
        <f t="shared" si="13"/>
        <v>0</v>
      </c>
      <c r="L113" s="106">
        <f t="shared" si="14"/>
        <v>0</v>
      </c>
      <c r="M113" s="838"/>
      <c r="N113" s="442"/>
      <c r="O113" s="442"/>
      <c r="P113" s="442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>
        <v>5</v>
      </c>
      <c r="AJ113" s="189"/>
      <c r="AK113" s="189"/>
      <c r="AL113" s="134"/>
    </row>
    <row r="114" spans="1:38">
      <c r="A114" s="136"/>
      <c r="B114" s="113"/>
      <c r="C114" s="150">
        <f t="shared" si="12"/>
        <v>-110</v>
      </c>
      <c r="D114" s="63">
        <f t="shared" si="11"/>
        <v>110</v>
      </c>
      <c r="E114" s="114">
        <v>3964</v>
      </c>
      <c r="F114" s="64" t="str">
        <f>IFERROR(VLOOKUP(Table818[[#This Row],[Player No]],Table10[[No]:[Province]],2,0),"")</f>
        <v>MPEHLE Imanathi</v>
      </c>
      <c r="G114" s="65" t="str">
        <f>IFERROR(VLOOKUP(Table818[[#This Row],[Player No]],Table10[[No]:[Province]],3,0),"")</f>
        <v>EKU</v>
      </c>
      <c r="H114" s="116">
        <v>5</v>
      </c>
      <c r="I114" s="124">
        <v>2.5</v>
      </c>
      <c r="J114" s="789">
        <f>Table818[[#This Row],[Points 2025]]/2+SUM(Table818[[#This Row],[O1  ADMIN 2026]:[P2           WC         CT Open 2026]])</f>
        <v>1.25</v>
      </c>
      <c r="K114" s="106">
        <f t="shared" si="13"/>
        <v>0</v>
      </c>
      <c r="L114" s="106">
        <f t="shared" si="14"/>
        <v>0</v>
      </c>
      <c r="M114" s="106"/>
      <c r="N114" s="708"/>
      <c r="O114" s="708"/>
      <c r="P114" s="708"/>
      <c r="Q114" s="114"/>
      <c r="R114" s="114"/>
      <c r="S114" s="189"/>
      <c r="T114" s="189"/>
      <c r="U114" s="114"/>
      <c r="V114" s="114"/>
      <c r="W114" s="114"/>
      <c r="X114" s="189"/>
      <c r="Y114" s="189"/>
      <c r="Z114" s="114"/>
      <c r="AA114" s="189"/>
      <c r="AB114" s="189"/>
      <c r="AC114" s="189"/>
      <c r="AD114" s="189"/>
      <c r="AE114" s="114"/>
      <c r="AF114" s="114"/>
      <c r="AG114" s="114"/>
      <c r="AH114" s="114"/>
      <c r="AI114" s="114">
        <v>5</v>
      </c>
      <c r="AJ114" s="114"/>
      <c r="AK114" s="114"/>
      <c r="AL114" s="127"/>
    </row>
    <row r="115" spans="1:38">
      <c r="A115" s="136"/>
      <c r="B115" s="113"/>
      <c r="C115" s="150">
        <f t="shared" si="12"/>
        <v>-111</v>
      </c>
      <c r="D115" s="63">
        <f t="shared" si="11"/>
        <v>111</v>
      </c>
      <c r="E115" s="114">
        <v>3965</v>
      </c>
      <c r="F115" s="64" t="str">
        <f>IFERROR(VLOOKUP(Table818[[#This Row],[Player No]],Table10[[No]:[Province]],2,0),"")</f>
        <v>MKHONTO Karabo</v>
      </c>
      <c r="G115" s="65" t="str">
        <f>IFERROR(VLOOKUP(Table818[[#This Row],[Player No]],Table10[[No]:[Province]],3,0),"")</f>
        <v>EKU</v>
      </c>
      <c r="H115" s="116">
        <v>5</v>
      </c>
      <c r="I115" s="124">
        <v>2.5</v>
      </c>
      <c r="J115" s="789">
        <f>Table818[[#This Row],[Points 2025]]/2+SUM(Table818[[#This Row],[O1  ADMIN 2026]:[P2           WC         CT Open 2026]])</f>
        <v>1.25</v>
      </c>
      <c r="K115" s="106">
        <f t="shared" si="13"/>
        <v>0</v>
      </c>
      <c r="L115" s="106">
        <f t="shared" si="14"/>
        <v>0</v>
      </c>
      <c r="M115" s="106"/>
      <c r="N115" s="708"/>
      <c r="O115" s="708"/>
      <c r="P115" s="708"/>
      <c r="Q115" s="114"/>
      <c r="R115" s="114"/>
      <c r="S115" s="189"/>
      <c r="T115" s="189"/>
      <c r="U115" s="114"/>
      <c r="V115" s="114"/>
      <c r="W115" s="114"/>
      <c r="X115" s="189"/>
      <c r="Y115" s="189"/>
      <c r="Z115" s="114"/>
      <c r="AA115" s="189"/>
      <c r="AB115" s="189"/>
      <c r="AC115" s="189"/>
      <c r="AD115" s="189"/>
      <c r="AE115" s="114"/>
      <c r="AF115" s="114"/>
      <c r="AG115" s="114"/>
      <c r="AH115" s="114"/>
      <c r="AI115" s="114">
        <v>5</v>
      </c>
      <c r="AJ115" s="114"/>
      <c r="AK115" s="114"/>
      <c r="AL115" s="127"/>
    </row>
    <row r="116" spans="1:38">
      <c r="A116" s="135"/>
      <c r="B116" s="190"/>
      <c r="C116" s="191">
        <f t="shared" si="12"/>
        <v>-112</v>
      </c>
      <c r="D116" s="63">
        <f t="shared" si="11"/>
        <v>112</v>
      </c>
      <c r="E116" s="189">
        <v>3988</v>
      </c>
      <c r="F116" s="64" t="str">
        <f>IFERROR(VLOOKUP(Table818[[#This Row],[Player No]],Table10[[No]:[Province]],2,0),"")</f>
        <v>MOGWENYA Mthokozisi</v>
      </c>
      <c r="G116" s="65" t="str">
        <f>IFERROR(VLOOKUP(Table818[[#This Row],[Player No]],Table10[[No]:[Province]],3,0),"")</f>
        <v>GN</v>
      </c>
      <c r="H116" s="192">
        <v>5</v>
      </c>
      <c r="I116" s="193">
        <v>2.5</v>
      </c>
      <c r="J116" s="661">
        <f>Table818[[#This Row],[Points 2025]]/2+SUM(Table818[[#This Row],[O1  ADMIN 2026]:[P2           WC         CT Open 2026]])</f>
        <v>1.25</v>
      </c>
      <c r="K116" s="106">
        <f t="shared" si="13"/>
        <v>0</v>
      </c>
      <c r="L116" s="106">
        <f t="shared" si="14"/>
        <v>0</v>
      </c>
      <c r="M116" s="838"/>
      <c r="N116" s="442"/>
      <c r="O116" s="442"/>
      <c r="P116" s="442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>
        <v>5</v>
      </c>
      <c r="AJ116" s="189"/>
      <c r="AK116" s="189"/>
      <c r="AL116" s="134"/>
    </row>
    <row r="117" spans="1:38">
      <c r="A117" s="135"/>
      <c r="B117" s="190"/>
      <c r="C117" s="191">
        <f t="shared" si="12"/>
        <v>-113</v>
      </c>
      <c r="D117" s="63">
        <f t="shared" si="11"/>
        <v>113</v>
      </c>
      <c r="E117" s="189">
        <v>3992</v>
      </c>
      <c r="F117" s="64" t="str">
        <f>IFERROR(VLOOKUP(Table818[[#This Row],[Player No]],Table10[[No]:[Province]],2,0),"")</f>
        <v>RAMOCHEKI  Brandon Stan</v>
      </c>
      <c r="G117" s="65" t="str">
        <f>IFERROR(VLOOKUP(Table818[[#This Row],[Player No]],Table10[[No]:[Province]],3,0),"")</f>
        <v>LIM</v>
      </c>
      <c r="H117" s="192">
        <v>5</v>
      </c>
      <c r="I117" s="193">
        <v>2.5</v>
      </c>
      <c r="J117" s="661">
        <f>Table818[[#This Row],[Points 2025]]/2+SUM(Table818[[#This Row],[O1  ADMIN 2026]:[P2           WC         CT Open 2026]])</f>
        <v>1.25</v>
      </c>
      <c r="K117" s="106">
        <f t="shared" si="13"/>
        <v>0</v>
      </c>
      <c r="L117" s="106">
        <f t="shared" si="14"/>
        <v>0</v>
      </c>
      <c r="M117" s="838"/>
      <c r="N117" s="442"/>
      <c r="O117" s="442"/>
      <c r="P117" s="442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>
        <v>5</v>
      </c>
      <c r="AJ117" s="189"/>
      <c r="AK117" s="189"/>
      <c r="AL117" s="134"/>
    </row>
    <row r="118" spans="1:38">
      <c r="A118" s="135"/>
      <c r="B118" s="190"/>
      <c r="C118" s="191">
        <f t="shared" si="12"/>
        <v>-114</v>
      </c>
      <c r="D118" s="63">
        <f t="shared" si="11"/>
        <v>114</v>
      </c>
      <c r="E118" s="189">
        <v>4006</v>
      </c>
      <c r="F118" s="64" t="str">
        <f>IFERROR(VLOOKUP(Table818[[#This Row],[Player No]],Table10[[No]:[Province]],2,0),"")</f>
        <v>MARAIS Barry</v>
      </c>
      <c r="G118" s="65" t="str">
        <f>IFERROR(VLOOKUP(Table818[[#This Row],[Player No]],Table10[[No]:[Province]],3,0),"")</f>
        <v>GN</v>
      </c>
      <c r="H118" s="192">
        <v>5</v>
      </c>
      <c r="I118" s="193">
        <v>2.5</v>
      </c>
      <c r="J118" s="661">
        <f>Table818[[#This Row],[Points 2025]]/2+SUM(Table818[[#This Row],[O1  ADMIN 2026]:[P2           WC         CT Open 2026]])</f>
        <v>1.25</v>
      </c>
      <c r="K118" s="106">
        <f t="shared" si="13"/>
        <v>0</v>
      </c>
      <c r="L118" s="106">
        <f t="shared" si="14"/>
        <v>0</v>
      </c>
      <c r="M118" s="838"/>
      <c r="N118" s="442"/>
      <c r="O118" s="442"/>
      <c r="P118" s="442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>
        <v>5</v>
      </c>
      <c r="AJ118" s="189"/>
      <c r="AK118" s="189"/>
      <c r="AL118" s="134"/>
    </row>
    <row r="119" spans="1:38">
      <c r="A119" s="135">
        <f>IFERROR(VLOOKUP(Table818[[#This Row],[Player No]],Table10[[#All],[No]:[Age Group]],4,0),"")</f>
        <v>0</v>
      </c>
      <c r="B119" s="190"/>
      <c r="C119" s="191">
        <f t="shared" si="12"/>
        <v>-115</v>
      </c>
      <c r="D119" s="63">
        <f t="shared" si="11"/>
        <v>115</v>
      </c>
      <c r="E119" s="189">
        <v>4112</v>
      </c>
      <c r="F119" s="64" t="str">
        <f>IFERROR(VLOOKUP(Table818[[#This Row],[Player No]],Table10[[No]:[Province]],2,0),"")</f>
        <v>Faizan HOOSEN</v>
      </c>
      <c r="G119" s="65" t="str">
        <f>IFERROR(VLOOKUP(Table818[[#This Row],[Player No]],Table10[[No]:[Province]],3,0),"")</f>
        <v>JTTA</v>
      </c>
      <c r="H119" s="192">
        <v>5</v>
      </c>
      <c r="I119" s="193">
        <v>2.5</v>
      </c>
      <c r="J119" s="661">
        <f>Table818[[#This Row],[Points 2025]]/2+SUM(Table818[[#This Row],[O1  ADMIN 2026]:[P2           WC         CT Open 2026]])</f>
        <v>1.25</v>
      </c>
      <c r="K119" s="106">
        <f t="shared" si="13"/>
        <v>0</v>
      </c>
      <c r="L119" s="106">
        <f t="shared" si="14"/>
        <v>0</v>
      </c>
      <c r="M119" s="838"/>
      <c r="N119" s="442"/>
      <c r="O119" s="442"/>
      <c r="P119" s="442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>
        <v>5</v>
      </c>
      <c r="AJ119" s="189"/>
      <c r="AK119" s="189"/>
      <c r="AL119" s="134"/>
    </row>
    <row r="120" spans="1:38">
      <c r="A120" s="128"/>
      <c r="B120" s="190"/>
      <c r="C120" s="191">
        <f t="shared" si="12"/>
        <v>-116</v>
      </c>
      <c r="D120" s="63">
        <f t="shared" si="11"/>
        <v>116</v>
      </c>
      <c r="E120" s="189">
        <v>4462</v>
      </c>
      <c r="F120" s="64" t="str">
        <f>IFERROR(VLOOKUP(Table818[[#This Row],[Player No]],Table10[[No]:[Province]],2,0),"")</f>
        <v xml:space="preserve">CASSIEM Umr </v>
      </c>
      <c r="G120" s="65" t="str">
        <f>IFERROR(VLOOKUP(Table818[[#This Row],[Player No]],Table10[[No]:[Province]],3,0),"")</f>
        <v>CT</v>
      </c>
      <c r="H120" s="192">
        <v>0</v>
      </c>
      <c r="I120" s="193">
        <v>2.5</v>
      </c>
      <c r="J120" s="661">
        <f>Table818[[#This Row],[Points 2025]]/2+SUM(Table818[[#This Row],[O1  ADMIN 2026]:[P2           WC         CT Open 2026]])</f>
        <v>1.25</v>
      </c>
      <c r="K120" s="106">
        <f t="shared" si="13"/>
        <v>0</v>
      </c>
      <c r="L120" s="106">
        <f t="shared" si="14"/>
        <v>0</v>
      </c>
      <c r="M120" s="838"/>
      <c r="N120" s="442"/>
      <c r="O120" s="442"/>
      <c r="P120" s="442"/>
      <c r="Q120" s="189"/>
      <c r="R120" s="189"/>
      <c r="S120" s="189"/>
      <c r="T120" s="189"/>
      <c r="U120" s="189"/>
      <c r="V120" s="189"/>
      <c r="W120" s="189"/>
      <c r="X120" s="189"/>
      <c r="Y120" s="189">
        <v>0.5</v>
      </c>
      <c r="Z120" s="189">
        <v>2</v>
      </c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34"/>
    </row>
    <row r="121" spans="1:38">
      <c r="A121" s="128"/>
      <c r="B121" s="190"/>
      <c r="C121" s="191">
        <f t="shared" si="12"/>
        <v>-117</v>
      </c>
      <c r="D121" s="63">
        <f t="shared" si="11"/>
        <v>117</v>
      </c>
      <c r="E121" s="189">
        <v>4542</v>
      </c>
      <c r="F121" s="64" t="s">
        <v>5983</v>
      </c>
      <c r="G121" s="65" t="s">
        <v>362</v>
      </c>
      <c r="H121" s="192">
        <v>1</v>
      </c>
      <c r="I121" s="193">
        <v>2.5</v>
      </c>
      <c r="J121" s="661">
        <f>Table818[[#This Row],[Points 2025]]/2+SUM(Table818[[#This Row],[O1  ADMIN 2026]:[P2           WC         CT Open 2026]])</f>
        <v>1.25</v>
      </c>
      <c r="K121" s="106">
        <f t="shared" si="13"/>
        <v>0</v>
      </c>
      <c r="L121" s="106">
        <f t="shared" si="14"/>
        <v>0</v>
      </c>
      <c r="M121" s="838"/>
      <c r="N121" s="442"/>
      <c r="O121" s="442"/>
      <c r="P121" s="442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>
        <v>2</v>
      </c>
      <c r="AA121" s="189"/>
      <c r="AB121" s="189"/>
      <c r="AC121" s="189"/>
      <c r="AD121" s="189"/>
      <c r="AE121" s="189"/>
      <c r="AF121" s="189"/>
      <c r="AG121" s="189">
        <v>1</v>
      </c>
      <c r="AH121" s="189"/>
      <c r="AI121" s="189"/>
      <c r="AJ121" s="189"/>
      <c r="AK121" s="189"/>
      <c r="AL121" s="134"/>
    </row>
    <row r="122" spans="1:38">
      <c r="A122" s="126"/>
      <c r="B122" s="113"/>
      <c r="C122" s="150">
        <f t="shared" si="12"/>
        <v>-118</v>
      </c>
      <c r="D122" s="63">
        <f t="shared" si="11"/>
        <v>118</v>
      </c>
      <c r="E122" s="114">
        <v>3334</v>
      </c>
      <c r="F122" s="64" t="str">
        <f>IFERROR(VLOOKUP(Table818[[#This Row],[Player No]],Table10[[No]:[Province]],2,0),"")</f>
        <v>SWEATZ Caden</v>
      </c>
      <c r="G122" s="65" t="str">
        <f>IFERROR(VLOOKUP(Table818[[#This Row],[Player No]],Table10[[No]:[Province]],3,0),"")</f>
        <v>CT</v>
      </c>
      <c r="H122" s="116">
        <v>0</v>
      </c>
      <c r="I122" s="124">
        <v>2</v>
      </c>
      <c r="J122" s="789">
        <f>Table818[[#This Row],[Points 2025]]/2+SUM(Table818[[#This Row],[O1  ADMIN 2026]:[P2           WC         CT Open 2026]])</f>
        <v>1</v>
      </c>
      <c r="K122" s="106">
        <f t="shared" si="13"/>
        <v>0</v>
      </c>
      <c r="L122" s="106">
        <f t="shared" si="14"/>
        <v>0</v>
      </c>
      <c r="M122" s="106"/>
      <c r="N122" s="708"/>
      <c r="O122" s="708"/>
      <c r="P122" s="708"/>
      <c r="Q122" s="114"/>
      <c r="R122" s="114"/>
      <c r="S122" s="189"/>
      <c r="T122" s="189"/>
      <c r="U122" s="114"/>
      <c r="V122" s="114"/>
      <c r="W122" s="114"/>
      <c r="X122" s="189"/>
      <c r="Y122" s="189"/>
      <c r="Z122" s="114">
        <v>2</v>
      </c>
      <c r="AA122" s="189"/>
      <c r="AB122" s="189"/>
      <c r="AC122" s="189"/>
      <c r="AD122" s="189"/>
      <c r="AE122" s="114"/>
      <c r="AF122" s="114"/>
      <c r="AG122" s="114"/>
      <c r="AH122" s="114"/>
      <c r="AI122" s="114"/>
      <c r="AJ122" s="114"/>
      <c r="AK122" s="114"/>
      <c r="AL122" s="127"/>
    </row>
    <row r="123" spans="1:38">
      <c r="A123" s="126"/>
      <c r="B123" s="113"/>
      <c r="C123" s="150">
        <f t="shared" si="12"/>
        <v>-119</v>
      </c>
      <c r="D123" s="63">
        <f t="shared" si="11"/>
        <v>119</v>
      </c>
      <c r="E123" s="114">
        <v>4637</v>
      </c>
      <c r="F123" s="64" t="str">
        <f>IFERROR(VLOOKUP(Table818[[#This Row],[Player No]],Table10[[No]:[Province]],2,0),"")</f>
        <v xml:space="preserve">FORTUIN Teswill </v>
      </c>
      <c r="G123" s="65" t="str">
        <f>IFERROR(VLOOKUP(Table818[[#This Row],[Player No]],Table10[[No]:[Province]],3,0),"")</f>
        <v>WC</v>
      </c>
      <c r="H123" s="116">
        <v>0</v>
      </c>
      <c r="I123" s="124">
        <v>2</v>
      </c>
      <c r="J123" s="789">
        <f>Table818[[#This Row],[Points 2025]]/2+SUM(Table818[[#This Row],[O1  ADMIN 2026]:[P2           WC         CT Open 2026]])</f>
        <v>1</v>
      </c>
      <c r="K123" s="106">
        <f t="shared" si="13"/>
        <v>0</v>
      </c>
      <c r="L123" s="106">
        <f t="shared" si="14"/>
        <v>0</v>
      </c>
      <c r="M123" s="106"/>
      <c r="N123" s="708"/>
      <c r="O123" s="708"/>
      <c r="P123" s="708"/>
      <c r="Q123" s="114"/>
      <c r="R123" s="114"/>
      <c r="S123" s="189"/>
      <c r="T123" s="189"/>
      <c r="U123" s="114"/>
      <c r="V123" s="114"/>
      <c r="W123" s="114"/>
      <c r="X123" s="189"/>
      <c r="Y123" s="189"/>
      <c r="Z123" s="114">
        <v>2</v>
      </c>
      <c r="AA123" s="189"/>
      <c r="AB123" s="189"/>
      <c r="AC123" s="189"/>
      <c r="AD123" s="189"/>
      <c r="AE123" s="114"/>
      <c r="AF123" s="114"/>
      <c r="AG123" s="114"/>
      <c r="AH123" s="114"/>
      <c r="AI123" s="114"/>
      <c r="AJ123" s="114"/>
      <c r="AK123" s="114"/>
      <c r="AL123" s="127"/>
    </row>
    <row r="124" spans="1:38">
      <c r="A124" s="128"/>
      <c r="B124" s="190"/>
      <c r="C124" s="191">
        <f t="shared" si="12"/>
        <v>-120</v>
      </c>
      <c r="D124" s="63">
        <f t="shared" si="11"/>
        <v>120</v>
      </c>
      <c r="E124" s="189">
        <v>4638</v>
      </c>
      <c r="F124" s="64" t="str">
        <f>IFERROR(VLOOKUP(Table818[[#This Row],[Player No]],Table10[[No]:[Province]],2,0),"")</f>
        <v>CARELSE WIAN</v>
      </c>
      <c r="G124" s="65" t="str">
        <f>IFERROR(VLOOKUP(Table818[[#This Row],[Player No]],Table10[[No]:[Province]],3,0),"")</f>
        <v>CT</v>
      </c>
      <c r="H124" s="192">
        <v>0</v>
      </c>
      <c r="I124" s="193">
        <v>2</v>
      </c>
      <c r="J124" s="661">
        <f>Table818[[#This Row],[Points 2025]]/2+SUM(Table818[[#This Row],[O1  ADMIN 2026]:[P2           WC         CT Open 2026]])</f>
        <v>1</v>
      </c>
      <c r="K124" s="106">
        <f t="shared" si="13"/>
        <v>0</v>
      </c>
      <c r="L124" s="106">
        <f t="shared" si="14"/>
        <v>0</v>
      </c>
      <c r="M124" s="838"/>
      <c r="N124" s="442"/>
      <c r="O124" s="442"/>
      <c r="P124" s="442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>
        <v>2</v>
      </c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34"/>
    </row>
    <row r="125" spans="1:38">
      <c r="A125" s="126"/>
      <c r="B125" s="113"/>
      <c r="C125" s="150">
        <f t="shared" si="12"/>
        <v>-121</v>
      </c>
      <c r="D125" s="63">
        <f t="shared" si="11"/>
        <v>121</v>
      </c>
      <c r="E125" s="114">
        <v>4639</v>
      </c>
      <c r="F125" s="64" t="str">
        <f>IFERROR(VLOOKUP(Table818[[#This Row],[Player No]],Table10[[No]:[Province]],2,0),"")</f>
        <v xml:space="preserve">ERASMUS Zakariya </v>
      </c>
      <c r="G125" s="65" t="str">
        <f>IFERROR(VLOOKUP(Table818[[#This Row],[Player No]],Table10[[No]:[Province]],3,0),"")</f>
        <v>CT</v>
      </c>
      <c r="H125" s="116">
        <v>0</v>
      </c>
      <c r="I125" s="124">
        <v>2</v>
      </c>
      <c r="J125" s="789">
        <f>Table818[[#This Row],[Points 2025]]/2+SUM(Table818[[#This Row],[O1  ADMIN 2026]:[P2           WC         CT Open 2026]])</f>
        <v>1</v>
      </c>
      <c r="K125" s="106">
        <f t="shared" si="13"/>
        <v>0</v>
      </c>
      <c r="L125" s="106">
        <f t="shared" si="14"/>
        <v>0</v>
      </c>
      <c r="M125" s="106"/>
      <c r="N125" s="708"/>
      <c r="O125" s="708"/>
      <c r="P125" s="708"/>
      <c r="Q125" s="114"/>
      <c r="R125" s="114"/>
      <c r="S125" s="189"/>
      <c r="T125" s="189"/>
      <c r="U125" s="114"/>
      <c r="V125" s="114"/>
      <c r="W125" s="114"/>
      <c r="X125" s="189"/>
      <c r="Y125" s="189"/>
      <c r="Z125" s="114">
        <v>2</v>
      </c>
      <c r="AA125" s="189"/>
      <c r="AB125" s="189"/>
      <c r="AC125" s="189"/>
      <c r="AD125" s="189"/>
      <c r="AE125" s="114"/>
      <c r="AF125" s="114"/>
      <c r="AG125" s="114"/>
      <c r="AH125" s="114"/>
      <c r="AI125" s="114"/>
      <c r="AJ125" s="114"/>
      <c r="AK125" s="114"/>
      <c r="AL125" s="127"/>
    </row>
    <row r="126" spans="1:38">
      <c r="A126" s="136">
        <f>IFERROR(VLOOKUP(Table818[[#This Row],[Player No]],Table10[[#All],[No]:[Age Group]],4,0),"")</f>
        <v>0</v>
      </c>
      <c r="B126" s="113">
        <v>63</v>
      </c>
      <c r="C126" s="150">
        <f t="shared" si="12"/>
        <v>-59</v>
      </c>
      <c r="D126" s="63">
        <f t="shared" si="11"/>
        <v>122</v>
      </c>
      <c r="E126" s="114">
        <v>3756</v>
      </c>
      <c r="F126" s="64" t="str">
        <f>IFERROR(VLOOKUP(Table818[[#This Row],[Player No]],Table10[[No]:[Province]],2,0),"")</f>
        <v>JOSEPH Carl</v>
      </c>
      <c r="G126" s="65" t="str">
        <f>IFERROR(VLOOKUP(Table818[[#This Row],[Player No]],Table10[[No]:[Province]],3,0),"")</f>
        <v>WC</v>
      </c>
      <c r="H126" s="116">
        <v>2.5</v>
      </c>
      <c r="I126" s="124">
        <v>1.25</v>
      </c>
      <c r="J126" s="789">
        <f>Table818[[#This Row],[Points 2025]]/2+SUM(Table818[[#This Row],[O1  ADMIN 2026]:[P2           WC         CT Open 2026]])</f>
        <v>0.625</v>
      </c>
      <c r="K126" s="106">
        <f t="shared" si="13"/>
        <v>0</v>
      </c>
      <c r="L126" s="106">
        <f t="shared" si="14"/>
        <v>0</v>
      </c>
      <c r="M126" s="106"/>
      <c r="N126" s="708"/>
      <c r="O126" s="708"/>
      <c r="P126" s="708"/>
      <c r="Q126" s="114"/>
      <c r="R126" s="114"/>
      <c r="S126" s="189"/>
      <c r="T126" s="189"/>
      <c r="U126" s="114"/>
      <c r="V126" s="114"/>
      <c r="W126" s="114"/>
      <c r="X126" s="189"/>
      <c r="Y126" s="189"/>
      <c r="Z126" s="114"/>
      <c r="AA126" s="189"/>
      <c r="AB126" s="189"/>
      <c r="AC126" s="189"/>
      <c r="AD126" s="189"/>
      <c r="AE126" s="114"/>
      <c r="AF126" s="114"/>
      <c r="AG126" s="114"/>
      <c r="AH126" s="114"/>
      <c r="AI126" s="114"/>
      <c r="AJ126" s="114"/>
      <c r="AK126" s="114"/>
      <c r="AL126" s="127"/>
    </row>
    <row r="127" spans="1:38">
      <c r="A127" s="126"/>
      <c r="B127" s="113"/>
      <c r="C127" s="150">
        <f t="shared" si="12"/>
        <v>-123</v>
      </c>
      <c r="D127" s="63">
        <f t="shared" si="11"/>
        <v>123</v>
      </c>
      <c r="E127" s="434">
        <v>4240</v>
      </c>
      <c r="F127" s="64" t="str">
        <f>IFERROR(VLOOKUP(Table818[[#This Row],[Player No]],Table10[[No]:[Province]],2,0),"")</f>
        <v>RAMPERSAD Deyal</v>
      </c>
      <c r="G127" s="65" t="str">
        <f>IFERROR(VLOOKUP(Table818[[#This Row],[Player No]],Table10[[No]:[Province]],3,0),"")</f>
        <v>UMG</v>
      </c>
      <c r="H127" s="116">
        <v>0</v>
      </c>
      <c r="I127" s="124">
        <v>1</v>
      </c>
      <c r="J127" s="789">
        <f>Table818[[#This Row],[Points 2025]]/2+SUM(Table818[[#This Row],[O1  ADMIN 2026]:[P2           WC         CT Open 2026]])</f>
        <v>0.5</v>
      </c>
      <c r="K127" s="106">
        <f t="shared" si="13"/>
        <v>0</v>
      </c>
      <c r="L127" s="106">
        <f t="shared" si="14"/>
        <v>0</v>
      </c>
      <c r="M127" s="106"/>
      <c r="N127" s="708"/>
      <c r="O127" s="708"/>
      <c r="P127" s="708"/>
      <c r="Q127" s="114"/>
      <c r="R127" s="114"/>
      <c r="S127" s="189"/>
      <c r="T127" s="189"/>
      <c r="U127" s="114">
        <v>1</v>
      </c>
      <c r="V127" s="114"/>
      <c r="W127" s="114"/>
      <c r="X127" s="189"/>
      <c r="Y127" s="189"/>
      <c r="Z127" s="114"/>
      <c r="AA127" s="189"/>
      <c r="AB127" s="189"/>
      <c r="AC127" s="189"/>
      <c r="AD127" s="189"/>
      <c r="AE127" s="114"/>
      <c r="AF127" s="114"/>
      <c r="AG127" s="114"/>
      <c r="AH127" s="114"/>
      <c r="AI127" s="114"/>
      <c r="AJ127" s="114"/>
      <c r="AK127" s="114"/>
      <c r="AL127" s="127"/>
    </row>
    <row r="128" spans="1:38">
      <c r="A128" s="126"/>
      <c r="B128" s="113"/>
      <c r="C128" s="150">
        <f t="shared" si="12"/>
        <v>-124</v>
      </c>
      <c r="D128" s="63">
        <f t="shared" si="11"/>
        <v>124</v>
      </c>
      <c r="E128" s="434">
        <v>4241</v>
      </c>
      <c r="F128" s="64" t="str">
        <f>IFERROR(VLOOKUP(Table818[[#This Row],[Player No]],Table10[[No]:[Province]],2,0),"")</f>
        <v>MEMON Muhammad</v>
      </c>
      <c r="G128" s="65" t="str">
        <f>IFERROR(VLOOKUP(Table818[[#This Row],[Player No]],Table10[[No]:[Province]],3,0),"")</f>
        <v>UMG</v>
      </c>
      <c r="H128" s="116">
        <v>0</v>
      </c>
      <c r="I128" s="124">
        <v>1</v>
      </c>
      <c r="J128" s="789">
        <f>Table818[[#This Row],[Points 2025]]/2+SUM(Table818[[#This Row],[O1  ADMIN 2026]:[P2           WC         CT Open 2026]])</f>
        <v>0.5</v>
      </c>
      <c r="K128" s="106">
        <f t="shared" si="13"/>
        <v>0</v>
      </c>
      <c r="L128" s="106">
        <f t="shared" si="14"/>
        <v>0</v>
      </c>
      <c r="M128" s="106"/>
      <c r="N128" s="708"/>
      <c r="O128" s="708"/>
      <c r="P128" s="708"/>
      <c r="Q128" s="114"/>
      <c r="R128" s="114"/>
      <c r="S128" s="189"/>
      <c r="T128" s="189"/>
      <c r="U128" s="114">
        <v>1</v>
      </c>
      <c r="V128" s="114"/>
      <c r="W128" s="114"/>
      <c r="X128" s="189"/>
      <c r="Y128" s="189"/>
      <c r="Z128" s="114"/>
      <c r="AA128" s="189"/>
      <c r="AB128" s="189"/>
      <c r="AC128" s="189"/>
      <c r="AD128" s="189"/>
      <c r="AE128" s="114"/>
      <c r="AF128" s="114"/>
      <c r="AG128" s="114"/>
      <c r="AH128" s="114"/>
      <c r="AI128" s="114"/>
      <c r="AJ128" s="114"/>
      <c r="AK128" s="114"/>
      <c r="AL128" s="127"/>
    </row>
    <row r="129" spans="1:38">
      <c r="A129" s="126"/>
      <c r="B129" s="113"/>
      <c r="C129" s="150">
        <f t="shared" si="12"/>
        <v>-125</v>
      </c>
      <c r="D129" s="63">
        <f t="shared" si="11"/>
        <v>125</v>
      </c>
      <c r="E129" s="114">
        <v>4357</v>
      </c>
      <c r="F129" s="64" t="str">
        <f>IFERROR(VLOOKUP(Table818[[#This Row],[Player No]],Table10[[No]:[Province]],2,0),"")</f>
        <v>NAIDOO Xavian</v>
      </c>
      <c r="G129" s="65" t="str">
        <f>IFERROR(VLOOKUP(Table818[[#This Row],[Player No]],Table10[[No]:[Province]],3,0),"")</f>
        <v>ETTA</v>
      </c>
      <c r="H129" s="116">
        <v>0</v>
      </c>
      <c r="I129" s="124">
        <v>1</v>
      </c>
      <c r="J129" s="789">
        <f>Table818[[#This Row],[Points 2025]]/2+SUM(Table818[[#This Row],[O1  ADMIN 2026]:[P2           WC         CT Open 2026]])</f>
        <v>0.5</v>
      </c>
      <c r="K129" s="106">
        <f t="shared" si="13"/>
        <v>0</v>
      </c>
      <c r="L129" s="106">
        <f t="shared" si="14"/>
        <v>0</v>
      </c>
      <c r="M129" s="106"/>
      <c r="N129" s="708"/>
      <c r="O129" s="708"/>
      <c r="P129" s="708"/>
      <c r="Q129" s="114"/>
      <c r="R129" s="114"/>
      <c r="S129" s="189"/>
      <c r="T129" s="189">
        <v>1</v>
      </c>
      <c r="U129" s="114"/>
      <c r="V129" s="114"/>
      <c r="W129" s="114"/>
      <c r="X129" s="189"/>
      <c r="Y129" s="189"/>
      <c r="Z129" s="114"/>
      <c r="AA129" s="189">
        <v>0</v>
      </c>
      <c r="AB129" s="189"/>
      <c r="AC129" s="189"/>
      <c r="AD129" s="189"/>
      <c r="AE129" s="114"/>
      <c r="AF129" s="114"/>
      <c r="AG129" s="114"/>
      <c r="AH129" s="114"/>
      <c r="AI129" s="114"/>
      <c r="AJ129" s="114"/>
      <c r="AK129" s="114"/>
      <c r="AL129" s="127"/>
    </row>
    <row r="130" spans="1:38">
      <c r="A130" s="126"/>
      <c r="B130" s="113"/>
      <c r="C130" s="150">
        <f t="shared" si="12"/>
        <v>-126</v>
      </c>
      <c r="D130" s="63">
        <f t="shared" si="11"/>
        <v>126</v>
      </c>
      <c r="E130" s="114">
        <v>4395</v>
      </c>
      <c r="F130" s="64" t="str">
        <f>IFERROR(VLOOKUP(Table818[[#This Row],[Player No]],Table10[[No]:[Province]],2,0),"")</f>
        <v xml:space="preserve">KARTHIK Dhaarmic </v>
      </c>
      <c r="G130" s="65" t="str">
        <f>IFERROR(VLOOKUP(Table818[[#This Row],[Player No]],Table10[[No]:[Province]],3,0),"")</f>
        <v>GN</v>
      </c>
      <c r="H130" s="116">
        <v>0</v>
      </c>
      <c r="I130" s="124">
        <v>1</v>
      </c>
      <c r="J130" s="789">
        <f>Table818[[#This Row],[Points 2025]]/2+SUM(Table818[[#This Row],[O1  ADMIN 2026]:[P2           WC         CT Open 2026]])</f>
        <v>0.5</v>
      </c>
      <c r="K130" s="106">
        <f t="shared" si="13"/>
        <v>0</v>
      </c>
      <c r="L130" s="106">
        <f t="shared" si="14"/>
        <v>0</v>
      </c>
      <c r="M130" s="106"/>
      <c r="N130" s="708"/>
      <c r="O130" s="708"/>
      <c r="P130" s="708"/>
      <c r="Q130" s="114"/>
      <c r="R130" s="114"/>
      <c r="S130" s="189"/>
      <c r="T130" s="189"/>
      <c r="U130" s="114"/>
      <c r="V130" s="114"/>
      <c r="W130" s="114"/>
      <c r="X130" s="189"/>
      <c r="Y130" s="189"/>
      <c r="Z130" s="114"/>
      <c r="AA130" s="189">
        <v>0</v>
      </c>
      <c r="AB130" s="189"/>
      <c r="AC130" s="189">
        <v>1</v>
      </c>
      <c r="AD130" s="189"/>
      <c r="AE130" s="114"/>
      <c r="AF130" s="114"/>
      <c r="AG130" s="114"/>
      <c r="AH130" s="114"/>
      <c r="AI130" s="114"/>
      <c r="AJ130" s="114"/>
      <c r="AK130" s="114"/>
      <c r="AL130" s="127"/>
    </row>
    <row r="131" spans="1:38">
      <c r="A131" s="126"/>
      <c r="B131" s="113"/>
      <c r="C131" s="150">
        <f t="shared" si="12"/>
        <v>-127</v>
      </c>
      <c r="D131" s="63">
        <f t="shared" si="11"/>
        <v>127</v>
      </c>
      <c r="E131" s="114">
        <v>4482</v>
      </c>
      <c r="F131" s="64" t="str">
        <f>IFERROR(VLOOKUP(Table818[[#This Row],[Player No]],Table10[[No]:[Province]],2,0),"")</f>
        <v>Reamogetswe LEPHEANA</v>
      </c>
      <c r="G131" s="65" t="str">
        <f>IFERROR(VLOOKUP(Table818[[#This Row],[Player No]],Table10[[No]:[Province]],3,0),"")</f>
        <v>FS</v>
      </c>
      <c r="H131" s="116">
        <v>0</v>
      </c>
      <c r="I131" s="124">
        <v>1</v>
      </c>
      <c r="J131" s="789">
        <f>Table818[[#This Row],[Points 2025]]/2+SUM(Table818[[#This Row],[O1  ADMIN 2026]:[P2           WC         CT Open 2026]])</f>
        <v>0.5</v>
      </c>
      <c r="K131" s="106">
        <f t="shared" si="13"/>
        <v>0</v>
      </c>
      <c r="L131" s="106">
        <f t="shared" si="14"/>
        <v>0</v>
      </c>
      <c r="M131" s="106"/>
      <c r="N131" s="708"/>
      <c r="O131" s="708"/>
      <c r="P131" s="708"/>
      <c r="Q131" s="114"/>
      <c r="R131" s="114"/>
      <c r="S131" s="189"/>
      <c r="T131" s="189"/>
      <c r="U131" s="114"/>
      <c r="V131" s="114">
        <v>1</v>
      </c>
      <c r="W131" s="114"/>
      <c r="X131" s="189"/>
      <c r="Y131" s="189"/>
      <c r="Z131" s="114"/>
      <c r="AA131" s="189"/>
      <c r="AB131" s="189"/>
      <c r="AC131" s="189"/>
      <c r="AD131" s="189"/>
      <c r="AE131" s="114"/>
      <c r="AF131" s="114"/>
      <c r="AG131" s="114"/>
      <c r="AH131" s="114"/>
      <c r="AI131" s="114"/>
      <c r="AJ131" s="114"/>
      <c r="AK131" s="114"/>
      <c r="AL131" s="127"/>
    </row>
    <row r="132" spans="1:38">
      <c r="A132" s="126"/>
      <c r="B132" s="113"/>
      <c r="C132" s="150">
        <f t="shared" ref="C132:C146" si="15">+B132-D132</f>
        <v>-128</v>
      </c>
      <c r="D132" s="63">
        <f t="shared" si="11"/>
        <v>128</v>
      </c>
      <c r="E132" s="114">
        <v>4483</v>
      </c>
      <c r="F132" s="64" t="str">
        <f>IFERROR(VLOOKUP(Table818[[#This Row],[Player No]],Table10[[No]:[Province]],2,0),"")</f>
        <v>Oratilwe STALLERNBERG</v>
      </c>
      <c r="G132" s="65" t="str">
        <f>IFERROR(VLOOKUP(Table818[[#This Row],[Player No]],Table10[[No]:[Province]],3,0),"")</f>
        <v>FS</v>
      </c>
      <c r="H132" s="116">
        <v>0</v>
      </c>
      <c r="I132" s="124">
        <v>1</v>
      </c>
      <c r="J132" s="789">
        <f>Table818[[#This Row],[Points 2025]]/2+SUM(Table818[[#This Row],[O1  ADMIN 2026]:[P2           WC         CT Open 2026]])</f>
        <v>0.5</v>
      </c>
      <c r="K132" s="106">
        <f t="shared" ref="K132:K146" si="16">COUNTIF(M132:P132,"&gt;0")</f>
        <v>0</v>
      </c>
      <c r="L132" s="106">
        <f t="shared" ref="L132:L146" si="17">COUNTIF(N132:AL132,"&lt;0")</f>
        <v>0</v>
      </c>
      <c r="M132" s="106"/>
      <c r="N132" s="708"/>
      <c r="O132" s="708"/>
      <c r="P132" s="708"/>
      <c r="Q132" s="114"/>
      <c r="R132" s="114"/>
      <c r="S132" s="189"/>
      <c r="T132" s="189"/>
      <c r="U132" s="114"/>
      <c r="V132" s="114">
        <v>1</v>
      </c>
      <c r="W132" s="114"/>
      <c r="X132" s="189"/>
      <c r="Y132" s="189"/>
      <c r="Z132" s="114"/>
      <c r="AA132" s="189"/>
      <c r="AB132" s="189"/>
      <c r="AC132" s="189"/>
      <c r="AD132" s="189"/>
      <c r="AE132" s="114"/>
      <c r="AF132" s="114"/>
      <c r="AG132" s="114"/>
      <c r="AH132" s="114"/>
      <c r="AI132" s="114"/>
      <c r="AJ132" s="114"/>
      <c r="AK132" s="114"/>
      <c r="AL132" s="127"/>
    </row>
    <row r="133" spans="1:38">
      <c r="A133" s="126"/>
      <c r="B133" s="113"/>
      <c r="C133" s="150">
        <f t="shared" si="15"/>
        <v>-129</v>
      </c>
      <c r="D133" s="63">
        <f t="shared" si="11"/>
        <v>129</v>
      </c>
      <c r="E133" s="114">
        <v>4524</v>
      </c>
      <c r="F133" s="64" t="str">
        <f>IFERROR(VLOOKUP(Table818[[#This Row],[Player No]],Table10[[No]:[Province]],2,0),"")</f>
        <v>WANG Xingkong</v>
      </c>
      <c r="G133" s="65" t="str">
        <f>IFERROR(VLOOKUP(Table818[[#This Row],[Player No]],Table10[[No]:[Province]],3,0),"")</f>
        <v>JTTA</v>
      </c>
      <c r="H133" s="116">
        <v>0</v>
      </c>
      <c r="I133" s="124">
        <v>1</v>
      </c>
      <c r="J133" s="789">
        <f>Table818[[#This Row],[Points 2025]]/2+SUM(Table818[[#This Row],[O1  ADMIN 2026]:[P2           WC         CT Open 2026]])</f>
        <v>0.5</v>
      </c>
      <c r="K133" s="106">
        <f t="shared" si="16"/>
        <v>0</v>
      </c>
      <c r="L133" s="106">
        <f t="shared" si="17"/>
        <v>0</v>
      </c>
      <c r="M133" s="106"/>
      <c r="N133" s="708"/>
      <c r="O133" s="708"/>
      <c r="P133" s="708"/>
      <c r="Q133" s="114"/>
      <c r="R133" s="114"/>
      <c r="S133" s="189"/>
      <c r="T133" s="189"/>
      <c r="U133" s="114"/>
      <c r="V133" s="114"/>
      <c r="W133" s="114"/>
      <c r="X133" s="189"/>
      <c r="Y133" s="189"/>
      <c r="Z133" s="114"/>
      <c r="AA133" s="189"/>
      <c r="AB133" s="189"/>
      <c r="AC133" s="189">
        <v>1</v>
      </c>
      <c r="AD133" s="189"/>
      <c r="AE133" s="114"/>
      <c r="AF133" s="114"/>
      <c r="AG133" s="114"/>
      <c r="AH133" s="114"/>
      <c r="AI133" s="114"/>
      <c r="AJ133" s="114"/>
      <c r="AK133" s="114"/>
      <c r="AL133" s="127"/>
    </row>
    <row r="134" spans="1:38">
      <c r="A134" s="128"/>
      <c r="B134" s="190"/>
      <c r="C134" s="191">
        <f t="shared" si="15"/>
        <v>-130</v>
      </c>
      <c r="D134" s="63">
        <f t="shared" si="11"/>
        <v>130</v>
      </c>
      <c r="E134" s="189">
        <v>4541</v>
      </c>
      <c r="F134" s="64" t="str">
        <f>IFERROR(VLOOKUP(Table818[[#This Row],[Player No]],Table10[[No]:[Province]],2,0),"")</f>
        <v xml:space="preserve">ADAMS Carter </v>
      </c>
      <c r="G134" s="65" t="str">
        <f>IFERROR(VLOOKUP(Table818[[#This Row],[Player No]],Table10[[No]:[Province]],3,0),"")</f>
        <v>CT</v>
      </c>
      <c r="H134" s="192">
        <v>1</v>
      </c>
      <c r="I134" s="193">
        <v>1</v>
      </c>
      <c r="J134" s="661">
        <f>Table818[[#This Row],[Points 2025]]/2+SUM(Table818[[#This Row],[O1  ADMIN 2026]:[P2           WC         CT Open 2026]])</f>
        <v>0.5</v>
      </c>
      <c r="K134" s="106">
        <f t="shared" si="16"/>
        <v>0</v>
      </c>
      <c r="L134" s="106">
        <f t="shared" si="17"/>
        <v>0</v>
      </c>
      <c r="M134" s="838"/>
      <c r="N134" s="442"/>
      <c r="O134" s="442"/>
      <c r="P134" s="442"/>
      <c r="Q134" s="189"/>
      <c r="R134" s="189"/>
      <c r="S134" s="189"/>
      <c r="T134" s="189"/>
      <c r="U134" s="189"/>
      <c r="V134" s="189"/>
      <c r="W134" s="189"/>
      <c r="X134" s="189"/>
      <c r="Y134" s="189">
        <v>0.5</v>
      </c>
      <c r="Z134" s="189"/>
      <c r="AA134" s="189"/>
      <c r="AB134" s="189"/>
      <c r="AC134" s="189"/>
      <c r="AD134" s="189"/>
      <c r="AE134" s="189"/>
      <c r="AF134" s="189"/>
      <c r="AG134" s="189">
        <v>1</v>
      </c>
      <c r="AH134" s="189"/>
      <c r="AI134" s="189"/>
      <c r="AJ134" s="189"/>
      <c r="AK134" s="189"/>
      <c r="AL134" s="134"/>
    </row>
    <row r="135" spans="1:38">
      <c r="A135" s="647"/>
      <c r="B135" s="648"/>
      <c r="C135" s="649">
        <f t="shared" si="15"/>
        <v>-131</v>
      </c>
      <c r="D135" s="63">
        <f t="shared" si="11"/>
        <v>131</v>
      </c>
      <c r="E135" s="636">
        <v>4579</v>
      </c>
      <c r="F135" s="64" t="str">
        <f>IFERROR(VLOOKUP(Table818[[#This Row],[Player No]],Table10[[No]:[Province]],2,0),"")</f>
        <v>MADAREE Keval</v>
      </c>
      <c r="G135" s="65" t="str">
        <f>IFERROR(VLOOKUP(Table818[[#This Row],[Player No]],Table10[[No]:[Province]],3,0),"")</f>
        <v>ETTA</v>
      </c>
      <c r="H135" s="650">
        <v>0</v>
      </c>
      <c r="I135" s="651">
        <v>1</v>
      </c>
      <c r="J135" s="789">
        <f>Table818[[#This Row],[Points 2025]]/2+SUM(Table818[[#This Row],[O1  ADMIN 2026]:[P2           WC         CT Open 2026]])</f>
        <v>0.5</v>
      </c>
      <c r="K135" s="106">
        <f t="shared" si="16"/>
        <v>0</v>
      </c>
      <c r="L135" s="106">
        <f t="shared" si="17"/>
        <v>0</v>
      </c>
      <c r="M135" s="106"/>
      <c r="N135" s="708"/>
      <c r="O135" s="708"/>
      <c r="P135" s="708"/>
      <c r="Q135" s="636"/>
      <c r="R135" s="442"/>
      <c r="S135" s="442"/>
      <c r="T135" s="442">
        <v>1</v>
      </c>
      <c r="U135" s="636"/>
      <c r="V135" s="636"/>
      <c r="W135" s="442"/>
      <c r="X135" s="442"/>
      <c r="Y135" s="442"/>
      <c r="Z135" s="636"/>
      <c r="AA135" s="442"/>
      <c r="AB135" s="442"/>
      <c r="AC135" s="442"/>
      <c r="AD135" s="442"/>
      <c r="AE135" s="636"/>
      <c r="AF135" s="636"/>
      <c r="AG135" s="636"/>
      <c r="AH135" s="636"/>
      <c r="AI135" s="636"/>
      <c r="AJ135" s="636"/>
      <c r="AK135" s="636"/>
      <c r="AL135" s="629"/>
    </row>
    <row r="136" spans="1:38">
      <c r="A136" s="652">
        <f>IFERROR(VLOOKUP(Table818[[#This Row],[Player No]],Table10[[#All],[No]:[Age Group]],4,0),"")</f>
        <v>0</v>
      </c>
      <c r="B136" s="648">
        <v>66</v>
      </c>
      <c r="C136" s="649">
        <f t="shared" si="15"/>
        <v>-66</v>
      </c>
      <c r="D136" s="63">
        <f t="shared" si="11"/>
        <v>132</v>
      </c>
      <c r="E136" s="636">
        <v>3909</v>
      </c>
      <c r="F136" s="64" t="str">
        <f>IFERROR(VLOOKUP(Table818[[#This Row],[Player No]],Table10[[No]:[Province]],2,0),"")</f>
        <v>NAIDOO Xavier</v>
      </c>
      <c r="G136" s="65" t="str">
        <f>IFERROR(VLOOKUP(Table818[[#This Row],[Player No]],Table10[[No]:[Province]],3,0),"")</f>
        <v>ETTA</v>
      </c>
      <c r="H136" s="650">
        <v>1</v>
      </c>
      <c r="I136" s="651">
        <v>0.5</v>
      </c>
      <c r="J136" s="789">
        <f>Table818[[#This Row],[Points 2025]]/2+SUM(Table818[[#This Row],[O1  ADMIN 2026]:[P2           WC         CT Open 2026]])</f>
        <v>0.25</v>
      </c>
      <c r="K136" s="106">
        <f t="shared" si="16"/>
        <v>0</v>
      </c>
      <c r="L136" s="106">
        <f t="shared" si="17"/>
        <v>0</v>
      </c>
      <c r="M136" s="106"/>
      <c r="N136" s="708"/>
      <c r="O136" s="708"/>
      <c r="P136" s="708"/>
      <c r="Q136" s="636"/>
      <c r="R136" s="442"/>
      <c r="S136" s="442"/>
      <c r="T136" s="442"/>
      <c r="U136" s="636"/>
      <c r="V136" s="636"/>
      <c r="W136" s="442"/>
      <c r="X136" s="442"/>
      <c r="Y136" s="442"/>
      <c r="Z136" s="636"/>
      <c r="AA136" s="442"/>
      <c r="AB136" s="442"/>
      <c r="AC136" s="442"/>
      <c r="AD136" s="442"/>
      <c r="AE136" s="636"/>
      <c r="AF136" s="636">
        <f>2/2</f>
        <v>1</v>
      </c>
      <c r="AG136" s="636"/>
      <c r="AH136" s="636"/>
      <c r="AI136" s="636"/>
      <c r="AJ136" s="636"/>
      <c r="AK136" s="636"/>
      <c r="AL136" s="629"/>
    </row>
    <row r="137" spans="1:38">
      <c r="A137" s="652">
        <f>IFERROR(VLOOKUP(Table818[[#This Row],[Player No]],Table10[[#All],[No]:[Age Group]],4,0),"")</f>
        <v>0</v>
      </c>
      <c r="B137" s="648">
        <v>69</v>
      </c>
      <c r="C137" s="649">
        <f t="shared" si="15"/>
        <v>-64</v>
      </c>
      <c r="D137" s="63">
        <f t="shared" ref="D137:D146" si="18">+D136+1</f>
        <v>133</v>
      </c>
      <c r="E137" s="636">
        <v>3911</v>
      </c>
      <c r="F137" s="64" t="str">
        <f>IFERROR(VLOOKUP(Table818[[#This Row],[Player No]],Table10[[No]:[Province]],2,0),"")</f>
        <v>RAGHUNAN Roman</v>
      </c>
      <c r="G137" s="65" t="str">
        <f>IFERROR(VLOOKUP(Table818[[#This Row],[Player No]],Table10[[No]:[Province]],3,0),"")</f>
        <v>ETTA</v>
      </c>
      <c r="H137" s="650">
        <v>1</v>
      </c>
      <c r="I137" s="651">
        <v>0.5</v>
      </c>
      <c r="J137" s="789">
        <f>Table818[[#This Row],[Points 2025]]/2+SUM(Table818[[#This Row],[O1  ADMIN 2026]:[P2           WC         CT Open 2026]])</f>
        <v>0.25</v>
      </c>
      <c r="K137" s="106">
        <f t="shared" si="16"/>
        <v>0</v>
      </c>
      <c r="L137" s="106">
        <f t="shared" si="17"/>
        <v>0</v>
      </c>
      <c r="M137" s="106"/>
      <c r="N137" s="708"/>
      <c r="O137" s="708"/>
      <c r="P137" s="708"/>
      <c r="Q137" s="636"/>
      <c r="R137" s="442"/>
      <c r="S137" s="442"/>
      <c r="T137" s="442"/>
      <c r="U137" s="636"/>
      <c r="V137" s="636"/>
      <c r="W137" s="442"/>
      <c r="X137" s="442"/>
      <c r="Y137" s="442"/>
      <c r="Z137" s="636"/>
      <c r="AA137" s="442"/>
      <c r="AB137" s="442"/>
      <c r="AC137" s="442"/>
      <c r="AD137" s="442"/>
      <c r="AE137" s="636"/>
      <c r="AF137" s="636">
        <f>2/2</f>
        <v>1</v>
      </c>
      <c r="AG137" s="636"/>
      <c r="AH137" s="636"/>
      <c r="AI137" s="636"/>
      <c r="AJ137" s="636"/>
      <c r="AK137" s="636"/>
      <c r="AL137" s="629"/>
    </row>
    <row r="138" spans="1:38">
      <c r="A138" s="652">
        <f>IFERROR(VLOOKUP(Table818[[#This Row],[Player No]],Table10[[#All],[No]:[Age Group]],4,0),"")</f>
        <v>0</v>
      </c>
      <c r="B138" s="648">
        <v>72</v>
      </c>
      <c r="C138" s="649">
        <f t="shared" si="15"/>
        <v>-62</v>
      </c>
      <c r="D138" s="63">
        <f t="shared" si="18"/>
        <v>134</v>
      </c>
      <c r="E138" s="636">
        <v>3952</v>
      </c>
      <c r="F138" s="64" t="str">
        <f>IFERROR(VLOOKUP(Table818[[#This Row],[Player No]],Table10[[No]:[Province]],2,0),"")</f>
        <v>DELPORT Timothy</v>
      </c>
      <c r="G138" s="65" t="str">
        <f>IFERROR(VLOOKUP(Table818[[#This Row],[Player No]],Table10[[No]:[Province]],3,0),"")</f>
        <v>Eden</v>
      </c>
      <c r="H138" s="650">
        <v>1</v>
      </c>
      <c r="I138" s="651">
        <v>0.5</v>
      </c>
      <c r="J138" s="789">
        <f>Table818[[#This Row],[Points 2025]]/2+SUM(Table818[[#This Row],[O1  ADMIN 2026]:[P2           WC         CT Open 2026]])</f>
        <v>0.25</v>
      </c>
      <c r="K138" s="106">
        <f t="shared" si="16"/>
        <v>0</v>
      </c>
      <c r="L138" s="106">
        <f t="shared" si="17"/>
        <v>0</v>
      </c>
      <c r="M138" s="106"/>
      <c r="N138" s="708"/>
      <c r="O138" s="708"/>
      <c r="P138" s="708"/>
      <c r="Q138" s="636"/>
      <c r="R138" s="442"/>
      <c r="S138" s="442"/>
      <c r="T138" s="442"/>
      <c r="U138" s="636"/>
      <c r="V138" s="636"/>
      <c r="W138" s="442"/>
      <c r="X138" s="442"/>
      <c r="Y138" s="442"/>
      <c r="Z138" s="636"/>
      <c r="AA138" s="442"/>
      <c r="AB138" s="442"/>
      <c r="AC138" s="442"/>
      <c r="AD138" s="442"/>
      <c r="AE138" s="636"/>
      <c r="AF138" s="636"/>
      <c r="AG138" s="636"/>
      <c r="AH138" s="636">
        <v>1</v>
      </c>
      <c r="AI138" s="636"/>
      <c r="AJ138" s="636"/>
      <c r="AK138" s="636"/>
      <c r="AL138" s="629"/>
    </row>
    <row r="139" spans="1:38">
      <c r="A139" s="647"/>
      <c r="B139" s="648"/>
      <c r="C139" s="649">
        <f t="shared" si="15"/>
        <v>-135</v>
      </c>
      <c r="D139" s="63">
        <f t="shared" si="18"/>
        <v>135</v>
      </c>
      <c r="E139" s="636">
        <v>4534</v>
      </c>
      <c r="F139" s="64" t="str">
        <f>IFERROR(VLOOKUP(Table818[[#This Row],[Player No]],Table10[[No]:[Province]],2,0),"")</f>
        <v xml:space="preserve">KUSE Iviwe </v>
      </c>
      <c r="G139" s="65" t="str">
        <f>IFERROR(VLOOKUP(Table818[[#This Row],[Player No]],Table10[[No]:[Province]],3,0),"")</f>
        <v>CT</v>
      </c>
      <c r="H139" s="650">
        <v>1</v>
      </c>
      <c r="I139" s="651">
        <v>0.5</v>
      </c>
      <c r="J139" s="789">
        <f>Table818[[#This Row],[Points 2025]]/2+SUM(Table818[[#This Row],[O1  ADMIN 2026]:[P2           WC         CT Open 2026]])</f>
        <v>0.25</v>
      </c>
      <c r="K139" s="106">
        <f t="shared" si="16"/>
        <v>0</v>
      </c>
      <c r="L139" s="106">
        <f t="shared" si="17"/>
        <v>0</v>
      </c>
      <c r="M139" s="106"/>
      <c r="N139" s="708"/>
      <c r="O139" s="708"/>
      <c r="P139" s="708"/>
      <c r="Q139" s="636"/>
      <c r="R139" s="442"/>
      <c r="S139" s="442"/>
      <c r="T139" s="442"/>
      <c r="U139" s="636"/>
      <c r="V139" s="636"/>
      <c r="W139" s="442"/>
      <c r="X139" s="442"/>
      <c r="Y139" s="442"/>
      <c r="Z139" s="636"/>
      <c r="AA139" s="442"/>
      <c r="AB139" s="442"/>
      <c r="AC139" s="442"/>
      <c r="AD139" s="442"/>
      <c r="AE139" s="636"/>
      <c r="AF139" s="636"/>
      <c r="AG139" s="636">
        <v>1</v>
      </c>
      <c r="AH139" s="636"/>
      <c r="AI139" s="636"/>
      <c r="AJ139" s="636"/>
      <c r="AK139" s="636"/>
      <c r="AL139" s="629"/>
    </row>
    <row r="140" spans="1:38">
      <c r="A140" s="647"/>
      <c r="B140" s="648"/>
      <c r="C140" s="649">
        <f t="shared" si="15"/>
        <v>-136</v>
      </c>
      <c r="D140" s="63">
        <f t="shared" si="18"/>
        <v>136</v>
      </c>
      <c r="E140" s="636">
        <v>4540</v>
      </c>
      <c r="F140" s="64" t="str">
        <f>IFERROR(VLOOKUP(Table818[[#This Row],[Player No]],Table10[[No]:[Province]],2,0),"")</f>
        <v xml:space="preserve">MNGUNI Bokang </v>
      </c>
      <c r="G140" s="65" t="str">
        <f>IFERROR(VLOOKUP(Table818[[#This Row],[Player No]],Table10[[No]:[Province]],3,0),"")</f>
        <v>CT</v>
      </c>
      <c r="H140" s="650">
        <v>1</v>
      </c>
      <c r="I140" s="651">
        <v>0.5</v>
      </c>
      <c r="J140" s="789">
        <f>Table818[[#This Row],[Points 2025]]/2+SUM(Table818[[#This Row],[O1  ADMIN 2026]:[P2           WC         CT Open 2026]])</f>
        <v>0.25</v>
      </c>
      <c r="K140" s="106">
        <f t="shared" si="16"/>
        <v>0</v>
      </c>
      <c r="L140" s="106">
        <f t="shared" si="17"/>
        <v>0</v>
      </c>
      <c r="M140" s="106"/>
      <c r="N140" s="708"/>
      <c r="O140" s="708"/>
      <c r="P140" s="708"/>
      <c r="Q140" s="636"/>
      <c r="R140" s="442"/>
      <c r="S140" s="442"/>
      <c r="T140" s="442"/>
      <c r="U140" s="636"/>
      <c r="V140" s="636"/>
      <c r="W140" s="442"/>
      <c r="X140" s="442"/>
      <c r="Y140" s="442"/>
      <c r="Z140" s="636"/>
      <c r="AA140" s="442"/>
      <c r="AB140" s="442"/>
      <c r="AC140" s="442"/>
      <c r="AD140" s="442"/>
      <c r="AE140" s="636"/>
      <c r="AF140" s="636"/>
      <c r="AG140" s="636">
        <v>1</v>
      </c>
      <c r="AH140" s="636"/>
      <c r="AI140" s="636"/>
      <c r="AJ140" s="636"/>
      <c r="AK140" s="636"/>
      <c r="AL140" s="629"/>
    </row>
    <row r="141" spans="1:38">
      <c r="A141" s="652">
        <f>IFERROR(VLOOKUP(Table818[[#This Row],[Player No]],Table10[[#All],[No]:[Age Group]],4,0),"")</f>
        <v>0</v>
      </c>
      <c r="B141" s="648">
        <v>70</v>
      </c>
      <c r="C141" s="649">
        <f t="shared" si="15"/>
        <v>-67</v>
      </c>
      <c r="D141" s="63">
        <f t="shared" si="18"/>
        <v>137</v>
      </c>
      <c r="E141" s="636">
        <v>3361</v>
      </c>
      <c r="F141" s="64" t="str">
        <f>IFERROR(VLOOKUP(Table818[[#This Row],[Player No]],Table10[[No]:[Province]],2,0),"")</f>
        <v>RUITERS Levi</v>
      </c>
      <c r="G141" s="65" t="str">
        <f>IFERROR(VLOOKUP(Table818[[#This Row],[Player No]],Table10[[No]:[Province]],3,0),"")</f>
        <v>CT</v>
      </c>
      <c r="H141" s="650">
        <v>0.75</v>
      </c>
      <c r="I141" s="651">
        <v>0.375</v>
      </c>
      <c r="J141" s="789">
        <f>Table818[[#This Row],[Points 2025]]/2+SUM(Table818[[#This Row],[O1  ADMIN 2026]:[P2           WC         CT Open 2026]])</f>
        <v>0.1875</v>
      </c>
      <c r="K141" s="106">
        <f t="shared" si="16"/>
        <v>0</v>
      </c>
      <c r="L141" s="106">
        <f t="shared" si="17"/>
        <v>0</v>
      </c>
      <c r="M141" s="106"/>
      <c r="N141" s="708"/>
      <c r="O141" s="708"/>
      <c r="P141" s="708"/>
      <c r="Q141" s="636"/>
      <c r="R141" s="442"/>
      <c r="S141" s="442"/>
      <c r="T141" s="442"/>
      <c r="U141" s="636"/>
      <c r="V141" s="636"/>
      <c r="W141" s="442"/>
      <c r="X141" s="442"/>
      <c r="Y141" s="442"/>
      <c r="Z141" s="636"/>
      <c r="AA141" s="442"/>
      <c r="AB141" s="442"/>
      <c r="AC141" s="442"/>
      <c r="AD141" s="442"/>
      <c r="AE141" s="636"/>
      <c r="AF141" s="636"/>
      <c r="AG141" s="636"/>
      <c r="AH141" s="636"/>
      <c r="AI141" s="636"/>
      <c r="AJ141" s="636"/>
      <c r="AK141" s="636"/>
      <c r="AL141" s="629"/>
    </row>
    <row r="142" spans="1:38">
      <c r="A142" s="647"/>
      <c r="B142" s="648"/>
      <c r="C142" s="649">
        <f t="shared" si="15"/>
        <v>-138</v>
      </c>
      <c r="D142" s="63">
        <f t="shared" si="18"/>
        <v>138</v>
      </c>
      <c r="E142" s="636">
        <v>4601</v>
      </c>
      <c r="F142" s="64" t="str">
        <f>IFERROR(VLOOKUP(Table818[[#This Row],[Player No]],Table10[[No]:[Province]],2,0),"")</f>
        <v>Emmanuel Tichiwangani</v>
      </c>
      <c r="G142" s="65" t="str">
        <f>IFERROR(VLOOKUP(Table818[[#This Row],[Player No]],Table10[[No]:[Province]],3,0),"")</f>
        <v>ZIM</v>
      </c>
      <c r="H142" s="650">
        <v>0</v>
      </c>
      <c r="I142" s="651">
        <v>0</v>
      </c>
      <c r="J142" s="789">
        <f>Table818[[#This Row],[Points 2025]]/2+SUM(Table818[[#This Row],[O1  ADMIN 2026]:[P2           WC         CT Open 2026]])</f>
        <v>0</v>
      </c>
      <c r="K142" s="106">
        <f t="shared" si="16"/>
        <v>0</v>
      </c>
      <c r="L142" s="106">
        <f t="shared" si="17"/>
        <v>0</v>
      </c>
      <c r="M142" s="106"/>
      <c r="N142" s="708"/>
      <c r="O142" s="708"/>
      <c r="P142" s="708"/>
      <c r="Q142" s="636"/>
      <c r="R142" s="442"/>
      <c r="S142" s="442"/>
      <c r="T142" s="442"/>
      <c r="U142" s="636"/>
      <c r="V142" s="636"/>
      <c r="W142" s="442"/>
      <c r="X142" s="442"/>
      <c r="Y142" s="442"/>
      <c r="Z142" s="636"/>
      <c r="AA142" s="442">
        <v>0</v>
      </c>
      <c r="AB142" s="442"/>
      <c r="AC142" s="442"/>
      <c r="AD142" s="442"/>
      <c r="AE142" s="636"/>
      <c r="AF142" s="636"/>
      <c r="AG142" s="636"/>
      <c r="AH142" s="636"/>
      <c r="AI142" s="636"/>
      <c r="AJ142" s="636"/>
      <c r="AK142" s="636"/>
      <c r="AL142" s="629"/>
    </row>
    <row r="143" spans="1:38">
      <c r="A143" s="647"/>
      <c r="B143" s="648"/>
      <c r="C143" s="649">
        <f t="shared" si="15"/>
        <v>-139</v>
      </c>
      <c r="D143" s="63">
        <f t="shared" si="18"/>
        <v>139</v>
      </c>
      <c r="E143" s="636">
        <v>1007</v>
      </c>
      <c r="F143" s="64" t="str">
        <f>IFERROR(VLOOKUP(Table818[[#This Row],[Player No]],Table10[[No]:[Province]],2,0),"")</f>
        <v>MTHEMBU Junior</v>
      </c>
      <c r="G143" s="65" t="str">
        <f>IFERROR(VLOOKUP(Table818[[#This Row],[Player No]],Table10[[No]:[Province]],3,0),"")</f>
        <v>UMZ</v>
      </c>
      <c r="H143" s="650"/>
      <c r="I143" s="651">
        <v>0</v>
      </c>
      <c r="J143" s="789">
        <f>Table818[[#This Row],[Points 2025]]/2+SUM(Table818[[#This Row],[O1  ADMIN 2026]:[P2           WC         CT Open 2026]])</f>
        <v>0</v>
      </c>
      <c r="K143" s="106">
        <f t="shared" si="16"/>
        <v>0</v>
      </c>
      <c r="L143" s="106">
        <f t="shared" si="17"/>
        <v>0</v>
      </c>
      <c r="M143" s="106"/>
      <c r="N143" s="708"/>
      <c r="O143" s="708"/>
      <c r="P143" s="708"/>
      <c r="Q143" s="636"/>
      <c r="R143" s="442"/>
      <c r="S143" s="442"/>
      <c r="T143" s="442"/>
      <c r="U143" s="636"/>
      <c r="V143" s="636"/>
      <c r="W143" s="442"/>
      <c r="X143" s="442"/>
      <c r="Y143" s="442"/>
      <c r="Z143" s="636"/>
      <c r="AA143" s="442"/>
      <c r="AB143" s="442"/>
      <c r="AC143" s="442"/>
      <c r="AD143" s="442"/>
      <c r="AE143" s="636"/>
      <c r="AF143" s="636"/>
      <c r="AG143" s="636"/>
      <c r="AH143" s="636"/>
      <c r="AI143" s="636"/>
      <c r="AJ143" s="636"/>
      <c r="AK143" s="636"/>
      <c r="AL143" s="629"/>
    </row>
    <row r="144" spans="1:38">
      <c r="A144" s="647"/>
      <c r="B144" s="648"/>
      <c r="C144" s="649">
        <f t="shared" si="15"/>
        <v>-140</v>
      </c>
      <c r="D144" s="63">
        <f t="shared" si="18"/>
        <v>140</v>
      </c>
      <c r="E144" s="708">
        <v>4127</v>
      </c>
      <c r="F144" s="64" t="str">
        <f>IFERROR(VLOOKUP(Table818[[#This Row],[Player No]],Table10[[No]:[Province]],2,0),"")</f>
        <v>Phikolethu MBANDA</v>
      </c>
      <c r="G144" s="65" t="str">
        <f>IFERROR(VLOOKUP(Table818[[#This Row],[Player No]],Table10[[No]:[Province]],3,0),"")</f>
        <v>EC</v>
      </c>
      <c r="H144" s="650">
        <v>0</v>
      </c>
      <c r="I144" s="651">
        <v>0</v>
      </c>
      <c r="J144" s="789">
        <f>Table818[[#This Row],[Points 2025]]/2+SUM(Table818[[#This Row],[O1  ADMIN 2026]:[P2           WC         CT Open 2026]])</f>
        <v>0</v>
      </c>
      <c r="K144" s="106">
        <f t="shared" si="16"/>
        <v>0</v>
      </c>
      <c r="L144" s="106">
        <f t="shared" si="17"/>
        <v>0</v>
      </c>
      <c r="M144" s="106"/>
      <c r="N144" s="708"/>
      <c r="O144" s="708"/>
      <c r="P144" s="708"/>
      <c r="Q144" s="636"/>
      <c r="R144" s="442"/>
      <c r="S144" s="442"/>
      <c r="T144" s="442"/>
      <c r="U144" s="636"/>
      <c r="V144" s="636"/>
      <c r="W144" s="442"/>
      <c r="X144" s="442"/>
      <c r="Y144" s="442"/>
      <c r="Z144" s="636"/>
      <c r="AA144" s="442">
        <v>0</v>
      </c>
      <c r="AB144" s="442"/>
      <c r="AC144" s="442"/>
      <c r="AD144" s="442"/>
      <c r="AE144" s="636"/>
      <c r="AF144" s="636"/>
      <c r="AG144" s="636"/>
      <c r="AH144" s="636"/>
      <c r="AI144" s="636"/>
      <c r="AJ144" s="636"/>
      <c r="AK144" s="636"/>
      <c r="AL144" s="629"/>
    </row>
    <row r="145" spans="1:38">
      <c r="A145" s="647"/>
      <c r="B145" s="648"/>
      <c r="C145" s="649">
        <f t="shared" si="15"/>
        <v>-141</v>
      </c>
      <c r="D145" s="63">
        <f t="shared" si="18"/>
        <v>141</v>
      </c>
      <c r="E145" s="708">
        <v>4481</v>
      </c>
      <c r="F145" s="64" t="str">
        <f>IFERROR(VLOOKUP(Table818[[#This Row],[Player No]],Table10[[No]:[Province]],2,0),"")</f>
        <v>Katleho STALLERNBERG</v>
      </c>
      <c r="G145" s="65" t="str">
        <f>IFERROR(VLOOKUP(Table818[[#This Row],[Player No]],Table10[[No]:[Province]],3,0),"")</f>
        <v>FS</v>
      </c>
      <c r="H145" s="650">
        <v>0</v>
      </c>
      <c r="I145" s="651">
        <v>0</v>
      </c>
      <c r="J145" s="789">
        <f>Table818[[#This Row],[Points 2025]]/2+SUM(Table818[[#This Row],[O1  ADMIN 2026]:[P2           WC         CT Open 2026]])</f>
        <v>0</v>
      </c>
      <c r="K145" s="106">
        <f t="shared" si="16"/>
        <v>0</v>
      </c>
      <c r="L145" s="106">
        <f t="shared" si="17"/>
        <v>0</v>
      </c>
      <c r="M145" s="106"/>
      <c r="N145" s="708"/>
      <c r="O145" s="708"/>
      <c r="P145" s="708"/>
      <c r="Q145" s="636"/>
      <c r="R145" s="442"/>
      <c r="S145" s="442"/>
      <c r="T145" s="442"/>
      <c r="U145" s="636"/>
      <c r="V145" s="636"/>
      <c r="W145" s="442"/>
      <c r="X145" s="442"/>
      <c r="Y145" s="442"/>
      <c r="Z145" s="636"/>
      <c r="AA145" s="442"/>
      <c r="AB145" s="442"/>
      <c r="AC145" s="442"/>
      <c r="AD145" s="442"/>
      <c r="AE145" s="636"/>
      <c r="AF145" s="636"/>
      <c r="AG145" s="636"/>
      <c r="AH145" s="636"/>
      <c r="AI145" s="636"/>
      <c r="AJ145" s="636"/>
      <c r="AK145" s="636"/>
      <c r="AL145" s="629"/>
    </row>
    <row r="146" spans="1:38">
      <c r="A146" s="647"/>
      <c r="B146" s="648"/>
      <c r="C146" s="649">
        <f t="shared" si="15"/>
        <v>-142</v>
      </c>
      <c r="D146" s="63">
        <f t="shared" si="18"/>
        <v>142</v>
      </c>
      <c r="E146" s="442"/>
      <c r="F146" s="64"/>
      <c r="G146" s="65" t="str">
        <f>IFERROR(VLOOKUP(Table818[[#This Row],[Player No]],Table10[[No]:[Province]],3,0),"")</f>
        <v/>
      </c>
      <c r="H146" s="650">
        <v>0</v>
      </c>
      <c r="I146" s="651">
        <v>0</v>
      </c>
      <c r="J146" s="789">
        <f>Table818[[#This Row],[Points 2025]]/2+SUM(Table818[[#This Row],[O1  ADMIN 2026]:[P2           WC         CT Open 2026]])</f>
        <v>0</v>
      </c>
      <c r="K146" s="106">
        <f t="shared" si="16"/>
        <v>0</v>
      </c>
      <c r="L146" s="106">
        <f t="shared" si="17"/>
        <v>0</v>
      </c>
      <c r="M146" s="106"/>
      <c r="N146" s="708"/>
      <c r="O146" s="708"/>
      <c r="P146" s="708"/>
      <c r="Q146" s="636"/>
      <c r="R146" s="442"/>
      <c r="S146" s="442"/>
      <c r="T146" s="442"/>
      <c r="U146" s="636"/>
      <c r="V146" s="636"/>
      <c r="W146" s="442"/>
      <c r="X146" s="442"/>
      <c r="Y146" s="442"/>
      <c r="Z146" s="636"/>
      <c r="AA146" s="442"/>
      <c r="AB146" s="442"/>
      <c r="AC146" s="442"/>
      <c r="AD146" s="442"/>
      <c r="AE146" s="636"/>
      <c r="AF146" s="636"/>
      <c r="AG146" s="636"/>
      <c r="AH146" s="636"/>
      <c r="AI146" s="636"/>
      <c r="AJ146" s="636"/>
      <c r="AK146" s="636"/>
      <c r="AL146" s="629"/>
    </row>
  </sheetData>
  <sheetProtection algorithmName="SHA-512" hashValue="bv4s/Kbnd+OJeA7XL+gpIRNN69pMLY05AnLW71fK2caATAkExAmfNncD5raioAW0UAbTvmmPmtZmQlzukasrrg==" saltValue="QGE9+bORl02WIcFO8stVbA==" spinCount="100000" sheet="1" selectLockedCells="1" sort="0" autoFilter="0" selectUnlockedCells="1"/>
  <mergeCells count="12">
    <mergeCell ref="C2:G2"/>
    <mergeCell ref="C3:G3"/>
    <mergeCell ref="AF2:AL2"/>
    <mergeCell ref="AG3:AH3"/>
    <mergeCell ref="AJ3:AL3"/>
    <mergeCell ref="Q3:U3"/>
    <mergeCell ref="AB3:AE3"/>
    <mergeCell ref="Q2:AE2"/>
    <mergeCell ref="Y3:Z3"/>
    <mergeCell ref="V3:W3"/>
    <mergeCell ref="N3:O3"/>
    <mergeCell ref="M2:P2"/>
  </mergeCells>
  <phoneticPr fontId="33" type="noConversion"/>
  <conditionalFormatting sqref="F1:F1048576">
    <cfRule type="duplicateValues" dxfId="116" priority="1"/>
    <cfRule type="duplicateValues" dxfId="115" priority="2"/>
  </conditionalFormatting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30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pageSetUpPr fitToPage="1"/>
  </sheetPr>
  <dimension ref="A1:AH120"/>
  <sheetViews>
    <sheetView workbookViewId="0">
      <pane ySplit="4" topLeftCell="A5" activePane="bottomLeft" state="frozen"/>
      <selection activeCell="D4" sqref="D4"/>
      <selection pane="bottomLeft" activeCell="I76" sqref="I76"/>
    </sheetView>
  </sheetViews>
  <sheetFormatPr defaultColWidth="8.81640625" defaultRowHeight="15.5" outlineLevelRow="1" outlineLevelCol="1"/>
  <cols>
    <col min="1" max="1" width="10.453125" style="59" hidden="1" customWidth="1" outlineLevel="1"/>
    <col min="2" max="2" width="12.26953125" style="59" hidden="1" customWidth="1" outlineLevel="1"/>
    <col min="3" max="3" width="11.26953125" style="59" hidden="1" customWidth="1"/>
    <col min="4" max="4" width="8.26953125" style="59" customWidth="1"/>
    <col min="5" max="5" width="9" style="73" customWidth="1"/>
    <col min="6" max="6" width="24.1796875" style="81" bestFit="1" customWidth="1"/>
    <col min="7" max="7" width="7.7265625" style="101" customWidth="1"/>
    <col min="8" max="9" width="10" style="56" customWidth="1"/>
    <col min="10" max="10" width="13.26953125" style="56" customWidth="1" outlineLevel="1"/>
    <col min="11" max="34" width="9" style="56" customWidth="1" outlineLevel="1"/>
    <col min="35" max="16384" width="8.81640625" style="81"/>
  </cols>
  <sheetData>
    <row r="1" spans="1:34" ht="129" customHeight="1" thickBo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</row>
    <row r="2" spans="1:34" ht="32.25" customHeight="1" thickBot="1">
      <c r="B2" s="82"/>
      <c r="C2" s="1157">
        <f>Tournaments!F3</f>
        <v>46113</v>
      </c>
      <c r="D2" s="1158"/>
      <c r="E2" s="1158"/>
      <c r="F2" s="1158"/>
      <c r="G2" s="1159"/>
      <c r="H2" s="922"/>
      <c r="I2" s="938"/>
      <c r="J2" s="926"/>
      <c r="K2" s="925"/>
      <c r="L2" s="1194">
        <v>2026</v>
      </c>
      <c r="M2" s="1195"/>
      <c r="N2" s="1195"/>
      <c r="O2" s="1196"/>
      <c r="P2" s="1182">
        <v>2025</v>
      </c>
      <c r="Q2" s="1183"/>
      <c r="R2" s="1183"/>
      <c r="S2" s="1183"/>
      <c r="T2" s="1183"/>
      <c r="U2" s="1183"/>
      <c r="V2" s="1183"/>
      <c r="W2" s="1183"/>
      <c r="X2" s="1183"/>
      <c r="Y2" s="1183"/>
      <c r="Z2" s="1183"/>
      <c r="AA2" s="1184"/>
      <c r="AB2" s="1182">
        <v>2024</v>
      </c>
      <c r="AC2" s="1183"/>
      <c r="AD2" s="1183"/>
      <c r="AE2" s="1183"/>
      <c r="AF2" s="1183"/>
      <c r="AG2" s="1183"/>
      <c r="AH2" s="1184"/>
    </row>
    <row r="3" spans="1:34" ht="32.25" customHeight="1" thickBot="1">
      <c r="B3" s="70"/>
      <c r="C3" s="1175" t="s">
        <v>3628</v>
      </c>
      <c r="D3" s="1176"/>
      <c r="E3" s="1176"/>
      <c r="F3" s="1176"/>
      <c r="G3" s="1177"/>
      <c r="H3" s="923"/>
      <c r="I3" s="939"/>
      <c r="J3" s="927"/>
      <c r="K3" s="928"/>
      <c r="L3" s="980" t="s">
        <v>3453</v>
      </c>
      <c r="M3" s="1182" t="s">
        <v>2406</v>
      </c>
      <c r="N3" s="1184"/>
      <c r="O3" s="429" t="s">
        <v>1914</v>
      </c>
      <c r="P3" s="1182" t="s">
        <v>2406</v>
      </c>
      <c r="Q3" s="1183"/>
      <c r="R3" s="1183"/>
      <c r="S3" s="1184"/>
      <c r="T3" s="1182" t="s">
        <v>251</v>
      </c>
      <c r="U3" s="1184"/>
      <c r="V3" s="1182" t="s">
        <v>1914</v>
      </c>
      <c r="W3" s="1184"/>
      <c r="X3" s="602" t="s">
        <v>3452</v>
      </c>
      <c r="Y3" s="1182" t="s">
        <v>3453</v>
      </c>
      <c r="Z3" s="1183"/>
      <c r="AA3" s="1184"/>
      <c r="AB3" s="228" t="s">
        <v>2406</v>
      </c>
      <c r="AC3" s="1185" t="s">
        <v>1914</v>
      </c>
      <c r="AD3" s="1186"/>
      <c r="AE3" s="228" t="s">
        <v>3452</v>
      </c>
      <c r="AF3" s="1185" t="s">
        <v>3453</v>
      </c>
      <c r="AG3" s="1187"/>
      <c r="AH3" s="1186"/>
    </row>
    <row r="4" spans="1:34" ht="87.5" outlineLevel="1" thickBot="1">
      <c r="A4" s="248" t="s">
        <v>3279</v>
      </c>
      <c r="B4" s="248" t="s">
        <v>3751</v>
      </c>
      <c r="C4" s="119" t="s">
        <v>3874</v>
      </c>
      <c r="D4" s="119" t="s">
        <v>80</v>
      </c>
      <c r="E4" s="119" t="s">
        <v>113</v>
      </c>
      <c r="F4" s="120" t="s">
        <v>3076</v>
      </c>
      <c r="G4" s="121" t="s">
        <v>3455</v>
      </c>
      <c r="H4" s="119" t="s">
        <v>4930</v>
      </c>
      <c r="I4" s="119" t="s">
        <v>6139</v>
      </c>
      <c r="J4" s="119" t="s">
        <v>219</v>
      </c>
      <c r="K4" s="119" t="s">
        <v>4240</v>
      </c>
      <c r="L4" s="924" t="s">
        <v>6209</v>
      </c>
      <c r="M4" s="122" t="s">
        <v>6155</v>
      </c>
      <c r="N4" s="122" t="s">
        <v>6157</v>
      </c>
      <c r="O4" s="122" t="s">
        <v>6151</v>
      </c>
      <c r="P4" s="122" t="s">
        <v>5449</v>
      </c>
      <c r="Q4" s="122" t="s">
        <v>5252</v>
      </c>
      <c r="R4" s="122" t="s">
        <v>5691</v>
      </c>
      <c r="S4" s="122" t="s">
        <v>5076</v>
      </c>
      <c r="T4" s="122" t="s">
        <v>5631</v>
      </c>
      <c r="U4" s="122" t="s">
        <v>5223</v>
      </c>
      <c r="V4" s="122" t="s">
        <v>5514</v>
      </c>
      <c r="W4" s="122" t="s">
        <v>5399</v>
      </c>
      <c r="X4" s="122" t="s">
        <v>6049</v>
      </c>
      <c r="Y4" s="122" t="s">
        <v>5409</v>
      </c>
      <c r="Z4" s="122" t="s">
        <v>5767</v>
      </c>
      <c r="AA4" s="122" t="s">
        <v>5253</v>
      </c>
      <c r="AB4" s="122" t="s">
        <v>4935</v>
      </c>
      <c r="AC4" s="122" t="s">
        <v>4327</v>
      </c>
      <c r="AD4" s="122" t="s">
        <v>4329</v>
      </c>
      <c r="AE4" s="119" t="s">
        <v>4845</v>
      </c>
      <c r="AF4" s="122" t="s">
        <v>4501</v>
      </c>
      <c r="AG4" s="122" t="s">
        <v>4721</v>
      </c>
      <c r="AH4" s="122" t="s">
        <v>4326</v>
      </c>
    </row>
    <row r="5" spans="1:34">
      <c r="A5" s="98">
        <f>IFERROR(VLOOKUP(Table917[[#This Row],[Player No]],Table11[[#All],[No]:[Age Group]],4,0),"")</f>
        <v>0</v>
      </c>
      <c r="B5" s="99"/>
      <c r="C5" s="450"/>
      <c r="D5" s="114">
        <v>1</v>
      </c>
      <c r="E5" s="114">
        <v>8389</v>
      </c>
      <c r="F5" s="125" t="str">
        <f>IFERROR(VLOOKUP(Table917[[#This Row],[Player No]],Table11[[No]:[Province]],2,0),"")</f>
        <v>SIVNANNAN Syriana</v>
      </c>
      <c r="G5" s="123" t="str">
        <f>IFERROR(VLOOKUP(Table917[[#This Row],[Player No]],Table11[[No]:[Province]],3,0),"")</f>
        <v>UMG</v>
      </c>
      <c r="H5" s="124">
        <v>650.5</v>
      </c>
      <c r="I5" s="789">
        <f>Table917[[#This Row],[Points 2025]]/2+SUM(Table917[[#This Row],[O1  ADMIN 2026]:[P2         WC     Open   2026]])</f>
        <v>425.25</v>
      </c>
      <c r="J5" s="114">
        <f t="shared" ref="J5:J36" si="0">COUNTIF(L5:O5,"&gt;0")</f>
        <v>2</v>
      </c>
      <c r="K5" s="114">
        <f t="shared" ref="K5:K36" si="1">COUNTIF(M5:AH5,"&lt;0")</f>
        <v>0</v>
      </c>
      <c r="L5" s="708"/>
      <c r="M5" s="708">
        <v>50</v>
      </c>
      <c r="N5" s="708">
        <v>50</v>
      </c>
      <c r="O5" s="708"/>
      <c r="P5" s="114">
        <v>75</v>
      </c>
      <c r="Q5" s="114">
        <v>50</v>
      </c>
      <c r="R5" s="114">
        <v>100</v>
      </c>
      <c r="S5" s="114">
        <v>50</v>
      </c>
      <c r="T5" s="114"/>
      <c r="U5" s="114"/>
      <c r="V5" s="114"/>
      <c r="W5" s="114"/>
      <c r="X5" s="400">
        <v>175</v>
      </c>
      <c r="Y5" s="114"/>
      <c r="Z5" s="114">
        <v>75</v>
      </c>
      <c r="AA5" s="114">
        <v>100</v>
      </c>
      <c r="AB5" s="114"/>
      <c r="AC5" s="114"/>
      <c r="AD5" s="114"/>
      <c r="AE5" s="114">
        <v>50</v>
      </c>
      <c r="AF5" s="114"/>
      <c r="AG5" s="114"/>
      <c r="AH5" s="114"/>
    </row>
    <row r="6" spans="1:34">
      <c r="A6" s="98">
        <f>IFERROR(VLOOKUP(Table917[[#This Row],[Player No]],Table11[[#All],[No]:[Age Group]],4,0),"")</f>
        <v>0</v>
      </c>
      <c r="B6" s="99">
        <v>6</v>
      </c>
      <c r="C6" s="450">
        <f>+B6-D6</f>
        <v>4</v>
      </c>
      <c r="D6" s="114">
        <f>D5+1</f>
        <v>2</v>
      </c>
      <c r="E6" s="114">
        <v>8130</v>
      </c>
      <c r="F6" s="123" t="str">
        <f>IFERROR(VLOOKUP(Table917[[#This Row],[Player No]],Table11[[No]:[Province]],2,0),"")</f>
        <v>VERHEIJEN Danyelle</v>
      </c>
      <c r="G6" s="123" t="str">
        <f>IFERROR(VLOOKUP(Table917[[#This Row],[Player No]],Table11[[No]:[Province]],3,0),"")</f>
        <v>GN</v>
      </c>
      <c r="H6" s="124">
        <v>600</v>
      </c>
      <c r="I6" s="789">
        <f>Table917[[#This Row],[Points 2025]]/2+SUM(Table917[[#This Row],[O1  ADMIN 2026]:[P2         WC     Open   2026]])</f>
        <v>300</v>
      </c>
      <c r="J6" s="114">
        <f t="shared" si="0"/>
        <v>0</v>
      </c>
      <c r="K6" s="114">
        <f t="shared" si="1"/>
        <v>0</v>
      </c>
      <c r="L6" s="708"/>
      <c r="M6" s="708" t="s">
        <v>6083</v>
      </c>
      <c r="N6" s="708" t="s">
        <v>6083</v>
      </c>
      <c r="O6" s="708"/>
      <c r="P6" s="114">
        <v>150</v>
      </c>
      <c r="Q6" s="114"/>
      <c r="R6" s="114"/>
      <c r="S6" s="114"/>
      <c r="T6" s="114">
        <v>75</v>
      </c>
      <c r="U6" s="114"/>
      <c r="V6" s="114"/>
      <c r="W6" s="114">
        <v>100</v>
      </c>
      <c r="X6" s="400">
        <v>50</v>
      </c>
      <c r="Y6" s="114"/>
      <c r="Z6" s="114">
        <v>50</v>
      </c>
      <c r="AA6" s="114">
        <v>50</v>
      </c>
      <c r="AB6" s="114">
        <f>75-75</f>
        <v>0</v>
      </c>
      <c r="AC6" s="114"/>
      <c r="AD6" s="114"/>
      <c r="AE6" s="114">
        <v>125</v>
      </c>
      <c r="AF6" s="114"/>
      <c r="AG6" s="114">
        <v>75</v>
      </c>
      <c r="AH6" s="114">
        <f>50/2</f>
        <v>25</v>
      </c>
    </row>
    <row r="7" spans="1:34">
      <c r="A7" s="98" t="str">
        <f>IFERROR(VLOOKUP(Table917[[#This Row],[Player No]],Table11[[#All],[No]:[Age Group]],4,0),"")</f>
        <v>U11</v>
      </c>
      <c r="B7" s="99">
        <v>10</v>
      </c>
      <c r="C7" s="450">
        <f>+B7-D7</f>
        <v>7</v>
      </c>
      <c r="D7" s="114">
        <f t="shared" ref="D7:D38" si="2">+D6+1</f>
        <v>3</v>
      </c>
      <c r="E7" s="114">
        <v>8343</v>
      </c>
      <c r="F7" s="125" t="str">
        <f>IFERROR(VLOOKUP(Table917[[#This Row],[Player No]],Table11[[No]:[Province]],2,0),"")</f>
        <v>HUSVU Anotidaishe</v>
      </c>
      <c r="G7" s="123" t="str">
        <f>IFERROR(VLOOKUP(Table917[[#This Row],[Player No]],Table11[[No]:[Province]],3,0),"")</f>
        <v>GN</v>
      </c>
      <c r="H7" s="124">
        <v>470.5</v>
      </c>
      <c r="I7" s="789">
        <f>Table917[[#This Row],[Points 2025]]/2+SUM(Table917[[#This Row],[O1  ADMIN 2026]:[P2         WC     Open   2026]])</f>
        <v>235.25</v>
      </c>
      <c r="J7" s="114">
        <f t="shared" si="0"/>
        <v>0</v>
      </c>
      <c r="K7" s="114">
        <f t="shared" si="1"/>
        <v>0</v>
      </c>
      <c r="L7" s="708"/>
      <c r="M7" s="708" t="s">
        <v>6083</v>
      </c>
      <c r="N7" s="708" t="s">
        <v>6083</v>
      </c>
      <c r="O7" s="708"/>
      <c r="P7" s="114">
        <v>100</v>
      </c>
      <c r="Q7" s="114">
        <v>35</v>
      </c>
      <c r="R7" s="114"/>
      <c r="S7" s="114"/>
      <c r="T7" s="114">
        <v>100</v>
      </c>
      <c r="U7" s="114"/>
      <c r="V7" s="114"/>
      <c r="W7" s="114">
        <v>2</v>
      </c>
      <c r="X7" s="400">
        <v>75</v>
      </c>
      <c r="Y7" s="114">
        <v>25</v>
      </c>
      <c r="Z7" s="114">
        <v>20</v>
      </c>
      <c r="AA7" s="114">
        <v>75</v>
      </c>
      <c r="AB7" s="114">
        <f>2-2</f>
        <v>0</v>
      </c>
      <c r="AC7" s="114"/>
      <c r="AD7" s="114"/>
      <c r="AE7" s="114">
        <v>25</v>
      </c>
      <c r="AF7" s="114">
        <f>50/2</f>
        <v>25</v>
      </c>
      <c r="AG7" s="114">
        <v>2</v>
      </c>
      <c r="AH7" s="114">
        <f>50/2</f>
        <v>25</v>
      </c>
    </row>
    <row r="8" spans="1:34">
      <c r="A8" s="98" t="str">
        <f>IFERROR(VLOOKUP(Table917[[#This Row],[Player No]],Table11[[#All],[No]:[Age Group]],4,0),"")</f>
        <v>U11</v>
      </c>
      <c r="B8" s="99"/>
      <c r="C8" s="450"/>
      <c r="D8" s="114">
        <f t="shared" si="2"/>
        <v>4</v>
      </c>
      <c r="E8" s="114">
        <v>8442</v>
      </c>
      <c r="F8" s="125" t="str">
        <f>IFERROR(VLOOKUP(Table917[[#This Row],[Player No]],Table11[[No]:[Province]],2,0),"")</f>
        <v>REDDY Jordyn</v>
      </c>
      <c r="G8" s="123" t="str">
        <f>IFERROR(VLOOKUP(Table917[[#This Row],[Player No]],Table11[[No]:[Province]],3,0),"")</f>
        <v>UMG</v>
      </c>
      <c r="H8" s="124">
        <v>187.5</v>
      </c>
      <c r="I8" s="789">
        <f>Table917[[#This Row],[Points 2025]]/2+SUM(Table917[[#This Row],[O1  ADMIN 2026]:[P2         WC     Open   2026]])</f>
        <v>153.75</v>
      </c>
      <c r="J8" s="114">
        <f t="shared" si="0"/>
        <v>2</v>
      </c>
      <c r="K8" s="114">
        <f t="shared" si="1"/>
        <v>0</v>
      </c>
      <c r="L8" s="708"/>
      <c r="M8" s="708">
        <v>25</v>
      </c>
      <c r="N8" s="708">
        <v>35</v>
      </c>
      <c r="O8" s="708"/>
      <c r="P8" s="114">
        <v>75</v>
      </c>
      <c r="Q8" s="114">
        <v>25</v>
      </c>
      <c r="R8" s="114"/>
      <c r="S8" s="114">
        <v>35</v>
      </c>
      <c r="T8" s="114"/>
      <c r="U8" s="114"/>
      <c r="V8" s="114"/>
      <c r="W8" s="114"/>
      <c r="X8" s="400">
        <v>50</v>
      </c>
      <c r="Y8" s="114"/>
      <c r="Z8" s="114"/>
      <c r="AA8" s="114"/>
      <c r="AB8" s="114"/>
      <c r="AC8" s="114"/>
      <c r="AD8" s="114"/>
      <c r="AE8" s="114">
        <v>5</v>
      </c>
      <c r="AF8" s="114"/>
      <c r="AG8" s="114"/>
      <c r="AH8" s="114"/>
    </row>
    <row r="9" spans="1:34">
      <c r="A9" s="98">
        <f>IFERROR(VLOOKUP(Table917[[#This Row],[Player No]],Table11[[#All],[No]:[Age Group]],4,0),"")</f>
        <v>0</v>
      </c>
      <c r="B9" s="99">
        <v>4</v>
      </c>
      <c r="C9" s="450">
        <f t="shared" ref="C9:C21" si="3">+B9-D9</f>
        <v>-1</v>
      </c>
      <c r="D9" s="114">
        <f t="shared" si="2"/>
        <v>5</v>
      </c>
      <c r="E9" s="114">
        <v>8068</v>
      </c>
      <c r="F9" s="123" t="str">
        <f>IFERROR(VLOOKUP(Table917[[#This Row],[Player No]],Table11[[No]:[Province]],2,0),"")</f>
        <v>DADAKER Sameena</v>
      </c>
      <c r="G9" s="123" t="str">
        <f>IFERROR(VLOOKUP(Table917[[#This Row],[Player No]],Table11[[No]:[Province]],3,0),"")</f>
        <v>CT</v>
      </c>
      <c r="H9" s="124">
        <v>300</v>
      </c>
      <c r="I9" s="789">
        <f>Table917[[#This Row],[Points 2025]]/2+SUM(Table917[[#This Row],[O1  ADMIN 2026]:[P2         WC     Open   2026]])</f>
        <v>150</v>
      </c>
      <c r="J9" s="114">
        <f t="shared" si="0"/>
        <v>0</v>
      </c>
      <c r="K9" s="114">
        <f t="shared" si="1"/>
        <v>0</v>
      </c>
      <c r="L9" s="708"/>
      <c r="M9" s="708" t="s">
        <v>6083</v>
      </c>
      <c r="N9" s="708" t="s">
        <v>6083</v>
      </c>
      <c r="O9" s="708"/>
      <c r="P9" s="114" t="s">
        <v>4722</v>
      </c>
      <c r="Q9" s="114"/>
      <c r="R9" s="114"/>
      <c r="S9" s="114"/>
      <c r="T9" s="114"/>
      <c r="U9" s="114"/>
      <c r="V9" s="114"/>
      <c r="W9" s="114" t="s">
        <v>4722</v>
      </c>
      <c r="X9" s="400"/>
      <c r="Y9" s="114"/>
      <c r="Z9" s="114"/>
      <c r="AA9" s="114" t="s">
        <v>4722</v>
      </c>
      <c r="AB9" s="114"/>
      <c r="AC9" s="114">
        <v>75</v>
      </c>
      <c r="AD9" s="114">
        <v>150</v>
      </c>
      <c r="AE9" s="114">
        <v>250</v>
      </c>
      <c r="AF9" s="114"/>
      <c r="AG9" s="114">
        <f>100-100</f>
        <v>0</v>
      </c>
      <c r="AH9" s="114"/>
    </row>
    <row r="10" spans="1:34">
      <c r="A10" s="98">
        <f>IFERROR(VLOOKUP(Table917[[#This Row],[Player No]],Table11[[#All],[No]:[Age Group]],4,0),"")</f>
        <v>0</v>
      </c>
      <c r="B10" s="99">
        <v>23</v>
      </c>
      <c r="C10" s="450">
        <f t="shared" si="3"/>
        <v>17</v>
      </c>
      <c r="D10" s="114">
        <f t="shared" si="2"/>
        <v>6</v>
      </c>
      <c r="E10" s="114">
        <v>8350</v>
      </c>
      <c r="F10" s="125" t="str">
        <f>IFERROR(VLOOKUP(Table917[[#This Row],[Player No]],Table11[[No]:[Province]],2,0),"")</f>
        <v>PARBHOODEEN Tarika Amber</v>
      </c>
      <c r="G10" s="123" t="str">
        <f>IFERROR(VLOOKUP(Table917[[#This Row],[Player No]],Table11[[No]:[Province]],3,0),"")</f>
        <v>UMG</v>
      </c>
      <c r="H10" s="124">
        <v>192</v>
      </c>
      <c r="I10" s="789">
        <f>Table917[[#This Row],[Points 2025]]/2+SUM(Table917[[#This Row],[O1  ADMIN 2026]:[P2         WC     Open   2026]])</f>
        <v>146</v>
      </c>
      <c r="J10" s="114">
        <f t="shared" si="0"/>
        <v>2</v>
      </c>
      <c r="K10" s="114">
        <f t="shared" si="1"/>
        <v>0</v>
      </c>
      <c r="L10" s="708"/>
      <c r="M10" s="708">
        <v>25</v>
      </c>
      <c r="N10" s="708">
        <v>25</v>
      </c>
      <c r="O10" s="708"/>
      <c r="P10" s="114">
        <v>2</v>
      </c>
      <c r="Q10" s="114">
        <v>25</v>
      </c>
      <c r="R10" s="114">
        <v>75</v>
      </c>
      <c r="S10" s="114">
        <v>25</v>
      </c>
      <c r="T10" s="114"/>
      <c r="U10" s="114"/>
      <c r="V10" s="114"/>
      <c r="W10" s="114"/>
      <c r="X10" s="400">
        <v>50</v>
      </c>
      <c r="Y10" s="114"/>
      <c r="Z10" s="114"/>
      <c r="AA10" s="114"/>
      <c r="AB10" s="114">
        <f>50/2</f>
        <v>25</v>
      </c>
      <c r="AC10" s="114"/>
      <c r="AD10" s="114"/>
      <c r="AE10" s="114">
        <v>5</v>
      </c>
      <c r="AF10" s="114"/>
      <c r="AG10" s="114"/>
      <c r="AH10" s="114"/>
    </row>
    <row r="11" spans="1:34">
      <c r="A11" s="98" t="str">
        <f>IFERROR(VLOOKUP(Table917[[#This Row],[Player No]],Table11[[#All],[No]:[Age Group]],4,0),"")</f>
        <v>U11</v>
      </c>
      <c r="B11" s="99">
        <v>16</v>
      </c>
      <c r="C11" s="450">
        <f t="shared" si="3"/>
        <v>9</v>
      </c>
      <c r="D11" s="114">
        <f t="shared" si="2"/>
        <v>7</v>
      </c>
      <c r="E11" s="114">
        <v>8344</v>
      </c>
      <c r="F11" s="125" t="str">
        <f>IFERROR(VLOOKUP(Table917[[#This Row],[Player No]],Table11[[No]:[Province]],2,0),"")</f>
        <v>HUSVU Tadiwanashi</v>
      </c>
      <c r="G11" s="123" t="str">
        <f>IFERROR(VLOOKUP(Table917[[#This Row],[Player No]],Table11[[No]:[Province]],3,0),"")</f>
        <v>GN</v>
      </c>
      <c r="H11" s="124">
        <v>216</v>
      </c>
      <c r="I11" s="789">
        <f>Table917[[#This Row],[Points 2025]]/2+SUM(Table917[[#This Row],[O1  ADMIN 2026]:[P2         WC     Open   2026]])</f>
        <v>143</v>
      </c>
      <c r="J11" s="114">
        <f t="shared" si="0"/>
        <v>1</v>
      </c>
      <c r="K11" s="114">
        <f t="shared" si="1"/>
        <v>0</v>
      </c>
      <c r="L11" s="708"/>
      <c r="M11" s="708">
        <v>35</v>
      </c>
      <c r="N11" s="708" t="s">
        <v>6083</v>
      </c>
      <c r="O11" s="708"/>
      <c r="P11" s="114">
        <v>2</v>
      </c>
      <c r="Q11" s="114">
        <v>1</v>
      </c>
      <c r="R11" s="114"/>
      <c r="S11" s="114"/>
      <c r="T11" s="114">
        <v>50</v>
      </c>
      <c r="U11" s="114"/>
      <c r="V11" s="114"/>
      <c r="W11" s="114">
        <v>2</v>
      </c>
      <c r="X11" s="400">
        <v>5</v>
      </c>
      <c r="Y11" s="114">
        <v>17.5</v>
      </c>
      <c r="Z11" s="114">
        <v>35</v>
      </c>
      <c r="AA11" s="114">
        <v>50</v>
      </c>
      <c r="AB11" s="114">
        <f>2-2</f>
        <v>0</v>
      </c>
      <c r="AC11" s="114"/>
      <c r="AD11" s="114"/>
      <c r="AE11" s="114">
        <v>75</v>
      </c>
      <c r="AF11" s="114">
        <f>35/2</f>
        <v>17.5</v>
      </c>
      <c r="AG11" s="114">
        <v>2</v>
      </c>
      <c r="AH11" s="114">
        <f>25/2</f>
        <v>12.5</v>
      </c>
    </row>
    <row r="12" spans="1:34">
      <c r="A12" s="353" t="e">
        <f>A11+1</f>
        <v>#VALUE!</v>
      </c>
      <c r="B12" s="99"/>
      <c r="C12" s="450">
        <f t="shared" si="3"/>
        <v>-8</v>
      </c>
      <c r="D12" s="114">
        <f t="shared" si="2"/>
        <v>8</v>
      </c>
      <c r="E12" s="330">
        <v>8833</v>
      </c>
      <c r="F12" s="125" t="str">
        <f>IFERROR(VLOOKUP(Table917[[#This Row],[Player No]],Table11[[No]:[Province]],2,0),"")</f>
        <v>SIGANGA Likusasa</v>
      </c>
      <c r="G12" s="123" t="str">
        <f>IFERROR(VLOOKUP(Table917[[#This Row],[Player No]],Table11[[No]:[Province]],3,0),"")</f>
        <v xml:space="preserve">EC </v>
      </c>
      <c r="H12" s="124">
        <v>250</v>
      </c>
      <c r="I12" s="789">
        <f>Table917[[#This Row],[Points 2025]]/2+SUM(Table917[[#This Row],[O1  ADMIN 2026]:[P2         WC     Open   2026]])</f>
        <v>125</v>
      </c>
      <c r="J12" s="114">
        <f t="shared" si="0"/>
        <v>0</v>
      </c>
      <c r="K12" s="114">
        <f t="shared" si="1"/>
        <v>0</v>
      </c>
      <c r="L12" s="708"/>
      <c r="M12" s="827" t="s">
        <v>6083</v>
      </c>
      <c r="N12" s="827" t="s">
        <v>6083</v>
      </c>
      <c r="O12" s="827"/>
      <c r="P12" s="114"/>
      <c r="Q12" s="114"/>
      <c r="R12" s="114"/>
      <c r="S12" s="114"/>
      <c r="T12" s="114"/>
      <c r="U12" s="114"/>
      <c r="V12" s="114"/>
      <c r="W12" s="114"/>
      <c r="X12" s="400">
        <v>250</v>
      </c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</row>
    <row r="13" spans="1:34">
      <c r="A13" s="98">
        <f>IFERROR(VLOOKUP(Table917[[#This Row],[Player No]],Table11[[#All],[No]:[Age Group]],4,0),"")</f>
        <v>0</v>
      </c>
      <c r="B13" s="99">
        <v>52</v>
      </c>
      <c r="C13" s="450">
        <f t="shared" si="3"/>
        <v>43</v>
      </c>
      <c r="D13" s="114">
        <f t="shared" si="2"/>
        <v>9</v>
      </c>
      <c r="E13" s="114">
        <v>8353</v>
      </c>
      <c r="F13" s="125" t="str">
        <f>IFERROR(VLOOKUP(Table917[[#This Row],[Player No]],Table11[[No]:[Province]],2,0),"")</f>
        <v>CUPIDO Zahra-Skye</v>
      </c>
      <c r="G13" s="123" t="str">
        <f>IFERROR(VLOOKUP(Table917[[#This Row],[Player No]],Table11[[No]:[Province]],3,0),"")</f>
        <v>CW</v>
      </c>
      <c r="H13" s="124">
        <v>169.25</v>
      </c>
      <c r="I13" s="789">
        <f>Table917[[#This Row],[Points 2025]]/2+SUM(Table917[[#This Row],[O1  ADMIN 2026]:[P2         WC     Open   2026]])</f>
        <v>84.625</v>
      </c>
      <c r="J13" s="114">
        <f t="shared" si="0"/>
        <v>0</v>
      </c>
      <c r="K13" s="114">
        <f t="shared" si="1"/>
        <v>0</v>
      </c>
      <c r="L13" s="708"/>
      <c r="M13" s="708" t="s">
        <v>6083</v>
      </c>
      <c r="N13" s="708" t="s">
        <v>6083</v>
      </c>
      <c r="O13" s="708"/>
      <c r="P13" s="114"/>
      <c r="Q13" s="114"/>
      <c r="R13" s="114"/>
      <c r="S13" s="114"/>
      <c r="T13" s="114"/>
      <c r="U13" s="114"/>
      <c r="V13" s="114">
        <v>0.5</v>
      </c>
      <c r="W13" s="114">
        <v>150</v>
      </c>
      <c r="X13" s="400"/>
      <c r="Y13" s="114"/>
      <c r="Z13" s="114"/>
      <c r="AA13" s="114"/>
      <c r="AB13" s="114"/>
      <c r="AC13" s="114"/>
      <c r="AD13" s="114">
        <f>75/2</f>
        <v>37.5</v>
      </c>
      <c r="AE13" s="114"/>
      <c r="AF13" s="114"/>
      <c r="AG13" s="114"/>
      <c r="AH13" s="114"/>
    </row>
    <row r="14" spans="1:34">
      <c r="A14" s="98" t="str">
        <f>IFERROR(VLOOKUP(Table917[[#This Row],[Player No]],Table11[[#All],[No]:[Age Group]],4,0),"")</f>
        <v>U11</v>
      </c>
      <c r="B14" s="99">
        <v>39</v>
      </c>
      <c r="C14" s="450">
        <f t="shared" si="3"/>
        <v>29</v>
      </c>
      <c r="D14" s="114">
        <f t="shared" si="2"/>
        <v>10</v>
      </c>
      <c r="E14" s="114">
        <v>8279</v>
      </c>
      <c r="F14" s="125" t="str">
        <f>IFERROR(VLOOKUP(Table917[[#This Row],[Player No]],Table11[[No]:[Province]],2,0),"")</f>
        <v>MARSHALL Lael</v>
      </c>
      <c r="G14" s="123" t="str">
        <f>IFERROR(VLOOKUP(Table917[[#This Row],[Player No]],Table11[[No]:[Province]],3,0),"")</f>
        <v xml:space="preserve">JTTA </v>
      </c>
      <c r="H14" s="124">
        <v>168.75</v>
      </c>
      <c r="I14" s="789">
        <f>Table917[[#This Row],[Points 2025]]/2+SUM(Table917[[#This Row],[O1  ADMIN 2026]:[P2         WC     Open   2026]])</f>
        <v>84.375</v>
      </c>
      <c r="J14" s="114">
        <f t="shared" si="0"/>
        <v>0</v>
      </c>
      <c r="K14" s="114">
        <f t="shared" si="1"/>
        <v>0</v>
      </c>
      <c r="L14" s="708"/>
      <c r="M14" s="708" t="s">
        <v>6083</v>
      </c>
      <c r="N14" s="708" t="s">
        <v>6083</v>
      </c>
      <c r="O14" s="708"/>
      <c r="P14" s="114"/>
      <c r="Q14" s="114"/>
      <c r="R14" s="114"/>
      <c r="S14" s="114"/>
      <c r="T14" s="114"/>
      <c r="U14" s="114"/>
      <c r="V14" s="114"/>
      <c r="W14" s="114"/>
      <c r="X14" s="400"/>
      <c r="Y14" s="114"/>
      <c r="Z14" s="114"/>
      <c r="AA14" s="114"/>
      <c r="AB14" s="114"/>
      <c r="AC14" s="114"/>
      <c r="AD14" s="114"/>
      <c r="AE14" s="114">
        <v>175</v>
      </c>
      <c r="AF14" s="114"/>
      <c r="AG14" s="114">
        <v>150</v>
      </c>
      <c r="AH14" s="114"/>
    </row>
    <row r="15" spans="1:34">
      <c r="A15" s="99">
        <v>0</v>
      </c>
      <c r="B15" s="99"/>
      <c r="C15" s="450">
        <f t="shared" si="3"/>
        <v>-11</v>
      </c>
      <c r="D15" s="114">
        <f t="shared" si="2"/>
        <v>11</v>
      </c>
      <c r="E15" s="114">
        <v>8503</v>
      </c>
      <c r="F15" s="125" t="str">
        <f>IFERROR(VLOOKUP(Table917[[#This Row],[Player No]],Table11[[No]:[Province]],2,0),"")</f>
        <v xml:space="preserve">DOMINGO Imaan </v>
      </c>
      <c r="G15" s="123" t="str">
        <f>IFERROR(VLOOKUP(Table917[[#This Row],[Player No]],Table11[[No]:[Province]],3,0),"")</f>
        <v>CT</v>
      </c>
      <c r="H15" s="124">
        <v>143</v>
      </c>
      <c r="I15" s="789">
        <f>Table917[[#This Row],[Points 2025]]/2+SUM(Table917[[#This Row],[O1  ADMIN 2026]:[P2         WC     Open   2026]])</f>
        <v>71.5</v>
      </c>
      <c r="J15" s="114">
        <f t="shared" si="0"/>
        <v>0</v>
      </c>
      <c r="K15" s="114">
        <f t="shared" si="1"/>
        <v>0</v>
      </c>
      <c r="L15" s="708"/>
      <c r="M15" s="708" t="s">
        <v>6083</v>
      </c>
      <c r="N15" s="708" t="s">
        <v>6083</v>
      </c>
      <c r="O15" s="708"/>
      <c r="P15" s="114"/>
      <c r="Q15" s="114"/>
      <c r="R15" s="114"/>
      <c r="S15" s="114"/>
      <c r="T15" s="114"/>
      <c r="U15" s="114"/>
      <c r="V15" s="114">
        <v>17.5</v>
      </c>
      <c r="W15" s="114">
        <v>75</v>
      </c>
      <c r="X15" s="400">
        <v>50</v>
      </c>
      <c r="Y15" s="114"/>
      <c r="Z15" s="114"/>
      <c r="AA15" s="114"/>
      <c r="AB15" s="114"/>
      <c r="AC15" s="114">
        <v>1</v>
      </c>
      <c r="AD15" s="114"/>
      <c r="AE15" s="114"/>
      <c r="AF15" s="114"/>
      <c r="AG15" s="114"/>
      <c r="AH15" s="114"/>
    </row>
    <row r="16" spans="1:34">
      <c r="A16" s="98">
        <f>IFERROR(VLOOKUP(Table917[[#This Row],[Player No]],Table11[[#All],[No]:[Age Group]],4,0),"")</f>
        <v>0</v>
      </c>
      <c r="B16" s="99">
        <v>1</v>
      </c>
      <c r="C16" s="450">
        <f t="shared" si="3"/>
        <v>-11</v>
      </c>
      <c r="D16" s="114">
        <f t="shared" si="2"/>
        <v>12</v>
      </c>
      <c r="E16" s="114">
        <v>8036</v>
      </c>
      <c r="F16" s="123" t="str">
        <f>IFERROR(VLOOKUP(Table917[[#This Row],[Player No]],Table11[[No]:[Province]],2,0),"")</f>
        <v>JONES Shona</v>
      </c>
      <c r="G16" s="123" t="str">
        <f>IFERROR(VLOOKUP(Table917[[#This Row],[Player No]],Table11[[No]:[Province]],3,0),"")</f>
        <v>CT</v>
      </c>
      <c r="H16" s="124">
        <v>128.125</v>
      </c>
      <c r="I16" s="789">
        <f>Table917[[#This Row],[Points 2025]]/2+SUM(Table917[[#This Row],[O1  ADMIN 2026]:[P2         WC     Open   2026]])</f>
        <v>64.0625</v>
      </c>
      <c r="J16" s="114">
        <f t="shared" si="0"/>
        <v>0</v>
      </c>
      <c r="K16" s="114">
        <f t="shared" si="1"/>
        <v>1</v>
      </c>
      <c r="L16" s="708"/>
      <c r="M16" s="708" t="s">
        <v>6083</v>
      </c>
      <c r="N16" s="708" t="s">
        <v>6083</v>
      </c>
      <c r="O16" s="708"/>
      <c r="P16" s="114"/>
      <c r="Q16" s="114"/>
      <c r="R16" s="114"/>
      <c r="S16" s="114"/>
      <c r="T16" s="114"/>
      <c r="U16" s="114"/>
      <c r="V16" s="114"/>
      <c r="W16" s="114"/>
      <c r="X16" s="400"/>
      <c r="Y16" s="114"/>
      <c r="Z16" s="114"/>
      <c r="AA16" s="114"/>
      <c r="AB16" s="114"/>
      <c r="AC16" s="114">
        <v>100</v>
      </c>
      <c r="AD16" s="114"/>
      <c r="AE16" s="114">
        <v>-50</v>
      </c>
      <c r="AF16" s="114"/>
      <c r="AG16" s="114"/>
      <c r="AH16" s="114"/>
    </row>
    <row r="17" spans="1:34">
      <c r="A17" s="99">
        <v>0</v>
      </c>
      <c r="B17" s="99"/>
      <c r="C17" s="450">
        <f t="shared" si="3"/>
        <v>-13</v>
      </c>
      <c r="D17" s="114">
        <f t="shared" si="2"/>
        <v>13</v>
      </c>
      <c r="E17" s="114">
        <v>8500</v>
      </c>
      <c r="F17" s="125" t="str">
        <f>IFERROR(VLOOKUP(Table917[[#This Row],[Player No]],Table11[[No]:[Province]],2,0),"")</f>
        <v xml:space="preserve">DOMINGO Farah </v>
      </c>
      <c r="G17" s="123" t="str">
        <f>IFERROR(VLOOKUP(Table917[[#This Row],[Player No]],Table11[[No]:[Province]],3,0),"")</f>
        <v>CT</v>
      </c>
      <c r="H17" s="124">
        <v>125.5</v>
      </c>
      <c r="I17" s="789">
        <f>Table917[[#This Row],[Points 2025]]/2+SUM(Table917[[#This Row],[O1  ADMIN 2026]:[P2         WC     Open   2026]])</f>
        <v>62.75</v>
      </c>
      <c r="J17" s="114">
        <f t="shared" si="0"/>
        <v>0</v>
      </c>
      <c r="K17" s="114">
        <f t="shared" si="1"/>
        <v>0</v>
      </c>
      <c r="L17" s="708"/>
      <c r="M17" s="708" t="s">
        <v>6083</v>
      </c>
      <c r="N17" s="708" t="s">
        <v>6083</v>
      </c>
      <c r="O17" s="708"/>
      <c r="P17" s="114"/>
      <c r="Q17" s="114"/>
      <c r="R17" s="114"/>
      <c r="S17" s="114"/>
      <c r="T17" s="114"/>
      <c r="U17" s="114"/>
      <c r="V17" s="114">
        <v>25</v>
      </c>
      <c r="W17" s="114">
        <v>50</v>
      </c>
      <c r="X17" s="400">
        <v>50</v>
      </c>
      <c r="Y17" s="114"/>
      <c r="Z17" s="114"/>
      <c r="AA17" s="114"/>
      <c r="AB17" s="114"/>
      <c r="AC17" s="114">
        <v>1</v>
      </c>
      <c r="AD17" s="114"/>
      <c r="AE17" s="114"/>
      <c r="AF17" s="114"/>
      <c r="AG17" s="114"/>
      <c r="AH17" s="114"/>
    </row>
    <row r="18" spans="1:34">
      <c r="A18" s="98">
        <f>IFERROR(VLOOKUP(Table917[[#This Row],[Player No]],Table11[[#All],[No]:[Age Group]],4,0),"")</f>
        <v>0</v>
      </c>
      <c r="B18" s="99">
        <v>3</v>
      </c>
      <c r="C18" s="450">
        <f t="shared" si="3"/>
        <v>-11</v>
      </c>
      <c r="D18" s="114">
        <f t="shared" si="2"/>
        <v>14</v>
      </c>
      <c r="E18" s="114">
        <v>8129</v>
      </c>
      <c r="F18" s="123" t="str">
        <f>IFERROR(VLOOKUP(Table917[[#This Row],[Player No]],Table11[[No]:[Province]],2,0),"")</f>
        <v>VERHEIJEN Alicia</v>
      </c>
      <c r="G18" s="123" t="str">
        <f>IFERROR(VLOOKUP(Table917[[#This Row],[Player No]],Table11[[No]:[Province]],3,0),"")</f>
        <v>GN</v>
      </c>
      <c r="H18" s="124">
        <v>125</v>
      </c>
      <c r="I18" s="789">
        <f>Table917[[#This Row],[Points 2025]]/2+SUM(Table917[[#This Row],[O1  ADMIN 2026]:[P2         WC     Open   2026]])</f>
        <v>62.5</v>
      </c>
      <c r="J18" s="114">
        <f t="shared" si="0"/>
        <v>0</v>
      </c>
      <c r="K18" s="114">
        <f t="shared" si="1"/>
        <v>0</v>
      </c>
      <c r="L18" s="708"/>
      <c r="M18" s="708" t="s">
        <v>6083</v>
      </c>
      <c r="N18" s="708" t="s">
        <v>6083</v>
      </c>
      <c r="O18" s="708"/>
      <c r="P18" s="114"/>
      <c r="Q18" s="114"/>
      <c r="R18" s="114"/>
      <c r="S18" s="114"/>
      <c r="T18" s="114"/>
      <c r="U18" s="114"/>
      <c r="V18" s="114"/>
      <c r="W18" s="114"/>
      <c r="X18" s="400"/>
      <c r="Y18" s="114"/>
      <c r="Z18" s="114"/>
      <c r="AA18" s="114"/>
      <c r="AB18" s="114">
        <f>50-50</f>
        <v>0</v>
      </c>
      <c r="AC18" s="114"/>
      <c r="AD18" s="114"/>
      <c r="AE18" s="114">
        <v>75</v>
      </c>
      <c r="AF18" s="114"/>
      <c r="AG18" s="114">
        <v>75</v>
      </c>
      <c r="AH18" s="114">
        <f>75/2</f>
        <v>37.5</v>
      </c>
    </row>
    <row r="19" spans="1:34">
      <c r="A19" s="353">
        <f>A18+1</f>
        <v>1</v>
      </c>
      <c r="B19" s="99"/>
      <c r="C19" s="450">
        <f t="shared" si="3"/>
        <v>-15</v>
      </c>
      <c r="D19" s="114">
        <f t="shared" si="2"/>
        <v>15</v>
      </c>
      <c r="E19" s="330">
        <v>8738</v>
      </c>
      <c r="F19" s="125" t="str">
        <f>IFERROR(VLOOKUP(Table917[[#This Row],[Player No]],Table11[[No]:[Province]],2,0),"")</f>
        <v>Princess Tichiwangani</v>
      </c>
      <c r="G19" s="123" t="str">
        <f>IFERROR(VLOOKUP(Table917[[#This Row],[Player No]],Table11[[No]:[Province]],3,0),"")</f>
        <v>ZIM</v>
      </c>
      <c r="H19" s="124">
        <v>125</v>
      </c>
      <c r="I19" s="789">
        <f>Table917[[#This Row],[Points 2025]]/2+SUM(Table917[[#This Row],[O1  ADMIN 2026]:[P2         WC     Open   2026]])</f>
        <v>62.5</v>
      </c>
      <c r="J19" s="114">
        <f t="shared" si="0"/>
        <v>0</v>
      </c>
      <c r="K19" s="114">
        <f t="shared" si="1"/>
        <v>0</v>
      </c>
      <c r="L19" s="708"/>
      <c r="M19" s="827" t="s">
        <v>6083</v>
      </c>
      <c r="N19" s="827" t="s">
        <v>6083</v>
      </c>
      <c r="O19" s="827"/>
      <c r="P19" s="114"/>
      <c r="Q19" s="114"/>
      <c r="R19" s="114"/>
      <c r="S19" s="114"/>
      <c r="T19" s="114"/>
      <c r="U19" s="114"/>
      <c r="V19" s="114"/>
      <c r="W19" s="114"/>
      <c r="X19" s="400">
        <v>125</v>
      </c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</row>
    <row r="20" spans="1:34">
      <c r="A20" s="353">
        <f>A19+1</f>
        <v>2</v>
      </c>
      <c r="B20" s="99"/>
      <c r="C20" s="450">
        <f t="shared" si="3"/>
        <v>-16</v>
      </c>
      <c r="D20" s="114">
        <f t="shared" si="2"/>
        <v>16</v>
      </c>
      <c r="E20" s="330">
        <v>8828</v>
      </c>
      <c r="F20" s="125" t="str">
        <f>IFERROR(VLOOKUP(Table917[[#This Row],[Player No]],Table11[[No]:[Province]],2,0),"")</f>
        <v>THUNGWANE Liyaphila</v>
      </c>
      <c r="G20" s="123" t="str">
        <f>IFERROR(VLOOKUP(Table917[[#This Row],[Player No]],Table11[[No]:[Province]],3,0),"")</f>
        <v xml:space="preserve">EC </v>
      </c>
      <c r="H20" s="124">
        <v>125</v>
      </c>
      <c r="I20" s="789">
        <f>Table917[[#This Row],[Points 2025]]/2+SUM(Table917[[#This Row],[O1  ADMIN 2026]:[P2         WC     Open   2026]])</f>
        <v>62.5</v>
      </c>
      <c r="J20" s="114">
        <f t="shared" si="0"/>
        <v>0</v>
      </c>
      <c r="K20" s="114">
        <f t="shared" si="1"/>
        <v>0</v>
      </c>
      <c r="L20" s="708"/>
      <c r="M20" s="827" t="s">
        <v>6083</v>
      </c>
      <c r="N20" s="827" t="s">
        <v>6083</v>
      </c>
      <c r="O20" s="827"/>
      <c r="P20" s="114"/>
      <c r="Q20" s="114"/>
      <c r="R20" s="114"/>
      <c r="S20" s="114"/>
      <c r="T20" s="114"/>
      <c r="U20" s="114"/>
      <c r="V20" s="114"/>
      <c r="W20" s="114"/>
      <c r="X20" s="400">
        <v>125</v>
      </c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</row>
    <row r="21" spans="1:34">
      <c r="A21" s="98">
        <f>IFERROR(VLOOKUP(Table917[[#This Row],[Player No]],Table11[[#All],[No]:[Age Group]],4,0),"")</f>
        <v>0</v>
      </c>
      <c r="B21" s="99">
        <v>2</v>
      </c>
      <c r="C21" s="450">
        <f t="shared" si="3"/>
        <v>-15</v>
      </c>
      <c r="D21" s="114">
        <f t="shared" si="2"/>
        <v>17</v>
      </c>
      <c r="E21" s="114">
        <v>8097</v>
      </c>
      <c r="F21" s="123" t="str">
        <f>IFERROR(VLOOKUP(Table917[[#This Row],[Player No]],Table11[[No]:[Province]],2,0),"")</f>
        <v>GOKAL Mahi</v>
      </c>
      <c r="G21" s="123" t="str">
        <f>IFERROR(VLOOKUP(Table917[[#This Row],[Player No]],Table11[[No]:[Province]],3,0),"")</f>
        <v>ETK</v>
      </c>
      <c r="H21" s="124">
        <v>118.75</v>
      </c>
      <c r="I21" s="789">
        <f>Table917[[#This Row],[Points 2025]]/2+SUM(Table917[[#This Row],[O1  ADMIN 2026]:[P2         WC     Open   2026]])</f>
        <v>59.375</v>
      </c>
      <c r="J21" s="114">
        <f t="shared" si="0"/>
        <v>0</v>
      </c>
      <c r="K21" s="114">
        <f t="shared" si="1"/>
        <v>0</v>
      </c>
      <c r="L21" s="708"/>
      <c r="M21" s="708" t="s">
        <v>6083</v>
      </c>
      <c r="N21" s="708" t="s">
        <v>6083</v>
      </c>
      <c r="O21" s="708"/>
      <c r="P21" s="114"/>
      <c r="Q21" s="114"/>
      <c r="R21" s="114"/>
      <c r="S21" s="114"/>
      <c r="T21" s="114"/>
      <c r="U21" s="114"/>
      <c r="V21" s="114"/>
      <c r="W21" s="114"/>
      <c r="X21" s="400"/>
      <c r="Y21" s="114"/>
      <c r="Z21" s="114"/>
      <c r="AA21" s="114"/>
      <c r="AB21" s="114">
        <f>150/2</f>
        <v>75</v>
      </c>
      <c r="AC21" s="114"/>
      <c r="AD21" s="114"/>
      <c r="AE21" s="114">
        <v>75</v>
      </c>
      <c r="AF21" s="114"/>
      <c r="AG21" s="114"/>
      <c r="AH21" s="114">
        <f>100/2</f>
        <v>50</v>
      </c>
    </row>
    <row r="22" spans="1:34">
      <c r="A22" s="99">
        <v>0</v>
      </c>
      <c r="B22" s="99"/>
      <c r="C22" s="450"/>
      <c r="D22" s="114">
        <f t="shared" si="2"/>
        <v>18</v>
      </c>
      <c r="E22" s="114">
        <v>8578</v>
      </c>
      <c r="F22" s="125" t="str">
        <f>IFERROR(VLOOKUP(Table917[[#This Row],[Player No]],Table11[[No]:[Province]],2,0),"")</f>
        <v>Kee'ana Pillay</v>
      </c>
      <c r="G22" s="123" t="str">
        <f>IFERROR(VLOOKUP(Table917[[#This Row],[Player No]],Table11[[No]:[Province]],3,0),"")</f>
        <v>UMG</v>
      </c>
      <c r="H22" s="124">
        <v>53</v>
      </c>
      <c r="I22" s="789">
        <f>Table917[[#This Row],[Points 2025]]/2+SUM(Table917[[#This Row],[O1  ADMIN 2026]:[P2         WC     Open   2026]])</f>
        <v>52.5</v>
      </c>
      <c r="J22" s="114">
        <f t="shared" si="0"/>
        <v>2</v>
      </c>
      <c r="K22" s="114">
        <f t="shared" si="1"/>
        <v>0</v>
      </c>
      <c r="L22" s="708"/>
      <c r="M22" s="708">
        <v>1</v>
      </c>
      <c r="N22" s="708">
        <v>25</v>
      </c>
      <c r="O22" s="708"/>
      <c r="P22" s="114">
        <v>2</v>
      </c>
      <c r="Q22" s="114"/>
      <c r="R22" s="114">
        <v>50</v>
      </c>
      <c r="S22" s="114">
        <v>1</v>
      </c>
      <c r="T22" s="114"/>
      <c r="U22" s="114"/>
      <c r="V22" s="114"/>
      <c r="W22" s="114"/>
      <c r="X22" s="400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</row>
    <row r="23" spans="1:34">
      <c r="A23" s="98">
        <f>IFERROR(VLOOKUP(Table917[[#This Row],[Player No]],Table11[[#All],[No]:[Age Group]],4,0),"")</f>
        <v>0</v>
      </c>
      <c r="B23" s="99"/>
      <c r="C23" s="450">
        <f>+B23-D23</f>
        <v>-19</v>
      </c>
      <c r="D23" s="114">
        <f t="shared" si="2"/>
        <v>19</v>
      </c>
      <c r="E23" s="114">
        <v>8574</v>
      </c>
      <c r="F23" s="123" t="str">
        <f>IFERROR(VLOOKUP(Table917[[#This Row],[Player No]],Table11[[No]:[Province]],2,0),"")</f>
        <v>Jiya Naidoo</v>
      </c>
      <c r="G23" s="123" t="str">
        <f>IFERROR(VLOOKUP(Table917[[#This Row],[Player No]],Table11[[No]:[Province]],3,0),"")</f>
        <v>UMG</v>
      </c>
      <c r="H23" s="124">
        <v>103</v>
      </c>
      <c r="I23" s="789">
        <f>Table917[[#This Row],[Points 2025]]/2+SUM(Table917[[#This Row],[O1  ADMIN 2026]:[P2         WC     Open   2026]])</f>
        <v>51.5</v>
      </c>
      <c r="J23" s="114">
        <f t="shared" si="0"/>
        <v>0</v>
      </c>
      <c r="K23" s="114">
        <f t="shared" si="1"/>
        <v>0</v>
      </c>
      <c r="L23" s="708"/>
      <c r="M23" s="708" t="s">
        <v>6083</v>
      </c>
      <c r="N23" s="708" t="s">
        <v>6083</v>
      </c>
      <c r="O23" s="708"/>
      <c r="P23" s="114">
        <v>2</v>
      </c>
      <c r="Q23" s="114">
        <v>1</v>
      </c>
      <c r="R23" s="114">
        <v>50</v>
      </c>
      <c r="S23" s="114">
        <v>25</v>
      </c>
      <c r="T23" s="114"/>
      <c r="U23" s="114"/>
      <c r="V23" s="114"/>
      <c r="W23" s="114"/>
      <c r="X23" s="400">
        <v>25</v>
      </c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</row>
    <row r="24" spans="1:34">
      <c r="A24" s="99">
        <v>0</v>
      </c>
      <c r="B24" s="99"/>
      <c r="C24" s="450"/>
      <c r="D24" s="114">
        <f t="shared" si="2"/>
        <v>20</v>
      </c>
      <c r="E24" s="114">
        <v>8427</v>
      </c>
      <c r="F24" s="125" t="str">
        <f>IFERROR(VLOOKUP(Table917[[#This Row],[Player No]],Table11[[No]:[Province]],2,0),"")</f>
        <v xml:space="preserve">NKADIMENG Kgothatso </v>
      </c>
      <c r="G24" s="123" t="str">
        <f>IFERROR(VLOOKUP(Table917[[#This Row],[Player No]],Table11[[No]:[Province]],3,0),"")</f>
        <v>LIM</v>
      </c>
      <c r="H24" s="124">
        <v>77.5</v>
      </c>
      <c r="I24" s="789">
        <f>Table917[[#This Row],[Points 2025]]/2+SUM(Table917[[#This Row],[O1  ADMIN 2026]:[P2         WC     Open   2026]])</f>
        <v>38.75</v>
      </c>
      <c r="J24" s="114">
        <f t="shared" si="0"/>
        <v>0</v>
      </c>
      <c r="K24" s="114">
        <f t="shared" si="1"/>
        <v>0</v>
      </c>
      <c r="L24" s="708"/>
      <c r="M24" s="708" t="s">
        <v>6083</v>
      </c>
      <c r="N24" s="708" t="s">
        <v>6083</v>
      </c>
      <c r="O24" s="708"/>
      <c r="P24" s="114"/>
      <c r="Q24" s="114"/>
      <c r="R24" s="114"/>
      <c r="S24" s="114"/>
      <c r="T24" s="114"/>
      <c r="U24" s="114"/>
      <c r="V24" s="114"/>
      <c r="W24" s="114"/>
      <c r="X24" s="400">
        <v>75</v>
      </c>
      <c r="Y24" s="114"/>
      <c r="Z24" s="114"/>
      <c r="AA24" s="114"/>
      <c r="AB24" s="114"/>
      <c r="AC24" s="114"/>
      <c r="AD24" s="114"/>
      <c r="AE24" s="114">
        <v>5</v>
      </c>
      <c r="AF24" s="114"/>
      <c r="AG24" s="114"/>
      <c r="AH24" s="114"/>
    </row>
    <row r="25" spans="1:34">
      <c r="A25" s="353">
        <f>A24+1</f>
        <v>1</v>
      </c>
      <c r="B25" s="99"/>
      <c r="C25" s="450">
        <f>+B25-D25</f>
        <v>-21</v>
      </c>
      <c r="D25" s="114">
        <f t="shared" si="2"/>
        <v>21</v>
      </c>
      <c r="E25" s="330">
        <v>8756</v>
      </c>
      <c r="F25" s="125" t="str">
        <f>IFERROR(VLOOKUP(Table917[[#This Row],[Player No]],Table11[[No]:[Province]],2,0),"")</f>
        <v xml:space="preserve">DAVIDS Rukaya </v>
      </c>
      <c r="G25" s="123" t="str">
        <f>IFERROR(VLOOKUP(Table917[[#This Row],[Player No]],Table11[[No]:[Province]],3,0),"")</f>
        <v>CT</v>
      </c>
      <c r="H25" s="124">
        <v>75</v>
      </c>
      <c r="I25" s="789">
        <f>Table917[[#This Row],[Points 2025]]/2+SUM(Table917[[#This Row],[O1  ADMIN 2026]:[P2         WC     Open   2026]])</f>
        <v>37.5</v>
      </c>
      <c r="J25" s="114">
        <f t="shared" si="0"/>
        <v>0</v>
      </c>
      <c r="K25" s="114">
        <f t="shared" si="1"/>
        <v>0</v>
      </c>
      <c r="L25" s="708"/>
      <c r="M25" s="827" t="s">
        <v>6083</v>
      </c>
      <c r="N25" s="827" t="s">
        <v>6083</v>
      </c>
      <c r="O25" s="827"/>
      <c r="P25" s="114"/>
      <c r="Q25" s="114"/>
      <c r="R25" s="114"/>
      <c r="S25" s="114"/>
      <c r="T25" s="114"/>
      <c r="U25" s="114"/>
      <c r="V25" s="114"/>
      <c r="W25" s="114">
        <v>75</v>
      </c>
      <c r="X25" s="400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</row>
    <row r="26" spans="1:34">
      <c r="A26" s="353">
        <f>A25+1</f>
        <v>2</v>
      </c>
      <c r="B26" s="99"/>
      <c r="C26" s="450">
        <f>+B26-D26</f>
        <v>-22</v>
      </c>
      <c r="D26" s="114">
        <f t="shared" si="2"/>
        <v>22</v>
      </c>
      <c r="E26" s="330">
        <v>8739</v>
      </c>
      <c r="F26" s="125" t="str">
        <f>IFERROR(VLOOKUP(Table917[[#This Row],[Player No]],Table11[[No]:[Province]],2,0),"")</f>
        <v>Prudence Point Pashi</v>
      </c>
      <c r="G26" s="123" t="str">
        <f>IFERROR(VLOOKUP(Table917[[#This Row],[Player No]],Table11[[No]:[Province]],3,0),"")</f>
        <v>ZIM</v>
      </c>
      <c r="H26" s="124">
        <v>75</v>
      </c>
      <c r="I26" s="789">
        <f>Table917[[#This Row],[Points 2025]]/2+SUM(Table917[[#This Row],[O1  ADMIN 2026]:[P2         WC     Open   2026]])</f>
        <v>37.5</v>
      </c>
      <c r="J26" s="114">
        <f t="shared" si="0"/>
        <v>0</v>
      </c>
      <c r="K26" s="114">
        <f t="shared" si="1"/>
        <v>0</v>
      </c>
      <c r="L26" s="708"/>
      <c r="M26" s="827" t="s">
        <v>6083</v>
      </c>
      <c r="N26" s="827" t="s">
        <v>6083</v>
      </c>
      <c r="O26" s="827"/>
      <c r="P26" s="114"/>
      <c r="Q26" s="114"/>
      <c r="R26" s="114"/>
      <c r="S26" s="114"/>
      <c r="T26" s="114"/>
      <c r="U26" s="114"/>
      <c r="V26" s="114"/>
      <c r="W26" s="114"/>
      <c r="X26" s="400">
        <v>75</v>
      </c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</row>
    <row r="27" spans="1:34">
      <c r="A27" s="353">
        <f>A26+1</f>
        <v>3</v>
      </c>
      <c r="B27" s="99"/>
      <c r="C27" s="450">
        <f>+B27-D27</f>
        <v>-23</v>
      </c>
      <c r="D27" s="114">
        <f t="shared" si="2"/>
        <v>23</v>
      </c>
      <c r="E27" s="330">
        <v>8802</v>
      </c>
      <c r="F27" s="125" t="str">
        <f>IFERROR(VLOOKUP(Table917[[#This Row],[Player No]],Table11[[No]:[Province]],2,0),"")</f>
        <v>RADINGOANA Charity</v>
      </c>
      <c r="G27" s="123" t="str">
        <f>IFERROR(VLOOKUP(Table917[[#This Row],[Player No]],Table11[[No]:[Province]],3,0),"")</f>
        <v>LIM</v>
      </c>
      <c r="H27" s="124">
        <v>75</v>
      </c>
      <c r="I27" s="789">
        <f>Table917[[#This Row],[Points 2025]]/2+SUM(Table917[[#This Row],[O1  ADMIN 2026]:[P2         WC     Open   2026]])</f>
        <v>37.5</v>
      </c>
      <c r="J27" s="114">
        <f t="shared" si="0"/>
        <v>0</v>
      </c>
      <c r="K27" s="114">
        <f t="shared" si="1"/>
        <v>0</v>
      </c>
      <c r="L27" s="708"/>
      <c r="M27" s="827" t="s">
        <v>6083</v>
      </c>
      <c r="N27" s="827" t="s">
        <v>6083</v>
      </c>
      <c r="O27" s="827"/>
      <c r="P27" s="114"/>
      <c r="Q27" s="114"/>
      <c r="R27" s="114"/>
      <c r="S27" s="114"/>
      <c r="T27" s="114"/>
      <c r="U27" s="114"/>
      <c r="V27" s="114"/>
      <c r="W27" s="114"/>
      <c r="X27" s="400">
        <v>75</v>
      </c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</row>
    <row r="28" spans="1:34">
      <c r="A28" s="99">
        <v>0</v>
      </c>
      <c r="B28" s="99"/>
      <c r="C28" s="450"/>
      <c r="D28" s="114">
        <f t="shared" si="2"/>
        <v>24</v>
      </c>
      <c r="E28" s="114">
        <v>8530</v>
      </c>
      <c r="F28" s="125" t="str">
        <f>IFERROR(VLOOKUP(Table917[[#This Row],[Player No]],Table11[[No]:[Province]],2,0),"")</f>
        <v xml:space="preserve">Zahraa Cassiem                </v>
      </c>
      <c r="G28" s="123" t="str">
        <f>IFERROR(VLOOKUP(Table917[[#This Row],[Player No]],Table11[[No]:[Province]],3,0),"")</f>
        <v>CT</v>
      </c>
      <c r="H28" s="124">
        <v>62.5</v>
      </c>
      <c r="I28" s="789">
        <f>Table917[[#This Row],[Points 2025]]/2+SUM(Table917[[#This Row],[O1  ADMIN 2026]:[P2         WC     Open   2026]])</f>
        <v>31.25</v>
      </c>
      <c r="J28" s="114">
        <f t="shared" si="0"/>
        <v>0</v>
      </c>
      <c r="K28" s="114">
        <f t="shared" si="1"/>
        <v>0</v>
      </c>
      <c r="L28" s="708"/>
      <c r="M28" s="708" t="s">
        <v>6083</v>
      </c>
      <c r="N28" s="708" t="s">
        <v>6083</v>
      </c>
      <c r="O28" s="708"/>
      <c r="P28" s="114"/>
      <c r="Q28" s="114"/>
      <c r="R28" s="114"/>
      <c r="S28" s="114"/>
      <c r="T28" s="114"/>
      <c r="U28" s="114"/>
      <c r="V28" s="114">
        <v>12.5</v>
      </c>
      <c r="W28" s="114">
        <v>50</v>
      </c>
      <c r="X28" s="400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</row>
    <row r="29" spans="1:34">
      <c r="A29" s="353">
        <f>A28+1</f>
        <v>1</v>
      </c>
      <c r="B29" s="99"/>
      <c r="C29" s="450">
        <f>+B29-D29</f>
        <v>-25</v>
      </c>
      <c r="D29" s="114">
        <f t="shared" si="2"/>
        <v>25</v>
      </c>
      <c r="E29" s="330">
        <v>8758</v>
      </c>
      <c r="F29" s="125" t="str">
        <f>IFERROR(VLOOKUP(Table917[[#This Row],[Player No]],Table11[[No]:[Province]],2,0),"")</f>
        <v xml:space="preserve">LALLO Azalea </v>
      </c>
      <c r="G29" s="123" t="str">
        <f>IFERROR(VLOOKUP(Table917[[#This Row],[Player No]],Table11[[No]:[Province]],3,0),"")</f>
        <v>CT</v>
      </c>
      <c r="H29" s="124">
        <v>55</v>
      </c>
      <c r="I29" s="789">
        <f>Table917[[#This Row],[Points 2025]]/2+SUM(Table917[[#This Row],[O1  ADMIN 2026]:[P2         WC     Open   2026]])</f>
        <v>27.5</v>
      </c>
      <c r="J29" s="114">
        <f t="shared" si="0"/>
        <v>0</v>
      </c>
      <c r="K29" s="114">
        <f t="shared" si="1"/>
        <v>0</v>
      </c>
      <c r="L29" s="708"/>
      <c r="M29" s="827" t="s">
        <v>6083</v>
      </c>
      <c r="N29" s="827" t="s">
        <v>6083</v>
      </c>
      <c r="O29" s="827"/>
      <c r="P29" s="114"/>
      <c r="Q29" s="114"/>
      <c r="R29" s="114"/>
      <c r="S29" s="114"/>
      <c r="T29" s="114"/>
      <c r="U29" s="114"/>
      <c r="V29" s="114"/>
      <c r="W29" s="114">
        <v>50</v>
      </c>
      <c r="X29" s="400">
        <v>5</v>
      </c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</row>
    <row r="30" spans="1:34">
      <c r="A30" s="99">
        <v>0</v>
      </c>
      <c r="B30" s="99"/>
      <c r="C30" s="450"/>
      <c r="D30" s="114">
        <f t="shared" si="2"/>
        <v>26</v>
      </c>
      <c r="E30" s="114">
        <v>8457</v>
      </c>
      <c r="F30" s="125" t="str">
        <f>IFERROR(VLOOKUP(Table917[[#This Row],[Player No]],Table11[[No]:[Province]],2,0),"")</f>
        <v>MARUOA Katleho</v>
      </c>
      <c r="G30" s="123" t="str">
        <f>IFERROR(VLOOKUP(Table917[[#This Row],[Player No]],Table11[[No]:[Province]],3,0),"")</f>
        <v>FS</v>
      </c>
      <c r="H30" s="124">
        <v>52.5</v>
      </c>
      <c r="I30" s="789">
        <f>Table917[[#This Row],[Points 2025]]/2+SUM(Table917[[#This Row],[O1  ADMIN 2026]:[P2         WC     Open   2026]])</f>
        <v>26.25</v>
      </c>
      <c r="J30" s="114">
        <f t="shared" si="0"/>
        <v>0</v>
      </c>
      <c r="K30" s="114">
        <f t="shared" si="1"/>
        <v>0</v>
      </c>
      <c r="L30" s="708"/>
      <c r="M30" s="708" t="s">
        <v>6083</v>
      </c>
      <c r="N30" s="708" t="s">
        <v>6083</v>
      </c>
      <c r="O30" s="708"/>
      <c r="P30" s="114"/>
      <c r="Q30" s="114"/>
      <c r="R30" s="114"/>
      <c r="S30" s="114"/>
      <c r="T30" s="114">
        <v>50</v>
      </c>
      <c r="U30" s="114"/>
      <c r="V30" s="114"/>
      <c r="W30" s="114"/>
      <c r="X30" s="400">
        <v>0</v>
      </c>
      <c r="Y30" s="114"/>
      <c r="Z30" s="114"/>
      <c r="AA30" s="114"/>
      <c r="AB30" s="114"/>
      <c r="AC30" s="114"/>
      <c r="AD30" s="114"/>
      <c r="AE30" s="114">
        <v>5</v>
      </c>
      <c r="AF30" s="114"/>
      <c r="AG30" s="114"/>
      <c r="AH30" s="114"/>
    </row>
    <row r="31" spans="1:34">
      <c r="A31" s="99">
        <f>A30+1</f>
        <v>1</v>
      </c>
      <c r="B31" s="99"/>
      <c r="C31" s="450"/>
      <c r="D31" s="114">
        <f t="shared" si="2"/>
        <v>27</v>
      </c>
      <c r="E31" s="114">
        <v>8220</v>
      </c>
      <c r="F31" s="125" t="str">
        <f>IFERROR(VLOOKUP(Table917[[#This Row],[Player No]],Table11[[No]:[Province]],2,0),"")</f>
        <v>MOSALA Hlompho</v>
      </c>
      <c r="G31" s="123" t="str">
        <f>IFERROR(VLOOKUP(Table917[[#This Row],[Player No]],Table11[[No]:[Province]],3,0),"")</f>
        <v>NW</v>
      </c>
      <c r="H31" s="124">
        <v>50</v>
      </c>
      <c r="I31" s="789">
        <f>Table917[[#This Row],[Points 2025]]/2+SUM(Table917[[#This Row],[O1  ADMIN 2026]:[P2         WC     Open   2026]])</f>
        <v>25</v>
      </c>
      <c r="J31" s="114">
        <f t="shared" si="0"/>
        <v>0</v>
      </c>
      <c r="K31" s="114">
        <f t="shared" si="1"/>
        <v>0</v>
      </c>
      <c r="L31" s="708"/>
      <c r="M31" s="708" t="s">
        <v>6083</v>
      </c>
      <c r="N31" s="708" t="s">
        <v>6083</v>
      </c>
      <c r="O31" s="708"/>
      <c r="P31" s="114"/>
      <c r="Q31" s="114"/>
      <c r="R31" s="114"/>
      <c r="S31" s="114"/>
      <c r="T31" s="114"/>
      <c r="U31" s="114"/>
      <c r="V31" s="114"/>
      <c r="W31" s="114"/>
      <c r="X31" s="400">
        <v>25</v>
      </c>
      <c r="Y31" s="114"/>
      <c r="Z31" s="114"/>
      <c r="AA31" s="114"/>
      <c r="AB31" s="114"/>
      <c r="AC31" s="114"/>
      <c r="AD31" s="114"/>
      <c r="AE31" s="114">
        <v>50</v>
      </c>
      <c r="AF31" s="114"/>
      <c r="AG31" s="114"/>
      <c r="AH31" s="114"/>
    </row>
    <row r="32" spans="1:34">
      <c r="A32" s="353">
        <f>A31+1</f>
        <v>2</v>
      </c>
      <c r="B32" s="99"/>
      <c r="C32" s="450">
        <f>+B32-D32</f>
        <v>-28</v>
      </c>
      <c r="D32" s="114">
        <f t="shared" si="2"/>
        <v>28</v>
      </c>
      <c r="E32" s="330">
        <v>8757</v>
      </c>
      <c r="F32" s="125" t="str">
        <f>IFERROR(VLOOKUP(Table917[[#This Row],[Player No]],Table11[[No]:[Province]],2,0),"")</f>
        <v xml:space="preserve">DE BRUYN Mishkah </v>
      </c>
      <c r="G32" s="123" t="str">
        <f>IFERROR(VLOOKUP(Table917[[#This Row],[Player No]],Table11[[No]:[Province]],3,0),"")</f>
        <v>CT</v>
      </c>
      <c r="H32" s="124">
        <v>50</v>
      </c>
      <c r="I32" s="789">
        <f>Table917[[#This Row],[Points 2025]]/2+SUM(Table917[[#This Row],[O1  ADMIN 2026]:[P2         WC     Open   2026]])</f>
        <v>25</v>
      </c>
      <c r="J32" s="114">
        <f t="shared" si="0"/>
        <v>0</v>
      </c>
      <c r="K32" s="114">
        <f t="shared" si="1"/>
        <v>0</v>
      </c>
      <c r="L32" s="708"/>
      <c r="M32" s="827" t="s">
        <v>6083</v>
      </c>
      <c r="N32" s="827" t="s">
        <v>6083</v>
      </c>
      <c r="O32" s="827"/>
      <c r="P32" s="114"/>
      <c r="Q32" s="114"/>
      <c r="R32" s="114"/>
      <c r="S32" s="114"/>
      <c r="T32" s="114"/>
      <c r="U32" s="114"/>
      <c r="V32" s="114"/>
      <c r="W32" s="114">
        <v>50</v>
      </c>
      <c r="X32" s="400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</row>
    <row r="33" spans="1:34">
      <c r="A33" s="353">
        <f>A32+1</f>
        <v>3</v>
      </c>
      <c r="B33" s="99"/>
      <c r="C33" s="450">
        <f>+B33-D33</f>
        <v>-29</v>
      </c>
      <c r="D33" s="114">
        <f t="shared" si="2"/>
        <v>29</v>
      </c>
      <c r="E33" s="330">
        <v>8832</v>
      </c>
      <c r="F33" s="125" t="str">
        <f>IFERROR(VLOOKUP(Table917[[#This Row],[Player No]],Table11[[No]:[Province]],2,0),"")</f>
        <v>MBOLAMBI Amila</v>
      </c>
      <c r="G33" s="123" t="str">
        <f>IFERROR(VLOOKUP(Table917[[#This Row],[Player No]],Table11[[No]:[Province]],3,0),"")</f>
        <v xml:space="preserve">EC </v>
      </c>
      <c r="H33" s="124">
        <v>50</v>
      </c>
      <c r="I33" s="789">
        <f>Table917[[#This Row],[Points 2025]]/2+SUM(Table917[[#This Row],[O1  ADMIN 2026]:[P2         WC     Open   2026]])</f>
        <v>25</v>
      </c>
      <c r="J33" s="114">
        <f t="shared" si="0"/>
        <v>0</v>
      </c>
      <c r="K33" s="114">
        <f t="shared" si="1"/>
        <v>0</v>
      </c>
      <c r="L33" s="708"/>
      <c r="M33" s="827" t="s">
        <v>6083</v>
      </c>
      <c r="N33" s="827" t="s">
        <v>6083</v>
      </c>
      <c r="O33" s="827"/>
      <c r="P33" s="114"/>
      <c r="Q33" s="114"/>
      <c r="R33" s="114"/>
      <c r="S33" s="114"/>
      <c r="T33" s="114"/>
      <c r="U33" s="114"/>
      <c r="V33" s="114"/>
      <c r="W33" s="114"/>
      <c r="X33" s="400">
        <v>50</v>
      </c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</row>
    <row r="34" spans="1:34">
      <c r="A34" s="353">
        <f>A33+1</f>
        <v>4</v>
      </c>
      <c r="B34" s="99"/>
      <c r="C34" s="450">
        <f>+B34-D34</f>
        <v>-30</v>
      </c>
      <c r="D34" s="114">
        <f t="shared" si="2"/>
        <v>30</v>
      </c>
      <c r="E34" s="330">
        <v>8834</v>
      </c>
      <c r="F34" s="125" t="str">
        <f>IFERROR(VLOOKUP(Table917[[#This Row],[Player No]],Table11[[No]:[Province]],2,0),"")</f>
        <v>MANXIWA Lunje</v>
      </c>
      <c r="G34" s="123" t="str">
        <f>IFERROR(VLOOKUP(Table917[[#This Row],[Player No]],Table11[[No]:[Province]],3,0),"")</f>
        <v xml:space="preserve">EC </v>
      </c>
      <c r="H34" s="124">
        <v>50</v>
      </c>
      <c r="I34" s="789">
        <f>Table917[[#This Row],[Points 2025]]/2+SUM(Table917[[#This Row],[O1  ADMIN 2026]:[P2         WC     Open   2026]])</f>
        <v>25</v>
      </c>
      <c r="J34" s="114">
        <f t="shared" si="0"/>
        <v>0</v>
      </c>
      <c r="K34" s="114">
        <f t="shared" si="1"/>
        <v>0</v>
      </c>
      <c r="L34" s="708"/>
      <c r="M34" s="827" t="s">
        <v>6083</v>
      </c>
      <c r="N34" s="827" t="s">
        <v>6083</v>
      </c>
      <c r="O34" s="827"/>
      <c r="P34" s="114"/>
      <c r="Q34" s="114"/>
      <c r="R34" s="114"/>
      <c r="S34" s="114"/>
      <c r="T34" s="114"/>
      <c r="U34" s="114"/>
      <c r="V34" s="114"/>
      <c r="W34" s="114"/>
      <c r="X34" s="400">
        <v>50</v>
      </c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</row>
    <row r="35" spans="1:34">
      <c r="A35" s="353">
        <f>A34+1</f>
        <v>5</v>
      </c>
      <c r="B35" s="99"/>
      <c r="C35" s="450">
        <f>+B35-D35</f>
        <v>-31</v>
      </c>
      <c r="D35" s="114">
        <f t="shared" si="2"/>
        <v>31</v>
      </c>
      <c r="E35" s="330">
        <v>8835</v>
      </c>
      <c r="F35" s="125" t="str">
        <f>IFERROR(VLOOKUP(Table917[[#This Row],[Player No]],Table11[[No]:[Province]],2,0),"")</f>
        <v>TOLBATI Olona</v>
      </c>
      <c r="G35" s="123" t="str">
        <f>IFERROR(VLOOKUP(Table917[[#This Row],[Player No]],Table11[[No]:[Province]],3,0),"")</f>
        <v xml:space="preserve">EC </v>
      </c>
      <c r="H35" s="124">
        <v>50</v>
      </c>
      <c r="I35" s="789">
        <f>Table917[[#This Row],[Points 2025]]/2+SUM(Table917[[#This Row],[O1  ADMIN 2026]:[P2         WC     Open   2026]])</f>
        <v>25</v>
      </c>
      <c r="J35" s="114">
        <f t="shared" si="0"/>
        <v>0</v>
      </c>
      <c r="K35" s="114">
        <f t="shared" si="1"/>
        <v>0</v>
      </c>
      <c r="L35" s="708"/>
      <c r="M35" s="827" t="s">
        <v>6083</v>
      </c>
      <c r="N35" s="827" t="s">
        <v>6083</v>
      </c>
      <c r="O35" s="827"/>
      <c r="P35" s="114"/>
      <c r="Q35" s="114"/>
      <c r="R35" s="114"/>
      <c r="S35" s="114"/>
      <c r="T35" s="114"/>
      <c r="U35" s="114"/>
      <c r="V35" s="114"/>
      <c r="W35" s="114"/>
      <c r="X35" s="400">
        <v>50</v>
      </c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</row>
    <row r="36" spans="1:34">
      <c r="A36" s="98">
        <f>IFERROR(VLOOKUP(Table917[[#This Row],[Player No]],Table11[[#All],[No]:[Age Group]],4,0),"")</f>
        <v>0</v>
      </c>
      <c r="B36" s="99">
        <v>5</v>
      </c>
      <c r="C36" s="450">
        <f>+B36-D36</f>
        <v>-27</v>
      </c>
      <c r="D36" s="114">
        <f t="shared" si="2"/>
        <v>32</v>
      </c>
      <c r="E36" s="114">
        <v>8178</v>
      </c>
      <c r="F36" s="123" t="str">
        <f>IFERROR(VLOOKUP(Table917[[#This Row],[Player No]],Table11[[No]:[Province]],2,0),"")</f>
        <v>Motshabi Bopelo</v>
      </c>
      <c r="G36" s="123" t="str">
        <f>IFERROR(VLOOKUP(Table917[[#This Row],[Player No]],Table11[[No]:[Province]],3,0),"")</f>
        <v>FS</v>
      </c>
      <c r="H36" s="124">
        <v>43.75</v>
      </c>
      <c r="I36" s="789">
        <f>Table917[[#This Row],[Points 2025]]/2+SUM(Table917[[#This Row],[O1  ADMIN 2026]:[P2         WC     Open   2026]])</f>
        <v>21.875</v>
      </c>
      <c r="J36" s="114">
        <f t="shared" si="0"/>
        <v>0</v>
      </c>
      <c r="K36" s="114">
        <f t="shared" si="1"/>
        <v>0</v>
      </c>
      <c r="L36" s="708"/>
      <c r="M36" s="708" t="s">
        <v>6083</v>
      </c>
      <c r="N36" s="708" t="s">
        <v>6083</v>
      </c>
      <c r="O36" s="708"/>
      <c r="P36" s="114"/>
      <c r="Q36" s="114"/>
      <c r="R36" s="114"/>
      <c r="S36" s="114"/>
      <c r="T36" s="114"/>
      <c r="U36" s="114"/>
      <c r="V36" s="114"/>
      <c r="W36" s="114"/>
      <c r="X36" s="400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</row>
    <row r="37" spans="1:34">
      <c r="A37" s="98">
        <f>IFERROR(VLOOKUP(Table917[[#This Row],[Player No]],Table11[[#All],[No]:[Age Group]],4,0),"")</f>
        <v>0</v>
      </c>
      <c r="B37" s="99"/>
      <c r="C37" s="450"/>
      <c r="D37" s="114">
        <f t="shared" si="2"/>
        <v>33</v>
      </c>
      <c r="E37" s="114">
        <v>8495</v>
      </c>
      <c r="F37" s="123" t="str">
        <f>IFERROR(VLOOKUP(Table917[[#This Row],[Player No]],Table11[[No]:[Province]],2,0),"")</f>
        <v>Likuwe SODANGWE</v>
      </c>
      <c r="G37" s="123" t="str">
        <f>IFERROR(VLOOKUP(Table917[[#This Row],[Player No]],Table11[[No]:[Province]],3,0),"")</f>
        <v>EC</v>
      </c>
      <c r="H37" s="124">
        <v>37.5</v>
      </c>
      <c r="I37" s="789">
        <f>Table917[[#This Row],[Points 2025]]/2+SUM(Table917[[#This Row],[O1  ADMIN 2026]:[P2         WC     Open   2026]])</f>
        <v>18.75</v>
      </c>
      <c r="J37" s="114">
        <f t="shared" ref="J37:J68" si="4">COUNTIF(L37:O37,"&gt;0")</f>
        <v>0</v>
      </c>
      <c r="K37" s="114">
        <f t="shared" ref="K37:K68" si="5">COUNTIF(M37:AH37,"&lt;0")</f>
        <v>0</v>
      </c>
      <c r="L37" s="708"/>
      <c r="M37" s="708" t="s">
        <v>6083</v>
      </c>
      <c r="N37" s="708" t="s">
        <v>6083</v>
      </c>
      <c r="O37" s="708"/>
      <c r="P37" s="114"/>
      <c r="Q37" s="114"/>
      <c r="R37" s="114"/>
      <c r="S37" s="114"/>
      <c r="T37" s="114"/>
      <c r="U37" s="114"/>
      <c r="V37" s="114"/>
      <c r="W37" s="114"/>
      <c r="X37" s="400"/>
      <c r="Y37" s="114"/>
      <c r="Z37" s="114"/>
      <c r="AA37" s="114"/>
      <c r="AB37" s="114"/>
      <c r="AC37" s="114"/>
      <c r="AD37" s="114"/>
      <c r="AE37" s="114">
        <v>75</v>
      </c>
      <c r="AF37" s="114"/>
      <c r="AG37" s="114"/>
      <c r="AH37" s="114"/>
    </row>
    <row r="38" spans="1:34">
      <c r="A38" s="98">
        <v>0</v>
      </c>
      <c r="B38" s="99">
        <v>51</v>
      </c>
      <c r="C38" s="450">
        <f>+B38-D38</f>
        <v>17</v>
      </c>
      <c r="D38" s="114">
        <f t="shared" si="2"/>
        <v>34</v>
      </c>
      <c r="E38" s="114">
        <v>8124</v>
      </c>
      <c r="F38" s="125" t="str">
        <f>IFERROR(VLOOKUP(Table917[[#This Row],[Player No]],Table11[[No]:[Province]],2,0),"")</f>
        <v>GOLOGOLO Milka</v>
      </c>
      <c r="G38" s="123" t="str">
        <f>IFERROR(VLOOKUP(Table917[[#This Row],[Player No]],Table11[[No]:[Province]],3,0),"")</f>
        <v>FS</v>
      </c>
      <c r="H38" s="124">
        <v>33.75</v>
      </c>
      <c r="I38" s="789">
        <f>Table917[[#This Row],[Points 2025]]/2+SUM(Table917[[#This Row],[O1  ADMIN 2026]:[P2         WC     Open   2026]])</f>
        <v>16.875</v>
      </c>
      <c r="J38" s="114">
        <f t="shared" si="4"/>
        <v>0</v>
      </c>
      <c r="K38" s="114">
        <f t="shared" si="5"/>
        <v>0</v>
      </c>
      <c r="L38" s="708"/>
      <c r="M38" s="708" t="s">
        <v>6083</v>
      </c>
      <c r="N38" s="708" t="s">
        <v>6083</v>
      </c>
      <c r="O38" s="708"/>
      <c r="P38" s="114"/>
      <c r="Q38" s="114"/>
      <c r="R38" s="114"/>
      <c r="S38" s="114"/>
      <c r="T38" s="114">
        <v>1</v>
      </c>
      <c r="U38" s="114">
        <v>25</v>
      </c>
      <c r="V38" s="114"/>
      <c r="W38" s="114"/>
      <c r="X38" s="400">
        <v>5</v>
      </c>
      <c r="Y38" s="114"/>
      <c r="Z38" s="114"/>
      <c r="AA38" s="114"/>
      <c r="AB38" s="114"/>
      <c r="AC38" s="114"/>
      <c r="AD38" s="114"/>
      <c r="AE38" s="114">
        <v>5</v>
      </c>
      <c r="AF38" s="114"/>
      <c r="AG38" s="114"/>
      <c r="AH38" s="114"/>
    </row>
    <row r="39" spans="1:34">
      <c r="A39" s="98">
        <f>IFERROR(VLOOKUP(Table917[[#This Row],[Player No]],Table11[[#All],[No]:[Age Group]],4,0),"")</f>
        <v>0</v>
      </c>
      <c r="B39" s="99">
        <v>8</v>
      </c>
      <c r="C39" s="450">
        <f>+B39-D39</f>
        <v>-27</v>
      </c>
      <c r="D39" s="114">
        <f t="shared" ref="D39:D70" si="6">+D38+1</f>
        <v>35</v>
      </c>
      <c r="E39" s="114">
        <v>8290</v>
      </c>
      <c r="F39" s="125" t="str">
        <f>IFERROR(VLOOKUP(Table917[[#This Row],[Player No]],Table11[[No]:[Province]],2,0),"")</f>
        <v>PHOKI Esinayo</v>
      </c>
      <c r="G39" s="123" t="str">
        <f>IFERROR(VLOOKUP(Table917[[#This Row],[Player No]],Table11[[No]:[Province]],3,0),"")</f>
        <v>EC</v>
      </c>
      <c r="H39" s="124">
        <v>31.25</v>
      </c>
      <c r="I39" s="789">
        <f>Table917[[#This Row],[Points 2025]]/2+SUM(Table917[[#This Row],[O1  ADMIN 2026]:[P2         WC     Open   2026]])</f>
        <v>15.625</v>
      </c>
      <c r="J39" s="114">
        <f t="shared" si="4"/>
        <v>0</v>
      </c>
      <c r="K39" s="114">
        <f t="shared" si="5"/>
        <v>0</v>
      </c>
      <c r="L39" s="708"/>
      <c r="M39" s="708" t="s">
        <v>6083</v>
      </c>
      <c r="N39" s="708" t="s">
        <v>6083</v>
      </c>
      <c r="O39" s="708"/>
      <c r="P39" s="114"/>
      <c r="Q39" s="114"/>
      <c r="R39" s="114"/>
      <c r="S39" s="114"/>
      <c r="T39" s="114"/>
      <c r="U39" s="114"/>
      <c r="V39" s="114"/>
      <c r="W39" s="114"/>
      <c r="X39" s="400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</row>
    <row r="40" spans="1:34">
      <c r="A40" s="99">
        <f>A39+1</f>
        <v>1</v>
      </c>
      <c r="B40" s="99"/>
      <c r="C40" s="450"/>
      <c r="D40" s="114">
        <f t="shared" si="6"/>
        <v>36</v>
      </c>
      <c r="E40" s="114">
        <v>8428</v>
      </c>
      <c r="F40" s="125" t="str">
        <f>IFERROR(VLOOKUP(Table917[[#This Row],[Player No]],Table11[[No]:[Province]],2,0),"")</f>
        <v>MABOKO  Keneilwe Motloge</v>
      </c>
      <c r="G40" s="123" t="str">
        <f>IFERROR(VLOOKUP(Table917[[#This Row],[Player No]],Table11[[No]:[Province]],3,0),"")</f>
        <v>LIM</v>
      </c>
      <c r="H40" s="124">
        <v>30</v>
      </c>
      <c r="I40" s="789">
        <f>Table917[[#This Row],[Points 2025]]/2+SUM(Table917[[#This Row],[O1  ADMIN 2026]:[P2         WC     Open   2026]])</f>
        <v>15</v>
      </c>
      <c r="J40" s="114">
        <f t="shared" si="4"/>
        <v>0</v>
      </c>
      <c r="K40" s="114">
        <f t="shared" si="5"/>
        <v>0</v>
      </c>
      <c r="L40" s="708"/>
      <c r="M40" s="708" t="s">
        <v>6083</v>
      </c>
      <c r="N40" s="708" t="s">
        <v>6083</v>
      </c>
      <c r="O40" s="708"/>
      <c r="P40" s="114"/>
      <c r="Q40" s="114"/>
      <c r="R40" s="114"/>
      <c r="S40" s="114"/>
      <c r="T40" s="114"/>
      <c r="U40" s="114"/>
      <c r="V40" s="114"/>
      <c r="W40" s="114"/>
      <c r="X40" s="400">
        <v>5</v>
      </c>
      <c r="Y40" s="114"/>
      <c r="Z40" s="114"/>
      <c r="AA40" s="114"/>
      <c r="AB40" s="114"/>
      <c r="AC40" s="114"/>
      <c r="AD40" s="114"/>
      <c r="AE40" s="114">
        <v>50</v>
      </c>
      <c r="AF40" s="114"/>
      <c r="AG40" s="114"/>
      <c r="AH40" s="114"/>
    </row>
    <row r="41" spans="1:34">
      <c r="A41" s="99">
        <v>0</v>
      </c>
      <c r="B41" s="99"/>
      <c r="C41" s="450"/>
      <c r="D41" s="114">
        <f t="shared" si="6"/>
        <v>37</v>
      </c>
      <c r="E41" s="114">
        <v>8720</v>
      </c>
      <c r="F41" s="125" t="str">
        <f>IFERROR(VLOOKUP(Table917[[#This Row],[Player No]],Table11[[No]:[Province]],2,0),"")</f>
        <v>OSMAN Khadija</v>
      </c>
      <c r="G41" s="123" t="str">
        <f>IFERROR(VLOOKUP(Table917[[#This Row],[Player No]],Table11[[No]:[Province]],3,0),"")</f>
        <v>FS</v>
      </c>
      <c r="H41" s="124">
        <v>26</v>
      </c>
      <c r="I41" s="789">
        <f>Table917[[#This Row],[Points 2025]]/2+SUM(Table917[[#This Row],[O1  ADMIN 2026]:[P2         WC     Open   2026]])</f>
        <v>13</v>
      </c>
      <c r="J41" s="114">
        <f t="shared" si="4"/>
        <v>0</v>
      </c>
      <c r="K41" s="114">
        <f t="shared" si="5"/>
        <v>0</v>
      </c>
      <c r="L41" s="708"/>
      <c r="M41" s="708" t="s">
        <v>6083</v>
      </c>
      <c r="N41" s="708" t="s">
        <v>6083</v>
      </c>
      <c r="O41" s="708"/>
      <c r="P41" s="114"/>
      <c r="Q41" s="114"/>
      <c r="R41" s="114"/>
      <c r="S41" s="114"/>
      <c r="T41" s="114">
        <v>1</v>
      </c>
      <c r="U41" s="114"/>
      <c r="V41" s="114"/>
      <c r="W41" s="114"/>
      <c r="X41" s="400">
        <v>25</v>
      </c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</row>
    <row r="42" spans="1:34">
      <c r="A42" s="98">
        <f>IFERROR(VLOOKUP(Table917[[#This Row],[Player No]],Table11[[#All],[No]:[Age Group]],4,0),"")</f>
        <v>0</v>
      </c>
      <c r="B42" s="99"/>
      <c r="C42" s="450"/>
      <c r="D42" s="114">
        <f t="shared" si="6"/>
        <v>38</v>
      </c>
      <c r="E42" s="114">
        <v>8363</v>
      </c>
      <c r="F42" s="125" t="str">
        <f>IFERROR(VLOOKUP(Table917[[#This Row],[Player No]],Table11[[No]:[Province]],2,0),"")</f>
        <v>MATLOU Thandi</v>
      </c>
      <c r="G42" s="123" t="str">
        <f>IFERROR(VLOOKUP(Table917[[#This Row],[Player No]],Table11[[No]:[Province]],3,0),"")</f>
        <v>NW</v>
      </c>
      <c r="H42" s="124">
        <v>25</v>
      </c>
      <c r="I42" s="789">
        <f>Table917[[#This Row],[Points 2025]]/2+SUM(Table917[[#This Row],[O1  ADMIN 2026]:[P2         WC     Open   2026]])</f>
        <v>12.5</v>
      </c>
      <c r="J42" s="114">
        <f t="shared" si="4"/>
        <v>0</v>
      </c>
      <c r="K42" s="114">
        <f t="shared" si="5"/>
        <v>0</v>
      </c>
      <c r="L42" s="708"/>
      <c r="M42" s="708" t="s">
        <v>6083</v>
      </c>
      <c r="N42" s="708" t="s">
        <v>6083</v>
      </c>
      <c r="O42" s="708"/>
      <c r="P42" s="114"/>
      <c r="Q42" s="114"/>
      <c r="R42" s="114"/>
      <c r="S42" s="114"/>
      <c r="T42" s="114"/>
      <c r="U42" s="114"/>
      <c r="V42" s="114"/>
      <c r="W42" s="114"/>
      <c r="X42" s="400"/>
      <c r="Y42" s="114"/>
      <c r="Z42" s="114"/>
      <c r="AA42" s="114"/>
      <c r="AB42" s="114"/>
      <c r="AC42" s="114"/>
      <c r="AD42" s="114"/>
      <c r="AE42" s="114">
        <v>50</v>
      </c>
      <c r="AF42" s="114"/>
      <c r="AG42" s="114"/>
      <c r="AH42" s="114"/>
    </row>
    <row r="43" spans="1:34">
      <c r="A43" s="99">
        <f>A42+1</f>
        <v>1</v>
      </c>
      <c r="B43" s="99"/>
      <c r="C43" s="450"/>
      <c r="D43" s="114">
        <f t="shared" si="6"/>
        <v>39</v>
      </c>
      <c r="E43" s="114">
        <v>8466</v>
      </c>
      <c r="F43" s="125" t="str">
        <f>IFERROR(VLOOKUP(Table917[[#This Row],[Player No]],Table11[[No]:[Province]],2,0),"")</f>
        <v>REDCLIFFE Zureida</v>
      </c>
      <c r="G43" s="123" t="str">
        <f>IFERROR(VLOOKUP(Table917[[#This Row],[Player No]],Table11[[No]:[Province]],3,0),"")</f>
        <v>EC</v>
      </c>
      <c r="H43" s="124">
        <v>25</v>
      </c>
      <c r="I43" s="789">
        <f>Table917[[#This Row],[Points 2025]]/2+SUM(Table917[[#This Row],[O1  ADMIN 2026]:[P2         WC     Open   2026]])</f>
        <v>12.5</v>
      </c>
      <c r="J43" s="114">
        <f t="shared" si="4"/>
        <v>0</v>
      </c>
      <c r="K43" s="114">
        <f t="shared" si="5"/>
        <v>0</v>
      </c>
      <c r="L43" s="708"/>
      <c r="M43" s="708" t="s">
        <v>6083</v>
      </c>
      <c r="N43" s="708" t="s">
        <v>6083</v>
      </c>
      <c r="O43" s="708"/>
      <c r="P43" s="114"/>
      <c r="Q43" s="114"/>
      <c r="R43" s="114"/>
      <c r="S43" s="114"/>
      <c r="T43" s="114"/>
      <c r="U43" s="114"/>
      <c r="V43" s="114"/>
      <c r="W43" s="114"/>
      <c r="X43" s="400"/>
      <c r="Y43" s="114"/>
      <c r="Z43" s="114"/>
      <c r="AA43" s="114"/>
      <c r="AB43" s="114"/>
      <c r="AC43" s="114"/>
      <c r="AD43" s="114"/>
      <c r="AE43" s="114">
        <v>50</v>
      </c>
      <c r="AF43" s="114"/>
      <c r="AG43" s="114"/>
      <c r="AH43" s="114"/>
    </row>
    <row r="44" spans="1:34">
      <c r="A44" s="98">
        <f>IFERROR(VLOOKUP(Table917[[#This Row],[Player No]],Table11[[#All],[No]:[Age Group]],4,0),"")</f>
        <v>0</v>
      </c>
      <c r="B44" s="99"/>
      <c r="C44" s="450"/>
      <c r="D44" s="114">
        <f t="shared" si="6"/>
        <v>40</v>
      </c>
      <c r="E44" s="114">
        <v>8496</v>
      </c>
      <c r="F44" s="125" t="str">
        <f>IFERROR(VLOOKUP(Table917[[#This Row],[Player No]],Table11[[No]:[Province]],2,0),"")</f>
        <v>Inako NTSHONTSHO</v>
      </c>
      <c r="G44" s="123" t="str">
        <f>IFERROR(VLOOKUP(Table917[[#This Row],[Player No]],Table11[[No]:[Province]],3,0),"")</f>
        <v>EC</v>
      </c>
      <c r="H44" s="124">
        <v>25</v>
      </c>
      <c r="I44" s="789">
        <f>Table917[[#This Row],[Points 2025]]/2+SUM(Table917[[#This Row],[O1  ADMIN 2026]:[P2         WC     Open   2026]])</f>
        <v>12.5</v>
      </c>
      <c r="J44" s="114">
        <f t="shared" si="4"/>
        <v>0</v>
      </c>
      <c r="K44" s="114">
        <f t="shared" si="5"/>
        <v>0</v>
      </c>
      <c r="L44" s="708"/>
      <c r="M44" s="708" t="s">
        <v>6083</v>
      </c>
      <c r="N44" s="708" t="s">
        <v>6083</v>
      </c>
      <c r="O44" s="708"/>
      <c r="P44" s="114"/>
      <c r="Q44" s="114"/>
      <c r="R44" s="114"/>
      <c r="S44" s="114"/>
      <c r="T44" s="114"/>
      <c r="U44" s="114"/>
      <c r="V44" s="114"/>
      <c r="W44" s="114"/>
      <c r="X44" s="400"/>
      <c r="Y44" s="114"/>
      <c r="Z44" s="114"/>
      <c r="AA44" s="114"/>
      <c r="AB44" s="114"/>
      <c r="AC44" s="114"/>
      <c r="AD44" s="114"/>
      <c r="AE44" s="114">
        <v>50</v>
      </c>
      <c r="AF44" s="114"/>
      <c r="AG44" s="114"/>
      <c r="AH44" s="114"/>
    </row>
    <row r="45" spans="1:34">
      <c r="A45" s="99">
        <f t="shared" ref="A45:A51" si="7">A44+1</f>
        <v>1</v>
      </c>
      <c r="B45" s="99"/>
      <c r="C45" s="450">
        <f t="shared" ref="C45:C54" si="8">+B45-D45</f>
        <v>-41</v>
      </c>
      <c r="D45" s="114">
        <f t="shared" si="6"/>
        <v>41</v>
      </c>
      <c r="E45" s="114">
        <v>8499</v>
      </c>
      <c r="F45" s="125" t="str">
        <f>IFERROR(VLOOKUP(Table917[[#This Row],[Player No]],Table11[[No]:[Province]],2,0),"")</f>
        <v xml:space="preserve">BABA Sisitha </v>
      </c>
      <c r="G45" s="123" t="str">
        <f>IFERROR(VLOOKUP(Table917[[#This Row],[Player No]],Table11[[No]:[Province]],3,0),"")</f>
        <v>WC</v>
      </c>
      <c r="H45" s="124">
        <v>25</v>
      </c>
      <c r="I45" s="789">
        <f>Table917[[#This Row],[Points 2025]]/2+SUM(Table917[[#This Row],[O1  ADMIN 2026]:[P2         WC     Open   2026]])</f>
        <v>12.5</v>
      </c>
      <c r="J45" s="114">
        <f t="shared" si="4"/>
        <v>0</v>
      </c>
      <c r="K45" s="114">
        <f t="shared" si="5"/>
        <v>0</v>
      </c>
      <c r="L45" s="708"/>
      <c r="M45" s="708" t="s">
        <v>6083</v>
      </c>
      <c r="N45" s="708" t="s">
        <v>6083</v>
      </c>
      <c r="O45" s="708"/>
      <c r="P45" s="114"/>
      <c r="Q45" s="114"/>
      <c r="R45" s="114"/>
      <c r="S45" s="114"/>
      <c r="T45" s="114"/>
      <c r="U45" s="114"/>
      <c r="V45" s="114"/>
      <c r="W45" s="114"/>
      <c r="X45" s="400"/>
      <c r="Y45" s="114"/>
      <c r="Z45" s="114"/>
      <c r="AA45" s="114"/>
      <c r="AB45" s="114"/>
      <c r="AC45" s="114">
        <v>50</v>
      </c>
      <c r="AD45" s="114"/>
      <c r="AE45" s="114"/>
      <c r="AF45" s="114"/>
      <c r="AG45" s="114"/>
      <c r="AH45" s="114"/>
    </row>
    <row r="46" spans="1:34">
      <c r="A46" s="353">
        <f t="shared" si="7"/>
        <v>2</v>
      </c>
      <c r="B46" s="99"/>
      <c r="C46" s="450">
        <f t="shared" si="8"/>
        <v>-42</v>
      </c>
      <c r="D46" s="114">
        <f t="shared" si="6"/>
        <v>42</v>
      </c>
      <c r="E46" s="330">
        <v>8759</v>
      </c>
      <c r="F46" s="125" t="str">
        <f>IFERROR(VLOOKUP(Table917[[#This Row],[Player No]],Table11[[No]:[Province]],2,0),"")</f>
        <v xml:space="preserve">JOSEPHS Grace </v>
      </c>
      <c r="G46" s="123" t="str">
        <f>IFERROR(VLOOKUP(Table917[[#This Row],[Player No]],Table11[[No]:[Province]],3,0),"")</f>
        <v>CT</v>
      </c>
      <c r="H46" s="124">
        <v>25</v>
      </c>
      <c r="I46" s="789">
        <f>Table917[[#This Row],[Points 2025]]/2+SUM(Table917[[#This Row],[O1  ADMIN 2026]:[P2         WC     Open   2026]])</f>
        <v>12.5</v>
      </c>
      <c r="J46" s="114">
        <f t="shared" si="4"/>
        <v>0</v>
      </c>
      <c r="K46" s="114">
        <f t="shared" si="5"/>
        <v>0</v>
      </c>
      <c r="L46" s="708"/>
      <c r="M46" s="827" t="s">
        <v>6083</v>
      </c>
      <c r="N46" s="827" t="s">
        <v>6083</v>
      </c>
      <c r="O46" s="827"/>
      <c r="P46" s="114"/>
      <c r="Q46" s="114"/>
      <c r="R46" s="114"/>
      <c r="S46" s="114"/>
      <c r="T46" s="114"/>
      <c r="U46" s="114"/>
      <c r="V46" s="114"/>
      <c r="W46" s="114">
        <v>25</v>
      </c>
      <c r="X46" s="400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</row>
    <row r="47" spans="1:34">
      <c r="A47" s="353">
        <f t="shared" si="7"/>
        <v>3</v>
      </c>
      <c r="B47" s="99"/>
      <c r="C47" s="450">
        <f t="shared" si="8"/>
        <v>-43</v>
      </c>
      <c r="D47" s="114">
        <f t="shared" si="6"/>
        <v>43</v>
      </c>
      <c r="E47" s="330">
        <v>8272</v>
      </c>
      <c r="F47" s="125" t="str">
        <f>IFERROR(VLOOKUP(Table917[[#This Row],[Player No]],Table11[[No]:[Province]],2,0),"")</f>
        <v xml:space="preserve">NXUMALO  Olwethu  </v>
      </c>
      <c r="G47" s="123" t="str">
        <f>IFERROR(VLOOKUP(Table917[[#This Row],[Player No]],Table11[[No]:[Province]],3,0),"")</f>
        <v>UMZ</v>
      </c>
      <c r="H47" s="124">
        <v>25</v>
      </c>
      <c r="I47" s="789">
        <f>Table917[[#This Row],[Points 2025]]/2+SUM(Table917[[#This Row],[O1  ADMIN 2026]:[P2         WC     Open   2026]])</f>
        <v>12.5</v>
      </c>
      <c r="J47" s="114">
        <f t="shared" si="4"/>
        <v>0</v>
      </c>
      <c r="K47" s="114">
        <f t="shared" si="5"/>
        <v>0</v>
      </c>
      <c r="L47" s="708"/>
      <c r="M47" s="827" t="s">
        <v>6083</v>
      </c>
      <c r="N47" s="827" t="s">
        <v>6083</v>
      </c>
      <c r="O47" s="827"/>
      <c r="P47" s="114"/>
      <c r="Q47" s="114"/>
      <c r="R47" s="114"/>
      <c r="S47" s="114"/>
      <c r="T47" s="114"/>
      <c r="U47" s="114"/>
      <c r="V47" s="114"/>
      <c r="W47" s="114"/>
      <c r="X47" s="400">
        <v>25</v>
      </c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</row>
    <row r="48" spans="1:34">
      <c r="A48" s="353">
        <f t="shared" si="7"/>
        <v>4</v>
      </c>
      <c r="B48" s="99"/>
      <c r="C48" s="450">
        <f t="shared" si="8"/>
        <v>-44</v>
      </c>
      <c r="D48" s="114">
        <f t="shared" si="6"/>
        <v>44</v>
      </c>
      <c r="E48" s="330">
        <v>8376</v>
      </c>
      <c r="F48" s="125" t="str">
        <f>IFERROR(VLOOKUP(Table917[[#This Row],[Player No]],Table11[[No]:[Province]],2,0),"")</f>
        <v>BUISANYANG Sethunya</v>
      </c>
      <c r="G48" s="123" t="str">
        <f>IFERROR(VLOOKUP(Table917[[#This Row],[Player No]],Table11[[No]:[Province]],3,0),"")</f>
        <v>BOT</v>
      </c>
      <c r="H48" s="124">
        <v>25</v>
      </c>
      <c r="I48" s="789">
        <f>Table917[[#This Row],[Points 2025]]/2+SUM(Table917[[#This Row],[O1  ADMIN 2026]:[P2         WC     Open   2026]])</f>
        <v>12.5</v>
      </c>
      <c r="J48" s="114">
        <f t="shared" si="4"/>
        <v>0</v>
      </c>
      <c r="K48" s="114">
        <f t="shared" si="5"/>
        <v>0</v>
      </c>
      <c r="L48" s="708"/>
      <c r="M48" s="827" t="s">
        <v>6083</v>
      </c>
      <c r="N48" s="827" t="s">
        <v>6083</v>
      </c>
      <c r="O48" s="827"/>
      <c r="P48" s="114"/>
      <c r="Q48" s="114"/>
      <c r="R48" s="114"/>
      <c r="S48" s="114"/>
      <c r="T48" s="114"/>
      <c r="U48" s="114"/>
      <c r="V48" s="114"/>
      <c r="W48" s="114"/>
      <c r="X48" s="400">
        <v>25</v>
      </c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</row>
    <row r="49" spans="1:34">
      <c r="A49" s="353">
        <f t="shared" si="7"/>
        <v>5</v>
      </c>
      <c r="B49" s="99"/>
      <c r="C49" s="450">
        <f t="shared" si="8"/>
        <v>-45</v>
      </c>
      <c r="D49" s="114">
        <f t="shared" si="6"/>
        <v>45</v>
      </c>
      <c r="E49" s="330">
        <v>8492</v>
      </c>
      <c r="F49" s="125" t="str">
        <f>IFERROR(VLOOKUP(Table917[[#This Row],[Player No]],Table11[[No]:[Province]],2,0),"")</f>
        <v>Aneliswa KUNENE</v>
      </c>
      <c r="G49" s="123" t="str">
        <f>IFERROR(VLOOKUP(Table917[[#This Row],[Player No]],Table11[[No]:[Province]],3,0),"")</f>
        <v>UMZ</v>
      </c>
      <c r="H49" s="124">
        <v>25</v>
      </c>
      <c r="I49" s="789">
        <f>Table917[[#This Row],[Points 2025]]/2+SUM(Table917[[#This Row],[O1  ADMIN 2026]:[P2         WC     Open   2026]])</f>
        <v>12.5</v>
      </c>
      <c r="J49" s="114">
        <f t="shared" si="4"/>
        <v>0</v>
      </c>
      <c r="K49" s="114">
        <f t="shared" si="5"/>
        <v>0</v>
      </c>
      <c r="L49" s="708"/>
      <c r="M49" s="827" t="s">
        <v>6083</v>
      </c>
      <c r="N49" s="827" t="s">
        <v>6083</v>
      </c>
      <c r="O49" s="827"/>
      <c r="P49" s="114"/>
      <c r="Q49" s="114"/>
      <c r="R49" s="114"/>
      <c r="S49" s="114"/>
      <c r="T49" s="114"/>
      <c r="U49" s="114"/>
      <c r="V49" s="114"/>
      <c r="W49" s="114"/>
      <c r="X49" s="400">
        <v>25</v>
      </c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</row>
    <row r="50" spans="1:34">
      <c r="A50" s="353">
        <f t="shared" si="7"/>
        <v>6</v>
      </c>
      <c r="B50" s="99"/>
      <c r="C50" s="450">
        <f t="shared" si="8"/>
        <v>-46</v>
      </c>
      <c r="D50" s="114">
        <f t="shared" si="6"/>
        <v>46</v>
      </c>
      <c r="E50" s="330">
        <v>8534</v>
      </c>
      <c r="F50" s="125" t="str">
        <f>IFERROR(VLOOKUP(Table917[[#This Row],[Player No]],Table11[[No]:[Province]],2,0),"")</f>
        <v>LOUW Leyla</v>
      </c>
      <c r="G50" s="123" t="str">
        <f>IFERROR(VLOOKUP(Table917[[#This Row],[Player No]],Table11[[No]:[Province]],3,0),"")</f>
        <v>EDEN</v>
      </c>
      <c r="H50" s="124">
        <v>25</v>
      </c>
      <c r="I50" s="789">
        <f>Table917[[#This Row],[Points 2025]]/2+SUM(Table917[[#This Row],[O1  ADMIN 2026]:[P2         WC     Open   2026]])</f>
        <v>12.5</v>
      </c>
      <c r="J50" s="114">
        <f t="shared" si="4"/>
        <v>0</v>
      </c>
      <c r="K50" s="114">
        <f t="shared" si="5"/>
        <v>0</v>
      </c>
      <c r="L50" s="708"/>
      <c r="M50" s="827" t="s">
        <v>6083</v>
      </c>
      <c r="N50" s="827" t="s">
        <v>6083</v>
      </c>
      <c r="O50" s="827"/>
      <c r="P50" s="114"/>
      <c r="Q50" s="114"/>
      <c r="R50" s="114"/>
      <c r="S50" s="114"/>
      <c r="T50" s="114"/>
      <c r="U50" s="114"/>
      <c r="V50" s="114"/>
      <c r="W50" s="114"/>
      <c r="X50" s="400">
        <v>25</v>
      </c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</row>
    <row r="51" spans="1:34">
      <c r="A51" s="353">
        <f t="shared" si="7"/>
        <v>7</v>
      </c>
      <c r="B51" s="99"/>
      <c r="C51" s="450">
        <f t="shared" si="8"/>
        <v>-47</v>
      </c>
      <c r="D51" s="114">
        <f t="shared" si="6"/>
        <v>47</v>
      </c>
      <c r="E51" s="330">
        <v>8644</v>
      </c>
      <c r="F51" s="125" t="str">
        <f>IFERROR(VLOOKUP(Table917[[#This Row],[Player No]],Table11[[No]:[Province]],2,0),"")</f>
        <v>MSIMANGO  Tholwana</v>
      </c>
      <c r="G51" s="123" t="str">
        <f>IFERROR(VLOOKUP(Table917[[#This Row],[Player No]],Table11[[No]:[Province]],3,0),"")</f>
        <v>ETTA</v>
      </c>
      <c r="H51" s="124">
        <v>25</v>
      </c>
      <c r="I51" s="789">
        <f>Table917[[#This Row],[Points 2025]]/2+SUM(Table917[[#This Row],[O1  ADMIN 2026]:[P2         WC     Open   2026]])</f>
        <v>12.5</v>
      </c>
      <c r="J51" s="114">
        <f t="shared" si="4"/>
        <v>0</v>
      </c>
      <c r="K51" s="114">
        <f t="shared" si="5"/>
        <v>0</v>
      </c>
      <c r="L51" s="708"/>
      <c r="M51" s="827" t="s">
        <v>6083</v>
      </c>
      <c r="N51" s="827" t="s">
        <v>6083</v>
      </c>
      <c r="O51" s="827"/>
      <c r="P51" s="114"/>
      <c r="Q51" s="114"/>
      <c r="R51" s="114"/>
      <c r="S51" s="114"/>
      <c r="T51" s="114"/>
      <c r="U51" s="114"/>
      <c r="V51" s="114"/>
      <c r="W51" s="114"/>
      <c r="X51" s="400">
        <v>25</v>
      </c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</row>
    <row r="52" spans="1:34">
      <c r="A52" s="98">
        <f>IFERROR(VLOOKUP(Table917[[#This Row],[Player No]],Table11[[#All],[No]:[Age Group]],4,0),"")</f>
        <v>0</v>
      </c>
      <c r="B52" s="99">
        <v>12</v>
      </c>
      <c r="C52" s="450">
        <f t="shared" si="8"/>
        <v>-36</v>
      </c>
      <c r="D52" s="114">
        <f t="shared" si="6"/>
        <v>48</v>
      </c>
      <c r="E52" s="114">
        <v>8099</v>
      </c>
      <c r="F52" s="123" t="str">
        <f>IFERROR(VLOOKUP(Table917[[#This Row],[Player No]],Table11[[No]:[Province]],2,0),"")</f>
        <v>NAIDOO Deanne</v>
      </c>
      <c r="G52" s="123" t="str">
        <f>IFERROR(VLOOKUP(Table917[[#This Row],[Player No]],Table11[[No]:[Province]],3,0),"")</f>
        <v>ETTA</v>
      </c>
      <c r="H52" s="124">
        <v>21.875</v>
      </c>
      <c r="I52" s="789">
        <f>Table917[[#This Row],[Points 2025]]/2+SUM(Table917[[#This Row],[O1  ADMIN 2026]:[P2         WC     Open   2026]])</f>
        <v>10.9375</v>
      </c>
      <c r="J52" s="114">
        <f t="shared" si="4"/>
        <v>0</v>
      </c>
      <c r="K52" s="114">
        <f t="shared" si="5"/>
        <v>0</v>
      </c>
      <c r="L52" s="708"/>
      <c r="M52" s="708" t="s">
        <v>6083</v>
      </c>
      <c r="N52" s="708" t="s">
        <v>6083</v>
      </c>
      <c r="O52" s="708"/>
      <c r="P52" s="114"/>
      <c r="Q52" s="114"/>
      <c r="R52" s="114"/>
      <c r="S52" s="114"/>
      <c r="T52" s="114"/>
      <c r="U52" s="114"/>
      <c r="V52" s="114"/>
      <c r="W52" s="114"/>
      <c r="X52" s="400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</row>
    <row r="53" spans="1:34">
      <c r="A53" s="98">
        <v>0</v>
      </c>
      <c r="B53" s="99">
        <v>41</v>
      </c>
      <c r="C53" s="450">
        <f t="shared" si="8"/>
        <v>-8</v>
      </c>
      <c r="D53" s="114">
        <f t="shared" si="6"/>
        <v>49</v>
      </c>
      <c r="E53" s="114">
        <v>8348</v>
      </c>
      <c r="F53" s="125" t="str">
        <f>IFERROR(VLOOKUP(Table917[[#This Row],[Player No]],Table11[[No]:[Province]],2,0),"")</f>
        <v>ABRAHAMS Zuri</v>
      </c>
      <c r="G53" s="123" t="str">
        <f>IFERROR(VLOOKUP(Table917[[#This Row],[Player No]],Table11[[No]:[Province]],3,0),"")</f>
        <v>JTTA</v>
      </c>
      <c r="H53" s="124">
        <v>18.75</v>
      </c>
      <c r="I53" s="789">
        <f>Table917[[#This Row],[Points 2025]]/2+SUM(Table917[[#This Row],[O1  ADMIN 2026]:[P2         WC     Open   2026]])</f>
        <v>9.375</v>
      </c>
      <c r="J53" s="114">
        <f t="shared" si="4"/>
        <v>0</v>
      </c>
      <c r="K53" s="114">
        <f t="shared" si="5"/>
        <v>0</v>
      </c>
      <c r="L53" s="708"/>
      <c r="M53" s="708" t="s">
        <v>6083</v>
      </c>
      <c r="N53" s="708" t="s">
        <v>6083</v>
      </c>
      <c r="O53" s="708"/>
      <c r="P53" s="114"/>
      <c r="Q53" s="114"/>
      <c r="R53" s="114"/>
      <c r="S53" s="114"/>
      <c r="T53" s="114"/>
      <c r="U53" s="114"/>
      <c r="V53" s="114"/>
      <c r="W53" s="114"/>
      <c r="X53" s="400"/>
      <c r="Y53" s="114">
        <v>12.5</v>
      </c>
      <c r="Z53" s="114"/>
      <c r="AA53" s="114"/>
      <c r="AB53" s="114"/>
      <c r="AC53" s="114"/>
      <c r="AD53" s="114"/>
      <c r="AE53" s="114"/>
      <c r="AF53" s="114">
        <f>25/2</f>
        <v>12.5</v>
      </c>
      <c r="AG53" s="114"/>
      <c r="AH53" s="114"/>
    </row>
    <row r="54" spans="1:34">
      <c r="A54" s="98">
        <f>IFERROR(VLOOKUP(Table917[[#This Row],[Player No]],Table11[[#All],[No]:[Age Group]],4,0),"")</f>
        <v>0</v>
      </c>
      <c r="B54" s="99">
        <v>52</v>
      </c>
      <c r="C54" s="450">
        <f t="shared" si="8"/>
        <v>2</v>
      </c>
      <c r="D54" s="114">
        <f t="shared" si="6"/>
        <v>50</v>
      </c>
      <c r="E54" s="114">
        <v>8352</v>
      </c>
      <c r="F54" s="125" t="str">
        <f>IFERROR(VLOOKUP(Table917[[#This Row],[Player No]],Table11[[No]:[Province]],2,0),"")</f>
        <v xml:space="preserve">SHORTLES Mia </v>
      </c>
      <c r="G54" s="123" t="str">
        <f>IFERROR(VLOOKUP(Table917[[#This Row],[Player No]],Table11[[No]:[Province]],3,0),"")</f>
        <v>CW</v>
      </c>
      <c r="H54" s="124">
        <v>18.75</v>
      </c>
      <c r="I54" s="789">
        <f>Table917[[#This Row],[Points 2025]]/2+SUM(Table917[[#This Row],[O1  ADMIN 2026]:[P2         WC     Open   2026]])</f>
        <v>9.375</v>
      </c>
      <c r="J54" s="114">
        <f t="shared" si="4"/>
        <v>0</v>
      </c>
      <c r="K54" s="114">
        <f t="shared" si="5"/>
        <v>0</v>
      </c>
      <c r="L54" s="708"/>
      <c r="M54" s="708" t="s">
        <v>6083</v>
      </c>
      <c r="N54" s="708" t="s">
        <v>6083</v>
      </c>
      <c r="O54" s="708"/>
      <c r="P54" s="114"/>
      <c r="Q54" s="114"/>
      <c r="R54" s="114"/>
      <c r="S54" s="114"/>
      <c r="T54" s="114"/>
      <c r="U54" s="114"/>
      <c r="V54" s="114"/>
      <c r="W54" s="114"/>
      <c r="X54" s="400"/>
      <c r="Y54" s="114"/>
      <c r="Z54" s="114"/>
      <c r="AA54" s="114"/>
      <c r="AB54" s="114"/>
      <c r="AC54" s="114"/>
      <c r="AD54" s="114">
        <f>75/2</f>
        <v>37.5</v>
      </c>
      <c r="AE54" s="114"/>
      <c r="AF54" s="114"/>
      <c r="AG54" s="114"/>
      <c r="AH54" s="114"/>
    </row>
    <row r="55" spans="1:34">
      <c r="A55" s="99">
        <v>0</v>
      </c>
      <c r="B55" s="99"/>
      <c r="C55" s="450"/>
      <c r="D55" s="114">
        <f t="shared" si="6"/>
        <v>51</v>
      </c>
      <c r="E55" s="114">
        <v>8429</v>
      </c>
      <c r="F55" s="125" t="str">
        <f>IFERROR(VLOOKUP(Table917[[#This Row],[Player No]],Table11[[No]:[Province]],2,0),"")</f>
        <v>MODIKA  Michelle Trudy Vukona</v>
      </c>
      <c r="G55" s="123" t="str">
        <f>IFERROR(VLOOKUP(Table917[[#This Row],[Player No]],Table11[[No]:[Province]],3,0),"")</f>
        <v>LIM</v>
      </c>
      <c r="H55" s="124">
        <v>17.5</v>
      </c>
      <c r="I55" s="789">
        <f>Table917[[#This Row],[Points 2025]]/2+SUM(Table917[[#This Row],[O1  ADMIN 2026]:[P2         WC     Open   2026]])</f>
        <v>8.75</v>
      </c>
      <c r="J55" s="114">
        <f t="shared" si="4"/>
        <v>0</v>
      </c>
      <c r="K55" s="114">
        <f t="shared" si="5"/>
        <v>0</v>
      </c>
      <c r="L55" s="708"/>
      <c r="M55" s="708" t="s">
        <v>6083</v>
      </c>
      <c r="N55" s="708" t="s">
        <v>6083</v>
      </c>
      <c r="O55" s="708"/>
      <c r="P55" s="114"/>
      <c r="Q55" s="114"/>
      <c r="R55" s="114"/>
      <c r="S55" s="114"/>
      <c r="T55" s="114"/>
      <c r="U55" s="114"/>
      <c r="V55" s="114"/>
      <c r="W55" s="114"/>
      <c r="X55" s="400">
        <v>5</v>
      </c>
      <c r="Y55" s="114"/>
      <c r="Z55" s="114"/>
      <c r="AA55" s="114"/>
      <c r="AB55" s="114"/>
      <c r="AC55" s="114"/>
      <c r="AD55" s="114"/>
      <c r="AE55" s="114">
        <v>25</v>
      </c>
      <c r="AF55" s="114"/>
      <c r="AG55" s="114"/>
      <c r="AH55" s="114"/>
    </row>
    <row r="56" spans="1:34">
      <c r="A56" s="99">
        <v>0</v>
      </c>
      <c r="B56" s="99"/>
      <c r="C56" s="450"/>
      <c r="D56" s="114">
        <f t="shared" si="6"/>
        <v>52</v>
      </c>
      <c r="E56" s="114">
        <v>8602</v>
      </c>
      <c r="F56" s="125" t="str">
        <f>IFERROR(VLOOKUP(Table917[[#This Row],[Player No]],Table11[[No]:[Province]],2,0),"")</f>
        <v xml:space="preserve">Omphile Motsoari </v>
      </c>
      <c r="G56" s="123" t="str">
        <f>IFERROR(VLOOKUP(Table917[[#This Row],[Player No]],Table11[[No]:[Province]],3,0),"")</f>
        <v>FS</v>
      </c>
      <c r="H56" s="124">
        <v>17.5</v>
      </c>
      <c r="I56" s="789">
        <f>Table917[[#This Row],[Points 2025]]/2+SUM(Table917[[#This Row],[O1  ADMIN 2026]:[P2         WC     Open   2026]])</f>
        <v>8.75</v>
      </c>
      <c r="J56" s="114">
        <f t="shared" si="4"/>
        <v>0</v>
      </c>
      <c r="K56" s="114">
        <f t="shared" si="5"/>
        <v>0</v>
      </c>
      <c r="L56" s="708"/>
      <c r="M56" s="708" t="s">
        <v>6083</v>
      </c>
      <c r="N56" s="708" t="s">
        <v>6083</v>
      </c>
      <c r="O56" s="708"/>
      <c r="P56" s="114"/>
      <c r="Q56" s="114"/>
      <c r="R56" s="114"/>
      <c r="S56" s="114"/>
      <c r="T56" s="114"/>
      <c r="U56" s="114">
        <v>17.5</v>
      </c>
      <c r="V56" s="114"/>
      <c r="W56" s="114"/>
      <c r="X56" s="400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</row>
    <row r="57" spans="1:34">
      <c r="A57" s="446">
        <f>A56+1</f>
        <v>1</v>
      </c>
      <c r="B57" s="447"/>
      <c r="C57" s="451">
        <f t="shared" ref="C57:C64" si="9">+B57-D57</f>
        <v>-53</v>
      </c>
      <c r="D57" s="114">
        <f t="shared" si="6"/>
        <v>53</v>
      </c>
      <c r="E57" s="385">
        <v>8760</v>
      </c>
      <c r="F57" s="448" t="str">
        <f>IFERROR(VLOOKUP(Table917[[#This Row],[Player No]],Table11[[No]:[Province]],2,0),"")</f>
        <v>Leche VERSTER</v>
      </c>
      <c r="G57" s="449" t="str">
        <f>IFERROR(VLOOKUP(Table917[[#This Row],[Player No]],Table11[[No]:[Province]],3,0),"")</f>
        <v>GN</v>
      </c>
      <c r="H57" s="416">
        <v>17</v>
      </c>
      <c r="I57" s="822">
        <f>Table917[[#This Row],[Points 2025]]/2+SUM(Table917[[#This Row],[O1  ADMIN 2026]:[P2         WC     Open   2026]])</f>
        <v>8.5</v>
      </c>
      <c r="J57" s="114">
        <f t="shared" si="4"/>
        <v>0</v>
      </c>
      <c r="K57" s="114">
        <f t="shared" si="5"/>
        <v>0</v>
      </c>
      <c r="L57" s="708"/>
      <c r="M57" s="834" t="s">
        <v>6083</v>
      </c>
      <c r="N57" s="834" t="s">
        <v>6083</v>
      </c>
      <c r="O57" s="834"/>
      <c r="P57" s="386"/>
      <c r="Q57" s="386"/>
      <c r="R57" s="386"/>
      <c r="S57" s="386"/>
      <c r="T57" s="386"/>
      <c r="U57" s="386"/>
      <c r="V57" s="386"/>
      <c r="W57" s="386"/>
      <c r="X57" s="603">
        <v>5</v>
      </c>
      <c r="Y57" s="386"/>
      <c r="Z57" s="386">
        <v>12</v>
      </c>
      <c r="AA57" s="386"/>
      <c r="AB57" s="386"/>
      <c r="AC57" s="386"/>
      <c r="AD57" s="386"/>
      <c r="AE57" s="386"/>
      <c r="AF57" s="386"/>
      <c r="AG57" s="386"/>
      <c r="AH57" s="386"/>
    </row>
    <row r="58" spans="1:34">
      <c r="A58" s="98">
        <f>IFERROR(VLOOKUP(Table917[[#This Row],[Player No]],Table11[[#All],[No]:[Age Group]],4,0),"")</f>
        <v>0</v>
      </c>
      <c r="B58" s="99">
        <v>15</v>
      </c>
      <c r="C58" s="450">
        <f t="shared" si="9"/>
        <v>-39</v>
      </c>
      <c r="D58" s="114">
        <f t="shared" si="6"/>
        <v>54</v>
      </c>
      <c r="E58" s="114">
        <v>8082</v>
      </c>
      <c r="F58" s="123" t="str">
        <f>IFERROR(VLOOKUP(Table917[[#This Row],[Player No]],Table11[[No]:[Province]],2,0),"")</f>
        <v xml:space="preserve">Reabetswe Tiro </v>
      </c>
      <c r="G58" s="123" t="str">
        <f>IFERROR(VLOOKUP(Table917[[#This Row],[Player No]],Table11[[No]:[Province]],3,0),"")</f>
        <v>NW</v>
      </c>
      <c r="H58" s="124">
        <v>15.625</v>
      </c>
      <c r="I58" s="789">
        <f>Table917[[#This Row],[Points 2025]]/2+SUM(Table917[[#This Row],[O1  ADMIN 2026]:[P2         WC     Open   2026]])</f>
        <v>7.8125</v>
      </c>
      <c r="J58" s="114">
        <f t="shared" si="4"/>
        <v>0</v>
      </c>
      <c r="K58" s="114">
        <f t="shared" si="5"/>
        <v>0</v>
      </c>
      <c r="L58" s="708"/>
      <c r="M58" s="708" t="s">
        <v>6083</v>
      </c>
      <c r="N58" s="708" t="s">
        <v>6083</v>
      </c>
      <c r="O58" s="708"/>
      <c r="P58" s="114"/>
      <c r="Q58" s="114"/>
      <c r="R58" s="114"/>
      <c r="S58" s="114"/>
      <c r="T58" s="114"/>
      <c r="U58" s="114"/>
      <c r="V58" s="114"/>
      <c r="W58" s="114"/>
      <c r="X58" s="400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</row>
    <row r="59" spans="1:34">
      <c r="A59" s="98">
        <f>IFERROR(VLOOKUP(Table917[[#This Row],[Player No]],Table11[[#All],[No]:[Age Group]],4,0),"")</f>
        <v>0</v>
      </c>
      <c r="B59" s="99">
        <v>18</v>
      </c>
      <c r="C59" s="450">
        <f t="shared" si="9"/>
        <v>-37</v>
      </c>
      <c r="D59" s="114">
        <f t="shared" si="6"/>
        <v>55</v>
      </c>
      <c r="E59" s="114">
        <v>8040</v>
      </c>
      <c r="F59" s="123" t="str">
        <f>IFERROR(VLOOKUP(Table917[[#This Row],[Player No]],Table11[[No]:[Province]],2,0),"")</f>
        <v>MAJIEDT Logan</v>
      </c>
      <c r="G59" s="123" t="str">
        <f>IFERROR(VLOOKUP(Table917[[#This Row],[Player No]],Table11[[No]:[Province]],3,0),"")</f>
        <v>CT</v>
      </c>
      <c r="H59" s="124">
        <v>12.75</v>
      </c>
      <c r="I59" s="789">
        <f>Table917[[#This Row],[Points 2025]]/2+SUM(Table917[[#This Row],[O1  ADMIN 2026]:[P2         WC     Open   2026]])</f>
        <v>6.375</v>
      </c>
      <c r="J59" s="114">
        <f t="shared" si="4"/>
        <v>0</v>
      </c>
      <c r="K59" s="114">
        <f t="shared" si="5"/>
        <v>0</v>
      </c>
      <c r="L59" s="708"/>
      <c r="M59" s="708" t="s">
        <v>6083</v>
      </c>
      <c r="N59" s="708" t="s">
        <v>6083</v>
      </c>
      <c r="O59" s="708"/>
      <c r="P59" s="114"/>
      <c r="Q59" s="114"/>
      <c r="R59" s="114"/>
      <c r="S59" s="114"/>
      <c r="T59" s="114"/>
      <c r="U59" s="114"/>
      <c r="V59" s="114"/>
      <c r="W59" s="114"/>
      <c r="X59" s="400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</row>
    <row r="60" spans="1:34">
      <c r="A60" s="98">
        <f>IFERROR(VLOOKUP(Table917[[#This Row],[Player No]],Table11[[#All],[No]:[Age Group]],4,0),"")</f>
        <v>0</v>
      </c>
      <c r="B60" s="99">
        <v>17</v>
      </c>
      <c r="C60" s="450">
        <f t="shared" si="9"/>
        <v>-39</v>
      </c>
      <c r="D60" s="114">
        <f t="shared" si="6"/>
        <v>56</v>
      </c>
      <c r="E60" s="114">
        <v>8072</v>
      </c>
      <c r="F60" s="123" t="str">
        <f>IFERROR(VLOOKUP(Table917[[#This Row],[Player No]],Table11[[No]:[Province]],2,0),"")</f>
        <v>JAYSON Raylin</v>
      </c>
      <c r="G60" s="123" t="str">
        <f>IFERROR(VLOOKUP(Table917[[#This Row],[Player No]],Table11[[No]:[Province]],3,0),"")</f>
        <v>CT</v>
      </c>
      <c r="H60" s="124">
        <v>12.75</v>
      </c>
      <c r="I60" s="789">
        <f>Table917[[#This Row],[Points 2025]]/2+SUM(Table917[[#This Row],[O1  ADMIN 2026]:[P2         WC     Open   2026]])</f>
        <v>6.375</v>
      </c>
      <c r="J60" s="114">
        <f t="shared" si="4"/>
        <v>0</v>
      </c>
      <c r="K60" s="114">
        <f t="shared" si="5"/>
        <v>0</v>
      </c>
      <c r="L60" s="708"/>
      <c r="M60" s="708" t="s">
        <v>6083</v>
      </c>
      <c r="N60" s="708" t="s">
        <v>6083</v>
      </c>
      <c r="O60" s="708"/>
      <c r="P60" s="114"/>
      <c r="Q60" s="114"/>
      <c r="R60" s="114"/>
      <c r="S60" s="114"/>
      <c r="T60" s="114"/>
      <c r="U60" s="114"/>
      <c r="V60" s="114"/>
      <c r="W60" s="114"/>
      <c r="X60" s="400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</row>
    <row r="61" spans="1:34">
      <c r="A61" s="98">
        <f>IFERROR(VLOOKUP(Table917[[#This Row],[Player No]],Table11[[#All],[No]:[Age Group]],4,0),"")</f>
        <v>0</v>
      </c>
      <c r="B61" s="99">
        <v>20</v>
      </c>
      <c r="C61" s="450">
        <f t="shared" si="9"/>
        <v>-37</v>
      </c>
      <c r="D61" s="114">
        <f t="shared" si="6"/>
        <v>57</v>
      </c>
      <c r="E61" s="114">
        <v>8106</v>
      </c>
      <c r="F61" s="125" t="str">
        <f>IFERROR(VLOOKUP(Table917[[#This Row],[Player No]],Table11[[No]:[Province]],2,0),"")</f>
        <v>PARBHOODEEN Akshara Gemma</v>
      </c>
      <c r="G61" s="123" t="str">
        <f>IFERROR(VLOOKUP(Table917[[#This Row],[Player No]],Table11[[No]:[Province]],3,0),"")</f>
        <v>UMG</v>
      </c>
      <c r="H61" s="124">
        <v>12.5</v>
      </c>
      <c r="I61" s="789">
        <f>Table917[[#This Row],[Points 2025]]/2+SUM(Table917[[#This Row],[O1  ADMIN 2026]:[P2         WC     Open   2026]])</f>
        <v>6.25</v>
      </c>
      <c r="J61" s="114">
        <f t="shared" si="4"/>
        <v>0</v>
      </c>
      <c r="K61" s="114">
        <f t="shared" si="5"/>
        <v>0</v>
      </c>
      <c r="L61" s="708"/>
      <c r="M61" s="708" t="s">
        <v>6083</v>
      </c>
      <c r="N61" s="708" t="s">
        <v>6083</v>
      </c>
      <c r="O61" s="708"/>
      <c r="P61" s="114"/>
      <c r="Q61" s="114"/>
      <c r="R61" s="114"/>
      <c r="S61" s="114"/>
      <c r="T61" s="114"/>
      <c r="U61" s="114"/>
      <c r="V61" s="114"/>
      <c r="W61" s="114"/>
      <c r="X61" s="400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</row>
    <row r="62" spans="1:34">
      <c r="A62" s="98">
        <f>IFERROR(VLOOKUP(Table917[[#This Row],[Player No]],Table11[[#All],[No]:[Age Group]],4,0),"")</f>
        <v>0</v>
      </c>
      <c r="B62" s="99">
        <v>22</v>
      </c>
      <c r="C62" s="450">
        <f t="shared" si="9"/>
        <v>-36</v>
      </c>
      <c r="D62" s="114">
        <f t="shared" si="6"/>
        <v>58</v>
      </c>
      <c r="E62" s="114">
        <v>8125</v>
      </c>
      <c r="F62" s="125" t="str">
        <f>IFERROR(VLOOKUP(Table917[[#This Row],[Player No]],Table11[[No]:[Province]],2,0),"")</f>
        <v>GOLOGOLO Latita</v>
      </c>
      <c r="G62" s="123" t="str">
        <f>IFERROR(VLOOKUP(Table917[[#This Row],[Player No]],Table11[[No]:[Province]],3,0),"")</f>
        <v>FS</v>
      </c>
      <c r="H62" s="124">
        <v>12.5</v>
      </c>
      <c r="I62" s="789">
        <f>Table917[[#This Row],[Points 2025]]/2+SUM(Table917[[#This Row],[O1  ADMIN 2026]:[P2         WC     Open   2026]])</f>
        <v>6.25</v>
      </c>
      <c r="J62" s="114">
        <f t="shared" si="4"/>
        <v>0</v>
      </c>
      <c r="K62" s="114">
        <f t="shared" si="5"/>
        <v>0</v>
      </c>
      <c r="L62" s="708"/>
      <c r="M62" s="708" t="s">
        <v>6083</v>
      </c>
      <c r="N62" s="708" t="s">
        <v>6083</v>
      </c>
      <c r="O62" s="708"/>
      <c r="P62" s="114"/>
      <c r="Q62" s="114"/>
      <c r="R62" s="114"/>
      <c r="S62" s="114"/>
      <c r="T62" s="114"/>
      <c r="U62" s="114"/>
      <c r="V62" s="114"/>
      <c r="W62" s="114"/>
      <c r="X62" s="400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</row>
    <row r="63" spans="1:34">
      <c r="A63" s="98">
        <f>IFERROR(VLOOKUP(Table917[[#This Row],[Player No]],Table11[[#All],[No]:[Age Group]],4,0),"")</f>
        <v>0</v>
      </c>
      <c r="B63" s="99">
        <v>21</v>
      </c>
      <c r="C63" s="450">
        <f t="shared" si="9"/>
        <v>-38</v>
      </c>
      <c r="D63" s="114">
        <f t="shared" si="6"/>
        <v>59</v>
      </c>
      <c r="E63" s="114">
        <v>8288</v>
      </c>
      <c r="F63" s="125" t="str">
        <f>IFERROR(VLOOKUP(Table917[[#This Row],[Player No]],Table11[[No]:[Province]],2,0),"")</f>
        <v>NGAMBU Asekhona</v>
      </c>
      <c r="G63" s="123" t="str">
        <f>IFERROR(VLOOKUP(Table917[[#This Row],[Player No]],Table11[[No]:[Province]],3,0),"")</f>
        <v>EC</v>
      </c>
      <c r="H63" s="124">
        <v>12.5</v>
      </c>
      <c r="I63" s="789">
        <f>Table917[[#This Row],[Points 2025]]/2+SUM(Table917[[#This Row],[O1  ADMIN 2026]:[P2         WC     Open   2026]])</f>
        <v>6.25</v>
      </c>
      <c r="J63" s="114">
        <f t="shared" si="4"/>
        <v>0</v>
      </c>
      <c r="K63" s="114">
        <f t="shared" si="5"/>
        <v>0</v>
      </c>
      <c r="L63" s="708"/>
      <c r="M63" s="708" t="s">
        <v>6083</v>
      </c>
      <c r="N63" s="708" t="s">
        <v>6083</v>
      </c>
      <c r="O63" s="708"/>
      <c r="P63" s="114"/>
      <c r="Q63" s="114"/>
      <c r="R63" s="114"/>
      <c r="S63" s="114"/>
      <c r="T63" s="114"/>
      <c r="U63" s="114"/>
      <c r="V63" s="114"/>
      <c r="W63" s="114"/>
      <c r="X63" s="400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</row>
    <row r="64" spans="1:34">
      <c r="A64" s="98">
        <f>IFERROR(VLOOKUP(Table917[[#This Row],[Player No]],Table11[[#All],[No]:[Age Group]],4,0),"")</f>
        <v>0</v>
      </c>
      <c r="B64" s="99">
        <v>19</v>
      </c>
      <c r="C64" s="450">
        <f t="shared" si="9"/>
        <v>-41</v>
      </c>
      <c r="D64" s="114">
        <f t="shared" si="6"/>
        <v>60</v>
      </c>
      <c r="E64" s="114">
        <v>8289</v>
      </c>
      <c r="F64" s="125" t="str">
        <f>IFERROR(VLOOKUP(Table917[[#This Row],[Player No]],Table11[[No]:[Province]],2,0),"")</f>
        <v>MPHUNGA Amkele</v>
      </c>
      <c r="G64" s="123" t="str">
        <f>IFERROR(VLOOKUP(Table917[[#This Row],[Player No]],Table11[[No]:[Province]],3,0),"")</f>
        <v>EC</v>
      </c>
      <c r="H64" s="124">
        <v>12.5</v>
      </c>
      <c r="I64" s="789">
        <f>Table917[[#This Row],[Points 2025]]/2+SUM(Table917[[#This Row],[O1  ADMIN 2026]:[P2         WC     Open   2026]])</f>
        <v>6.25</v>
      </c>
      <c r="J64" s="114">
        <f t="shared" si="4"/>
        <v>0</v>
      </c>
      <c r="K64" s="114">
        <f t="shared" si="5"/>
        <v>0</v>
      </c>
      <c r="L64" s="708"/>
      <c r="M64" s="708" t="s">
        <v>6083</v>
      </c>
      <c r="N64" s="708" t="s">
        <v>6083</v>
      </c>
      <c r="O64" s="708"/>
      <c r="P64" s="114"/>
      <c r="Q64" s="114"/>
      <c r="R64" s="114"/>
      <c r="S64" s="114"/>
      <c r="T64" s="114"/>
      <c r="U64" s="114"/>
      <c r="V64" s="114"/>
      <c r="W64" s="114"/>
      <c r="X64" s="400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</row>
    <row r="65" spans="1:34">
      <c r="A65" s="98">
        <f>IFERROR(VLOOKUP(Table917[[#This Row],[Player No]],Table11[[#All],[No]:[Age Group]],4,0),"")</f>
        <v>0</v>
      </c>
      <c r="B65" s="99"/>
      <c r="C65" s="450"/>
      <c r="D65" s="114">
        <f t="shared" si="6"/>
        <v>61</v>
      </c>
      <c r="E65" s="114">
        <v>8362</v>
      </c>
      <c r="F65" s="125" t="str">
        <f>IFERROR(VLOOKUP(Table917[[#This Row],[Player No]],Table11[[No]:[Province]],2,0),"")</f>
        <v>MABILO Delite</v>
      </c>
      <c r="G65" s="123" t="str">
        <f>IFERROR(VLOOKUP(Table917[[#This Row],[Player No]],Table11[[No]:[Province]],3,0),"")</f>
        <v>NW</v>
      </c>
      <c r="H65" s="124">
        <v>12.5</v>
      </c>
      <c r="I65" s="789">
        <f>Table917[[#This Row],[Points 2025]]/2+SUM(Table917[[#This Row],[O1  ADMIN 2026]:[P2         WC     Open   2026]])</f>
        <v>6.25</v>
      </c>
      <c r="J65" s="114">
        <f t="shared" si="4"/>
        <v>0</v>
      </c>
      <c r="K65" s="114">
        <f t="shared" si="5"/>
        <v>0</v>
      </c>
      <c r="L65" s="708"/>
      <c r="M65" s="708" t="s">
        <v>6083</v>
      </c>
      <c r="N65" s="708" t="s">
        <v>6083</v>
      </c>
      <c r="O65" s="708"/>
      <c r="P65" s="114"/>
      <c r="Q65" s="114"/>
      <c r="R65" s="114"/>
      <c r="S65" s="114"/>
      <c r="T65" s="114"/>
      <c r="U65" s="114"/>
      <c r="V65" s="114"/>
      <c r="W65" s="114"/>
      <c r="X65" s="400"/>
      <c r="Y65" s="114"/>
      <c r="Z65" s="114"/>
      <c r="AA65" s="114"/>
      <c r="AB65" s="114"/>
      <c r="AC65" s="114"/>
      <c r="AD65" s="114"/>
      <c r="AE65" s="114">
        <v>25</v>
      </c>
      <c r="AF65" s="114"/>
      <c r="AG65" s="114"/>
      <c r="AH65" s="114"/>
    </row>
    <row r="66" spans="1:34">
      <c r="A66" s="98">
        <v>0</v>
      </c>
      <c r="B66" s="99"/>
      <c r="C66" s="450"/>
      <c r="D66" s="114">
        <f t="shared" si="6"/>
        <v>62</v>
      </c>
      <c r="E66" s="114">
        <v>8400</v>
      </c>
      <c r="F66" s="125" t="str">
        <f>IFERROR(VLOOKUP(Table917[[#This Row],[Player No]],Table11[[No]:[Province]],2,0),"")</f>
        <v>LETELE Katlego</v>
      </c>
      <c r="G66" s="123" t="str">
        <f>IFERROR(VLOOKUP(Table917[[#This Row],[Player No]],Table11[[No]:[Province]],3,0),"")</f>
        <v>EKU</v>
      </c>
      <c r="H66" s="124">
        <v>12.5</v>
      </c>
      <c r="I66" s="789">
        <f>Table917[[#This Row],[Points 2025]]/2+SUM(Table917[[#This Row],[O1  ADMIN 2026]:[P2         WC     Open   2026]])</f>
        <v>6.25</v>
      </c>
      <c r="J66" s="114">
        <f t="shared" si="4"/>
        <v>0</v>
      </c>
      <c r="K66" s="114">
        <f t="shared" si="5"/>
        <v>0</v>
      </c>
      <c r="L66" s="708"/>
      <c r="M66" s="708" t="s">
        <v>6083</v>
      </c>
      <c r="N66" s="708" t="s">
        <v>6083</v>
      </c>
      <c r="O66" s="708"/>
      <c r="P66" s="114"/>
      <c r="Q66" s="114"/>
      <c r="R66" s="114"/>
      <c r="S66" s="114"/>
      <c r="T66" s="114"/>
      <c r="U66" s="114"/>
      <c r="V66" s="114"/>
      <c r="W66" s="114"/>
      <c r="X66" s="400"/>
      <c r="Y66" s="114"/>
      <c r="Z66" s="114"/>
      <c r="AA66" s="114"/>
      <c r="AB66" s="114"/>
      <c r="AC66" s="114"/>
      <c r="AD66" s="114"/>
      <c r="AE66" s="114">
        <v>25</v>
      </c>
      <c r="AF66" s="114"/>
      <c r="AG66" s="114"/>
      <c r="AH66" s="114"/>
    </row>
    <row r="67" spans="1:34">
      <c r="A67" s="99">
        <v>0</v>
      </c>
      <c r="B67" s="99"/>
      <c r="C67" s="450"/>
      <c r="D67" s="114">
        <f t="shared" si="6"/>
        <v>63</v>
      </c>
      <c r="E67" s="114">
        <v>8401</v>
      </c>
      <c r="F67" s="125" t="str">
        <f>IFERROR(VLOOKUP(Table917[[#This Row],[Player No]],Table11[[No]:[Province]],2,0),"")</f>
        <v>PHIRI Thato</v>
      </c>
      <c r="G67" s="123" t="str">
        <f>IFERROR(VLOOKUP(Table917[[#This Row],[Player No]],Table11[[No]:[Province]],3,0),"")</f>
        <v>EKU</v>
      </c>
      <c r="H67" s="124">
        <v>12.5</v>
      </c>
      <c r="I67" s="789">
        <f>Table917[[#This Row],[Points 2025]]/2+SUM(Table917[[#This Row],[O1  ADMIN 2026]:[P2         WC     Open   2026]])</f>
        <v>6.25</v>
      </c>
      <c r="J67" s="114">
        <f t="shared" si="4"/>
        <v>0</v>
      </c>
      <c r="K67" s="114">
        <f t="shared" si="5"/>
        <v>0</v>
      </c>
      <c r="L67" s="708"/>
      <c r="M67" s="708" t="s">
        <v>6083</v>
      </c>
      <c r="N67" s="708" t="s">
        <v>6083</v>
      </c>
      <c r="O67" s="708"/>
      <c r="P67" s="114"/>
      <c r="Q67" s="114"/>
      <c r="R67" s="114"/>
      <c r="S67" s="114"/>
      <c r="T67" s="114"/>
      <c r="U67" s="114"/>
      <c r="V67" s="114"/>
      <c r="W67" s="114"/>
      <c r="X67" s="400"/>
      <c r="Y67" s="114"/>
      <c r="Z67" s="114"/>
      <c r="AA67" s="114"/>
      <c r="AB67" s="114"/>
      <c r="AC67" s="114"/>
      <c r="AD67" s="114"/>
      <c r="AE67" s="114">
        <v>25</v>
      </c>
      <c r="AF67" s="114"/>
      <c r="AG67" s="114"/>
      <c r="AH67" s="114"/>
    </row>
    <row r="68" spans="1:34">
      <c r="A68" s="99">
        <v>0</v>
      </c>
      <c r="B68" s="99"/>
      <c r="C68" s="450"/>
      <c r="D68" s="114">
        <f t="shared" si="6"/>
        <v>64</v>
      </c>
      <c r="E68" s="114">
        <v>8456</v>
      </c>
      <c r="F68" s="125" t="str">
        <f>IFERROR(VLOOKUP(Table917[[#This Row],[Player No]],Table11[[No]:[Province]],2,0),"")</f>
        <v>JAMESON  Sisanda</v>
      </c>
      <c r="G68" s="123" t="str">
        <f>IFERROR(VLOOKUP(Table917[[#This Row],[Player No]],Table11[[No]:[Province]],3,0),"")</f>
        <v>FS</v>
      </c>
      <c r="H68" s="124">
        <v>12.5</v>
      </c>
      <c r="I68" s="789">
        <f>Table917[[#This Row],[Points 2025]]/2+SUM(Table917[[#This Row],[O1  ADMIN 2026]:[P2         WC     Open   2026]])</f>
        <v>6.25</v>
      </c>
      <c r="J68" s="114">
        <f t="shared" si="4"/>
        <v>0</v>
      </c>
      <c r="K68" s="114">
        <f t="shared" si="5"/>
        <v>0</v>
      </c>
      <c r="L68" s="708"/>
      <c r="M68" s="708" t="s">
        <v>6083</v>
      </c>
      <c r="N68" s="708" t="s">
        <v>6083</v>
      </c>
      <c r="O68" s="708"/>
      <c r="P68" s="114"/>
      <c r="Q68" s="114"/>
      <c r="R68" s="114"/>
      <c r="S68" s="114"/>
      <c r="T68" s="114"/>
      <c r="U68" s="114"/>
      <c r="V68" s="114"/>
      <c r="W68" s="114"/>
      <c r="X68" s="400"/>
      <c r="Y68" s="114"/>
      <c r="Z68" s="114"/>
      <c r="AA68" s="114"/>
      <c r="AB68" s="114"/>
      <c r="AC68" s="114"/>
      <c r="AD68" s="114"/>
      <c r="AE68" s="114">
        <v>25</v>
      </c>
      <c r="AF68" s="114"/>
      <c r="AG68" s="114"/>
      <c r="AH68" s="114"/>
    </row>
    <row r="69" spans="1:34">
      <c r="A69" s="99">
        <v>0</v>
      </c>
      <c r="B69" s="99"/>
      <c r="C69" s="450"/>
      <c r="D69" s="114">
        <f t="shared" si="6"/>
        <v>65</v>
      </c>
      <c r="E69" s="114">
        <v>8592</v>
      </c>
      <c r="F69" s="125" t="str">
        <f>IFERROR(VLOOKUP(Table917[[#This Row],[Player No]],Table11[[No]:[Province]],2,0),"")</f>
        <v xml:space="preserve">Reneiloe Mosoang </v>
      </c>
      <c r="G69" s="123" t="str">
        <f>IFERROR(VLOOKUP(Table917[[#This Row],[Player No]],Table11[[No]:[Province]],3,0),"")</f>
        <v>FS</v>
      </c>
      <c r="H69" s="124">
        <v>12.5</v>
      </c>
      <c r="I69" s="789">
        <f>Table917[[#This Row],[Points 2025]]/2+SUM(Table917[[#This Row],[O1  ADMIN 2026]:[P2         WC     Open   2026]])</f>
        <v>6.25</v>
      </c>
      <c r="J69" s="114">
        <f t="shared" ref="J69:J100" si="10">COUNTIF(L69:O69,"&gt;0")</f>
        <v>0</v>
      </c>
      <c r="K69" s="114">
        <f t="shared" ref="K69:K92" si="11">COUNTIF(M69:AH69,"&lt;0")</f>
        <v>0</v>
      </c>
      <c r="L69" s="708"/>
      <c r="M69" s="708" t="s">
        <v>6083</v>
      </c>
      <c r="N69" s="708" t="s">
        <v>6083</v>
      </c>
      <c r="O69" s="708"/>
      <c r="P69" s="114"/>
      <c r="Q69" s="114"/>
      <c r="R69" s="114"/>
      <c r="S69" s="114"/>
      <c r="T69" s="114"/>
      <c r="U69" s="114">
        <v>12.5</v>
      </c>
      <c r="V69" s="114"/>
      <c r="W69" s="114"/>
      <c r="X69" s="400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</row>
    <row r="70" spans="1:34">
      <c r="A70" s="99">
        <v>0</v>
      </c>
      <c r="B70" s="99"/>
      <c r="C70" s="450"/>
      <c r="D70" s="114">
        <f t="shared" si="6"/>
        <v>66</v>
      </c>
      <c r="E70" s="114">
        <v>8675</v>
      </c>
      <c r="F70" s="125" t="str">
        <f>IFERROR(VLOOKUP(Table917[[#This Row],[Player No]],Table11[[No]:[Province]],2,0),"")</f>
        <v>MOHANLAL Narisha</v>
      </c>
      <c r="G70" s="123" t="str">
        <f>IFERROR(VLOOKUP(Table917[[#This Row],[Player No]],Table11[[No]:[Province]],3,0),"")</f>
        <v>UMG</v>
      </c>
      <c r="H70" s="124">
        <v>12.5</v>
      </c>
      <c r="I70" s="789">
        <f>Table917[[#This Row],[Points 2025]]/2+SUM(Table917[[#This Row],[O1  ADMIN 2026]:[P2         WC     Open   2026]])</f>
        <v>6.25</v>
      </c>
      <c r="J70" s="114">
        <f t="shared" si="10"/>
        <v>0</v>
      </c>
      <c r="K70" s="114">
        <f t="shared" si="11"/>
        <v>0</v>
      </c>
      <c r="L70" s="708"/>
      <c r="M70" s="708" t="s">
        <v>6083</v>
      </c>
      <c r="N70" s="708" t="s">
        <v>6083</v>
      </c>
      <c r="O70" s="708"/>
      <c r="P70" s="114"/>
      <c r="Q70" s="114"/>
      <c r="R70" s="114"/>
      <c r="S70" s="114"/>
      <c r="T70" s="114"/>
      <c r="U70" s="114"/>
      <c r="V70" s="114"/>
      <c r="W70" s="114"/>
      <c r="X70" s="400"/>
      <c r="Y70" s="114">
        <v>12.5</v>
      </c>
      <c r="Z70" s="114"/>
      <c r="AA70" s="114"/>
      <c r="AB70" s="114"/>
      <c r="AC70" s="114"/>
      <c r="AD70" s="114"/>
      <c r="AE70" s="114"/>
      <c r="AF70" s="114"/>
      <c r="AG70" s="114"/>
      <c r="AH70" s="114"/>
    </row>
    <row r="71" spans="1:34">
      <c r="A71" s="99">
        <v>0</v>
      </c>
      <c r="B71" s="99"/>
      <c r="C71" s="450"/>
      <c r="D71" s="114">
        <f t="shared" ref="D71:D102" si="12">+D70+1</f>
        <v>67</v>
      </c>
      <c r="E71" s="114">
        <v>8713</v>
      </c>
      <c r="F71" s="125" t="str">
        <f>IFERROR(VLOOKUP(Table917[[#This Row],[Player No]],Table11[[No]:[Province]],2,0),"")</f>
        <v>KONRAD Kya</v>
      </c>
      <c r="G71" s="123" t="str">
        <f>IFERROR(VLOOKUP(Table917[[#This Row],[Player No]],Table11[[No]:[Province]],3,0),"")</f>
        <v>JTTA</v>
      </c>
      <c r="H71" s="124">
        <v>12.5</v>
      </c>
      <c r="I71" s="789">
        <f>Table917[[#This Row],[Points 2025]]/2+SUM(Table917[[#This Row],[O1  ADMIN 2026]:[P2         WC     Open   2026]])</f>
        <v>6.25</v>
      </c>
      <c r="J71" s="114">
        <f t="shared" si="10"/>
        <v>0</v>
      </c>
      <c r="K71" s="114">
        <f t="shared" si="11"/>
        <v>0</v>
      </c>
      <c r="L71" s="708"/>
      <c r="M71" s="708" t="s">
        <v>6083</v>
      </c>
      <c r="N71" s="708" t="s">
        <v>6083</v>
      </c>
      <c r="O71" s="708"/>
      <c r="P71" s="114"/>
      <c r="Q71" s="114"/>
      <c r="R71" s="114"/>
      <c r="S71" s="114"/>
      <c r="T71" s="114"/>
      <c r="U71" s="114"/>
      <c r="V71" s="114">
        <v>12.5</v>
      </c>
      <c r="W71" s="114"/>
      <c r="X71" s="400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</row>
    <row r="72" spans="1:34">
      <c r="A72" s="98">
        <v>0</v>
      </c>
      <c r="B72" s="99">
        <v>26</v>
      </c>
      <c r="C72" s="450">
        <f>+B72-D72</f>
        <v>-42</v>
      </c>
      <c r="D72" s="114">
        <f t="shared" si="12"/>
        <v>68</v>
      </c>
      <c r="E72" s="114">
        <v>8148</v>
      </c>
      <c r="F72" s="123" t="str">
        <f>IFERROR(VLOOKUP(Table917[[#This Row],[Player No]],Table11[[No]:[Province]],2,0),"")</f>
        <v>LIYEMA Dilesi</v>
      </c>
      <c r="G72" s="123" t="str">
        <f>IFERROR(VLOOKUP(Table917[[#This Row],[Player No]],Table11[[No]:[Province]],3,0),"")</f>
        <v>EC</v>
      </c>
      <c r="H72" s="124">
        <v>9.375</v>
      </c>
      <c r="I72" s="789">
        <f>Table917[[#This Row],[Points 2025]]/2+SUM(Table917[[#This Row],[O1  ADMIN 2026]:[P2         WC     Open   2026]])</f>
        <v>4.6875</v>
      </c>
      <c r="J72" s="114">
        <f t="shared" si="10"/>
        <v>0</v>
      </c>
      <c r="K72" s="114">
        <f t="shared" si="11"/>
        <v>0</v>
      </c>
      <c r="L72" s="708"/>
      <c r="M72" s="708" t="s">
        <v>6083</v>
      </c>
      <c r="N72" s="708" t="s">
        <v>6083</v>
      </c>
      <c r="O72" s="708"/>
      <c r="P72" s="114"/>
      <c r="Q72" s="114"/>
      <c r="R72" s="114"/>
      <c r="S72" s="114"/>
      <c r="T72" s="114"/>
      <c r="U72" s="114"/>
      <c r="V72" s="114"/>
      <c r="W72" s="114"/>
      <c r="X72" s="400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</row>
    <row r="73" spans="1:34">
      <c r="A73" s="98">
        <v>0</v>
      </c>
      <c r="B73" s="99">
        <v>28</v>
      </c>
      <c r="C73" s="450">
        <f>+B73-D73</f>
        <v>-41</v>
      </c>
      <c r="D73" s="114">
        <f t="shared" si="12"/>
        <v>69</v>
      </c>
      <c r="E73" s="114">
        <v>8149</v>
      </c>
      <c r="F73" s="123" t="str">
        <f>IFERROR(VLOOKUP(Table917[[#This Row],[Player No]],Table11[[No]:[Province]],2,0),"")</f>
        <v>KUNGAWE Jwambi</v>
      </c>
      <c r="G73" s="123" t="str">
        <f>IFERROR(VLOOKUP(Table917[[#This Row],[Player No]],Table11[[No]:[Province]],3,0),"")</f>
        <v>EC</v>
      </c>
      <c r="H73" s="124">
        <v>9.375</v>
      </c>
      <c r="I73" s="789">
        <f>Table917[[#This Row],[Points 2025]]/2+SUM(Table917[[#This Row],[O1  ADMIN 2026]:[P2         WC     Open   2026]])</f>
        <v>4.6875</v>
      </c>
      <c r="J73" s="114">
        <f t="shared" si="10"/>
        <v>0</v>
      </c>
      <c r="K73" s="114">
        <f t="shared" si="11"/>
        <v>0</v>
      </c>
      <c r="L73" s="708"/>
      <c r="M73" s="708" t="s">
        <v>6083</v>
      </c>
      <c r="N73" s="708" t="s">
        <v>6083</v>
      </c>
      <c r="O73" s="708"/>
      <c r="P73" s="114"/>
      <c r="Q73" s="114"/>
      <c r="R73" s="114"/>
      <c r="S73" s="114"/>
      <c r="T73" s="114"/>
      <c r="U73" s="114"/>
      <c r="V73" s="114"/>
      <c r="W73" s="114"/>
      <c r="X73" s="400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</row>
    <row r="74" spans="1:34">
      <c r="A74" s="98">
        <v>0</v>
      </c>
      <c r="B74" s="99">
        <v>27</v>
      </c>
      <c r="C74" s="450">
        <f>+B74-D74</f>
        <v>-43</v>
      </c>
      <c r="D74" s="114">
        <f t="shared" si="12"/>
        <v>70</v>
      </c>
      <c r="E74" s="114">
        <v>8150</v>
      </c>
      <c r="F74" s="123" t="str">
        <f>IFERROR(VLOOKUP(Table917[[#This Row],[Player No]],Table11[[No]:[Province]],2,0),"")</f>
        <v>NTLOKOMO Nkxankxa</v>
      </c>
      <c r="G74" s="123" t="str">
        <f>IFERROR(VLOOKUP(Table917[[#This Row],[Player No]],Table11[[No]:[Province]],3,0),"")</f>
        <v>EC</v>
      </c>
      <c r="H74" s="124">
        <v>9.375</v>
      </c>
      <c r="I74" s="789">
        <f>Table917[[#This Row],[Points 2025]]/2+SUM(Table917[[#This Row],[O1  ADMIN 2026]:[P2         WC     Open   2026]])</f>
        <v>4.6875</v>
      </c>
      <c r="J74" s="114">
        <f t="shared" si="10"/>
        <v>0</v>
      </c>
      <c r="K74" s="114">
        <f t="shared" si="11"/>
        <v>0</v>
      </c>
      <c r="L74" s="708"/>
      <c r="M74" s="708" t="s">
        <v>6083</v>
      </c>
      <c r="N74" s="708" t="s">
        <v>6083</v>
      </c>
      <c r="O74" s="708"/>
      <c r="P74" s="114"/>
      <c r="Q74" s="114"/>
      <c r="R74" s="114"/>
      <c r="S74" s="114"/>
      <c r="T74" s="114"/>
      <c r="U74" s="114"/>
      <c r="V74" s="114"/>
      <c r="W74" s="114"/>
      <c r="X74" s="400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</row>
    <row r="75" spans="1:34">
      <c r="A75" s="353">
        <f>A74+1</f>
        <v>1</v>
      </c>
      <c r="B75" s="99"/>
      <c r="C75" s="450">
        <f>+B75-D75</f>
        <v>-71</v>
      </c>
      <c r="D75" s="114">
        <f t="shared" si="12"/>
        <v>71</v>
      </c>
      <c r="E75" s="330">
        <v>8310</v>
      </c>
      <c r="F75" s="125" t="str">
        <f>IFERROR(VLOOKUP(Table917[[#This Row],[Player No]],Table11[[No]:[Province]],2,0),"")</f>
        <v xml:space="preserve">BHENGU Sinakho  </v>
      </c>
      <c r="G75" s="123" t="str">
        <f>IFERROR(VLOOKUP(Table917[[#This Row],[Player No]],Table11[[No]:[Province]],3,0),"")</f>
        <v>ETK</v>
      </c>
      <c r="H75" s="124">
        <v>5</v>
      </c>
      <c r="I75" s="789">
        <f>Table917[[#This Row],[Points 2025]]/2+SUM(Table917[[#This Row],[O1  ADMIN 2026]:[P2         WC     Open   2026]])</f>
        <v>4.5</v>
      </c>
      <c r="J75" s="114">
        <f t="shared" si="10"/>
        <v>2</v>
      </c>
      <c r="K75" s="114">
        <f t="shared" si="11"/>
        <v>0</v>
      </c>
      <c r="L75" s="708"/>
      <c r="M75" s="827">
        <v>1</v>
      </c>
      <c r="N75" s="827">
        <v>1</v>
      </c>
      <c r="O75" s="827"/>
      <c r="P75" s="114"/>
      <c r="Q75" s="114"/>
      <c r="R75" s="114" t="s">
        <v>4722</v>
      </c>
      <c r="S75" s="114"/>
      <c r="T75" s="114"/>
      <c r="U75" s="114"/>
      <c r="V75" s="114"/>
      <c r="W75" s="114"/>
      <c r="X75" s="400">
        <v>5</v>
      </c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</row>
    <row r="76" spans="1:34">
      <c r="A76" s="98">
        <v>0</v>
      </c>
      <c r="B76" s="99">
        <v>30</v>
      </c>
      <c r="C76" s="450">
        <f>+B76-D76</f>
        <v>-42</v>
      </c>
      <c r="D76" s="114">
        <f t="shared" si="12"/>
        <v>72</v>
      </c>
      <c r="E76" s="114">
        <v>8076</v>
      </c>
      <c r="F76" s="123" t="str">
        <f>IFERROR(VLOOKUP(Table917[[#This Row],[Player No]],Table11[[No]:[Province]],2,0),"")</f>
        <v>DJEUDJE Akheela</v>
      </c>
      <c r="G76" s="123" t="str">
        <f>IFERROR(VLOOKUP(Table917[[#This Row],[Player No]],Table11[[No]:[Province]],3,0),"")</f>
        <v>WC</v>
      </c>
      <c r="H76" s="124">
        <v>7.5</v>
      </c>
      <c r="I76" s="789">
        <f>Table917[[#This Row],[Points 2025]]/2+SUM(Table917[[#This Row],[O1  ADMIN 2026]:[P2         WC     Open   2026]])</f>
        <v>3.75</v>
      </c>
      <c r="J76" s="114">
        <f t="shared" si="10"/>
        <v>0</v>
      </c>
      <c r="K76" s="114">
        <f t="shared" si="11"/>
        <v>0</v>
      </c>
      <c r="L76" s="708"/>
      <c r="M76" s="708" t="s">
        <v>6083</v>
      </c>
      <c r="N76" s="708" t="s">
        <v>6083</v>
      </c>
      <c r="O76" s="708"/>
      <c r="P76" s="114"/>
      <c r="Q76" s="114"/>
      <c r="R76" s="114"/>
      <c r="S76" s="114"/>
      <c r="T76" s="114"/>
      <c r="U76" s="114"/>
      <c r="V76" s="114"/>
      <c r="W76" s="114"/>
      <c r="X76" s="400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</row>
    <row r="77" spans="1:34">
      <c r="A77" s="99">
        <v>0</v>
      </c>
      <c r="B77" s="99"/>
      <c r="C77" s="450"/>
      <c r="D77" s="114">
        <f t="shared" si="12"/>
        <v>73</v>
      </c>
      <c r="E77" s="114">
        <v>8714</v>
      </c>
      <c r="F77" s="125" t="str">
        <f>IFERROR(VLOOKUP(Table917[[#This Row],[Player No]],Table11[[No]:[Province]],2,0),"")</f>
        <v>EBRHAIM Nasreen</v>
      </c>
      <c r="G77" s="123" t="str">
        <f>IFERROR(VLOOKUP(Table917[[#This Row],[Player No]],Table11[[No]:[Province]],3,0),"")</f>
        <v>JTTA</v>
      </c>
      <c r="H77" s="124">
        <v>7.5</v>
      </c>
      <c r="I77" s="789">
        <f>Table917[[#This Row],[Points 2025]]/2+SUM(Table917[[#This Row],[O1  ADMIN 2026]:[P2         WC     Open   2026]])</f>
        <v>3.75</v>
      </c>
      <c r="J77" s="114">
        <f t="shared" si="10"/>
        <v>0</v>
      </c>
      <c r="K77" s="114">
        <f t="shared" si="11"/>
        <v>0</v>
      </c>
      <c r="L77" s="708"/>
      <c r="M77" s="708" t="s">
        <v>6083</v>
      </c>
      <c r="N77" s="708" t="s">
        <v>6083</v>
      </c>
      <c r="O77" s="708"/>
      <c r="P77" s="114"/>
      <c r="Q77" s="114"/>
      <c r="R77" s="114"/>
      <c r="S77" s="114"/>
      <c r="T77" s="114"/>
      <c r="U77" s="114"/>
      <c r="V77" s="114">
        <v>7.5</v>
      </c>
      <c r="W77" s="114"/>
      <c r="X77" s="400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</row>
    <row r="78" spans="1:34">
      <c r="A78" s="99">
        <v>0</v>
      </c>
      <c r="B78" s="99"/>
      <c r="C78" s="450"/>
      <c r="D78" s="114">
        <f t="shared" si="12"/>
        <v>74</v>
      </c>
      <c r="E78" s="114">
        <v>8715</v>
      </c>
      <c r="F78" s="125" t="str">
        <f>IFERROR(VLOOKUP(Table917[[#This Row],[Player No]],Table11[[No]:[Province]],2,0),"")</f>
        <v>KHAN Diyanah Bibi</v>
      </c>
      <c r="G78" s="123" t="str">
        <f>IFERROR(VLOOKUP(Table917[[#This Row],[Player No]],Table11[[No]:[Province]],3,0),"")</f>
        <v>JTTA</v>
      </c>
      <c r="H78" s="124">
        <v>7.5</v>
      </c>
      <c r="I78" s="789">
        <f>Table917[[#This Row],[Points 2025]]/2+SUM(Table917[[#This Row],[O1  ADMIN 2026]:[P2         WC     Open   2026]])</f>
        <v>3.75</v>
      </c>
      <c r="J78" s="114">
        <f t="shared" si="10"/>
        <v>0</v>
      </c>
      <c r="K78" s="114">
        <f t="shared" si="11"/>
        <v>0</v>
      </c>
      <c r="L78" s="708"/>
      <c r="M78" s="708" t="s">
        <v>6083</v>
      </c>
      <c r="N78" s="708" t="s">
        <v>6083</v>
      </c>
      <c r="O78" s="708"/>
      <c r="P78" s="114"/>
      <c r="Q78" s="114"/>
      <c r="R78" s="114"/>
      <c r="S78" s="114"/>
      <c r="T78" s="114"/>
      <c r="U78" s="114"/>
      <c r="V78" s="114">
        <v>7.5</v>
      </c>
      <c r="W78" s="114"/>
      <c r="X78" s="400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</row>
    <row r="79" spans="1:34">
      <c r="A79" s="99">
        <v>0</v>
      </c>
      <c r="B79" s="99"/>
      <c r="C79" s="450"/>
      <c r="D79" s="114">
        <f t="shared" si="12"/>
        <v>75</v>
      </c>
      <c r="E79" s="114">
        <v>8717</v>
      </c>
      <c r="F79" s="125" t="str">
        <f>IFERROR(VLOOKUP(Table917[[#This Row],[Player No]],Table11[[No]:[Province]],2,0),"")</f>
        <v>SMITH Willow</v>
      </c>
      <c r="G79" s="123" t="str">
        <f>IFERROR(VLOOKUP(Table917[[#This Row],[Player No]],Table11[[No]:[Province]],3,0),"")</f>
        <v>CT</v>
      </c>
      <c r="H79" s="124">
        <v>7.5</v>
      </c>
      <c r="I79" s="789">
        <f>Table917[[#This Row],[Points 2025]]/2+SUM(Table917[[#This Row],[O1  ADMIN 2026]:[P2         WC     Open   2026]])</f>
        <v>3.75</v>
      </c>
      <c r="J79" s="114">
        <f t="shared" si="10"/>
        <v>0</v>
      </c>
      <c r="K79" s="114">
        <f t="shared" si="11"/>
        <v>0</v>
      </c>
      <c r="L79" s="708"/>
      <c r="M79" s="708" t="s">
        <v>6083</v>
      </c>
      <c r="N79" s="708" t="s">
        <v>6083</v>
      </c>
      <c r="O79" s="708"/>
      <c r="P79" s="114"/>
      <c r="Q79" s="114"/>
      <c r="R79" s="114"/>
      <c r="S79" s="114"/>
      <c r="T79" s="114"/>
      <c r="U79" s="114"/>
      <c r="V79" s="114">
        <v>0.5</v>
      </c>
      <c r="W79" s="114">
        <v>2</v>
      </c>
      <c r="X79" s="400">
        <v>5</v>
      </c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</row>
    <row r="80" spans="1:34">
      <c r="A80" s="98">
        <v>0</v>
      </c>
      <c r="B80" s="99">
        <v>35</v>
      </c>
      <c r="C80" s="450">
        <f t="shared" ref="C80:C87" si="13">+B80-D80</f>
        <v>-41</v>
      </c>
      <c r="D80" s="114">
        <f t="shared" si="12"/>
        <v>76</v>
      </c>
      <c r="E80" s="114">
        <v>7308</v>
      </c>
      <c r="F80" s="125" t="str">
        <f>IFERROR(VLOOKUP(Table917[[#This Row],[Player No]],Table11[[No]:[Province]],2,0),"")</f>
        <v>RADEBE Onalerona</v>
      </c>
      <c r="G80" s="123" t="str">
        <f>IFERROR(VLOOKUP(Table917[[#This Row],[Player No]],Table11[[No]:[Province]],3,0),"")</f>
        <v>FS</v>
      </c>
      <c r="H80" s="124">
        <v>6.25</v>
      </c>
      <c r="I80" s="789">
        <f>Table917[[#This Row],[Points 2025]]/2+SUM(Table917[[#This Row],[O1  ADMIN 2026]:[P2         WC     Open   2026]])</f>
        <v>3.125</v>
      </c>
      <c r="J80" s="114">
        <f t="shared" si="10"/>
        <v>0</v>
      </c>
      <c r="K80" s="114">
        <f t="shared" si="11"/>
        <v>0</v>
      </c>
      <c r="L80" s="708"/>
      <c r="M80" s="708" t="s">
        <v>6083</v>
      </c>
      <c r="N80" s="708" t="s">
        <v>6083</v>
      </c>
      <c r="O80" s="708"/>
      <c r="P80" s="114"/>
      <c r="Q80" s="114"/>
      <c r="R80" s="114"/>
      <c r="S80" s="114"/>
      <c r="T80" s="114"/>
      <c r="U80" s="114"/>
      <c r="V80" s="114"/>
      <c r="W80" s="114"/>
      <c r="X80" s="400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</row>
    <row r="81" spans="1:34">
      <c r="A81" s="98">
        <v>0</v>
      </c>
      <c r="B81" s="99">
        <v>34</v>
      </c>
      <c r="C81" s="450">
        <f t="shared" si="13"/>
        <v>-43</v>
      </c>
      <c r="D81" s="114">
        <f t="shared" si="12"/>
        <v>77</v>
      </c>
      <c r="E81" s="114">
        <v>8109</v>
      </c>
      <c r="F81" s="123" t="str">
        <f>IFERROR(VLOOKUP(Table917[[#This Row],[Player No]],Table11[[No]:[Province]],2,0),"")</f>
        <v>TSHWETSHWELA Elona</v>
      </c>
      <c r="G81" s="123" t="str">
        <f>IFERROR(VLOOKUP(Table917[[#This Row],[Player No]],Table11[[No]:[Province]],3,0),"")</f>
        <v>ETK</v>
      </c>
      <c r="H81" s="124">
        <v>6.25</v>
      </c>
      <c r="I81" s="789">
        <f>Table917[[#This Row],[Points 2025]]/2+SUM(Table917[[#This Row],[O1  ADMIN 2026]:[P2         WC     Open   2026]])</f>
        <v>3.125</v>
      </c>
      <c r="J81" s="114">
        <f t="shared" si="10"/>
        <v>0</v>
      </c>
      <c r="K81" s="114">
        <f t="shared" si="11"/>
        <v>0</v>
      </c>
      <c r="L81" s="708"/>
      <c r="M81" s="708" t="s">
        <v>6083</v>
      </c>
      <c r="N81" s="708" t="s">
        <v>6083</v>
      </c>
      <c r="O81" s="708"/>
      <c r="P81" s="114"/>
      <c r="Q81" s="114"/>
      <c r="R81" s="114"/>
      <c r="S81" s="114"/>
      <c r="T81" s="114"/>
      <c r="U81" s="114"/>
      <c r="V81" s="114"/>
      <c r="W81" s="114"/>
      <c r="X81" s="400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</row>
    <row r="82" spans="1:34">
      <c r="A82" s="98">
        <v>0</v>
      </c>
      <c r="B82" s="99">
        <v>37</v>
      </c>
      <c r="C82" s="450">
        <f t="shared" si="13"/>
        <v>-41</v>
      </c>
      <c r="D82" s="114">
        <f t="shared" si="12"/>
        <v>78</v>
      </c>
      <c r="E82" s="114">
        <v>8123</v>
      </c>
      <c r="F82" s="125" t="str">
        <f>IFERROR(VLOOKUP(Table917[[#This Row],[Player No]],Table11[[No]:[Province]],2,0),"")</f>
        <v>OMPHILE Motseki</v>
      </c>
      <c r="G82" s="123" t="str">
        <f>IFERROR(VLOOKUP(Table917[[#This Row],[Player No]],Table11[[No]:[Province]],3,0),"")</f>
        <v>FS</v>
      </c>
      <c r="H82" s="124">
        <v>6.25</v>
      </c>
      <c r="I82" s="789">
        <f>Table917[[#This Row],[Points 2025]]/2+SUM(Table917[[#This Row],[O1  ADMIN 2026]:[P2         WC     Open   2026]])</f>
        <v>3.125</v>
      </c>
      <c r="J82" s="114">
        <f t="shared" si="10"/>
        <v>0</v>
      </c>
      <c r="K82" s="114">
        <f t="shared" si="11"/>
        <v>0</v>
      </c>
      <c r="L82" s="708"/>
      <c r="M82" s="708" t="s">
        <v>6083</v>
      </c>
      <c r="N82" s="708" t="s">
        <v>6083</v>
      </c>
      <c r="O82" s="708"/>
      <c r="P82" s="114"/>
      <c r="Q82" s="114"/>
      <c r="R82" s="114"/>
      <c r="S82" s="114"/>
      <c r="T82" s="114"/>
      <c r="U82" s="114"/>
      <c r="V82" s="114"/>
      <c r="W82" s="114"/>
      <c r="X82" s="400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</row>
    <row r="83" spans="1:34">
      <c r="A83" s="98">
        <v>0</v>
      </c>
      <c r="B83" s="99">
        <v>31</v>
      </c>
      <c r="C83" s="450">
        <f t="shared" si="13"/>
        <v>-48</v>
      </c>
      <c r="D83" s="114">
        <f t="shared" si="12"/>
        <v>79</v>
      </c>
      <c r="E83" s="114">
        <v>8143</v>
      </c>
      <c r="F83" s="123" t="str">
        <f>IFERROR(VLOOKUP(Table917[[#This Row],[Player No]],Table11[[No]:[Province]],2,0),"")</f>
        <v>Swazi Ngwenya</v>
      </c>
      <c r="G83" s="123" t="str">
        <f>IFERROR(VLOOKUP(Table917[[#This Row],[Player No]],Table11[[No]:[Province]],3,0),"")</f>
        <v>UTH</v>
      </c>
      <c r="H83" s="124">
        <v>6.25</v>
      </c>
      <c r="I83" s="789">
        <f>Table917[[#This Row],[Points 2025]]/2+SUM(Table917[[#This Row],[O1  ADMIN 2026]:[P2         WC     Open   2026]])</f>
        <v>3.125</v>
      </c>
      <c r="J83" s="114">
        <f t="shared" si="10"/>
        <v>0</v>
      </c>
      <c r="K83" s="114">
        <f t="shared" si="11"/>
        <v>0</v>
      </c>
      <c r="L83" s="708"/>
      <c r="M83" s="708" t="s">
        <v>6083</v>
      </c>
      <c r="N83" s="708" t="s">
        <v>6083</v>
      </c>
      <c r="O83" s="708"/>
      <c r="P83" s="114"/>
      <c r="Q83" s="114"/>
      <c r="R83" s="114"/>
      <c r="S83" s="114"/>
      <c r="T83" s="114"/>
      <c r="U83" s="114"/>
      <c r="V83" s="114"/>
      <c r="W83" s="114"/>
      <c r="X83" s="400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</row>
    <row r="84" spans="1:34">
      <c r="A84" s="98">
        <v>0</v>
      </c>
      <c r="B84" s="99">
        <v>36</v>
      </c>
      <c r="C84" s="450">
        <f t="shared" si="13"/>
        <v>-44</v>
      </c>
      <c r="D84" s="114">
        <f t="shared" si="12"/>
        <v>80</v>
      </c>
      <c r="E84" s="114">
        <v>8145</v>
      </c>
      <c r="F84" s="125" t="str">
        <f>IFERROR(VLOOKUP(Table917[[#This Row],[Player No]],Table11[[No]:[Province]],2,0),"")</f>
        <v>MORAKABI Neo</v>
      </c>
      <c r="G84" s="123" t="str">
        <f>IFERROR(VLOOKUP(Table917[[#This Row],[Player No]],Table11[[No]:[Province]],3,0),"")</f>
        <v>FS</v>
      </c>
      <c r="H84" s="124">
        <v>6.25</v>
      </c>
      <c r="I84" s="789">
        <f>Table917[[#This Row],[Points 2025]]/2+SUM(Table917[[#This Row],[O1  ADMIN 2026]:[P2         WC     Open   2026]])</f>
        <v>3.125</v>
      </c>
      <c r="J84" s="114">
        <f t="shared" si="10"/>
        <v>0</v>
      </c>
      <c r="K84" s="114">
        <f t="shared" si="11"/>
        <v>0</v>
      </c>
      <c r="L84" s="708"/>
      <c r="M84" s="708" t="s">
        <v>6083</v>
      </c>
      <c r="N84" s="708" t="s">
        <v>6083</v>
      </c>
      <c r="O84" s="708"/>
      <c r="P84" s="114"/>
      <c r="Q84" s="114"/>
      <c r="R84" s="114"/>
      <c r="S84" s="114"/>
      <c r="T84" s="114"/>
      <c r="U84" s="114"/>
      <c r="V84" s="114"/>
      <c r="W84" s="114"/>
      <c r="X84" s="400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</row>
    <row r="85" spans="1:34">
      <c r="A85" s="98">
        <v>0</v>
      </c>
      <c r="B85" s="99">
        <v>32</v>
      </c>
      <c r="C85" s="450">
        <f t="shared" si="13"/>
        <v>-49</v>
      </c>
      <c r="D85" s="114">
        <f t="shared" si="12"/>
        <v>81</v>
      </c>
      <c r="E85" s="114">
        <v>8146</v>
      </c>
      <c r="F85" s="123">
        <f>IFERROR(VLOOKUP(Table917[[#This Row],[Player No]],Table11[[No]:[Province]],2,0),"")</f>
        <v>0</v>
      </c>
      <c r="G85" s="123">
        <f>IFERROR(VLOOKUP(Table917[[#This Row],[Player No]],Table11[[No]:[Province]],3,0),"")</f>
        <v>0</v>
      </c>
      <c r="H85" s="124">
        <v>6.25</v>
      </c>
      <c r="I85" s="789">
        <f>Table917[[#This Row],[Points 2025]]/2+SUM(Table917[[#This Row],[O1  ADMIN 2026]:[P2         WC     Open   2026]])</f>
        <v>3.125</v>
      </c>
      <c r="J85" s="114">
        <f t="shared" si="10"/>
        <v>0</v>
      </c>
      <c r="K85" s="114">
        <f t="shared" si="11"/>
        <v>0</v>
      </c>
      <c r="L85" s="708"/>
      <c r="M85" s="708" t="s">
        <v>6083</v>
      </c>
      <c r="N85" s="708" t="s">
        <v>6083</v>
      </c>
      <c r="O85" s="708"/>
      <c r="P85" s="114"/>
      <c r="Q85" s="114"/>
      <c r="R85" s="114"/>
      <c r="S85" s="114"/>
      <c r="T85" s="114"/>
      <c r="U85" s="114"/>
      <c r="V85" s="114"/>
      <c r="W85" s="114"/>
      <c r="X85" s="400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</row>
    <row r="86" spans="1:34">
      <c r="A86" s="98">
        <v>0</v>
      </c>
      <c r="B86" s="99">
        <v>33</v>
      </c>
      <c r="C86" s="84">
        <f t="shared" si="13"/>
        <v>-49</v>
      </c>
      <c r="D86" s="114">
        <f t="shared" si="12"/>
        <v>82</v>
      </c>
      <c r="E86" s="114">
        <v>8158</v>
      </c>
      <c r="F86" s="123" t="str">
        <f>IFERROR(VLOOKUP(Table917[[#This Row],[Player No]],Table11[[No]:[Province]],2,0),"")</f>
        <v>MANYAMA Nthabiseng</v>
      </c>
      <c r="G86" s="123" t="str">
        <f>IFERROR(VLOOKUP(Table917[[#This Row],[Player No]],Table11[[No]:[Province]],3,0),"")</f>
        <v>LIM</v>
      </c>
      <c r="H86" s="124">
        <v>6.25</v>
      </c>
      <c r="I86" s="789">
        <f>Table917[[#This Row],[Points 2025]]/2+SUM(Table917[[#This Row],[O1  ADMIN 2026]:[P2         WC     Open   2026]])</f>
        <v>3.125</v>
      </c>
      <c r="J86" s="114">
        <f t="shared" si="10"/>
        <v>0</v>
      </c>
      <c r="K86" s="114">
        <f t="shared" si="11"/>
        <v>0</v>
      </c>
      <c r="L86" s="708"/>
      <c r="M86" s="708" t="s">
        <v>6083</v>
      </c>
      <c r="N86" s="708" t="s">
        <v>6083</v>
      </c>
      <c r="O86" s="708"/>
      <c r="P86" s="114"/>
      <c r="Q86" s="114"/>
      <c r="R86" s="114"/>
      <c r="S86" s="114"/>
      <c r="T86" s="114"/>
      <c r="U86" s="114"/>
      <c r="V86" s="114"/>
      <c r="W86" s="114"/>
      <c r="X86" s="400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</row>
    <row r="87" spans="1:34">
      <c r="A87" s="98">
        <v>0</v>
      </c>
      <c r="B87" s="99">
        <v>40</v>
      </c>
      <c r="C87" s="84">
        <f t="shared" si="13"/>
        <v>-43</v>
      </c>
      <c r="D87" s="114">
        <f t="shared" si="12"/>
        <v>83</v>
      </c>
      <c r="E87" s="114">
        <v>8345</v>
      </c>
      <c r="F87" s="125" t="str">
        <f>IFERROR(VLOOKUP(Table917[[#This Row],[Player No]],Table11[[No]:[Province]],2,0),"")</f>
        <v>MKHWANAZI Botshelo</v>
      </c>
      <c r="G87" s="123" t="str">
        <f>IFERROR(VLOOKUP(Table917[[#This Row],[Player No]],Table11[[No]:[Province]],3,0),"")</f>
        <v>GN</v>
      </c>
      <c r="H87" s="124">
        <v>6.25</v>
      </c>
      <c r="I87" s="789">
        <f>Table917[[#This Row],[Points 2025]]/2+SUM(Table917[[#This Row],[O1  ADMIN 2026]:[P2         WC     Open   2026]])</f>
        <v>3.125</v>
      </c>
      <c r="J87" s="114">
        <f t="shared" si="10"/>
        <v>0</v>
      </c>
      <c r="K87" s="114">
        <f t="shared" si="11"/>
        <v>0</v>
      </c>
      <c r="L87" s="708"/>
      <c r="M87" s="708" t="s">
        <v>6083</v>
      </c>
      <c r="N87" s="708" t="s">
        <v>6083</v>
      </c>
      <c r="O87" s="708"/>
      <c r="P87" s="114"/>
      <c r="Q87" s="114"/>
      <c r="R87" s="114"/>
      <c r="S87" s="114"/>
      <c r="T87" s="114"/>
      <c r="U87" s="114"/>
      <c r="V87" s="114"/>
      <c r="W87" s="114"/>
      <c r="X87" s="400"/>
      <c r="Y87" s="114"/>
      <c r="Z87" s="114"/>
      <c r="AA87" s="114"/>
      <c r="AB87" s="114"/>
      <c r="AC87" s="114"/>
      <c r="AD87" s="114"/>
      <c r="AE87" s="114"/>
      <c r="AF87" s="114"/>
      <c r="AG87" s="114"/>
      <c r="AH87" s="114">
        <f>25/2</f>
        <v>12.5</v>
      </c>
    </row>
    <row r="88" spans="1:34">
      <c r="A88" s="99">
        <v>0</v>
      </c>
      <c r="B88" s="99"/>
      <c r="C88" s="84"/>
      <c r="D88" s="114">
        <f t="shared" si="12"/>
        <v>84</v>
      </c>
      <c r="E88" s="114">
        <v>8462</v>
      </c>
      <c r="F88" s="125" t="str">
        <f>IFERROR(VLOOKUP(Table917[[#This Row],[Player No]],Table11[[No]:[Province]],2,0),"")</f>
        <v xml:space="preserve">MOKOARI Omphile </v>
      </c>
      <c r="G88" s="123" t="str">
        <f>IFERROR(VLOOKUP(Table917[[#This Row],[Player No]],Table11[[No]:[Province]],3,0),"")</f>
        <v>FS</v>
      </c>
      <c r="H88" s="124">
        <v>6</v>
      </c>
      <c r="I88" s="789">
        <f>Table917[[#This Row],[Points 2025]]/2+SUM(Table917[[#This Row],[O1  ADMIN 2026]:[P2         WC     Open   2026]])</f>
        <v>3</v>
      </c>
      <c r="J88" s="114">
        <f t="shared" si="10"/>
        <v>0</v>
      </c>
      <c r="K88" s="114">
        <f t="shared" si="11"/>
        <v>0</v>
      </c>
      <c r="L88" s="708"/>
      <c r="M88" s="708" t="s">
        <v>6083</v>
      </c>
      <c r="N88" s="708" t="s">
        <v>6083</v>
      </c>
      <c r="O88" s="708"/>
      <c r="P88" s="114"/>
      <c r="Q88" s="114"/>
      <c r="R88" s="114"/>
      <c r="S88" s="114"/>
      <c r="T88" s="114">
        <v>1</v>
      </c>
      <c r="U88" s="114"/>
      <c r="V88" s="114"/>
      <c r="W88" s="114"/>
      <c r="X88" s="400">
        <v>5</v>
      </c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</row>
    <row r="89" spans="1:34">
      <c r="A89" s="353">
        <f>A88+1</f>
        <v>1</v>
      </c>
      <c r="B89" s="99"/>
      <c r="C89" s="84">
        <f>+B89-D89</f>
        <v>-85</v>
      </c>
      <c r="D89" s="114">
        <f t="shared" si="12"/>
        <v>85</v>
      </c>
      <c r="E89" s="330">
        <v>8221</v>
      </c>
      <c r="F89" s="125" t="str">
        <f>IFERROR(VLOOKUP(Table917[[#This Row],[Player No]],Table11[[No]:[Province]],2,0),"")</f>
        <v>MOSALA Paballo</v>
      </c>
      <c r="G89" s="123" t="str">
        <f>IFERROR(VLOOKUP(Table917[[#This Row],[Player No]],Table11[[No]:[Province]],3,0),"")</f>
        <v>NW</v>
      </c>
      <c r="H89" s="124">
        <v>5</v>
      </c>
      <c r="I89" s="789">
        <f>Table917[[#This Row],[Points 2025]]/2+SUM(Table917[[#This Row],[O1  ADMIN 2026]:[P2         WC     Open   2026]])</f>
        <v>2.5</v>
      </c>
      <c r="J89" s="114">
        <f t="shared" si="10"/>
        <v>0</v>
      </c>
      <c r="K89" s="114">
        <f t="shared" si="11"/>
        <v>0</v>
      </c>
      <c r="L89" s="708"/>
      <c r="M89" s="827" t="s">
        <v>6083</v>
      </c>
      <c r="N89" s="827" t="s">
        <v>6083</v>
      </c>
      <c r="O89" s="827"/>
      <c r="P89" s="114"/>
      <c r="Q89" s="114"/>
      <c r="R89" s="114"/>
      <c r="S89" s="114"/>
      <c r="T89" s="114"/>
      <c r="U89" s="114"/>
      <c r="V89" s="114"/>
      <c r="W89" s="114"/>
      <c r="X89" s="400">
        <v>5</v>
      </c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</row>
    <row r="90" spans="1:34">
      <c r="A90" s="379">
        <f>A89+1</f>
        <v>2</v>
      </c>
      <c r="B90" s="100"/>
      <c r="C90" s="88">
        <f>+B90-D90</f>
        <v>-86</v>
      </c>
      <c r="D90" s="114">
        <f t="shared" si="12"/>
        <v>86</v>
      </c>
      <c r="E90" s="330">
        <v>8329</v>
      </c>
      <c r="F90" s="125" t="str">
        <f>IFERROR(VLOOKUP(Table917[[#This Row],[Player No]],Table11[[No]:[Province]],2,0),"")</f>
        <v>NDLOVU Simthandile Zonke</v>
      </c>
      <c r="G90" s="123" t="str">
        <f>IFERROR(VLOOKUP(Table917[[#This Row],[Player No]],Table11[[No]:[Province]],3,0),"")</f>
        <v>ETK</v>
      </c>
      <c r="H90" s="124">
        <v>5</v>
      </c>
      <c r="I90" s="789">
        <f>Table917[[#This Row],[Points 2025]]/2+SUM(Table917[[#This Row],[O1  ADMIN 2026]:[P2         WC     Open   2026]])</f>
        <v>2.5</v>
      </c>
      <c r="J90" s="114">
        <f t="shared" si="10"/>
        <v>0</v>
      </c>
      <c r="K90" s="114">
        <f t="shared" si="11"/>
        <v>0</v>
      </c>
      <c r="L90" s="708"/>
      <c r="M90" s="827" t="s">
        <v>6083</v>
      </c>
      <c r="N90" s="827" t="s">
        <v>6083</v>
      </c>
      <c r="O90" s="827"/>
      <c r="P90" s="114"/>
      <c r="Q90" s="114"/>
      <c r="R90" s="114"/>
      <c r="S90" s="114"/>
      <c r="T90" s="114"/>
      <c r="U90" s="114"/>
      <c r="V90" s="114"/>
      <c r="W90" s="114"/>
      <c r="X90" s="400">
        <v>5</v>
      </c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</row>
    <row r="91" spans="1:34">
      <c r="A91" s="379">
        <f>A90+1</f>
        <v>3</v>
      </c>
      <c r="B91" s="100"/>
      <c r="C91" s="88">
        <f>+B91-D91</f>
        <v>-87</v>
      </c>
      <c r="D91" s="114">
        <f t="shared" si="12"/>
        <v>87</v>
      </c>
      <c r="E91" s="330">
        <v>8819</v>
      </c>
      <c r="F91" s="125" t="str">
        <f>IFERROR(VLOOKUP(Table917[[#This Row],[Player No]],Table11[[No]:[Province]],2,0),"")</f>
        <v>SEKETE Nthabeleng</v>
      </c>
      <c r="G91" s="123" t="str">
        <f>IFERROR(VLOOKUP(Table917[[#This Row],[Player No]],Table11[[No]:[Province]],3,0),"")</f>
        <v>DRKKTTA</v>
      </c>
      <c r="H91" s="124">
        <v>5</v>
      </c>
      <c r="I91" s="789">
        <f>Table917[[#This Row],[Points 2025]]/2+SUM(Table917[[#This Row],[O1  ADMIN 2026]:[P2         WC     Open   2026]])</f>
        <v>2.5</v>
      </c>
      <c r="J91" s="114">
        <f t="shared" si="10"/>
        <v>0</v>
      </c>
      <c r="K91" s="114">
        <f t="shared" si="11"/>
        <v>0</v>
      </c>
      <c r="L91" s="708"/>
      <c r="M91" s="827" t="s">
        <v>6083</v>
      </c>
      <c r="N91" s="827" t="s">
        <v>6083</v>
      </c>
      <c r="O91" s="827"/>
      <c r="P91" s="114"/>
      <c r="Q91" s="114"/>
      <c r="R91" s="114"/>
      <c r="S91" s="114"/>
      <c r="T91" s="114"/>
      <c r="U91" s="114"/>
      <c r="V91" s="114"/>
      <c r="W91" s="114"/>
      <c r="X91" s="400">
        <v>5</v>
      </c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</row>
    <row r="92" spans="1:34">
      <c r="A92" s="379">
        <f>A91+1</f>
        <v>4</v>
      </c>
      <c r="B92" s="100"/>
      <c r="C92" s="88">
        <f>+B92-D92</f>
        <v>-88</v>
      </c>
      <c r="D92" s="114">
        <f t="shared" si="12"/>
        <v>88</v>
      </c>
      <c r="E92" s="330">
        <v>8838</v>
      </c>
      <c r="F92" s="125" t="str">
        <f>IFERROR(VLOOKUP(Table917[[#This Row],[Player No]],Table11[[No]:[Province]],2,0),"")</f>
        <v>TAMPE Kobamelo</v>
      </c>
      <c r="G92" s="123" t="str">
        <f>IFERROR(VLOOKUP(Table917[[#This Row],[Player No]],Table11[[No]:[Province]],3,0),"")</f>
        <v>NW</v>
      </c>
      <c r="H92" s="124">
        <v>5</v>
      </c>
      <c r="I92" s="789">
        <f>Table917[[#This Row],[Points 2025]]/2+SUM(Table917[[#This Row],[O1  ADMIN 2026]:[P2         WC     Open   2026]])</f>
        <v>2.5</v>
      </c>
      <c r="J92" s="114">
        <f t="shared" si="10"/>
        <v>0</v>
      </c>
      <c r="K92" s="114">
        <f t="shared" si="11"/>
        <v>0</v>
      </c>
      <c r="L92" s="708"/>
      <c r="M92" s="827" t="s">
        <v>6083</v>
      </c>
      <c r="N92" s="827" t="s">
        <v>6083</v>
      </c>
      <c r="O92" s="827"/>
      <c r="P92" s="114"/>
      <c r="Q92" s="114"/>
      <c r="R92" s="114"/>
      <c r="S92" s="114"/>
      <c r="T92" s="114"/>
      <c r="U92" s="114"/>
      <c r="V92" s="114"/>
      <c r="W92" s="114"/>
      <c r="X92" s="400">
        <v>5</v>
      </c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</row>
    <row r="93" spans="1:34">
      <c r="A93" s="379">
        <f>A92+1</f>
        <v>5</v>
      </c>
      <c r="B93" s="100"/>
      <c r="C93" s="88">
        <f>+B93-D93</f>
        <v>-89</v>
      </c>
      <c r="D93" s="114">
        <f t="shared" si="12"/>
        <v>89</v>
      </c>
      <c r="E93" s="330">
        <v>8951</v>
      </c>
      <c r="F93" s="125" t="str">
        <f>IFERROR(VLOOKUP(Table917[[#This Row],[Player No]],Table11[[No]:[Province]],2,0),"")</f>
        <v>NAIDOO Zyva</v>
      </c>
      <c r="G93" s="123" t="str">
        <f>IFERROR(VLOOKUP(Table917[[#This Row],[Player No]],Table11[[No]:[Province]],3,0),"")</f>
        <v>UMG</v>
      </c>
      <c r="H93" s="124">
        <v>0.25</v>
      </c>
      <c r="I93" s="789">
        <f>Table917[[#This Row],[Points 2025]]/2+SUM(Table917[[#This Row],[O1  ADMIN 2026]:[P2         WC     Open   2026]])</f>
        <v>2.125</v>
      </c>
      <c r="J93" s="330">
        <f t="shared" si="10"/>
        <v>2</v>
      </c>
      <c r="K93" s="330">
        <f>COUNTIF(P93:AA93,"&lt;0")</f>
        <v>0</v>
      </c>
      <c r="L93" s="827"/>
      <c r="M93" s="708">
        <v>1</v>
      </c>
      <c r="N93" s="708">
        <v>1</v>
      </c>
      <c r="O93" s="708"/>
      <c r="P93" s="114"/>
      <c r="Q93" s="114"/>
      <c r="R93" s="114"/>
      <c r="S93" s="114"/>
      <c r="T93" s="114"/>
      <c r="U93" s="114"/>
      <c r="V93" s="114"/>
      <c r="W93" s="114"/>
      <c r="X93" s="400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</row>
    <row r="94" spans="1:34">
      <c r="A94" s="445">
        <v>0</v>
      </c>
      <c r="B94" s="100"/>
      <c r="C94" s="88"/>
      <c r="D94" s="114">
        <f t="shared" si="12"/>
        <v>90</v>
      </c>
      <c r="E94" s="114">
        <v>8497</v>
      </c>
      <c r="F94" s="125" t="str">
        <f>IFERROR(VLOOKUP(Table917[[#This Row],[Player No]],Table11[[No]:[Province]],2,0),"")</f>
        <v>Sumayya HANSROD</v>
      </c>
      <c r="G94" s="123" t="str">
        <f>IFERROR(VLOOKUP(Table917[[#This Row],[Player No]],Table11[[No]:[Province]],3,0),"")</f>
        <v>JTTA</v>
      </c>
      <c r="H94" s="124">
        <v>3.5</v>
      </c>
      <c r="I94" s="789">
        <f>Table917[[#This Row],[Points 2025]]/2+SUM(Table917[[#This Row],[O1  ADMIN 2026]:[P2         WC     Open   2026]])</f>
        <v>1.75</v>
      </c>
      <c r="J94" s="114">
        <f t="shared" si="10"/>
        <v>0</v>
      </c>
      <c r="K94" s="114">
        <f t="shared" ref="K94:K102" si="14">COUNTIF(M94:AH94,"&lt;0")</f>
        <v>0</v>
      </c>
      <c r="L94" s="708"/>
      <c r="M94" s="708" t="s">
        <v>6083</v>
      </c>
      <c r="N94" s="708" t="s">
        <v>6083</v>
      </c>
      <c r="O94" s="708"/>
      <c r="P94" s="114"/>
      <c r="Q94" s="114"/>
      <c r="R94" s="114"/>
      <c r="S94" s="114"/>
      <c r="T94" s="114"/>
      <c r="U94" s="114"/>
      <c r="V94" s="114"/>
      <c r="W94" s="114"/>
      <c r="X94" s="400"/>
      <c r="Y94" s="114"/>
      <c r="Z94" s="114"/>
      <c r="AA94" s="114">
        <v>1</v>
      </c>
      <c r="AB94" s="114"/>
      <c r="AC94" s="114"/>
      <c r="AD94" s="114"/>
      <c r="AE94" s="114">
        <v>5</v>
      </c>
      <c r="AF94" s="114"/>
      <c r="AG94" s="114"/>
      <c r="AH94" s="114"/>
    </row>
    <row r="95" spans="1:34">
      <c r="A95" s="100">
        <v>0</v>
      </c>
      <c r="B95" s="100"/>
      <c r="C95" s="88"/>
      <c r="D95" s="114">
        <f t="shared" si="12"/>
        <v>91</v>
      </c>
      <c r="E95" s="114">
        <v>8576</v>
      </c>
      <c r="F95" s="125" t="str">
        <f>IFERROR(VLOOKUP(Table917[[#This Row],[Player No]],Table11[[No]:[Province]],2,0),"")</f>
        <v>Arya Singh</v>
      </c>
      <c r="G95" s="123" t="str">
        <f>IFERROR(VLOOKUP(Table917[[#This Row],[Player No]],Table11[[No]:[Province]],3,0),"")</f>
        <v>UMG</v>
      </c>
      <c r="H95" s="124">
        <v>1</v>
      </c>
      <c r="I95" s="789">
        <f>Table917[[#This Row],[Points 2025]]/2+SUM(Table917[[#This Row],[O1  ADMIN 2026]:[P2         WC     Open   2026]])</f>
        <v>1.5</v>
      </c>
      <c r="J95" s="114">
        <f t="shared" si="10"/>
        <v>1</v>
      </c>
      <c r="K95" s="114">
        <f t="shared" si="14"/>
        <v>0</v>
      </c>
      <c r="L95" s="708"/>
      <c r="M95" s="708" t="s">
        <v>6083</v>
      </c>
      <c r="N95" s="708">
        <v>1</v>
      </c>
      <c r="O95" s="708"/>
      <c r="P95" s="114"/>
      <c r="Q95" s="114"/>
      <c r="R95" s="114"/>
      <c r="S95" s="114">
        <v>1</v>
      </c>
      <c r="T95" s="114"/>
      <c r="U95" s="114"/>
      <c r="V95" s="114"/>
      <c r="W95" s="114"/>
      <c r="X95" s="400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</row>
    <row r="96" spans="1:34">
      <c r="A96" s="445">
        <v>0</v>
      </c>
      <c r="B96" s="100"/>
      <c r="C96" s="88"/>
      <c r="D96" s="114">
        <f t="shared" si="12"/>
        <v>92</v>
      </c>
      <c r="E96" s="114">
        <v>8361</v>
      </c>
      <c r="F96" s="125" t="str">
        <f>IFERROR(VLOOKUP(Table917[[#This Row],[Player No]],Table11[[No]:[Province]],2,0),"")</f>
        <v>APPELS Phatsimo</v>
      </c>
      <c r="G96" s="123" t="str">
        <f>IFERROR(VLOOKUP(Table917[[#This Row],[Player No]],Table11[[No]:[Province]],3,0),"")</f>
        <v>NW</v>
      </c>
      <c r="H96" s="124">
        <v>2.5</v>
      </c>
      <c r="I96" s="789">
        <f>Table917[[#This Row],[Points 2025]]/2+SUM(Table917[[#This Row],[O1  ADMIN 2026]:[P2         WC     Open   2026]])</f>
        <v>1.25</v>
      </c>
      <c r="J96" s="114">
        <f t="shared" si="10"/>
        <v>0</v>
      </c>
      <c r="K96" s="114">
        <f t="shared" si="14"/>
        <v>0</v>
      </c>
      <c r="L96" s="708"/>
      <c r="M96" s="708" t="s">
        <v>6083</v>
      </c>
      <c r="N96" s="708" t="s">
        <v>6083</v>
      </c>
      <c r="O96" s="708"/>
      <c r="P96" s="114"/>
      <c r="Q96" s="114"/>
      <c r="R96" s="114"/>
      <c r="S96" s="114"/>
      <c r="T96" s="114"/>
      <c r="U96" s="114"/>
      <c r="V96" s="114"/>
      <c r="W96" s="114"/>
      <c r="X96" s="400"/>
      <c r="Y96" s="114"/>
      <c r="Z96" s="114"/>
      <c r="AA96" s="114"/>
      <c r="AB96" s="114"/>
      <c r="AC96" s="114"/>
      <c r="AD96" s="114"/>
      <c r="AE96" s="114">
        <v>5</v>
      </c>
      <c r="AF96" s="114"/>
      <c r="AG96" s="114"/>
      <c r="AH96" s="114"/>
    </row>
    <row r="97" spans="1:34">
      <c r="A97" s="99">
        <v>0</v>
      </c>
      <c r="B97" s="99"/>
      <c r="C97" s="88"/>
      <c r="D97" s="114">
        <f t="shared" si="12"/>
        <v>93</v>
      </c>
      <c r="E97" s="114">
        <v>8402</v>
      </c>
      <c r="F97" s="125" t="str">
        <f>IFERROR(VLOOKUP(Table917[[#This Row],[Player No]],Table11[[No]:[Province]],2,0),"")</f>
        <v>SIBISI Aphelele</v>
      </c>
      <c r="G97" s="123" t="str">
        <f>IFERROR(VLOOKUP(Table917[[#This Row],[Player No]],Table11[[No]:[Province]],3,0),"")</f>
        <v>EKU</v>
      </c>
      <c r="H97" s="124">
        <v>2.5</v>
      </c>
      <c r="I97" s="789">
        <f>Table917[[#This Row],[Points 2025]]/2+SUM(Table917[[#This Row],[O1  ADMIN 2026]:[P2         WC     Open   2026]])</f>
        <v>1.25</v>
      </c>
      <c r="J97" s="114">
        <f t="shared" si="10"/>
        <v>0</v>
      </c>
      <c r="K97" s="114">
        <f t="shared" si="14"/>
        <v>0</v>
      </c>
      <c r="L97" s="708"/>
      <c r="M97" s="708" t="s">
        <v>6083</v>
      </c>
      <c r="N97" s="708" t="s">
        <v>6083</v>
      </c>
      <c r="O97" s="708"/>
      <c r="P97" s="114"/>
      <c r="Q97" s="114"/>
      <c r="R97" s="114"/>
      <c r="S97" s="114"/>
      <c r="T97" s="114"/>
      <c r="U97" s="114"/>
      <c r="V97" s="114"/>
      <c r="W97" s="114"/>
      <c r="X97" s="400"/>
      <c r="Y97" s="114"/>
      <c r="Z97" s="114"/>
      <c r="AA97" s="114"/>
      <c r="AB97" s="114"/>
      <c r="AC97" s="114"/>
      <c r="AD97" s="114"/>
      <c r="AE97" s="114">
        <v>5</v>
      </c>
      <c r="AF97" s="114"/>
      <c r="AG97" s="114"/>
      <c r="AH97" s="114"/>
    </row>
    <row r="98" spans="1:34">
      <c r="A98" s="99">
        <v>0</v>
      </c>
      <c r="B98" s="99"/>
      <c r="C98" s="88"/>
      <c r="D98" s="114">
        <f t="shared" si="12"/>
        <v>94</v>
      </c>
      <c r="E98" s="114">
        <v>8403</v>
      </c>
      <c r="F98" s="125" t="str">
        <f>IFERROR(VLOOKUP(Table917[[#This Row],[Player No]],Table11[[No]:[Province]],2,0),"")</f>
        <v>MATUBA Kamohelo</v>
      </c>
      <c r="G98" s="123" t="str">
        <f>IFERROR(VLOOKUP(Table917[[#This Row],[Player No]],Table11[[No]:[Province]],3,0),"")</f>
        <v>EKU</v>
      </c>
      <c r="H98" s="124">
        <v>2.5</v>
      </c>
      <c r="I98" s="789">
        <f>Table917[[#This Row],[Points 2025]]/2+SUM(Table917[[#This Row],[O1  ADMIN 2026]:[P2         WC     Open   2026]])</f>
        <v>1.25</v>
      </c>
      <c r="J98" s="114">
        <f t="shared" si="10"/>
        <v>0</v>
      </c>
      <c r="K98" s="114">
        <f t="shared" si="14"/>
        <v>0</v>
      </c>
      <c r="L98" s="708"/>
      <c r="M98" s="708" t="s">
        <v>6083</v>
      </c>
      <c r="N98" s="708" t="s">
        <v>6083</v>
      </c>
      <c r="O98" s="708"/>
      <c r="P98" s="114"/>
      <c r="Q98" s="114"/>
      <c r="R98" s="114"/>
      <c r="S98" s="114"/>
      <c r="T98" s="114"/>
      <c r="U98" s="114"/>
      <c r="V98" s="114"/>
      <c r="W98" s="114"/>
      <c r="X98" s="400"/>
      <c r="Y98" s="114"/>
      <c r="Z98" s="114"/>
      <c r="AA98" s="114"/>
      <c r="AB98" s="114"/>
      <c r="AC98" s="114"/>
      <c r="AD98" s="114"/>
      <c r="AE98" s="114">
        <v>5</v>
      </c>
      <c r="AF98" s="114"/>
      <c r="AG98" s="114"/>
      <c r="AH98" s="114"/>
    </row>
    <row r="99" spans="1:34">
      <c r="A99" s="99">
        <v>0</v>
      </c>
      <c r="B99" s="99"/>
      <c r="C99" s="88"/>
      <c r="D99" s="114">
        <f t="shared" si="12"/>
        <v>95</v>
      </c>
      <c r="E99" s="114">
        <v>8430</v>
      </c>
      <c r="F99" s="125" t="str">
        <f>IFERROR(VLOOKUP(Table917[[#This Row],[Player No]],Table11[[No]:[Province]],2,0),"")</f>
        <v>MANYAMA  Karabo</v>
      </c>
      <c r="G99" s="123" t="str">
        <f>IFERROR(VLOOKUP(Table917[[#This Row],[Player No]],Table11[[No]:[Province]],3,0),"")</f>
        <v>LIM</v>
      </c>
      <c r="H99" s="124">
        <v>2.5</v>
      </c>
      <c r="I99" s="789">
        <f>Table917[[#This Row],[Points 2025]]/2+SUM(Table917[[#This Row],[O1  ADMIN 2026]:[P2         WC     Open   2026]])</f>
        <v>1.25</v>
      </c>
      <c r="J99" s="114">
        <f t="shared" si="10"/>
        <v>0</v>
      </c>
      <c r="K99" s="114">
        <f t="shared" si="14"/>
        <v>0</v>
      </c>
      <c r="L99" s="708"/>
      <c r="M99" s="708" t="s">
        <v>6083</v>
      </c>
      <c r="N99" s="708" t="s">
        <v>6083</v>
      </c>
      <c r="O99" s="708"/>
      <c r="P99" s="114"/>
      <c r="Q99" s="114"/>
      <c r="R99" s="114"/>
      <c r="S99" s="114"/>
      <c r="T99" s="114"/>
      <c r="U99" s="114"/>
      <c r="V99" s="114"/>
      <c r="W99" s="114"/>
      <c r="X99" s="400"/>
      <c r="Y99" s="114"/>
      <c r="Z99" s="114"/>
      <c r="AA99" s="114"/>
      <c r="AB99" s="114"/>
      <c r="AC99" s="114"/>
      <c r="AD99" s="114"/>
      <c r="AE99" s="114">
        <v>5</v>
      </c>
      <c r="AF99" s="114"/>
      <c r="AG99" s="114"/>
      <c r="AH99" s="114"/>
    </row>
    <row r="100" spans="1:34">
      <c r="A100" s="99">
        <v>0</v>
      </c>
      <c r="B100" s="99"/>
      <c r="C100" s="88"/>
      <c r="D100" s="114">
        <f t="shared" si="12"/>
        <v>96</v>
      </c>
      <c r="E100" s="114">
        <v>8469</v>
      </c>
      <c r="F100" s="125" t="str">
        <f>IFERROR(VLOOKUP(Table917[[#This Row],[Player No]],Table11[[No]:[Province]],2,0),"")</f>
        <v>NCITSHANA Ovuyo</v>
      </c>
      <c r="G100" s="123" t="str">
        <f>IFERROR(VLOOKUP(Table917[[#This Row],[Player No]],Table11[[No]:[Province]],3,0),"")</f>
        <v>EC</v>
      </c>
      <c r="H100" s="124">
        <v>2.5</v>
      </c>
      <c r="I100" s="789">
        <f>Table917[[#This Row],[Points 2025]]/2+SUM(Table917[[#This Row],[O1  ADMIN 2026]:[P2         WC     Open   2026]])</f>
        <v>1.25</v>
      </c>
      <c r="J100" s="114">
        <f t="shared" si="10"/>
        <v>0</v>
      </c>
      <c r="K100" s="114">
        <f t="shared" si="14"/>
        <v>0</v>
      </c>
      <c r="L100" s="708"/>
      <c r="M100" s="708" t="s">
        <v>6083</v>
      </c>
      <c r="N100" s="708" t="s">
        <v>6083</v>
      </c>
      <c r="O100" s="708"/>
      <c r="P100" s="114"/>
      <c r="Q100" s="114"/>
      <c r="R100" s="114"/>
      <c r="S100" s="114"/>
      <c r="T100" s="114"/>
      <c r="U100" s="114"/>
      <c r="V100" s="114"/>
      <c r="W100" s="114"/>
      <c r="X100" s="400"/>
      <c r="Y100" s="114"/>
      <c r="Z100" s="114"/>
      <c r="AA100" s="114"/>
      <c r="AB100" s="114"/>
      <c r="AC100" s="114"/>
      <c r="AD100" s="114"/>
      <c r="AE100" s="114">
        <v>5</v>
      </c>
      <c r="AF100" s="114"/>
      <c r="AG100" s="114"/>
      <c r="AH100" s="114"/>
    </row>
    <row r="101" spans="1:34">
      <c r="A101" s="445">
        <v>0</v>
      </c>
      <c r="B101" s="100"/>
      <c r="C101" s="88"/>
      <c r="D101" s="114">
        <f t="shared" si="12"/>
        <v>97</v>
      </c>
      <c r="E101" s="114">
        <v>8498</v>
      </c>
      <c r="F101" s="125" t="str">
        <f>IFERROR(VLOOKUP(Table917[[#This Row],[Player No]],Table11[[No]:[Province]],2,0),"")</f>
        <v>Rizwana VALLI</v>
      </c>
      <c r="G101" s="123" t="str">
        <f>IFERROR(VLOOKUP(Table917[[#This Row],[Player No]],Table11[[No]:[Province]],3,0),"")</f>
        <v>JTTA</v>
      </c>
      <c r="H101" s="124">
        <v>2.5</v>
      </c>
      <c r="I101" s="789">
        <f>Table917[[#This Row],[Points 2025]]/2+SUM(Table917[[#This Row],[O1  ADMIN 2026]:[P2         WC     Open   2026]])</f>
        <v>1.25</v>
      </c>
      <c r="J101" s="114">
        <f t="shared" ref="J101:J119" si="15">COUNTIF(L101:O101,"&gt;0")</f>
        <v>0</v>
      </c>
      <c r="K101" s="114">
        <f t="shared" si="14"/>
        <v>0</v>
      </c>
      <c r="L101" s="708"/>
      <c r="M101" s="708" t="s">
        <v>6083</v>
      </c>
      <c r="N101" s="708" t="s">
        <v>6083</v>
      </c>
      <c r="O101" s="708"/>
      <c r="P101" s="114"/>
      <c r="Q101" s="114"/>
      <c r="R101" s="114"/>
      <c r="S101" s="114"/>
      <c r="T101" s="114"/>
      <c r="U101" s="114"/>
      <c r="V101" s="114"/>
      <c r="W101" s="114"/>
      <c r="X101" s="400"/>
      <c r="Y101" s="114"/>
      <c r="Z101" s="114"/>
      <c r="AA101" s="114"/>
      <c r="AB101" s="114"/>
      <c r="AC101" s="114"/>
      <c r="AD101" s="114"/>
      <c r="AE101" s="114">
        <v>5</v>
      </c>
      <c r="AF101" s="114"/>
      <c r="AG101" s="114"/>
      <c r="AH101" s="114"/>
    </row>
    <row r="102" spans="1:34">
      <c r="A102" s="100">
        <v>0</v>
      </c>
      <c r="B102" s="100"/>
      <c r="C102" s="88"/>
      <c r="D102" s="114">
        <f t="shared" si="12"/>
        <v>98</v>
      </c>
      <c r="E102" s="114">
        <v>8716</v>
      </c>
      <c r="F102" s="125" t="str">
        <f>IFERROR(VLOOKUP(Table917[[#This Row],[Player No]],Table11[[No]:[Province]],2,0),"")</f>
        <v xml:space="preserve">MUSINGUZI Shivan </v>
      </c>
      <c r="G102" s="123" t="str">
        <f>IFERROR(VLOOKUP(Table917[[#This Row],[Player No]],Table11[[No]:[Province]],3,0),"")</f>
        <v>CT</v>
      </c>
      <c r="H102" s="124">
        <v>2.5</v>
      </c>
      <c r="I102" s="789">
        <f>Table917[[#This Row],[Points 2025]]/2+SUM(Table917[[#This Row],[O1  ADMIN 2026]:[P2         WC     Open   2026]])</f>
        <v>1.25</v>
      </c>
      <c r="J102" s="114">
        <f t="shared" si="15"/>
        <v>0</v>
      </c>
      <c r="K102" s="114">
        <f t="shared" si="14"/>
        <v>0</v>
      </c>
      <c r="L102" s="708"/>
      <c r="M102" s="708" t="s">
        <v>6083</v>
      </c>
      <c r="N102" s="708" t="s">
        <v>6083</v>
      </c>
      <c r="O102" s="708"/>
      <c r="P102" s="114"/>
      <c r="Q102" s="114"/>
      <c r="R102" s="114"/>
      <c r="S102" s="114"/>
      <c r="T102" s="114"/>
      <c r="U102" s="114"/>
      <c r="V102" s="114">
        <v>0.5</v>
      </c>
      <c r="W102" s="114">
        <v>2</v>
      </c>
      <c r="X102" s="400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</row>
    <row r="103" spans="1:34">
      <c r="A103" s="379"/>
      <c r="B103" s="100"/>
      <c r="C103" s="88"/>
      <c r="D103" s="114">
        <f t="shared" ref="D103:D119" si="16">+D102+1</f>
        <v>99</v>
      </c>
      <c r="E103" s="330">
        <v>8950</v>
      </c>
      <c r="F103" s="125" t="str">
        <f>IFERROR(VLOOKUP(Table917[[#This Row],[Player No]],Table11[[No]:[Province]],2,0),"")</f>
        <v xml:space="preserve">KORTJAAS Sisanda Enzokuhle </v>
      </c>
      <c r="G103" s="123" t="str">
        <f>IFERROR(VLOOKUP(Table917[[#This Row],[Player No]],Table11[[No]:[Province]],3,0),"")</f>
        <v>UMG</v>
      </c>
      <c r="H103" s="124">
        <v>0.25</v>
      </c>
      <c r="I103" s="941">
        <f>Table917[[#This Row],[Points 2025]]/2+SUM(Table917[[#This Row],[O1  ADMIN 2026]:[P2         WC     Open   2026]])</f>
        <v>1.125</v>
      </c>
      <c r="J103" s="330">
        <f t="shared" si="15"/>
        <v>1</v>
      </c>
      <c r="K103" s="330"/>
      <c r="L103" s="827"/>
      <c r="M103" s="827" t="s">
        <v>6083</v>
      </c>
      <c r="N103" s="827">
        <v>1</v>
      </c>
      <c r="O103" s="827"/>
      <c r="P103" s="114"/>
      <c r="Q103" s="114"/>
      <c r="R103" s="114"/>
      <c r="S103" s="114"/>
      <c r="T103" s="114"/>
      <c r="U103" s="114"/>
      <c r="V103" s="114"/>
      <c r="W103" s="114"/>
      <c r="X103" s="400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</row>
    <row r="104" spans="1:34">
      <c r="A104" s="353">
        <f>A103+1</f>
        <v>1</v>
      </c>
      <c r="B104" s="99"/>
      <c r="C104" s="88">
        <f>+B104-D104</f>
        <v>-100</v>
      </c>
      <c r="D104" s="400">
        <f t="shared" si="16"/>
        <v>100</v>
      </c>
      <c r="E104" s="409">
        <v>8761</v>
      </c>
      <c r="F104" s="604" t="str">
        <f>IFERROR(VLOOKUP(Table917[[#This Row],[Player No]],Table11[[No]:[Province]],2,0),"")</f>
        <v xml:space="preserve">BOOYSEN Des-Leigh </v>
      </c>
      <c r="G104" s="605" t="str">
        <f>IFERROR(VLOOKUP(Table917[[#This Row],[Player No]],Table11[[No]:[Province]],3,0),"")</f>
        <v>WC</v>
      </c>
      <c r="H104" s="403">
        <v>2</v>
      </c>
      <c r="I104" s="789">
        <f>Table917[[#This Row],[Points 2025]]/2+SUM(Table917[[#This Row],[O1  ADMIN 2026]:[P2         WC     Open   2026]])</f>
        <v>1</v>
      </c>
      <c r="J104" s="114">
        <f t="shared" si="15"/>
        <v>0</v>
      </c>
      <c r="K104" s="114">
        <f t="shared" ref="K104:K119" si="17">COUNTIF(M104:AH104,"&lt;0")</f>
        <v>0</v>
      </c>
      <c r="L104" s="708"/>
      <c r="M104" s="827" t="s">
        <v>6083</v>
      </c>
      <c r="N104" s="827" t="s">
        <v>6083</v>
      </c>
      <c r="O104" s="827"/>
      <c r="P104" s="400"/>
      <c r="Q104" s="400"/>
      <c r="R104" s="400"/>
      <c r="S104" s="400"/>
      <c r="T104" s="400"/>
      <c r="U104" s="400"/>
      <c r="V104" s="400"/>
      <c r="W104" s="400">
        <v>2</v>
      </c>
      <c r="X104" s="400">
        <v>0</v>
      </c>
      <c r="Y104" s="400"/>
      <c r="Z104" s="400"/>
      <c r="AA104" s="400"/>
      <c r="AB104" s="400"/>
      <c r="AC104" s="400"/>
      <c r="AD104" s="400"/>
      <c r="AE104" s="400"/>
      <c r="AF104" s="400"/>
      <c r="AG104" s="400"/>
      <c r="AH104" s="400"/>
    </row>
    <row r="105" spans="1:34">
      <c r="A105" s="445">
        <v>0</v>
      </c>
      <c r="B105" s="100">
        <v>44</v>
      </c>
      <c r="C105" s="88">
        <f>+B105-D105</f>
        <v>-57</v>
      </c>
      <c r="D105" s="401">
        <f t="shared" si="16"/>
        <v>101</v>
      </c>
      <c r="E105" s="401">
        <v>8261</v>
      </c>
      <c r="F105" s="606" t="str">
        <f>IFERROR(VLOOKUP(Table917[[#This Row],[Player No]],Table11[[No]:[Province]],2,0),"")</f>
        <v>ROTWANA  Lisakhanya</v>
      </c>
      <c r="G105" s="607" t="str">
        <f>IFERROR(VLOOKUP(Table917[[#This Row],[Player No]],Table11[[No]:[Province]],3,0),"")</f>
        <v>EC</v>
      </c>
      <c r="H105" s="404">
        <v>1.25</v>
      </c>
      <c r="I105" s="661">
        <f>Table917[[#This Row],[Points 2025]]/2+SUM(Table917[[#This Row],[O1  ADMIN 2026]:[P2         WC     Open   2026]])</f>
        <v>0.625</v>
      </c>
      <c r="J105" s="114">
        <f t="shared" si="15"/>
        <v>0</v>
      </c>
      <c r="K105" s="114">
        <f t="shared" si="17"/>
        <v>0</v>
      </c>
      <c r="L105" s="442"/>
      <c r="M105" s="442" t="s">
        <v>6083</v>
      </c>
      <c r="N105" s="442" t="s">
        <v>6083</v>
      </c>
      <c r="O105" s="442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</row>
    <row r="106" spans="1:34">
      <c r="A106" s="445">
        <v>0</v>
      </c>
      <c r="B106" s="100">
        <v>43</v>
      </c>
      <c r="C106" s="88">
        <f>+B106-D106</f>
        <v>-59</v>
      </c>
      <c r="D106" s="401">
        <f t="shared" si="16"/>
        <v>102</v>
      </c>
      <c r="E106" s="401">
        <v>8285</v>
      </c>
      <c r="F106" s="606" t="str">
        <f>IFERROR(VLOOKUP(Table917[[#This Row],[Player No]],Table11[[No]:[Province]],2,0),"")</f>
        <v>ISAACS Rushaan</v>
      </c>
      <c r="G106" s="607" t="str">
        <f>IFERROR(VLOOKUP(Table917[[#This Row],[Player No]],Table11[[No]:[Province]],3,0),"")</f>
        <v>WC</v>
      </c>
      <c r="H106" s="404">
        <v>1.25</v>
      </c>
      <c r="I106" s="661">
        <f>Table917[[#This Row],[Points 2025]]/2+SUM(Table917[[#This Row],[O1  ADMIN 2026]:[P2         WC     Open   2026]])</f>
        <v>0.625</v>
      </c>
      <c r="J106" s="114">
        <f t="shared" si="15"/>
        <v>0</v>
      </c>
      <c r="K106" s="114">
        <f t="shared" si="17"/>
        <v>0</v>
      </c>
      <c r="L106" s="442"/>
      <c r="M106" s="442" t="s">
        <v>6083</v>
      </c>
      <c r="N106" s="442" t="s">
        <v>6083</v>
      </c>
      <c r="O106" s="442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  <c r="AA106" s="401"/>
      <c r="AB106" s="401"/>
      <c r="AC106" s="401"/>
      <c r="AD106" s="401"/>
      <c r="AE106" s="401"/>
      <c r="AF106" s="401"/>
      <c r="AG106" s="401"/>
      <c r="AH106" s="401"/>
    </row>
    <row r="107" spans="1:34">
      <c r="A107" s="100">
        <v>0</v>
      </c>
      <c r="B107" s="100"/>
      <c r="C107" s="88"/>
      <c r="D107" s="401">
        <f t="shared" si="16"/>
        <v>103</v>
      </c>
      <c r="E107" s="401">
        <v>8460</v>
      </c>
      <c r="F107" s="606" t="str">
        <f>IFERROR(VLOOKUP(Table917[[#This Row],[Player No]],Table11[[No]:[Province]],2,0),"")</f>
        <v>MMUTLANYANA Omphilelesedi</v>
      </c>
      <c r="G107" s="607" t="str">
        <f>IFERROR(VLOOKUP(Table917[[#This Row],[Player No]],Table11[[No]:[Province]],3,0),"")</f>
        <v>FS</v>
      </c>
      <c r="H107" s="404">
        <v>1</v>
      </c>
      <c r="I107" s="661">
        <f>Table917[[#This Row],[Points 2025]]/2+SUM(Table917[[#This Row],[O1  ADMIN 2026]:[P2         WC     Open   2026]])</f>
        <v>0.5</v>
      </c>
      <c r="J107" s="114">
        <f t="shared" si="15"/>
        <v>0</v>
      </c>
      <c r="K107" s="114">
        <f t="shared" si="17"/>
        <v>0</v>
      </c>
      <c r="L107" s="442"/>
      <c r="M107" s="442" t="s">
        <v>6083</v>
      </c>
      <c r="N107" s="442" t="s">
        <v>6083</v>
      </c>
      <c r="O107" s="442"/>
      <c r="P107" s="401"/>
      <c r="Q107" s="401"/>
      <c r="R107" s="401"/>
      <c r="S107" s="401"/>
      <c r="T107" s="401">
        <v>1</v>
      </c>
      <c r="U107" s="401"/>
      <c r="V107" s="401"/>
      <c r="W107" s="401"/>
      <c r="X107" s="401"/>
      <c r="Y107" s="401"/>
      <c r="Z107" s="401"/>
      <c r="AA107" s="401"/>
      <c r="AB107" s="401"/>
      <c r="AC107" s="401"/>
      <c r="AD107" s="401"/>
      <c r="AE107" s="401"/>
      <c r="AF107" s="401"/>
      <c r="AG107" s="401"/>
      <c r="AH107" s="401"/>
    </row>
    <row r="108" spans="1:34">
      <c r="A108" s="100">
        <v>0</v>
      </c>
      <c r="B108" s="100"/>
      <c r="C108" s="88"/>
      <c r="D108" s="401">
        <f t="shared" si="16"/>
        <v>104</v>
      </c>
      <c r="E108" s="401">
        <v>8501</v>
      </c>
      <c r="F108" s="606" t="str">
        <f>IFERROR(VLOOKUP(Table917[[#This Row],[Player No]],Table11[[No]:[Province]],2,0),"")</f>
        <v>NGIDI Lubanzi</v>
      </c>
      <c r="G108" s="607" t="str">
        <f>IFERROR(VLOOKUP(Table917[[#This Row],[Player No]],Table11[[No]:[Province]],3,0),"")</f>
        <v>UMG</v>
      </c>
      <c r="H108" s="404">
        <v>1</v>
      </c>
      <c r="I108" s="661">
        <f>Table917[[#This Row],[Points 2025]]/2+SUM(Table917[[#This Row],[O1  ADMIN 2026]:[P2         WC     Open   2026]])</f>
        <v>0.5</v>
      </c>
      <c r="J108" s="114">
        <f t="shared" si="15"/>
        <v>0</v>
      </c>
      <c r="K108" s="114">
        <f t="shared" si="17"/>
        <v>0</v>
      </c>
      <c r="L108" s="442"/>
      <c r="M108" s="442" t="s">
        <v>6083</v>
      </c>
      <c r="N108" s="442" t="s">
        <v>6083</v>
      </c>
      <c r="O108" s="442"/>
      <c r="P108" s="401"/>
      <c r="Q108" s="401">
        <v>1</v>
      </c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401"/>
      <c r="AE108" s="401"/>
      <c r="AF108" s="401"/>
      <c r="AG108" s="401"/>
      <c r="AH108" s="401"/>
    </row>
    <row r="109" spans="1:34">
      <c r="A109" s="100">
        <v>0</v>
      </c>
      <c r="B109" s="100"/>
      <c r="C109" s="88"/>
      <c r="D109" s="401">
        <f t="shared" si="16"/>
        <v>105</v>
      </c>
      <c r="E109" s="401">
        <v>8502</v>
      </c>
      <c r="F109" s="606" t="str">
        <f>IFERROR(VLOOKUP(Table917[[#This Row],[Player No]],Table11[[No]:[Province]],2,0),"")</f>
        <v>SITHOLE Lisakhanya</v>
      </c>
      <c r="G109" s="607" t="str">
        <f>IFERROR(VLOOKUP(Table917[[#This Row],[Player No]],Table11[[No]:[Province]],3,0),"")</f>
        <v>UMG</v>
      </c>
      <c r="H109" s="404">
        <v>1</v>
      </c>
      <c r="I109" s="661">
        <f>Table917[[#This Row],[Points 2025]]/2+SUM(Table917[[#This Row],[O1  ADMIN 2026]:[P2         WC     Open   2026]])</f>
        <v>0.5</v>
      </c>
      <c r="J109" s="114">
        <f t="shared" si="15"/>
        <v>0</v>
      </c>
      <c r="K109" s="114">
        <f t="shared" si="17"/>
        <v>0</v>
      </c>
      <c r="L109" s="442"/>
      <c r="M109" s="442" t="s">
        <v>6083</v>
      </c>
      <c r="N109" s="442" t="s">
        <v>6083</v>
      </c>
      <c r="O109" s="442"/>
      <c r="P109" s="401"/>
      <c r="Q109" s="401">
        <v>1</v>
      </c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401"/>
      <c r="AE109" s="401"/>
      <c r="AF109" s="401"/>
      <c r="AG109" s="401"/>
      <c r="AH109" s="401"/>
    </row>
    <row r="110" spans="1:34">
      <c r="A110" s="100">
        <v>0</v>
      </c>
      <c r="B110" s="100"/>
      <c r="C110" s="88"/>
      <c r="D110" s="401">
        <f t="shared" si="16"/>
        <v>106</v>
      </c>
      <c r="E110" s="401">
        <v>8575</v>
      </c>
      <c r="F110" s="606" t="str">
        <f>IFERROR(VLOOKUP(Table917[[#This Row],[Player No]],Table11[[No]:[Province]],2,0),"")</f>
        <v>Tamicah Nudlall</v>
      </c>
      <c r="G110" s="607" t="str">
        <f>IFERROR(VLOOKUP(Table917[[#This Row],[Player No]],Table11[[No]:[Province]],3,0),"")</f>
        <v>UMG</v>
      </c>
      <c r="H110" s="404">
        <v>1</v>
      </c>
      <c r="I110" s="661">
        <f>Table917[[#This Row],[Points 2025]]/2+SUM(Table917[[#This Row],[O1  ADMIN 2026]:[P2         WC     Open   2026]])</f>
        <v>0.5</v>
      </c>
      <c r="J110" s="114">
        <f t="shared" si="15"/>
        <v>0</v>
      </c>
      <c r="K110" s="114">
        <f t="shared" si="17"/>
        <v>0</v>
      </c>
      <c r="L110" s="442"/>
      <c r="M110" s="442" t="s">
        <v>6083</v>
      </c>
      <c r="N110" s="442" t="s">
        <v>6083</v>
      </c>
      <c r="O110" s="442"/>
      <c r="P110" s="401"/>
      <c r="Q110" s="401"/>
      <c r="R110" s="401"/>
      <c r="S110" s="401">
        <v>1</v>
      </c>
      <c r="T110" s="401"/>
      <c r="U110" s="401"/>
      <c r="V110" s="401"/>
      <c r="W110" s="401"/>
      <c r="X110" s="401"/>
      <c r="Y110" s="401"/>
      <c r="Z110" s="401"/>
      <c r="AA110" s="401"/>
      <c r="AB110" s="401"/>
      <c r="AC110" s="401"/>
      <c r="AD110" s="401"/>
      <c r="AE110" s="401"/>
      <c r="AF110" s="401"/>
      <c r="AG110" s="401"/>
      <c r="AH110" s="401"/>
    </row>
    <row r="111" spans="1:34">
      <c r="A111" s="100">
        <v>0</v>
      </c>
      <c r="B111" s="100"/>
      <c r="C111" s="88"/>
      <c r="D111" s="401">
        <f t="shared" si="16"/>
        <v>107</v>
      </c>
      <c r="E111" s="401">
        <v>8577</v>
      </c>
      <c r="F111" s="606" t="str">
        <f>IFERROR(VLOOKUP(Table917[[#This Row],[Player No]],Table11[[No]:[Province]],2,0),"")</f>
        <v>Ameera Chohan</v>
      </c>
      <c r="G111" s="607" t="str">
        <f>IFERROR(VLOOKUP(Table917[[#This Row],[Player No]],Table11[[No]:[Province]],3,0),"")</f>
        <v>UMG</v>
      </c>
      <c r="H111" s="404">
        <v>1</v>
      </c>
      <c r="I111" s="661">
        <f>Table917[[#This Row],[Points 2025]]/2+SUM(Table917[[#This Row],[O1  ADMIN 2026]:[P2         WC     Open   2026]])</f>
        <v>0.5</v>
      </c>
      <c r="J111" s="114">
        <f t="shared" si="15"/>
        <v>0</v>
      </c>
      <c r="K111" s="114">
        <f t="shared" si="17"/>
        <v>0</v>
      </c>
      <c r="L111" s="442"/>
      <c r="M111" s="442" t="s">
        <v>6083</v>
      </c>
      <c r="N111" s="442" t="s">
        <v>6083</v>
      </c>
      <c r="O111" s="442"/>
      <c r="P111" s="401"/>
      <c r="Q111" s="401"/>
      <c r="R111" s="401"/>
      <c r="S111" s="401">
        <v>1</v>
      </c>
      <c r="T111" s="401"/>
      <c r="U111" s="401"/>
      <c r="V111" s="401"/>
      <c r="W111" s="401"/>
      <c r="X111" s="401"/>
      <c r="Y111" s="401"/>
      <c r="Z111" s="401"/>
      <c r="AA111" s="401"/>
      <c r="AB111" s="401"/>
      <c r="AC111" s="401"/>
      <c r="AD111" s="401"/>
      <c r="AE111" s="401"/>
      <c r="AF111" s="401"/>
      <c r="AG111" s="401"/>
      <c r="AH111" s="401"/>
    </row>
    <row r="112" spans="1:34">
      <c r="A112" s="99">
        <v>0</v>
      </c>
      <c r="B112" s="99"/>
      <c r="C112" s="88"/>
      <c r="D112" s="400">
        <f t="shared" si="16"/>
        <v>108</v>
      </c>
      <c r="E112" s="400">
        <v>8668</v>
      </c>
      <c r="F112" s="604" t="str">
        <f>IFERROR(VLOOKUP(Table917[[#This Row],[Player No]],Table11[[No]:[Province]],2,0),"")</f>
        <v xml:space="preserve"> MOLEFE Lesedi</v>
      </c>
      <c r="G112" s="605" t="str">
        <f>IFERROR(VLOOKUP(Table917[[#This Row],[Player No]],Table11[[No]:[Province]],3,0),"")</f>
        <v>EKU</v>
      </c>
      <c r="H112" s="403">
        <v>1</v>
      </c>
      <c r="I112" s="789">
        <f>Table917[[#This Row],[Points 2025]]/2+SUM(Table917[[#This Row],[O1  ADMIN 2026]:[P2         WC     Open   2026]])</f>
        <v>0.5</v>
      </c>
      <c r="J112" s="114">
        <f t="shared" si="15"/>
        <v>0</v>
      </c>
      <c r="K112" s="114">
        <f t="shared" si="17"/>
        <v>0</v>
      </c>
      <c r="L112" s="708"/>
      <c r="M112" s="708" t="s">
        <v>6083</v>
      </c>
      <c r="N112" s="708" t="s">
        <v>6083</v>
      </c>
      <c r="O112" s="708"/>
      <c r="P112" s="400"/>
      <c r="Q112" s="400"/>
      <c r="R112" s="400"/>
      <c r="S112" s="400"/>
      <c r="T112" s="400"/>
      <c r="U112" s="400"/>
      <c r="V112" s="400"/>
      <c r="W112" s="400"/>
      <c r="X112" s="400"/>
      <c r="Y112" s="400"/>
      <c r="Z112" s="400"/>
      <c r="AA112" s="400">
        <v>1</v>
      </c>
      <c r="AB112" s="400"/>
      <c r="AC112" s="400"/>
      <c r="AD112" s="400"/>
      <c r="AE112" s="400"/>
      <c r="AF112" s="400"/>
      <c r="AG112" s="400"/>
      <c r="AH112" s="400"/>
    </row>
    <row r="113" spans="1:34">
      <c r="A113" s="98">
        <v>0</v>
      </c>
      <c r="B113" s="99">
        <v>45</v>
      </c>
      <c r="C113" s="88">
        <f t="shared" ref="C113:C119" si="18">+B113-D113</f>
        <v>-64</v>
      </c>
      <c r="D113" s="400">
        <f t="shared" si="16"/>
        <v>109</v>
      </c>
      <c r="E113" s="400">
        <v>8386</v>
      </c>
      <c r="F113" s="604" t="str">
        <f>IFERROR(VLOOKUP(Table917[[#This Row],[Player No]],Table11[[No]:[Province]],2,0),"")</f>
        <v>NAIDOO Isabella</v>
      </c>
      <c r="G113" s="605" t="str">
        <f>IFERROR(VLOOKUP(Table917[[#This Row],[Player No]],Table11[[No]:[Province]],3,0),"")</f>
        <v>ETK</v>
      </c>
      <c r="H113" s="403">
        <v>0.5</v>
      </c>
      <c r="I113" s="789">
        <f>Table917[[#This Row],[Points 2025]]/2+SUM(Table917[[#This Row],[O1  ADMIN 2026]:[P2         WC     Open   2026]])</f>
        <v>0.25</v>
      </c>
      <c r="J113" s="114">
        <f t="shared" si="15"/>
        <v>0</v>
      </c>
      <c r="K113" s="114">
        <f t="shared" si="17"/>
        <v>0</v>
      </c>
      <c r="L113" s="708"/>
      <c r="M113" s="708" t="s">
        <v>6083</v>
      </c>
      <c r="N113" s="708" t="s">
        <v>6083</v>
      </c>
      <c r="O113" s="708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  <c r="Z113" s="400"/>
      <c r="AA113" s="400"/>
      <c r="AB113" s="400">
        <f>2/2</f>
        <v>1</v>
      </c>
      <c r="AC113" s="400"/>
      <c r="AD113" s="400"/>
      <c r="AE113" s="400"/>
      <c r="AF113" s="400"/>
      <c r="AG113" s="400"/>
      <c r="AH113" s="400"/>
    </row>
    <row r="114" spans="1:34">
      <c r="A114" s="98">
        <v>0</v>
      </c>
      <c r="B114" s="99">
        <v>47</v>
      </c>
      <c r="C114" s="88">
        <f t="shared" si="18"/>
        <v>-63</v>
      </c>
      <c r="D114" s="400">
        <f t="shared" si="16"/>
        <v>110</v>
      </c>
      <c r="E114" s="400">
        <v>8387</v>
      </c>
      <c r="F114" s="604" t="str">
        <f>IFERROR(VLOOKUP(Table917[[#This Row],[Player No]],Table11[[No]:[Province]],2,0),"")</f>
        <v>MOTSONENG Karabo</v>
      </c>
      <c r="G114" s="605" t="str">
        <f>IFERROR(VLOOKUP(Table917[[#This Row],[Player No]],Table11[[No]:[Province]],3,0),"")</f>
        <v>ETK</v>
      </c>
      <c r="H114" s="403">
        <v>0.5</v>
      </c>
      <c r="I114" s="789">
        <f>Table917[[#This Row],[Points 2025]]/2+SUM(Table917[[#This Row],[O1  ADMIN 2026]:[P2         WC     Open   2026]])</f>
        <v>0.25</v>
      </c>
      <c r="J114" s="114">
        <f t="shared" si="15"/>
        <v>0</v>
      </c>
      <c r="K114" s="114">
        <f t="shared" si="17"/>
        <v>0</v>
      </c>
      <c r="L114" s="708"/>
      <c r="M114" s="708" t="s">
        <v>6083</v>
      </c>
      <c r="N114" s="708" t="s">
        <v>6083</v>
      </c>
      <c r="O114" s="708"/>
      <c r="P114" s="400"/>
      <c r="Q114" s="400"/>
      <c r="R114" s="400"/>
      <c r="S114" s="400"/>
      <c r="T114" s="400"/>
      <c r="U114" s="400"/>
      <c r="V114" s="400"/>
      <c r="W114" s="400"/>
      <c r="X114" s="400"/>
      <c r="Y114" s="400"/>
      <c r="Z114" s="400"/>
      <c r="AA114" s="400"/>
      <c r="AB114" s="400">
        <f>2/2</f>
        <v>1</v>
      </c>
      <c r="AC114" s="400"/>
      <c r="AD114" s="400"/>
      <c r="AE114" s="400"/>
      <c r="AF114" s="400"/>
      <c r="AG114" s="400"/>
      <c r="AH114" s="400"/>
    </row>
    <row r="115" spans="1:34">
      <c r="A115" s="98">
        <f>IFERROR(VLOOKUP(Table917[[#This Row],[Player No]],Table11[[#All],[No]:[Age Group]],4,0),"")</f>
        <v>0</v>
      </c>
      <c r="B115" s="99">
        <v>52</v>
      </c>
      <c r="C115" s="88">
        <f t="shared" si="18"/>
        <v>-59</v>
      </c>
      <c r="D115" s="400">
        <f t="shared" si="16"/>
        <v>111</v>
      </c>
      <c r="E115" s="400">
        <v>8128</v>
      </c>
      <c r="F115" s="604" t="str">
        <f>IFERROR(VLOOKUP(Table917[[#This Row],[Player No]],Table11[[No]:[Province]],2,0),"")</f>
        <v>KGOMOTSO Matlakeng</v>
      </c>
      <c r="G115" s="605" t="str">
        <f>IFERROR(VLOOKUP(Table917[[#This Row],[Player No]],Table11[[No]:[Province]],3,0),"")</f>
        <v>FS</v>
      </c>
      <c r="H115" s="403">
        <v>0.25</v>
      </c>
      <c r="I115" s="789">
        <f>Table917[[#This Row],[Points 2025]]/2+SUM(Table917[[#This Row],[O1  ADMIN 2026]:[P2         WC     Open   2026]])</f>
        <v>0.125</v>
      </c>
      <c r="J115" s="114">
        <f t="shared" si="15"/>
        <v>0</v>
      </c>
      <c r="K115" s="114">
        <f t="shared" si="17"/>
        <v>0</v>
      </c>
      <c r="L115" s="708"/>
      <c r="M115" s="708" t="s">
        <v>6083</v>
      </c>
      <c r="N115" s="708" t="s">
        <v>6083</v>
      </c>
      <c r="O115" s="708"/>
      <c r="P115" s="400"/>
      <c r="Q115" s="400"/>
      <c r="R115" s="400"/>
      <c r="S115" s="400"/>
      <c r="T115" s="400"/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0"/>
    </row>
    <row r="116" spans="1:34">
      <c r="A116" s="98">
        <f>IFERROR(VLOOKUP(Table917[[#This Row],[Player No]],Table11[[#All],[No]:[Age Group]],4,0),"")</f>
        <v>0</v>
      </c>
      <c r="B116" s="99">
        <v>48</v>
      </c>
      <c r="C116" s="88">
        <f t="shared" si="18"/>
        <v>-64</v>
      </c>
      <c r="D116" s="400">
        <f t="shared" si="16"/>
        <v>112</v>
      </c>
      <c r="E116" s="400">
        <v>8147</v>
      </c>
      <c r="F116" s="604" t="str">
        <f>IFERROR(VLOOKUP(Table917[[#This Row],[Player No]],Table11[[No]:[Province]],2,0),"")</f>
        <v>GOITSEMANG Shago</v>
      </c>
      <c r="G116" s="605" t="str">
        <f>IFERROR(VLOOKUP(Table917[[#This Row],[Player No]],Table11[[No]:[Province]],3,0),"")</f>
        <v>FS</v>
      </c>
      <c r="H116" s="403">
        <v>0.25</v>
      </c>
      <c r="I116" s="789">
        <f>Table917[[#This Row],[Points 2025]]/2+SUM(Table917[[#This Row],[O1  ADMIN 2026]:[P2         WC     Open   2026]])</f>
        <v>0.125</v>
      </c>
      <c r="J116" s="114">
        <f t="shared" si="15"/>
        <v>0</v>
      </c>
      <c r="K116" s="114">
        <f t="shared" si="17"/>
        <v>0</v>
      </c>
      <c r="L116" s="708"/>
      <c r="M116" s="708" t="s">
        <v>6083</v>
      </c>
      <c r="N116" s="708" t="s">
        <v>6083</v>
      </c>
      <c r="O116" s="708"/>
      <c r="P116" s="400"/>
      <c r="Q116" s="400"/>
      <c r="R116" s="400"/>
      <c r="S116" s="400"/>
      <c r="T116" s="400"/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0"/>
    </row>
    <row r="117" spans="1:34">
      <c r="A117" s="98">
        <f>IFERROR(VLOOKUP(Table917[[#This Row],[Player No]],Table11[[#All],[No]:[Age Group]],4,0),"")</f>
        <v>0</v>
      </c>
      <c r="B117" s="99">
        <v>49</v>
      </c>
      <c r="C117" s="88">
        <f t="shared" si="18"/>
        <v>-64</v>
      </c>
      <c r="D117" s="400">
        <f t="shared" si="16"/>
        <v>113</v>
      </c>
      <c r="E117" s="400">
        <v>8151</v>
      </c>
      <c r="F117" s="604" t="str">
        <f>IFERROR(VLOOKUP(Table917[[#This Row],[Player No]],Table11[[No]:[Province]],2,0),"")</f>
        <v>MAKHOSI Thabang</v>
      </c>
      <c r="G117" s="605" t="str">
        <f>IFERROR(VLOOKUP(Table917[[#This Row],[Player No]],Table11[[No]:[Province]],3,0),"")</f>
        <v>LES</v>
      </c>
      <c r="H117" s="403">
        <v>0.25</v>
      </c>
      <c r="I117" s="789">
        <f>Table917[[#This Row],[Points 2025]]/2+SUM(Table917[[#This Row],[O1  ADMIN 2026]:[P2         WC     Open   2026]])</f>
        <v>0.125</v>
      </c>
      <c r="J117" s="114">
        <f t="shared" si="15"/>
        <v>0</v>
      </c>
      <c r="K117" s="114">
        <f t="shared" si="17"/>
        <v>0</v>
      </c>
      <c r="L117" s="708"/>
      <c r="M117" s="708" t="s">
        <v>6083</v>
      </c>
      <c r="N117" s="708" t="s">
        <v>6083</v>
      </c>
      <c r="O117" s="708"/>
      <c r="P117" s="400"/>
      <c r="Q117" s="400"/>
      <c r="R117" s="400"/>
      <c r="S117" s="400"/>
      <c r="T117" s="400"/>
      <c r="U117" s="400"/>
      <c r="V117" s="400"/>
      <c r="W117" s="400"/>
      <c r="X117" s="400"/>
      <c r="Y117" s="400"/>
      <c r="Z117" s="400"/>
      <c r="AA117" s="400"/>
      <c r="AB117" s="400"/>
      <c r="AC117" s="400"/>
      <c r="AD117" s="400"/>
      <c r="AE117" s="400"/>
      <c r="AF117" s="400"/>
      <c r="AG117" s="400"/>
      <c r="AH117" s="400"/>
    </row>
    <row r="118" spans="1:34">
      <c r="A118" s="445">
        <f>IFERROR(VLOOKUP(Table917[[#This Row],[Player No]],Table11[[#All],[No]:[Age Group]],4,0),"")</f>
        <v>0</v>
      </c>
      <c r="B118" s="100">
        <v>50</v>
      </c>
      <c r="C118" s="88">
        <f t="shared" si="18"/>
        <v>-64</v>
      </c>
      <c r="D118" s="401">
        <f t="shared" si="16"/>
        <v>114</v>
      </c>
      <c r="E118" s="401">
        <v>8157</v>
      </c>
      <c r="F118" s="604" t="str">
        <f>IFERROR(VLOOKUP(Table917[[#This Row],[Player No]],Table11[[No]:[Province]],2,0),"")</f>
        <v>MOLEFE Thando</v>
      </c>
      <c r="G118" s="607" t="str">
        <f>IFERROR(VLOOKUP(Table917[[#This Row],[Player No]],Table11[[No]:[Province]],3,0),"")</f>
        <v>FS</v>
      </c>
      <c r="H118" s="403">
        <v>0.25</v>
      </c>
      <c r="I118" s="661">
        <f>Table917[[#This Row],[Points 2025]]/2+SUM(Table917[[#This Row],[O1  ADMIN 2026]:[P2         WC     Open   2026]])</f>
        <v>0.125</v>
      </c>
      <c r="J118" s="401">
        <f t="shared" si="15"/>
        <v>0</v>
      </c>
      <c r="K118" s="401">
        <f t="shared" si="17"/>
        <v>0</v>
      </c>
      <c r="L118" s="442"/>
      <c r="M118" s="442" t="s">
        <v>6083</v>
      </c>
      <c r="N118" s="442" t="s">
        <v>6083</v>
      </c>
      <c r="O118" s="442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  <c r="AA118" s="401"/>
      <c r="AB118" s="401"/>
      <c r="AC118" s="401"/>
      <c r="AD118" s="401"/>
      <c r="AE118" s="401"/>
      <c r="AF118" s="401"/>
      <c r="AG118" s="401"/>
      <c r="AH118" s="401"/>
    </row>
    <row r="119" spans="1:34">
      <c r="A119" s="445">
        <f>IFERROR(VLOOKUP(Table917[[#This Row],[Player No]],Table11[[#All],[No]:[Age Group]],4,0),"")</f>
        <v>0</v>
      </c>
      <c r="B119" s="100">
        <v>53</v>
      </c>
      <c r="C119" s="88">
        <f t="shared" si="18"/>
        <v>-62</v>
      </c>
      <c r="D119" s="442">
        <f t="shared" si="16"/>
        <v>115</v>
      </c>
      <c r="E119" s="442">
        <v>8159</v>
      </c>
      <c r="F119" s="940" t="str">
        <f>IFERROR(VLOOKUP(Table917[[#This Row],[Player No]],Table11[[No]:[Province]],2,0),"")</f>
        <v>VAN DER SCHYFF Kauthar</v>
      </c>
      <c r="G119" s="920" t="str">
        <f>IFERROR(VLOOKUP(Table917[[#This Row],[Player No]],Table11[[No]:[Province]],3,0),"")</f>
        <v>CT</v>
      </c>
      <c r="H119" s="403">
        <v>0.25</v>
      </c>
      <c r="I119" s="661">
        <f>Table917[[#This Row],[Points 2025]]/2+SUM(Table917[[#This Row],[O1  ADMIN 2026]:[P2         WC     Open   2026]])</f>
        <v>0.125</v>
      </c>
      <c r="J119" s="442">
        <f t="shared" si="15"/>
        <v>0</v>
      </c>
      <c r="K119" s="442">
        <f t="shared" si="17"/>
        <v>0</v>
      </c>
      <c r="L119" s="442"/>
      <c r="M119" s="442" t="s">
        <v>6083</v>
      </c>
      <c r="N119" s="442" t="s">
        <v>6083</v>
      </c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2"/>
      <c r="Z119" s="442"/>
      <c r="AA119" s="442"/>
      <c r="AB119" s="442"/>
      <c r="AC119" s="442"/>
      <c r="AD119" s="442"/>
      <c r="AE119" s="442"/>
      <c r="AF119" s="442"/>
      <c r="AG119" s="442"/>
      <c r="AH119" s="442"/>
    </row>
    <row r="120" spans="1:34">
      <c r="A120" s="379">
        <f>A119+1</f>
        <v>1</v>
      </c>
      <c r="B120" s="100"/>
      <c r="C120" s="88">
        <f>+B120-D120</f>
        <v>0</v>
      </c>
      <c r="D120" s="400"/>
      <c r="E120" s="736"/>
      <c r="F120" s="940"/>
      <c r="G120" s="920"/>
      <c r="H120" s="660">
        <v>0</v>
      </c>
      <c r="I120" s="661">
        <f>Table917[[#This Row],[Points 2025]]/2+SUM(Table917[[#This Row],[O1  ADMIN 2026]:[P2         WC     Open   2026]])</f>
        <v>0</v>
      </c>
      <c r="J120" s="736">
        <f>COUNTIF(L120:O120,"&gt;0")</f>
        <v>0</v>
      </c>
      <c r="K120" s="736">
        <f>COUNTIF(P120:AA120,"&lt;0")</f>
        <v>0</v>
      </c>
      <c r="L120" s="442"/>
      <c r="M120" s="442"/>
      <c r="N120" s="442"/>
      <c r="O120" s="442"/>
      <c r="P120" s="442"/>
      <c r="Q120" s="442"/>
      <c r="R120" s="442"/>
      <c r="S120" s="442"/>
      <c r="T120" s="442"/>
      <c r="U120" s="442"/>
      <c r="V120" s="442"/>
      <c r="W120" s="442"/>
      <c r="X120" s="442"/>
      <c r="Y120" s="442"/>
      <c r="Z120" s="442"/>
      <c r="AA120" s="442"/>
      <c r="AB120" s="442"/>
      <c r="AC120" s="442"/>
      <c r="AD120" s="442"/>
      <c r="AE120" s="442"/>
      <c r="AF120" s="442"/>
      <c r="AG120" s="442"/>
      <c r="AH120" s="442"/>
    </row>
  </sheetData>
  <sheetProtection algorithmName="SHA-512" hashValue="GDTrTRytKwGRee8UjTwqxro/73UAFBik26782CTQLn3UywrQN2tcgnbwNyh8yfyPj4R5tMKm6cL0ApNsCfdygQ==" saltValue="S7DyYjkAzk+2k5OLoDzycQ==" spinCount="100000" sheet="1" selectLockedCells="1" sort="0" autoFilter="0" selectUnlockedCells="1"/>
  <mergeCells count="12">
    <mergeCell ref="C2:G2"/>
    <mergeCell ref="C3:G3"/>
    <mergeCell ref="AB2:AH2"/>
    <mergeCell ref="AC3:AD3"/>
    <mergeCell ref="P2:AA2"/>
    <mergeCell ref="AF3:AH3"/>
    <mergeCell ref="P3:S3"/>
    <mergeCell ref="Y3:AA3"/>
    <mergeCell ref="V3:W3"/>
    <mergeCell ref="T3:U3"/>
    <mergeCell ref="M3:N3"/>
    <mergeCell ref="L2:O2"/>
  </mergeCells>
  <phoneticPr fontId="33" type="noConversion"/>
  <printOptions horizontalCentered="1"/>
  <pageMargins left="0.23622047244094491" right="0.23622047244094491" top="0.78740157480314965" bottom="0.74803149606299213" header="0.31496062992125984" footer="0.31496062992125984"/>
  <pageSetup paperSize="9" scale="33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O6021"/>
  <sheetViews>
    <sheetView zoomScale="96" zoomScaleNormal="96" workbookViewId="0">
      <pane ySplit="3" topLeftCell="A3820" activePane="bottomLeft" state="frozen"/>
      <selection activeCell="A3" sqref="A3"/>
      <selection pane="bottomLeft" activeCell="B3834" sqref="B3834"/>
    </sheetView>
  </sheetViews>
  <sheetFormatPr defaultColWidth="9.1796875" defaultRowHeight="14.5" outlineLevelCol="1"/>
  <cols>
    <col min="1" max="1" width="9.1796875" style="201" customWidth="1"/>
    <col min="2" max="2" width="33.81640625" style="1114" customWidth="1"/>
    <col min="3" max="3" width="14.1796875" style="465" customWidth="1"/>
    <col min="4" max="4" width="19.1796875" style="28" customWidth="1" outlineLevel="1"/>
    <col min="5" max="5" width="15.81640625" style="28" customWidth="1" outlineLevel="1"/>
    <col min="6" max="6" width="10.7265625" style="28" customWidth="1" outlineLevel="1"/>
    <col min="7" max="7" width="9.81640625" style="28" customWidth="1" outlineLevel="1"/>
    <col min="8" max="8" width="9.7265625" style="28" customWidth="1" outlineLevel="1"/>
  </cols>
  <sheetData>
    <row r="1" spans="1:8" ht="19" hidden="1" thickBot="1">
      <c r="A1" s="1249" t="s">
        <v>5496</v>
      </c>
      <c r="B1" s="1250"/>
      <c r="C1" s="1251"/>
      <c r="D1" s="306"/>
      <c r="E1" s="307">
        <v>2025</v>
      </c>
      <c r="F1" s="308">
        <f>COUNT(Table10[Year])</f>
        <v>863</v>
      </c>
      <c r="G1" s="308">
        <f>COUNT(Table10[Month])</f>
        <v>798</v>
      </c>
      <c r="H1" s="308">
        <f>COUNT(Table10[Day])</f>
        <v>799</v>
      </c>
    </row>
    <row r="2" spans="1:8" s="292" customFormat="1" ht="22.5" thickBot="1">
      <c r="A2" s="1252"/>
      <c r="B2" s="1253"/>
      <c r="C2" s="1254"/>
      <c r="D2" s="309">
        <f>Tournaments!F3</f>
        <v>46113</v>
      </c>
      <c r="E2" s="310"/>
      <c r="F2" s="1246" t="s">
        <v>371</v>
      </c>
      <c r="G2" s="1247"/>
      <c r="H2" s="1248"/>
    </row>
    <row r="3" spans="1:8" s="292" customFormat="1" ht="117" customHeight="1">
      <c r="A3" s="1255"/>
      <c r="B3" s="1256"/>
      <c r="C3" s="1256"/>
      <c r="D3" s="1256"/>
      <c r="E3" s="1256"/>
      <c r="F3" s="1256"/>
      <c r="G3" s="1256"/>
      <c r="H3" s="1257"/>
    </row>
    <row r="4" spans="1:8" s="292" customFormat="1" ht="15.75" customHeight="1">
      <c r="A4" s="571" t="s">
        <v>189</v>
      </c>
      <c r="B4" s="1111" t="s">
        <v>104</v>
      </c>
      <c r="C4" s="572" t="s">
        <v>242</v>
      </c>
      <c r="D4" s="571" t="s">
        <v>706</v>
      </c>
      <c r="E4" s="571" t="s">
        <v>372</v>
      </c>
      <c r="F4" s="573" t="s">
        <v>373</v>
      </c>
      <c r="G4" s="573" t="s">
        <v>374</v>
      </c>
      <c r="H4" s="573" t="s">
        <v>375</v>
      </c>
    </row>
    <row r="5" spans="1:8">
      <c r="A5" s="471">
        <v>1001</v>
      </c>
      <c r="B5" s="493" t="s">
        <v>1313</v>
      </c>
      <c r="C5" s="472" t="s">
        <v>361</v>
      </c>
      <c r="D5" s="456" t="str">
        <f>IF(Table10[[#This Row],[Current Age]]&gt;19,"Men's",IF(E5&gt;15,"U19",IF(E5&gt;13,"U15",IF(E5&gt;11,"U13",IF(E5&gt;0,"U11",0)))))</f>
        <v>Men's</v>
      </c>
      <c r="E5" s="456">
        <f>IFERROR(IF(Table10[[#This Row],[Year]]&gt;0,$E$1-Table10[[#This Row],[Year]],0),"")</f>
        <v>46</v>
      </c>
      <c r="F5" s="456">
        <v>1979</v>
      </c>
      <c r="G5" s="456">
        <v>10</v>
      </c>
      <c r="H5" s="456">
        <v>8</v>
      </c>
    </row>
    <row r="6" spans="1:8">
      <c r="A6" s="456">
        <v>1002</v>
      </c>
      <c r="B6" s="469" t="s">
        <v>1314</v>
      </c>
      <c r="C6" s="458" t="s">
        <v>243</v>
      </c>
      <c r="D6" s="456" t="str">
        <f>IF(Table10[[#This Row],[Current Age]]&gt;19,"Men's",IF(E6&gt;15,"U19",IF(E6&gt;13,"U15",IF(E6&gt;11,"U13",IF(E6&gt;0,"U11",0)))))</f>
        <v>Men's</v>
      </c>
      <c r="E6" s="456">
        <f>IFERROR(IF(Table10[[#This Row],[Year]]&gt;0,$E$1-Table10[[#This Row],[Year]],0),"")</f>
        <v>34</v>
      </c>
      <c r="F6" s="456">
        <v>1991</v>
      </c>
      <c r="G6" s="456">
        <v>10</v>
      </c>
      <c r="H6" s="456">
        <v>3</v>
      </c>
    </row>
    <row r="7" spans="1:8">
      <c r="A7" s="471">
        <v>1003</v>
      </c>
      <c r="B7" s="493" t="s">
        <v>1315</v>
      </c>
      <c r="C7" s="472" t="s">
        <v>361</v>
      </c>
      <c r="D7" s="456" t="str">
        <f>IF(Table10[[#This Row],[Current Age]]&gt;19,"Men's",IF(E7&gt;15,"U19",IF(E7&gt;13,"U15",IF(E7&gt;11,"U13",IF(E7&gt;0,"U11",0)))))</f>
        <v>Men's</v>
      </c>
      <c r="E7" s="456">
        <f>IFERROR(IF(Table10[[#This Row],[Year]]&gt;0,$E$1-Table10[[#This Row],[Year]],0),"")</f>
        <v>30</v>
      </c>
      <c r="F7" s="456">
        <v>1995</v>
      </c>
      <c r="G7" s="456">
        <v>5</v>
      </c>
      <c r="H7" s="456">
        <v>5</v>
      </c>
    </row>
    <row r="8" spans="1:8">
      <c r="A8" s="456">
        <v>1004</v>
      </c>
      <c r="B8" s="469" t="s">
        <v>1316</v>
      </c>
      <c r="C8" s="458" t="s">
        <v>4720</v>
      </c>
      <c r="D8" s="456" t="str">
        <f>IF(Table10[[#This Row],[Current Age]]&gt;19,"Men's",IF(E8&gt;15,"U19",IF(E8&gt;13,"U15",IF(E8&gt;11,"U13",IF(E8&gt;0,"U11",0)))))</f>
        <v>Men's</v>
      </c>
      <c r="E8" s="456">
        <f>IFERROR(IF(Table10[[#This Row],[Year]]&gt;0,$E$1-Table10[[#This Row],[Year]],0),"")</f>
        <v>29</v>
      </c>
      <c r="F8" s="456">
        <v>1996</v>
      </c>
      <c r="G8" s="456">
        <v>6</v>
      </c>
      <c r="H8" s="456">
        <v>2</v>
      </c>
    </row>
    <row r="9" spans="1:8">
      <c r="A9" s="471">
        <v>1005</v>
      </c>
      <c r="B9" s="493" t="s">
        <v>1317</v>
      </c>
      <c r="C9" s="472" t="s">
        <v>361</v>
      </c>
      <c r="D9" s="456" t="str">
        <f>IF(Table10[[#This Row],[Current Age]]&gt;19,"Men's",IF(E9&gt;15,"U19",IF(E9&gt;13,"U15",IF(E9&gt;11,"U13",IF(E9&gt;0,"U11",0)))))</f>
        <v>Men's</v>
      </c>
      <c r="E9" s="456">
        <f>IFERROR(IF(Table10[[#This Row],[Year]]&gt;0,$E$1-Table10[[#This Row],[Year]],0),"")</f>
        <v>38</v>
      </c>
      <c r="F9" s="456">
        <v>1987</v>
      </c>
      <c r="G9" s="456">
        <v>2</v>
      </c>
      <c r="H9" s="456">
        <v>23</v>
      </c>
    </row>
    <row r="10" spans="1:8">
      <c r="A10" s="456">
        <v>1006</v>
      </c>
      <c r="B10" s="469" t="s">
        <v>1318</v>
      </c>
      <c r="C10" s="458" t="s">
        <v>361</v>
      </c>
      <c r="D10" s="456" t="str">
        <f>IF(Table10[[#This Row],[Current Age]]&gt;19,"Men's",IF(E10&gt;15,"U19",IF(E10&gt;13,"U15",IF(E10&gt;11,"U13",IF(E10&gt;0,"U11",0)))))</f>
        <v>Men's</v>
      </c>
      <c r="E10" s="456">
        <f>IFERROR(IF(Table10[[#This Row],[Year]]&gt;0,$E$1-Table10[[#This Row],[Year]],0),"")</f>
        <v>38</v>
      </c>
      <c r="F10" s="456">
        <v>1987</v>
      </c>
      <c r="G10" s="456">
        <v>3</v>
      </c>
      <c r="H10" s="456">
        <v>19</v>
      </c>
    </row>
    <row r="11" spans="1:8">
      <c r="A11" s="471">
        <v>1007</v>
      </c>
      <c r="B11" s="493" t="s">
        <v>6061</v>
      </c>
      <c r="C11" s="472" t="s">
        <v>4152</v>
      </c>
      <c r="D11" s="456">
        <f>IF(Table10[[#This Row],[Current Age]]&gt;19,"Men's",IF(E11&gt;15,"U19",IF(E11&gt;13,"U15",IF(E11&gt;11,"U13",IF(E11&gt;0,"U11",0)))))</f>
        <v>0</v>
      </c>
      <c r="E11" s="456">
        <f>IFERROR(IF(Table10[[#This Row],[Year]]&gt;0,$E$1-Table10[[#This Row],[Year]],0),"")</f>
        <v>0</v>
      </c>
      <c r="F11" s="456"/>
      <c r="G11" s="456"/>
      <c r="H11" s="456"/>
    </row>
    <row r="12" spans="1:8">
      <c r="A12" s="456">
        <v>1008</v>
      </c>
      <c r="B12" s="469" t="s">
        <v>1319</v>
      </c>
      <c r="C12" s="458" t="s">
        <v>361</v>
      </c>
      <c r="D12" s="456" t="str">
        <f>IF(Table10[[#This Row],[Current Age]]&gt;19,"Men's",IF(E12&gt;15,"U19",IF(E12&gt;13,"U15",IF(E12&gt;11,"U13",IF(E12&gt;0,"U11",0)))))</f>
        <v>Men's</v>
      </c>
      <c r="E12" s="456">
        <f>IFERROR(IF(Table10[[#This Row],[Year]]&gt;0,$E$1-Table10[[#This Row],[Year]],0),"")</f>
        <v>29</v>
      </c>
      <c r="F12" s="456">
        <v>1996</v>
      </c>
      <c r="G12" s="456">
        <v>1</v>
      </c>
      <c r="H12" s="456">
        <v>11</v>
      </c>
    </row>
    <row r="13" spans="1:8">
      <c r="A13" s="471">
        <v>1009</v>
      </c>
      <c r="B13" s="493" t="s">
        <v>1320</v>
      </c>
      <c r="C13" s="472" t="s">
        <v>248</v>
      </c>
      <c r="D13" s="456">
        <f>IF(Table10[[#This Row],[Current Age]]&gt;19,"Men's",IF(E13&gt;15,"U19",IF(E13&gt;13,"U15",IF(E13&gt;11,"U13",IF(E13&gt;0,"U11",0)))))</f>
        <v>0</v>
      </c>
      <c r="E13" s="456">
        <f>IFERROR(IF(Table10[[#This Row],[Year]]&gt;0,$E$1-Table10[[#This Row],[Year]],0),"")</f>
        <v>0</v>
      </c>
      <c r="F13" s="456"/>
      <c r="G13" s="456"/>
      <c r="H13" s="456"/>
    </row>
    <row r="14" spans="1:8">
      <c r="A14" s="456">
        <v>1010</v>
      </c>
      <c r="B14" s="469" t="s">
        <v>1321</v>
      </c>
      <c r="C14" s="458" t="s">
        <v>4720</v>
      </c>
      <c r="D14" s="456" t="str">
        <f>IF(Table10[[#This Row],[Current Age]]&gt;19,"Men's",IF(E14&gt;15,"U19",IF(E14&gt;13,"U15",IF(E14&gt;11,"U13",IF(E14&gt;0,"U11",0)))))</f>
        <v>Men's</v>
      </c>
      <c r="E14" s="456">
        <f>IFERROR(IF(Table10[[#This Row],[Year]]&gt;0,$E$1-Table10[[#This Row],[Year]],0),"")</f>
        <v>36</v>
      </c>
      <c r="F14" s="456">
        <v>1989</v>
      </c>
      <c r="G14" s="456"/>
      <c r="H14" s="456"/>
    </row>
    <row r="15" spans="1:8">
      <c r="A15" s="471">
        <v>1011</v>
      </c>
      <c r="B15" s="493" t="s">
        <v>4551</v>
      </c>
      <c r="C15" s="472" t="s">
        <v>244</v>
      </c>
      <c r="D15" s="456">
        <f>IF(Table10[[#This Row],[Current Age]]&gt;19,"Men's",IF(E15&gt;15,"U19",IF(E15&gt;13,"U15",IF(E15&gt;11,"U13",IF(E15&gt;0,"U11",0)))))</f>
        <v>0</v>
      </c>
      <c r="E15" s="456">
        <f>IFERROR(IF(Table10[[#This Row],[Year]]&gt;0,$E$1-Table10[[#This Row],[Year]],0),"")</f>
        <v>0</v>
      </c>
      <c r="F15" s="456"/>
      <c r="G15" s="456"/>
      <c r="H15" s="456"/>
    </row>
    <row r="16" spans="1:8">
      <c r="A16" s="456">
        <v>1012</v>
      </c>
      <c r="B16" s="469" t="s">
        <v>1322</v>
      </c>
      <c r="C16" s="458" t="s">
        <v>361</v>
      </c>
      <c r="D16" s="456" t="str">
        <f>IF(Table10[[#This Row],[Current Age]]&gt;19,"Men's",IF(E16&gt;15,"U19",IF(E16&gt;13,"U15",IF(E16&gt;11,"U13",IF(E16&gt;0,"U11",0)))))</f>
        <v>Men's</v>
      </c>
      <c r="E16" s="456">
        <f>IFERROR(IF(Table10[[#This Row],[Year]]&gt;0,$E$1-Table10[[#This Row],[Year]],0),"")</f>
        <v>27</v>
      </c>
      <c r="F16" s="456">
        <v>1998</v>
      </c>
      <c r="G16" s="456">
        <v>2</v>
      </c>
      <c r="H16" s="456">
        <v>12</v>
      </c>
    </row>
    <row r="17" spans="1:8">
      <c r="A17" s="471">
        <v>1013</v>
      </c>
      <c r="B17" s="493" t="s">
        <v>1323</v>
      </c>
      <c r="C17" s="472" t="s">
        <v>4720</v>
      </c>
      <c r="D17" s="456" t="str">
        <f>IF(Table10[[#This Row],[Current Age]]&gt;19,"Men's",IF(E17&gt;15,"U19",IF(E17&gt;13,"U15",IF(E17&gt;11,"U13",IF(E17&gt;0,"U11",0)))))</f>
        <v>Men's</v>
      </c>
      <c r="E17" s="456">
        <f>IFERROR(IF(Table10[[#This Row],[Year]]&gt;0,$E$1-Table10[[#This Row],[Year]],0),"")</f>
        <v>59</v>
      </c>
      <c r="F17" s="456">
        <v>1966</v>
      </c>
      <c r="G17" s="456">
        <v>1</v>
      </c>
      <c r="H17" s="456">
        <v>18</v>
      </c>
    </row>
    <row r="18" spans="1:8">
      <c r="A18" s="456">
        <v>1014</v>
      </c>
      <c r="B18" s="469" t="s">
        <v>1324</v>
      </c>
      <c r="C18" s="458" t="s">
        <v>361</v>
      </c>
      <c r="D18" s="456" t="str">
        <f>IF(Table10[[#This Row],[Current Age]]&gt;19,"Men's",IF(E18&gt;15,"U19",IF(E18&gt;13,"U15",IF(E18&gt;11,"U13",IF(E18&gt;0,"U11",0)))))</f>
        <v>Men's</v>
      </c>
      <c r="E18" s="456">
        <f>IFERROR(IF(Table10[[#This Row],[Year]]&gt;0,$E$1-Table10[[#This Row],[Year]],0),"")</f>
        <v>26</v>
      </c>
      <c r="F18" s="456">
        <v>1999</v>
      </c>
      <c r="G18" s="456">
        <v>12</v>
      </c>
      <c r="H18" s="456">
        <v>28</v>
      </c>
    </row>
    <row r="19" spans="1:8">
      <c r="A19" s="471">
        <v>1015</v>
      </c>
      <c r="B19" s="493" t="s">
        <v>1325</v>
      </c>
      <c r="C19" s="472" t="s">
        <v>248</v>
      </c>
      <c r="D19" s="456">
        <f>IF(Table10[[#This Row],[Current Age]]&gt;19,"Men's",IF(E19&gt;15,"U19",IF(E19&gt;13,"U15",IF(E19&gt;11,"U13",IF(E19&gt;0,"U11",0)))))</f>
        <v>0</v>
      </c>
      <c r="E19" s="456">
        <f>IFERROR(IF(Table10[[#This Row],[Year]]&gt;0,$E$1-Table10[[#This Row],[Year]],0),"")</f>
        <v>0</v>
      </c>
      <c r="F19" s="456"/>
      <c r="G19" s="456"/>
      <c r="H19" s="456"/>
    </row>
    <row r="20" spans="1:8">
      <c r="A20" s="456">
        <v>1016</v>
      </c>
      <c r="B20" s="469" t="s">
        <v>1326</v>
      </c>
      <c r="C20" s="458" t="s">
        <v>361</v>
      </c>
      <c r="D20" s="456" t="str">
        <f>IF(Table10[[#This Row],[Current Age]]&gt;19,"Men's",IF(E20&gt;15,"U19",IF(E20&gt;13,"U15",IF(E20&gt;11,"U13",IF(E20&gt;0,"U11",0)))))</f>
        <v>Men's</v>
      </c>
      <c r="E20" s="456">
        <f>IFERROR(IF(Table10[[#This Row],[Year]]&gt;0,$E$1-Table10[[#This Row],[Year]],0),"")</f>
        <v>27</v>
      </c>
      <c r="F20" s="456">
        <v>1998</v>
      </c>
      <c r="G20" s="456"/>
      <c r="H20" s="456"/>
    </row>
    <row r="21" spans="1:8">
      <c r="A21" s="471">
        <v>1017</v>
      </c>
      <c r="B21" s="493" t="s">
        <v>1327</v>
      </c>
      <c r="C21" s="472" t="s">
        <v>3750</v>
      </c>
      <c r="D21" s="456">
        <f>IF(Table10[[#This Row],[Current Age]]&gt;19,"Men's",IF(E21&gt;15,"U19",IF(E21&gt;13,"U15",IF(E21&gt;11,"U13",IF(E21&gt;0,"U11",0)))))</f>
        <v>0</v>
      </c>
      <c r="E21" s="456">
        <f>IFERROR(IF(Table10[[#This Row],[Year]]&gt;0,$E$1-Table10[[#This Row],[Year]],0),"")</f>
        <v>0</v>
      </c>
      <c r="F21" s="456"/>
      <c r="G21" s="456"/>
      <c r="H21" s="456"/>
    </row>
    <row r="22" spans="1:8">
      <c r="A22" s="456">
        <v>1018</v>
      </c>
      <c r="B22" s="469" t="s">
        <v>1328</v>
      </c>
      <c r="C22" s="458" t="s">
        <v>361</v>
      </c>
      <c r="D22" s="456" t="str">
        <f>IF(Table10[[#This Row],[Current Age]]&gt;19,"Men's",IF(E22&gt;15,"U19",IF(E22&gt;13,"U15",IF(E22&gt;11,"U13",IF(E22&gt;0,"U11",0)))))</f>
        <v>Men's</v>
      </c>
      <c r="E22" s="456">
        <f>IFERROR(IF(Table10[[#This Row],[Year]]&gt;0,$E$1-Table10[[#This Row],[Year]],0),"")</f>
        <v>27</v>
      </c>
      <c r="F22" s="456">
        <v>1998</v>
      </c>
      <c r="G22" s="456">
        <v>10</v>
      </c>
      <c r="H22" s="456">
        <v>6</v>
      </c>
    </row>
    <row r="23" spans="1:8">
      <c r="A23" s="471">
        <v>1019</v>
      </c>
      <c r="B23" s="493" t="s">
        <v>1329</v>
      </c>
      <c r="C23" s="472" t="s">
        <v>361</v>
      </c>
      <c r="D23" s="456" t="str">
        <f>IF(Table10[[#This Row],[Current Age]]&gt;19,"Men's",IF(E23&gt;15,"U19",IF(E23&gt;13,"U15",IF(E23&gt;11,"U13",IF(E23&gt;0,"U11",0)))))</f>
        <v>Men's</v>
      </c>
      <c r="E23" s="456">
        <f>IFERROR(IF(Table10[[#This Row],[Year]]&gt;0,$E$1-Table10[[#This Row],[Year]],0),"")</f>
        <v>28</v>
      </c>
      <c r="F23" s="456">
        <v>1997</v>
      </c>
      <c r="G23" s="456">
        <v>8</v>
      </c>
      <c r="H23" s="456">
        <v>12</v>
      </c>
    </row>
    <row r="24" spans="1:8">
      <c r="A24" s="456">
        <v>1020</v>
      </c>
      <c r="B24" s="469" t="s">
        <v>1330</v>
      </c>
      <c r="C24" s="458" t="s">
        <v>361</v>
      </c>
      <c r="D24" s="456" t="str">
        <f>IF(Table10[[#This Row],[Current Age]]&gt;19,"Men's",IF(E24&gt;15,"U19",IF(E24&gt;13,"U15",IF(E24&gt;11,"U13",IF(E24&gt;0,"U11",0)))))</f>
        <v>Men's</v>
      </c>
      <c r="E24" s="456">
        <f>IFERROR(IF(Table10[[#This Row],[Year]]&gt;0,$E$1-Table10[[#This Row],[Year]],0),"")</f>
        <v>43</v>
      </c>
      <c r="F24" s="456">
        <v>1982</v>
      </c>
      <c r="G24" s="456">
        <v>6</v>
      </c>
      <c r="H24" s="456">
        <v>24</v>
      </c>
    </row>
    <row r="25" spans="1:8">
      <c r="A25" s="471">
        <v>1021</v>
      </c>
      <c r="B25" s="493" t="s">
        <v>1331</v>
      </c>
      <c r="C25" s="472" t="s">
        <v>244</v>
      </c>
      <c r="D25" s="456">
        <f>IF(Table10[[#This Row],[Current Age]]&gt;19,"Men's",IF(E25&gt;15,"U19",IF(E25&gt;13,"U15",IF(E25&gt;11,"U13",IF(E25&gt;0,"U11",0)))))</f>
        <v>0</v>
      </c>
      <c r="E25" s="456">
        <f>IFERROR(IF(Table10[[#This Row],[Year]]&gt;0,$E$1-Table10[[#This Row],[Year]],0),"")</f>
        <v>0</v>
      </c>
      <c r="F25" s="456"/>
      <c r="G25" s="456"/>
      <c r="H25" s="456"/>
    </row>
    <row r="26" spans="1:8">
      <c r="A26" s="456">
        <v>1022</v>
      </c>
      <c r="B26" s="469" t="s">
        <v>1332</v>
      </c>
      <c r="C26" s="458" t="s">
        <v>4552</v>
      </c>
      <c r="D26" s="456" t="str">
        <f>IF(Table10[[#This Row],[Current Age]]&gt;19,"Men's",IF(E26&gt;15,"U19",IF(E26&gt;13,"U15",IF(E26&gt;11,"U13",IF(E26&gt;0,"U11",0)))))</f>
        <v>Men's</v>
      </c>
      <c r="E26" s="456">
        <f>IFERROR(IF(Table10[[#This Row],[Year]]&gt;0,$E$1-Table10[[#This Row],[Year]],0),"")</f>
        <v>40</v>
      </c>
      <c r="F26" s="456">
        <v>1985</v>
      </c>
      <c r="G26" s="456">
        <v>3</v>
      </c>
      <c r="H26" s="456">
        <v>6</v>
      </c>
    </row>
    <row r="27" spans="1:8">
      <c r="A27" s="471">
        <v>1023</v>
      </c>
      <c r="B27" s="493" t="s">
        <v>1333</v>
      </c>
      <c r="C27" s="472" t="s">
        <v>248</v>
      </c>
      <c r="D27" s="456">
        <f>IF(Table10[[#This Row],[Current Age]]&gt;19,"Men's",IF(E27&gt;15,"U19",IF(E27&gt;13,"U15",IF(E27&gt;11,"U13",IF(E27&gt;0,"U11",0)))))</f>
        <v>0</v>
      </c>
      <c r="E27" s="456">
        <f>IFERROR(IF(Table10[[#This Row],[Year]]&gt;0,$E$1-Table10[[#This Row],[Year]],0),"")</f>
        <v>0</v>
      </c>
      <c r="F27" s="456"/>
      <c r="G27" s="456"/>
      <c r="H27" s="456"/>
    </row>
    <row r="28" spans="1:8">
      <c r="A28" s="456">
        <v>1024</v>
      </c>
      <c r="B28" s="469" t="s">
        <v>1334</v>
      </c>
      <c r="C28" s="458" t="s">
        <v>361</v>
      </c>
      <c r="D28" s="456" t="str">
        <f>IF(Table10[[#This Row],[Current Age]]&gt;19,"Men's",IF(E28&gt;15,"U19",IF(E28&gt;13,"U15",IF(E28&gt;11,"U13",IF(E28&gt;0,"U11",0)))))</f>
        <v>Men's</v>
      </c>
      <c r="E28" s="456">
        <f>IFERROR(IF(Table10[[#This Row],[Year]]&gt;0,$E$1-Table10[[#This Row],[Year]],0),"")</f>
        <v>37</v>
      </c>
      <c r="F28" s="456">
        <v>1988</v>
      </c>
      <c r="G28" s="456">
        <v>10</v>
      </c>
      <c r="H28" s="456">
        <v>9</v>
      </c>
    </row>
    <row r="29" spans="1:8">
      <c r="A29" s="471">
        <v>1025</v>
      </c>
      <c r="B29" s="493" t="s">
        <v>1335</v>
      </c>
      <c r="C29" s="472" t="s">
        <v>246</v>
      </c>
      <c r="D29" s="456">
        <f>IF(Table10[[#This Row],[Current Age]]&gt;19,"Men's",IF(E29&gt;15,"U19",IF(E29&gt;13,"U15",IF(E29&gt;11,"U13",IF(E29&gt;0,"U11",0)))))</f>
        <v>0</v>
      </c>
      <c r="E29" s="456">
        <f>IFERROR(IF(Table10[[#This Row],[Year]]&gt;0,$E$1-Table10[[#This Row],[Year]],0),"")</f>
        <v>0</v>
      </c>
      <c r="F29" s="456"/>
      <c r="G29" s="456"/>
      <c r="H29" s="456"/>
    </row>
    <row r="30" spans="1:8">
      <c r="A30" s="456">
        <v>1026</v>
      </c>
      <c r="B30" s="469" t="s">
        <v>1336</v>
      </c>
      <c r="C30" s="458" t="s">
        <v>244</v>
      </c>
      <c r="D30" s="456" t="str">
        <f>IF(Table10[[#This Row],[Current Age]]&gt;19,"Men's",IF(E30&gt;15,"U19",IF(E30&gt;13,"U15",IF(E30&gt;11,"U13",IF(E30&gt;0,"U11",0)))))</f>
        <v>Men's</v>
      </c>
      <c r="E30" s="456">
        <f>IFERROR(IF(Table10[[#This Row],[Year]]&gt;0,$E$1-Table10[[#This Row],[Year]],0),"")</f>
        <v>26</v>
      </c>
      <c r="F30" s="456">
        <v>1999</v>
      </c>
      <c r="G30" s="456"/>
      <c r="H30" s="456"/>
    </row>
    <row r="31" spans="1:8">
      <c r="A31" s="471">
        <v>1027</v>
      </c>
      <c r="B31" s="493" t="s">
        <v>1337</v>
      </c>
      <c r="C31" s="472" t="s">
        <v>244</v>
      </c>
      <c r="D31" s="456">
        <f>IF(Table10[[#This Row],[Current Age]]&gt;19,"Men's",IF(E31&gt;15,"U19",IF(E31&gt;13,"U15",IF(E31&gt;11,"U13",IF(E31&gt;0,"U11",0)))))</f>
        <v>0</v>
      </c>
      <c r="E31" s="456">
        <f>IFERROR(IF(Table10[[#This Row],[Year]]&gt;0,$E$1-Table10[[#This Row],[Year]],0),"")</f>
        <v>0</v>
      </c>
      <c r="F31" s="456"/>
      <c r="G31" s="456"/>
      <c r="H31" s="456"/>
    </row>
    <row r="32" spans="1:8">
      <c r="A32" s="456">
        <v>1028</v>
      </c>
      <c r="B32" s="469" t="s">
        <v>1338</v>
      </c>
      <c r="C32" s="458" t="s">
        <v>361</v>
      </c>
      <c r="D32" s="456" t="str">
        <f>IF(Table10[[#This Row],[Current Age]]&gt;19,"Men's",IF(E32&gt;15,"U19",IF(E32&gt;13,"U15",IF(E32&gt;11,"U13",IF(E32&gt;0,"U11",0)))))</f>
        <v>Men's</v>
      </c>
      <c r="E32" s="456">
        <f>IFERROR(IF(Table10[[#This Row],[Year]]&gt;0,$E$1-Table10[[#This Row],[Year]],0),"")</f>
        <v>72</v>
      </c>
      <c r="F32" s="456">
        <v>1953</v>
      </c>
      <c r="G32" s="456"/>
      <c r="H32" s="456"/>
    </row>
    <row r="33" spans="1:8">
      <c r="A33" s="471">
        <v>1029</v>
      </c>
      <c r="B33" s="493" t="s">
        <v>171</v>
      </c>
      <c r="C33" s="472"/>
      <c r="D33" s="456">
        <f>IF(Table10[[#This Row],[Current Age]]&gt;19,"Men's",IF(E33&gt;15,"U19",IF(E33&gt;13,"U15",IF(E33&gt;11,"U13",IF(E33&gt;0,"U11",0)))))</f>
        <v>0</v>
      </c>
      <c r="E33" s="456">
        <f>IFERROR(IF(Table10[[#This Row],[Year]]&gt;0,$E$1-Table10[[#This Row],[Year]],0),"")</f>
        <v>0</v>
      </c>
      <c r="F33" s="456"/>
      <c r="G33" s="456"/>
      <c r="H33" s="456"/>
    </row>
    <row r="34" spans="1:8">
      <c r="A34" s="456">
        <v>1030</v>
      </c>
      <c r="B34" s="469" t="s">
        <v>1339</v>
      </c>
      <c r="C34" s="458" t="s">
        <v>361</v>
      </c>
      <c r="D34" s="456">
        <f>IF(Table10[[#This Row],[Current Age]]&gt;19,"Men's",IF(E34&gt;15,"U19",IF(E34&gt;13,"U15",IF(E34&gt;11,"U13",IF(E34&gt;0,"U11",0)))))</f>
        <v>0</v>
      </c>
      <c r="E34" s="456">
        <f>IFERROR(IF(Table10[[#This Row],[Year]]&gt;0,$E$1-Table10[[#This Row],[Year]],0),"")</f>
        <v>0</v>
      </c>
      <c r="F34" s="456"/>
      <c r="G34" s="456"/>
      <c r="H34" s="456"/>
    </row>
    <row r="35" spans="1:8">
      <c r="A35" s="471">
        <v>1031</v>
      </c>
      <c r="B35" s="493" t="s">
        <v>172</v>
      </c>
      <c r="C35" s="472"/>
      <c r="D35" s="456">
        <f>IF(Table10[[#This Row],[Current Age]]&gt;19,"Men's",IF(E35&gt;15,"U19",IF(E35&gt;13,"U15",IF(E35&gt;11,"U13",IF(E35&gt;0,"U11",0)))))</f>
        <v>0</v>
      </c>
      <c r="E35" s="456">
        <f>IFERROR(IF(Table10[[#This Row],[Year]]&gt;0,$E$1-Table10[[#This Row],[Year]],0),"")</f>
        <v>0</v>
      </c>
      <c r="F35" s="456"/>
      <c r="G35" s="456"/>
      <c r="H35" s="456"/>
    </row>
    <row r="36" spans="1:8">
      <c r="A36" s="456">
        <v>1032</v>
      </c>
      <c r="B36" s="469" t="s">
        <v>1340</v>
      </c>
      <c r="C36" s="458" t="s">
        <v>361</v>
      </c>
      <c r="D36" s="456" t="str">
        <f>IF(Table10[[#This Row],[Current Age]]&gt;19,"Men's",IF(E36&gt;15,"U19",IF(E36&gt;13,"U15",IF(E36&gt;11,"U13",IF(E36&gt;0,"U11",0)))))</f>
        <v>Men's</v>
      </c>
      <c r="E36" s="456">
        <f>IFERROR(IF(Table10[[#This Row],[Year]]&gt;0,$E$1-Table10[[#This Row],[Year]],0),"")</f>
        <v>44</v>
      </c>
      <c r="F36" s="456">
        <v>1981</v>
      </c>
      <c r="G36" s="456"/>
      <c r="H36" s="456"/>
    </row>
    <row r="37" spans="1:8">
      <c r="A37" s="471">
        <v>1033</v>
      </c>
      <c r="B37" s="493" t="s">
        <v>173</v>
      </c>
      <c r="C37" s="472" t="s">
        <v>4552</v>
      </c>
      <c r="D37" s="456">
        <f>IF(Table10[[#This Row],[Current Age]]&gt;19,"Men's",IF(E37&gt;15,"U19",IF(E37&gt;13,"U15",IF(E37&gt;11,"U13",IF(E37&gt;0,"U11",0)))))</f>
        <v>0</v>
      </c>
      <c r="E37" s="456">
        <f>IFERROR(IF(Table10[[#This Row],[Year]]&gt;0,$E$1-Table10[[#This Row],[Year]],0),"")</f>
        <v>0</v>
      </c>
      <c r="F37" s="456"/>
      <c r="G37" s="456"/>
      <c r="H37" s="456"/>
    </row>
    <row r="38" spans="1:8">
      <c r="A38" s="456">
        <v>1034</v>
      </c>
      <c r="B38" s="469" t="s">
        <v>1341</v>
      </c>
      <c r="C38" s="458" t="s">
        <v>4720</v>
      </c>
      <c r="D38" s="456">
        <f>IF(Table10[[#This Row],[Current Age]]&gt;19,"Men's",IF(E38&gt;15,"U19",IF(E38&gt;13,"U15",IF(E38&gt;11,"U13",IF(E38&gt;0,"U11",0)))))</f>
        <v>0</v>
      </c>
      <c r="E38" s="456">
        <f>IFERROR(IF(Table10[[#This Row],[Year]]&gt;0,$E$1-Table10[[#This Row],[Year]],0),"")</f>
        <v>0</v>
      </c>
      <c r="F38" s="456"/>
      <c r="G38" s="456"/>
      <c r="H38" s="456"/>
    </row>
    <row r="39" spans="1:8">
      <c r="A39" s="471">
        <v>1035</v>
      </c>
      <c r="B39" s="493" t="s">
        <v>1342</v>
      </c>
      <c r="C39" s="472" t="s">
        <v>361</v>
      </c>
      <c r="D39" s="456" t="str">
        <f>IF(Table10[[#This Row],[Current Age]]&gt;19,"Men's",IF(E39&gt;15,"U19",IF(E39&gt;13,"U15",IF(E39&gt;11,"U13",IF(E39&gt;0,"U11",0)))))</f>
        <v>Men's</v>
      </c>
      <c r="E39" s="456">
        <f>IFERROR(IF(Table10[[#This Row],[Year]]&gt;0,$E$1-Table10[[#This Row],[Year]],0),"")</f>
        <v>35</v>
      </c>
      <c r="F39" s="456">
        <v>1990</v>
      </c>
      <c r="G39" s="456"/>
      <c r="H39" s="456"/>
    </row>
    <row r="40" spans="1:8">
      <c r="A40" s="456">
        <v>1036</v>
      </c>
      <c r="B40" s="469" t="s">
        <v>1343</v>
      </c>
      <c r="C40" s="458" t="s">
        <v>361</v>
      </c>
      <c r="D40" s="456" t="str">
        <f>IF(Table10[[#This Row],[Current Age]]&gt;19,"Men's",IF(E40&gt;15,"U19",IF(E40&gt;13,"U15",IF(E40&gt;11,"U13",IF(E40&gt;0,"U11",0)))))</f>
        <v>Men's</v>
      </c>
      <c r="E40" s="456">
        <f>IFERROR(IF(Table10[[#This Row],[Year]]&gt;0,$E$1-Table10[[#This Row],[Year]],0),"")</f>
        <v>40</v>
      </c>
      <c r="F40" s="456">
        <v>1985</v>
      </c>
      <c r="G40" s="456">
        <v>4</v>
      </c>
      <c r="H40" s="456">
        <v>26</v>
      </c>
    </row>
    <row r="41" spans="1:8">
      <c r="A41" s="471">
        <v>1037</v>
      </c>
      <c r="B41" s="493" t="s">
        <v>1344</v>
      </c>
      <c r="C41" s="472" t="s">
        <v>1908</v>
      </c>
      <c r="D41" s="456" t="str">
        <f>IF(Table10[[#This Row],[Current Age]]&gt;19,"Men's",IF(E41&gt;15,"U19",IF(E41&gt;13,"U15",IF(E41&gt;11,"U13",IF(E41&gt;0,"U11",0)))))</f>
        <v>Men's</v>
      </c>
      <c r="E41" s="456">
        <f>IFERROR(IF(Table10[[#This Row],[Year]]&gt;0,$E$1-Table10[[#This Row],[Year]],0),"")</f>
        <v>47</v>
      </c>
      <c r="F41" s="456">
        <v>1978</v>
      </c>
      <c r="G41" s="456">
        <v>2</v>
      </c>
      <c r="H41" s="456">
        <v>28</v>
      </c>
    </row>
    <row r="42" spans="1:8">
      <c r="A42" s="456">
        <v>1038</v>
      </c>
      <c r="B42" s="469" t="s">
        <v>1345</v>
      </c>
      <c r="C42" s="458" t="s">
        <v>4658</v>
      </c>
      <c r="D42" s="456" t="str">
        <f>IF(Table10[[#This Row],[Current Age]]&gt;19,"Men's",IF(E42&gt;15,"U19",IF(E42&gt;13,"U15",IF(E42&gt;11,"U13",IF(E42&gt;0,"U11",0)))))</f>
        <v>Men's</v>
      </c>
      <c r="E42" s="456">
        <f>IFERROR(IF(Table10[[#This Row],[Year]]&gt;0,$E$1-Table10[[#This Row],[Year]],0),"")</f>
        <v>37</v>
      </c>
      <c r="F42" s="456">
        <v>1988</v>
      </c>
      <c r="G42" s="456">
        <v>3</v>
      </c>
      <c r="H42" s="456">
        <v>12</v>
      </c>
    </row>
    <row r="43" spans="1:8">
      <c r="A43" s="471">
        <v>1039</v>
      </c>
      <c r="B43" s="493" t="s">
        <v>1346</v>
      </c>
      <c r="C43" s="472" t="s">
        <v>362</v>
      </c>
      <c r="D43" s="456" t="str">
        <f>IF(Table10[[#This Row],[Current Age]]&gt;19,"Men's",IF(E43&gt;15,"U19",IF(E43&gt;13,"U15",IF(E43&gt;11,"U13",IF(E43&gt;0,"U11",0)))))</f>
        <v>Men's</v>
      </c>
      <c r="E43" s="456">
        <f>IFERROR(IF(Table10[[#This Row],[Year]]&gt;0,$E$1-Table10[[#This Row],[Year]],0),"")</f>
        <v>35</v>
      </c>
      <c r="F43" s="456">
        <v>1990</v>
      </c>
      <c r="G43" s="456">
        <v>12</v>
      </c>
      <c r="H43" s="456">
        <v>29</v>
      </c>
    </row>
    <row r="44" spans="1:8">
      <c r="A44" s="456">
        <v>1040</v>
      </c>
      <c r="B44" s="469" t="s">
        <v>518</v>
      </c>
      <c r="C44" s="458" t="s">
        <v>361</v>
      </c>
      <c r="D44" s="456">
        <f>IF(Table10[[#This Row],[Current Age]]&gt;19,"Men's",IF(E44&gt;15,"U19",IF(E44&gt;13,"U15",IF(E44&gt;11,"U13",IF(E44&gt;0,"U11",0)))))</f>
        <v>0</v>
      </c>
      <c r="E44" s="456">
        <f>IFERROR(IF(Table10[[#This Row],[Year]]&gt;0,$E$1-Table10[[#This Row],[Year]],0),"")</f>
        <v>0</v>
      </c>
      <c r="F44" s="456"/>
      <c r="G44" s="456"/>
      <c r="H44" s="456"/>
    </row>
    <row r="45" spans="1:8">
      <c r="A45" s="471">
        <v>1041</v>
      </c>
      <c r="B45" s="493" t="s">
        <v>1347</v>
      </c>
      <c r="C45" s="472" t="s">
        <v>4720</v>
      </c>
      <c r="D45" s="456">
        <f>IF(Table10[[#This Row],[Current Age]]&gt;19,"Men's",IF(E45&gt;15,"U19",IF(E45&gt;13,"U15",IF(E45&gt;11,"U13",IF(E45&gt;0,"U11",0)))))</f>
        <v>0</v>
      </c>
      <c r="E45" s="456">
        <f>IFERROR(IF(Table10[[#This Row],[Year]]&gt;0,$E$1-Table10[[#This Row],[Year]],0),"")</f>
        <v>0</v>
      </c>
      <c r="F45" s="456"/>
      <c r="G45" s="456"/>
      <c r="H45" s="456"/>
    </row>
    <row r="46" spans="1:8">
      <c r="A46" s="456">
        <v>1042</v>
      </c>
      <c r="B46" s="469" t="s">
        <v>1348</v>
      </c>
      <c r="C46" s="458" t="s">
        <v>250</v>
      </c>
      <c r="D46" s="456">
        <f>IF(Table10[[#This Row],[Current Age]]&gt;19,"Men's",IF(E46&gt;15,"U19",IF(E46&gt;13,"U15",IF(E46&gt;11,"U13",IF(E46&gt;0,"U11",0)))))</f>
        <v>0</v>
      </c>
      <c r="E46" s="456">
        <f>IFERROR(IF(Table10[[#This Row],[Year]]&gt;0,$E$1-Table10[[#This Row],[Year]],0),"")</f>
        <v>0</v>
      </c>
      <c r="F46" s="456"/>
      <c r="G46" s="456"/>
      <c r="H46" s="456"/>
    </row>
    <row r="47" spans="1:8">
      <c r="A47" s="471">
        <v>1043</v>
      </c>
      <c r="B47" s="493" t="s">
        <v>1349</v>
      </c>
      <c r="C47" s="472" t="s">
        <v>361</v>
      </c>
      <c r="D47" s="456" t="str">
        <f>IF(Table10[[#This Row],[Current Age]]&gt;19,"Men's",IF(E47&gt;15,"U19",IF(E47&gt;13,"U15",IF(E47&gt;11,"U13",IF(E47&gt;0,"U11",0)))))</f>
        <v>Men's</v>
      </c>
      <c r="E47" s="456">
        <f>IFERROR(IF(Table10[[#This Row],[Year]]&gt;0,$E$1-Table10[[#This Row],[Year]],0),"")</f>
        <v>27</v>
      </c>
      <c r="F47" s="456">
        <v>1998</v>
      </c>
      <c r="G47" s="456"/>
      <c r="H47" s="456"/>
    </row>
    <row r="48" spans="1:8">
      <c r="A48" s="456">
        <v>1044</v>
      </c>
      <c r="B48" s="469" t="s">
        <v>118</v>
      </c>
      <c r="C48" s="458"/>
      <c r="D48" s="456">
        <f>IF(Table10[[#This Row],[Current Age]]&gt;19,"Men's",IF(E48&gt;15,"U19",IF(E48&gt;13,"U15",IF(E48&gt;11,"U13",IF(E48&gt;0,"U11",0)))))</f>
        <v>0</v>
      </c>
      <c r="E48" s="456">
        <f>IFERROR(IF(Table10[[#This Row],[Year]]&gt;0,$E$1-Table10[[#This Row],[Year]],0),"")</f>
        <v>0</v>
      </c>
      <c r="F48" s="456"/>
      <c r="G48" s="456"/>
      <c r="H48" s="456"/>
    </row>
    <row r="49" spans="1:8">
      <c r="A49" s="471">
        <v>1045</v>
      </c>
      <c r="B49" s="493" t="s">
        <v>1350</v>
      </c>
      <c r="C49" s="472" t="s">
        <v>244</v>
      </c>
      <c r="D49" s="456" t="str">
        <f>IF(Table10[[#This Row],[Current Age]]&gt;19,"Men's",IF(E49&gt;15,"U19",IF(E49&gt;13,"U15",IF(E49&gt;11,"U13",IF(E49&gt;0,"U11",0)))))</f>
        <v>Men's</v>
      </c>
      <c r="E49" s="456">
        <f>IFERROR(IF(Table10[[#This Row],[Year]]&gt;0,$E$1-Table10[[#This Row],[Year]],0),"")</f>
        <v>32</v>
      </c>
      <c r="F49" s="456">
        <v>1993</v>
      </c>
      <c r="G49" s="456">
        <v>11</v>
      </c>
      <c r="H49" s="456">
        <v>25</v>
      </c>
    </row>
    <row r="50" spans="1:8">
      <c r="A50" s="456">
        <v>1046</v>
      </c>
      <c r="B50" s="469" t="s">
        <v>1351</v>
      </c>
      <c r="C50" s="458" t="s">
        <v>249</v>
      </c>
      <c r="D50" s="456" t="str">
        <f>IF(Table10[[#This Row],[Current Age]]&gt;19,"Men's",IF(E50&gt;15,"U19",IF(E50&gt;13,"U15",IF(E50&gt;11,"U13",IF(E50&gt;0,"U11",0)))))</f>
        <v>Men's</v>
      </c>
      <c r="E50" s="456">
        <f>IFERROR(IF(Table10[[#This Row],[Year]]&gt;0,$E$1-Table10[[#This Row],[Year]],0),"")</f>
        <v>45</v>
      </c>
      <c r="F50" s="456">
        <v>1980</v>
      </c>
      <c r="G50" s="456">
        <v>1</v>
      </c>
      <c r="H50" s="456">
        <v>1</v>
      </c>
    </row>
    <row r="51" spans="1:8">
      <c r="A51" s="471">
        <v>1047</v>
      </c>
      <c r="B51" s="493" t="s">
        <v>1352</v>
      </c>
      <c r="C51" s="472" t="s">
        <v>244</v>
      </c>
      <c r="D51" s="456">
        <f>IF(Table10[[#This Row],[Current Age]]&gt;19,"Men's",IF(E51&gt;15,"U19",IF(E51&gt;13,"U15",IF(E51&gt;11,"U13",IF(E51&gt;0,"U11",0)))))</f>
        <v>0</v>
      </c>
      <c r="E51" s="456">
        <f>IFERROR(IF(Table10[[#This Row],[Year]]&gt;0,$E$1-Table10[[#This Row],[Year]],0),"")</f>
        <v>0</v>
      </c>
      <c r="F51" s="456"/>
      <c r="G51" s="456"/>
      <c r="H51" s="456"/>
    </row>
    <row r="52" spans="1:8">
      <c r="A52" s="456">
        <v>1048</v>
      </c>
      <c r="B52" s="469" t="s">
        <v>174</v>
      </c>
      <c r="C52" s="458"/>
      <c r="D52" s="456">
        <f>IF(Table10[[#This Row],[Current Age]]&gt;19,"Men's",IF(E52&gt;15,"U19",IF(E52&gt;13,"U15",IF(E52&gt;11,"U13",IF(E52&gt;0,"U11",0)))))</f>
        <v>0</v>
      </c>
      <c r="E52" s="456">
        <f>IFERROR(IF(Table10[[#This Row],[Year]]&gt;0,$E$1-Table10[[#This Row],[Year]],0),"")</f>
        <v>0</v>
      </c>
      <c r="F52" s="456"/>
      <c r="G52" s="456"/>
      <c r="H52" s="456"/>
    </row>
    <row r="53" spans="1:8">
      <c r="A53" s="471">
        <v>1049</v>
      </c>
      <c r="B53" s="493" t="s">
        <v>1353</v>
      </c>
      <c r="C53" s="472" t="s">
        <v>4720</v>
      </c>
      <c r="D53" s="456">
        <f>IF(Table10[[#This Row],[Current Age]]&gt;19,"Men's",IF(E53&gt;15,"U19",IF(E53&gt;13,"U15",IF(E53&gt;11,"U13",IF(E53&gt;0,"U11",0)))))</f>
        <v>0</v>
      </c>
      <c r="E53" s="456">
        <f>IFERROR(IF(Table10[[#This Row],[Year]]&gt;0,$E$1-Table10[[#This Row],[Year]],0),"")</f>
        <v>0</v>
      </c>
      <c r="F53" s="456"/>
      <c r="G53" s="456"/>
      <c r="H53" s="456"/>
    </row>
    <row r="54" spans="1:8">
      <c r="A54" s="456">
        <v>1050</v>
      </c>
      <c r="B54" s="469" t="s">
        <v>1354</v>
      </c>
      <c r="C54" s="458" t="s">
        <v>361</v>
      </c>
      <c r="D54" s="456">
        <f>IF(Table10[[#This Row],[Current Age]]&gt;19,"Men's",IF(E54&gt;15,"U19",IF(E54&gt;13,"U15",IF(E54&gt;11,"U13",IF(E54&gt;0,"U11",0)))))</f>
        <v>0</v>
      </c>
      <c r="E54" s="456">
        <f>IFERROR(IF(Table10[[#This Row],[Year]]&gt;0,$E$1-Table10[[#This Row],[Year]],0),"")</f>
        <v>0</v>
      </c>
      <c r="F54" s="456"/>
      <c r="G54" s="456"/>
      <c r="H54" s="456"/>
    </row>
    <row r="55" spans="1:8">
      <c r="A55" s="471">
        <v>1051</v>
      </c>
      <c r="B55" s="493" t="s">
        <v>1355</v>
      </c>
      <c r="C55" s="472" t="s">
        <v>762</v>
      </c>
      <c r="D55" s="456">
        <f>IF(Table10[[#This Row],[Current Age]]&gt;19,"Men's",IF(E55&gt;15,"U19",IF(E55&gt;13,"U15",IF(E55&gt;11,"U13",IF(E55&gt;0,"U11",0)))))</f>
        <v>0</v>
      </c>
      <c r="E55" s="456">
        <f>IFERROR(IF(Table10[[#This Row],[Year]]&gt;0,$E$1-Table10[[#This Row],[Year]],0),"")</f>
        <v>0</v>
      </c>
      <c r="F55" s="456"/>
      <c r="G55" s="456"/>
      <c r="H55" s="456"/>
    </row>
    <row r="56" spans="1:8">
      <c r="A56" s="456">
        <v>1052</v>
      </c>
      <c r="B56" s="469" t="s">
        <v>1356</v>
      </c>
      <c r="C56" s="458" t="s">
        <v>246</v>
      </c>
      <c r="D56" s="456" t="str">
        <f>IF(Table10[[#This Row],[Current Age]]&gt;19,"Men's",IF(E56&gt;15,"U19",IF(E56&gt;13,"U15",IF(E56&gt;11,"U13",IF(E56&gt;0,"U11",0)))))</f>
        <v>Men's</v>
      </c>
      <c r="E56" s="456">
        <f>IFERROR(IF(Table10[[#This Row],[Year]]&gt;0,$E$1-Table10[[#This Row],[Year]],0),"")</f>
        <v>50</v>
      </c>
      <c r="F56" s="456">
        <v>1975</v>
      </c>
      <c r="G56" s="456">
        <v>11</v>
      </c>
      <c r="H56" s="456">
        <v>20</v>
      </c>
    </row>
    <row r="57" spans="1:8">
      <c r="A57" s="471">
        <v>1053</v>
      </c>
      <c r="B57" s="493" t="s">
        <v>1357</v>
      </c>
      <c r="C57" s="472" t="s">
        <v>361</v>
      </c>
      <c r="D57" s="456" t="str">
        <f>IF(Table10[[#This Row],[Current Age]]&gt;19,"Men's",IF(E57&gt;15,"U19",IF(E57&gt;13,"U15",IF(E57&gt;11,"U13",IF(E57&gt;0,"U11",0)))))</f>
        <v>Men's</v>
      </c>
      <c r="E57" s="456">
        <f>IFERROR(IF(Table10[[#This Row],[Year]]&gt;0,$E$1-Table10[[#This Row],[Year]],0),"")</f>
        <v>66</v>
      </c>
      <c r="F57" s="456">
        <v>1959</v>
      </c>
      <c r="G57" s="456"/>
      <c r="H57" s="456"/>
    </row>
    <row r="58" spans="1:8">
      <c r="A58" s="456">
        <v>1054</v>
      </c>
      <c r="B58" s="469" t="s">
        <v>4516</v>
      </c>
      <c r="C58" s="458" t="s">
        <v>361</v>
      </c>
      <c r="D58" s="456">
        <f>IF(Table10[[#This Row],[Current Age]]&gt;19,"Men's",IF(E58&gt;15,"U19",IF(E58&gt;13,"U15",IF(E58&gt;11,"U13",IF(E58&gt;0,"U11",0)))))</f>
        <v>0</v>
      </c>
      <c r="E58" s="456">
        <f>IFERROR(IF(Table10[[#This Row],[Year]]&gt;0,$E$1-Table10[[#This Row],[Year]],0),"")</f>
        <v>0</v>
      </c>
      <c r="F58" s="456"/>
      <c r="G58" s="456"/>
      <c r="H58" s="456"/>
    </row>
    <row r="59" spans="1:8">
      <c r="A59" s="471">
        <v>1055</v>
      </c>
      <c r="B59" s="493" t="s">
        <v>1358</v>
      </c>
      <c r="C59" s="472" t="s">
        <v>4720</v>
      </c>
      <c r="D59" s="456">
        <f>IF(Table10[[#This Row],[Current Age]]&gt;19,"Men's",IF(E59&gt;15,"U19",IF(E59&gt;13,"U15",IF(E59&gt;11,"U13",IF(E59&gt;0,"U11",0)))))</f>
        <v>0</v>
      </c>
      <c r="E59" s="456">
        <f>IFERROR(IF(Table10[[#This Row],[Year]]&gt;0,$E$1-Table10[[#This Row],[Year]],0),"")</f>
        <v>0</v>
      </c>
      <c r="F59" s="456"/>
      <c r="G59" s="456"/>
      <c r="H59" s="456"/>
    </row>
    <row r="60" spans="1:8">
      <c r="A60" s="456">
        <v>1056</v>
      </c>
      <c r="B60" s="469" t="s">
        <v>343</v>
      </c>
      <c r="C60" s="458" t="s">
        <v>243</v>
      </c>
      <c r="D60" s="456">
        <f>IF(Table10[[#This Row],[Current Age]]&gt;19,"Men's",IF(E60&gt;15,"U19",IF(E60&gt;13,"U15",IF(E60&gt;11,"U13",IF(E60&gt;0,"U11",0)))))</f>
        <v>0</v>
      </c>
      <c r="E60" s="456">
        <f>IFERROR(IF(Table10[[#This Row],[Year]]&gt;0,$E$1-Table10[[#This Row],[Year]],0),"")</f>
        <v>0</v>
      </c>
      <c r="F60" s="456"/>
      <c r="G60" s="456"/>
      <c r="H60" s="456"/>
    </row>
    <row r="61" spans="1:8">
      <c r="A61" s="471">
        <v>1057</v>
      </c>
      <c r="B61" s="493" t="s">
        <v>1359</v>
      </c>
      <c r="C61" s="472" t="s">
        <v>4720</v>
      </c>
      <c r="D61" s="456">
        <f>IF(Table10[[#This Row],[Current Age]]&gt;19,"Men's",IF(E61&gt;15,"U19",IF(E61&gt;13,"U15",IF(E61&gt;11,"U13",IF(E61&gt;0,"U11",0)))))</f>
        <v>0</v>
      </c>
      <c r="E61" s="456">
        <f>IFERROR(IF(Table10[[#This Row],[Year]]&gt;0,$E$1-Table10[[#This Row],[Year]],0),"")</f>
        <v>0</v>
      </c>
      <c r="F61" s="456"/>
      <c r="G61" s="456"/>
      <c r="H61" s="456"/>
    </row>
    <row r="62" spans="1:8">
      <c r="A62" s="456">
        <v>1058</v>
      </c>
      <c r="B62" s="469" t="s">
        <v>1360</v>
      </c>
      <c r="C62" s="458" t="s">
        <v>4720</v>
      </c>
      <c r="D62" s="456">
        <f>IF(Table10[[#This Row],[Current Age]]&gt;19,"Men's",IF(E62&gt;15,"U19",IF(E62&gt;13,"U15",IF(E62&gt;11,"U13",IF(E62&gt;0,"U11",0)))))</f>
        <v>0</v>
      </c>
      <c r="E62" s="456">
        <f>IFERROR(IF(Table10[[#This Row],[Year]]&gt;0,$E$1-Table10[[#This Row],[Year]],0),"")</f>
        <v>0</v>
      </c>
      <c r="F62" s="456"/>
      <c r="G62" s="456"/>
      <c r="H62" s="456"/>
    </row>
    <row r="63" spans="1:8">
      <c r="A63" s="471">
        <v>1059</v>
      </c>
      <c r="B63" s="493" t="s">
        <v>1361</v>
      </c>
      <c r="C63" s="472" t="s">
        <v>362</v>
      </c>
      <c r="D63" s="456" t="str">
        <f>IF(Table10[[#This Row],[Current Age]]&gt;19,"Men's",IF(E63&gt;15,"U19",IF(E63&gt;13,"U15",IF(E63&gt;11,"U13",IF(E63&gt;0,"U11",0)))))</f>
        <v>Men's</v>
      </c>
      <c r="E63" s="456">
        <f>IFERROR(IF(Table10[[#This Row],[Year]]&gt;0,$E$1-Table10[[#This Row],[Year]],0),"")</f>
        <v>55</v>
      </c>
      <c r="F63" s="456">
        <v>1970</v>
      </c>
      <c r="G63" s="456">
        <v>9</v>
      </c>
      <c r="H63" s="456">
        <v>5</v>
      </c>
    </row>
    <row r="64" spans="1:8">
      <c r="A64" s="456">
        <v>1060</v>
      </c>
      <c r="B64" s="469" t="s">
        <v>1362</v>
      </c>
      <c r="C64" s="458" t="s">
        <v>243</v>
      </c>
      <c r="D64" s="456">
        <f>IF(Table10[[#This Row],[Current Age]]&gt;19,"Men's",IF(E64&gt;15,"U19",IF(E64&gt;13,"U15",IF(E64&gt;11,"U13",IF(E64&gt;0,"U11",0)))))</f>
        <v>0</v>
      </c>
      <c r="E64" s="456">
        <f>IFERROR(IF(Table10[[#This Row],[Year]]&gt;0,$E$1-Table10[[#This Row],[Year]],0),"")</f>
        <v>0</v>
      </c>
      <c r="F64" s="456"/>
      <c r="G64" s="456"/>
      <c r="H64" s="456"/>
    </row>
    <row r="65" spans="1:8">
      <c r="A65" s="471">
        <v>1061</v>
      </c>
      <c r="B65" s="493" t="s">
        <v>3875</v>
      </c>
      <c r="C65" s="472" t="s">
        <v>252</v>
      </c>
      <c r="D65" s="456">
        <f>IF(Table10[[#This Row],[Current Age]]&gt;19,"Men's",IF(E65&gt;15,"U19",IF(E65&gt;13,"U15",IF(E65&gt;11,"U13",IF(E65&gt;0,"U11",0)))))</f>
        <v>0</v>
      </c>
      <c r="E65" s="456">
        <f>IFERROR(IF(Table10[[#This Row],[Year]]&gt;0,$E$1-Table10[[#This Row],[Year]],0),"")</f>
        <v>0</v>
      </c>
      <c r="F65" s="456"/>
      <c r="G65" s="456"/>
      <c r="H65" s="456"/>
    </row>
    <row r="66" spans="1:8">
      <c r="A66" s="456">
        <v>1062</v>
      </c>
      <c r="B66" s="469" t="s">
        <v>1363</v>
      </c>
      <c r="C66" s="458" t="s">
        <v>361</v>
      </c>
      <c r="D66" s="456" t="str">
        <f>IF(Table10[[#This Row],[Current Age]]&gt;19,"Men's",IF(E66&gt;15,"U19",IF(E66&gt;13,"U15",IF(E66&gt;11,"U13",IF(E66&gt;0,"U11",0)))))</f>
        <v>Men's</v>
      </c>
      <c r="E66" s="456">
        <f>IFERROR(IF(Table10[[#This Row],[Year]]&gt;0,$E$1-Table10[[#This Row],[Year]],0),"")</f>
        <v>27</v>
      </c>
      <c r="F66" s="456">
        <v>1998</v>
      </c>
      <c r="G66" s="456">
        <v>9</v>
      </c>
      <c r="H66" s="456">
        <v>20</v>
      </c>
    </row>
    <row r="67" spans="1:8">
      <c r="A67" s="471">
        <v>1063</v>
      </c>
      <c r="B67" s="493" t="s">
        <v>1364</v>
      </c>
      <c r="C67" s="472" t="s">
        <v>244</v>
      </c>
      <c r="D67" s="456" t="str">
        <f>IF(Table10[[#This Row],[Current Age]]&gt;19,"Men's",IF(E67&gt;15,"U19",IF(E67&gt;13,"U15",IF(E67&gt;11,"U13",IF(E67&gt;0,"U11",0)))))</f>
        <v>Men's</v>
      </c>
      <c r="E67" s="456">
        <f>IFERROR(IF(Table10[[#This Row],[Year]]&gt;0,$E$1-Table10[[#This Row],[Year]],0),"")</f>
        <v>31</v>
      </c>
      <c r="F67" s="456">
        <v>1994</v>
      </c>
      <c r="G67" s="456">
        <v>9</v>
      </c>
      <c r="H67" s="456">
        <v>12</v>
      </c>
    </row>
    <row r="68" spans="1:8">
      <c r="A68" s="456">
        <v>1064</v>
      </c>
      <c r="B68" s="469" t="s">
        <v>185</v>
      </c>
      <c r="C68" s="458"/>
      <c r="D68" s="456">
        <f>IF(Table10[[#This Row],[Current Age]]&gt;19,"Men's",IF(E68&gt;15,"U19",IF(E68&gt;13,"U15",IF(E68&gt;11,"U13",IF(E68&gt;0,"U11",0)))))</f>
        <v>0</v>
      </c>
      <c r="E68" s="456">
        <f>IFERROR(IF(Table10[[#This Row],[Year]]&gt;0,$E$1-Table10[[#This Row],[Year]],0),"")</f>
        <v>0</v>
      </c>
      <c r="F68" s="456"/>
      <c r="G68" s="456"/>
      <c r="H68" s="456"/>
    </row>
    <row r="69" spans="1:8">
      <c r="A69" s="471">
        <v>1065</v>
      </c>
      <c r="B69" s="493" t="s">
        <v>1365</v>
      </c>
      <c r="C69" s="472" t="s">
        <v>243</v>
      </c>
      <c r="D69" s="456" t="str">
        <f>IF(Table10[[#This Row],[Current Age]]&gt;19,"Men's",IF(E69&gt;15,"U19",IF(E69&gt;13,"U15",IF(E69&gt;11,"U13",IF(E69&gt;0,"U11",0)))))</f>
        <v>Men's</v>
      </c>
      <c r="E69" s="456">
        <f>IFERROR(IF(Table10[[#This Row],[Year]]&gt;0,$E$1-Table10[[#This Row],[Year]],0),"")</f>
        <v>35</v>
      </c>
      <c r="F69" s="456">
        <v>1990</v>
      </c>
      <c r="G69" s="456">
        <v>5</v>
      </c>
      <c r="H69" s="456">
        <v>14</v>
      </c>
    </row>
    <row r="70" spans="1:8">
      <c r="A70" s="456">
        <v>1066</v>
      </c>
      <c r="B70" s="469" t="s">
        <v>1366</v>
      </c>
      <c r="C70" s="458" t="s">
        <v>243</v>
      </c>
      <c r="D70" s="456">
        <f>IF(Table10[[#This Row],[Current Age]]&gt;19,"Men's",IF(E70&gt;15,"U19",IF(E70&gt;13,"U15",IF(E70&gt;11,"U13",IF(E70&gt;0,"U11",0)))))</f>
        <v>0</v>
      </c>
      <c r="E70" s="456">
        <f>IFERROR(IF(Table10[[#This Row],[Year]]&gt;0,$E$1-Table10[[#This Row],[Year]],0),"")</f>
        <v>0</v>
      </c>
      <c r="F70" s="456"/>
      <c r="G70" s="456"/>
      <c r="H70" s="456"/>
    </row>
    <row r="71" spans="1:8">
      <c r="A71" s="471">
        <v>1067</v>
      </c>
      <c r="B71" s="493" t="s">
        <v>1367</v>
      </c>
      <c r="C71" s="472" t="s">
        <v>362</v>
      </c>
      <c r="D71" s="456" t="str">
        <f>IF(Table10[[#This Row],[Current Age]]&gt;19,"Men's",IF(E71&gt;15,"U19",IF(E71&gt;13,"U15",IF(E71&gt;11,"U13",IF(E71&gt;0,"U11",0)))))</f>
        <v>Men's</v>
      </c>
      <c r="E71" s="456">
        <f>IFERROR(IF(Table10[[#This Row],[Year]]&gt;0,$E$1-Table10[[#This Row],[Year]],0),"")</f>
        <v>54</v>
      </c>
      <c r="F71" s="456">
        <v>1971</v>
      </c>
      <c r="G71" s="456">
        <v>4</v>
      </c>
      <c r="H71" s="456">
        <v>5</v>
      </c>
    </row>
    <row r="72" spans="1:8">
      <c r="A72" s="456">
        <v>1068</v>
      </c>
      <c r="B72" s="469" t="s">
        <v>1368</v>
      </c>
      <c r="C72" s="458" t="s">
        <v>246</v>
      </c>
      <c r="D72" s="456">
        <f>IF(Table10[[#This Row],[Current Age]]&gt;19,"Men's",IF(E72&gt;15,"U19",IF(E72&gt;13,"U15",IF(E72&gt;11,"U13",IF(E72&gt;0,"U11",0)))))</f>
        <v>0</v>
      </c>
      <c r="E72" s="456">
        <f>IFERROR(IF(Table10[[#This Row],[Year]]&gt;0,$E$1-Table10[[#This Row],[Year]],0),"")</f>
        <v>0</v>
      </c>
      <c r="F72" s="456"/>
      <c r="G72" s="456"/>
      <c r="H72" s="456"/>
    </row>
    <row r="73" spans="1:8">
      <c r="A73" s="471">
        <v>1069</v>
      </c>
      <c r="B73" s="493" t="s">
        <v>1369</v>
      </c>
      <c r="C73" s="472" t="s">
        <v>362</v>
      </c>
      <c r="D73" s="456" t="str">
        <f>IF(Table10[[#This Row],[Current Age]]&gt;19,"Men's",IF(E73&gt;15,"U19",IF(E73&gt;13,"U15",IF(E73&gt;11,"U13",IF(E73&gt;0,"U11",0)))))</f>
        <v>Men's</v>
      </c>
      <c r="E73" s="456">
        <f>IFERROR(IF(Table10[[#This Row],[Year]]&gt;0,$E$1-Table10[[#This Row],[Year]],0),"")</f>
        <v>32</v>
      </c>
      <c r="F73" s="456">
        <v>1993</v>
      </c>
      <c r="G73" s="456">
        <v>3</v>
      </c>
      <c r="H73" s="456">
        <v>1</v>
      </c>
    </row>
    <row r="74" spans="1:8">
      <c r="A74" s="456">
        <v>1070</v>
      </c>
      <c r="B74" s="469" t="s">
        <v>1370</v>
      </c>
      <c r="C74" s="458" t="s">
        <v>251</v>
      </c>
      <c r="D74" s="456" t="str">
        <f>IF(Table10[[#This Row],[Current Age]]&gt;19,"Men's",IF(E74&gt;15,"U19",IF(E74&gt;13,"U15",IF(E74&gt;11,"U13",IF(E74&gt;0,"U11",0)))))</f>
        <v>Men's</v>
      </c>
      <c r="E74" s="456">
        <f>IFERROR(IF(Table10[[#This Row],[Year]]&gt;0,$E$1-Table10[[#This Row],[Year]],0),"")</f>
        <v>32</v>
      </c>
      <c r="F74" s="456">
        <v>1993</v>
      </c>
      <c r="G74" s="456">
        <v>12</v>
      </c>
      <c r="H74" s="456">
        <v>22</v>
      </c>
    </row>
    <row r="75" spans="1:8">
      <c r="A75" s="471">
        <v>1071</v>
      </c>
      <c r="B75" s="493" t="s">
        <v>1371</v>
      </c>
      <c r="C75" s="472" t="s">
        <v>243</v>
      </c>
      <c r="D75" s="456" t="str">
        <f>IF(Table10[[#This Row],[Current Age]]&gt;19,"Men's",IF(E75&gt;15,"U19",IF(E75&gt;13,"U15",IF(E75&gt;11,"U13",IF(E75&gt;0,"U11",0)))))</f>
        <v>Men's</v>
      </c>
      <c r="E75" s="456">
        <f>IFERROR(IF(Table10[[#This Row],[Year]]&gt;0,$E$1-Table10[[#This Row],[Year]],0),"")</f>
        <v>26</v>
      </c>
      <c r="F75" s="456">
        <v>1999</v>
      </c>
      <c r="G75" s="456">
        <v>11</v>
      </c>
      <c r="H75" s="456">
        <v>2</v>
      </c>
    </row>
    <row r="76" spans="1:8">
      <c r="A76" s="456">
        <v>1072</v>
      </c>
      <c r="B76" s="469" t="s">
        <v>1372</v>
      </c>
      <c r="C76" s="458" t="s">
        <v>361</v>
      </c>
      <c r="D76" s="456" t="str">
        <f>IF(Table10[[#This Row],[Current Age]]&gt;19,"Men's",IF(E76&gt;15,"U19",IF(E76&gt;13,"U15",IF(E76&gt;11,"U13",IF(E76&gt;0,"U11",0)))))</f>
        <v>Men's</v>
      </c>
      <c r="E76" s="456">
        <f>IFERROR(IF(Table10[[#This Row],[Year]]&gt;0,$E$1-Table10[[#This Row],[Year]],0),"")</f>
        <v>51</v>
      </c>
      <c r="F76" s="456">
        <v>1974</v>
      </c>
      <c r="G76" s="456">
        <v>1</v>
      </c>
      <c r="H76" s="456">
        <v>29</v>
      </c>
    </row>
    <row r="77" spans="1:8">
      <c r="A77" s="471">
        <v>1073</v>
      </c>
      <c r="B77" s="493" t="s">
        <v>1373</v>
      </c>
      <c r="C77" s="472" t="s">
        <v>252</v>
      </c>
      <c r="D77" s="456">
        <f>IF(Table10[[#This Row],[Current Age]]&gt;19,"Men's",IF(E77&gt;15,"U19",IF(E77&gt;13,"U15",IF(E77&gt;11,"U13",IF(E77&gt;0,"U11",0)))))</f>
        <v>0</v>
      </c>
      <c r="E77" s="456">
        <f>IFERROR(IF(Table10[[#This Row],[Year]]&gt;0,$E$1-Table10[[#This Row],[Year]],0),"")</f>
        <v>0</v>
      </c>
      <c r="F77" s="456"/>
      <c r="G77" s="456"/>
      <c r="H77" s="456"/>
    </row>
    <row r="78" spans="1:8">
      <c r="A78" s="456">
        <v>1074</v>
      </c>
      <c r="B78" s="469" t="s">
        <v>142</v>
      </c>
      <c r="C78" s="458" t="s">
        <v>246</v>
      </c>
      <c r="D78" s="456">
        <f>IF(Table10[[#This Row],[Current Age]]&gt;19,"Men's",IF(E78&gt;15,"U19",IF(E78&gt;13,"U15",IF(E78&gt;11,"U13",IF(E78&gt;0,"U11",0)))))</f>
        <v>0</v>
      </c>
      <c r="E78" s="456">
        <f>IFERROR(IF(Table10[[#This Row],[Year]]&gt;0,$E$1-Table10[[#This Row],[Year]],0),"")</f>
        <v>0</v>
      </c>
      <c r="F78" s="456"/>
      <c r="G78" s="456"/>
      <c r="H78" s="456"/>
    </row>
    <row r="79" spans="1:8">
      <c r="A79" s="471">
        <v>1075</v>
      </c>
      <c r="B79" s="493" t="s">
        <v>1374</v>
      </c>
      <c r="C79" s="472" t="s">
        <v>361</v>
      </c>
      <c r="D79" s="456" t="str">
        <f>IF(Table10[[#This Row],[Current Age]]&gt;19,"Men's",IF(E79&gt;15,"U19",IF(E79&gt;13,"U15",IF(E79&gt;11,"U13",IF(E79&gt;0,"U11",0)))))</f>
        <v>Men's</v>
      </c>
      <c r="E79" s="456">
        <f>IFERROR(IF(Table10[[#This Row],[Year]]&gt;0,$E$1-Table10[[#This Row],[Year]],0),"")</f>
        <v>26</v>
      </c>
      <c r="F79" s="456">
        <v>1999</v>
      </c>
      <c r="G79" s="456"/>
      <c r="H79" s="456"/>
    </row>
    <row r="80" spans="1:8">
      <c r="A80" s="456">
        <v>1076</v>
      </c>
      <c r="B80" s="469" t="s">
        <v>1375</v>
      </c>
      <c r="C80" s="458" t="s">
        <v>4720</v>
      </c>
      <c r="D80" s="456">
        <f>IF(Table10[[#This Row],[Current Age]]&gt;19,"Men's",IF(E80&gt;15,"U19",IF(E80&gt;13,"U15",IF(E80&gt;11,"U13",IF(E80&gt;0,"U11",0)))))</f>
        <v>0</v>
      </c>
      <c r="E80" s="456">
        <f>IFERROR(IF(Table10[[#This Row],[Year]]&gt;0,$E$1-Table10[[#This Row],[Year]],0),"")</f>
        <v>0</v>
      </c>
      <c r="F80" s="456"/>
      <c r="G80" s="456"/>
      <c r="H80" s="456"/>
    </row>
    <row r="81" spans="1:8">
      <c r="A81" s="471">
        <v>1077</v>
      </c>
      <c r="B81" s="493" t="s">
        <v>1376</v>
      </c>
      <c r="C81" s="472" t="s">
        <v>361</v>
      </c>
      <c r="D81" s="456">
        <f>IF(Table10[[#This Row],[Current Age]]&gt;19,"Men's",IF(E81&gt;15,"U19",IF(E81&gt;13,"U15",IF(E81&gt;11,"U13",IF(E81&gt;0,"U11",0)))))</f>
        <v>0</v>
      </c>
      <c r="E81" s="456">
        <f>IFERROR(IF(Table10[[#This Row],[Year]]&gt;0,$E$1-Table10[[#This Row],[Year]],0),"")</f>
        <v>0</v>
      </c>
      <c r="F81" s="456"/>
      <c r="G81" s="456"/>
      <c r="H81" s="456"/>
    </row>
    <row r="82" spans="1:8">
      <c r="A82" s="456">
        <v>1078</v>
      </c>
      <c r="B82" s="469" t="s">
        <v>1377</v>
      </c>
      <c r="C82" s="458" t="s">
        <v>361</v>
      </c>
      <c r="D82" s="456" t="str">
        <f>IF(Table10[[#This Row],[Current Age]]&gt;19,"Men's",IF(E82&gt;15,"U19",IF(E82&gt;13,"U15",IF(E82&gt;11,"U13",IF(E82&gt;0,"U11",0)))))</f>
        <v>Men's</v>
      </c>
      <c r="E82" s="456">
        <f>IFERROR(IF(Table10[[#This Row],[Year]]&gt;0,$E$1-Table10[[#This Row],[Year]],0),"")</f>
        <v>59</v>
      </c>
      <c r="F82" s="456">
        <v>1966</v>
      </c>
      <c r="G82" s="456">
        <v>8</v>
      </c>
      <c r="H82" s="456">
        <v>6</v>
      </c>
    </row>
    <row r="83" spans="1:8">
      <c r="A83" s="471">
        <v>1079</v>
      </c>
      <c r="B83" s="493" t="s">
        <v>1378</v>
      </c>
      <c r="C83" s="472" t="s">
        <v>361</v>
      </c>
      <c r="D83" s="456">
        <f>IF(Table10[[#This Row],[Current Age]]&gt;19,"Men's",IF(E83&gt;15,"U19",IF(E83&gt;13,"U15",IF(E83&gt;11,"U13",IF(E83&gt;0,"U11",0)))))</f>
        <v>0</v>
      </c>
      <c r="E83" s="456">
        <f>IFERROR(IF(Table10[[#This Row],[Year]]&gt;0,$E$1-Table10[[#This Row],[Year]],0),"")</f>
        <v>0</v>
      </c>
      <c r="F83" s="456"/>
      <c r="G83" s="456"/>
      <c r="H83" s="456"/>
    </row>
    <row r="84" spans="1:8">
      <c r="A84" s="456">
        <v>1080</v>
      </c>
      <c r="B84" s="469" t="s">
        <v>119</v>
      </c>
      <c r="C84" s="458" t="s">
        <v>362</v>
      </c>
      <c r="D84" s="456">
        <f>IF(Table10[[#This Row],[Current Age]]&gt;19,"Men's",IF(E84&gt;15,"U19",IF(E84&gt;13,"U15",IF(E84&gt;11,"U13",IF(E84&gt;0,"U11",0)))))</f>
        <v>0</v>
      </c>
      <c r="E84" s="456">
        <f>IFERROR(IF(Table10[[#This Row],[Year]]&gt;0,$E$1-Table10[[#This Row],[Year]],0),"")</f>
        <v>0</v>
      </c>
      <c r="F84" s="456"/>
      <c r="G84" s="456"/>
      <c r="H84" s="456"/>
    </row>
    <row r="85" spans="1:8">
      <c r="A85" s="471">
        <v>1081</v>
      </c>
      <c r="B85" s="493" t="s">
        <v>1379</v>
      </c>
      <c r="C85" s="472" t="s">
        <v>361</v>
      </c>
      <c r="D85" s="456">
        <f>IF(Table10[[#This Row],[Current Age]]&gt;19,"Men's",IF(E85&gt;15,"U19",IF(E85&gt;13,"U15",IF(E85&gt;11,"U13",IF(E85&gt;0,"U11",0)))))</f>
        <v>0</v>
      </c>
      <c r="E85" s="456">
        <f>IFERROR(IF(Table10[[#This Row],[Year]]&gt;0,$E$1-Table10[[#This Row],[Year]],0),"")</f>
        <v>0</v>
      </c>
      <c r="F85" s="456"/>
      <c r="G85" s="456"/>
      <c r="H85" s="456"/>
    </row>
    <row r="86" spans="1:8">
      <c r="A86" s="456">
        <v>1082</v>
      </c>
      <c r="B86" s="469" t="s">
        <v>1380</v>
      </c>
      <c r="C86" s="458" t="s">
        <v>362</v>
      </c>
      <c r="D86" s="456">
        <f>IF(Table10[[#This Row],[Current Age]]&gt;19,"Men's",IF(E86&gt;15,"U19",IF(E86&gt;13,"U15",IF(E86&gt;11,"U13",IF(E86&gt;0,"U11",0)))))</f>
        <v>0</v>
      </c>
      <c r="E86" s="456">
        <f>IFERROR(IF(Table10[[#This Row],[Year]]&gt;0,$E$1-Table10[[#This Row],[Year]],0),"")</f>
        <v>0</v>
      </c>
      <c r="F86" s="456"/>
      <c r="G86" s="456"/>
      <c r="H86" s="456"/>
    </row>
    <row r="87" spans="1:8">
      <c r="A87" s="471">
        <v>1083</v>
      </c>
      <c r="B87" s="493" t="s">
        <v>1381</v>
      </c>
      <c r="C87" s="472" t="s">
        <v>361</v>
      </c>
      <c r="D87" s="456" t="str">
        <f>IF(Table10[[#This Row],[Current Age]]&gt;19,"Men's",IF(E87&gt;15,"U19",IF(E87&gt;13,"U15",IF(E87&gt;11,"U13",IF(E87&gt;0,"U11",0)))))</f>
        <v>Men's</v>
      </c>
      <c r="E87" s="456">
        <f>IFERROR(IF(Table10[[#This Row],[Year]]&gt;0,$E$1-Table10[[#This Row],[Year]],0),"")</f>
        <v>30</v>
      </c>
      <c r="F87" s="456">
        <v>1995</v>
      </c>
      <c r="G87" s="456"/>
      <c r="H87" s="456"/>
    </row>
    <row r="88" spans="1:8">
      <c r="A88" s="456">
        <v>1084</v>
      </c>
      <c r="B88" s="469" t="s">
        <v>1382</v>
      </c>
      <c r="C88" s="458" t="s">
        <v>3750</v>
      </c>
      <c r="D88" s="456" t="str">
        <f>IF(Table10[[#This Row],[Current Age]]&gt;19,"Men's",IF(E88&gt;15,"U19",IF(E88&gt;13,"U15",IF(E88&gt;11,"U13",IF(E88&gt;0,"U11",0)))))</f>
        <v>Men's</v>
      </c>
      <c r="E88" s="456">
        <f>IFERROR(IF(Table10[[#This Row],[Year]]&gt;0,$E$1-Table10[[#This Row],[Year]],0),"")</f>
        <v>30</v>
      </c>
      <c r="F88" s="456">
        <v>1995</v>
      </c>
      <c r="G88" s="456">
        <v>10</v>
      </c>
      <c r="H88" s="456">
        <v>24</v>
      </c>
    </row>
    <row r="89" spans="1:8">
      <c r="A89" s="471">
        <v>1085</v>
      </c>
      <c r="B89" s="493" t="s">
        <v>1383</v>
      </c>
      <c r="C89" s="472" t="s">
        <v>246</v>
      </c>
      <c r="D89" s="456">
        <f>IF(Table10[[#This Row],[Current Age]]&gt;19,"Men's",IF(E89&gt;15,"U19",IF(E89&gt;13,"U15",IF(E89&gt;11,"U13",IF(E89&gt;0,"U11",0)))))</f>
        <v>0</v>
      </c>
      <c r="E89" s="456">
        <f>IFERROR(IF(Table10[[#This Row],[Year]]&gt;0,$E$1-Table10[[#This Row],[Year]],0),"")</f>
        <v>0</v>
      </c>
      <c r="F89" s="456"/>
      <c r="G89" s="456"/>
      <c r="H89" s="456"/>
    </row>
    <row r="90" spans="1:8">
      <c r="A90" s="456">
        <v>1086</v>
      </c>
      <c r="B90" s="469" t="s">
        <v>1384</v>
      </c>
      <c r="C90" s="458" t="s">
        <v>246</v>
      </c>
      <c r="D90" s="456">
        <f>IF(Table10[[#This Row],[Current Age]]&gt;19,"Men's",IF(E90&gt;15,"U19",IF(E90&gt;13,"U15",IF(E90&gt;11,"U13",IF(E90&gt;0,"U11",0)))))</f>
        <v>0</v>
      </c>
      <c r="E90" s="456">
        <f>IFERROR(IF(Table10[[#This Row],[Year]]&gt;0,$E$1-Table10[[#This Row],[Year]],0),"")</f>
        <v>0</v>
      </c>
      <c r="F90" s="456"/>
      <c r="G90" s="456"/>
      <c r="H90" s="456"/>
    </row>
    <row r="91" spans="1:8">
      <c r="A91" s="471">
        <v>1087</v>
      </c>
      <c r="B91" s="493" t="s">
        <v>186</v>
      </c>
      <c r="C91" s="472" t="s">
        <v>243</v>
      </c>
      <c r="D91" s="456">
        <f>IF(Table10[[#This Row],[Current Age]]&gt;19,"Men's",IF(E91&gt;15,"U19",IF(E91&gt;13,"U15",IF(E91&gt;11,"U13",IF(E91&gt;0,"U11",0)))))</f>
        <v>0</v>
      </c>
      <c r="E91" s="456">
        <f>IFERROR(IF(Table10[[#This Row],[Year]]&gt;0,$E$1-Table10[[#This Row],[Year]],0),"")</f>
        <v>0</v>
      </c>
      <c r="F91" s="456"/>
      <c r="G91" s="456"/>
      <c r="H91" s="456"/>
    </row>
    <row r="92" spans="1:8">
      <c r="A92" s="456">
        <v>1088</v>
      </c>
      <c r="B92" s="469" t="s">
        <v>1385</v>
      </c>
      <c r="C92" s="458" t="s">
        <v>251</v>
      </c>
      <c r="D92" s="456">
        <f>IF(Table10[[#This Row],[Current Age]]&gt;19,"Men's",IF(E92&gt;15,"U19",IF(E92&gt;13,"U15",IF(E92&gt;11,"U13",IF(E92&gt;0,"U11",0)))))</f>
        <v>0</v>
      </c>
      <c r="E92" s="456">
        <f>IFERROR(IF(Table10[[#This Row],[Year]]&gt;0,$E$1-Table10[[#This Row],[Year]],0),"")</f>
        <v>0</v>
      </c>
      <c r="F92" s="456"/>
      <c r="G92" s="456"/>
      <c r="H92" s="456"/>
    </row>
    <row r="93" spans="1:8">
      <c r="A93" s="471">
        <v>1089</v>
      </c>
      <c r="B93" s="493" t="s">
        <v>183</v>
      </c>
      <c r="C93" s="472"/>
      <c r="D93" s="456">
        <f>IF(Table10[[#This Row],[Current Age]]&gt;19,"Men's",IF(E93&gt;15,"U19",IF(E93&gt;13,"U15",IF(E93&gt;11,"U13",IF(E93&gt;0,"U11",0)))))</f>
        <v>0</v>
      </c>
      <c r="E93" s="456">
        <f>IFERROR(IF(Table10[[#This Row],[Year]]&gt;0,$E$1-Table10[[#This Row],[Year]],0),"")</f>
        <v>0</v>
      </c>
      <c r="F93" s="456"/>
      <c r="G93" s="456"/>
      <c r="H93" s="456"/>
    </row>
    <row r="94" spans="1:8">
      <c r="A94" s="456">
        <v>1090</v>
      </c>
      <c r="B94" s="469" t="s">
        <v>4446</v>
      </c>
      <c r="C94" s="458" t="s">
        <v>250</v>
      </c>
      <c r="D94" s="456">
        <f>IF(Table10[[#This Row],[Current Age]]&gt;19,"Men's",IF(E94&gt;15,"U19",IF(E94&gt;13,"U15",IF(E94&gt;11,"U13",IF(E94&gt;0,"U11",0)))))</f>
        <v>0</v>
      </c>
      <c r="E94" s="456">
        <f>IFERROR(IF(Table10[[#This Row],[Year]]&gt;0,$E$1-Table10[[#This Row],[Year]],0),"")</f>
        <v>0</v>
      </c>
      <c r="F94" s="456"/>
      <c r="G94" s="456"/>
      <c r="H94" s="456"/>
    </row>
    <row r="95" spans="1:8">
      <c r="A95" s="471">
        <v>1091</v>
      </c>
      <c r="B95" s="493" t="s">
        <v>3145</v>
      </c>
      <c r="C95" s="472" t="s">
        <v>252</v>
      </c>
      <c r="D95" s="456">
        <f>IF(Table10[[#This Row],[Current Age]]&gt;19,"Men's",IF(E95&gt;15,"U19",IF(E95&gt;13,"U15",IF(E95&gt;11,"U13",IF(E95&gt;0,"U11",0)))))</f>
        <v>0</v>
      </c>
      <c r="E95" s="456">
        <f>IFERROR(IF(Table10[[#This Row],[Year]]&gt;0,$E$1-Table10[[#This Row],[Year]],0),"")</f>
        <v>0</v>
      </c>
      <c r="F95" s="456"/>
      <c r="G95" s="456"/>
      <c r="H95" s="456"/>
    </row>
    <row r="96" spans="1:8">
      <c r="A96" s="456">
        <v>1092</v>
      </c>
      <c r="B96" s="469" t="s">
        <v>3284</v>
      </c>
      <c r="C96" s="458" t="s">
        <v>252</v>
      </c>
      <c r="D96" s="456">
        <f>IF(Table10[[#This Row],[Current Age]]&gt;19,"Men's",IF(E96&gt;15,"U19",IF(E96&gt;13,"U15",IF(E96&gt;11,"U13",IF(E96&gt;0,"U11",0)))))</f>
        <v>0</v>
      </c>
      <c r="E96" s="456">
        <f>IFERROR(IF(Table10[[#This Row],[Year]]&gt;0,$E$1-Table10[[#This Row],[Year]],0),"")</f>
        <v>0</v>
      </c>
      <c r="F96" s="456"/>
      <c r="G96" s="456"/>
      <c r="H96" s="456"/>
    </row>
    <row r="97" spans="1:8">
      <c r="A97" s="471">
        <v>1093</v>
      </c>
      <c r="B97" s="493" t="s">
        <v>182</v>
      </c>
      <c r="C97" s="472"/>
      <c r="D97" s="456">
        <f>IF(Table10[[#This Row],[Current Age]]&gt;19,"Men's",IF(E97&gt;15,"U19",IF(E97&gt;13,"U15",IF(E97&gt;11,"U13",IF(E97&gt;0,"U11",0)))))</f>
        <v>0</v>
      </c>
      <c r="E97" s="456">
        <f>IFERROR(IF(Table10[[#This Row],[Year]]&gt;0,$E$1-Table10[[#This Row],[Year]],0),"")</f>
        <v>0</v>
      </c>
      <c r="F97" s="456"/>
      <c r="G97" s="456"/>
      <c r="H97" s="456"/>
    </row>
    <row r="98" spans="1:8">
      <c r="A98" s="456">
        <v>1094</v>
      </c>
      <c r="B98" s="469" t="s">
        <v>1386</v>
      </c>
      <c r="C98" s="458" t="s">
        <v>762</v>
      </c>
      <c r="D98" s="456">
        <f>IF(Table10[[#This Row],[Current Age]]&gt;19,"Men's",IF(E98&gt;15,"U19",IF(E98&gt;13,"U15",IF(E98&gt;11,"U13",IF(E98&gt;0,"U11",0)))))</f>
        <v>0</v>
      </c>
      <c r="E98" s="456">
        <f>IFERROR(IF(Table10[[#This Row],[Year]]&gt;0,$E$1-Table10[[#This Row],[Year]],0),"")</f>
        <v>0</v>
      </c>
      <c r="F98" s="456"/>
      <c r="G98" s="456"/>
      <c r="H98" s="456"/>
    </row>
    <row r="99" spans="1:8">
      <c r="A99" s="471">
        <v>1095</v>
      </c>
      <c r="B99" s="493" t="s">
        <v>1387</v>
      </c>
      <c r="C99" s="472" t="s">
        <v>246</v>
      </c>
      <c r="D99" s="456">
        <f>IF(Table10[[#This Row],[Current Age]]&gt;19,"Men's",IF(E99&gt;15,"U19",IF(E99&gt;13,"U15",IF(E99&gt;11,"U13",IF(E99&gt;0,"U11",0)))))</f>
        <v>0</v>
      </c>
      <c r="E99" s="456">
        <f>IFERROR(IF(Table10[[#This Row],[Year]]&gt;0,$E$1-Table10[[#This Row],[Year]],0),"")</f>
        <v>0</v>
      </c>
      <c r="F99" s="456"/>
      <c r="G99" s="456"/>
      <c r="H99" s="456"/>
    </row>
    <row r="100" spans="1:8">
      <c r="A100" s="456">
        <v>1096</v>
      </c>
      <c r="B100" s="469" t="s">
        <v>175</v>
      </c>
      <c r="C100" s="458"/>
      <c r="D100" s="456">
        <f>IF(Table10[[#This Row],[Current Age]]&gt;19,"Men's",IF(E100&gt;15,"U19",IF(E100&gt;13,"U15",IF(E100&gt;11,"U13",IF(E100&gt;0,"U11",0)))))</f>
        <v>0</v>
      </c>
      <c r="E100" s="456">
        <f>IFERROR(IF(Table10[[#This Row],[Year]]&gt;0,$E$1-Table10[[#This Row],[Year]],0),"")</f>
        <v>0</v>
      </c>
      <c r="F100" s="456"/>
      <c r="G100" s="456"/>
      <c r="H100" s="456"/>
    </row>
    <row r="101" spans="1:8">
      <c r="A101" s="471">
        <v>1097</v>
      </c>
      <c r="B101" s="493" t="s">
        <v>1388</v>
      </c>
      <c r="C101" s="472" t="s">
        <v>251</v>
      </c>
      <c r="D101" s="456" t="str">
        <f>IF(Table10[[#This Row],[Current Age]]&gt;19,"Men's",IF(E101&gt;15,"U19",IF(E101&gt;13,"U15",IF(E101&gt;11,"U13",IF(E101&gt;0,"U11",0)))))</f>
        <v>Men's</v>
      </c>
      <c r="E101" s="456">
        <f>IFERROR(IF(Table10[[#This Row],[Year]]&gt;0,$E$1-Table10[[#This Row],[Year]],0),"")</f>
        <v>36</v>
      </c>
      <c r="F101" s="456">
        <v>1989</v>
      </c>
      <c r="G101" s="456">
        <v>5</v>
      </c>
      <c r="H101" s="456">
        <v>19</v>
      </c>
    </row>
    <row r="102" spans="1:8">
      <c r="A102" s="456">
        <v>1098</v>
      </c>
      <c r="B102" s="469" t="s">
        <v>1389</v>
      </c>
      <c r="C102" s="458" t="s">
        <v>250</v>
      </c>
      <c r="D102" s="456">
        <f>IF(Table10[[#This Row],[Current Age]]&gt;19,"Men's",IF(E102&gt;15,"U19",IF(E102&gt;13,"U15",IF(E102&gt;11,"U13",IF(E102&gt;0,"U11",0)))))</f>
        <v>0</v>
      </c>
      <c r="E102" s="456">
        <f>IFERROR(IF(Table10[[#This Row],[Year]]&gt;0,$E$1-Table10[[#This Row],[Year]],0),"")</f>
        <v>0</v>
      </c>
      <c r="F102" s="456"/>
      <c r="G102" s="456"/>
      <c r="H102" s="456"/>
    </row>
    <row r="103" spans="1:8">
      <c r="A103" s="471">
        <v>1099</v>
      </c>
      <c r="B103" s="493" t="s">
        <v>184</v>
      </c>
      <c r="C103" s="491" t="s">
        <v>4552</v>
      </c>
      <c r="D103" s="456" t="str">
        <f>IF(Table10[[#This Row],[Current Age]]&gt;19,"Men's",IF(E103&gt;15,"U19",IF(E103&gt;13,"U15",IF(E103&gt;11,"U13",IF(E103&gt;0,"U11",0)))))</f>
        <v>Men's</v>
      </c>
      <c r="E103" s="456">
        <f>IFERROR(IF(Table10[[#This Row],[Year]]&gt;0,$E$1-Table10[[#This Row],[Year]],0),"")</f>
        <v>36</v>
      </c>
      <c r="F103" s="456">
        <v>1989</v>
      </c>
      <c r="G103" s="456">
        <v>7</v>
      </c>
      <c r="H103" s="456">
        <v>18</v>
      </c>
    </row>
    <row r="104" spans="1:8">
      <c r="A104" s="456">
        <v>1100</v>
      </c>
      <c r="B104" s="469" t="s">
        <v>120</v>
      </c>
      <c r="C104" s="458" t="s">
        <v>4552</v>
      </c>
      <c r="D104" s="456">
        <f>IF(Table10[[#This Row],[Current Age]]&gt;19,"Men's",IF(E104&gt;15,"U19",IF(E104&gt;13,"U15",IF(E104&gt;11,"U13",IF(E104&gt;0,"U11",0)))))</f>
        <v>0</v>
      </c>
      <c r="E104" s="456">
        <f>IFERROR(IF(Table10[[#This Row],[Year]]&gt;0,$E$1-Table10[[#This Row],[Year]],0),"")</f>
        <v>0</v>
      </c>
      <c r="F104" s="456"/>
      <c r="G104" s="456"/>
      <c r="H104" s="456"/>
    </row>
    <row r="105" spans="1:8">
      <c r="A105" s="471">
        <v>1101</v>
      </c>
      <c r="B105" s="493" t="s">
        <v>181</v>
      </c>
      <c r="C105" s="472"/>
      <c r="D105" s="456">
        <f>IF(Table10[[#This Row],[Current Age]]&gt;19,"Men's",IF(E105&gt;15,"U19",IF(E105&gt;13,"U15",IF(E105&gt;11,"U13",IF(E105&gt;0,"U11",0)))))</f>
        <v>0</v>
      </c>
      <c r="E105" s="456">
        <f>IFERROR(IF(Table10[[#This Row],[Year]]&gt;0,$E$1-Table10[[#This Row],[Year]],0),"")</f>
        <v>0</v>
      </c>
      <c r="F105" s="456"/>
      <c r="G105" s="456"/>
      <c r="H105" s="456"/>
    </row>
    <row r="106" spans="1:8">
      <c r="A106" s="456">
        <v>1102</v>
      </c>
      <c r="B106" s="469" t="s">
        <v>1390</v>
      </c>
      <c r="C106" s="458" t="s">
        <v>4552</v>
      </c>
      <c r="D106" s="456" t="str">
        <f>IF(Table10[[#This Row],[Current Age]]&gt;19,"Men's",IF(E106&gt;15,"U19",IF(E106&gt;13,"U15",IF(E106&gt;11,"U13",IF(E106&gt;0,"U11",0)))))</f>
        <v>Men's</v>
      </c>
      <c r="E106" s="456">
        <f>IFERROR(IF(Table10[[#This Row],[Year]]&gt;0,$E$1-Table10[[#This Row],[Year]],0),"")</f>
        <v>26</v>
      </c>
      <c r="F106" s="456">
        <v>1999</v>
      </c>
      <c r="G106" s="456">
        <v>12</v>
      </c>
      <c r="H106" s="456">
        <v>20</v>
      </c>
    </row>
    <row r="107" spans="1:8">
      <c r="A107" s="471">
        <v>1103</v>
      </c>
      <c r="B107" s="493" t="s">
        <v>1391</v>
      </c>
      <c r="C107" s="472" t="s">
        <v>361</v>
      </c>
      <c r="D107" s="456">
        <f>IF(Table10[[#This Row],[Current Age]]&gt;19,"Men's",IF(E107&gt;15,"U19",IF(E107&gt;13,"U15",IF(E107&gt;11,"U13",IF(E107&gt;0,"U11",0)))))</f>
        <v>0</v>
      </c>
      <c r="E107" s="456">
        <f>IFERROR(IF(Table10[[#This Row],[Year]]&gt;0,$E$1-Table10[[#This Row],[Year]],0),"")</f>
        <v>0</v>
      </c>
      <c r="F107" s="456"/>
      <c r="G107" s="456"/>
      <c r="H107" s="456"/>
    </row>
    <row r="108" spans="1:8">
      <c r="A108" s="456">
        <v>1104</v>
      </c>
      <c r="B108" s="469" t="s">
        <v>1392</v>
      </c>
      <c r="C108" s="458" t="s">
        <v>243</v>
      </c>
      <c r="D108" s="456">
        <f>IF(Table10[[#This Row],[Current Age]]&gt;19,"Men's",IF(E108&gt;15,"U19",IF(E108&gt;13,"U15",IF(E108&gt;11,"U13",IF(E108&gt;0,"U11",0)))))</f>
        <v>0</v>
      </c>
      <c r="E108" s="456">
        <f>IFERROR(IF(Table10[[#This Row],[Year]]&gt;0,$E$1-Table10[[#This Row],[Year]],0),"")</f>
        <v>0</v>
      </c>
      <c r="F108" s="456"/>
      <c r="G108" s="456"/>
      <c r="H108" s="456"/>
    </row>
    <row r="109" spans="1:8">
      <c r="A109" s="471">
        <v>1105</v>
      </c>
      <c r="B109" s="493" t="s">
        <v>1393</v>
      </c>
      <c r="C109" s="472" t="s">
        <v>4552</v>
      </c>
      <c r="D109" s="456">
        <f>IF(Table10[[#This Row],[Current Age]]&gt;19,"Men's",IF(E109&gt;15,"U19",IF(E109&gt;13,"U15",IF(E109&gt;11,"U13",IF(E109&gt;0,"U11",0)))))</f>
        <v>0</v>
      </c>
      <c r="E109" s="456">
        <f>IFERROR(IF(Table10[[#This Row],[Year]]&gt;0,$E$1-Table10[[#This Row],[Year]],0),"")</f>
        <v>0</v>
      </c>
      <c r="F109" s="456"/>
      <c r="G109" s="456"/>
      <c r="H109" s="456"/>
    </row>
    <row r="110" spans="1:8">
      <c r="A110" s="456">
        <v>1106</v>
      </c>
      <c r="B110" s="469" t="s">
        <v>1394</v>
      </c>
      <c r="C110" s="458" t="s">
        <v>246</v>
      </c>
      <c r="D110" s="456">
        <f>IF(Table10[[#This Row],[Current Age]]&gt;19,"Men's",IF(E110&gt;15,"U19",IF(E110&gt;13,"U15",IF(E110&gt;11,"U13",IF(E110&gt;0,"U11",0)))))</f>
        <v>0</v>
      </c>
      <c r="E110" s="456">
        <f>IFERROR(IF(Table10[[#This Row],[Year]]&gt;0,$E$1-Table10[[#This Row],[Year]],0),"")</f>
        <v>0</v>
      </c>
      <c r="F110" s="456"/>
      <c r="G110" s="456"/>
      <c r="H110" s="456"/>
    </row>
    <row r="111" spans="1:8">
      <c r="A111" s="471">
        <v>1107</v>
      </c>
      <c r="B111" s="493" t="s">
        <v>180</v>
      </c>
      <c r="C111" s="472"/>
      <c r="D111" s="456">
        <f>IF(Table10[[#This Row],[Current Age]]&gt;19,"Men's",IF(E111&gt;15,"U19",IF(E111&gt;13,"U15",IF(E111&gt;11,"U13",IF(E111&gt;0,"U11",0)))))</f>
        <v>0</v>
      </c>
      <c r="E111" s="456">
        <f>IFERROR(IF(Table10[[#This Row],[Year]]&gt;0,$E$1-Table10[[#This Row],[Year]],0),"")</f>
        <v>0</v>
      </c>
      <c r="F111" s="456"/>
      <c r="G111" s="456"/>
      <c r="H111" s="456"/>
    </row>
    <row r="112" spans="1:8">
      <c r="A112" s="456">
        <v>1108</v>
      </c>
      <c r="B112" s="469" t="s">
        <v>1395</v>
      </c>
      <c r="C112" s="458" t="s">
        <v>4720</v>
      </c>
      <c r="D112" s="456">
        <f>IF(Table10[[#This Row],[Current Age]]&gt;19,"Men's",IF(E112&gt;15,"U19",IF(E112&gt;13,"U15",IF(E112&gt;11,"U13",IF(E112&gt;0,"U11",0)))))</f>
        <v>0</v>
      </c>
      <c r="E112" s="456">
        <f>IFERROR(IF(Table10[[#This Row],[Year]]&gt;0,$E$1-Table10[[#This Row],[Year]],0),"")</f>
        <v>0</v>
      </c>
      <c r="F112" s="456"/>
      <c r="G112" s="456"/>
      <c r="H112" s="456"/>
    </row>
    <row r="113" spans="1:8">
      <c r="A113" s="471">
        <v>1109</v>
      </c>
      <c r="B113" s="493" t="s">
        <v>1396</v>
      </c>
      <c r="C113" s="472" t="s">
        <v>243</v>
      </c>
      <c r="D113" s="456">
        <f>IF(Table10[[#This Row],[Current Age]]&gt;19,"Men's",IF(E113&gt;15,"U19",IF(E113&gt;13,"U15",IF(E113&gt;11,"U13",IF(E113&gt;0,"U11",0)))))</f>
        <v>0</v>
      </c>
      <c r="E113" s="456">
        <f>IFERROR(IF(Table10[[#This Row],[Year]]&gt;0,$E$1-Table10[[#This Row],[Year]],0),"")</f>
        <v>0</v>
      </c>
      <c r="F113" s="456"/>
      <c r="G113" s="456"/>
      <c r="H113" s="456"/>
    </row>
    <row r="114" spans="1:8">
      <c r="A114" s="456">
        <v>1110</v>
      </c>
      <c r="B114" s="469" t="s">
        <v>176</v>
      </c>
      <c r="C114" s="458"/>
      <c r="D114" s="456">
        <f>IF(Table10[[#This Row],[Current Age]]&gt;19,"Men's",IF(E114&gt;15,"U19",IF(E114&gt;13,"U15",IF(E114&gt;11,"U13",IF(E114&gt;0,"U11",0)))))</f>
        <v>0</v>
      </c>
      <c r="E114" s="456">
        <f>IFERROR(IF(Table10[[#This Row],[Year]]&gt;0,$E$1-Table10[[#This Row],[Year]],0),"")</f>
        <v>0</v>
      </c>
      <c r="F114" s="456"/>
      <c r="G114" s="456"/>
      <c r="H114" s="456"/>
    </row>
    <row r="115" spans="1:8">
      <c r="A115" s="471">
        <v>1111</v>
      </c>
      <c r="B115" s="493" t="s">
        <v>179</v>
      </c>
      <c r="C115" s="472"/>
      <c r="D115" s="456">
        <f>IF(Table10[[#This Row],[Current Age]]&gt;19,"Men's",IF(E115&gt;15,"U19",IF(E115&gt;13,"U15",IF(E115&gt;11,"U13",IF(E115&gt;0,"U11",0)))))</f>
        <v>0</v>
      </c>
      <c r="E115" s="456">
        <f>IFERROR(IF(Table10[[#This Row],[Year]]&gt;0,$E$1-Table10[[#This Row],[Year]],0),"")</f>
        <v>0</v>
      </c>
      <c r="F115" s="456"/>
      <c r="G115" s="456"/>
      <c r="H115" s="456"/>
    </row>
    <row r="116" spans="1:8">
      <c r="A116" s="456">
        <v>1112</v>
      </c>
      <c r="B116" s="469" t="s">
        <v>1397</v>
      </c>
      <c r="C116" s="458" t="s">
        <v>250</v>
      </c>
      <c r="D116" s="456">
        <f>IF(Table10[[#This Row],[Current Age]]&gt;19,"Men's",IF(E116&gt;15,"U19",IF(E116&gt;13,"U15",IF(E116&gt;11,"U13",IF(E116&gt;0,"U11",0)))))</f>
        <v>0</v>
      </c>
      <c r="E116" s="456">
        <f>IFERROR(IF(Table10[[#This Row],[Year]]&gt;0,$E$1-Table10[[#This Row],[Year]],0),"")</f>
        <v>0</v>
      </c>
      <c r="F116" s="456"/>
      <c r="G116" s="456"/>
      <c r="H116" s="456"/>
    </row>
    <row r="117" spans="1:8">
      <c r="A117" s="471">
        <v>1113</v>
      </c>
      <c r="B117" s="493" t="s">
        <v>178</v>
      </c>
      <c r="C117" s="472"/>
      <c r="D117" s="456">
        <f>IF(Table10[[#This Row],[Current Age]]&gt;19,"Men's",IF(E117&gt;15,"U19",IF(E117&gt;13,"U15",IF(E117&gt;11,"U13",IF(E117&gt;0,"U11",0)))))</f>
        <v>0</v>
      </c>
      <c r="E117" s="456">
        <f>IFERROR(IF(Table10[[#This Row],[Year]]&gt;0,$E$1-Table10[[#This Row],[Year]],0),"")</f>
        <v>0</v>
      </c>
      <c r="F117" s="456"/>
      <c r="G117" s="456"/>
      <c r="H117" s="456"/>
    </row>
    <row r="118" spans="1:8">
      <c r="A118" s="456">
        <v>1114</v>
      </c>
      <c r="B118" s="469" t="s">
        <v>177</v>
      </c>
      <c r="C118" s="458"/>
      <c r="D118" s="456">
        <f>IF(Table10[[#This Row],[Current Age]]&gt;19,"Men's",IF(E118&gt;15,"U19",IF(E118&gt;13,"U15",IF(E118&gt;11,"U13",IF(E118&gt;0,"U11",0)))))</f>
        <v>0</v>
      </c>
      <c r="E118" s="456">
        <f>IFERROR(IF(Table10[[#This Row],[Year]]&gt;0,$E$1-Table10[[#This Row],[Year]],0),"")</f>
        <v>0</v>
      </c>
      <c r="F118" s="456"/>
      <c r="G118" s="456"/>
      <c r="H118" s="456"/>
    </row>
    <row r="119" spans="1:8">
      <c r="A119" s="471">
        <v>1115</v>
      </c>
      <c r="B119" s="493" t="s">
        <v>134</v>
      </c>
      <c r="C119" s="472"/>
      <c r="D119" s="456">
        <f>IF(Table10[[#This Row],[Current Age]]&gt;19,"Men's",IF(E119&gt;15,"U19",IF(E119&gt;13,"U15",IF(E119&gt;11,"U13",IF(E119&gt;0,"U11",0)))))</f>
        <v>0</v>
      </c>
      <c r="E119" s="456">
        <f>IFERROR(IF(Table10[[#This Row],[Year]]&gt;0,$E$1-Table10[[#This Row],[Year]],0),"")</f>
        <v>0</v>
      </c>
      <c r="F119" s="456"/>
      <c r="G119" s="456"/>
      <c r="H119" s="456"/>
    </row>
    <row r="120" spans="1:8">
      <c r="A120" s="456">
        <v>1116</v>
      </c>
      <c r="B120" s="469" t="s">
        <v>1398</v>
      </c>
      <c r="C120" s="458" t="s">
        <v>248</v>
      </c>
      <c r="D120" s="456">
        <f>IF(Table10[[#This Row],[Current Age]]&gt;19,"Men's",IF(E120&gt;15,"U19",IF(E120&gt;13,"U15",IF(E120&gt;11,"U13",IF(E120&gt;0,"U11",0)))))</f>
        <v>0</v>
      </c>
      <c r="E120" s="456">
        <f>IFERROR(IF(Table10[[#This Row],[Year]]&gt;0,$E$1-Table10[[#This Row],[Year]],0),"")</f>
        <v>0</v>
      </c>
      <c r="F120" s="456"/>
      <c r="G120" s="456"/>
      <c r="H120" s="456"/>
    </row>
    <row r="121" spans="1:8">
      <c r="A121" s="471">
        <v>1117</v>
      </c>
      <c r="B121" s="493" t="s">
        <v>1399</v>
      </c>
      <c r="C121" s="472" t="s">
        <v>361</v>
      </c>
      <c r="D121" s="456" t="str">
        <f>IF(Table10[[#This Row],[Current Age]]&gt;19,"Men's",IF(E121&gt;15,"U19",IF(E121&gt;13,"U15",IF(E121&gt;11,"U13",IF(E121&gt;0,"U11",0)))))</f>
        <v>Men's</v>
      </c>
      <c r="E121" s="456">
        <f>IFERROR(IF(Table10[[#This Row],[Year]]&gt;0,$E$1-Table10[[#This Row],[Year]],0),"")</f>
        <v>67</v>
      </c>
      <c r="F121" s="456">
        <v>1958</v>
      </c>
      <c r="G121" s="456">
        <v>12</v>
      </c>
      <c r="H121" s="456">
        <v>2</v>
      </c>
    </row>
    <row r="122" spans="1:8">
      <c r="A122" s="456">
        <v>1118</v>
      </c>
      <c r="B122" s="469" t="s">
        <v>141</v>
      </c>
      <c r="C122" s="458"/>
      <c r="D122" s="456">
        <f>IF(Table10[[#This Row],[Current Age]]&gt;19,"Men's",IF(E122&gt;15,"U19",IF(E122&gt;13,"U15",IF(E122&gt;11,"U13",IF(E122&gt;0,"U11",0)))))</f>
        <v>0</v>
      </c>
      <c r="E122" s="456">
        <f>IFERROR(IF(Table10[[#This Row],[Year]]&gt;0,$E$1-Table10[[#This Row],[Year]],0),"")</f>
        <v>0</v>
      </c>
      <c r="F122" s="456"/>
      <c r="G122" s="456"/>
      <c r="H122" s="456"/>
    </row>
    <row r="123" spans="1:8">
      <c r="A123" s="471">
        <v>1119</v>
      </c>
      <c r="B123" s="493" t="s">
        <v>187</v>
      </c>
      <c r="C123" s="472" t="s">
        <v>4720</v>
      </c>
      <c r="D123" s="456">
        <f>IF(Table10[[#This Row],[Current Age]]&gt;19,"Men's",IF(E123&gt;15,"U19",IF(E123&gt;13,"U15",IF(E123&gt;11,"U13",IF(E123&gt;0,"U11",0)))))</f>
        <v>0</v>
      </c>
      <c r="E123" s="456">
        <f>IFERROR(IF(Table10[[#This Row],[Year]]&gt;0,$E$1-Table10[[#This Row],[Year]],0),"")</f>
        <v>0</v>
      </c>
      <c r="F123" s="456"/>
      <c r="G123" s="456"/>
      <c r="H123" s="456"/>
    </row>
    <row r="124" spans="1:8">
      <c r="A124" s="456">
        <v>1120</v>
      </c>
      <c r="B124" s="469" t="s">
        <v>1400</v>
      </c>
      <c r="C124" s="458" t="s">
        <v>361</v>
      </c>
      <c r="D124" s="456" t="str">
        <f>IF(Table10[[#This Row],[Current Age]]&gt;19,"Men's",IF(E124&gt;15,"U19",IF(E124&gt;13,"U15",IF(E124&gt;11,"U13",IF(E124&gt;0,"U11",0)))))</f>
        <v>Men's</v>
      </c>
      <c r="E124" s="456">
        <f>IFERROR(IF(Table10[[#This Row],[Year]]&gt;0,$E$1-Table10[[#This Row],[Year]],0),"")</f>
        <v>39</v>
      </c>
      <c r="F124" s="456">
        <v>1986</v>
      </c>
      <c r="G124" s="456">
        <v>2</v>
      </c>
      <c r="H124" s="456">
        <v>16</v>
      </c>
    </row>
    <row r="125" spans="1:8">
      <c r="A125" s="471">
        <v>1121</v>
      </c>
      <c r="B125" s="493" t="s">
        <v>132</v>
      </c>
      <c r="C125" s="472"/>
      <c r="D125" s="456">
        <f>IF(Table10[[#This Row],[Current Age]]&gt;19,"Men's",IF(E125&gt;15,"U19",IF(E125&gt;13,"U15",IF(E125&gt;11,"U13",IF(E125&gt;0,"U11",0)))))</f>
        <v>0</v>
      </c>
      <c r="E125" s="456">
        <f>IFERROR(IF(Table10[[#This Row],[Year]]&gt;0,$E$1-Table10[[#This Row],[Year]],0),"")</f>
        <v>0</v>
      </c>
      <c r="F125" s="456"/>
      <c r="G125" s="456"/>
      <c r="H125" s="456"/>
    </row>
    <row r="126" spans="1:8">
      <c r="A126" s="456">
        <v>1122</v>
      </c>
      <c r="B126" s="469" t="s">
        <v>3288</v>
      </c>
      <c r="C126" s="458" t="s">
        <v>3287</v>
      </c>
      <c r="D126" s="456">
        <f>IF(Table10[[#This Row],[Current Age]]&gt;19,"Men's",IF(E126&gt;15,"U19",IF(E126&gt;13,"U15",IF(E126&gt;11,"U13",IF(E126&gt;0,"U11",0)))))</f>
        <v>0</v>
      </c>
      <c r="E126" s="456">
        <f>IFERROR(IF(Table10[[#This Row],[Year]]&gt;0,$E$1-Table10[[#This Row],[Year]],0),"")</f>
        <v>0</v>
      </c>
      <c r="F126" s="456"/>
      <c r="G126" s="456"/>
      <c r="H126" s="456"/>
    </row>
    <row r="127" spans="1:8">
      <c r="A127" s="471">
        <v>1123</v>
      </c>
      <c r="B127" s="493" t="s">
        <v>1401</v>
      </c>
      <c r="C127" s="472" t="s">
        <v>361</v>
      </c>
      <c r="D127" s="456">
        <f>IF(Table10[[#This Row],[Current Age]]&gt;19,"Men's",IF(E127&gt;15,"U19",IF(E127&gt;13,"U15",IF(E127&gt;11,"U13",IF(E127&gt;0,"U11",0)))))</f>
        <v>0</v>
      </c>
      <c r="E127" s="456">
        <f>IFERROR(IF(Table10[[#This Row],[Year]]&gt;0,$E$1-Table10[[#This Row],[Year]],0),"")</f>
        <v>0</v>
      </c>
      <c r="F127" s="456"/>
      <c r="G127" s="456"/>
      <c r="H127" s="456"/>
    </row>
    <row r="128" spans="1:8">
      <c r="A128" s="456">
        <v>1124</v>
      </c>
      <c r="B128" s="469" t="s">
        <v>1402</v>
      </c>
      <c r="C128" s="458" t="s">
        <v>361</v>
      </c>
      <c r="D128" s="456" t="str">
        <f>IF(Table10[[#This Row],[Current Age]]&gt;19,"Men's",IF(E128&gt;15,"U19",IF(E128&gt;13,"U15",IF(E128&gt;11,"U13",IF(E128&gt;0,"U11",0)))))</f>
        <v>Men's</v>
      </c>
      <c r="E128" s="456">
        <f>IFERROR(IF(Table10[[#This Row],[Year]]&gt;0,$E$1-Table10[[#This Row],[Year]],0),"")</f>
        <v>46</v>
      </c>
      <c r="F128" s="456">
        <v>1979</v>
      </c>
      <c r="G128" s="456">
        <v>6</v>
      </c>
      <c r="H128" s="456">
        <v>3</v>
      </c>
    </row>
    <row r="129" spans="1:8">
      <c r="A129" s="471">
        <v>1125</v>
      </c>
      <c r="B129" s="493" t="s">
        <v>1403</v>
      </c>
      <c r="C129" s="472" t="s">
        <v>361</v>
      </c>
      <c r="D129" s="456">
        <f>IF(Table10[[#This Row],[Current Age]]&gt;19,"Men's",IF(E129&gt;15,"U19",IF(E129&gt;13,"U15",IF(E129&gt;11,"U13",IF(E129&gt;0,"U11",0)))))</f>
        <v>0</v>
      </c>
      <c r="E129" s="456">
        <f>IFERROR(IF(Table10[[#This Row],[Year]]&gt;0,$E$1-Table10[[#This Row],[Year]],0),"")</f>
        <v>0</v>
      </c>
      <c r="F129" s="456"/>
      <c r="G129" s="456"/>
      <c r="H129" s="456"/>
    </row>
    <row r="130" spans="1:8">
      <c r="A130" s="456">
        <v>1126</v>
      </c>
      <c r="B130" s="469" t="s">
        <v>123</v>
      </c>
      <c r="C130" s="458"/>
      <c r="D130" s="456">
        <f>IF(Table10[[#This Row],[Current Age]]&gt;19,"Men's",IF(E130&gt;15,"U19",IF(E130&gt;13,"U15",IF(E130&gt;11,"U13",IF(E130&gt;0,"U11",0)))))</f>
        <v>0</v>
      </c>
      <c r="E130" s="456">
        <f>IFERROR(IF(Table10[[#This Row],[Year]]&gt;0,$E$1-Table10[[#This Row],[Year]],0),"")</f>
        <v>0</v>
      </c>
      <c r="F130" s="456"/>
      <c r="G130" s="456"/>
      <c r="H130" s="456"/>
    </row>
    <row r="131" spans="1:8">
      <c r="A131" s="471">
        <v>1127</v>
      </c>
      <c r="B131" s="493" t="s">
        <v>136</v>
      </c>
      <c r="C131" s="472"/>
      <c r="D131" s="456">
        <f>IF(Table10[[#This Row],[Current Age]]&gt;19,"Men's",IF(E131&gt;15,"U19",IF(E131&gt;13,"U15",IF(E131&gt;11,"U13",IF(E131&gt;0,"U11",0)))))</f>
        <v>0</v>
      </c>
      <c r="E131" s="456">
        <f>IFERROR(IF(Table10[[#This Row],[Year]]&gt;0,$E$1-Table10[[#This Row],[Year]],0),"")</f>
        <v>0</v>
      </c>
      <c r="F131" s="456"/>
      <c r="G131" s="456"/>
      <c r="H131" s="456"/>
    </row>
    <row r="132" spans="1:8">
      <c r="A132" s="456">
        <v>1128</v>
      </c>
      <c r="B132" s="469" t="s">
        <v>130</v>
      </c>
      <c r="C132" s="458"/>
      <c r="D132" s="456">
        <f>IF(Table10[[#This Row],[Current Age]]&gt;19,"Men's",IF(E132&gt;15,"U19",IF(E132&gt;13,"U15",IF(E132&gt;11,"U13",IF(E132&gt;0,"U11",0)))))</f>
        <v>0</v>
      </c>
      <c r="E132" s="456">
        <f>IFERROR(IF(Table10[[#This Row],[Year]]&gt;0,$E$1-Table10[[#This Row],[Year]],0),"")</f>
        <v>0</v>
      </c>
      <c r="F132" s="456"/>
      <c r="G132" s="456"/>
      <c r="H132" s="456"/>
    </row>
    <row r="133" spans="1:8">
      <c r="A133" s="471">
        <v>1129</v>
      </c>
      <c r="B133" s="493" t="s">
        <v>1404</v>
      </c>
      <c r="C133" s="472" t="s">
        <v>4552</v>
      </c>
      <c r="D133" s="456" t="str">
        <f>IF(Table10[[#This Row],[Current Age]]&gt;19,"Men's",IF(E133&gt;15,"U19",IF(E133&gt;13,"U15",IF(E133&gt;11,"U13",IF(E133&gt;0,"U11",0)))))</f>
        <v>Men's</v>
      </c>
      <c r="E133" s="456">
        <f>IFERROR(IF(Table10[[#This Row],[Year]]&gt;0,$E$1-Table10[[#This Row],[Year]],0),"")</f>
        <v>25</v>
      </c>
      <c r="F133" s="456">
        <v>2000</v>
      </c>
      <c r="G133" s="456">
        <v>4</v>
      </c>
      <c r="H133" s="456">
        <v>4</v>
      </c>
    </row>
    <row r="134" spans="1:8">
      <c r="A134" s="456">
        <v>1130</v>
      </c>
      <c r="B134" s="469" t="s">
        <v>1405</v>
      </c>
      <c r="C134" s="458" t="s">
        <v>244</v>
      </c>
      <c r="D134" s="456">
        <f>IF(Table10[[#This Row],[Current Age]]&gt;19,"Men's",IF(E134&gt;15,"U19",IF(E134&gt;13,"U15",IF(E134&gt;11,"U13",IF(E134&gt;0,"U11",0)))))</f>
        <v>0</v>
      </c>
      <c r="E134" s="456">
        <f>IFERROR(IF(Table10[[#This Row],[Year]]&gt;0,$E$1-Table10[[#This Row],[Year]],0),"")</f>
        <v>0</v>
      </c>
      <c r="F134" s="456"/>
      <c r="G134" s="456"/>
      <c r="H134" s="456"/>
    </row>
    <row r="135" spans="1:8">
      <c r="A135" s="471">
        <v>1131</v>
      </c>
      <c r="B135" s="493" t="s">
        <v>145</v>
      </c>
      <c r="C135" s="472"/>
      <c r="D135" s="456">
        <f>IF(Table10[[#This Row],[Current Age]]&gt;19,"Men's",IF(E135&gt;15,"U19",IF(E135&gt;13,"U15",IF(E135&gt;11,"U13",IF(E135&gt;0,"U11",0)))))</f>
        <v>0</v>
      </c>
      <c r="E135" s="456">
        <f>IFERROR(IF(Table10[[#This Row],[Year]]&gt;0,$E$1-Table10[[#This Row],[Year]],0),"")</f>
        <v>0</v>
      </c>
      <c r="F135" s="456"/>
      <c r="G135" s="456"/>
      <c r="H135" s="456"/>
    </row>
    <row r="136" spans="1:8">
      <c r="A136" s="456">
        <v>1132</v>
      </c>
      <c r="B136" s="469" t="s">
        <v>1406</v>
      </c>
      <c r="C136" s="458" t="s">
        <v>251</v>
      </c>
      <c r="D136" s="456">
        <f>IF(Table10[[#This Row],[Current Age]]&gt;19,"Men's",IF(E136&gt;15,"U19",IF(E136&gt;13,"U15",IF(E136&gt;11,"U13",IF(E136&gt;0,"U11",0)))))</f>
        <v>0</v>
      </c>
      <c r="E136" s="456">
        <f>IFERROR(IF(Table10[[#This Row],[Year]]&gt;0,$E$1-Table10[[#This Row],[Year]],0),"")</f>
        <v>0</v>
      </c>
      <c r="F136" s="456"/>
      <c r="G136" s="456"/>
      <c r="H136" s="456"/>
    </row>
    <row r="137" spans="1:8">
      <c r="A137" s="471">
        <v>1133</v>
      </c>
      <c r="B137" s="493" t="s">
        <v>133</v>
      </c>
      <c r="C137" s="472" t="s">
        <v>4720</v>
      </c>
      <c r="D137" s="456">
        <f>IF(Table10[[#This Row],[Current Age]]&gt;19,"Men's",IF(E137&gt;15,"U19",IF(E137&gt;13,"U15",IF(E137&gt;11,"U13",IF(E137&gt;0,"U11",0)))))</f>
        <v>0</v>
      </c>
      <c r="E137" s="456">
        <f>IFERROR(IF(Table10[[#This Row],[Year]]&gt;0,$E$1-Table10[[#This Row],[Year]],0),"")</f>
        <v>0</v>
      </c>
      <c r="F137" s="456"/>
      <c r="G137" s="456"/>
      <c r="H137" s="456"/>
    </row>
    <row r="138" spans="1:8">
      <c r="A138" s="456">
        <v>1134</v>
      </c>
      <c r="B138" s="469" t="s">
        <v>129</v>
      </c>
      <c r="C138" s="458"/>
      <c r="D138" s="456">
        <f>IF(Table10[[#This Row],[Current Age]]&gt;19,"Men's",IF(E138&gt;15,"U19",IF(E138&gt;13,"U15",IF(E138&gt;11,"U13",IF(E138&gt;0,"U11",0)))))</f>
        <v>0</v>
      </c>
      <c r="E138" s="456">
        <f>IFERROR(IF(Table10[[#This Row],[Year]]&gt;0,$E$1-Table10[[#This Row],[Year]],0),"")</f>
        <v>0</v>
      </c>
      <c r="F138" s="456"/>
      <c r="G138" s="456"/>
      <c r="H138" s="456"/>
    </row>
    <row r="139" spans="1:8">
      <c r="A139" s="471">
        <v>1135</v>
      </c>
      <c r="B139" s="493" t="s">
        <v>137</v>
      </c>
      <c r="C139" s="472"/>
      <c r="D139" s="456">
        <f>IF(Table10[[#This Row],[Current Age]]&gt;19,"Men's",IF(E139&gt;15,"U19",IF(E139&gt;13,"U15",IF(E139&gt;11,"U13",IF(E139&gt;0,"U11",0)))))</f>
        <v>0</v>
      </c>
      <c r="E139" s="456">
        <f>IFERROR(IF(Table10[[#This Row],[Year]]&gt;0,$E$1-Table10[[#This Row],[Year]],0),"")</f>
        <v>0</v>
      </c>
      <c r="F139" s="456"/>
      <c r="G139" s="456"/>
      <c r="H139" s="456"/>
    </row>
    <row r="140" spans="1:8">
      <c r="A140" s="456">
        <v>1136</v>
      </c>
      <c r="B140" s="469" t="s">
        <v>125</v>
      </c>
      <c r="C140" s="458"/>
      <c r="D140" s="456">
        <f>IF(Table10[[#This Row],[Current Age]]&gt;19,"Men's",IF(E140&gt;15,"U19",IF(E140&gt;13,"U15",IF(E140&gt;11,"U13",IF(E140&gt;0,"U11",0)))))</f>
        <v>0</v>
      </c>
      <c r="E140" s="456">
        <f>IFERROR(IF(Table10[[#This Row],[Year]]&gt;0,$E$1-Table10[[#This Row],[Year]],0),"")</f>
        <v>0</v>
      </c>
      <c r="F140" s="456"/>
      <c r="G140" s="456"/>
      <c r="H140" s="456"/>
    </row>
    <row r="141" spans="1:8">
      <c r="A141" s="471">
        <v>1137</v>
      </c>
      <c r="B141" s="493" t="s">
        <v>1407</v>
      </c>
      <c r="C141" s="472" t="s">
        <v>361</v>
      </c>
      <c r="D141" s="456">
        <f>IF(Table10[[#This Row],[Current Age]]&gt;19,"Men's",IF(E141&gt;15,"U19",IF(E141&gt;13,"U15",IF(E141&gt;11,"U13",IF(E141&gt;0,"U11",0)))))</f>
        <v>0</v>
      </c>
      <c r="E141" s="456">
        <f>IFERROR(IF(Table10[[#This Row],[Year]]&gt;0,$E$1-Table10[[#This Row],[Year]],0),"")</f>
        <v>0</v>
      </c>
      <c r="F141" s="456"/>
      <c r="G141" s="456"/>
      <c r="H141" s="456"/>
    </row>
    <row r="142" spans="1:8">
      <c r="A142" s="456">
        <v>1138</v>
      </c>
      <c r="B142" s="469" t="s">
        <v>139</v>
      </c>
      <c r="C142" s="458" t="s">
        <v>246</v>
      </c>
      <c r="D142" s="456">
        <f>IF(Table10[[#This Row],[Current Age]]&gt;19,"Men's",IF(E142&gt;15,"U19",IF(E142&gt;13,"U15",IF(E142&gt;11,"U13",IF(E142&gt;0,"U11",0)))))</f>
        <v>0</v>
      </c>
      <c r="E142" s="456">
        <f>IFERROR(IF(Table10[[#This Row],[Year]]&gt;0,$E$1-Table10[[#This Row],[Year]],0),"")</f>
        <v>0</v>
      </c>
      <c r="F142" s="456"/>
      <c r="G142" s="456"/>
      <c r="H142" s="456"/>
    </row>
    <row r="143" spans="1:8">
      <c r="A143" s="471">
        <v>1139</v>
      </c>
      <c r="B143" s="493" t="s">
        <v>135</v>
      </c>
      <c r="C143" s="472"/>
      <c r="D143" s="456">
        <f>IF(Table10[[#This Row],[Current Age]]&gt;19,"Men's",IF(E143&gt;15,"U19",IF(E143&gt;13,"U15",IF(E143&gt;11,"U13",IF(E143&gt;0,"U11",0)))))</f>
        <v>0</v>
      </c>
      <c r="E143" s="456">
        <f>IFERROR(IF(Table10[[#This Row],[Year]]&gt;0,$E$1-Table10[[#This Row],[Year]],0),"")</f>
        <v>0</v>
      </c>
      <c r="F143" s="456"/>
      <c r="G143" s="456"/>
      <c r="H143" s="456"/>
    </row>
    <row r="144" spans="1:8">
      <c r="A144" s="456">
        <v>1140</v>
      </c>
      <c r="B144" s="469" t="s">
        <v>127</v>
      </c>
      <c r="C144" s="458"/>
      <c r="D144" s="456">
        <f>IF(Table10[[#This Row],[Current Age]]&gt;19,"Men's",IF(E144&gt;15,"U19",IF(E144&gt;13,"U15",IF(E144&gt;11,"U13",IF(E144&gt;0,"U11",0)))))</f>
        <v>0</v>
      </c>
      <c r="E144" s="456">
        <f>IFERROR(IF(Table10[[#This Row],[Year]]&gt;0,$E$1-Table10[[#This Row],[Year]],0),"")</f>
        <v>0</v>
      </c>
      <c r="F144" s="456"/>
      <c r="G144" s="456"/>
      <c r="H144" s="456"/>
    </row>
    <row r="145" spans="1:8">
      <c r="A145" s="471">
        <v>1141</v>
      </c>
      <c r="B145" s="493" t="s">
        <v>131</v>
      </c>
      <c r="C145" s="472"/>
      <c r="D145" s="456">
        <f>IF(Table10[[#This Row],[Current Age]]&gt;19,"Men's",IF(E145&gt;15,"U19",IF(E145&gt;13,"U15",IF(E145&gt;11,"U13",IF(E145&gt;0,"U11",0)))))</f>
        <v>0</v>
      </c>
      <c r="E145" s="456">
        <f>IFERROR(IF(Table10[[#This Row],[Year]]&gt;0,$E$1-Table10[[#This Row],[Year]],0),"")</f>
        <v>0</v>
      </c>
      <c r="F145" s="456"/>
      <c r="G145" s="456"/>
      <c r="H145" s="456"/>
    </row>
    <row r="146" spans="1:8">
      <c r="A146" s="456">
        <v>1142</v>
      </c>
      <c r="B146" s="469" t="s">
        <v>1909</v>
      </c>
      <c r="C146" s="458" t="s">
        <v>361</v>
      </c>
      <c r="D146" s="456">
        <f>IF(Table10[[#This Row],[Current Age]]&gt;19,"Men's",IF(E146&gt;15,"U19",IF(E146&gt;13,"U15",IF(E146&gt;11,"U13",IF(E146&gt;0,"U11",0)))))</f>
        <v>0</v>
      </c>
      <c r="E146" s="456">
        <f>IFERROR(IF(Table10[[#This Row],[Year]]&gt;0,$E$1-Table10[[#This Row],[Year]],0),"")</f>
        <v>0</v>
      </c>
      <c r="F146" s="456"/>
      <c r="G146" s="456"/>
      <c r="H146" s="456"/>
    </row>
    <row r="147" spans="1:8">
      <c r="A147" s="471">
        <v>1143</v>
      </c>
      <c r="B147" s="493" t="s">
        <v>126</v>
      </c>
      <c r="C147" s="472"/>
      <c r="D147" s="456">
        <f>IF(Table10[[#This Row],[Current Age]]&gt;19,"Men's",IF(E147&gt;15,"U19",IF(E147&gt;13,"U15",IF(E147&gt;11,"U13",IF(E147&gt;0,"U11",0)))))</f>
        <v>0</v>
      </c>
      <c r="E147" s="456">
        <f>IFERROR(IF(Table10[[#This Row],[Year]]&gt;0,$E$1-Table10[[#This Row],[Year]],0),"")</f>
        <v>0</v>
      </c>
      <c r="F147" s="456"/>
      <c r="G147" s="456"/>
      <c r="H147" s="456"/>
    </row>
    <row r="148" spans="1:8">
      <c r="A148" s="456">
        <v>1144</v>
      </c>
      <c r="B148" s="469" t="s">
        <v>143</v>
      </c>
      <c r="C148" s="458"/>
      <c r="D148" s="456">
        <f>IF(Table10[[#This Row],[Current Age]]&gt;19,"Men's",IF(E148&gt;15,"U19",IF(E148&gt;13,"U15",IF(E148&gt;11,"U13",IF(E148&gt;0,"U11",0)))))</f>
        <v>0</v>
      </c>
      <c r="E148" s="456">
        <f>IFERROR(IF(Table10[[#This Row],[Year]]&gt;0,$E$1-Table10[[#This Row],[Year]],0),"")</f>
        <v>0</v>
      </c>
      <c r="F148" s="456"/>
      <c r="G148" s="456"/>
      <c r="H148" s="456"/>
    </row>
    <row r="149" spans="1:8">
      <c r="A149" s="471">
        <v>1145</v>
      </c>
      <c r="B149" s="493" t="s">
        <v>1408</v>
      </c>
      <c r="C149" s="472" t="s">
        <v>246</v>
      </c>
      <c r="D149" s="456">
        <f>IF(Table10[[#This Row],[Current Age]]&gt;19,"Men's",IF(E149&gt;15,"U19",IF(E149&gt;13,"U15",IF(E149&gt;11,"U13",IF(E149&gt;0,"U11",0)))))</f>
        <v>0</v>
      </c>
      <c r="E149" s="456">
        <f>IFERROR(IF(Table10[[#This Row],[Year]]&gt;0,$E$1-Table10[[#This Row],[Year]],0),"")</f>
        <v>0</v>
      </c>
      <c r="F149" s="456"/>
      <c r="G149" s="456"/>
      <c r="H149" s="456"/>
    </row>
    <row r="150" spans="1:8">
      <c r="A150" s="456">
        <v>1146</v>
      </c>
      <c r="B150" s="469" t="s">
        <v>3113</v>
      </c>
      <c r="C150" s="458" t="s">
        <v>256</v>
      </c>
      <c r="D150" s="456">
        <f>IF(Table10[[#This Row],[Current Age]]&gt;19,"Men's",IF(E150&gt;15,"U19",IF(E150&gt;13,"U15",IF(E150&gt;11,"U13",IF(E150&gt;0,"U11",0)))))</f>
        <v>0</v>
      </c>
      <c r="E150" s="456">
        <f>IFERROR(IF(Table10[[#This Row],[Year]]&gt;0,$E$1-Table10[[#This Row],[Year]],0),"")</f>
        <v>0</v>
      </c>
      <c r="F150" s="456"/>
      <c r="G150" s="456"/>
      <c r="H150" s="456"/>
    </row>
    <row r="151" spans="1:8">
      <c r="A151" s="471">
        <v>1147</v>
      </c>
      <c r="B151" s="493" t="s">
        <v>1409</v>
      </c>
      <c r="C151" s="472" t="s">
        <v>361</v>
      </c>
      <c r="D151" s="456" t="str">
        <f>IF(Table10[[#This Row],[Current Age]]&gt;19,"Men's",IF(E151&gt;15,"U19",IF(E151&gt;13,"U15",IF(E151&gt;11,"U13",IF(E151&gt;0,"U11",0)))))</f>
        <v>Men's</v>
      </c>
      <c r="E151" s="456">
        <f>IFERROR(IF(Table10[[#This Row],[Year]]&gt;0,$E$1-Table10[[#This Row],[Year]],0),"")</f>
        <v>35</v>
      </c>
      <c r="F151" s="456">
        <v>1990</v>
      </c>
      <c r="G151" s="456">
        <v>7</v>
      </c>
      <c r="H151" s="456">
        <v>22</v>
      </c>
    </row>
    <row r="152" spans="1:8">
      <c r="A152" s="456">
        <v>1148</v>
      </c>
      <c r="B152" s="469" t="s">
        <v>122</v>
      </c>
      <c r="C152" s="458"/>
      <c r="D152" s="456">
        <f>IF(Table10[[#This Row],[Current Age]]&gt;19,"Men's",IF(E152&gt;15,"U19",IF(E152&gt;13,"U15",IF(E152&gt;11,"U13",IF(E152&gt;0,"U11",0)))))</f>
        <v>0</v>
      </c>
      <c r="E152" s="456">
        <f>IFERROR(IF(Table10[[#This Row],[Year]]&gt;0,$E$1-Table10[[#This Row],[Year]],0),"")</f>
        <v>0</v>
      </c>
      <c r="F152" s="456"/>
      <c r="G152" s="456"/>
      <c r="H152" s="456"/>
    </row>
    <row r="153" spans="1:8">
      <c r="A153" s="471">
        <v>1149</v>
      </c>
      <c r="B153" s="493" t="s">
        <v>1410</v>
      </c>
      <c r="C153" s="472" t="s">
        <v>361</v>
      </c>
      <c r="D153" s="456" t="str">
        <f>IF(Table10[[#This Row],[Current Age]]&gt;19,"Men's",IF(E153&gt;15,"U19",IF(E153&gt;13,"U15",IF(E153&gt;11,"U13",IF(E153&gt;0,"U11",0)))))</f>
        <v>Men's</v>
      </c>
      <c r="E153" s="456">
        <f>IFERROR(IF(Table10[[#This Row],[Year]]&gt;0,$E$1-Table10[[#This Row],[Year]],0),"")</f>
        <v>25</v>
      </c>
      <c r="F153" s="456">
        <v>2000</v>
      </c>
      <c r="G153" s="456">
        <v>12</v>
      </c>
      <c r="H153" s="456">
        <v>25</v>
      </c>
    </row>
    <row r="154" spans="1:8">
      <c r="A154" s="456">
        <v>1150</v>
      </c>
      <c r="B154" s="469" t="s">
        <v>121</v>
      </c>
      <c r="C154" s="458"/>
      <c r="D154" s="456">
        <f>IF(Table10[[#This Row],[Current Age]]&gt;19,"Men's",IF(E154&gt;15,"U19",IF(E154&gt;13,"U15",IF(E154&gt;11,"U13",IF(E154&gt;0,"U11",0)))))</f>
        <v>0</v>
      </c>
      <c r="E154" s="456">
        <f>IFERROR(IF(Table10[[#This Row],[Year]]&gt;0,$E$1-Table10[[#This Row],[Year]],0),"")</f>
        <v>0</v>
      </c>
      <c r="F154" s="456"/>
      <c r="G154" s="456"/>
      <c r="H154" s="456"/>
    </row>
    <row r="155" spans="1:8">
      <c r="A155" s="471">
        <v>1151</v>
      </c>
      <c r="B155" s="493" t="s">
        <v>128</v>
      </c>
      <c r="C155" s="472"/>
      <c r="D155" s="456">
        <f>IF(Table10[[#This Row],[Current Age]]&gt;19,"Men's",IF(E155&gt;15,"U19",IF(E155&gt;13,"U15",IF(E155&gt;11,"U13",IF(E155&gt;0,"U11",0)))))</f>
        <v>0</v>
      </c>
      <c r="E155" s="456">
        <f>IFERROR(IF(Table10[[#This Row],[Year]]&gt;0,$E$1-Table10[[#This Row],[Year]],0),"")</f>
        <v>0</v>
      </c>
      <c r="F155" s="456"/>
      <c r="G155" s="456"/>
      <c r="H155" s="456"/>
    </row>
    <row r="156" spans="1:8">
      <c r="A156" s="456">
        <v>1152</v>
      </c>
      <c r="B156" s="469" t="s">
        <v>1411</v>
      </c>
      <c r="C156" s="458" t="s">
        <v>361</v>
      </c>
      <c r="D156" s="456" t="str">
        <f>IF(Table10[[#This Row],[Current Age]]&gt;19,"Men's",IF(E156&gt;15,"U19",IF(E156&gt;13,"U15",IF(E156&gt;11,"U13",IF(E156&gt;0,"U11",0)))))</f>
        <v>Men's</v>
      </c>
      <c r="E156" s="456">
        <f>IFERROR(IF(Table10[[#This Row],[Year]]&gt;0,$E$1-Table10[[#This Row],[Year]],0),"")</f>
        <v>36</v>
      </c>
      <c r="F156" s="456">
        <v>1989</v>
      </c>
      <c r="G156" s="456">
        <v>3</v>
      </c>
      <c r="H156" s="456">
        <v>9</v>
      </c>
    </row>
    <row r="157" spans="1:8">
      <c r="A157" s="471">
        <v>1153</v>
      </c>
      <c r="B157" s="493" t="s">
        <v>1412</v>
      </c>
      <c r="C157" s="472" t="s">
        <v>246</v>
      </c>
      <c r="D157" s="456">
        <f>IF(Table10[[#This Row],[Current Age]]&gt;19,"Men's",IF(E157&gt;15,"U19",IF(E157&gt;13,"U15",IF(E157&gt;11,"U13",IF(E157&gt;0,"U11",0)))))</f>
        <v>0</v>
      </c>
      <c r="E157" s="456">
        <f>IFERROR(IF(Table10[[#This Row],[Year]]&gt;0,$E$1-Table10[[#This Row],[Year]],0),"")</f>
        <v>0</v>
      </c>
      <c r="F157" s="456"/>
      <c r="G157" s="456"/>
      <c r="H157" s="456"/>
    </row>
    <row r="158" spans="1:8">
      <c r="A158" s="456">
        <v>1154</v>
      </c>
      <c r="B158" s="469" t="s">
        <v>1413</v>
      </c>
      <c r="C158" s="458" t="s">
        <v>4720</v>
      </c>
      <c r="D158" s="456">
        <f>IF(Table10[[#This Row],[Current Age]]&gt;19,"Men's",IF(E158&gt;15,"U19",IF(E158&gt;13,"U15",IF(E158&gt;11,"U13",IF(E158&gt;0,"U11",0)))))</f>
        <v>0</v>
      </c>
      <c r="E158" s="456">
        <f>IFERROR(IF(Table10[[#This Row],[Year]]&gt;0,$E$1-Table10[[#This Row],[Year]],0),"")</f>
        <v>0</v>
      </c>
      <c r="F158" s="456"/>
      <c r="G158" s="456"/>
      <c r="H158" s="456"/>
    </row>
    <row r="159" spans="1:8">
      <c r="A159" s="471">
        <v>1155</v>
      </c>
      <c r="B159" s="493" t="s">
        <v>3285</v>
      </c>
      <c r="C159" s="472" t="s">
        <v>250</v>
      </c>
      <c r="D159" s="456">
        <f>IF(Table10[[#This Row],[Current Age]]&gt;19,"Men's",IF(E159&gt;15,"U19",IF(E159&gt;13,"U15",IF(E159&gt;11,"U13",IF(E159&gt;0,"U11",0)))))</f>
        <v>0</v>
      </c>
      <c r="E159" s="456">
        <f>IFERROR(IF(Table10[[#This Row],[Year]]&gt;0,$E$1-Table10[[#This Row],[Year]],0),"")</f>
        <v>0</v>
      </c>
      <c r="F159" s="456"/>
      <c r="G159" s="456"/>
      <c r="H159" s="456"/>
    </row>
    <row r="160" spans="1:8">
      <c r="A160" s="456">
        <v>1156</v>
      </c>
      <c r="B160" s="469" t="s">
        <v>140</v>
      </c>
      <c r="C160" s="458"/>
      <c r="D160" s="456">
        <f>IF(Table10[[#This Row],[Current Age]]&gt;19,"Men's",IF(E160&gt;15,"U19",IF(E160&gt;13,"U15",IF(E160&gt;11,"U13",IF(E160&gt;0,"U11",0)))))</f>
        <v>0</v>
      </c>
      <c r="E160" s="456">
        <f>IFERROR(IF(Table10[[#This Row],[Year]]&gt;0,$E$1-Table10[[#This Row],[Year]],0),"")</f>
        <v>0</v>
      </c>
      <c r="F160" s="456"/>
      <c r="G160" s="456"/>
      <c r="H160" s="456"/>
    </row>
    <row r="161" spans="1:8">
      <c r="A161" s="471">
        <v>1157</v>
      </c>
      <c r="B161" s="493" t="s">
        <v>124</v>
      </c>
      <c r="C161" s="472"/>
      <c r="D161" s="456">
        <f>IF(Table10[[#This Row],[Current Age]]&gt;19,"Men's",IF(E161&gt;15,"U19",IF(E161&gt;13,"U15",IF(E161&gt;11,"U13",IF(E161&gt;0,"U11",0)))))</f>
        <v>0</v>
      </c>
      <c r="E161" s="456">
        <f>IFERROR(IF(Table10[[#This Row],[Year]]&gt;0,$E$1-Table10[[#This Row],[Year]],0),"")</f>
        <v>0</v>
      </c>
      <c r="F161" s="456"/>
      <c r="G161" s="456"/>
      <c r="H161" s="456"/>
    </row>
    <row r="162" spans="1:8">
      <c r="A162" s="456">
        <v>1158</v>
      </c>
      <c r="B162" s="469" t="s">
        <v>1414</v>
      </c>
      <c r="C162" s="458" t="s">
        <v>361</v>
      </c>
      <c r="D162" s="456">
        <f>IF(Table10[[#This Row],[Current Age]]&gt;19,"Men's",IF(E162&gt;15,"U19",IF(E162&gt;13,"U15",IF(E162&gt;11,"U13",IF(E162&gt;0,"U11",0)))))</f>
        <v>0</v>
      </c>
      <c r="E162" s="456">
        <f>IFERROR(IF(Table10[[#This Row],[Year]]&gt;0,$E$1-Table10[[#This Row],[Year]],0),"")</f>
        <v>0</v>
      </c>
      <c r="F162" s="456"/>
      <c r="G162" s="456"/>
      <c r="H162" s="456"/>
    </row>
    <row r="163" spans="1:8">
      <c r="A163" s="471">
        <v>1159</v>
      </c>
      <c r="B163" s="493" t="s">
        <v>1415</v>
      </c>
      <c r="C163" s="472" t="s">
        <v>4720</v>
      </c>
      <c r="D163" s="456">
        <f>IF(Table10[[#This Row],[Current Age]]&gt;19,"Men's",IF(E163&gt;15,"U19",IF(E163&gt;13,"U15",IF(E163&gt;11,"U13",IF(E163&gt;0,"U11",0)))))</f>
        <v>0</v>
      </c>
      <c r="E163" s="456">
        <f>IFERROR(IF(Table10[[#This Row],[Year]]&gt;0,$E$1-Table10[[#This Row],[Year]],0),"")</f>
        <v>0</v>
      </c>
      <c r="F163" s="456"/>
      <c r="G163" s="456"/>
      <c r="H163" s="456"/>
    </row>
    <row r="164" spans="1:8">
      <c r="A164" s="456">
        <v>1160</v>
      </c>
      <c r="B164" s="469" t="s">
        <v>146</v>
      </c>
      <c r="C164" s="458"/>
      <c r="D164" s="456">
        <f>IF(Table10[[#This Row],[Current Age]]&gt;19,"Men's",IF(E164&gt;15,"U19",IF(E164&gt;13,"U15",IF(E164&gt;11,"U13",IF(E164&gt;0,"U11",0)))))</f>
        <v>0</v>
      </c>
      <c r="E164" s="456">
        <f>IFERROR(IF(Table10[[#This Row],[Year]]&gt;0,$E$1-Table10[[#This Row],[Year]],0),"")</f>
        <v>0</v>
      </c>
      <c r="F164" s="456"/>
      <c r="G164" s="456"/>
      <c r="H164" s="456"/>
    </row>
    <row r="165" spans="1:8">
      <c r="A165" s="471">
        <v>1161</v>
      </c>
      <c r="B165" s="493" t="s">
        <v>138</v>
      </c>
      <c r="C165" s="472"/>
      <c r="D165" s="456">
        <f>IF(Table10[[#This Row],[Current Age]]&gt;19,"Men's",IF(E165&gt;15,"U19",IF(E165&gt;13,"U15",IF(E165&gt;11,"U13",IF(E165&gt;0,"U11",0)))))</f>
        <v>0</v>
      </c>
      <c r="E165" s="456">
        <f>IFERROR(IF(Table10[[#This Row],[Year]]&gt;0,$E$1-Table10[[#This Row],[Year]],0),"")</f>
        <v>0</v>
      </c>
      <c r="F165" s="456"/>
      <c r="G165" s="456"/>
      <c r="H165" s="456"/>
    </row>
    <row r="166" spans="1:8">
      <c r="A166" s="456">
        <v>1162</v>
      </c>
      <c r="B166" s="469" t="s">
        <v>1416</v>
      </c>
      <c r="C166" s="458" t="s">
        <v>361</v>
      </c>
      <c r="D166" s="456" t="str">
        <f>IF(Table10[[#This Row],[Current Age]]&gt;19,"Men's",IF(E166&gt;15,"U19",IF(E166&gt;13,"U15",IF(E166&gt;11,"U13",IF(E166&gt;0,"U11",0)))))</f>
        <v>Men's</v>
      </c>
      <c r="E166" s="456">
        <f>IFERROR(IF(Table10[[#This Row],[Year]]&gt;0,$E$1-Table10[[#This Row],[Year]],0),"")</f>
        <v>25</v>
      </c>
      <c r="F166" s="456">
        <v>2000</v>
      </c>
      <c r="G166" s="456">
        <v>6</v>
      </c>
      <c r="H166" s="456">
        <v>17</v>
      </c>
    </row>
    <row r="167" spans="1:8">
      <c r="A167" s="471">
        <v>1163</v>
      </c>
      <c r="B167" s="493" t="s">
        <v>1417</v>
      </c>
      <c r="C167" s="472" t="s">
        <v>361</v>
      </c>
      <c r="D167" s="456" t="str">
        <f>IF(Table10[[#This Row],[Current Age]]&gt;19,"Men's",IF(E167&gt;15,"U19",IF(E167&gt;13,"U15",IF(E167&gt;11,"U13",IF(E167&gt;0,"U11",0)))))</f>
        <v>Men's</v>
      </c>
      <c r="E167" s="456">
        <f>IFERROR(IF(Table10[[#This Row],[Year]]&gt;0,$E$1-Table10[[#This Row],[Year]],0),"")</f>
        <v>25</v>
      </c>
      <c r="F167" s="456">
        <v>2000</v>
      </c>
      <c r="G167" s="456"/>
      <c r="H167" s="456"/>
    </row>
    <row r="168" spans="1:8">
      <c r="A168" s="456">
        <v>1164</v>
      </c>
      <c r="B168" s="469" t="s">
        <v>155</v>
      </c>
      <c r="C168" s="458"/>
      <c r="D168" s="456">
        <f>IF(Table10[[#This Row],[Current Age]]&gt;19,"Men's",IF(E168&gt;15,"U19",IF(E168&gt;13,"U15",IF(E168&gt;11,"U13",IF(E168&gt;0,"U11",0)))))</f>
        <v>0</v>
      </c>
      <c r="E168" s="456">
        <f>IFERROR(IF(Table10[[#This Row],[Year]]&gt;0,$E$1-Table10[[#This Row],[Year]],0),"")</f>
        <v>0</v>
      </c>
      <c r="F168" s="456"/>
      <c r="G168" s="456"/>
      <c r="H168" s="456"/>
    </row>
    <row r="169" spans="1:8">
      <c r="A169" s="471">
        <v>1165</v>
      </c>
      <c r="B169" s="493" t="s">
        <v>163</v>
      </c>
      <c r="C169" s="472"/>
      <c r="D169" s="456">
        <f>IF(Table10[[#This Row],[Current Age]]&gt;19,"Men's",IF(E169&gt;15,"U19",IF(E169&gt;13,"U15",IF(E169&gt;11,"U13",IF(E169&gt;0,"U11",0)))))</f>
        <v>0</v>
      </c>
      <c r="E169" s="456">
        <f>IFERROR(IF(Table10[[#This Row],[Year]]&gt;0,$E$1-Table10[[#This Row],[Year]],0),"")</f>
        <v>0</v>
      </c>
      <c r="F169" s="456"/>
      <c r="G169" s="456"/>
      <c r="H169" s="456"/>
    </row>
    <row r="170" spans="1:8">
      <c r="A170" s="456">
        <v>1166</v>
      </c>
      <c r="B170" s="469" t="s">
        <v>166</v>
      </c>
      <c r="C170" s="458"/>
      <c r="D170" s="456">
        <f>IF(Table10[[#This Row],[Current Age]]&gt;19,"Men's",IF(E170&gt;15,"U19",IF(E170&gt;13,"U15",IF(E170&gt;11,"U13",IF(E170&gt;0,"U11",0)))))</f>
        <v>0</v>
      </c>
      <c r="E170" s="456">
        <f>IFERROR(IF(Table10[[#This Row],[Year]]&gt;0,$E$1-Table10[[#This Row],[Year]],0),"")</f>
        <v>0</v>
      </c>
      <c r="F170" s="456"/>
      <c r="G170" s="456"/>
      <c r="H170" s="456"/>
    </row>
    <row r="171" spans="1:8">
      <c r="A171" s="471">
        <v>1167</v>
      </c>
      <c r="B171" s="493" t="s">
        <v>150</v>
      </c>
      <c r="C171" s="472"/>
      <c r="D171" s="456">
        <f>IF(Table10[[#This Row],[Current Age]]&gt;19,"Men's",IF(E171&gt;15,"U19",IF(E171&gt;13,"U15",IF(E171&gt;11,"U13",IF(E171&gt;0,"U11",0)))))</f>
        <v>0</v>
      </c>
      <c r="E171" s="456">
        <f>IFERROR(IF(Table10[[#This Row],[Year]]&gt;0,$E$1-Table10[[#This Row],[Year]],0),"")</f>
        <v>0</v>
      </c>
      <c r="F171" s="456"/>
      <c r="G171" s="456"/>
      <c r="H171" s="456"/>
    </row>
    <row r="172" spans="1:8">
      <c r="A172" s="456">
        <v>1168</v>
      </c>
      <c r="B172" s="469" t="s">
        <v>1418</v>
      </c>
      <c r="C172" s="458" t="s">
        <v>361</v>
      </c>
      <c r="D172" s="456">
        <f>IF(Table10[[#This Row],[Current Age]]&gt;19,"Men's",IF(E172&gt;15,"U19",IF(E172&gt;13,"U15",IF(E172&gt;11,"U13",IF(E172&gt;0,"U11",0)))))</f>
        <v>0</v>
      </c>
      <c r="E172" s="456">
        <f>IFERROR(IF(Table10[[#This Row],[Year]]&gt;0,$E$1-Table10[[#This Row],[Year]],0),"")</f>
        <v>0</v>
      </c>
      <c r="F172" s="456"/>
      <c r="G172" s="456"/>
      <c r="H172" s="456"/>
    </row>
    <row r="173" spans="1:8">
      <c r="A173" s="471">
        <v>1169</v>
      </c>
      <c r="B173" s="493" t="s">
        <v>144</v>
      </c>
      <c r="C173" s="472" t="s">
        <v>246</v>
      </c>
      <c r="D173" s="456">
        <f>IF(Table10[[#This Row],[Current Age]]&gt;19,"Men's",IF(E173&gt;15,"U19",IF(E173&gt;13,"U15",IF(E173&gt;11,"U13",IF(E173&gt;0,"U11",0)))))</f>
        <v>0</v>
      </c>
      <c r="E173" s="456">
        <f>IFERROR(IF(Table10[[#This Row],[Year]]&gt;0,$E$1-Table10[[#This Row],[Year]],0),"")</f>
        <v>0</v>
      </c>
      <c r="F173" s="456"/>
      <c r="G173" s="456"/>
      <c r="H173" s="456"/>
    </row>
    <row r="174" spans="1:8">
      <c r="A174" s="456">
        <v>1170</v>
      </c>
      <c r="B174" s="469" t="s">
        <v>165</v>
      </c>
      <c r="C174" s="458" t="s">
        <v>4552</v>
      </c>
      <c r="D174" s="456">
        <f>IF(Table10[[#This Row],[Current Age]]&gt;19,"Men's",IF(E174&gt;15,"U19",IF(E174&gt;13,"U15",IF(E174&gt;11,"U13",IF(E174&gt;0,"U11",0)))))</f>
        <v>0</v>
      </c>
      <c r="E174" s="456">
        <f>IFERROR(IF(Table10[[#This Row],[Year]]&gt;0,$E$1-Table10[[#This Row],[Year]],0),"")</f>
        <v>0</v>
      </c>
      <c r="F174" s="456"/>
      <c r="G174" s="456"/>
      <c r="H174" s="456"/>
    </row>
    <row r="175" spans="1:8">
      <c r="A175" s="471">
        <v>1171</v>
      </c>
      <c r="B175" s="493" t="s">
        <v>1419</v>
      </c>
      <c r="C175" s="472" t="s">
        <v>251</v>
      </c>
      <c r="D175" s="456">
        <f>IF(Table10[[#This Row],[Current Age]]&gt;19,"Men's",IF(E175&gt;15,"U19",IF(E175&gt;13,"U15",IF(E175&gt;11,"U13",IF(E175&gt;0,"U11",0)))))</f>
        <v>0</v>
      </c>
      <c r="E175" s="456">
        <f>IFERROR(IF(Table10[[#This Row],[Year]]&gt;0,$E$1-Table10[[#This Row],[Year]],0),"")</f>
        <v>0</v>
      </c>
      <c r="F175" s="456"/>
      <c r="G175" s="456"/>
      <c r="H175" s="456"/>
    </row>
    <row r="176" spans="1:8">
      <c r="A176" s="456">
        <v>1172</v>
      </c>
      <c r="B176" s="469" t="s">
        <v>1420</v>
      </c>
      <c r="C176" s="458" t="s">
        <v>361</v>
      </c>
      <c r="D176" s="456">
        <f>IF(Table10[[#This Row],[Current Age]]&gt;19,"Men's",IF(E176&gt;15,"U19",IF(E176&gt;13,"U15",IF(E176&gt;11,"U13",IF(E176&gt;0,"U11",0)))))</f>
        <v>0</v>
      </c>
      <c r="E176" s="456">
        <f>IFERROR(IF(Table10[[#This Row],[Year]]&gt;0,$E$1-Table10[[#This Row],[Year]],0),"")</f>
        <v>0</v>
      </c>
      <c r="F176" s="456"/>
      <c r="G176" s="456"/>
      <c r="H176" s="456"/>
    </row>
    <row r="177" spans="1:8">
      <c r="A177" s="471">
        <v>1173</v>
      </c>
      <c r="B177" s="493" t="s">
        <v>170</v>
      </c>
      <c r="C177" s="472"/>
      <c r="D177" s="456">
        <f>IF(Table10[[#This Row],[Current Age]]&gt;19,"Men's",IF(E177&gt;15,"U19",IF(E177&gt;13,"U15",IF(E177&gt;11,"U13",IF(E177&gt;0,"U11",0)))))</f>
        <v>0</v>
      </c>
      <c r="E177" s="456">
        <f>IFERROR(IF(Table10[[#This Row],[Year]]&gt;0,$E$1-Table10[[#This Row],[Year]],0),"")</f>
        <v>0</v>
      </c>
      <c r="F177" s="456"/>
      <c r="G177" s="456"/>
      <c r="H177" s="456"/>
    </row>
    <row r="178" spans="1:8">
      <c r="A178" s="456">
        <v>1174</v>
      </c>
      <c r="B178" s="469" t="s">
        <v>1421</v>
      </c>
      <c r="C178" s="458" t="s">
        <v>254</v>
      </c>
      <c r="D178" s="456">
        <f>IF(Table10[[#This Row],[Current Age]]&gt;19,"Men's",IF(E178&gt;15,"U19",IF(E178&gt;13,"U15",IF(E178&gt;11,"U13",IF(E178&gt;0,"U11",0)))))</f>
        <v>0</v>
      </c>
      <c r="E178" s="456">
        <f>IFERROR(IF(Table10[[#This Row],[Year]]&gt;0,$E$1-Table10[[#This Row],[Year]],0),"")</f>
        <v>0</v>
      </c>
      <c r="F178" s="456"/>
      <c r="G178" s="456"/>
      <c r="H178" s="456"/>
    </row>
    <row r="179" spans="1:8">
      <c r="A179" s="471">
        <v>1175</v>
      </c>
      <c r="B179" s="493" t="s">
        <v>154</v>
      </c>
      <c r="C179" s="472"/>
      <c r="D179" s="456">
        <f>IF(Table10[[#This Row],[Current Age]]&gt;19,"Men's",IF(E179&gt;15,"U19",IF(E179&gt;13,"U15",IF(E179&gt;11,"U13",IF(E179&gt;0,"U11",0)))))</f>
        <v>0</v>
      </c>
      <c r="E179" s="456">
        <f>IFERROR(IF(Table10[[#This Row],[Year]]&gt;0,$E$1-Table10[[#This Row],[Year]],0),"")</f>
        <v>0</v>
      </c>
      <c r="F179" s="456"/>
      <c r="G179" s="456"/>
      <c r="H179" s="456"/>
    </row>
    <row r="180" spans="1:8">
      <c r="A180" s="456">
        <v>1176</v>
      </c>
      <c r="B180" s="469" t="s">
        <v>152</v>
      </c>
      <c r="C180" s="458"/>
      <c r="D180" s="456">
        <f>IF(Table10[[#This Row],[Current Age]]&gt;19,"Men's",IF(E180&gt;15,"U19",IF(E180&gt;13,"U15",IF(E180&gt;11,"U13",IF(E180&gt;0,"U11",0)))))</f>
        <v>0</v>
      </c>
      <c r="E180" s="456">
        <f>IFERROR(IF(Table10[[#This Row],[Year]]&gt;0,$E$1-Table10[[#This Row],[Year]],0),"")</f>
        <v>0</v>
      </c>
      <c r="F180" s="456"/>
      <c r="G180" s="456"/>
      <c r="H180" s="456"/>
    </row>
    <row r="181" spans="1:8">
      <c r="A181" s="471">
        <v>1177</v>
      </c>
      <c r="B181" s="493" t="s">
        <v>1422</v>
      </c>
      <c r="C181" s="472" t="s">
        <v>4720</v>
      </c>
      <c r="D181" s="456">
        <f>IF(Table10[[#This Row],[Current Age]]&gt;19,"Men's",IF(E181&gt;15,"U19",IF(E181&gt;13,"U15",IF(E181&gt;11,"U13",IF(E181&gt;0,"U11",0)))))</f>
        <v>0</v>
      </c>
      <c r="E181" s="456">
        <f>IFERROR(IF(Table10[[#This Row],[Year]]&gt;0,$E$1-Table10[[#This Row],[Year]],0),"")</f>
        <v>0</v>
      </c>
      <c r="F181" s="456"/>
      <c r="G181" s="456"/>
      <c r="H181" s="456"/>
    </row>
    <row r="182" spans="1:8">
      <c r="A182" s="456">
        <v>1178</v>
      </c>
      <c r="B182" s="469" t="s">
        <v>1423</v>
      </c>
      <c r="C182" s="458" t="s">
        <v>361</v>
      </c>
      <c r="D182" s="456" t="str">
        <f>IF(Table10[[#This Row],[Current Age]]&gt;19,"Men's",IF(E182&gt;15,"U19",IF(E182&gt;13,"U15",IF(E182&gt;11,"U13",IF(E182&gt;0,"U11",0)))))</f>
        <v>Men's</v>
      </c>
      <c r="E182" s="456">
        <f>IFERROR(IF(Table10[[#This Row],[Year]]&gt;0,$E$1-Table10[[#This Row],[Year]],0),"")</f>
        <v>58</v>
      </c>
      <c r="F182" s="456">
        <v>1967</v>
      </c>
      <c r="G182" s="456">
        <v>5</v>
      </c>
      <c r="H182" s="456">
        <v>10</v>
      </c>
    </row>
    <row r="183" spans="1:8">
      <c r="A183" s="471">
        <v>1179</v>
      </c>
      <c r="B183" s="493" t="s">
        <v>1424</v>
      </c>
      <c r="C183" s="472" t="s">
        <v>243</v>
      </c>
      <c r="D183" s="456">
        <f>IF(Table10[[#This Row],[Current Age]]&gt;19,"Men's",IF(E183&gt;15,"U19",IF(E183&gt;13,"U15",IF(E183&gt;11,"U13",IF(E183&gt;0,"U11",0)))))</f>
        <v>0</v>
      </c>
      <c r="E183" s="456">
        <f>IFERROR(IF(Table10[[#This Row],[Year]]&gt;0,$E$1-Table10[[#This Row],[Year]],0),"")</f>
        <v>0</v>
      </c>
      <c r="F183" s="456"/>
      <c r="G183" s="456"/>
      <c r="H183" s="456"/>
    </row>
    <row r="184" spans="1:8">
      <c r="A184" s="456">
        <v>1180</v>
      </c>
      <c r="B184" s="469" t="s">
        <v>188</v>
      </c>
      <c r="C184" s="458"/>
      <c r="D184" s="456">
        <f>IF(Table10[[#This Row],[Current Age]]&gt;19,"Men's",IF(E184&gt;15,"U19",IF(E184&gt;13,"U15",IF(E184&gt;11,"U13",IF(E184&gt;0,"U11",0)))))</f>
        <v>0</v>
      </c>
      <c r="E184" s="456">
        <f>IFERROR(IF(Table10[[#This Row],[Year]]&gt;0,$E$1-Table10[[#This Row],[Year]],0),"")</f>
        <v>0</v>
      </c>
      <c r="F184" s="456"/>
      <c r="G184" s="456"/>
      <c r="H184" s="456"/>
    </row>
    <row r="185" spans="1:8">
      <c r="A185" s="471">
        <v>1181</v>
      </c>
      <c r="B185" s="493" t="s">
        <v>1425</v>
      </c>
      <c r="C185" s="472" t="s">
        <v>671</v>
      </c>
      <c r="D185" s="456">
        <f>IF(Table10[[#This Row],[Current Age]]&gt;19,"Men's",IF(E185&gt;15,"U19",IF(E185&gt;13,"U15",IF(E185&gt;11,"U13",IF(E185&gt;0,"U11",0)))))</f>
        <v>0</v>
      </c>
      <c r="E185" s="456">
        <f>IFERROR(IF(Table10[[#This Row],[Year]]&gt;0,$E$1-Table10[[#This Row],[Year]],0),"")</f>
        <v>0</v>
      </c>
      <c r="F185" s="456"/>
      <c r="G185" s="456"/>
      <c r="H185" s="456"/>
    </row>
    <row r="186" spans="1:8">
      <c r="A186" s="456">
        <v>1182</v>
      </c>
      <c r="B186" s="469" t="s">
        <v>1426</v>
      </c>
      <c r="C186" s="458" t="s">
        <v>253</v>
      </c>
      <c r="D186" s="456">
        <f>IF(Table10[[#This Row],[Current Age]]&gt;19,"Men's",IF(E186&gt;15,"U19",IF(E186&gt;13,"U15",IF(E186&gt;11,"U13",IF(E186&gt;0,"U11",0)))))</f>
        <v>0</v>
      </c>
      <c r="E186" s="456">
        <f>IFERROR(IF(Table10[[#This Row],[Year]]&gt;0,$E$1-Table10[[#This Row],[Year]],0),"")</f>
        <v>0</v>
      </c>
      <c r="F186" s="456"/>
      <c r="G186" s="456"/>
      <c r="H186" s="456"/>
    </row>
    <row r="187" spans="1:8">
      <c r="A187" s="471">
        <v>1183</v>
      </c>
      <c r="B187" s="493" t="s">
        <v>161</v>
      </c>
      <c r="C187" s="472" t="s">
        <v>4552</v>
      </c>
      <c r="D187" s="456">
        <f>IF(Table10[[#This Row],[Current Age]]&gt;19,"Men's",IF(E187&gt;15,"U19",IF(E187&gt;13,"U15",IF(E187&gt;11,"U13",IF(E187&gt;0,"U11",0)))))</f>
        <v>0</v>
      </c>
      <c r="E187" s="456">
        <f>IFERROR(IF(Table10[[#This Row],[Year]]&gt;0,$E$1-Table10[[#This Row],[Year]],0),"")</f>
        <v>0</v>
      </c>
      <c r="F187" s="456"/>
      <c r="G187" s="456"/>
      <c r="H187" s="456"/>
    </row>
    <row r="188" spans="1:8">
      <c r="A188" s="456">
        <v>1184</v>
      </c>
      <c r="B188" s="469" t="s">
        <v>1427</v>
      </c>
      <c r="C188" s="458" t="s">
        <v>361</v>
      </c>
      <c r="D188" s="456">
        <f>IF(Table10[[#This Row],[Current Age]]&gt;19,"Men's",IF(E188&gt;15,"U19",IF(E188&gt;13,"U15",IF(E188&gt;11,"U13",IF(E188&gt;0,"U11",0)))))</f>
        <v>0</v>
      </c>
      <c r="E188" s="456">
        <f>IFERROR(IF(Table10[[#This Row],[Year]]&gt;0,$E$1-Table10[[#This Row],[Year]],0),"")</f>
        <v>0</v>
      </c>
      <c r="F188" s="456"/>
      <c r="G188" s="456"/>
      <c r="H188" s="456"/>
    </row>
    <row r="189" spans="1:8">
      <c r="A189" s="471">
        <v>1185</v>
      </c>
      <c r="B189" s="493" t="s">
        <v>147</v>
      </c>
      <c r="C189" s="472"/>
      <c r="D189" s="456">
        <f>IF(Table10[[#This Row],[Current Age]]&gt;19,"Men's",IF(E189&gt;15,"U19",IF(E189&gt;13,"U15",IF(E189&gt;11,"U13",IF(E189&gt;0,"U11",0)))))</f>
        <v>0</v>
      </c>
      <c r="E189" s="456">
        <f>IFERROR(IF(Table10[[#This Row],[Year]]&gt;0,$E$1-Table10[[#This Row],[Year]],0),"")</f>
        <v>0</v>
      </c>
      <c r="F189" s="456"/>
      <c r="G189" s="456"/>
      <c r="H189" s="456"/>
    </row>
    <row r="190" spans="1:8">
      <c r="A190" s="456">
        <v>1186</v>
      </c>
      <c r="B190" s="469" t="s">
        <v>164</v>
      </c>
      <c r="C190" s="458"/>
      <c r="D190" s="456">
        <f>IF(Table10[[#This Row],[Current Age]]&gt;19,"Men's",IF(E190&gt;15,"U19",IF(E190&gt;13,"U15",IF(E190&gt;11,"U13",IF(E190&gt;0,"U11",0)))))</f>
        <v>0</v>
      </c>
      <c r="E190" s="456">
        <f>IFERROR(IF(Table10[[#This Row],[Year]]&gt;0,$E$1-Table10[[#This Row],[Year]],0),"")</f>
        <v>0</v>
      </c>
      <c r="F190" s="456"/>
      <c r="G190" s="456"/>
      <c r="H190" s="456"/>
    </row>
    <row r="191" spans="1:8">
      <c r="A191" s="471">
        <v>1187</v>
      </c>
      <c r="B191" s="493" t="s">
        <v>167</v>
      </c>
      <c r="C191" s="472"/>
      <c r="D191" s="456">
        <f>IF(Table10[[#This Row],[Current Age]]&gt;19,"Men's",IF(E191&gt;15,"U19",IF(E191&gt;13,"U15",IF(E191&gt;11,"U13",IF(E191&gt;0,"U11",0)))))</f>
        <v>0</v>
      </c>
      <c r="E191" s="456">
        <f>IFERROR(IF(Table10[[#This Row],[Year]]&gt;0,$E$1-Table10[[#This Row],[Year]],0),"")</f>
        <v>0</v>
      </c>
      <c r="F191" s="456"/>
      <c r="G191" s="456"/>
      <c r="H191" s="456"/>
    </row>
    <row r="192" spans="1:8">
      <c r="A192" s="456">
        <v>1188</v>
      </c>
      <c r="B192" s="469" t="s">
        <v>159</v>
      </c>
      <c r="C192" s="458"/>
      <c r="D192" s="456">
        <f>IF(Table10[[#This Row],[Current Age]]&gt;19,"Men's",IF(E192&gt;15,"U19",IF(E192&gt;13,"U15",IF(E192&gt;11,"U13",IF(E192&gt;0,"U11",0)))))</f>
        <v>0</v>
      </c>
      <c r="E192" s="456">
        <f>IFERROR(IF(Table10[[#This Row],[Year]]&gt;0,$E$1-Table10[[#This Row],[Year]],0),"")</f>
        <v>0</v>
      </c>
      <c r="F192" s="456"/>
      <c r="G192" s="456"/>
      <c r="H192" s="456"/>
    </row>
    <row r="193" spans="1:8">
      <c r="A193" s="471">
        <v>1189</v>
      </c>
      <c r="B193" s="493" t="s">
        <v>1428</v>
      </c>
      <c r="C193" s="472" t="s">
        <v>4720</v>
      </c>
      <c r="D193" s="456">
        <f>IF(Table10[[#This Row],[Current Age]]&gt;19,"Men's",IF(E193&gt;15,"U19",IF(E193&gt;13,"U15",IF(E193&gt;11,"U13",IF(E193&gt;0,"U11",0)))))</f>
        <v>0</v>
      </c>
      <c r="E193" s="456">
        <f>IFERROR(IF(Table10[[#This Row],[Year]]&gt;0,$E$1-Table10[[#This Row],[Year]],0),"")</f>
        <v>0</v>
      </c>
      <c r="F193" s="456"/>
      <c r="G193" s="456"/>
      <c r="H193" s="456"/>
    </row>
    <row r="194" spans="1:8">
      <c r="A194" s="456">
        <v>1190</v>
      </c>
      <c r="B194" s="469" t="s">
        <v>1429</v>
      </c>
      <c r="C194" s="458" t="s">
        <v>361</v>
      </c>
      <c r="D194" s="456">
        <f>IF(Table10[[#This Row],[Current Age]]&gt;19,"Men's",IF(E194&gt;15,"U19",IF(E194&gt;13,"U15",IF(E194&gt;11,"U13",IF(E194&gt;0,"U11",0)))))</f>
        <v>0</v>
      </c>
      <c r="E194" s="456">
        <f>IFERROR(IF(Table10[[#This Row],[Year]]&gt;0,$E$1-Table10[[#This Row],[Year]],0),"")</f>
        <v>0</v>
      </c>
      <c r="F194" s="456"/>
      <c r="G194" s="456"/>
      <c r="H194" s="456"/>
    </row>
    <row r="195" spans="1:8">
      <c r="A195" s="471">
        <v>1191</v>
      </c>
      <c r="B195" s="493" t="s">
        <v>4515</v>
      </c>
      <c r="C195" s="472" t="s">
        <v>361</v>
      </c>
      <c r="D195" s="456">
        <f>IF(Table10[[#This Row],[Current Age]]&gt;19,"Men's",IF(E195&gt;15,"U19",IF(E195&gt;13,"U15",IF(E195&gt;11,"U13",IF(E195&gt;0,"U11",0)))))</f>
        <v>0</v>
      </c>
      <c r="E195" s="456">
        <f>IFERROR(IF(Table10[[#This Row],[Year]]&gt;0,$E$1-Table10[[#This Row],[Year]],0),"")</f>
        <v>0</v>
      </c>
      <c r="F195" s="456"/>
      <c r="G195" s="456"/>
      <c r="H195" s="456"/>
    </row>
    <row r="196" spans="1:8">
      <c r="A196" s="456">
        <v>1192</v>
      </c>
      <c r="B196" s="469" t="s">
        <v>156</v>
      </c>
      <c r="C196" s="458"/>
      <c r="D196" s="456">
        <f>IF(Table10[[#This Row],[Current Age]]&gt;19,"Men's",IF(E196&gt;15,"U19",IF(E196&gt;13,"U15",IF(E196&gt;11,"U13",IF(E196&gt;0,"U11",0)))))</f>
        <v>0</v>
      </c>
      <c r="E196" s="456">
        <f>IFERROR(IF(Table10[[#This Row],[Year]]&gt;0,$E$1-Table10[[#This Row],[Year]],0),"")</f>
        <v>0</v>
      </c>
      <c r="F196" s="456"/>
      <c r="G196" s="456"/>
      <c r="H196" s="456"/>
    </row>
    <row r="197" spans="1:8">
      <c r="A197" s="471">
        <v>1193</v>
      </c>
      <c r="B197" s="493" t="s">
        <v>157</v>
      </c>
      <c r="C197" s="472"/>
      <c r="D197" s="456">
        <f>IF(Table10[[#This Row],[Current Age]]&gt;19,"Men's",IF(E197&gt;15,"U19",IF(E197&gt;13,"U15",IF(E197&gt;11,"U13",IF(E197&gt;0,"U11",0)))))</f>
        <v>0</v>
      </c>
      <c r="E197" s="456">
        <f>IFERROR(IF(Table10[[#This Row],[Year]]&gt;0,$E$1-Table10[[#This Row],[Year]],0),"")</f>
        <v>0</v>
      </c>
      <c r="F197" s="456"/>
      <c r="G197" s="456"/>
      <c r="H197" s="456"/>
    </row>
    <row r="198" spans="1:8">
      <c r="A198" s="456">
        <v>1194</v>
      </c>
      <c r="B198" s="469" t="s">
        <v>1430</v>
      </c>
      <c r="C198" s="458" t="s">
        <v>253</v>
      </c>
      <c r="D198" s="456">
        <f>IF(Table10[[#This Row],[Current Age]]&gt;19,"Men's",IF(E198&gt;15,"U19",IF(E198&gt;13,"U15",IF(E198&gt;11,"U13",IF(E198&gt;0,"U11",0)))))</f>
        <v>0</v>
      </c>
      <c r="E198" s="456">
        <f>IFERROR(IF(Table10[[#This Row],[Year]]&gt;0,$E$1-Table10[[#This Row],[Year]],0),"")</f>
        <v>0</v>
      </c>
      <c r="F198" s="456"/>
      <c r="G198" s="456"/>
      <c r="H198" s="456"/>
    </row>
    <row r="199" spans="1:8">
      <c r="A199" s="471">
        <v>1195</v>
      </c>
      <c r="B199" s="493" t="s">
        <v>148</v>
      </c>
      <c r="C199" s="472"/>
      <c r="D199" s="456">
        <f>IF(Table10[[#This Row],[Current Age]]&gt;19,"Men's",IF(E199&gt;15,"U19",IF(E199&gt;13,"U15",IF(E199&gt;11,"U13",IF(E199&gt;0,"U11",0)))))</f>
        <v>0</v>
      </c>
      <c r="E199" s="456">
        <f>IFERROR(IF(Table10[[#This Row],[Year]]&gt;0,$E$1-Table10[[#This Row],[Year]],0),"")</f>
        <v>0</v>
      </c>
      <c r="F199" s="456"/>
      <c r="G199" s="456"/>
      <c r="H199" s="456"/>
    </row>
    <row r="200" spans="1:8">
      <c r="A200" s="456">
        <v>1196</v>
      </c>
      <c r="B200" s="469" t="s">
        <v>1431</v>
      </c>
      <c r="C200" s="458" t="s">
        <v>252</v>
      </c>
      <c r="D200" s="456">
        <f>IF(Table10[[#This Row],[Current Age]]&gt;19,"Men's",IF(E200&gt;15,"U19",IF(E200&gt;13,"U15",IF(E200&gt;11,"U13",IF(E200&gt;0,"U11",0)))))</f>
        <v>0</v>
      </c>
      <c r="E200" s="456">
        <f>IFERROR(IF(Table10[[#This Row],[Year]]&gt;0,$E$1-Table10[[#This Row],[Year]],0),"")</f>
        <v>0</v>
      </c>
      <c r="F200" s="456"/>
      <c r="G200" s="456"/>
      <c r="H200" s="456"/>
    </row>
    <row r="201" spans="1:8">
      <c r="A201" s="471">
        <v>1197</v>
      </c>
      <c r="B201" s="493" t="s">
        <v>149</v>
      </c>
      <c r="C201" s="472" t="s">
        <v>243</v>
      </c>
      <c r="D201" s="456">
        <f>IF(Table10[[#This Row],[Current Age]]&gt;19,"Men's",IF(E201&gt;15,"U19",IF(E201&gt;13,"U15",IF(E201&gt;11,"U13",IF(E201&gt;0,"U11",0)))))</f>
        <v>0</v>
      </c>
      <c r="E201" s="456">
        <f>IFERROR(IF(Table10[[#This Row],[Year]]&gt;0,$E$1-Table10[[#This Row],[Year]],0),"")</f>
        <v>0</v>
      </c>
      <c r="F201" s="456"/>
      <c r="G201" s="456"/>
      <c r="H201" s="456"/>
    </row>
    <row r="202" spans="1:8">
      <c r="A202" s="456">
        <v>1198</v>
      </c>
      <c r="B202" s="469" t="s">
        <v>1432</v>
      </c>
      <c r="C202" s="458" t="s">
        <v>361</v>
      </c>
      <c r="D202" s="456" t="str">
        <f>IF(Table10[[#This Row],[Current Age]]&gt;19,"Men's",IF(E202&gt;15,"U19",IF(E202&gt;13,"U15",IF(E202&gt;11,"U13",IF(E202&gt;0,"U11",0)))))</f>
        <v>Men's</v>
      </c>
      <c r="E202" s="456">
        <f>IFERROR(IF(Table10[[#This Row],[Year]]&gt;0,$E$1-Table10[[#This Row],[Year]],0),"")</f>
        <v>68</v>
      </c>
      <c r="F202" s="456">
        <v>1957</v>
      </c>
      <c r="G202" s="456">
        <v>3</v>
      </c>
      <c r="H202" s="456">
        <v>28</v>
      </c>
    </row>
    <row r="203" spans="1:8">
      <c r="A203" s="471">
        <v>1199</v>
      </c>
      <c r="B203" s="493" t="s">
        <v>162</v>
      </c>
      <c r="C203" s="472"/>
      <c r="D203" s="456">
        <f>IF(Table10[[#This Row],[Current Age]]&gt;19,"Men's",IF(E203&gt;15,"U19",IF(E203&gt;13,"U15",IF(E203&gt;11,"U13",IF(E203&gt;0,"U11",0)))))</f>
        <v>0</v>
      </c>
      <c r="E203" s="456">
        <f>IFERROR(IF(Table10[[#This Row],[Year]]&gt;0,$E$1-Table10[[#This Row],[Year]],0),"")</f>
        <v>0</v>
      </c>
      <c r="F203" s="456"/>
      <c r="G203" s="456"/>
      <c r="H203" s="456"/>
    </row>
    <row r="204" spans="1:8">
      <c r="A204" s="456">
        <v>1200</v>
      </c>
      <c r="B204" s="469" t="s">
        <v>153</v>
      </c>
      <c r="C204" s="458"/>
      <c r="D204" s="456">
        <f>IF(Table10[[#This Row],[Current Age]]&gt;19,"Men's",IF(E204&gt;15,"U19",IF(E204&gt;13,"U15",IF(E204&gt;11,"U13",IF(E204&gt;0,"U11",0)))))</f>
        <v>0</v>
      </c>
      <c r="E204" s="456">
        <f>IFERROR(IF(Table10[[#This Row],[Year]]&gt;0,$E$1-Table10[[#This Row],[Year]],0),"")</f>
        <v>0</v>
      </c>
      <c r="F204" s="456"/>
      <c r="G204" s="456"/>
      <c r="H204" s="456"/>
    </row>
    <row r="205" spans="1:8">
      <c r="A205" s="471">
        <v>1201</v>
      </c>
      <c r="B205" s="493" t="s">
        <v>160</v>
      </c>
      <c r="C205" s="472"/>
      <c r="D205" s="456">
        <f>IF(Table10[[#This Row],[Current Age]]&gt;19,"Men's",IF(E205&gt;15,"U19",IF(E205&gt;13,"U15",IF(E205&gt;11,"U13",IF(E205&gt;0,"U11",0)))))</f>
        <v>0</v>
      </c>
      <c r="E205" s="456">
        <f>IFERROR(IF(Table10[[#This Row],[Year]]&gt;0,$E$1-Table10[[#This Row],[Year]],0),"")</f>
        <v>0</v>
      </c>
      <c r="F205" s="456"/>
      <c r="G205" s="456"/>
      <c r="H205" s="456"/>
    </row>
    <row r="206" spans="1:8">
      <c r="A206" s="456">
        <v>1202</v>
      </c>
      <c r="B206" s="469" t="s">
        <v>1433</v>
      </c>
      <c r="C206" s="458" t="s">
        <v>361</v>
      </c>
      <c r="D206" s="456" t="str">
        <f>IF(Table10[[#This Row],[Current Age]]&gt;19,"Men's",IF(E206&gt;15,"U19",IF(E206&gt;13,"U15",IF(E206&gt;11,"U13",IF(E206&gt;0,"U11",0)))))</f>
        <v>Men's</v>
      </c>
      <c r="E206" s="456">
        <f>IFERROR(IF(Table10[[#This Row],[Year]]&gt;0,$E$1-Table10[[#This Row],[Year]],0),"")</f>
        <v>47</v>
      </c>
      <c r="F206" s="456">
        <v>1978</v>
      </c>
      <c r="G206" s="456">
        <v>10</v>
      </c>
      <c r="H206" s="456">
        <v>2</v>
      </c>
    </row>
    <row r="207" spans="1:8">
      <c r="A207" s="471">
        <v>1203</v>
      </c>
      <c r="B207" s="493" t="s">
        <v>5391</v>
      </c>
      <c r="C207" s="472" t="s">
        <v>4720</v>
      </c>
      <c r="D207" s="456">
        <f>IF(Table10[[#This Row],[Current Age]]&gt;19,"Men's",IF(E207&gt;15,"U19",IF(E207&gt;13,"U15",IF(E207&gt;11,"U13",IF(E207&gt;0,"U11",0)))))</f>
        <v>0</v>
      </c>
      <c r="E207" s="456">
        <f>IFERROR(IF(Table10[[#This Row],[Year]]&gt;0,$E$1-Table10[[#This Row],[Year]],0),"")</f>
        <v>0</v>
      </c>
      <c r="F207" s="456"/>
      <c r="G207" s="456"/>
      <c r="H207" s="456"/>
    </row>
    <row r="208" spans="1:8">
      <c r="A208" s="456">
        <v>1204</v>
      </c>
      <c r="B208" s="469" t="s">
        <v>1434</v>
      </c>
      <c r="C208" s="458" t="s">
        <v>254</v>
      </c>
      <c r="D208" s="456">
        <f>IF(Table10[[#This Row],[Current Age]]&gt;19,"Men's",IF(E208&gt;15,"U19",IF(E208&gt;13,"U15",IF(E208&gt;11,"U13",IF(E208&gt;0,"U11",0)))))</f>
        <v>0</v>
      </c>
      <c r="E208" s="456">
        <f>IFERROR(IF(Table10[[#This Row],[Year]]&gt;0,$E$1-Table10[[#This Row],[Year]],0),"")</f>
        <v>0</v>
      </c>
      <c r="F208" s="456"/>
      <c r="G208" s="456"/>
      <c r="H208" s="456"/>
    </row>
    <row r="209" spans="1:8">
      <c r="A209" s="471">
        <v>1205</v>
      </c>
      <c r="B209" s="493" t="s">
        <v>1435</v>
      </c>
      <c r="C209" s="472" t="s">
        <v>361</v>
      </c>
      <c r="D209" s="456">
        <f>IF(Table10[[#This Row],[Current Age]]&gt;19,"Men's",IF(E209&gt;15,"U19",IF(E209&gt;13,"U15",IF(E209&gt;11,"U13",IF(E209&gt;0,"U11",0)))))</f>
        <v>0</v>
      </c>
      <c r="E209" s="456">
        <f>IFERROR(IF(Table10[[#This Row],[Year]]&gt;0,$E$1-Table10[[#This Row],[Year]],0),"")</f>
        <v>0</v>
      </c>
      <c r="F209" s="456"/>
      <c r="G209" s="456"/>
      <c r="H209" s="456"/>
    </row>
    <row r="210" spans="1:8">
      <c r="A210" s="456">
        <v>1206</v>
      </c>
      <c r="B210" s="469" t="s">
        <v>151</v>
      </c>
      <c r="C210" s="458"/>
      <c r="D210" s="456">
        <f>IF(Table10[[#This Row],[Current Age]]&gt;19,"Men's",IF(E210&gt;15,"U19",IF(E210&gt;13,"U15",IF(E210&gt;11,"U13",IF(E210&gt;0,"U11",0)))))</f>
        <v>0</v>
      </c>
      <c r="E210" s="456">
        <f>IFERROR(IF(Table10[[#This Row],[Year]]&gt;0,$E$1-Table10[[#This Row],[Year]],0),"")</f>
        <v>0</v>
      </c>
      <c r="F210" s="456"/>
      <c r="G210" s="456"/>
      <c r="H210" s="456"/>
    </row>
    <row r="211" spans="1:8">
      <c r="A211" s="471">
        <v>1207</v>
      </c>
      <c r="B211" s="493" t="s">
        <v>1436</v>
      </c>
      <c r="C211" s="472" t="s">
        <v>243</v>
      </c>
      <c r="D211" s="456" t="str">
        <f>IF(Table10[[#This Row],[Current Age]]&gt;19,"Men's",IF(E211&gt;15,"U19",IF(E211&gt;13,"U15",IF(E211&gt;11,"U13",IF(E211&gt;0,"U11",0)))))</f>
        <v>Men's</v>
      </c>
      <c r="E211" s="456">
        <f>IFERROR(IF(Table10[[#This Row],[Year]]&gt;0,$E$1-Table10[[#This Row],[Year]],0),"")</f>
        <v>25</v>
      </c>
      <c r="F211" s="456">
        <v>2000</v>
      </c>
      <c r="G211" s="456">
        <v>6</v>
      </c>
      <c r="H211" s="456">
        <v>23</v>
      </c>
    </row>
    <row r="212" spans="1:8">
      <c r="A212" s="456">
        <v>1208</v>
      </c>
      <c r="B212" s="469" t="s">
        <v>196</v>
      </c>
      <c r="C212" s="458" t="s">
        <v>4720</v>
      </c>
      <c r="D212" s="456">
        <f>IF(Table10[[#This Row],[Current Age]]&gt;19,"Men's",IF(E212&gt;15,"U19",IF(E212&gt;13,"U15",IF(E212&gt;11,"U13",IF(E212&gt;0,"U11",0)))))</f>
        <v>0</v>
      </c>
      <c r="E212" s="456">
        <f>IFERROR(IF(Table10[[#This Row],[Year]]&gt;0,$E$1-Table10[[#This Row],[Year]],0),"")</f>
        <v>0</v>
      </c>
      <c r="F212" s="456"/>
      <c r="G212" s="456"/>
      <c r="H212" s="456"/>
    </row>
    <row r="213" spans="1:8">
      <c r="A213" s="471">
        <v>1209</v>
      </c>
      <c r="B213" s="493" t="s">
        <v>158</v>
      </c>
      <c r="C213" s="472"/>
      <c r="D213" s="456">
        <f>IF(Table10[[#This Row],[Current Age]]&gt;19,"Men's",IF(E213&gt;15,"U19",IF(E213&gt;13,"U15",IF(E213&gt;11,"U13",IF(E213&gt;0,"U11",0)))))</f>
        <v>0</v>
      </c>
      <c r="E213" s="456">
        <f>IFERROR(IF(Table10[[#This Row],[Year]]&gt;0,$E$1-Table10[[#This Row],[Year]],0),"")</f>
        <v>0</v>
      </c>
      <c r="F213" s="456"/>
      <c r="G213" s="456"/>
      <c r="H213" s="456"/>
    </row>
    <row r="214" spans="1:8">
      <c r="A214" s="456">
        <v>1210</v>
      </c>
      <c r="B214" s="469" t="s">
        <v>1437</v>
      </c>
      <c r="C214" s="458" t="s">
        <v>4720</v>
      </c>
      <c r="D214" s="456">
        <f>IF(Table10[[#This Row],[Current Age]]&gt;19,"Men's",IF(E214&gt;15,"U19",IF(E214&gt;13,"U15",IF(E214&gt;11,"U13",IF(E214&gt;0,"U11",0)))))</f>
        <v>0</v>
      </c>
      <c r="E214" s="456">
        <f>IFERROR(IF(Table10[[#This Row],[Year]]&gt;0,$E$1-Table10[[#This Row],[Year]],0),"")</f>
        <v>0</v>
      </c>
      <c r="F214" s="456"/>
      <c r="G214" s="456"/>
      <c r="H214" s="456"/>
    </row>
    <row r="215" spans="1:8">
      <c r="A215" s="532">
        <v>1211</v>
      </c>
      <c r="B215" s="494" t="s">
        <v>5987</v>
      </c>
      <c r="C215" s="483" t="s">
        <v>1914</v>
      </c>
      <c r="D215" s="456" t="str">
        <f>IF(Table10[[#This Row],[Current Age]]&gt;19,"Men's",IF(E215&gt;15,"U19",IF(E215&gt;13,"U15",IF(E215&gt;11,"U13",IF(E215&gt;0,"U11",0)))))</f>
        <v>Men's</v>
      </c>
      <c r="E215" s="456">
        <f>IFERROR(IF(Table10[[#This Row],[Year]]&gt;0,$E$1-Table10[[#This Row],[Year]],0),"")</f>
        <v>50</v>
      </c>
      <c r="F215" s="456">
        <v>1975</v>
      </c>
      <c r="G215" s="456">
        <v>1</v>
      </c>
      <c r="H215" s="456">
        <v>20</v>
      </c>
    </row>
    <row r="216" spans="1:8">
      <c r="A216" s="471">
        <v>1212</v>
      </c>
      <c r="B216" s="493" t="s">
        <v>1438</v>
      </c>
      <c r="C216" s="472" t="s">
        <v>361</v>
      </c>
      <c r="D216" s="456">
        <f>IF(Table10[[#This Row],[Current Age]]&gt;19,"Men's",IF(E216&gt;15,"U19",IF(E216&gt;13,"U15",IF(E216&gt;11,"U13",IF(E216&gt;0,"U11",0)))))</f>
        <v>0</v>
      </c>
      <c r="E216" s="456">
        <f>IFERROR(IF(Table10[[#This Row],[Year]]&gt;0,$E$1-Table10[[#This Row],[Year]],0),"")</f>
        <v>0</v>
      </c>
      <c r="F216" s="456"/>
      <c r="G216" s="456"/>
      <c r="H216" s="456"/>
    </row>
    <row r="217" spans="1:8">
      <c r="A217" s="456">
        <v>1213</v>
      </c>
      <c r="B217" s="469" t="s">
        <v>168</v>
      </c>
      <c r="C217" s="458"/>
      <c r="D217" s="456">
        <f>IF(Table10[[#This Row],[Current Age]]&gt;19,"Men's",IF(E217&gt;15,"U19",IF(E217&gt;13,"U15",IF(E217&gt;11,"U13",IF(E217&gt;0,"U11",0)))))</f>
        <v>0</v>
      </c>
      <c r="E217" s="456">
        <f>IFERROR(IF(Table10[[#This Row],[Year]]&gt;0,$E$1-Table10[[#This Row],[Year]],0),"")</f>
        <v>0</v>
      </c>
      <c r="F217" s="456"/>
      <c r="G217" s="456"/>
      <c r="H217" s="456"/>
    </row>
    <row r="218" spans="1:8">
      <c r="A218" s="471">
        <v>1214</v>
      </c>
      <c r="B218" s="493" t="s">
        <v>169</v>
      </c>
      <c r="C218" s="472"/>
      <c r="D218" s="456">
        <f>IF(Table10[[#This Row],[Current Age]]&gt;19,"Men's",IF(E218&gt;15,"U19",IF(E218&gt;13,"U15",IF(E218&gt;11,"U13",IF(E218&gt;0,"U11",0)))))</f>
        <v>0</v>
      </c>
      <c r="E218" s="456">
        <f>IFERROR(IF(Table10[[#This Row],[Year]]&gt;0,$E$1-Table10[[#This Row],[Year]],0),"")</f>
        <v>0</v>
      </c>
      <c r="F218" s="456"/>
      <c r="G218" s="456"/>
      <c r="H218" s="456"/>
    </row>
    <row r="219" spans="1:8">
      <c r="A219" s="456">
        <v>1215</v>
      </c>
      <c r="B219" s="469" t="s">
        <v>3282</v>
      </c>
      <c r="C219" s="458" t="s">
        <v>361</v>
      </c>
      <c r="D219" s="456" t="str">
        <f>IF(Table10[[#This Row],[Current Age]]&gt;19,"Men's",IF(E219&gt;15,"U19",IF(E219&gt;13,"U15",IF(E219&gt;11,"U13",IF(E219&gt;0,"U11",0)))))</f>
        <v>Men's</v>
      </c>
      <c r="E219" s="456">
        <f>IFERROR(IF(Table10[[#This Row],[Year]]&gt;0,$E$1-Table10[[#This Row],[Year]],0),"")</f>
        <v>23</v>
      </c>
      <c r="F219" s="456">
        <v>2002</v>
      </c>
      <c r="G219" s="456">
        <v>7</v>
      </c>
      <c r="H219" s="456">
        <v>17</v>
      </c>
    </row>
    <row r="220" spans="1:8">
      <c r="A220" s="471">
        <v>1216</v>
      </c>
      <c r="B220" s="493" t="s">
        <v>1439</v>
      </c>
      <c r="C220" s="472" t="s">
        <v>254</v>
      </c>
      <c r="D220" s="456">
        <f>IF(Table10[[#This Row],[Current Age]]&gt;19,"Men's",IF(E220&gt;15,"U19",IF(E220&gt;13,"U15",IF(E220&gt;11,"U13",IF(E220&gt;0,"U11",0)))))</f>
        <v>0</v>
      </c>
      <c r="E220" s="456">
        <f>IFERROR(IF(Table10[[#This Row],[Year]]&gt;0,$E$1-Table10[[#This Row],[Year]],0),"")</f>
        <v>0</v>
      </c>
      <c r="F220" s="456"/>
      <c r="G220" s="456"/>
      <c r="H220" s="456"/>
    </row>
    <row r="221" spans="1:8">
      <c r="A221" s="456">
        <v>1217</v>
      </c>
      <c r="B221" s="469" t="s">
        <v>1440</v>
      </c>
      <c r="C221" s="458" t="s">
        <v>4658</v>
      </c>
      <c r="D221" s="456">
        <f>IF(Table10[[#This Row],[Current Age]]&gt;19,"Men's",IF(E221&gt;15,"U19",IF(E221&gt;13,"U15",IF(E221&gt;11,"U13",IF(E221&gt;0,"U11",0)))))</f>
        <v>0</v>
      </c>
      <c r="E221" s="456">
        <f>IFERROR(IF(Table10[[#This Row],[Year]]&gt;0,$E$1-Table10[[#This Row],[Year]],0),"")</f>
        <v>0</v>
      </c>
      <c r="F221" s="456"/>
      <c r="G221" s="456"/>
      <c r="H221" s="456"/>
    </row>
    <row r="222" spans="1:8">
      <c r="A222" s="471">
        <v>1218</v>
      </c>
      <c r="B222" s="493" t="s">
        <v>1441</v>
      </c>
      <c r="C222" s="472" t="s">
        <v>248</v>
      </c>
      <c r="D222" s="456" t="str">
        <f>IF(Table10[[#This Row],[Current Age]]&gt;19,"Men's",IF(E222&gt;15,"U19",IF(E222&gt;13,"U15",IF(E222&gt;11,"U13",IF(E222&gt;0,"U11",0)))))</f>
        <v>Men's</v>
      </c>
      <c r="E222" s="456">
        <f>IFERROR(IF(Table10[[#This Row],[Year]]&gt;0,$E$1-Table10[[#This Row],[Year]],0),"")</f>
        <v>22</v>
      </c>
      <c r="F222" s="456">
        <v>2003</v>
      </c>
      <c r="G222" s="456">
        <v>4</v>
      </c>
      <c r="H222" s="456">
        <v>12</v>
      </c>
    </row>
    <row r="223" spans="1:8">
      <c r="A223" s="456">
        <v>1219</v>
      </c>
      <c r="B223" s="469" t="s">
        <v>1442</v>
      </c>
      <c r="C223" s="458" t="s">
        <v>251</v>
      </c>
      <c r="D223" s="456">
        <f>IF(Table10[[#This Row],[Current Age]]&gt;19,"Men's",IF(E223&gt;15,"U19",IF(E223&gt;13,"U15",IF(E223&gt;11,"U13",IF(E223&gt;0,"U11",0)))))</f>
        <v>0</v>
      </c>
      <c r="E223" s="456">
        <f>IFERROR(IF(Table10[[#This Row],[Year]]&gt;0,$E$1-Table10[[#This Row],[Year]],0),"")</f>
        <v>0</v>
      </c>
      <c r="F223" s="456"/>
      <c r="G223" s="456"/>
      <c r="H223" s="456"/>
    </row>
    <row r="224" spans="1:8">
      <c r="A224" s="471">
        <v>1220</v>
      </c>
      <c r="B224" s="493" t="s">
        <v>1443</v>
      </c>
      <c r="C224" s="472" t="s">
        <v>361</v>
      </c>
      <c r="D224" s="456" t="str">
        <f>IF(Table10[[#This Row],[Current Age]]&gt;19,"Men's",IF(E224&gt;15,"U19",IF(E224&gt;13,"U15",IF(E224&gt;11,"U13",IF(E224&gt;0,"U11",0)))))</f>
        <v>Men's</v>
      </c>
      <c r="E224" s="456">
        <f>IFERROR(IF(Table10[[#This Row],[Year]]&gt;0,$E$1-Table10[[#This Row],[Year]],0),"")</f>
        <v>23</v>
      </c>
      <c r="F224" s="456">
        <v>2002</v>
      </c>
      <c r="G224" s="456">
        <v>6</v>
      </c>
      <c r="H224" s="456">
        <v>8</v>
      </c>
    </row>
    <row r="225" spans="1:8">
      <c r="A225" s="456">
        <v>1221</v>
      </c>
      <c r="B225" s="469" t="s">
        <v>1444</v>
      </c>
      <c r="C225" s="458" t="s">
        <v>4552</v>
      </c>
      <c r="D225" s="456" t="str">
        <f>IF(Table10[[#This Row],[Current Age]]&gt;19,"Men's",IF(E225&gt;15,"U19",IF(E225&gt;13,"U15",IF(E225&gt;11,"U13",IF(E225&gt;0,"U11",0)))))</f>
        <v>Men's</v>
      </c>
      <c r="E225" s="456">
        <f>IFERROR(IF(Table10[[#This Row],[Year]]&gt;0,$E$1-Table10[[#This Row],[Year]],0),"")</f>
        <v>23</v>
      </c>
      <c r="F225" s="456">
        <v>2002</v>
      </c>
      <c r="G225" s="456">
        <v>1</v>
      </c>
      <c r="H225" s="456">
        <v>11</v>
      </c>
    </row>
    <row r="226" spans="1:8">
      <c r="A226" s="471">
        <v>1222</v>
      </c>
      <c r="B226" s="493" t="s">
        <v>1445</v>
      </c>
      <c r="C226" s="472" t="s">
        <v>4720</v>
      </c>
      <c r="D226" s="456">
        <f>IF(Table10[[#This Row],[Current Age]]&gt;19,"Men's",IF(E226&gt;15,"U19",IF(E226&gt;13,"U15",IF(E226&gt;11,"U13",IF(E226&gt;0,"U11",0)))))</f>
        <v>0</v>
      </c>
      <c r="E226" s="456">
        <f>IFERROR(IF(Table10[[#This Row],[Year]]&gt;0,$E$1-Table10[[#This Row],[Year]],0),"")</f>
        <v>0</v>
      </c>
      <c r="F226" s="456"/>
      <c r="G226" s="456"/>
      <c r="H226" s="456"/>
    </row>
    <row r="227" spans="1:8">
      <c r="A227" s="456">
        <v>1223</v>
      </c>
      <c r="B227" s="469" t="s">
        <v>1446</v>
      </c>
      <c r="C227" s="458" t="s">
        <v>251</v>
      </c>
      <c r="D227" s="456" t="str">
        <f>IF(Table10[[#This Row],[Current Age]]&gt;19,"Men's",IF(E227&gt;15,"U19",IF(E227&gt;13,"U15",IF(E227&gt;11,"U13",IF(E227&gt;0,"U11",0)))))</f>
        <v>Men's</v>
      </c>
      <c r="E227" s="456">
        <f>IFERROR(IF(Table10[[#This Row],[Year]]&gt;0,$E$1-Table10[[#This Row],[Year]],0),"")</f>
        <v>23</v>
      </c>
      <c r="F227" s="456">
        <v>2002</v>
      </c>
      <c r="G227" s="456">
        <v>11</v>
      </c>
      <c r="H227" s="456">
        <v>16</v>
      </c>
    </row>
    <row r="228" spans="1:8">
      <c r="A228" s="471">
        <v>1224</v>
      </c>
      <c r="B228" s="493" t="s">
        <v>3289</v>
      </c>
      <c r="C228" s="472" t="s">
        <v>3287</v>
      </c>
      <c r="D228" s="456">
        <f>IF(Table10[[#This Row],[Current Age]]&gt;19,"Men's",IF(E228&gt;15,"U19",IF(E228&gt;13,"U15",IF(E228&gt;11,"U13",IF(E228&gt;0,"U11",0)))))</f>
        <v>0</v>
      </c>
      <c r="E228" s="456">
        <f>IFERROR(IF(Table10[[#This Row],[Year]]&gt;0,$E$1-Table10[[#This Row],[Year]],0),"")</f>
        <v>0</v>
      </c>
      <c r="F228" s="456"/>
      <c r="G228" s="456"/>
      <c r="H228" s="456"/>
    </row>
    <row r="229" spans="1:8">
      <c r="A229" s="456">
        <v>1225</v>
      </c>
      <c r="B229" s="469" t="s">
        <v>1447</v>
      </c>
      <c r="C229" s="458" t="s">
        <v>251</v>
      </c>
      <c r="D229" s="456" t="str">
        <f>IF(Table10[[#This Row],[Current Age]]&gt;19,"Men's",IF(E229&gt;15,"U19",IF(E229&gt;13,"U15",IF(E229&gt;11,"U13",IF(E229&gt;0,"U11",0)))))</f>
        <v>Men's</v>
      </c>
      <c r="E229" s="456">
        <f>IFERROR(IF(Table10[[#This Row],[Year]]&gt;0,$E$1-Table10[[#This Row],[Year]],0),"")</f>
        <v>23</v>
      </c>
      <c r="F229" s="456">
        <v>2002</v>
      </c>
      <c r="G229" s="456">
        <v>1</v>
      </c>
      <c r="H229" s="456">
        <v>16</v>
      </c>
    </row>
    <row r="230" spans="1:8">
      <c r="A230" s="471">
        <v>1226</v>
      </c>
      <c r="B230" s="493" t="s">
        <v>1910</v>
      </c>
      <c r="C230" s="472" t="s">
        <v>361</v>
      </c>
      <c r="D230" s="456" t="str">
        <f>IF(Table10[[#This Row],[Current Age]]&gt;19,"Men's",IF(E230&gt;15,"U19",IF(E230&gt;13,"U15",IF(E230&gt;11,"U13",IF(E230&gt;0,"U11",0)))))</f>
        <v>Men's</v>
      </c>
      <c r="E230" s="456">
        <f>IFERROR(IF(Table10[[#This Row],[Year]]&gt;0,$E$1-Table10[[#This Row],[Year]],0),"")</f>
        <v>26</v>
      </c>
      <c r="F230" s="456">
        <v>1999</v>
      </c>
      <c r="G230" s="456">
        <v>2</v>
      </c>
      <c r="H230" s="456">
        <v>19</v>
      </c>
    </row>
    <row r="231" spans="1:8">
      <c r="A231" s="456">
        <v>1227</v>
      </c>
      <c r="B231" s="469" t="s">
        <v>1448</v>
      </c>
      <c r="C231" s="458" t="s">
        <v>248</v>
      </c>
      <c r="D231" s="456">
        <f>IF(Table10[[#This Row],[Current Age]]&gt;19,"Men's",IF(E231&gt;15,"U19",IF(E231&gt;13,"U15",IF(E231&gt;11,"U13",IF(E231&gt;0,"U11",0)))))</f>
        <v>0</v>
      </c>
      <c r="E231" s="456">
        <f>IFERROR(IF(Table10[[#This Row],[Year]]&gt;0,$E$1-Table10[[#This Row],[Year]],0),"")</f>
        <v>0</v>
      </c>
      <c r="F231" s="456"/>
      <c r="G231" s="456"/>
      <c r="H231" s="456"/>
    </row>
    <row r="232" spans="1:8">
      <c r="A232" s="471">
        <v>1228</v>
      </c>
      <c r="B232" s="493" t="s">
        <v>1449</v>
      </c>
      <c r="C232" s="472" t="s">
        <v>243</v>
      </c>
      <c r="D232" s="456" t="str">
        <f>IF(Table10[[#This Row],[Current Age]]&gt;19,"Men's",IF(E232&gt;15,"U19",IF(E232&gt;13,"U15",IF(E232&gt;11,"U13",IF(E232&gt;0,"U11",0)))))</f>
        <v>Men's</v>
      </c>
      <c r="E232" s="456">
        <f>IFERROR(IF(Table10[[#This Row],[Year]]&gt;0,$E$1-Table10[[#This Row],[Year]],0),"")</f>
        <v>24</v>
      </c>
      <c r="F232" s="456">
        <v>2001</v>
      </c>
      <c r="G232" s="456">
        <v>9</v>
      </c>
      <c r="H232" s="456">
        <v>12</v>
      </c>
    </row>
    <row r="233" spans="1:8">
      <c r="A233" s="456">
        <v>1229</v>
      </c>
      <c r="B233" s="469" t="s">
        <v>1450</v>
      </c>
      <c r="C233" s="458" t="s">
        <v>361</v>
      </c>
      <c r="D233" s="456" t="str">
        <f>IF(Table10[[#This Row],[Current Age]]&gt;19,"Men's",IF(E233&gt;15,"U19",IF(E233&gt;13,"U15",IF(E233&gt;11,"U13",IF(E233&gt;0,"U11",0)))))</f>
        <v>Men's</v>
      </c>
      <c r="E233" s="456">
        <f>IFERROR(IF(Table10[[#This Row],[Year]]&gt;0,$E$1-Table10[[#This Row],[Year]],0),"")</f>
        <v>25</v>
      </c>
      <c r="F233" s="456">
        <v>2000</v>
      </c>
      <c r="G233" s="456">
        <v>2</v>
      </c>
      <c r="H233" s="456">
        <v>7</v>
      </c>
    </row>
    <row r="234" spans="1:8">
      <c r="A234" s="471">
        <v>1230</v>
      </c>
      <c r="B234" s="493" t="s">
        <v>1451</v>
      </c>
      <c r="C234" s="472" t="s">
        <v>4552</v>
      </c>
      <c r="D234" s="456" t="str">
        <f>IF(Table10[[#This Row],[Current Age]]&gt;19,"Men's",IF(E234&gt;15,"U19",IF(E234&gt;13,"U15",IF(E234&gt;11,"U13",IF(E234&gt;0,"U11",0)))))</f>
        <v>Men's</v>
      </c>
      <c r="E234" s="456">
        <f>IFERROR(IF(Table10[[#This Row],[Year]]&gt;0,$E$1-Table10[[#This Row],[Year]],0),"")</f>
        <v>23</v>
      </c>
      <c r="F234" s="456">
        <v>2002</v>
      </c>
      <c r="G234" s="456">
        <v>3</v>
      </c>
      <c r="H234" s="456">
        <v>4</v>
      </c>
    </row>
    <row r="235" spans="1:8">
      <c r="A235" s="456">
        <v>1231</v>
      </c>
      <c r="B235" s="469" t="s">
        <v>1452</v>
      </c>
      <c r="C235" s="458" t="s">
        <v>362</v>
      </c>
      <c r="D235" s="456">
        <f>IF(Table10[[#This Row],[Current Age]]&gt;19,"Men's",IF(E235&gt;15,"U19",IF(E235&gt;13,"U15",IF(E235&gt;11,"U13",IF(E235&gt;0,"U11",0)))))</f>
        <v>0</v>
      </c>
      <c r="E235" s="456">
        <f>IFERROR(IF(Table10[[#This Row],[Year]]&gt;0,$E$1-Table10[[#This Row],[Year]],0),"")</f>
        <v>0</v>
      </c>
      <c r="F235" s="456"/>
      <c r="G235" s="456"/>
      <c r="H235" s="456"/>
    </row>
    <row r="236" spans="1:8">
      <c r="A236" s="471">
        <v>1232</v>
      </c>
      <c r="B236" s="493" t="s">
        <v>1453</v>
      </c>
      <c r="C236" s="472" t="s">
        <v>4658</v>
      </c>
      <c r="D236" s="456" t="str">
        <f>IF(Table10[[#This Row],[Current Age]]&gt;19,"Men's",IF(E236&gt;15,"U19",IF(E236&gt;13,"U15",IF(E236&gt;11,"U13",IF(E236&gt;0,"U11",0)))))</f>
        <v>Men's</v>
      </c>
      <c r="E236" s="456">
        <f>IFERROR(IF(Table10[[#This Row],[Year]]&gt;0,$E$1-Table10[[#This Row],[Year]],0),"")</f>
        <v>24</v>
      </c>
      <c r="F236" s="456">
        <v>2001</v>
      </c>
      <c r="G236" s="456">
        <v>8</v>
      </c>
      <c r="H236" s="456">
        <v>22</v>
      </c>
    </row>
    <row r="237" spans="1:8">
      <c r="A237" s="456">
        <v>1233</v>
      </c>
      <c r="B237" s="469" t="s">
        <v>5346</v>
      </c>
      <c r="C237" s="458" t="s">
        <v>4552</v>
      </c>
      <c r="D237" s="456" t="str">
        <f>IF(Table10[[#This Row],[Current Age]]&gt;19,"Men's",IF(E237&gt;15,"U19",IF(E237&gt;13,"U15",IF(E237&gt;11,"U13",IF(E237&gt;0,"U11",0)))))</f>
        <v>U11</v>
      </c>
      <c r="E237" s="456">
        <f>IFERROR(IF(Table10[[#This Row],[Year]]&gt;0,$E$1-Table10[[#This Row],[Year]],0),"")</f>
        <v>11</v>
      </c>
      <c r="F237" s="456">
        <v>2014</v>
      </c>
      <c r="G237" s="456">
        <v>12</v>
      </c>
      <c r="H237" s="456">
        <v>19</v>
      </c>
    </row>
    <row r="238" spans="1:8">
      <c r="A238" s="471">
        <v>1234</v>
      </c>
      <c r="B238" s="493" t="s">
        <v>1455</v>
      </c>
      <c r="C238" s="472" t="s">
        <v>361</v>
      </c>
      <c r="D238" s="456">
        <f>IF(Table10[[#This Row],[Current Age]]&gt;19,"Men's",IF(E238&gt;15,"U19",IF(E238&gt;13,"U15",IF(E238&gt;11,"U13",IF(E238&gt;0,"U11",0)))))</f>
        <v>0</v>
      </c>
      <c r="E238" s="456">
        <f>IFERROR(IF(Table10[[#This Row],[Year]]&gt;0,$E$1-Table10[[#This Row],[Year]],0),"")</f>
        <v>0</v>
      </c>
      <c r="F238" s="456"/>
      <c r="G238" s="456"/>
      <c r="H238" s="456"/>
    </row>
    <row r="239" spans="1:8">
      <c r="A239" s="456">
        <v>1235</v>
      </c>
      <c r="B239" s="469" t="s">
        <v>1456</v>
      </c>
      <c r="C239" s="458" t="s">
        <v>248</v>
      </c>
      <c r="D239" s="456">
        <f>IF(Table10[[#This Row],[Current Age]]&gt;19,"Men's",IF(E239&gt;15,"U19",IF(E239&gt;13,"U15",IF(E239&gt;11,"U13",IF(E239&gt;0,"U11",0)))))</f>
        <v>0</v>
      </c>
      <c r="E239" s="456">
        <f>IFERROR(IF(Table10[[#This Row],[Year]]&gt;0,$E$1-Table10[[#This Row],[Year]],0),"")</f>
        <v>0</v>
      </c>
      <c r="F239" s="456"/>
      <c r="G239" s="456"/>
      <c r="H239" s="456"/>
    </row>
    <row r="240" spans="1:8">
      <c r="A240" s="471">
        <v>1236</v>
      </c>
      <c r="B240" s="493" t="s">
        <v>1457</v>
      </c>
      <c r="C240" s="472" t="s">
        <v>254</v>
      </c>
      <c r="D240" s="456">
        <f>IF(Table10[[#This Row],[Current Age]]&gt;19,"Men's",IF(E240&gt;15,"U19",IF(E240&gt;13,"U15",IF(E240&gt;11,"U13",IF(E240&gt;0,"U11",0)))))</f>
        <v>0</v>
      </c>
      <c r="E240" s="456">
        <f>IFERROR(IF(Table10[[#This Row],[Year]]&gt;0,$E$1-Table10[[#This Row],[Year]],0),"")</f>
        <v>0</v>
      </c>
      <c r="F240" s="456"/>
      <c r="G240" s="456"/>
      <c r="H240" s="456"/>
    </row>
    <row r="241" spans="1:8">
      <c r="A241" s="456">
        <v>1237</v>
      </c>
      <c r="B241" s="469" t="s">
        <v>1911</v>
      </c>
      <c r="C241" s="458" t="s">
        <v>361</v>
      </c>
      <c r="D241" s="456">
        <f>IF(Table10[[#This Row],[Current Age]]&gt;19,"Men's",IF(E241&gt;15,"U19",IF(E241&gt;13,"U15",IF(E241&gt;11,"U13",IF(E241&gt;0,"U11",0)))))</f>
        <v>0</v>
      </c>
      <c r="E241" s="456">
        <f>IFERROR(IF(Table10[[#This Row],[Year]]&gt;0,$E$1-Table10[[#This Row],[Year]],0),"")</f>
        <v>0</v>
      </c>
      <c r="F241" s="456"/>
      <c r="G241" s="456"/>
      <c r="H241" s="456"/>
    </row>
    <row r="242" spans="1:8">
      <c r="A242" s="471">
        <v>1238</v>
      </c>
      <c r="B242" s="493" t="s">
        <v>1458</v>
      </c>
      <c r="C242" s="472" t="s">
        <v>250</v>
      </c>
      <c r="D242" s="456">
        <f>IF(Table10[[#This Row],[Current Age]]&gt;19,"Men's",IF(E242&gt;15,"U19",IF(E242&gt;13,"U15",IF(E242&gt;11,"U13",IF(E242&gt;0,"U11",0)))))</f>
        <v>0</v>
      </c>
      <c r="E242" s="456">
        <f>IFERROR(IF(Table10[[#This Row],[Year]]&gt;0,$E$1-Table10[[#This Row],[Year]],0),"")</f>
        <v>0</v>
      </c>
      <c r="F242" s="456"/>
      <c r="G242" s="456"/>
      <c r="H242" s="456"/>
    </row>
    <row r="243" spans="1:8">
      <c r="A243" s="456">
        <v>1239</v>
      </c>
      <c r="B243" s="469" t="s">
        <v>1459</v>
      </c>
      <c r="C243" s="458" t="s">
        <v>255</v>
      </c>
      <c r="D243" s="456">
        <f>IF(Table10[[#This Row],[Current Age]]&gt;19,"Men's",IF(E243&gt;15,"U19",IF(E243&gt;13,"U15",IF(E243&gt;11,"U13",IF(E243&gt;0,"U11",0)))))</f>
        <v>0</v>
      </c>
      <c r="E243" s="456">
        <f>IFERROR(IF(Table10[[#This Row],[Year]]&gt;0,$E$1-Table10[[#This Row],[Year]],0),"")</f>
        <v>0</v>
      </c>
      <c r="F243" s="456"/>
      <c r="G243" s="456"/>
      <c r="H243" s="456"/>
    </row>
    <row r="244" spans="1:8">
      <c r="A244" s="471">
        <v>1240</v>
      </c>
      <c r="B244" s="493" t="s">
        <v>1460</v>
      </c>
      <c r="C244" s="472" t="s">
        <v>249</v>
      </c>
      <c r="D244" s="456" t="str">
        <f>IF(Table10[[#This Row],[Current Age]]&gt;19,"Men's",IF(E244&gt;15,"U19",IF(E244&gt;13,"U15",IF(E244&gt;11,"U13",IF(E244&gt;0,"U11",0)))))</f>
        <v>Men's</v>
      </c>
      <c r="E244" s="456">
        <f>IFERROR(IF(Table10[[#This Row],[Year]]&gt;0,$E$1-Table10[[#This Row],[Year]],0),"")</f>
        <v>25</v>
      </c>
      <c r="F244" s="456">
        <v>2000</v>
      </c>
      <c r="G244" s="456">
        <v>3</v>
      </c>
      <c r="H244" s="456">
        <v>8</v>
      </c>
    </row>
    <row r="245" spans="1:8">
      <c r="A245" s="456">
        <v>1241</v>
      </c>
      <c r="B245" s="469" t="s">
        <v>1461</v>
      </c>
      <c r="C245" s="458" t="s">
        <v>243</v>
      </c>
      <c r="D245" s="456" t="str">
        <f>IF(Table10[[#This Row],[Current Age]]&gt;19,"Men's",IF(E245&gt;15,"U19",IF(E245&gt;13,"U15",IF(E245&gt;11,"U13",IF(E245&gt;0,"U11",0)))))</f>
        <v>Men's</v>
      </c>
      <c r="E245" s="456">
        <f>IFERROR(IF(Table10[[#This Row],[Year]]&gt;0,$E$1-Table10[[#This Row],[Year]],0),"")</f>
        <v>22</v>
      </c>
      <c r="F245" s="456">
        <v>2003</v>
      </c>
      <c r="G245" s="456">
        <v>11</v>
      </c>
      <c r="H245" s="456">
        <v>20</v>
      </c>
    </row>
    <row r="246" spans="1:8">
      <c r="A246" s="471">
        <v>1242</v>
      </c>
      <c r="B246" s="493" t="s">
        <v>1462</v>
      </c>
      <c r="C246" s="472" t="s">
        <v>251</v>
      </c>
      <c r="D246" s="456">
        <f>IF(Table10[[#This Row],[Current Age]]&gt;19,"Men's",IF(E246&gt;15,"U19",IF(E246&gt;13,"U15",IF(E246&gt;11,"U13",IF(E246&gt;0,"U11",0)))))</f>
        <v>0</v>
      </c>
      <c r="E246" s="456">
        <f>IFERROR(IF(Table10[[#This Row],[Year]]&gt;0,$E$1-Table10[[#This Row],[Year]],0),"")</f>
        <v>0</v>
      </c>
      <c r="F246" s="456"/>
      <c r="G246" s="456"/>
      <c r="H246" s="456"/>
    </row>
    <row r="247" spans="1:8">
      <c r="A247" s="456">
        <v>1243</v>
      </c>
      <c r="B247" s="469" t="s">
        <v>1463</v>
      </c>
      <c r="C247" s="458" t="s">
        <v>4720</v>
      </c>
      <c r="D247" s="456">
        <f>IF(Table10[[#This Row],[Current Age]]&gt;19,"Men's",IF(E247&gt;15,"U19",IF(E247&gt;13,"U15",IF(E247&gt;11,"U13",IF(E247&gt;0,"U11",0)))))</f>
        <v>0</v>
      </c>
      <c r="E247" s="456">
        <f>IFERROR(IF(Table10[[#This Row],[Year]]&gt;0,$E$1-Table10[[#This Row],[Year]],0),"")</f>
        <v>0</v>
      </c>
      <c r="F247" s="456"/>
      <c r="G247" s="456"/>
      <c r="H247" s="456"/>
    </row>
    <row r="248" spans="1:8">
      <c r="A248" s="471">
        <v>1244</v>
      </c>
      <c r="B248" s="493" t="s">
        <v>1464</v>
      </c>
      <c r="C248" s="472" t="s">
        <v>243</v>
      </c>
      <c r="D248" s="456" t="str">
        <f>IF(Table10[[#This Row],[Current Age]]&gt;19,"Men's",IF(E248&gt;15,"U19",IF(E248&gt;13,"U15",IF(E248&gt;11,"U13",IF(E248&gt;0,"U11",0)))))</f>
        <v>Men's</v>
      </c>
      <c r="E248" s="456">
        <f>IFERROR(IF(Table10[[#This Row],[Year]]&gt;0,$E$1-Table10[[#This Row],[Year]],0),"")</f>
        <v>22</v>
      </c>
      <c r="F248" s="456">
        <v>2003</v>
      </c>
      <c r="G248" s="456">
        <v>3</v>
      </c>
      <c r="H248" s="456">
        <v>23</v>
      </c>
    </row>
    <row r="249" spans="1:8">
      <c r="A249" s="456">
        <v>1245</v>
      </c>
      <c r="B249" s="469" t="s">
        <v>3292</v>
      </c>
      <c r="C249" s="458" t="s">
        <v>249</v>
      </c>
      <c r="D249" s="456">
        <f>IF(Table10[[#This Row],[Current Age]]&gt;19,"Men's",IF(E249&gt;15,"U19",IF(E249&gt;13,"U15",IF(E249&gt;11,"U13",IF(E249&gt;0,"U11",0)))))</f>
        <v>0</v>
      </c>
      <c r="E249" s="456">
        <f>IFERROR(IF(Table10[[#This Row],[Year]]&gt;0,$E$1-Table10[[#This Row],[Year]],0),"")</f>
        <v>0</v>
      </c>
      <c r="F249" s="456"/>
      <c r="G249" s="456"/>
      <c r="H249" s="456"/>
    </row>
    <row r="250" spans="1:8">
      <c r="A250" s="471">
        <v>1246</v>
      </c>
      <c r="B250" s="493" t="s">
        <v>1465</v>
      </c>
      <c r="C250" s="472" t="s">
        <v>254</v>
      </c>
      <c r="D250" s="456">
        <f>IF(Table10[[#This Row],[Current Age]]&gt;19,"Men's",IF(E250&gt;15,"U19",IF(E250&gt;13,"U15",IF(E250&gt;11,"U13",IF(E250&gt;0,"U11",0)))))</f>
        <v>0</v>
      </c>
      <c r="E250" s="456">
        <f>IFERROR(IF(Table10[[#This Row],[Year]]&gt;0,$E$1-Table10[[#This Row],[Year]],0),"")</f>
        <v>0</v>
      </c>
      <c r="F250" s="456"/>
      <c r="G250" s="456"/>
      <c r="H250" s="456"/>
    </row>
    <row r="251" spans="1:8">
      <c r="A251" s="456">
        <v>1247</v>
      </c>
      <c r="B251" s="469" t="s">
        <v>1466</v>
      </c>
      <c r="C251" s="458" t="s">
        <v>248</v>
      </c>
      <c r="D251" s="456">
        <f>IF(Table10[[#This Row],[Current Age]]&gt;19,"Men's",IF(E251&gt;15,"U19",IF(E251&gt;13,"U15",IF(E251&gt;11,"U13",IF(E251&gt;0,"U11",0)))))</f>
        <v>0</v>
      </c>
      <c r="E251" s="456">
        <f>IFERROR(IF(Table10[[#This Row],[Year]]&gt;0,$E$1-Table10[[#This Row],[Year]],0),"")</f>
        <v>0</v>
      </c>
      <c r="F251" s="456"/>
      <c r="G251" s="456"/>
      <c r="H251" s="456"/>
    </row>
    <row r="252" spans="1:8">
      <c r="A252" s="471">
        <v>1248</v>
      </c>
      <c r="B252" s="493" t="s">
        <v>1467</v>
      </c>
      <c r="C252" s="472" t="s">
        <v>361</v>
      </c>
      <c r="D252" s="456">
        <f>IF(Table10[[#This Row],[Current Age]]&gt;19,"Men's",IF(E252&gt;15,"U19",IF(E252&gt;13,"U15",IF(E252&gt;11,"U13",IF(E252&gt;0,"U11",0)))))</f>
        <v>0</v>
      </c>
      <c r="E252" s="456">
        <f>IFERROR(IF(Table10[[#This Row],[Year]]&gt;0,$E$1-Table10[[#This Row],[Year]],0),"")</f>
        <v>0</v>
      </c>
      <c r="F252" s="456"/>
      <c r="G252" s="456"/>
      <c r="H252" s="456"/>
    </row>
    <row r="253" spans="1:8">
      <c r="A253" s="456">
        <v>1249</v>
      </c>
      <c r="B253" s="469" t="s">
        <v>1468</v>
      </c>
      <c r="C253" s="458" t="s">
        <v>250</v>
      </c>
      <c r="D253" s="456">
        <f>IF(Table10[[#This Row],[Current Age]]&gt;19,"Men's",IF(E253&gt;15,"U19",IF(E253&gt;13,"U15",IF(E253&gt;11,"U13",IF(E253&gt;0,"U11",0)))))</f>
        <v>0</v>
      </c>
      <c r="E253" s="456">
        <f>IFERROR(IF(Table10[[#This Row],[Year]]&gt;0,$E$1-Table10[[#This Row],[Year]],0),"")</f>
        <v>0</v>
      </c>
      <c r="F253" s="456"/>
      <c r="G253" s="456"/>
      <c r="H253" s="456"/>
    </row>
    <row r="254" spans="1:8">
      <c r="A254" s="471">
        <v>1250</v>
      </c>
      <c r="B254" s="493" t="s">
        <v>1469</v>
      </c>
      <c r="C254" s="472" t="s">
        <v>250</v>
      </c>
      <c r="D254" s="456">
        <f>IF(Table10[[#This Row],[Current Age]]&gt;19,"Men's",IF(E254&gt;15,"U19",IF(E254&gt;13,"U15",IF(E254&gt;11,"U13",IF(E254&gt;0,"U11",0)))))</f>
        <v>0</v>
      </c>
      <c r="E254" s="456">
        <f>IFERROR(IF(Table10[[#This Row],[Year]]&gt;0,$E$1-Table10[[#This Row],[Year]],0),"")</f>
        <v>0</v>
      </c>
      <c r="F254" s="456"/>
      <c r="G254" s="456"/>
      <c r="H254" s="456"/>
    </row>
    <row r="255" spans="1:8">
      <c r="A255" s="456">
        <v>1251</v>
      </c>
      <c r="B255" s="469" t="s">
        <v>5835</v>
      </c>
      <c r="C255" s="458" t="s">
        <v>5957</v>
      </c>
      <c r="D255" s="456">
        <f>IF(Table10[[#This Row],[Current Age]]&gt;19,"Men's",IF(E255&gt;15,"U19",IF(E255&gt;13,"U15",IF(E255&gt;11,"U13",IF(E255&gt;0,"U11",0)))))</f>
        <v>0</v>
      </c>
      <c r="E255" s="456">
        <f>IFERROR(IF(Table10[[#This Row],[Year]]&gt;0,$E$1-Table10[[#This Row],[Year]],0),"")</f>
        <v>0</v>
      </c>
      <c r="F255" s="456"/>
      <c r="G255" s="456"/>
      <c r="H255" s="456"/>
    </row>
    <row r="256" spans="1:8">
      <c r="A256" s="471">
        <v>1252</v>
      </c>
      <c r="B256" s="493" t="s">
        <v>1470</v>
      </c>
      <c r="C256" s="472" t="s">
        <v>251</v>
      </c>
      <c r="D256" s="456" t="str">
        <f>IF(Table10[[#This Row],[Current Age]]&gt;19,"Men's",IF(E256&gt;15,"U19",IF(E256&gt;13,"U15",IF(E256&gt;11,"U13",IF(E256&gt;0,"U11",0)))))</f>
        <v>Men's</v>
      </c>
      <c r="E256" s="456">
        <f>IFERROR(IF(Table10[[#This Row],[Year]]&gt;0,$E$1-Table10[[#This Row],[Year]],0),"")</f>
        <v>25</v>
      </c>
      <c r="F256" s="456">
        <v>2000</v>
      </c>
      <c r="G256" s="456">
        <v>3</v>
      </c>
      <c r="H256" s="456">
        <v>18</v>
      </c>
    </row>
    <row r="257" spans="1:8">
      <c r="A257" s="456">
        <v>1253</v>
      </c>
      <c r="B257" s="469" t="s">
        <v>1471</v>
      </c>
      <c r="C257" s="458" t="s">
        <v>256</v>
      </c>
      <c r="D257" s="456">
        <f>IF(Table10[[#This Row],[Current Age]]&gt;19,"Men's",IF(E257&gt;15,"U19",IF(E257&gt;13,"U15",IF(E257&gt;11,"U13",IF(E257&gt;0,"U11",0)))))</f>
        <v>0</v>
      </c>
      <c r="E257" s="456">
        <f>IFERROR(IF(Table10[[#This Row],[Year]]&gt;0,$E$1-Table10[[#This Row],[Year]],0),"")</f>
        <v>0</v>
      </c>
      <c r="F257" s="456"/>
      <c r="G257" s="456"/>
      <c r="H257" s="456"/>
    </row>
    <row r="258" spans="1:8">
      <c r="A258" s="471">
        <v>1254</v>
      </c>
      <c r="B258" s="493" t="s">
        <v>1472</v>
      </c>
      <c r="C258" s="472" t="s">
        <v>253</v>
      </c>
      <c r="D258" s="456">
        <f>IF(Table10[[#This Row],[Current Age]]&gt;19,"Men's",IF(E258&gt;15,"U19",IF(E258&gt;13,"U15",IF(E258&gt;11,"U13",IF(E258&gt;0,"U11",0)))))</f>
        <v>0</v>
      </c>
      <c r="E258" s="456">
        <f>IFERROR(IF(Table10[[#This Row],[Year]]&gt;0,$E$1-Table10[[#This Row],[Year]],0),"")</f>
        <v>0</v>
      </c>
      <c r="F258" s="456"/>
      <c r="G258" s="456"/>
      <c r="H258" s="456"/>
    </row>
    <row r="259" spans="1:8">
      <c r="A259" s="456">
        <v>1255</v>
      </c>
      <c r="B259" s="469" t="s">
        <v>1473</v>
      </c>
      <c r="C259" s="458" t="s">
        <v>254</v>
      </c>
      <c r="D259" s="456">
        <f>IF(Table10[[#This Row],[Current Age]]&gt;19,"Men's",IF(E259&gt;15,"U19",IF(E259&gt;13,"U15",IF(E259&gt;11,"U13",IF(E259&gt;0,"U11",0)))))</f>
        <v>0</v>
      </c>
      <c r="E259" s="456">
        <f>IFERROR(IF(Table10[[#This Row],[Year]]&gt;0,$E$1-Table10[[#This Row],[Year]],0),"")</f>
        <v>0</v>
      </c>
      <c r="F259" s="456"/>
      <c r="G259" s="456"/>
      <c r="H259" s="456"/>
    </row>
    <row r="260" spans="1:8">
      <c r="A260" s="471">
        <v>1256</v>
      </c>
      <c r="B260" s="493" t="s">
        <v>1474</v>
      </c>
      <c r="C260" s="472" t="s">
        <v>362</v>
      </c>
      <c r="D260" s="456">
        <f>IF(Table10[[#This Row],[Current Age]]&gt;19,"Men's",IF(E260&gt;15,"U19",IF(E260&gt;13,"U15",IF(E260&gt;11,"U13",IF(E260&gt;0,"U11",0)))))</f>
        <v>0</v>
      </c>
      <c r="E260" s="456">
        <f>IFERROR(IF(Table10[[#This Row],[Year]]&gt;0,$E$1-Table10[[#This Row],[Year]],0),"")</f>
        <v>0</v>
      </c>
      <c r="F260" s="456"/>
      <c r="G260" s="456"/>
      <c r="H260" s="456"/>
    </row>
    <row r="261" spans="1:8">
      <c r="A261" s="456">
        <v>1257</v>
      </c>
      <c r="B261" s="469" t="s">
        <v>1475</v>
      </c>
      <c r="C261" s="458" t="s">
        <v>361</v>
      </c>
      <c r="D261" s="456">
        <f>IF(Table10[[#This Row],[Current Age]]&gt;19,"Men's",IF(E261&gt;15,"U19",IF(E261&gt;13,"U15",IF(E261&gt;11,"U13",IF(E261&gt;0,"U11",0)))))</f>
        <v>0</v>
      </c>
      <c r="E261" s="456">
        <f>IFERROR(IF(Table10[[#This Row],[Year]]&gt;0,$E$1-Table10[[#This Row],[Year]],0),"")</f>
        <v>0</v>
      </c>
      <c r="F261" s="456"/>
      <c r="G261" s="456"/>
      <c r="H261" s="456"/>
    </row>
    <row r="262" spans="1:8">
      <c r="A262" s="471">
        <v>1258</v>
      </c>
      <c r="B262" s="493" t="s">
        <v>1476</v>
      </c>
      <c r="C262" s="472" t="s">
        <v>243</v>
      </c>
      <c r="D262" s="456">
        <f>IF(Table10[[#This Row],[Current Age]]&gt;19,"Men's",IF(E262&gt;15,"U19",IF(E262&gt;13,"U15",IF(E262&gt;11,"U13",IF(E262&gt;0,"U11",0)))))</f>
        <v>0</v>
      </c>
      <c r="E262" s="456">
        <f>IFERROR(IF(Table10[[#This Row],[Year]]&gt;0,$E$1-Table10[[#This Row],[Year]],0),"")</f>
        <v>0</v>
      </c>
      <c r="F262" s="456"/>
      <c r="G262" s="456"/>
      <c r="H262" s="456"/>
    </row>
    <row r="263" spans="1:8">
      <c r="A263" s="456">
        <v>1259</v>
      </c>
      <c r="B263" s="469" t="s">
        <v>1477</v>
      </c>
      <c r="C263" s="458" t="s">
        <v>4552</v>
      </c>
      <c r="D263" s="456" t="str">
        <f>IF(Table10[[#This Row],[Current Age]]&gt;19,"Men's",IF(E263&gt;15,"U19",IF(E263&gt;13,"U15",IF(E263&gt;11,"U13",IF(E263&gt;0,"U11",0)))))</f>
        <v>Men's</v>
      </c>
      <c r="E263" s="456">
        <f>IFERROR(IF(Table10[[#This Row],[Year]]&gt;0,$E$1-Table10[[#This Row],[Year]],0),"")</f>
        <v>23</v>
      </c>
      <c r="F263" s="456">
        <v>2002</v>
      </c>
      <c r="G263" s="456">
        <v>1</v>
      </c>
      <c r="H263" s="456">
        <v>26</v>
      </c>
    </row>
    <row r="264" spans="1:8">
      <c r="A264" s="471">
        <v>1260</v>
      </c>
      <c r="B264" s="493" t="s">
        <v>1478</v>
      </c>
      <c r="C264" s="472" t="s">
        <v>256</v>
      </c>
      <c r="D264" s="456">
        <f>IF(Table10[[#This Row],[Current Age]]&gt;19,"Men's",IF(E264&gt;15,"U19",IF(E264&gt;13,"U15",IF(E264&gt;11,"U13",IF(E264&gt;0,"U11",0)))))</f>
        <v>0</v>
      </c>
      <c r="E264" s="456">
        <f>IFERROR(IF(Table10[[#This Row],[Year]]&gt;0,$E$1-Table10[[#This Row],[Year]],0),"")</f>
        <v>0</v>
      </c>
      <c r="F264" s="456"/>
      <c r="G264" s="456"/>
      <c r="H264" s="456"/>
    </row>
    <row r="265" spans="1:8">
      <c r="A265" s="456">
        <v>1261</v>
      </c>
      <c r="B265" s="469" t="s">
        <v>1479</v>
      </c>
      <c r="C265" s="458" t="s">
        <v>250</v>
      </c>
      <c r="D265" s="456">
        <f>IF(Table10[[#This Row],[Current Age]]&gt;19,"Men's",IF(E265&gt;15,"U19",IF(E265&gt;13,"U15",IF(E265&gt;11,"U13",IF(E265&gt;0,"U11",0)))))</f>
        <v>0</v>
      </c>
      <c r="E265" s="456">
        <f>IFERROR(IF(Table10[[#This Row],[Year]]&gt;0,$E$1-Table10[[#This Row],[Year]],0),"")</f>
        <v>0</v>
      </c>
      <c r="F265" s="456"/>
      <c r="G265" s="456"/>
      <c r="H265" s="456"/>
    </row>
    <row r="266" spans="1:8">
      <c r="A266" s="471">
        <v>1262</v>
      </c>
      <c r="B266" s="493" t="s">
        <v>1480</v>
      </c>
      <c r="C266" s="472" t="s">
        <v>256</v>
      </c>
      <c r="D266" s="456">
        <f>IF(Table10[[#This Row],[Current Age]]&gt;19,"Men's",IF(E266&gt;15,"U19",IF(E266&gt;13,"U15",IF(E266&gt;11,"U13",IF(E266&gt;0,"U11",0)))))</f>
        <v>0</v>
      </c>
      <c r="E266" s="456">
        <f>IFERROR(IF(Table10[[#This Row],[Year]]&gt;0,$E$1-Table10[[#This Row],[Year]],0),"")</f>
        <v>0</v>
      </c>
      <c r="F266" s="456"/>
      <c r="G266" s="456"/>
      <c r="H266" s="456"/>
    </row>
    <row r="267" spans="1:8">
      <c r="A267" s="456">
        <v>1263</v>
      </c>
      <c r="B267" s="469" t="s">
        <v>1481</v>
      </c>
      <c r="C267" s="458" t="s">
        <v>762</v>
      </c>
      <c r="D267" s="456">
        <f>IF(Table10[[#This Row],[Current Age]]&gt;19,"Men's",IF(E267&gt;15,"U19",IF(E267&gt;13,"U15",IF(E267&gt;11,"U13",IF(E267&gt;0,"U11",0)))))</f>
        <v>0</v>
      </c>
      <c r="E267" s="456">
        <f>IFERROR(IF(Table10[[#This Row],[Year]]&gt;0,$E$1-Table10[[#This Row],[Year]],0),"")</f>
        <v>0</v>
      </c>
      <c r="F267" s="456"/>
      <c r="G267" s="456"/>
      <c r="H267" s="456"/>
    </row>
    <row r="268" spans="1:8">
      <c r="A268" s="471">
        <v>1264</v>
      </c>
      <c r="B268" s="493" t="s">
        <v>1482</v>
      </c>
      <c r="C268" s="472" t="s">
        <v>762</v>
      </c>
      <c r="D268" s="456">
        <f>IF(Table10[[#This Row],[Current Age]]&gt;19,"Men's",IF(E268&gt;15,"U19",IF(E268&gt;13,"U15",IF(E268&gt;11,"U13",IF(E268&gt;0,"U11",0)))))</f>
        <v>0</v>
      </c>
      <c r="E268" s="456">
        <f>IFERROR(IF(Table10[[#This Row],[Year]]&gt;0,$E$1-Table10[[#This Row],[Year]],0),"")</f>
        <v>0</v>
      </c>
      <c r="F268" s="456"/>
      <c r="G268" s="456"/>
      <c r="H268" s="456"/>
    </row>
    <row r="269" spans="1:8">
      <c r="A269" s="456">
        <v>1265</v>
      </c>
      <c r="B269" s="469" t="s">
        <v>1483</v>
      </c>
      <c r="C269" s="458" t="s">
        <v>244</v>
      </c>
      <c r="D269" s="456">
        <f>IF(Table10[[#This Row],[Current Age]]&gt;19,"Men's",IF(E269&gt;15,"U19",IF(E269&gt;13,"U15",IF(E269&gt;11,"U13",IF(E269&gt;0,"U11",0)))))</f>
        <v>0</v>
      </c>
      <c r="E269" s="456">
        <f>IFERROR(IF(Table10[[#This Row],[Year]]&gt;0,$E$1-Table10[[#This Row],[Year]],0),"")</f>
        <v>0</v>
      </c>
      <c r="F269" s="456"/>
      <c r="G269" s="456"/>
      <c r="H269" s="456"/>
    </row>
    <row r="270" spans="1:8">
      <c r="A270" s="471">
        <v>1266</v>
      </c>
      <c r="B270" s="493" t="s">
        <v>1484</v>
      </c>
      <c r="C270" s="472" t="s">
        <v>4720</v>
      </c>
      <c r="D270" s="456">
        <f>IF(Table10[[#This Row],[Current Age]]&gt;19,"Men's",IF(E270&gt;15,"U19",IF(E270&gt;13,"U15",IF(E270&gt;11,"U13",IF(E270&gt;0,"U11",0)))))</f>
        <v>0</v>
      </c>
      <c r="E270" s="456">
        <f>IFERROR(IF(Table10[[#This Row],[Year]]&gt;0,$E$1-Table10[[#This Row],[Year]],0),"")</f>
        <v>0</v>
      </c>
      <c r="F270" s="456"/>
      <c r="G270" s="456"/>
      <c r="H270" s="456"/>
    </row>
    <row r="271" spans="1:8">
      <c r="A271" s="456">
        <v>1267</v>
      </c>
      <c r="B271" s="469" t="s">
        <v>1485</v>
      </c>
      <c r="C271" s="458" t="s">
        <v>4720</v>
      </c>
      <c r="D271" s="456">
        <f>IF(Table10[[#This Row],[Current Age]]&gt;19,"Men's",IF(E271&gt;15,"U19",IF(E271&gt;13,"U15",IF(E271&gt;11,"U13",IF(E271&gt;0,"U11",0)))))</f>
        <v>0</v>
      </c>
      <c r="E271" s="456">
        <f>IFERROR(IF(Table10[[#This Row],[Year]]&gt;0,$E$1-Table10[[#This Row],[Year]],0),"")</f>
        <v>0</v>
      </c>
      <c r="F271" s="456"/>
      <c r="G271" s="456"/>
      <c r="H271" s="456"/>
    </row>
    <row r="272" spans="1:8">
      <c r="A272" s="471">
        <v>1268</v>
      </c>
      <c r="B272" s="493" t="s">
        <v>1906</v>
      </c>
      <c r="C272" s="472" t="s">
        <v>251</v>
      </c>
      <c r="D272" s="456">
        <f>IF(Table10[[#This Row],[Current Age]]&gt;19,"Men's",IF(E272&gt;15,"U19",IF(E272&gt;13,"U15",IF(E272&gt;11,"U13",IF(E272&gt;0,"U11",0)))))</f>
        <v>0</v>
      </c>
      <c r="E272" s="456">
        <f>IFERROR(IF(Table10[[#This Row],[Year]]&gt;0,$E$1-Table10[[#This Row],[Year]],0),"")</f>
        <v>0</v>
      </c>
      <c r="F272" s="456"/>
      <c r="G272" s="456"/>
      <c r="H272" s="456"/>
    </row>
    <row r="273" spans="1:8">
      <c r="A273" s="456">
        <v>1269</v>
      </c>
      <c r="B273" s="469" t="s">
        <v>1486</v>
      </c>
      <c r="C273" s="458" t="s">
        <v>256</v>
      </c>
      <c r="D273" s="456" t="str">
        <f>IF(Table10[[#This Row],[Current Age]]&gt;19,"Men's",IF(E273&gt;15,"U19",IF(E273&gt;13,"U15",IF(E273&gt;11,"U13",IF(E273&gt;0,"U11",0)))))</f>
        <v>Men's</v>
      </c>
      <c r="E273" s="456">
        <f>IFERROR(IF(Table10[[#This Row],[Year]]&gt;0,$E$1-Table10[[#This Row],[Year]],0),"")</f>
        <v>22</v>
      </c>
      <c r="F273" s="456">
        <v>2003</v>
      </c>
      <c r="G273" s="456">
        <v>11</v>
      </c>
      <c r="H273" s="456">
        <v>14</v>
      </c>
    </row>
    <row r="274" spans="1:8">
      <c r="A274" s="471">
        <v>1270</v>
      </c>
      <c r="B274" s="493" t="s">
        <v>1487</v>
      </c>
      <c r="C274" s="472" t="s">
        <v>248</v>
      </c>
      <c r="D274" s="456">
        <f>IF(Table10[[#This Row],[Current Age]]&gt;19,"Men's",IF(E274&gt;15,"U19",IF(E274&gt;13,"U15",IF(E274&gt;11,"U13",IF(E274&gt;0,"U11",0)))))</f>
        <v>0</v>
      </c>
      <c r="E274" s="456">
        <f>IFERROR(IF(Table10[[#This Row],[Year]]&gt;0,$E$1-Table10[[#This Row],[Year]],0),"")</f>
        <v>0</v>
      </c>
      <c r="F274" s="456"/>
      <c r="G274" s="456"/>
      <c r="H274" s="456"/>
    </row>
    <row r="275" spans="1:8">
      <c r="A275" s="456">
        <v>1271</v>
      </c>
      <c r="B275" s="469" t="s">
        <v>1488</v>
      </c>
      <c r="C275" s="458" t="s">
        <v>4552</v>
      </c>
      <c r="D275" s="456">
        <f>IF(Table10[[#This Row],[Current Age]]&gt;19,"Men's",IF(E275&gt;15,"U19",IF(E275&gt;13,"U15",IF(E275&gt;11,"U13",IF(E275&gt;0,"U11",0)))))</f>
        <v>0</v>
      </c>
      <c r="E275" s="456">
        <f>IFERROR(IF(Table10[[#This Row],[Year]]&gt;0,$E$1-Table10[[#This Row],[Year]],0),"")</f>
        <v>0</v>
      </c>
      <c r="F275" s="456"/>
      <c r="G275" s="456"/>
      <c r="H275" s="456"/>
    </row>
    <row r="276" spans="1:8">
      <c r="A276" s="471">
        <v>1272</v>
      </c>
      <c r="B276" s="493" t="s">
        <v>1489</v>
      </c>
      <c r="C276" s="472" t="s">
        <v>256</v>
      </c>
      <c r="D276" s="456">
        <f>IF(Table10[[#This Row],[Current Age]]&gt;19,"Men's",IF(E276&gt;15,"U19",IF(E276&gt;13,"U15",IF(E276&gt;11,"U13",IF(E276&gt;0,"U11",0)))))</f>
        <v>0</v>
      </c>
      <c r="E276" s="456">
        <f>IFERROR(IF(Table10[[#This Row],[Year]]&gt;0,$E$1-Table10[[#This Row],[Year]],0),"")</f>
        <v>0</v>
      </c>
      <c r="F276" s="456"/>
      <c r="G276" s="456"/>
      <c r="H276" s="456"/>
    </row>
    <row r="277" spans="1:8">
      <c r="A277" s="456">
        <v>1273</v>
      </c>
      <c r="B277" s="469" t="s">
        <v>1490</v>
      </c>
      <c r="C277" s="458" t="s">
        <v>249</v>
      </c>
      <c r="D277" s="456" t="str">
        <f>IF(Table10[[#This Row],[Current Age]]&gt;19,"Men's",IF(E277&gt;15,"U19",IF(E277&gt;13,"U15",IF(E277&gt;11,"U13",IF(E277&gt;0,"U11",0)))))</f>
        <v>Men's</v>
      </c>
      <c r="E277" s="456">
        <f>IFERROR(IF(Table10[[#This Row],[Year]]&gt;0,$E$1-Table10[[#This Row],[Year]],0),"")</f>
        <v>24</v>
      </c>
      <c r="F277" s="456">
        <v>2001</v>
      </c>
      <c r="G277" s="456">
        <v>5</v>
      </c>
      <c r="H277" s="456">
        <v>3</v>
      </c>
    </row>
    <row r="278" spans="1:8">
      <c r="A278" s="471">
        <v>1274</v>
      </c>
      <c r="B278" s="493" t="s">
        <v>1491</v>
      </c>
      <c r="C278" s="472" t="s">
        <v>250</v>
      </c>
      <c r="D278" s="456">
        <f>IF(Table10[[#This Row],[Current Age]]&gt;19,"Men's",IF(E278&gt;15,"U19",IF(E278&gt;13,"U15",IF(E278&gt;11,"U13",IF(E278&gt;0,"U11",0)))))</f>
        <v>0</v>
      </c>
      <c r="E278" s="456">
        <f>IFERROR(IF(Table10[[#This Row],[Year]]&gt;0,$E$1-Table10[[#This Row],[Year]],0),"")</f>
        <v>0</v>
      </c>
      <c r="F278" s="456"/>
      <c r="G278" s="456"/>
      <c r="H278" s="456"/>
    </row>
    <row r="279" spans="1:8">
      <c r="A279" s="456">
        <v>1275</v>
      </c>
      <c r="B279" s="469" t="s">
        <v>1492</v>
      </c>
      <c r="C279" s="458" t="s">
        <v>361</v>
      </c>
      <c r="D279" s="456" t="str">
        <f>IF(Table10[[#This Row],[Current Age]]&gt;19,"Men's",IF(E279&gt;15,"U19",IF(E279&gt;13,"U15",IF(E279&gt;11,"U13",IF(E279&gt;0,"U11",0)))))</f>
        <v>Men's</v>
      </c>
      <c r="E279" s="456">
        <f>IFERROR(IF(Table10[[#This Row],[Year]]&gt;0,$E$1-Table10[[#This Row],[Year]],0),"")</f>
        <v>24</v>
      </c>
      <c r="F279" s="456">
        <v>2001</v>
      </c>
      <c r="G279" s="456">
        <v>9</v>
      </c>
      <c r="H279" s="456">
        <v>14</v>
      </c>
    </row>
    <row r="280" spans="1:8">
      <c r="A280" s="471">
        <v>1276</v>
      </c>
      <c r="B280" s="493" t="s">
        <v>1493</v>
      </c>
      <c r="C280" s="472" t="s">
        <v>362</v>
      </c>
      <c r="D280" s="456">
        <f>IF(Table10[[#This Row],[Current Age]]&gt;19,"Men's",IF(E280&gt;15,"U19",IF(E280&gt;13,"U15",IF(E280&gt;11,"U13",IF(E280&gt;0,"U11",0)))))</f>
        <v>0</v>
      </c>
      <c r="E280" s="456">
        <f>IFERROR(IF(Table10[[#This Row],[Year]]&gt;0,$E$1-Table10[[#This Row],[Year]],0),"")</f>
        <v>0</v>
      </c>
      <c r="F280" s="456"/>
      <c r="G280" s="456"/>
      <c r="H280" s="456"/>
    </row>
    <row r="281" spans="1:8">
      <c r="A281" s="456">
        <v>1277</v>
      </c>
      <c r="B281" s="469" t="s">
        <v>1494</v>
      </c>
      <c r="C281" s="458" t="s">
        <v>361</v>
      </c>
      <c r="D281" s="456">
        <f>IF(Table10[[#This Row],[Current Age]]&gt;19,"Men's",IF(E281&gt;15,"U19",IF(E281&gt;13,"U15",IF(E281&gt;11,"U13",IF(E281&gt;0,"U11",0)))))</f>
        <v>0</v>
      </c>
      <c r="E281" s="456">
        <f>IFERROR(IF(Table10[[#This Row],[Year]]&gt;0,$E$1-Table10[[#This Row],[Year]],0),"")</f>
        <v>0</v>
      </c>
      <c r="F281" s="456"/>
      <c r="G281" s="456"/>
      <c r="H281" s="456"/>
    </row>
    <row r="282" spans="1:8">
      <c r="A282" s="471">
        <v>1278</v>
      </c>
      <c r="B282" s="493" t="s">
        <v>1495</v>
      </c>
      <c r="C282" s="472" t="s">
        <v>4552</v>
      </c>
      <c r="D282" s="456">
        <f>IF(Table10[[#This Row],[Current Age]]&gt;19,"Men's",IF(E282&gt;15,"U19",IF(E282&gt;13,"U15",IF(E282&gt;11,"U13",IF(E282&gt;0,"U11",0)))))</f>
        <v>0</v>
      </c>
      <c r="E282" s="456">
        <f>IFERROR(IF(Table10[[#This Row],[Year]]&gt;0,$E$1-Table10[[#This Row],[Year]],0),"")</f>
        <v>0</v>
      </c>
      <c r="F282" s="456"/>
      <c r="G282" s="456"/>
      <c r="H282" s="456"/>
    </row>
    <row r="283" spans="1:8">
      <c r="A283" s="456">
        <v>1279</v>
      </c>
      <c r="B283" s="469" t="s">
        <v>1496</v>
      </c>
      <c r="C283" s="458" t="s">
        <v>243</v>
      </c>
      <c r="D283" s="456">
        <f>IF(Table10[[#This Row],[Current Age]]&gt;19,"Men's",IF(E283&gt;15,"U19",IF(E283&gt;13,"U15",IF(E283&gt;11,"U13",IF(E283&gt;0,"U11",0)))))</f>
        <v>0</v>
      </c>
      <c r="E283" s="456">
        <f>IFERROR(IF(Table10[[#This Row],[Year]]&gt;0,$E$1-Table10[[#This Row],[Year]],0),"")</f>
        <v>0</v>
      </c>
      <c r="F283" s="456"/>
      <c r="G283" s="456"/>
      <c r="H283" s="456"/>
    </row>
    <row r="284" spans="1:8">
      <c r="A284" s="471">
        <v>1280</v>
      </c>
      <c r="B284" s="493" t="s">
        <v>1497</v>
      </c>
      <c r="C284" s="472" t="s">
        <v>250</v>
      </c>
      <c r="D284" s="456">
        <f>IF(Table10[[#This Row],[Current Age]]&gt;19,"Men's",IF(E284&gt;15,"U19",IF(E284&gt;13,"U15",IF(E284&gt;11,"U13",IF(E284&gt;0,"U11",0)))))</f>
        <v>0</v>
      </c>
      <c r="E284" s="456">
        <f>IFERROR(IF(Table10[[#This Row],[Year]]&gt;0,$E$1-Table10[[#This Row],[Year]],0),"")</f>
        <v>0</v>
      </c>
      <c r="F284" s="456"/>
      <c r="G284" s="456"/>
      <c r="H284" s="456"/>
    </row>
    <row r="285" spans="1:8">
      <c r="A285" s="456">
        <v>1281</v>
      </c>
      <c r="B285" s="469" t="s">
        <v>1498</v>
      </c>
      <c r="C285" s="458" t="s">
        <v>256</v>
      </c>
      <c r="D285" s="456">
        <f>IF(Table10[[#This Row],[Current Age]]&gt;19,"Men's",IF(E285&gt;15,"U19",IF(E285&gt;13,"U15",IF(E285&gt;11,"U13",IF(E285&gt;0,"U11",0)))))</f>
        <v>0</v>
      </c>
      <c r="E285" s="456">
        <f>IFERROR(IF(Table10[[#This Row],[Year]]&gt;0,$E$1-Table10[[#This Row],[Year]],0),"")</f>
        <v>0</v>
      </c>
      <c r="F285" s="456"/>
      <c r="G285" s="456"/>
      <c r="H285" s="456"/>
    </row>
    <row r="286" spans="1:8">
      <c r="A286" s="471">
        <v>1282</v>
      </c>
      <c r="B286" s="493" t="s">
        <v>1499</v>
      </c>
      <c r="C286" s="472" t="s">
        <v>762</v>
      </c>
      <c r="D286" s="456">
        <f>IF(Table10[[#This Row],[Current Age]]&gt;19,"Men's",IF(E286&gt;15,"U19",IF(E286&gt;13,"U15",IF(E286&gt;11,"U13",IF(E286&gt;0,"U11",0)))))</f>
        <v>0</v>
      </c>
      <c r="E286" s="456">
        <f>IFERROR(IF(Table10[[#This Row],[Year]]&gt;0,$E$1-Table10[[#This Row],[Year]],0),"")</f>
        <v>0</v>
      </c>
      <c r="F286" s="456"/>
      <c r="G286" s="456"/>
      <c r="H286" s="456"/>
    </row>
    <row r="287" spans="1:8">
      <c r="A287" s="456">
        <v>1283</v>
      </c>
      <c r="B287" s="469" t="s">
        <v>1500</v>
      </c>
      <c r="C287" s="458" t="s">
        <v>250</v>
      </c>
      <c r="D287" s="456">
        <f>IF(Table10[[#This Row],[Current Age]]&gt;19,"Men's",IF(E287&gt;15,"U19",IF(E287&gt;13,"U15",IF(E287&gt;11,"U13",IF(E287&gt;0,"U11",0)))))</f>
        <v>0</v>
      </c>
      <c r="E287" s="456">
        <f>IFERROR(IF(Table10[[#This Row],[Year]]&gt;0,$E$1-Table10[[#This Row],[Year]],0),"")</f>
        <v>0</v>
      </c>
      <c r="F287" s="456"/>
      <c r="G287" s="456"/>
      <c r="H287" s="456"/>
    </row>
    <row r="288" spans="1:8">
      <c r="A288" s="471">
        <v>1284</v>
      </c>
      <c r="B288" s="493" t="s">
        <v>1501</v>
      </c>
      <c r="C288" s="472" t="s">
        <v>243</v>
      </c>
      <c r="D288" s="456" t="str">
        <f>IF(Table10[[#This Row],[Current Age]]&gt;19,"Men's",IF(E288&gt;15,"U19",IF(E288&gt;13,"U15",IF(E288&gt;11,"U13",IF(E288&gt;0,"U11",0)))))</f>
        <v>Men's</v>
      </c>
      <c r="E288" s="456">
        <f>IFERROR(IF(Table10[[#This Row],[Year]]&gt;0,$E$1-Table10[[#This Row],[Year]],0),"")</f>
        <v>22</v>
      </c>
      <c r="F288" s="456">
        <v>2003</v>
      </c>
      <c r="G288" s="456">
        <v>6</v>
      </c>
      <c r="H288" s="456">
        <v>26</v>
      </c>
    </row>
    <row r="289" spans="1:8">
      <c r="A289" s="456">
        <v>1285</v>
      </c>
      <c r="B289" s="469" t="s">
        <v>1502</v>
      </c>
      <c r="C289" s="458" t="s">
        <v>361</v>
      </c>
      <c r="D289" s="456" t="str">
        <f>IF(Table10[[#This Row],[Current Age]]&gt;19,"Men's",IF(E289&gt;15,"U19",IF(E289&gt;13,"U15",IF(E289&gt;11,"U13",IF(E289&gt;0,"U11",0)))))</f>
        <v>Men's</v>
      </c>
      <c r="E289" s="456">
        <f>IFERROR(IF(Table10[[#This Row],[Year]]&gt;0,$E$1-Table10[[#This Row],[Year]],0),"")</f>
        <v>25</v>
      </c>
      <c r="F289" s="456">
        <v>2000</v>
      </c>
      <c r="G289" s="456">
        <v>10</v>
      </c>
      <c r="H289" s="456">
        <v>5</v>
      </c>
    </row>
    <row r="290" spans="1:8">
      <c r="A290" s="471">
        <v>1286</v>
      </c>
      <c r="B290" s="493" t="s">
        <v>1503</v>
      </c>
      <c r="C290" s="472" t="s">
        <v>361</v>
      </c>
      <c r="D290" s="456">
        <f>IF(Table10[[#This Row],[Current Age]]&gt;19,"Men's",IF(E290&gt;15,"U19",IF(E290&gt;13,"U15",IF(E290&gt;11,"U13",IF(E290&gt;0,"U11",0)))))</f>
        <v>0</v>
      </c>
      <c r="E290" s="456">
        <f>IFERROR(IF(Table10[[#This Row],[Year]]&gt;0,$E$1-Table10[[#This Row],[Year]],0),"")</f>
        <v>0</v>
      </c>
      <c r="F290" s="456"/>
      <c r="G290" s="456"/>
      <c r="H290" s="456"/>
    </row>
    <row r="291" spans="1:8">
      <c r="A291" s="456">
        <v>1287</v>
      </c>
      <c r="B291" s="469" t="s">
        <v>1504</v>
      </c>
      <c r="C291" s="458" t="s">
        <v>361</v>
      </c>
      <c r="D291" s="456">
        <f>IF(Table10[[#This Row],[Current Age]]&gt;19,"Men's",IF(E291&gt;15,"U19",IF(E291&gt;13,"U15",IF(E291&gt;11,"U13",IF(E291&gt;0,"U11",0)))))</f>
        <v>0</v>
      </c>
      <c r="E291" s="456">
        <f>IFERROR(IF(Table10[[#This Row],[Year]]&gt;0,$E$1-Table10[[#This Row],[Year]],0),"")</f>
        <v>0</v>
      </c>
      <c r="F291" s="456"/>
      <c r="G291" s="456"/>
      <c r="H291" s="456"/>
    </row>
    <row r="292" spans="1:8">
      <c r="A292" s="471">
        <v>1288</v>
      </c>
      <c r="B292" s="493" t="s">
        <v>1505</v>
      </c>
      <c r="C292" s="472" t="s">
        <v>762</v>
      </c>
      <c r="D292" s="456">
        <f>IF(Table10[[#This Row],[Current Age]]&gt;19,"Men's",IF(E292&gt;15,"U19",IF(E292&gt;13,"U15",IF(E292&gt;11,"U13",IF(E292&gt;0,"U11",0)))))</f>
        <v>0</v>
      </c>
      <c r="E292" s="456">
        <f>IFERROR(IF(Table10[[#This Row],[Year]]&gt;0,$E$1-Table10[[#This Row],[Year]],0),"")</f>
        <v>0</v>
      </c>
      <c r="F292" s="456"/>
      <c r="G292" s="456"/>
      <c r="H292" s="456"/>
    </row>
    <row r="293" spans="1:8">
      <c r="A293" s="456">
        <v>1289</v>
      </c>
      <c r="B293" s="469" t="s">
        <v>1506</v>
      </c>
      <c r="C293" s="458" t="s">
        <v>256</v>
      </c>
      <c r="D293" s="456">
        <f>IF(Table10[[#This Row],[Current Age]]&gt;19,"Men's",IF(E293&gt;15,"U19",IF(E293&gt;13,"U15",IF(E293&gt;11,"U13",IF(E293&gt;0,"U11",0)))))</f>
        <v>0</v>
      </c>
      <c r="E293" s="456">
        <f>IFERROR(IF(Table10[[#This Row],[Year]]&gt;0,$E$1-Table10[[#This Row],[Year]],0),"")</f>
        <v>0</v>
      </c>
      <c r="F293" s="456"/>
      <c r="G293" s="456"/>
      <c r="H293" s="456"/>
    </row>
    <row r="294" spans="1:8">
      <c r="A294" s="471">
        <v>1290</v>
      </c>
      <c r="B294" s="493" t="s">
        <v>1507</v>
      </c>
      <c r="C294" s="472" t="s">
        <v>249</v>
      </c>
      <c r="D294" s="456" t="str">
        <f>IF(Table10[[#This Row],[Current Age]]&gt;19,"Men's",IF(E294&gt;15,"U19",IF(E294&gt;13,"U15",IF(E294&gt;11,"U13",IF(E294&gt;0,"U11",0)))))</f>
        <v>Men's</v>
      </c>
      <c r="E294" s="456">
        <f>IFERROR(IF(Table10[[#This Row],[Year]]&gt;0,$E$1-Table10[[#This Row],[Year]],0),"")</f>
        <v>25</v>
      </c>
      <c r="F294" s="456">
        <v>2000</v>
      </c>
      <c r="G294" s="456">
        <v>6</v>
      </c>
      <c r="H294" s="456">
        <v>14</v>
      </c>
    </row>
    <row r="295" spans="1:8">
      <c r="A295" s="456">
        <v>1291</v>
      </c>
      <c r="B295" s="469" t="s">
        <v>1508</v>
      </c>
      <c r="C295" s="458" t="s">
        <v>4658</v>
      </c>
      <c r="D295" s="456">
        <f>IF(Table10[[#This Row],[Current Age]]&gt;19,"Men's",IF(E295&gt;15,"U19",IF(E295&gt;13,"U15",IF(E295&gt;11,"U13",IF(E295&gt;0,"U11",0)))))</f>
        <v>0</v>
      </c>
      <c r="E295" s="456">
        <f>IFERROR(IF(Table10[[#This Row],[Year]]&gt;0,$E$1-Table10[[#This Row],[Year]],0),"")</f>
        <v>0</v>
      </c>
      <c r="F295" s="456"/>
      <c r="G295" s="456"/>
      <c r="H295" s="456"/>
    </row>
    <row r="296" spans="1:8">
      <c r="A296" s="471">
        <v>1292</v>
      </c>
      <c r="B296" s="493" t="s">
        <v>1509</v>
      </c>
      <c r="C296" s="472" t="s">
        <v>243</v>
      </c>
      <c r="D296" s="456" t="str">
        <f>IF(Table10[[#This Row],[Current Age]]&gt;19,"Men's",IF(E296&gt;15,"U19",IF(E296&gt;13,"U15",IF(E296&gt;11,"U13",IF(E296&gt;0,"U11",0)))))</f>
        <v>Men's</v>
      </c>
      <c r="E296" s="456">
        <f>IFERROR(IF(Table10[[#This Row],[Year]]&gt;0,$E$1-Table10[[#This Row],[Year]],0),"")</f>
        <v>23</v>
      </c>
      <c r="F296" s="456">
        <v>2002</v>
      </c>
      <c r="G296" s="456">
        <v>4</v>
      </c>
      <c r="H296" s="456">
        <v>26</v>
      </c>
    </row>
    <row r="297" spans="1:8">
      <c r="A297" s="456">
        <v>1293</v>
      </c>
      <c r="B297" s="469" t="s">
        <v>1510</v>
      </c>
      <c r="C297" s="458" t="s">
        <v>628</v>
      </c>
      <c r="D297" s="456" t="str">
        <f>IF(Table10[[#This Row],[Current Age]]&gt;19,"Men's",IF(E297&gt;15,"U19",IF(E297&gt;13,"U15",IF(E297&gt;11,"U13",IF(E297&gt;0,"U11",0)))))</f>
        <v>Men's</v>
      </c>
      <c r="E297" s="456">
        <f>IFERROR(IF(Table10[[#This Row],[Year]]&gt;0,$E$1-Table10[[#This Row],[Year]],0),"")</f>
        <v>22</v>
      </c>
      <c r="F297" s="456">
        <v>2003</v>
      </c>
      <c r="G297" s="456">
        <v>4</v>
      </c>
      <c r="H297" s="456">
        <v>26</v>
      </c>
    </row>
    <row r="298" spans="1:8">
      <c r="A298" s="471">
        <v>1294</v>
      </c>
      <c r="B298" s="493" t="s">
        <v>1511</v>
      </c>
      <c r="C298" s="472" t="s">
        <v>244</v>
      </c>
      <c r="D298" s="456">
        <f>IF(Table10[[#This Row],[Current Age]]&gt;19,"Men's",IF(E298&gt;15,"U19",IF(E298&gt;13,"U15",IF(E298&gt;11,"U13",IF(E298&gt;0,"U11",0)))))</f>
        <v>0</v>
      </c>
      <c r="E298" s="456">
        <f>IFERROR(IF(Table10[[#This Row],[Year]]&gt;0,$E$1-Table10[[#This Row],[Year]],0),"")</f>
        <v>0</v>
      </c>
      <c r="F298" s="456"/>
      <c r="G298" s="456"/>
      <c r="H298" s="456"/>
    </row>
    <row r="299" spans="1:8">
      <c r="A299" s="456">
        <v>1295</v>
      </c>
      <c r="B299" s="469" t="s">
        <v>1512</v>
      </c>
      <c r="C299" s="458" t="s">
        <v>256</v>
      </c>
      <c r="D299" s="456">
        <f>IF(Table10[[#This Row],[Current Age]]&gt;19,"Men's",IF(E299&gt;15,"U19",IF(E299&gt;13,"U15",IF(E299&gt;11,"U13",IF(E299&gt;0,"U11",0)))))</f>
        <v>0</v>
      </c>
      <c r="E299" s="456">
        <f>IFERROR(IF(Table10[[#This Row],[Year]]&gt;0,$E$1-Table10[[#This Row],[Year]],0),"")</f>
        <v>0</v>
      </c>
      <c r="F299" s="456"/>
      <c r="G299" s="456"/>
      <c r="H299" s="456"/>
    </row>
    <row r="300" spans="1:8">
      <c r="A300" s="471">
        <v>1296</v>
      </c>
      <c r="B300" s="493" t="s">
        <v>1513</v>
      </c>
      <c r="C300" s="472" t="s">
        <v>762</v>
      </c>
      <c r="D300" s="456">
        <f>IF(Table10[[#This Row],[Current Age]]&gt;19,"Men's",IF(E300&gt;15,"U19",IF(E300&gt;13,"U15",IF(E300&gt;11,"U13",IF(E300&gt;0,"U11",0)))))</f>
        <v>0</v>
      </c>
      <c r="E300" s="456">
        <f>IFERROR(IF(Table10[[#This Row],[Year]]&gt;0,$E$1-Table10[[#This Row],[Year]],0),"")</f>
        <v>0</v>
      </c>
      <c r="F300" s="456"/>
      <c r="G300" s="456"/>
      <c r="H300" s="456"/>
    </row>
    <row r="301" spans="1:8">
      <c r="A301" s="456">
        <v>1297</v>
      </c>
      <c r="B301" s="469" t="s">
        <v>1514</v>
      </c>
      <c r="C301" s="458" t="s">
        <v>256</v>
      </c>
      <c r="D301" s="456">
        <f>IF(Table10[[#This Row],[Current Age]]&gt;19,"Men's",IF(E301&gt;15,"U19",IF(E301&gt;13,"U15",IF(E301&gt;11,"U13",IF(E301&gt;0,"U11",0)))))</f>
        <v>0</v>
      </c>
      <c r="E301" s="456">
        <f>IFERROR(IF(Table10[[#This Row],[Year]]&gt;0,$E$1-Table10[[#This Row],[Year]],0),"")</f>
        <v>0</v>
      </c>
      <c r="F301" s="456"/>
      <c r="G301" s="456"/>
      <c r="H301" s="456"/>
    </row>
    <row r="302" spans="1:8">
      <c r="A302" s="471">
        <v>1298</v>
      </c>
      <c r="B302" s="493" t="s">
        <v>1912</v>
      </c>
      <c r="C302" s="472" t="s">
        <v>361</v>
      </c>
      <c r="D302" s="456">
        <f>IF(Table10[[#This Row],[Current Age]]&gt;19,"Men's",IF(E302&gt;15,"U19",IF(E302&gt;13,"U15",IF(E302&gt;11,"U13",IF(E302&gt;0,"U11",0)))))</f>
        <v>0</v>
      </c>
      <c r="E302" s="456">
        <f>IFERROR(IF(Table10[[#This Row],[Year]]&gt;0,$E$1-Table10[[#This Row],[Year]],0),"")</f>
        <v>0</v>
      </c>
      <c r="F302" s="456"/>
      <c r="G302" s="456"/>
      <c r="H302" s="456"/>
    </row>
    <row r="303" spans="1:8">
      <c r="A303" s="456">
        <v>1299</v>
      </c>
      <c r="B303" s="469" t="s">
        <v>931</v>
      </c>
      <c r="C303" s="458" t="s">
        <v>256</v>
      </c>
      <c r="D303" s="456">
        <f>IF(Table10[[#This Row],[Current Age]]&gt;19,"Men's",IF(E303&gt;15,"U19",IF(E303&gt;13,"U15",IF(E303&gt;11,"U13",IF(E303&gt;0,"U11",0)))))</f>
        <v>0</v>
      </c>
      <c r="E303" s="456">
        <f>IFERROR(IF(Table10[[#This Row],[Year]]&gt;0,$E$1-Table10[[#This Row],[Year]],0),"")</f>
        <v>0</v>
      </c>
      <c r="F303" s="456"/>
      <c r="G303" s="456"/>
      <c r="H303" s="456"/>
    </row>
    <row r="304" spans="1:8">
      <c r="A304" s="471">
        <v>1300</v>
      </c>
      <c r="B304" s="493" t="s">
        <v>6028</v>
      </c>
      <c r="C304" s="472" t="s">
        <v>252</v>
      </c>
      <c r="D304" s="456" t="str">
        <f>IF(Table10[[#This Row],[Current Age]]&gt;19,"Men's",IF(E304&gt;15,"U19",IF(E304&gt;13,"U15",IF(E304&gt;11,"U13",IF(E304&gt;0,"U11",0)))))</f>
        <v>U11</v>
      </c>
      <c r="E304" s="456">
        <f>IFERROR(IF(Table10[[#This Row],[Year]]&gt;0,$E$1-Table10[[#This Row],[Year]],0),"")</f>
        <v>11</v>
      </c>
      <c r="F304" s="456">
        <v>2014</v>
      </c>
      <c r="G304" s="456">
        <v>7</v>
      </c>
      <c r="H304" s="456">
        <v>4</v>
      </c>
    </row>
    <row r="305" spans="1:8">
      <c r="A305" s="456">
        <v>1301</v>
      </c>
      <c r="B305" s="469" t="s">
        <v>1515</v>
      </c>
      <c r="C305" s="458" t="s">
        <v>251</v>
      </c>
      <c r="D305" s="456">
        <f>IF(Table10[[#This Row],[Current Age]]&gt;19,"Men's",IF(E305&gt;15,"U19",IF(E305&gt;13,"U15",IF(E305&gt;11,"U13",IF(E305&gt;0,"U11",0)))))</f>
        <v>0</v>
      </c>
      <c r="E305" s="456">
        <f>IFERROR(IF(Table10[[#This Row],[Year]]&gt;0,$E$1-Table10[[#This Row],[Year]],0),"")</f>
        <v>0</v>
      </c>
      <c r="F305" s="456"/>
      <c r="G305" s="456"/>
      <c r="H305" s="456"/>
    </row>
    <row r="306" spans="1:8">
      <c r="A306" s="471">
        <v>1302</v>
      </c>
      <c r="B306" s="493" t="s">
        <v>1516</v>
      </c>
      <c r="C306" s="472" t="s">
        <v>248</v>
      </c>
      <c r="D306" s="456">
        <f>IF(Table10[[#This Row],[Current Age]]&gt;19,"Men's",IF(E306&gt;15,"U19",IF(E306&gt;13,"U15",IF(E306&gt;11,"U13",IF(E306&gt;0,"U11",0)))))</f>
        <v>0</v>
      </c>
      <c r="E306" s="456">
        <f>IFERROR(IF(Table10[[#This Row],[Year]]&gt;0,$E$1-Table10[[#This Row],[Year]],0),"")</f>
        <v>0</v>
      </c>
      <c r="F306" s="456"/>
      <c r="G306" s="456"/>
      <c r="H306" s="456"/>
    </row>
    <row r="307" spans="1:8">
      <c r="A307" s="456">
        <v>1303</v>
      </c>
      <c r="B307" s="469" t="s">
        <v>1517</v>
      </c>
      <c r="C307" s="458" t="s">
        <v>253</v>
      </c>
      <c r="D307" s="456">
        <f>IF(Table10[[#This Row],[Current Age]]&gt;19,"Men's",IF(E307&gt;15,"U19",IF(E307&gt;13,"U15",IF(E307&gt;11,"U13",IF(E307&gt;0,"U11",0)))))</f>
        <v>0</v>
      </c>
      <c r="E307" s="456">
        <f>IFERROR(IF(Table10[[#This Row],[Year]]&gt;0,$E$1-Table10[[#This Row],[Year]],0),"")</f>
        <v>0</v>
      </c>
      <c r="F307" s="456"/>
      <c r="G307" s="456"/>
      <c r="H307" s="456"/>
    </row>
    <row r="308" spans="1:8">
      <c r="A308" s="471">
        <v>1304</v>
      </c>
      <c r="B308" s="493" t="s">
        <v>1518</v>
      </c>
      <c r="C308" s="472" t="s">
        <v>248</v>
      </c>
      <c r="D308" s="456">
        <f>IF(Table10[[#This Row],[Current Age]]&gt;19,"Men's",IF(E308&gt;15,"U19",IF(E308&gt;13,"U15",IF(E308&gt;11,"U13",IF(E308&gt;0,"U11",0)))))</f>
        <v>0</v>
      </c>
      <c r="E308" s="456">
        <f>IFERROR(IF(Table10[[#This Row],[Year]]&gt;0,$E$1-Table10[[#This Row],[Year]],0),"")</f>
        <v>0</v>
      </c>
      <c r="F308" s="456"/>
      <c r="G308" s="456"/>
      <c r="H308" s="456"/>
    </row>
    <row r="309" spans="1:8">
      <c r="A309" s="456">
        <v>1305</v>
      </c>
      <c r="B309" s="469" t="s">
        <v>1519</v>
      </c>
      <c r="C309" s="458" t="s">
        <v>244</v>
      </c>
      <c r="D309" s="456">
        <f>IF(Table10[[#This Row],[Current Age]]&gt;19,"Men's",IF(E309&gt;15,"U19",IF(E309&gt;13,"U15",IF(E309&gt;11,"U13",IF(E309&gt;0,"U11",0)))))</f>
        <v>0</v>
      </c>
      <c r="E309" s="456">
        <f>IFERROR(IF(Table10[[#This Row],[Year]]&gt;0,$E$1-Table10[[#This Row],[Year]],0),"")</f>
        <v>0</v>
      </c>
      <c r="F309" s="456"/>
      <c r="G309" s="456"/>
      <c r="H309" s="456"/>
    </row>
    <row r="310" spans="1:8">
      <c r="A310" s="471">
        <v>1306</v>
      </c>
      <c r="B310" s="493" t="s">
        <v>1520</v>
      </c>
      <c r="C310" s="472" t="s">
        <v>256</v>
      </c>
      <c r="D310" s="456">
        <f>IF(Table10[[#This Row],[Current Age]]&gt;19,"Men's",IF(E310&gt;15,"U19",IF(E310&gt;13,"U15",IF(E310&gt;11,"U13",IF(E310&gt;0,"U11",0)))))</f>
        <v>0</v>
      </c>
      <c r="E310" s="456">
        <f>IFERROR(IF(Table10[[#This Row],[Year]]&gt;0,$E$1-Table10[[#This Row],[Year]],0),"")</f>
        <v>0</v>
      </c>
      <c r="F310" s="456"/>
      <c r="G310" s="456"/>
      <c r="H310" s="456"/>
    </row>
    <row r="311" spans="1:8">
      <c r="A311" s="456">
        <v>1307</v>
      </c>
      <c r="B311" s="469" t="s">
        <v>1913</v>
      </c>
      <c r="C311" s="458" t="s">
        <v>361</v>
      </c>
      <c r="D311" s="456">
        <f>IF(Table10[[#This Row],[Current Age]]&gt;19,"Men's",IF(E311&gt;15,"U19",IF(E311&gt;13,"U15",IF(E311&gt;11,"U13",IF(E311&gt;0,"U11",0)))))</f>
        <v>0</v>
      </c>
      <c r="E311" s="456">
        <f>IFERROR(IF(Table10[[#This Row],[Year]]&gt;0,$E$1-Table10[[#This Row],[Year]],0),"")</f>
        <v>0</v>
      </c>
      <c r="F311" s="456"/>
      <c r="G311" s="456"/>
      <c r="H311" s="456"/>
    </row>
    <row r="312" spans="1:8">
      <c r="A312" s="471">
        <v>1308</v>
      </c>
      <c r="B312" s="493" t="s">
        <v>1521</v>
      </c>
      <c r="C312" s="472" t="s">
        <v>256</v>
      </c>
      <c r="D312" s="456">
        <f>IF(Table10[[#This Row],[Current Age]]&gt;19,"Men's",IF(E312&gt;15,"U19",IF(E312&gt;13,"U15",IF(E312&gt;11,"U13",IF(E312&gt;0,"U11",0)))))</f>
        <v>0</v>
      </c>
      <c r="E312" s="456">
        <f>IFERROR(IF(Table10[[#This Row],[Year]]&gt;0,$E$1-Table10[[#This Row],[Year]],0),"")</f>
        <v>0</v>
      </c>
      <c r="F312" s="456"/>
      <c r="G312" s="456"/>
      <c r="H312" s="456"/>
    </row>
    <row r="313" spans="1:8">
      <c r="A313" s="456">
        <v>1309</v>
      </c>
      <c r="B313" s="469" t="s">
        <v>1522</v>
      </c>
      <c r="C313" s="458" t="s">
        <v>252</v>
      </c>
      <c r="D313" s="456">
        <f>IF(Table10[[#This Row],[Current Age]]&gt;19,"Men's",IF(E313&gt;15,"U19",IF(E313&gt;13,"U15",IF(E313&gt;11,"U13",IF(E313&gt;0,"U11",0)))))</f>
        <v>0</v>
      </c>
      <c r="E313" s="456">
        <f>IFERROR(IF(Table10[[#This Row],[Year]]&gt;0,$E$1-Table10[[#This Row],[Year]],0),"")</f>
        <v>0</v>
      </c>
      <c r="F313" s="456"/>
      <c r="G313" s="456"/>
      <c r="H313" s="456"/>
    </row>
    <row r="314" spans="1:8">
      <c r="A314" s="471">
        <v>1310</v>
      </c>
      <c r="B314" s="493" t="s">
        <v>1523</v>
      </c>
      <c r="C314" s="472" t="s">
        <v>250</v>
      </c>
      <c r="D314" s="456">
        <f>IF(Table10[[#This Row],[Current Age]]&gt;19,"Men's",IF(E314&gt;15,"U19",IF(E314&gt;13,"U15",IF(E314&gt;11,"U13",IF(E314&gt;0,"U11",0)))))</f>
        <v>0</v>
      </c>
      <c r="E314" s="456">
        <f>IFERROR(IF(Table10[[#This Row],[Year]]&gt;0,$E$1-Table10[[#This Row],[Year]],0),"")</f>
        <v>0</v>
      </c>
      <c r="F314" s="456"/>
      <c r="G314" s="456"/>
      <c r="H314" s="456"/>
    </row>
    <row r="315" spans="1:8">
      <c r="A315" s="456">
        <v>1311</v>
      </c>
      <c r="B315" s="469" t="s">
        <v>929</v>
      </c>
      <c r="C315" s="458" t="s">
        <v>256</v>
      </c>
      <c r="D315" s="456" t="str">
        <f>IF(Table10[[#This Row],[Current Age]]&gt;19,"Men's",IF(E315&gt;15,"U19",IF(E315&gt;13,"U15",IF(E315&gt;11,"U13",IF(E315&gt;0,"U11",0)))))</f>
        <v>U19</v>
      </c>
      <c r="E315" s="456">
        <f>IFERROR(IF(Table10[[#This Row],[Year]]&gt;0,$E$1-Table10[[#This Row],[Year]],0),"")</f>
        <v>18</v>
      </c>
      <c r="F315" s="456">
        <v>2007</v>
      </c>
      <c r="G315" s="456">
        <v>7</v>
      </c>
      <c r="H315" s="456">
        <v>11</v>
      </c>
    </row>
    <row r="316" spans="1:8">
      <c r="A316" s="471">
        <v>1312</v>
      </c>
      <c r="B316" s="493" t="s">
        <v>1524</v>
      </c>
      <c r="C316" s="472" t="s">
        <v>250</v>
      </c>
      <c r="D316" s="456">
        <f>IF(Table10[[#This Row],[Current Age]]&gt;19,"Men's",IF(E316&gt;15,"U19",IF(E316&gt;13,"U15",IF(E316&gt;11,"U13",IF(E316&gt;0,"U11",0)))))</f>
        <v>0</v>
      </c>
      <c r="E316" s="456">
        <f>IFERROR(IF(Table10[[#This Row],[Year]]&gt;0,$E$1-Table10[[#This Row],[Year]],0),"")</f>
        <v>0</v>
      </c>
      <c r="F316" s="456"/>
      <c r="G316" s="456"/>
      <c r="H316" s="456"/>
    </row>
    <row r="317" spans="1:8">
      <c r="A317" s="456">
        <v>1313</v>
      </c>
      <c r="B317" s="469" t="s">
        <v>1525</v>
      </c>
      <c r="C317" s="458" t="s">
        <v>252</v>
      </c>
      <c r="D317" s="456">
        <f>IF(Table10[[#This Row],[Current Age]]&gt;19,"Men's",IF(E317&gt;15,"U19",IF(E317&gt;13,"U15",IF(E317&gt;11,"U13",IF(E317&gt;0,"U11",0)))))</f>
        <v>0</v>
      </c>
      <c r="E317" s="456">
        <f>IFERROR(IF(Table10[[#This Row],[Year]]&gt;0,$E$1-Table10[[#This Row],[Year]],0),"")</f>
        <v>0</v>
      </c>
      <c r="F317" s="456"/>
      <c r="G317" s="456"/>
      <c r="H317" s="456"/>
    </row>
    <row r="318" spans="1:8">
      <c r="A318" s="471">
        <v>1314</v>
      </c>
      <c r="B318" s="493" t="s">
        <v>500</v>
      </c>
      <c r="C318" s="472" t="s">
        <v>362</v>
      </c>
      <c r="D318" s="456">
        <f>IF(Table10[[#This Row],[Current Age]]&gt;19,"Men's",IF(E318&gt;15,"U19",IF(E318&gt;13,"U15",IF(E318&gt;11,"U13",IF(E318&gt;0,"U11",0)))))</f>
        <v>0</v>
      </c>
      <c r="E318" s="456">
        <f>IFERROR(IF(Table10[[#This Row],[Year]]&gt;0,$E$1-Table10[[#This Row],[Year]],0),"")</f>
        <v>0</v>
      </c>
      <c r="F318" s="456"/>
      <c r="G318" s="456"/>
      <c r="H318" s="456"/>
    </row>
    <row r="319" spans="1:8">
      <c r="A319" s="456">
        <v>1315</v>
      </c>
      <c r="B319" s="469" t="s">
        <v>4235</v>
      </c>
      <c r="C319" s="458" t="s">
        <v>361</v>
      </c>
      <c r="D319" s="456">
        <f>IF(Table10[[#This Row],[Current Age]]&gt;19,"Men's",IF(E319&gt;15,"U19",IF(E319&gt;13,"U15",IF(E319&gt;11,"U13",IF(E319&gt;0,"U11",0)))))</f>
        <v>0</v>
      </c>
      <c r="E319" s="456">
        <f>IFERROR(IF(Table10[[#This Row],[Year]]&gt;0,$E$1-Table10[[#This Row],[Year]],0),"")</f>
        <v>0</v>
      </c>
      <c r="F319" s="456"/>
      <c r="G319" s="456"/>
      <c r="H319" s="456"/>
    </row>
    <row r="320" spans="1:8">
      <c r="A320" s="471">
        <v>1316</v>
      </c>
      <c r="B320" s="493" t="s">
        <v>102</v>
      </c>
      <c r="C320" s="472"/>
      <c r="D320" s="456">
        <f>IF(Table10[[#This Row],[Current Age]]&gt;19,"Men's",IF(E320&gt;15,"U19",IF(E320&gt;13,"U15",IF(E320&gt;11,"U13",IF(E320&gt;0,"U11",0)))))</f>
        <v>0</v>
      </c>
      <c r="E320" s="456">
        <f>IFERROR(IF(Table10[[#This Row],[Year]]&gt;0,$E$1-Table10[[#This Row],[Year]],0),"")</f>
        <v>0</v>
      </c>
      <c r="F320" s="456"/>
      <c r="G320" s="456"/>
      <c r="H320" s="456"/>
    </row>
    <row r="321" spans="1:8">
      <c r="A321" s="456">
        <v>1317</v>
      </c>
      <c r="B321" s="469" t="s">
        <v>1526</v>
      </c>
      <c r="C321" s="458" t="s">
        <v>4552</v>
      </c>
      <c r="D321" s="456">
        <f>IF(Table10[[#This Row],[Current Age]]&gt;19,"Men's",IF(E321&gt;15,"U19",IF(E321&gt;13,"U15",IF(E321&gt;11,"U13",IF(E321&gt;0,"U11",0)))))</f>
        <v>0</v>
      </c>
      <c r="E321" s="456">
        <f>IFERROR(IF(Table10[[#This Row],[Year]]&gt;0,$E$1-Table10[[#This Row],[Year]],0),"")</f>
        <v>0</v>
      </c>
      <c r="F321" s="456"/>
      <c r="G321" s="456"/>
      <c r="H321" s="456"/>
    </row>
    <row r="322" spans="1:8">
      <c r="A322" s="471">
        <v>1318</v>
      </c>
      <c r="B322" s="493" t="s">
        <v>1527</v>
      </c>
      <c r="C322" s="472" t="s">
        <v>252</v>
      </c>
      <c r="D322" s="456">
        <f>IF(Table10[[#This Row],[Current Age]]&gt;19,"Men's",IF(E322&gt;15,"U19",IF(E322&gt;13,"U15",IF(E322&gt;11,"U13",IF(E322&gt;0,"U11",0)))))</f>
        <v>0</v>
      </c>
      <c r="E322" s="456">
        <f>IFERROR(IF(Table10[[#This Row],[Year]]&gt;0,$E$1-Table10[[#This Row],[Year]],0),"")</f>
        <v>0</v>
      </c>
      <c r="F322" s="456"/>
      <c r="G322" s="456"/>
      <c r="H322" s="456"/>
    </row>
    <row r="323" spans="1:8">
      <c r="A323" s="456">
        <v>1319</v>
      </c>
      <c r="B323" s="469" t="s">
        <v>1107</v>
      </c>
      <c r="C323" s="458" t="s">
        <v>248</v>
      </c>
      <c r="D323" s="456">
        <f>IF(Table10[[#This Row],[Current Age]]&gt;19,"Men's",IF(E323&gt;15,"U19",IF(E323&gt;13,"U15",IF(E323&gt;11,"U13",IF(E323&gt;0,"U11",0)))))</f>
        <v>0</v>
      </c>
      <c r="E323" s="456">
        <f>IFERROR(IF(Table10[[#This Row],[Year]]&gt;0,$E$1-Table10[[#This Row],[Year]],0),"")</f>
        <v>0</v>
      </c>
      <c r="F323" s="456"/>
      <c r="G323" s="456"/>
      <c r="H323" s="456"/>
    </row>
    <row r="324" spans="1:8">
      <c r="A324" s="471">
        <v>1320</v>
      </c>
      <c r="B324" s="493" t="s">
        <v>1528</v>
      </c>
      <c r="C324" s="472" t="s">
        <v>243</v>
      </c>
      <c r="D324" s="456" t="str">
        <f>IF(Table10[[#This Row],[Current Age]]&gt;19,"Men's",IF(E324&gt;15,"U19",IF(E324&gt;13,"U15",IF(E324&gt;11,"U13",IF(E324&gt;0,"U11",0)))))</f>
        <v>Men's</v>
      </c>
      <c r="E324" s="456">
        <f>IFERROR(IF(Table10[[#This Row],[Year]]&gt;0,$E$1-Table10[[#This Row],[Year]],0),"")</f>
        <v>22</v>
      </c>
      <c r="F324" s="456">
        <v>2003</v>
      </c>
      <c r="G324" s="456">
        <v>10</v>
      </c>
      <c r="H324" s="456">
        <v>11</v>
      </c>
    </row>
    <row r="325" spans="1:8">
      <c r="A325" s="456">
        <v>1321</v>
      </c>
      <c r="B325" s="469" t="s">
        <v>1529</v>
      </c>
      <c r="C325" s="458" t="s">
        <v>256</v>
      </c>
      <c r="D325" s="456">
        <f>IF(Table10[[#This Row],[Current Age]]&gt;19,"Men's",IF(E325&gt;15,"U19",IF(E325&gt;13,"U15",IF(E325&gt;11,"U13",IF(E325&gt;0,"U11",0)))))</f>
        <v>0</v>
      </c>
      <c r="E325" s="456">
        <f>IFERROR(IF(Table10[[#This Row],[Year]]&gt;0,$E$1-Table10[[#This Row],[Year]],0),"")</f>
        <v>0</v>
      </c>
      <c r="F325" s="456"/>
      <c r="G325" s="456"/>
      <c r="H325" s="456"/>
    </row>
    <row r="326" spans="1:8">
      <c r="A326" s="471">
        <v>1322</v>
      </c>
      <c r="B326" s="493" t="s">
        <v>1530</v>
      </c>
      <c r="C326" s="472" t="s">
        <v>248</v>
      </c>
      <c r="D326" s="456">
        <f>IF(Table10[[#This Row],[Current Age]]&gt;19,"Men's",IF(E326&gt;15,"U19",IF(E326&gt;13,"U15",IF(E326&gt;11,"U13",IF(E326&gt;0,"U11",0)))))</f>
        <v>0</v>
      </c>
      <c r="E326" s="456">
        <f>IFERROR(IF(Table10[[#This Row],[Year]]&gt;0,$E$1-Table10[[#This Row],[Year]],0),"")</f>
        <v>0</v>
      </c>
      <c r="F326" s="456"/>
      <c r="G326" s="456"/>
      <c r="H326" s="456"/>
    </row>
    <row r="327" spans="1:8">
      <c r="A327" s="456">
        <v>1323</v>
      </c>
      <c r="B327" s="469" t="s">
        <v>1531</v>
      </c>
      <c r="C327" s="458" t="s">
        <v>248</v>
      </c>
      <c r="D327" s="456">
        <f>IF(Table10[[#This Row],[Current Age]]&gt;19,"Men's",IF(E327&gt;15,"U19",IF(E327&gt;13,"U15",IF(E327&gt;11,"U13",IF(E327&gt;0,"U11",0)))))</f>
        <v>0</v>
      </c>
      <c r="E327" s="456">
        <f>IFERROR(IF(Table10[[#This Row],[Year]]&gt;0,$E$1-Table10[[#This Row],[Year]],0),"")</f>
        <v>0</v>
      </c>
      <c r="F327" s="456"/>
      <c r="G327" s="456"/>
      <c r="H327" s="456"/>
    </row>
    <row r="328" spans="1:8">
      <c r="A328" s="471">
        <v>1324</v>
      </c>
      <c r="B328" s="493" t="s">
        <v>1532</v>
      </c>
      <c r="C328" s="472" t="s">
        <v>248</v>
      </c>
      <c r="D328" s="456">
        <f>IF(Table10[[#This Row],[Current Age]]&gt;19,"Men's",IF(E328&gt;15,"U19",IF(E328&gt;13,"U15",IF(E328&gt;11,"U13",IF(E328&gt;0,"U11",0)))))</f>
        <v>0</v>
      </c>
      <c r="E328" s="456">
        <f>IFERROR(IF(Table10[[#This Row],[Year]]&gt;0,$E$1-Table10[[#This Row],[Year]],0),"")</f>
        <v>0</v>
      </c>
      <c r="F328" s="456"/>
      <c r="G328" s="456"/>
      <c r="H328" s="456"/>
    </row>
    <row r="329" spans="1:8">
      <c r="A329" s="456">
        <v>1325</v>
      </c>
      <c r="B329" s="469" t="s">
        <v>1533</v>
      </c>
      <c r="C329" s="458" t="s">
        <v>4720</v>
      </c>
      <c r="D329" s="456" t="str">
        <f>IF(Table10[[#This Row],[Current Age]]&gt;19,"Men's",IF(E329&gt;15,"U19",IF(E329&gt;13,"U15",IF(E329&gt;11,"U13",IF(E329&gt;0,"U11",0)))))</f>
        <v>Men's</v>
      </c>
      <c r="E329" s="456">
        <f>IFERROR(IF(Table10[[#This Row],[Year]]&gt;0,$E$1-Table10[[#This Row],[Year]],0),"")</f>
        <v>21</v>
      </c>
      <c r="F329" s="456">
        <v>2004</v>
      </c>
      <c r="G329" s="456">
        <v>7</v>
      </c>
      <c r="H329" s="456">
        <v>26</v>
      </c>
    </row>
    <row r="330" spans="1:8">
      <c r="A330" s="471">
        <v>1326</v>
      </c>
      <c r="B330" s="493" t="s">
        <v>1534</v>
      </c>
      <c r="C330" s="472" t="s">
        <v>256</v>
      </c>
      <c r="D330" s="456">
        <f>IF(Table10[[#This Row],[Current Age]]&gt;19,"Men's",IF(E330&gt;15,"U19",IF(E330&gt;13,"U15",IF(E330&gt;11,"U13",IF(E330&gt;0,"U11",0)))))</f>
        <v>0</v>
      </c>
      <c r="E330" s="456">
        <f>IFERROR(IF(Table10[[#This Row],[Year]]&gt;0,$E$1-Table10[[#This Row],[Year]],0),"")</f>
        <v>0</v>
      </c>
      <c r="F330" s="456"/>
      <c r="G330" s="456"/>
      <c r="H330" s="456"/>
    </row>
    <row r="331" spans="1:8">
      <c r="A331" s="456">
        <v>1327</v>
      </c>
      <c r="B331" s="469" t="s">
        <v>1535</v>
      </c>
      <c r="C331" s="458" t="s">
        <v>248</v>
      </c>
      <c r="D331" s="456">
        <f>IF(Table10[[#This Row],[Current Age]]&gt;19,"Men's",IF(E331&gt;15,"U19",IF(E331&gt;13,"U15",IF(E331&gt;11,"U13",IF(E331&gt;0,"U11",0)))))</f>
        <v>0</v>
      </c>
      <c r="E331" s="456">
        <f>IFERROR(IF(Table10[[#This Row],[Year]]&gt;0,$E$1-Table10[[#This Row],[Year]],0),"")</f>
        <v>0</v>
      </c>
      <c r="F331" s="456"/>
      <c r="G331" s="456"/>
      <c r="H331" s="456"/>
    </row>
    <row r="332" spans="1:8">
      <c r="A332" s="471">
        <v>1328</v>
      </c>
      <c r="B332" s="493" t="s">
        <v>1536</v>
      </c>
      <c r="C332" s="472" t="s">
        <v>243</v>
      </c>
      <c r="D332" s="456">
        <f>IF(Table10[[#This Row],[Current Age]]&gt;19,"Men's",IF(E332&gt;15,"U19",IF(E332&gt;13,"U15",IF(E332&gt;11,"U13",IF(E332&gt;0,"U11",0)))))</f>
        <v>0</v>
      </c>
      <c r="E332" s="456">
        <f>IFERROR(IF(Table10[[#This Row],[Year]]&gt;0,$E$1-Table10[[#This Row],[Year]],0),"")</f>
        <v>0</v>
      </c>
      <c r="F332" s="456"/>
      <c r="G332" s="456"/>
      <c r="H332" s="456"/>
    </row>
    <row r="333" spans="1:8">
      <c r="A333" s="456">
        <v>1329</v>
      </c>
      <c r="B333" s="469" t="s">
        <v>1537</v>
      </c>
      <c r="C333" s="458" t="s">
        <v>243</v>
      </c>
      <c r="D333" s="456">
        <f>IF(Table10[[#This Row],[Current Age]]&gt;19,"Men's",IF(E333&gt;15,"U19",IF(E333&gt;13,"U15",IF(E333&gt;11,"U13",IF(E333&gt;0,"U11",0)))))</f>
        <v>0</v>
      </c>
      <c r="E333" s="456">
        <f>IFERROR(IF(Table10[[#This Row],[Year]]&gt;0,$E$1-Table10[[#This Row],[Year]],0),"")</f>
        <v>0</v>
      </c>
      <c r="F333" s="456"/>
      <c r="G333" s="456"/>
      <c r="H333" s="456"/>
    </row>
    <row r="334" spans="1:8">
      <c r="A334" s="471">
        <v>1330</v>
      </c>
      <c r="B334" s="493" t="s">
        <v>1538</v>
      </c>
      <c r="C334" s="472" t="s">
        <v>250</v>
      </c>
      <c r="D334" s="456">
        <f>IF(Table10[[#This Row],[Current Age]]&gt;19,"Men's",IF(E334&gt;15,"U19",IF(E334&gt;13,"U15",IF(E334&gt;11,"U13",IF(E334&gt;0,"U11",0)))))</f>
        <v>0</v>
      </c>
      <c r="E334" s="456">
        <f>IFERROR(IF(Table10[[#This Row],[Year]]&gt;0,$E$1-Table10[[#This Row],[Year]],0),"")</f>
        <v>0</v>
      </c>
      <c r="F334" s="456"/>
      <c r="G334" s="456"/>
      <c r="H334" s="456"/>
    </row>
    <row r="335" spans="1:8">
      <c r="A335" s="456">
        <v>1331</v>
      </c>
      <c r="B335" s="469" t="s">
        <v>1539</v>
      </c>
      <c r="C335" s="458" t="s">
        <v>361</v>
      </c>
      <c r="D335" s="456">
        <f>IF(Table10[[#This Row],[Current Age]]&gt;19,"Men's",IF(E335&gt;15,"U19",IF(E335&gt;13,"U15",IF(E335&gt;11,"U13",IF(E335&gt;0,"U11",0)))))</f>
        <v>0</v>
      </c>
      <c r="E335" s="456">
        <f>IFERROR(IF(Table10[[#This Row],[Year]]&gt;0,$E$1-Table10[[#This Row],[Year]],0),"")</f>
        <v>0</v>
      </c>
      <c r="F335" s="456"/>
      <c r="G335" s="456"/>
      <c r="H335" s="456"/>
    </row>
    <row r="336" spans="1:8">
      <c r="A336" s="471">
        <v>1332</v>
      </c>
      <c r="B336" s="493" t="s">
        <v>3128</v>
      </c>
      <c r="C336" s="472" t="s">
        <v>2857</v>
      </c>
      <c r="D336" s="456">
        <f>IF(Table10[[#This Row],[Current Age]]&gt;19,"Men's",IF(E336&gt;15,"U19",IF(E336&gt;13,"U15",IF(E336&gt;11,"U13",IF(E336&gt;0,"U11",0)))))</f>
        <v>0</v>
      </c>
      <c r="E336" s="456">
        <f>IFERROR(IF(Table10[[#This Row],[Year]]&gt;0,$E$1-Table10[[#This Row],[Year]],0),"")</f>
        <v>0</v>
      </c>
      <c r="F336" s="456"/>
      <c r="G336" s="456"/>
      <c r="H336" s="456"/>
    </row>
    <row r="337" spans="1:8">
      <c r="A337" s="456">
        <v>1333</v>
      </c>
      <c r="B337" s="469" t="s">
        <v>1540</v>
      </c>
      <c r="C337" s="458" t="s">
        <v>251</v>
      </c>
      <c r="D337" s="456">
        <f>IF(Table10[[#This Row],[Current Age]]&gt;19,"Men's",IF(E337&gt;15,"U19",IF(E337&gt;13,"U15",IF(E337&gt;11,"U13",IF(E337&gt;0,"U11",0)))))</f>
        <v>0</v>
      </c>
      <c r="E337" s="456">
        <f>IFERROR(IF(Table10[[#This Row],[Year]]&gt;0,$E$1-Table10[[#This Row],[Year]],0),"")</f>
        <v>0</v>
      </c>
      <c r="F337" s="456"/>
      <c r="G337" s="456"/>
      <c r="H337" s="456"/>
    </row>
    <row r="338" spans="1:8">
      <c r="A338" s="471">
        <v>1334</v>
      </c>
      <c r="B338" s="493" t="s">
        <v>1915</v>
      </c>
      <c r="C338" s="472" t="s">
        <v>361</v>
      </c>
      <c r="D338" s="456">
        <f>IF(Table10[[#This Row],[Current Age]]&gt;19,"Men's",IF(E338&gt;15,"U19",IF(E338&gt;13,"U15",IF(E338&gt;11,"U13",IF(E338&gt;0,"U11",0)))))</f>
        <v>0</v>
      </c>
      <c r="E338" s="456">
        <f>IFERROR(IF(Table10[[#This Row],[Year]]&gt;0,$E$1-Table10[[#This Row],[Year]],0),"")</f>
        <v>0</v>
      </c>
      <c r="F338" s="456"/>
      <c r="G338" s="456"/>
      <c r="H338" s="456"/>
    </row>
    <row r="339" spans="1:8">
      <c r="A339" s="456">
        <v>1335</v>
      </c>
      <c r="B339" s="469" t="s">
        <v>3067</v>
      </c>
      <c r="C339" s="458" t="s">
        <v>762</v>
      </c>
      <c r="D339" s="456" t="str">
        <f>IF(Table10[[#This Row],[Current Age]]&gt;19,"Men's",IF(E339&gt;15,"U19",IF(E339&gt;13,"U15",IF(E339&gt;11,"U13",IF(E339&gt;0,"U11",0)))))</f>
        <v>Men's</v>
      </c>
      <c r="E339" s="456">
        <f>IFERROR(IF(Table10[[#This Row],[Year]]&gt;0,$E$1-Table10[[#This Row],[Year]],0),"")</f>
        <v>23</v>
      </c>
      <c r="F339" s="456">
        <v>2002</v>
      </c>
      <c r="G339" s="456">
        <v>14</v>
      </c>
      <c r="H339" s="456">
        <v>14</v>
      </c>
    </row>
    <row r="340" spans="1:8">
      <c r="A340" s="471">
        <v>1336</v>
      </c>
      <c r="B340" s="493" t="s">
        <v>1541</v>
      </c>
      <c r="C340" s="472" t="s">
        <v>361</v>
      </c>
      <c r="D340" s="456" t="str">
        <f>IF(Table10[[#This Row],[Current Age]]&gt;19,"Men's",IF(E340&gt;15,"U19",IF(E340&gt;13,"U15",IF(E340&gt;11,"U13",IF(E340&gt;0,"U11",0)))))</f>
        <v>Men's</v>
      </c>
      <c r="E340" s="456">
        <f>IFERROR(IF(Table10[[#This Row],[Year]]&gt;0,$E$1-Table10[[#This Row],[Year]],0),"")</f>
        <v>21</v>
      </c>
      <c r="F340" s="456">
        <v>2004</v>
      </c>
      <c r="G340" s="456"/>
      <c r="H340" s="456"/>
    </row>
    <row r="341" spans="1:8">
      <c r="A341" s="456">
        <v>1337</v>
      </c>
      <c r="B341" s="469" t="s">
        <v>1542</v>
      </c>
      <c r="C341" s="458" t="s">
        <v>256</v>
      </c>
      <c r="D341" s="456">
        <f>IF(Table10[[#This Row],[Current Age]]&gt;19,"Men's",IF(E341&gt;15,"U19",IF(E341&gt;13,"U15",IF(E341&gt;11,"U13",IF(E341&gt;0,"U11",0)))))</f>
        <v>0</v>
      </c>
      <c r="E341" s="456">
        <f>IFERROR(IF(Table10[[#This Row],[Year]]&gt;0,$E$1-Table10[[#This Row],[Year]],0),"")</f>
        <v>0</v>
      </c>
      <c r="F341" s="456"/>
      <c r="G341" s="456"/>
      <c r="H341" s="456"/>
    </row>
    <row r="342" spans="1:8">
      <c r="A342" s="471">
        <v>1338</v>
      </c>
      <c r="B342" s="493" t="s">
        <v>1543</v>
      </c>
      <c r="C342" s="472" t="s">
        <v>251</v>
      </c>
      <c r="D342" s="456">
        <f>IF(Table10[[#This Row],[Current Age]]&gt;19,"Men's",IF(E342&gt;15,"U19",IF(E342&gt;13,"U15",IF(E342&gt;11,"U13",IF(E342&gt;0,"U11",0)))))</f>
        <v>0</v>
      </c>
      <c r="E342" s="456">
        <f>IFERROR(IF(Table10[[#This Row],[Year]]&gt;0,$E$1-Table10[[#This Row],[Year]],0),"")</f>
        <v>0</v>
      </c>
      <c r="F342" s="456"/>
      <c r="G342" s="456"/>
      <c r="H342" s="456"/>
    </row>
    <row r="343" spans="1:8">
      <c r="A343" s="456">
        <v>1339</v>
      </c>
      <c r="B343" s="469" t="s">
        <v>1544</v>
      </c>
      <c r="C343" s="458" t="s">
        <v>251</v>
      </c>
      <c r="D343" s="456" t="str">
        <f>IF(Table10[[#This Row],[Current Age]]&gt;19,"Men's",IF(E343&gt;15,"U19",IF(E343&gt;13,"U15",IF(E343&gt;11,"U13",IF(E343&gt;0,"U11",0)))))</f>
        <v>Men's</v>
      </c>
      <c r="E343" s="456">
        <f>IFERROR(IF(Table10[[#This Row],[Year]]&gt;0,$E$1-Table10[[#This Row],[Year]],0),"")</f>
        <v>23</v>
      </c>
      <c r="F343" s="456">
        <v>2002</v>
      </c>
      <c r="G343" s="456">
        <v>1</v>
      </c>
      <c r="H343" s="456">
        <v>25</v>
      </c>
    </row>
    <row r="344" spans="1:8">
      <c r="A344" s="471">
        <v>1340</v>
      </c>
      <c r="B344" s="493" t="s">
        <v>1545</v>
      </c>
      <c r="C344" s="472" t="s">
        <v>243</v>
      </c>
      <c r="D344" s="456" t="str">
        <f>IF(Table10[[#This Row],[Current Age]]&gt;19,"Men's",IF(E344&gt;15,"U19",IF(E344&gt;13,"U15",IF(E344&gt;11,"U13",IF(E344&gt;0,"U11",0)))))</f>
        <v>Men's</v>
      </c>
      <c r="E344" s="456">
        <f>IFERROR(IF(Table10[[#This Row],[Year]]&gt;0,$E$1-Table10[[#This Row],[Year]],0),"")</f>
        <v>21</v>
      </c>
      <c r="F344" s="456">
        <v>2004</v>
      </c>
      <c r="G344" s="456">
        <v>4</v>
      </c>
      <c r="H344" s="456">
        <v>5</v>
      </c>
    </row>
    <row r="345" spans="1:8">
      <c r="A345" s="456">
        <v>1341</v>
      </c>
      <c r="B345" s="469" t="s">
        <v>1546</v>
      </c>
      <c r="C345" s="458" t="s">
        <v>250</v>
      </c>
      <c r="D345" s="456">
        <f>IF(Table10[[#This Row],[Current Age]]&gt;19,"Men's",IF(E345&gt;15,"U19",IF(E345&gt;13,"U15",IF(E345&gt;11,"U13",IF(E345&gt;0,"U11",0)))))</f>
        <v>0</v>
      </c>
      <c r="E345" s="456">
        <f>IFERROR(IF(Table10[[#This Row],[Year]]&gt;0,$E$1-Table10[[#This Row],[Year]],0),"")</f>
        <v>0</v>
      </c>
      <c r="F345" s="456"/>
      <c r="G345" s="456"/>
      <c r="H345" s="456"/>
    </row>
    <row r="346" spans="1:8">
      <c r="A346" s="471">
        <v>1342</v>
      </c>
      <c r="B346" s="493" t="s">
        <v>1547</v>
      </c>
      <c r="C346" s="472" t="s">
        <v>244</v>
      </c>
      <c r="D346" s="456">
        <f>IF(Table10[[#This Row],[Current Age]]&gt;19,"Men's",IF(E346&gt;15,"U19",IF(E346&gt;13,"U15",IF(E346&gt;11,"U13",IF(E346&gt;0,"U11",0)))))</f>
        <v>0</v>
      </c>
      <c r="E346" s="456">
        <f>IFERROR(IF(Table10[[#This Row],[Year]]&gt;0,$E$1-Table10[[#This Row],[Year]],0),"")</f>
        <v>0</v>
      </c>
      <c r="F346" s="456"/>
      <c r="G346" s="456"/>
      <c r="H346" s="456"/>
    </row>
    <row r="347" spans="1:8">
      <c r="A347" s="456">
        <v>1343</v>
      </c>
      <c r="B347" s="469" t="s">
        <v>1548</v>
      </c>
      <c r="C347" s="458" t="s">
        <v>251</v>
      </c>
      <c r="D347" s="456" t="str">
        <f>IF(Table10[[#This Row],[Current Age]]&gt;19,"Men's",IF(E347&gt;15,"U19",IF(E347&gt;13,"U15",IF(E347&gt;11,"U13",IF(E347&gt;0,"U11",0)))))</f>
        <v>Men's</v>
      </c>
      <c r="E347" s="456">
        <f>IFERROR(IF(Table10[[#This Row],[Year]]&gt;0,$E$1-Table10[[#This Row],[Year]],0),"")</f>
        <v>23</v>
      </c>
      <c r="F347" s="456">
        <v>2002</v>
      </c>
      <c r="G347" s="456">
        <v>6</v>
      </c>
      <c r="H347" s="456">
        <v>4</v>
      </c>
    </row>
    <row r="348" spans="1:8">
      <c r="A348" s="471">
        <v>1344</v>
      </c>
      <c r="B348" s="493" t="s">
        <v>1549</v>
      </c>
      <c r="C348" s="472" t="s">
        <v>253</v>
      </c>
      <c r="D348" s="456">
        <f>IF(Table10[[#This Row],[Current Age]]&gt;19,"Men's",IF(E348&gt;15,"U19",IF(E348&gt;13,"U15",IF(E348&gt;11,"U13",IF(E348&gt;0,"U11",0)))))</f>
        <v>0</v>
      </c>
      <c r="E348" s="456">
        <f>IFERROR(IF(Table10[[#This Row],[Year]]&gt;0,$E$1-Table10[[#This Row],[Year]],0),"")</f>
        <v>0</v>
      </c>
      <c r="F348" s="456"/>
      <c r="G348" s="456"/>
      <c r="H348" s="456"/>
    </row>
    <row r="349" spans="1:8">
      <c r="A349" s="456">
        <v>1345</v>
      </c>
      <c r="B349" s="469" t="s">
        <v>1550</v>
      </c>
      <c r="C349" s="458" t="s">
        <v>255</v>
      </c>
      <c r="D349" s="456">
        <f>IF(Table10[[#This Row],[Current Age]]&gt;19,"Men's",IF(E349&gt;15,"U19",IF(E349&gt;13,"U15",IF(E349&gt;11,"U13",IF(E349&gt;0,"U11",0)))))</f>
        <v>0</v>
      </c>
      <c r="E349" s="456">
        <f>IFERROR(IF(Table10[[#This Row],[Year]]&gt;0,$E$1-Table10[[#This Row],[Year]],0),"")</f>
        <v>0</v>
      </c>
      <c r="F349" s="456"/>
      <c r="G349" s="456"/>
      <c r="H349" s="456"/>
    </row>
    <row r="350" spans="1:8">
      <c r="A350" s="471">
        <v>1346</v>
      </c>
      <c r="B350" s="493" t="s">
        <v>1551</v>
      </c>
      <c r="C350" s="472" t="s">
        <v>251</v>
      </c>
      <c r="D350" s="456">
        <f>IF(Table10[[#This Row],[Current Age]]&gt;19,"Men's",IF(E350&gt;15,"U19",IF(E350&gt;13,"U15",IF(E350&gt;11,"U13",IF(E350&gt;0,"U11",0)))))</f>
        <v>0</v>
      </c>
      <c r="E350" s="456">
        <f>IFERROR(IF(Table10[[#This Row],[Year]]&gt;0,$E$1-Table10[[#This Row],[Year]],0),"")</f>
        <v>0</v>
      </c>
      <c r="F350" s="456"/>
      <c r="G350" s="456"/>
      <c r="H350" s="456"/>
    </row>
    <row r="351" spans="1:8">
      <c r="A351" s="456">
        <v>1347</v>
      </c>
      <c r="B351" s="469" t="s">
        <v>1552</v>
      </c>
      <c r="C351" s="458" t="s">
        <v>361</v>
      </c>
      <c r="D351" s="456" t="str">
        <f>IF(Table10[[#This Row],[Current Age]]&gt;19,"Men's",IF(E351&gt;15,"U19",IF(E351&gt;13,"U15",IF(E351&gt;11,"U13",IF(E351&gt;0,"U11",0)))))</f>
        <v>Men's</v>
      </c>
      <c r="E351" s="456">
        <f>IFERROR(IF(Table10[[#This Row],[Year]]&gt;0,$E$1-Table10[[#This Row],[Year]],0),"")</f>
        <v>22</v>
      </c>
      <c r="F351" s="456">
        <v>2003</v>
      </c>
      <c r="G351" s="456">
        <v>3</v>
      </c>
      <c r="H351" s="456">
        <v>10</v>
      </c>
    </row>
    <row r="352" spans="1:8">
      <c r="A352" s="471">
        <v>1348</v>
      </c>
      <c r="B352" s="493" t="s">
        <v>5350</v>
      </c>
      <c r="C352" s="472" t="s">
        <v>4552</v>
      </c>
      <c r="D352" s="456">
        <f>IF(Table10[[#This Row],[Current Age]]&gt;19,"Men's",IF(E352&gt;15,"U19",IF(E352&gt;13,"U15",IF(E352&gt;11,"U13",IF(E352&gt;0,"U11",0)))))</f>
        <v>0</v>
      </c>
      <c r="E352" s="456">
        <f>IFERROR(IF(Table10[[#This Row],[Year]]&gt;0,$E$1-Table10[[#This Row],[Year]],0),"")</f>
        <v>0</v>
      </c>
      <c r="F352" s="456"/>
      <c r="G352" s="456"/>
      <c r="H352" s="456"/>
    </row>
    <row r="353" spans="1:8">
      <c r="A353" s="456">
        <v>1349</v>
      </c>
      <c r="B353" s="469" t="s">
        <v>1553</v>
      </c>
      <c r="C353" s="458" t="s">
        <v>362</v>
      </c>
      <c r="D353" s="456" t="str">
        <f>IF(Table10[[#This Row],[Current Age]]&gt;19,"Men's",IF(E353&gt;15,"U19",IF(E353&gt;13,"U15",IF(E353&gt;11,"U13",IF(E353&gt;0,"U11",0)))))</f>
        <v>Men's</v>
      </c>
      <c r="E353" s="456">
        <f>IFERROR(IF(Table10[[#This Row],[Year]]&gt;0,$E$1-Table10[[#This Row],[Year]],0),"")</f>
        <v>23</v>
      </c>
      <c r="F353" s="456">
        <v>2002</v>
      </c>
      <c r="G353" s="456">
        <v>4</v>
      </c>
      <c r="H353" s="456">
        <v>9</v>
      </c>
    </row>
    <row r="354" spans="1:8">
      <c r="A354" s="471">
        <v>1350</v>
      </c>
      <c r="B354" s="493" t="s">
        <v>1554</v>
      </c>
      <c r="C354" s="472" t="s">
        <v>4552</v>
      </c>
      <c r="D354" s="456" t="str">
        <f>IF(Table10[[#This Row],[Current Age]]&gt;19,"Men's",IF(E354&gt;15,"U19",IF(E354&gt;13,"U15",IF(E354&gt;11,"U13",IF(E354&gt;0,"U11",0)))))</f>
        <v>Men's</v>
      </c>
      <c r="E354" s="456">
        <f>IFERROR(IF(Table10[[#This Row],[Year]]&gt;0,$E$1-Table10[[#This Row],[Year]],0),"")</f>
        <v>21</v>
      </c>
      <c r="F354" s="456">
        <v>2004</v>
      </c>
      <c r="G354" s="456">
        <v>3</v>
      </c>
      <c r="H354" s="456">
        <v>24</v>
      </c>
    </row>
    <row r="355" spans="1:8">
      <c r="A355" s="456">
        <v>1351</v>
      </c>
      <c r="B355" s="469" t="s">
        <v>1555</v>
      </c>
      <c r="C355" s="458" t="s">
        <v>243</v>
      </c>
      <c r="D355" s="456">
        <f>IF(Table10[[#This Row],[Current Age]]&gt;19,"Men's",IF(E355&gt;15,"U19",IF(E355&gt;13,"U15",IF(E355&gt;11,"U13",IF(E355&gt;0,"U11",0)))))</f>
        <v>0</v>
      </c>
      <c r="E355" s="456">
        <f>IFERROR(IF(Table10[[#This Row],[Year]]&gt;0,$E$1-Table10[[#This Row],[Year]],0),"")</f>
        <v>0</v>
      </c>
      <c r="F355" s="456"/>
      <c r="G355" s="456"/>
      <c r="H355" s="456"/>
    </row>
    <row r="356" spans="1:8">
      <c r="A356" s="471">
        <v>1352</v>
      </c>
      <c r="B356" s="493" t="s">
        <v>1556</v>
      </c>
      <c r="C356" s="472" t="s">
        <v>243</v>
      </c>
      <c r="D356" s="456" t="str">
        <f>IF(Table10[[#This Row],[Current Age]]&gt;19,"Men's",IF(E356&gt;15,"U19",IF(E356&gt;13,"U15",IF(E356&gt;11,"U13",IF(E356&gt;0,"U11",0)))))</f>
        <v>Men's</v>
      </c>
      <c r="E356" s="456">
        <f>IFERROR(IF(Table10[[#This Row],[Year]]&gt;0,$E$1-Table10[[#This Row],[Year]],0),"")</f>
        <v>20</v>
      </c>
      <c r="F356" s="456">
        <v>2005</v>
      </c>
      <c r="G356" s="456">
        <v>3</v>
      </c>
      <c r="H356" s="456">
        <v>21</v>
      </c>
    </row>
    <row r="357" spans="1:8">
      <c r="A357" s="456">
        <v>1353</v>
      </c>
      <c r="B357" s="469" t="s">
        <v>1557</v>
      </c>
      <c r="C357" s="458" t="s">
        <v>4552</v>
      </c>
      <c r="D357" s="456" t="str">
        <f>IF(Table10[[#This Row],[Current Age]]&gt;19,"Men's",IF(E357&gt;15,"U19",IF(E357&gt;13,"U15",IF(E357&gt;11,"U13",IF(E357&gt;0,"U11",0)))))</f>
        <v>Men's</v>
      </c>
      <c r="E357" s="456">
        <f>IFERROR(IF(Table10[[#This Row],[Year]]&gt;0,$E$1-Table10[[#This Row],[Year]],0),"")</f>
        <v>22</v>
      </c>
      <c r="F357" s="456">
        <v>2003</v>
      </c>
      <c r="G357" s="456">
        <v>11</v>
      </c>
      <c r="H357" s="456">
        <v>14</v>
      </c>
    </row>
    <row r="358" spans="1:8">
      <c r="A358" s="471">
        <v>1354</v>
      </c>
      <c r="B358" s="493" t="s">
        <v>1558</v>
      </c>
      <c r="C358" s="472" t="s">
        <v>250</v>
      </c>
      <c r="D358" s="456">
        <f>IF(Table10[[#This Row],[Current Age]]&gt;19,"Men's",IF(E358&gt;15,"U19",IF(E358&gt;13,"U15",IF(E358&gt;11,"U13",IF(E358&gt;0,"U11",0)))))</f>
        <v>0</v>
      </c>
      <c r="E358" s="456">
        <f>IFERROR(IF(Table10[[#This Row],[Year]]&gt;0,$E$1-Table10[[#This Row],[Year]],0),"")</f>
        <v>0</v>
      </c>
      <c r="F358" s="456"/>
      <c r="G358" s="456"/>
      <c r="H358" s="456"/>
    </row>
    <row r="359" spans="1:8">
      <c r="A359" s="456">
        <v>1355</v>
      </c>
      <c r="B359" s="469" t="s">
        <v>1559</v>
      </c>
      <c r="C359" s="458" t="s">
        <v>362</v>
      </c>
      <c r="D359" s="456">
        <f>IF(Table10[[#This Row],[Current Age]]&gt;19,"Men's",IF(E359&gt;15,"U19",IF(E359&gt;13,"U15",IF(E359&gt;11,"U13",IF(E359&gt;0,"U11",0)))))</f>
        <v>0</v>
      </c>
      <c r="E359" s="456">
        <f>IFERROR(IF(Table10[[#This Row],[Year]]&gt;0,$E$1-Table10[[#This Row],[Year]],0),"")</f>
        <v>0</v>
      </c>
      <c r="F359" s="456"/>
      <c r="G359" s="456"/>
      <c r="H359" s="456"/>
    </row>
    <row r="360" spans="1:8">
      <c r="A360" s="471">
        <v>1356</v>
      </c>
      <c r="B360" s="493" t="s">
        <v>1560</v>
      </c>
      <c r="C360" s="472" t="s">
        <v>361</v>
      </c>
      <c r="D360" s="456" t="str">
        <f>IF(Table10[[#This Row],[Current Age]]&gt;19,"Men's",IF(E360&gt;15,"U19",IF(E360&gt;13,"U15",IF(E360&gt;11,"U13",IF(E360&gt;0,"U11",0)))))</f>
        <v>Men's</v>
      </c>
      <c r="E360" s="456">
        <f>IFERROR(IF(Table10[[#This Row],[Year]]&gt;0,$E$1-Table10[[#This Row],[Year]],0),"")</f>
        <v>22</v>
      </c>
      <c r="F360" s="456">
        <v>2003</v>
      </c>
      <c r="G360" s="456"/>
      <c r="H360" s="456"/>
    </row>
    <row r="361" spans="1:8">
      <c r="A361" s="456">
        <v>1357</v>
      </c>
      <c r="B361" s="469" t="s">
        <v>1561</v>
      </c>
      <c r="C361" s="458" t="s">
        <v>250</v>
      </c>
      <c r="D361" s="456">
        <f>IF(Table10[[#This Row],[Current Age]]&gt;19,"Men's",IF(E361&gt;15,"U19",IF(E361&gt;13,"U15",IF(E361&gt;11,"U13",IF(E361&gt;0,"U11",0)))))</f>
        <v>0</v>
      </c>
      <c r="E361" s="456">
        <f>IFERROR(IF(Table10[[#This Row],[Year]]&gt;0,$E$1-Table10[[#This Row],[Year]],0),"")</f>
        <v>0</v>
      </c>
      <c r="F361" s="456"/>
      <c r="G361" s="456"/>
      <c r="H361" s="456"/>
    </row>
    <row r="362" spans="1:8">
      <c r="A362" s="471">
        <v>1358</v>
      </c>
      <c r="B362" s="493" t="s">
        <v>1562</v>
      </c>
      <c r="C362" s="472" t="s">
        <v>4720</v>
      </c>
      <c r="D362" s="456">
        <f>IF(Table10[[#This Row],[Current Age]]&gt;19,"Men's",IF(E362&gt;15,"U19",IF(E362&gt;13,"U15",IF(E362&gt;11,"U13",IF(E362&gt;0,"U11",0)))))</f>
        <v>0</v>
      </c>
      <c r="E362" s="456">
        <f>IFERROR(IF(Table10[[#This Row],[Year]]&gt;0,$E$1-Table10[[#This Row],[Year]],0),"")</f>
        <v>0</v>
      </c>
      <c r="F362" s="456"/>
      <c r="G362" s="456"/>
      <c r="H362" s="456"/>
    </row>
    <row r="363" spans="1:8">
      <c r="A363" s="456">
        <v>1359</v>
      </c>
      <c r="B363" s="469" t="s">
        <v>1563</v>
      </c>
      <c r="C363" s="458" t="s">
        <v>362</v>
      </c>
      <c r="D363" s="456" t="str">
        <f>IF(Table10[[#This Row],[Current Age]]&gt;19,"Men's",IF(E363&gt;15,"U19",IF(E363&gt;13,"U15",IF(E363&gt;11,"U13",IF(E363&gt;0,"U11",0)))))</f>
        <v>Men's</v>
      </c>
      <c r="E363" s="456">
        <f>IFERROR(IF(Table10[[#This Row],[Year]]&gt;0,$E$1-Table10[[#This Row],[Year]],0),"")</f>
        <v>24</v>
      </c>
      <c r="F363" s="456">
        <v>2001</v>
      </c>
      <c r="G363" s="456">
        <v>2</v>
      </c>
      <c r="H363" s="456">
        <v>14</v>
      </c>
    </row>
    <row r="364" spans="1:8">
      <c r="A364" s="471">
        <v>1360</v>
      </c>
      <c r="B364" s="493" t="s">
        <v>1564</v>
      </c>
      <c r="C364" s="472" t="s">
        <v>249</v>
      </c>
      <c r="D364" s="456">
        <f>IF(Table10[[#This Row],[Current Age]]&gt;19,"Men's",IF(E364&gt;15,"U19",IF(E364&gt;13,"U15",IF(E364&gt;11,"U13",IF(E364&gt;0,"U11",0)))))</f>
        <v>0</v>
      </c>
      <c r="E364" s="456">
        <f>IFERROR(IF(Table10[[#This Row],[Year]]&gt;0,$E$1-Table10[[#This Row],[Year]],0),"")</f>
        <v>0</v>
      </c>
      <c r="F364" s="456"/>
      <c r="G364" s="456"/>
      <c r="H364" s="456"/>
    </row>
    <row r="365" spans="1:8">
      <c r="A365" s="456">
        <v>1361</v>
      </c>
      <c r="B365" s="469" t="s">
        <v>1565</v>
      </c>
      <c r="C365" s="458" t="s">
        <v>762</v>
      </c>
      <c r="D365" s="456">
        <f>IF(Table10[[#This Row],[Current Age]]&gt;19,"Men's",IF(E365&gt;15,"U19",IF(E365&gt;13,"U15",IF(E365&gt;11,"U13",IF(E365&gt;0,"U11",0)))))</f>
        <v>0</v>
      </c>
      <c r="E365" s="456">
        <f>IFERROR(IF(Table10[[#This Row],[Year]]&gt;0,$E$1-Table10[[#This Row],[Year]],0),"")</f>
        <v>0</v>
      </c>
      <c r="F365" s="456"/>
      <c r="G365" s="456"/>
      <c r="H365" s="456"/>
    </row>
    <row r="366" spans="1:8">
      <c r="A366" s="471">
        <v>1362</v>
      </c>
      <c r="B366" s="493" t="s">
        <v>1566</v>
      </c>
      <c r="C366" s="472" t="s">
        <v>362</v>
      </c>
      <c r="D366" s="456">
        <f>IF(Table10[[#This Row],[Current Age]]&gt;19,"Men's",IF(E366&gt;15,"U19",IF(E366&gt;13,"U15",IF(E366&gt;11,"U13",IF(E366&gt;0,"U11",0)))))</f>
        <v>0</v>
      </c>
      <c r="E366" s="456">
        <f>IFERROR(IF(Table10[[#This Row],[Year]]&gt;0,$E$1-Table10[[#This Row],[Year]],0),"")</f>
        <v>0</v>
      </c>
      <c r="F366" s="456"/>
      <c r="G366" s="456"/>
      <c r="H366" s="456"/>
    </row>
    <row r="367" spans="1:8">
      <c r="A367" s="456">
        <v>1363</v>
      </c>
      <c r="B367" s="469" t="s">
        <v>1567</v>
      </c>
      <c r="C367" s="458" t="s">
        <v>243</v>
      </c>
      <c r="D367" s="456">
        <f>IF(Table10[[#This Row],[Current Age]]&gt;19,"Men's",IF(E367&gt;15,"U19",IF(E367&gt;13,"U15",IF(E367&gt;11,"U13",IF(E367&gt;0,"U11",0)))))</f>
        <v>0</v>
      </c>
      <c r="E367" s="456">
        <f>IFERROR(IF(Table10[[#This Row],[Year]]&gt;0,$E$1-Table10[[#This Row],[Year]],0),"")</f>
        <v>0</v>
      </c>
      <c r="F367" s="456"/>
      <c r="G367" s="456"/>
      <c r="H367" s="456"/>
    </row>
    <row r="368" spans="1:8">
      <c r="A368" s="471">
        <v>1364</v>
      </c>
      <c r="B368" s="493" t="s">
        <v>1568</v>
      </c>
      <c r="C368" s="472" t="s">
        <v>254</v>
      </c>
      <c r="D368" s="456">
        <f>IF(Table10[[#This Row],[Current Age]]&gt;19,"Men's",IF(E368&gt;15,"U19",IF(E368&gt;13,"U15",IF(E368&gt;11,"U13",IF(E368&gt;0,"U11",0)))))</f>
        <v>0</v>
      </c>
      <c r="E368" s="456">
        <f>IFERROR(IF(Table10[[#This Row],[Year]]&gt;0,$E$1-Table10[[#This Row],[Year]],0),"")</f>
        <v>0</v>
      </c>
      <c r="F368" s="456"/>
      <c r="G368" s="456"/>
      <c r="H368" s="456"/>
    </row>
    <row r="369" spans="1:8">
      <c r="A369" s="456">
        <v>1365</v>
      </c>
      <c r="B369" s="469" t="s">
        <v>1569</v>
      </c>
      <c r="C369" s="458" t="s">
        <v>762</v>
      </c>
      <c r="D369" s="456" t="str">
        <f>IF(Table10[[#This Row],[Current Age]]&gt;19,"Men's",IF(E369&gt;15,"U19",IF(E369&gt;13,"U15",IF(E369&gt;11,"U13",IF(E369&gt;0,"U11",0)))))</f>
        <v>Men's</v>
      </c>
      <c r="E369" s="456">
        <f>IFERROR(IF(Table10[[#This Row],[Year]]&gt;0,$E$1-Table10[[#This Row],[Year]],0),"")</f>
        <v>23</v>
      </c>
      <c r="F369" s="456">
        <v>2002</v>
      </c>
      <c r="G369" s="456">
        <v>12</v>
      </c>
      <c r="H369" s="456">
        <v>12</v>
      </c>
    </row>
    <row r="370" spans="1:8">
      <c r="A370" s="471">
        <v>1366</v>
      </c>
      <c r="B370" s="493" t="s">
        <v>1570</v>
      </c>
      <c r="C370" s="472" t="s">
        <v>361</v>
      </c>
      <c r="D370" s="456" t="str">
        <f>IF(Table10[[#This Row],[Current Age]]&gt;19,"Men's",IF(E370&gt;15,"U19",IF(E370&gt;13,"U15",IF(E370&gt;11,"U13",IF(E370&gt;0,"U11",0)))))</f>
        <v>Men's</v>
      </c>
      <c r="E370" s="456">
        <f>IFERROR(IF(Table10[[#This Row],[Year]]&gt;0,$E$1-Table10[[#This Row],[Year]],0),"")</f>
        <v>21</v>
      </c>
      <c r="F370" s="456">
        <v>2004</v>
      </c>
      <c r="G370" s="456">
        <v>5</v>
      </c>
      <c r="H370" s="456">
        <v>16</v>
      </c>
    </row>
    <row r="371" spans="1:8">
      <c r="A371" s="456">
        <v>1367</v>
      </c>
      <c r="B371" s="469" t="s">
        <v>1571</v>
      </c>
      <c r="C371" s="458" t="s">
        <v>250</v>
      </c>
      <c r="D371" s="456">
        <f>IF(Table10[[#This Row],[Current Age]]&gt;19,"Men's",IF(E371&gt;15,"U19",IF(E371&gt;13,"U15",IF(E371&gt;11,"U13",IF(E371&gt;0,"U11",0)))))</f>
        <v>0</v>
      </c>
      <c r="E371" s="456">
        <f>IFERROR(IF(Table10[[#This Row],[Year]]&gt;0,$E$1-Table10[[#This Row],[Year]],0),"")</f>
        <v>0</v>
      </c>
      <c r="F371" s="456"/>
      <c r="G371" s="456"/>
      <c r="H371" s="456"/>
    </row>
    <row r="372" spans="1:8">
      <c r="A372" s="471">
        <v>1368</v>
      </c>
      <c r="B372" s="493" t="s">
        <v>1572</v>
      </c>
      <c r="C372" s="472" t="s">
        <v>256</v>
      </c>
      <c r="D372" s="456">
        <f>IF(Table10[[#This Row],[Current Age]]&gt;19,"Men's",IF(E372&gt;15,"U19",IF(E372&gt;13,"U15",IF(E372&gt;11,"U13",IF(E372&gt;0,"U11",0)))))</f>
        <v>0</v>
      </c>
      <c r="E372" s="456">
        <f>IFERROR(IF(Table10[[#This Row],[Year]]&gt;0,$E$1-Table10[[#This Row],[Year]],0),"")</f>
        <v>0</v>
      </c>
      <c r="F372" s="456"/>
      <c r="G372" s="456"/>
      <c r="H372" s="456"/>
    </row>
    <row r="373" spans="1:8">
      <c r="A373" s="456">
        <v>1369</v>
      </c>
      <c r="B373" s="469" t="s">
        <v>1573</v>
      </c>
      <c r="C373" s="458" t="s">
        <v>250</v>
      </c>
      <c r="D373" s="456">
        <f>IF(Table10[[#This Row],[Current Age]]&gt;19,"Men's",IF(E373&gt;15,"U19",IF(E373&gt;13,"U15",IF(E373&gt;11,"U13",IF(E373&gt;0,"U11",0)))))</f>
        <v>0</v>
      </c>
      <c r="E373" s="456">
        <f>IFERROR(IF(Table10[[#This Row],[Year]]&gt;0,$E$1-Table10[[#This Row],[Year]],0),"")</f>
        <v>0</v>
      </c>
      <c r="F373" s="456"/>
      <c r="G373" s="456"/>
      <c r="H373" s="456"/>
    </row>
    <row r="374" spans="1:8">
      <c r="A374" s="471">
        <v>1370</v>
      </c>
      <c r="B374" s="493" t="s">
        <v>1574</v>
      </c>
      <c r="C374" s="472" t="s">
        <v>253</v>
      </c>
      <c r="D374" s="456">
        <f>IF(Table10[[#This Row],[Current Age]]&gt;19,"Men's",IF(E374&gt;15,"U19",IF(E374&gt;13,"U15",IF(E374&gt;11,"U13",IF(E374&gt;0,"U11",0)))))</f>
        <v>0</v>
      </c>
      <c r="E374" s="456">
        <f>IFERROR(IF(Table10[[#This Row],[Year]]&gt;0,$E$1-Table10[[#This Row],[Year]],0),"")</f>
        <v>0</v>
      </c>
      <c r="F374" s="456"/>
      <c r="G374" s="456"/>
      <c r="H374" s="456"/>
    </row>
    <row r="375" spans="1:8">
      <c r="A375" s="456">
        <v>1371</v>
      </c>
      <c r="B375" s="469" t="s">
        <v>1575</v>
      </c>
      <c r="C375" s="458" t="s">
        <v>243</v>
      </c>
      <c r="D375" s="456">
        <f>IF(Table10[[#This Row],[Current Age]]&gt;19,"Men's",IF(E375&gt;15,"U19",IF(E375&gt;13,"U15",IF(E375&gt;11,"U13",IF(E375&gt;0,"U11",0)))))</f>
        <v>0</v>
      </c>
      <c r="E375" s="456">
        <f>IFERROR(IF(Table10[[#This Row],[Year]]&gt;0,$E$1-Table10[[#This Row],[Year]],0),"")</f>
        <v>0</v>
      </c>
      <c r="F375" s="456"/>
      <c r="G375" s="456"/>
      <c r="H375" s="456"/>
    </row>
    <row r="376" spans="1:8">
      <c r="A376" s="471">
        <v>1372</v>
      </c>
      <c r="B376" s="493" t="s">
        <v>1576</v>
      </c>
      <c r="C376" s="472" t="s">
        <v>243</v>
      </c>
      <c r="D376" s="456" t="str">
        <f>IF(Table10[[#This Row],[Current Age]]&gt;19,"Men's",IF(E376&gt;15,"U19",IF(E376&gt;13,"U15",IF(E376&gt;11,"U13",IF(E376&gt;0,"U11",0)))))</f>
        <v>U19</v>
      </c>
      <c r="E376" s="456">
        <f>IFERROR(IF(Table10[[#This Row],[Year]]&gt;0,$E$1-Table10[[#This Row],[Year]],0),"")</f>
        <v>19</v>
      </c>
      <c r="F376" s="456">
        <v>2006</v>
      </c>
      <c r="G376" s="456">
        <v>5</v>
      </c>
      <c r="H376" s="456">
        <v>8</v>
      </c>
    </row>
    <row r="377" spans="1:8">
      <c r="A377" s="456">
        <v>1373</v>
      </c>
      <c r="B377" s="469" t="s">
        <v>1577</v>
      </c>
      <c r="C377" s="458" t="s">
        <v>253</v>
      </c>
      <c r="D377" s="456">
        <f>IF(Table10[[#This Row],[Current Age]]&gt;19,"Men's",IF(E377&gt;15,"U19",IF(E377&gt;13,"U15",IF(E377&gt;11,"U13",IF(E377&gt;0,"U11",0)))))</f>
        <v>0</v>
      </c>
      <c r="E377" s="456">
        <f>IFERROR(IF(Table10[[#This Row],[Year]]&gt;0,$E$1-Table10[[#This Row],[Year]],0),"")</f>
        <v>0</v>
      </c>
      <c r="F377" s="456"/>
      <c r="G377" s="456"/>
      <c r="H377" s="456"/>
    </row>
    <row r="378" spans="1:8">
      <c r="A378" s="471">
        <v>1374</v>
      </c>
      <c r="B378" s="493" t="s">
        <v>1578</v>
      </c>
      <c r="C378" s="472" t="s">
        <v>255</v>
      </c>
      <c r="D378" s="456">
        <f>IF(Table10[[#This Row],[Current Age]]&gt;19,"Men's",IF(E378&gt;15,"U19",IF(E378&gt;13,"U15",IF(E378&gt;11,"U13",IF(E378&gt;0,"U11",0)))))</f>
        <v>0</v>
      </c>
      <c r="E378" s="456">
        <f>IFERROR(IF(Table10[[#This Row],[Year]]&gt;0,$E$1-Table10[[#This Row],[Year]],0),"")</f>
        <v>0</v>
      </c>
      <c r="F378" s="456"/>
      <c r="G378" s="456"/>
      <c r="H378" s="456"/>
    </row>
    <row r="379" spans="1:8">
      <c r="A379" s="456">
        <v>1375</v>
      </c>
      <c r="B379" s="469" t="s">
        <v>1579</v>
      </c>
      <c r="C379" s="458" t="s">
        <v>4552</v>
      </c>
      <c r="D379" s="456">
        <f>IF(Table10[[#This Row],[Current Age]]&gt;19,"Men's",IF(E379&gt;15,"U19",IF(E379&gt;13,"U15",IF(E379&gt;11,"U13",IF(E379&gt;0,"U11",0)))))</f>
        <v>0</v>
      </c>
      <c r="E379" s="456">
        <f>IFERROR(IF(Table10[[#This Row],[Year]]&gt;0,$E$1-Table10[[#This Row],[Year]],0),"")</f>
        <v>0</v>
      </c>
      <c r="F379" s="456"/>
      <c r="G379" s="456"/>
      <c r="H379" s="456"/>
    </row>
    <row r="380" spans="1:8">
      <c r="A380" s="471">
        <v>1376</v>
      </c>
      <c r="B380" s="493" t="s">
        <v>1580</v>
      </c>
      <c r="C380" s="472" t="s">
        <v>255</v>
      </c>
      <c r="D380" s="456">
        <f>IF(Table10[[#This Row],[Current Age]]&gt;19,"Men's",IF(E380&gt;15,"U19",IF(E380&gt;13,"U15",IF(E380&gt;11,"U13",IF(E380&gt;0,"U11",0)))))</f>
        <v>0</v>
      </c>
      <c r="E380" s="456">
        <f>IFERROR(IF(Table10[[#This Row],[Year]]&gt;0,$E$1-Table10[[#This Row],[Year]],0),"")</f>
        <v>0</v>
      </c>
      <c r="F380" s="456"/>
      <c r="G380" s="456"/>
      <c r="H380" s="456"/>
    </row>
    <row r="381" spans="1:8">
      <c r="A381" s="456">
        <v>1377</v>
      </c>
      <c r="B381" s="469" t="s">
        <v>1581</v>
      </c>
      <c r="C381" s="458" t="s">
        <v>253</v>
      </c>
      <c r="D381" s="456">
        <f>IF(Table10[[#This Row],[Current Age]]&gt;19,"Men's",IF(E381&gt;15,"U19",IF(E381&gt;13,"U15",IF(E381&gt;11,"U13",IF(E381&gt;0,"U11",0)))))</f>
        <v>0</v>
      </c>
      <c r="E381" s="456">
        <f>IFERROR(IF(Table10[[#This Row],[Year]]&gt;0,$E$1-Table10[[#This Row],[Year]],0),"")</f>
        <v>0</v>
      </c>
      <c r="F381" s="456"/>
      <c r="G381" s="456"/>
      <c r="H381" s="456"/>
    </row>
    <row r="382" spans="1:8">
      <c r="A382" s="471">
        <v>1378</v>
      </c>
      <c r="B382" s="493" t="s">
        <v>1582</v>
      </c>
      <c r="C382" s="472" t="s">
        <v>243</v>
      </c>
      <c r="D382" s="456">
        <f>IF(Table10[[#This Row],[Current Age]]&gt;19,"Men's",IF(E382&gt;15,"U19",IF(E382&gt;13,"U15",IF(E382&gt;11,"U13",IF(E382&gt;0,"U11",0)))))</f>
        <v>0</v>
      </c>
      <c r="E382" s="456">
        <f>IFERROR(IF(Table10[[#This Row],[Year]]&gt;0,$E$1-Table10[[#This Row],[Year]],0),"")</f>
        <v>0</v>
      </c>
      <c r="F382" s="456"/>
      <c r="G382" s="456"/>
      <c r="H382" s="456"/>
    </row>
    <row r="383" spans="1:8">
      <c r="A383" s="456">
        <v>1379</v>
      </c>
      <c r="B383" s="469" t="s">
        <v>1583</v>
      </c>
      <c r="C383" s="458" t="s">
        <v>4552</v>
      </c>
      <c r="D383" s="456">
        <f>IF(Table10[[#This Row],[Current Age]]&gt;19,"Men's",IF(E383&gt;15,"U19",IF(E383&gt;13,"U15",IF(E383&gt;11,"U13",IF(E383&gt;0,"U11",0)))))</f>
        <v>0</v>
      </c>
      <c r="E383" s="456">
        <f>IFERROR(IF(Table10[[#This Row],[Year]]&gt;0,$E$1-Table10[[#This Row],[Year]],0),"")</f>
        <v>0</v>
      </c>
      <c r="F383" s="456"/>
      <c r="G383" s="456"/>
      <c r="H383" s="456"/>
    </row>
    <row r="384" spans="1:8">
      <c r="A384" s="471">
        <v>1380</v>
      </c>
      <c r="B384" s="493" t="s">
        <v>3129</v>
      </c>
      <c r="C384" s="472" t="s">
        <v>2857</v>
      </c>
      <c r="D384" s="456">
        <f>IF(Table10[[#This Row],[Current Age]]&gt;19,"Men's",IF(E384&gt;15,"U19",IF(E384&gt;13,"U15",IF(E384&gt;11,"U13",IF(E384&gt;0,"U11",0)))))</f>
        <v>0</v>
      </c>
      <c r="E384" s="456">
        <f>IFERROR(IF(Table10[[#This Row],[Year]]&gt;0,$E$1-Table10[[#This Row],[Year]],0),"")</f>
        <v>0</v>
      </c>
      <c r="F384" s="456"/>
      <c r="G384" s="456"/>
      <c r="H384" s="456"/>
    </row>
    <row r="385" spans="1:8">
      <c r="A385" s="456">
        <v>1381</v>
      </c>
      <c r="B385" s="469" t="s">
        <v>1584</v>
      </c>
      <c r="C385" s="458" t="s">
        <v>256</v>
      </c>
      <c r="D385" s="456">
        <f>IF(Table10[[#This Row],[Current Age]]&gt;19,"Men's",IF(E385&gt;15,"U19",IF(E385&gt;13,"U15",IF(E385&gt;11,"U13",IF(E385&gt;0,"U11",0)))))</f>
        <v>0</v>
      </c>
      <c r="E385" s="456">
        <f>IFERROR(IF(Table10[[#This Row],[Year]]&gt;0,$E$1-Table10[[#This Row],[Year]],0),"")</f>
        <v>0</v>
      </c>
      <c r="F385" s="456"/>
      <c r="G385" s="456"/>
      <c r="H385" s="456"/>
    </row>
    <row r="386" spans="1:8">
      <c r="A386" s="471">
        <v>1382</v>
      </c>
      <c r="B386" s="493" t="s">
        <v>1585</v>
      </c>
      <c r="C386" s="472" t="s">
        <v>4720</v>
      </c>
      <c r="D386" s="456">
        <f>IF(Table10[[#This Row],[Current Age]]&gt;19,"Men's",IF(E386&gt;15,"U19",IF(E386&gt;13,"U15",IF(E386&gt;11,"U13",IF(E386&gt;0,"U11",0)))))</f>
        <v>0</v>
      </c>
      <c r="E386" s="456">
        <f>IFERROR(IF(Table10[[#This Row],[Year]]&gt;0,$E$1-Table10[[#This Row],[Year]],0),"")</f>
        <v>0</v>
      </c>
      <c r="F386" s="456"/>
      <c r="G386" s="456"/>
      <c r="H386" s="456"/>
    </row>
    <row r="387" spans="1:8">
      <c r="A387" s="456">
        <v>1383</v>
      </c>
      <c r="B387" s="469" t="s">
        <v>1586</v>
      </c>
      <c r="C387" s="458" t="s">
        <v>4720</v>
      </c>
      <c r="D387" s="456" t="str">
        <f>IF(Table10[[#This Row],[Current Age]]&gt;19,"Men's",IF(E387&gt;15,"U19",IF(E387&gt;13,"U15",IF(E387&gt;11,"U13",IF(E387&gt;0,"U11",0)))))</f>
        <v>Men's</v>
      </c>
      <c r="E387" s="456">
        <f>IFERROR(IF(Table10[[#This Row],[Year]]&gt;0,$E$1-Table10[[#This Row],[Year]],0),"")</f>
        <v>20</v>
      </c>
      <c r="F387" s="456">
        <v>2005</v>
      </c>
      <c r="G387" s="456">
        <v>3</v>
      </c>
      <c r="H387" s="456">
        <v>19</v>
      </c>
    </row>
    <row r="388" spans="1:8">
      <c r="A388" s="471">
        <v>1384</v>
      </c>
      <c r="B388" s="493" t="s">
        <v>1587</v>
      </c>
      <c r="C388" s="472" t="s">
        <v>361</v>
      </c>
      <c r="D388" s="456">
        <f>IF(Table10[[#This Row],[Current Age]]&gt;19,"Men's",IF(E388&gt;15,"U19",IF(E388&gt;13,"U15",IF(E388&gt;11,"U13",IF(E388&gt;0,"U11",0)))))</f>
        <v>0</v>
      </c>
      <c r="E388" s="456">
        <f>IFERROR(IF(Table10[[#This Row],[Year]]&gt;0,$E$1-Table10[[#This Row],[Year]],0),"")</f>
        <v>0</v>
      </c>
      <c r="F388" s="456"/>
      <c r="G388" s="456"/>
      <c r="H388" s="456"/>
    </row>
    <row r="389" spans="1:8">
      <c r="A389" s="456">
        <v>1385</v>
      </c>
      <c r="B389" s="469" t="s">
        <v>1588</v>
      </c>
      <c r="C389" s="458" t="s">
        <v>243</v>
      </c>
      <c r="D389" s="456">
        <f>IF(Table10[[#This Row],[Current Age]]&gt;19,"Men's",IF(E389&gt;15,"U19",IF(E389&gt;13,"U15",IF(E389&gt;11,"U13",IF(E389&gt;0,"U11",0)))))</f>
        <v>0</v>
      </c>
      <c r="E389" s="456">
        <f>IFERROR(IF(Table10[[#This Row],[Year]]&gt;0,$E$1-Table10[[#This Row],[Year]],0),"")</f>
        <v>0</v>
      </c>
      <c r="F389" s="456"/>
      <c r="G389" s="456"/>
      <c r="H389" s="456"/>
    </row>
    <row r="390" spans="1:8">
      <c r="A390" s="471">
        <v>1386</v>
      </c>
      <c r="B390" s="493" t="s">
        <v>1589</v>
      </c>
      <c r="C390" s="472" t="s">
        <v>244</v>
      </c>
      <c r="D390" s="456" t="str">
        <f>IF(Table10[[#This Row],[Current Age]]&gt;19,"Men's",IF(E390&gt;15,"U19",IF(E390&gt;13,"U15",IF(E390&gt;11,"U13",IF(E390&gt;0,"U11",0)))))</f>
        <v>Men's</v>
      </c>
      <c r="E390" s="456">
        <f>IFERROR(IF(Table10[[#This Row],[Year]]&gt;0,$E$1-Table10[[#This Row],[Year]],0),"")</f>
        <v>21</v>
      </c>
      <c r="F390" s="456">
        <v>2004</v>
      </c>
      <c r="G390" s="456">
        <v>2</v>
      </c>
      <c r="H390" s="456">
        <v>10</v>
      </c>
    </row>
    <row r="391" spans="1:8">
      <c r="A391" s="456">
        <v>1387</v>
      </c>
      <c r="B391" s="469" t="s">
        <v>1590</v>
      </c>
      <c r="C391" s="458" t="s">
        <v>361</v>
      </c>
      <c r="D391" s="456" t="str">
        <f>IF(Table10[[#This Row],[Current Age]]&gt;19,"Men's",IF(E391&gt;15,"U19",IF(E391&gt;13,"U15",IF(E391&gt;11,"U13",IF(E391&gt;0,"U11",0)))))</f>
        <v>Men's</v>
      </c>
      <c r="E391" s="456">
        <f>IFERROR(IF(Table10[[#This Row],[Year]]&gt;0,$E$1-Table10[[#This Row],[Year]],0),"")</f>
        <v>20</v>
      </c>
      <c r="F391" s="456">
        <v>2005</v>
      </c>
      <c r="G391" s="456">
        <v>10</v>
      </c>
      <c r="H391" s="456">
        <v>25</v>
      </c>
    </row>
    <row r="392" spans="1:8">
      <c r="A392" s="471">
        <v>1388</v>
      </c>
      <c r="B392" s="493" t="s">
        <v>1591</v>
      </c>
      <c r="C392" s="472" t="s">
        <v>4720</v>
      </c>
      <c r="D392" s="456">
        <f>IF(Table10[[#This Row],[Current Age]]&gt;19,"Men's",IF(E392&gt;15,"U19",IF(E392&gt;13,"U15",IF(E392&gt;11,"U13",IF(E392&gt;0,"U11",0)))))</f>
        <v>0</v>
      </c>
      <c r="E392" s="456">
        <f>IFERROR(IF(Table10[[#This Row],[Year]]&gt;0,$E$1-Table10[[#This Row],[Year]],0),"")</f>
        <v>0</v>
      </c>
      <c r="F392" s="456"/>
      <c r="G392" s="456"/>
      <c r="H392" s="456"/>
    </row>
    <row r="393" spans="1:8">
      <c r="A393" s="456">
        <v>1389</v>
      </c>
      <c r="B393" s="469" t="s">
        <v>1592</v>
      </c>
      <c r="C393" s="458" t="s">
        <v>361</v>
      </c>
      <c r="D393" s="456" t="str">
        <f>IF(Table10[[#This Row],[Current Age]]&gt;19,"Men's",IF(E393&gt;15,"U19",IF(E393&gt;13,"U15",IF(E393&gt;11,"U13",IF(E393&gt;0,"U11",0)))))</f>
        <v>U19</v>
      </c>
      <c r="E393" s="456">
        <f>IFERROR(IF(Table10[[#This Row],[Year]]&gt;0,$E$1-Table10[[#This Row],[Year]],0),"")</f>
        <v>19</v>
      </c>
      <c r="F393" s="456">
        <v>2006</v>
      </c>
      <c r="G393" s="456">
        <v>6</v>
      </c>
      <c r="H393" s="456">
        <v>4</v>
      </c>
    </row>
    <row r="394" spans="1:8">
      <c r="A394" s="471">
        <v>1390</v>
      </c>
      <c r="B394" s="493" t="s">
        <v>1593</v>
      </c>
      <c r="C394" s="472" t="s">
        <v>249</v>
      </c>
      <c r="D394" s="456">
        <f>IF(Table10[[#This Row],[Current Age]]&gt;19,"Men's",IF(E394&gt;15,"U19",IF(E394&gt;13,"U15",IF(E394&gt;11,"U13",IF(E394&gt;0,"U11",0)))))</f>
        <v>0</v>
      </c>
      <c r="E394" s="456">
        <f>IFERROR(IF(Table10[[#This Row],[Year]]&gt;0,$E$1-Table10[[#This Row],[Year]],0),"")</f>
        <v>0</v>
      </c>
      <c r="F394" s="456"/>
      <c r="G394" s="456"/>
      <c r="H394" s="456"/>
    </row>
    <row r="395" spans="1:8">
      <c r="A395" s="456">
        <v>1391</v>
      </c>
      <c r="B395" s="469" t="s">
        <v>1594</v>
      </c>
      <c r="C395" s="458" t="s">
        <v>4552</v>
      </c>
      <c r="D395" s="456" t="str">
        <f>IF(Table10[[#This Row],[Current Age]]&gt;19,"Men's",IF(E395&gt;15,"U19",IF(E395&gt;13,"U15",IF(E395&gt;11,"U13",IF(E395&gt;0,"U11",0)))))</f>
        <v>Men's</v>
      </c>
      <c r="E395" s="456">
        <f>IFERROR(IF(Table10[[#This Row],[Year]]&gt;0,$E$1-Table10[[#This Row],[Year]],0),"")</f>
        <v>22</v>
      </c>
      <c r="F395" s="456">
        <v>2003</v>
      </c>
      <c r="G395" s="456">
        <v>5</v>
      </c>
      <c r="H395" s="456">
        <v>17</v>
      </c>
    </row>
    <row r="396" spans="1:8">
      <c r="A396" s="471">
        <v>1392</v>
      </c>
      <c r="B396" s="493" t="s">
        <v>1595</v>
      </c>
      <c r="C396" s="472" t="s">
        <v>248</v>
      </c>
      <c r="D396" s="456">
        <f>IF(Table10[[#This Row],[Current Age]]&gt;19,"Men's",IF(E396&gt;15,"U19",IF(E396&gt;13,"U15",IF(E396&gt;11,"U13",IF(E396&gt;0,"U11",0)))))</f>
        <v>0</v>
      </c>
      <c r="E396" s="456">
        <f>IFERROR(IF(Table10[[#This Row],[Year]]&gt;0,$E$1-Table10[[#This Row],[Year]],0),"")</f>
        <v>0</v>
      </c>
      <c r="F396" s="456"/>
      <c r="G396" s="456"/>
      <c r="H396" s="456"/>
    </row>
    <row r="397" spans="1:8">
      <c r="A397" s="456">
        <v>1393</v>
      </c>
      <c r="B397" s="469" t="s">
        <v>1596</v>
      </c>
      <c r="C397" s="458" t="s">
        <v>4720</v>
      </c>
      <c r="D397" s="456">
        <f>IF(Table10[[#This Row],[Current Age]]&gt;19,"Men's",IF(E397&gt;15,"U19",IF(E397&gt;13,"U15",IF(E397&gt;11,"U13",IF(E397&gt;0,"U11",0)))))</f>
        <v>0</v>
      </c>
      <c r="E397" s="456">
        <f>IFERROR(IF(Table10[[#This Row],[Year]]&gt;0,$E$1-Table10[[#This Row],[Year]],0),"")</f>
        <v>0</v>
      </c>
      <c r="F397" s="456"/>
      <c r="G397" s="456"/>
      <c r="H397" s="456"/>
    </row>
    <row r="398" spans="1:8">
      <c r="A398" s="471">
        <v>1394</v>
      </c>
      <c r="B398" s="493" t="s">
        <v>1597</v>
      </c>
      <c r="C398" s="472" t="s">
        <v>4720</v>
      </c>
      <c r="D398" s="456" t="str">
        <f>IF(Table10[[#This Row],[Current Age]]&gt;19,"Men's",IF(E398&gt;15,"U19",IF(E398&gt;13,"U15",IF(E398&gt;11,"U13",IF(E398&gt;0,"U11",0)))))</f>
        <v>Men's</v>
      </c>
      <c r="E398" s="456">
        <f>IFERROR(IF(Table10[[#This Row],[Year]]&gt;0,$E$1-Table10[[#This Row],[Year]],0),"")</f>
        <v>21</v>
      </c>
      <c r="F398" s="456">
        <v>2004</v>
      </c>
      <c r="G398" s="456">
        <v>10</v>
      </c>
      <c r="H398" s="456">
        <v>26</v>
      </c>
    </row>
    <row r="399" spans="1:8">
      <c r="A399" s="456">
        <v>1395</v>
      </c>
      <c r="B399" s="469" t="s">
        <v>1598</v>
      </c>
      <c r="C399" s="458" t="s">
        <v>251</v>
      </c>
      <c r="D399" s="456">
        <f>IF(Table10[[#This Row],[Current Age]]&gt;19,"Men's",IF(E399&gt;15,"U19",IF(E399&gt;13,"U15",IF(E399&gt;11,"U13",IF(E399&gt;0,"U11",0)))))</f>
        <v>0</v>
      </c>
      <c r="E399" s="456">
        <f>IFERROR(IF(Table10[[#This Row],[Year]]&gt;0,$E$1-Table10[[#This Row],[Year]],0),"")</f>
        <v>0</v>
      </c>
      <c r="F399" s="456"/>
      <c r="G399" s="456"/>
      <c r="H399" s="456"/>
    </row>
    <row r="400" spans="1:8">
      <c r="A400" s="471">
        <v>1396</v>
      </c>
      <c r="B400" s="493" t="s">
        <v>2143</v>
      </c>
      <c r="C400" s="472" t="s">
        <v>4720</v>
      </c>
      <c r="D400" s="456">
        <f>IF(Table10[[#This Row],[Current Age]]&gt;19,"Men's",IF(E400&gt;15,"U19",IF(E400&gt;13,"U15",IF(E400&gt;11,"U13",IF(E400&gt;0,"U11",0)))))</f>
        <v>0</v>
      </c>
      <c r="E400" s="456">
        <f>IFERROR(IF(Table10[[#This Row],[Year]]&gt;0,$E$1-Table10[[#This Row],[Year]],0),"")</f>
        <v>0</v>
      </c>
      <c r="F400" s="456"/>
      <c r="G400" s="456"/>
      <c r="H400" s="456"/>
    </row>
    <row r="401" spans="1:8">
      <c r="A401" s="456">
        <v>1397</v>
      </c>
      <c r="B401" s="469" t="s">
        <v>1600</v>
      </c>
      <c r="C401" s="458" t="s">
        <v>256</v>
      </c>
      <c r="D401" s="456">
        <f>IF(Table10[[#This Row],[Current Age]]&gt;19,"Men's",IF(E401&gt;15,"U19",IF(E401&gt;13,"U15",IF(E401&gt;11,"U13",IF(E401&gt;0,"U11",0)))))</f>
        <v>0</v>
      </c>
      <c r="E401" s="456">
        <f>IFERROR(IF(Table10[[#This Row],[Year]]&gt;0,$E$1-Table10[[#This Row],[Year]],0),"")</f>
        <v>0</v>
      </c>
      <c r="F401" s="456"/>
      <c r="G401" s="456"/>
      <c r="H401" s="456"/>
    </row>
    <row r="402" spans="1:8">
      <c r="A402" s="471">
        <v>1398</v>
      </c>
      <c r="B402" s="493" t="s">
        <v>1601</v>
      </c>
      <c r="C402" s="472" t="s">
        <v>243</v>
      </c>
      <c r="D402" s="456" t="str">
        <f>IF(Table10[[#This Row],[Current Age]]&gt;19,"Men's",IF(E402&gt;15,"U19",IF(E402&gt;13,"U15",IF(E402&gt;11,"U13",IF(E402&gt;0,"U11",0)))))</f>
        <v>Men's</v>
      </c>
      <c r="E402" s="456">
        <f>IFERROR(IF(Table10[[#This Row],[Year]]&gt;0,$E$1-Table10[[#This Row],[Year]],0),"")</f>
        <v>23</v>
      </c>
      <c r="F402" s="456">
        <v>2002</v>
      </c>
      <c r="G402" s="456">
        <v>6</v>
      </c>
      <c r="H402" s="456">
        <v>10</v>
      </c>
    </row>
    <row r="403" spans="1:8">
      <c r="A403" s="456">
        <v>1399</v>
      </c>
      <c r="B403" s="469" t="s">
        <v>1602</v>
      </c>
      <c r="C403" s="458" t="s">
        <v>243</v>
      </c>
      <c r="D403" s="456">
        <f>IF(Table10[[#This Row],[Current Age]]&gt;19,"Men's",IF(E403&gt;15,"U19",IF(E403&gt;13,"U15",IF(E403&gt;11,"U13",IF(E403&gt;0,"U11",0)))))</f>
        <v>0</v>
      </c>
      <c r="E403" s="456">
        <f>IFERROR(IF(Table10[[#This Row],[Year]]&gt;0,$E$1-Table10[[#This Row],[Year]],0),"")</f>
        <v>0</v>
      </c>
      <c r="F403" s="456"/>
      <c r="G403" s="456"/>
      <c r="H403" s="456"/>
    </row>
    <row r="404" spans="1:8">
      <c r="A404" s="471">
        <v>1400</v>
      </c>
      <c r="B404" s="493" t="s">
        <v>1603</v>
      </c>
      <c r="C404" s="472" t="s">
        <v>255</v>
      </c>
      <c r="D404" s="456">
        <f>IF(Table10[[#This Row],[Current Age]]&gt;19,"Men's",IF(E404&gt;15,"U19",IF(E404&gt;13,"U15",IF(E404&gt;11,"U13",IF(E404&gt;0,"U11",0)))))</f>
        <v>0</v>
      </c>
      <c r="E404" s="456">
        <f>IFERROR(IF(Table10[[#This Row],[Year]]&gt;0,$E$1-Table10[[#This Row],[Year]],0),"")</f>
        <v>0</v>
      </c>
      <c r="F404" s="456"/>
      <c r="G404" s="456"/>
      <c r="H404" s="456"/>
    </row>
    <row r="405" spans="1:8">
      <c r="A405" s="456">
        <v>1401</v>
      </c>
      <c r="B405" s="469" t="s">
        <v>1604</v>
      </c>
      <c r="C405" s="458" t="s">
        <v>250</v>
      </c>
      <c r="D405" s="456">
        <f>IF(Table10[[#This Row],[Current Age]]&gt;19,"Men's",IF(E405&gt;15,"U19",IF(E405&gt;13,"U15",IF(E405&gt;11,"U13",IF(E405&gt;0,"U11",0)))))</f>
        <v>0</v>
      </c>
      <c r="E405" s="456">
        <f>IFERROR(IF(Table10[[#This Row],[Year]]&gt;0,$E$1-Table10[[#This Row],[Year]],0),"")</f>
        <v>0</v>
      </c>
      <c r="F405" s="456"/>
      <c r="G405" s="456"/>
      <c r="H405" s="456"/>
    </row>
    <row r="406" spans="1:8">
      <c r="A406" s="471">
        <v>1402</v>
      </c>
      <c r="B406" s="493" t="s">
        <v>1605</v>
      </c>
      <c r="C406" s="472" t="s">
        <v>251</v>
      </c>
      <c r="D406" s="456">
        <f>IF(Table10[[#This Row],[Current Age]]&gt;19,"Men's",IF(E406&gt;15,"U19",IF(E406&gt;13,"U15",IF(E406&gt;11,"U13",IF(E406&gt;0,"U11",0)))))</f>
        <v>0</v>
      </c>
      <c r="E406" s="456">
        <f>IFERROR(IF(Table10[[#This Row],[Year]]&gt;0,$E$1-Table10[[#This Row],[Year]],0),"")</f>
        <v>0</v>
      </c>
      <c r="F406" s="456"/>
      <c r="G406" s="456"/>
      <c r="H406" s="456"/>
    </row>
    <row r="407" spans="1:8">
      <c r="A407" s="456">
        <v>1403</v>
      </c>
      <c r="B407" s="469" t="s">
        <v>1606</v>
      </c>
      <c r="C407" s="458" t="s">
        <v>251</v>
      </c>
      <c r="D407" s="456" t="str">
        <f>IF(Table10[[#This Row],[Current Age]]&gt;19,"Men's",IF(E407&gt;15,"U19",IF(E407&gt;13,"U15",IF(E407&gt;11,"U13",IF(E407&gt;0,"U11",0)))))</f>
        <v>Men's</v>
      </c>
      <c r="E407" s="456">
        <f>IFERROR(IF(Table10[[#This Row],[Year]]&gt;0,$E$1-Table10[[#This Row],[Year]],0),"")</f>
        <v>20</v>
      </c>
      <c r="F407" s="456">
        <v>2005</v>
      </c>
      <c r="G407" s="456">
        <v>5</v>
      </c>
      <c r="H407" s="456">
        <v>14</v>
      </c>
    </row>
    <row r="408" spans="1:8">
      <c r="A408" s="471">
        <v>1404</v>
      </c>
      <c r="B408" s="493" t="s">
        <v>1607</v>
      </c>
      <c r="C408" s="472" t="s">
        <v>251</v>
      </c>
      <c r="D408" s="456">
        <f>IF(Table10[[#This Row],[Current Age]]&gt;19,"Men's",IF(E408&gt;15,"U19",IF(E408&gt;13,"U15",IF(E408&gt;11,"U13",IF(E408&gt;0,"U11",0)))))</f>
        <v>0</v>
      </c>
      <c r="E408" s="456">
        <f>IFERROR(IF(Table10[[#This Row],[Year]]&gt;0,$E$1-Table10[[#This Row],[Year]],0),"")</f>
        <v>0</v>
      </c>
      <c r="F408" s="456"/>
      <c r="G408" s="456"/>
      <c r="H408" s="456"/>
    </row>
    <row r="409" spans="1:8">
      <c r="A409" s="456">
        <v>1405</v>
      </c>
      <c r="B409" s="469" t="s">
        <v>1608</v>
      </c>
      <c r="C409" s="458" t="s">
        <v>250</v>
      </c>
      <c r="D409" s="456">
        <f>IF(Table10[[#This Row],[Current Age]]&gt;19,"Men's",IF(E409&gt;15,"U19",IF(E409&gt;13,"U15",IF(E409&gt;11,"U13",IF(E409&gt;0,"U11",0)))))</f>
        <v>0</v>
      </c>
      <c r="E409" s="456">
        <f>IFERROR(IF(Table10[[#This Row],[Year]]&gt;0,$E$1-Table10[[#This Row],[Year]],0),"")</f>
        <v>0</v>
      </c>
      <c r="F409" s="456"/>
      <c r="G409" s="456"/>
      <c r="H409" s="456"/>
    </row>
    <row r="410" spans="1:8">
      <c r="A410" s="471">
        <v>1406</v>
      </c>
      <c r="B410" s="493" t="s">
        <v>1609</v>
      </c>
      <c r="C410" s="472" t="s">
        <v>243</v>
      </c>
      <c r="D410" s="456" t="str">
        <f>IF(Table10[[#This Row],[Current Age]]&gt;19,"Men's",IF(E410&gt;15,"U19",IF(E410&gt;13,"U15",IF(E410&gt;11,"U13",IF(E410&gt;0,"U11",0)))))</f>
        <v>Men's</v>
      </c>
      <c r="E410" s="456">
        <f>IFERROR(IF(Table10[[#This Row],[Year]]&gt;0,$E$1-Table10[[#This Row],[Year]],0),"")</f>
        <v>21</v>
      </c>
      <c r="F410" s="456">
        <v>2004</v>
      </c>
      <c r="G410" s="456">
        <v>8</v>
      </c>
      <c r="H410" s="456">
        <v>14</v>
      </c>
    </row>
    <row r="411" spans="1:8">
      <c r="A411" s="456">
        <v>1407</v>
      </c>
      <c r="B411" s="469" t="s">
        <v>1610</v>
      </c>
      <c r="C411" s="458" t="s">
        <v>249</v>
      </c>
      <c r="D411" s="456" t="str">
        <f>IF(Table10[[#This Row],[Current Age]]&gt;19,"Men's",IF(E411&gt;15,"U19",IF(E411&gt;13,"U15",IF(E411&gt;11,"U13",IF(E411&gt;0,"U11",0)))))</f>
        <v>Men's</v>
      </c>
      <c r="E411" s="456">
        <f>IFERROR(IF(Table10[[#This Row],[Year]]&gt;0,$E$1-Table10[[#This Row],[Year]],0),"")</f>
        <v>23</v>
      </c>
      <c r="F411" s="456">
        <v>2002</v>
      </c>
      <c r="G411" s="456">
        <v>9</v>
      </c>
      <c r="H411" s="456">
        <v>20</v>
      </c>
    </row>
    <row r="412" spans="1:8">
      <c r="A412" s="471">
        <v>1408</v>
      </c>
      <c r="B412" s="493" t="s">
        <v>1611</v>
      </c>
      <c r="C412" s="472" t="s">
        <v>243</v>
      </c>
      <c r="D412" s="456">
        <f>IF(Table10[[#This Row],[Current Age]]&gt;19,"Men's",IF(E412&gt;15,"U19",IF(E412&gt;13,"U15",IF(E412&gt;11,"U13",IF(E412&gt;0,"U11",0)))))</f>
        <v>0</v>
      </c>
      <c r="E412" s="456">
        <f>IFERROR(IF(Table10[[#This Row],[Year]]&gt;0,$E$1-Table10[[#This Row],[Year]],0),"")</f>
        <v>0</v>
      </c>
      <c r="F412" s="456"/>
      <c r="G412" s="456"/>
      <c r="H412" s="456"/>
    </row>
    <row r="413" spans="1:8">
      <c r="A413" s="456">
        <v>1409</v>
      </c>
      <c r="B413" s="469" t="s">
        <v>87</v>
      </c>
      <c r="C413" s="458"/>
      <c r="D413" s="456">
        <f>IF(Table10[[#This Row],[Current Age]]&gt;19,"Men's",IF(E413&gt;15,"U19",IF(E413&gt;13,"U15",IF(E413&gt;11,"U13",IF(E413&gt;0,"U11",0)))))</f>
        <v>0</v>
      </c>
      <c r="E413" s="456">
        <f>IFERROR(IF(Table10[[#This Row],[Year]]&gt;0,$E$1-Table10[[#This Row],[Year]],0),"")</f>
        <v>0</v>
      </c>
      <c r="F413" s="456"/>
      <c r="G413" s="456"/>
      <c r="H413" s="456"/>
    </row>
    <row r="414" spans="1:8">
      <c r="A414" s="471">
        <v>1410</v>
      </c>
      <c r="B414" s="493" t="s">
        <v>83</v>
      </c>
      <c r="C414" s="472" t="s">
        <v>4720</v>
      </c>
      <c r="D414" s="456">
        <f>IF(Table10[[#This Row],[Current Age]]&gt;19,"Men's",IF(E414&gt;15,"U19",IF(E414&gt;13,"U15",IF(E414&gt;11,"U13",IF(E414&gt;0,"U11",0)))))</f>
        <v>0</v>
      </c>
      <c r="E414" s="456">
        <f>IFERROR(IF(Table10[[#This Row],[Year]]&gt;0,$E$1-Table10[[#This Row],[Year]],0),"")</f>
        <v>0</v>
      </c>
      <c r="F414" s="456"/>
      <c r="G414" s="456"/>
      <c r="H414" s="456"/>
    </row>
    <row r="415" spans="1:8">
      <c r="A415" s="456">
        <v>1411</v>
      </c>
      <c r="B415" s="469" t="s">
        <v>95</v>
      </c>
      <c r="C415" s="458"/>
      <c r="D415" s="456">
        <f>IF(Table10[[#This Row],[Current Age]]&gt;19,"Men's",IF(E415&gt;15,"U19",IF(E415&gt;13,"U15",IF(E415&gt;11,"U13",IF(E415&gt;0,"U11",0)))))</f>
        <v>0</v>
      </c>
      <c r="E415" s="456">
        <f>IFERROR(IF(Table10[[#This Row],[Year]]&gt;0,$E$1-Table10[[#This Row],[Year]],0),"")</f>
        <v>0</v>
      </c>
      <c r="F415" s="456"/>
      <c r="G415" s="456"/>
      <c r="H415" s="456"/>
    </row>
    <row r="416" spans="1:8">
      <c r="A416" s="471">
        <v>1412</v>
      </c>
      <c r="B416" s="493" t="s">
        <v>89</v>
      </c>
      <c r="C416" s="472" t="s">
        <v>255</v>
      </c>
      <c r="D416" s="456">
        <f>IF(Table10[[#This Row],[Current Age]]&gt;19,"Men's",IF(E416&gt;15,"U19",IF(E416&gt;13,"U15",IF(E416&gt;11,"U13",IF(E416&gt;0,"U11",0)))))</f>
        <v>0</v>
      </c>
      <c r="E416" s="456">
        <f>IFERROR(IF(Table10[[#This Row],[Year]]&gt;0,$E$1-Table10[[#This Row],[Year]],0),"")</f>
        <v>0</v>
      </c>
      <c r="F416" s="456"/>
      <c r="G416" s="456"/>
      <c r="H416" s="456"/>
    </row>
    <row r="417" spans="1:8">
      <c r="A417" s="456">
        <v>1413</v>
      </c>
      <c r="B417" s="469" t="s">
        <v>1612</v>
      </c>
      <c r="C417" s="458" t="s">
        <v>251</v>
      </c>
      <c r="D417" s="456" t="str">
        <f>IF(Table10[[#This Row],[Current Age]]&gt;19,"Men's",IF(E417&gt;15,"U19",IF(E417&gt;13,"U15",IF(E417&gt;11,"U13",IF(E417&gt;0,"U11",0)))))</f>
        <v>Men's</v>
      </c>
      <c r="E417" s="456">
        <f>IFERROR(IF(Table10[[#This Row],[Year]]&gt;0,$E$1-Table10[[#This Row],[Year]],0),"")</f>
        <v>21</v>
      </c>
      <c r="F417" s="456">
        <v>2004</v>
      </c>
      <c r="G417" s="456">
        <v>1</v>
      </c>
      <c r="H417" s="456">
        <v>22</v>
      </c>
    </row>
    <row r="418" spans="1:8">
      <c r="A418" s="471">
        <v>1414</v>
      </c>
      <c r="B418" s="493" t="s">
        <v>1613</v>
      </c>
      <c r="C418" s="472" t="s">
        <v>244</v>
      </c>
      <c r="D418" s="456" t="str">
        <f>IF(Table10[[#This Row],[Current Age]]&gt;19,"Men's",IF(E418&gt;15,"U19",IF(E418&gt;13,"U15",IF(E418&gt;11,"U13",IF(E418&gt;0,"U11",0)))))</f>
        <v>Men's</v>
      </c>
      <c r="E418" s="456">
        <f>IFERROR(IF(Table10[[#This Row],[Year]]&gt;0,$E$1-Table10[[#This Row],[Year]],0),"")</f>
        <v>20</v>
      </c>
      <c r="F418" s="456">
        <v>2005</v>
      </c>
      <c r="G418" s="456">
        <v>2</v>
      </c>
      <c r="H418" s="456">
        <v>2</v>
      </c>
    </row>
    <row r="419" spans="1:8">
      <c r="A419" s="456">
        <v>1415</v>
      </c>
      <c r="B419" s="469" t="s">
        <v>99</v>
      </c>
      <c r="C419" s="458"/>
      <c r="D419" s="456">
        <f>IF(Table10[[#This Row],[Current Age]]&gt;19,"Men's",IF(E419&gt;15,"U19",IF(E419&gt;13,"U15",IF(E419&gt;11,"U13",IF(E419&gt;0,"U11",0)))))</f>
        <v>0</v>
      </c>
      <c r="E419" s="456">
        <f>IFERROR(IF(Table10[[#This Row],[Year]]&gt;0,$E$1-Table10[[#This Row],[Year]],0),"")</f>
        <v>0</v>
      </c>
      <c r="F419" s="456"/>
      <c r="G419" s="456"/>
      <c r="H419" s="456"/>
    </row>
    <row r="420" spans="1:8">
      <c r="A420" s="471">
        <v>1416</v>
      </c>
      <c r="B420" s="493" t="s">
        <v>90</v>
      </c>
      <c r="C420" s="472" t="s">
        <v>255</v>
      </c>
      <c r="D420" s="456" t="str">
        <f>IF(Table10[[#This Row],[Current Age]]&gt;19,"Men's",IF(E420&gt;15,"U19",IF(E420&gt;13,"U15",IF(E420&gt;11,"U13",IF(E420&gt;0,"U11",0)))))</f>
        <v>Men's</v>
      </c>
      <c r="E420" s="456">
        <f>IFERROR(IF(Table10[[#This Row],[Year]]&gt;0,$E$1-Table10[[#This Row],[Year]],0),"")</f>
        <v>23</v>
      </c>
      <c r="F420" s="456">
        <v>2002</v>
      </c>
      <c r="G420" s="456">
        <v>10</v>
      </c>
      <c r="H420" s="456">
        <v>1</v>
      </c>
    </row>
    <row r="421" spans="1:8">
      <c r="A421" s="456">
        <v>1417</v>
      </c>
      <c r="B421" s="469" t="s">
        <v>92</v>
      </c>
      <c r="C421" s="458"/>
      <c r="D421" s="456" t="str">
        <f>IF(Table10[[#This Row],[Current Age]]&gt;19,"Men's",IF(E421&gt;15,"U19",IF(E421&gt;13,"U15",IF(E421&gt;11,"U13",IF(E421&gt;0,"U11",0)))))</f>
        <v>Men's</v>
      </c>
      <c r="E421" s="456">
        <f>IFERROR(IF(Table10[[#This Row],[Year]]&gt;0,$E$1-Table10[[#This Row],[Year]],0),"")</f>
        <v>20</v>
      </c>
      <c r="F421" s="456">
        <v>2005</v>
      </c>
      <c r="G421" s="456">
        <v>9</v>
      </c>
      <c r="H421" s="456">
        <v>16</v>
      </c>
    </row>
    <row r="422" spans="1:8">
      <c r="A422" s="471">
        <v>1418</v>
      </c>
      <c r="B422" s="493" t="s">
        <v>91</v>
      </c>
      <c r="C422" s="472"/>
      <c r="D422" s="456">
        <f>IF(Table10[[#This Row],[Current Age]]&gt;19,"Men's",IF(E422&gt;15,"U19",IF(E422&gt;13,"U15",IF(E422&gt;11,"U13",IF(E422&gt;0,"U11",0)))))</f>
        <v>0</v>
      </c>
      <c r="E422" s="456">
        <f>IFERROR(IF(Table10[[#This Row],[Year]]&gt;0,$E$1-Table10[[#This Row],[Year]],0),"")</f>
        <v>0</v>
      </c>
      <c r="F422" s="456"/>
      <c r="G422" s="456"/>
      <c r="H422" s="456"/>
    </row>
    <row r="423" spans="1:8">
      <c r="A423" s="456">
        <v>1419</v>
      </c>
      <c r="B423" s="469" t="s">
        <v>96</v>
      </c>
      <c r="C423" s="458"/>
      <c r="D423" s="456">
        <f>IF(Table10[[#This Row],[Current Age]]&gt;19,"Men's",IF(E423&gt;15,"U19",IF(E423&gt;13,"U15",IF(E423&gt;11,"U13",IF(E423&gt;0,"U11",0)))))</f>
        <v>0</v>
      </c>
      <c r="E423" s="456">
        <f>IFERROR(IF(Table10[[#This Row],[Year]]&gt;0,$E$1-Table10[[#This Row],[Year]],0),"")</f>
        <v>0</v>
      </c>
      <c r="F423" s="456"/>
      <c r="G423" s="456"/>
      <c r="H423" s="456"/>
    </row>
    <row r="424" spans="1:8">
      <c r="A424" s="471">
        <v>1420</v>
      </c>
      <c r="B424" s="493" t="s">
        <v>94</v>
      </c>
      <c r="C424" s="472" t="s">
        <v>251</v>
      </c>
      <c r="D424" s="456" t="str">
        <f>IF(Table10[[#This Row],[Current Age]]&gt;19,"Men's",IF(E424&gt;15,"U19",IF(E424&gt;13,"U15",IF(E424&gt;11,"U13",IF(E424&gt;0,"U11",0)))))</f>
        <v>Men's</v>
      </c>
      <c r="E424" s="456">
        <f>IFERROR(IF(Table10[[#This Row],[Year]]&gt;0,$E$1-Table10[[#This Row],[Year]],0),"")</f>
        <v>22</v>
      </c>
      <c r="F424" s="456">
        <v>2003</v>
      </c>
      <c r="G424" s="456">
        <v>5</v>
      </c>
      <c r="H424" s="456">
        <v>26</v>
      </c>
    </row>
    <row r="425" spans="1:8">
      <c r="A425" s="456">
        <v>1421</v>
      </c>
      <c r="B425" s="469" t="s">
        <v>93</v>
      </c>
      <c r="C425" s="458"/>
      <c r="D425" s="456">
        <f>IF(Table10[[#This Row],[Current Age]]&gt;19,"Men's",IF(E425&gt;15,"U19",IF(E425&gt;13,"U15",IF(E425&gt;11,"U13",IF(E425&gt;0,"U11",0)))))</f>
        <v>0</v>
      </c>
      <c r="E425" s="456">
        <f>IFERROR(IF(Table10[[#This Row],[Year]]&gt;0,$E$1-Table10[[#This Row],[Year]],0),"")</f>
        <v>0</v>
      </c>
      <c r="F425" s="456"/>
      <c r="G425" s="456"/>
      <c r="H425" s="456"/>
    </row>
    <row r="426" spans="1:8">
      <c r="A426" s="471">
        <v>1422</v>
      </c>
      <c r="B426" s="493" t="s">
        <v>4678</v>
      </c>
      <c r="C426" s="472" t="s">
        <v>251</v>
      </c>
      <c r="D426" s="456" t="str">
        <f>IF(Table10[[#This Row],[Current Age]]&gt;19,"Men's",IF(E426&gt;15,"U19",IF(E426&gt;13,"U15",IF(E426&gt;11,"U13",IF(E426&gt;0,"U11",0)))))</f>
        <v>U19</v>
      </c>
      <c r="E426" s="456">
        <f>IFERROR(IF(Table10[[#This Row],[Year]]&gt;0,$E$1-Table10[[#This Row],[Year]],0),"")</f>
        <v>16</v>
      </c>
      <c r="F426" s="456">
        <v>2009</v>
      </c>
      <c r="G426" s="456">
        <v>3</v>
      </c>
      <c r="H426" s="456">
        <v>22</v>
      </c>
    </row>
    <row r="427" spans="1:8">
      <c r="A427" s="456">
        <v>1423</v>
      </c>
      <c r="B427" s="469" t="s">
        <v>97</v>
      </c>
      <c r="C427" s="458"/>
      <c r="D427" s="456">
        <f>IF(Table10[[#This Row],[Current Age]]&gt;19,"Men's",IF(E427&gt;15,"U19",IF(E427&gt;13,"U15",IF(E427&gt;11,"U13",IF(E427&gt;0,"U11",0)))))</f>
        <v>0</v>
      </c>
      <c r="E427" s="456">
        <f>IFERROR(IF(Table10[[#This Row],[Year]]&gt;0,$E$1-Table10[[#This Row],[Year]],0),"")</f>
        <v>0</v>
      </c>
      <c r="F427" s="456"/>
      <c r="G427" s="456"/>
      <c r="H427" s="456"/>
    </row>
    <row r="428" spans="1:8">
      <c r="A428" s="471">
        <v>1424</v>
      </c>
      <c r="B428" s="493" t="s">
        <v>86</v>
      </c>
      <c r="C428" s="472"/>
      <c r="D428" s="456">
        <f>IF(Table10[[#This Row],[Current Age]]&gt;19,"Men's",IF(E428&gt;15,"U19",IF(E428&gt;13,"U15",IF(E428&gt;11,"U13",IF(E428&gt;0,"U11",0)))))</f>
        <v>0</v>
      </c>
      <c r="E428" s="456">
        <f>IFERROR(IF(Table10[[#This Row],[Year]]&gt;0,$E$1-Table10[[#This Row],[Year]],0),"")</f>
        <v>0</v>
      </c>
      <c r="F428" s="456"/>
      <c r="G428" s="456"/>
      <c r="H428" s="456"/>
    </row>
    <row r="429" spans="1:8">
      <c r="A429" s="456">
        <v>1425</v>
      </c>
      <c r="B429" s="469" t="s">
        <v>85</v>
      </c>
      <c r="C429" s="458" t="s">
        <v>4720</v>
      </c>
      <c r="D429" s="456">
        <f>IF(Table10[[#This Row],[Current Age]]&gt;19,"Men's",IF(E429&gt;15,"U19",IF(E429&gt;13,"U15",IF(E429&gt;11,"U13",IF(E429&gt;0,"U11",0)))))</f>
        <v>0</v>
      </c>
      <c r="E429" s="456">
        <f>IFERROR(IF(Table10[[#This Row],[Year]]&gt;0,$E$1-Table10[[#This Row],[Year]],0),"")</f>
        <v>0</v>
      </c>
      <c r="F429" s="456"/>
      <c r="G429" s="456"/>
      <c r="H429" s="456"/>
    </row>
    <row r="430" spans="1:8">
      <c r="A430" s="471">
        <v>1426</v>
      </c>
      <c r="B430" s="493" t="s">
        <v>88</v>
      </c>
      <c r="C430" s="472" t="s">
        <v>244</v>
      </c>
      <c r="D430" s="456" t="str">
        <f>IF(Table10[[#This Row],[Current Age]]&gt;19,"Men's",IF(E430&gt;15,"U19",IF(E430&gt;13,"U15",IF(E430&gt;11,"U13",IF(E430&gt;0,"U11",0)))))</f>
        <v>Men's</v>
      </c>
      <c r="E430" s="456">
        <f>IFERROR(IF(Table10[[#This Row],[Year]]&gt;0,$E$1-Table10[[#This Row],[Year]],0),"")</f>
        <v>22</v>
      </c>
      <c r="F430" s="456">
        <v>2003</v>
      </c>
      <c r="G430" s="456">
        <v>12</v>
      </c>
      <c r="H430" s="456">
        <v>22</v>
      </c>
    </row>
    <row r="431" spans="1:8">
      <c r="A431" s="456">
        <v>1427</v>
      </c>
      <c r="B431" s="469" t="s">
        <v>98</v>
      </c>
      <c r="C431" s="458"/>
      <c r="D431" s="456">
        <f>IF(Table10[[#This Row],[Current Age]]&gt;19,"Men's",IF(E431&gt;15,"U19",IF(E431&gt;13,"U15",IF(E431&gt;11,"U13",IF(E431&gt;0,"U11",0)))))</f>
        <v>0</v>
      </c>
      <c r="E431" s="456">
        <f>IFERROR(IF(Table10[[#This Row],[Year]]&gt;0,$E$1-Table10[[#This Row],[Year]],0),"")</f>
        <v>0</v>
      </c>
      <c r="F431" s="456"/>
      <c r="G431" s="456"/>
      <c r="H431" s="456"/>
    </row>
    <row r="432" spans="1:8">
      <c r="A432" s="471">
        <v>1428</v>
      </c>
      <c r="B432" s="493" t="s">
        <v>84</v>
      </c>
      <c r="C432" s="472"/>
      <c r="D432" s="456">
        <f>IF(Table10[[#This Row],[Current Age]]&gt;19,"Men's",IF(E432&gt;15,"U19",IF(E432&gt;13,"U15",IF(E432&gt;11,"U13",IF(E432&gt;0,"U11",0)))))</f>
        <v>0</v>
      </c>
      <c r="E432" s="456">
        <f>IFERROR(IF(Table10[[#This Row],[Year]]&gt;0,$E$1-Table10[[#This Row],[Year]],0),"")</f>
        <v>0</v>
      </c>
      <c r="F432" s="456"/>
      <c r="G432" s="456"/>
      <c r="H432" s="456"/>
    </row>
    <row r="433" spans="1:8">
      <c r="A433" s="456">
        <v>1429</v>
      </c>
      <c r="B433" s="469" t="s">
        <v>1614</v>
      </c>
      <c r="C433" s="458" t="s">
        <v>248</v>
      </c>
      <c r="D433" s="456" t="str">
        <f>IF(Table10[[#This Row],[Current Age]]&gt;19,"Men's",IF(E433&gt;15,"U19",IF(E433&gt;13,"U15",IF(E433&gt;11,"U13",IF(E433&gt;0,"U11",0)))))</f>
        <v>U19</v>
      </c>
      <c r="E433" s="456">
        <f>IFERROR(IF(Table10[[#This Row],[Year]]&gt;0,$E$1-Table10[[#This Row],[Year]],0),"")</f>
        <v>19</v>
      </c>
      <c r="F433" s="456">
        <v>2006</v>
      </c>
      <c r="G433" s="456">
        <v>9</v>
      </c>
      <c r="H433" s="456">
        <v>5</v>
      </c>
    </row>
    <row r="434" spans="1:8">
      <c r="A434" s="471">
        <v>1430</v>
      </c>
      <c r="B434" s="493" t="s">
        <v>1615</v>
      </c>
      <c r="C434" s="472" t="s">
        <v>248</v>
      </c>
      <c r="D434" s="456">
        <f>IF(Table10[[#This Row],[Current Age]]&gt;19,"Men's",IF(E434&gt;15,"U19",IF(E434&gt;13,"U15",IF(E434&gt;11,"U13",IF(E434&gt;0,"U11",0)))))</f>
        <v>0</v>
      </c>
      <c r="E434" s="456">
        <f>IFERROR(IF(Table10[[#This Row],[Year]]&gt;0,$E$1-Table10[[#This Row],[Year]],0),"")</f>
        <v>0</v>
      </c>
      <c r="F434" s="456"/>
      <c r="G434" s="456"/>
      <c r="H434" s="456"/>
    </row>
    <row r="435" spans="1:8">
      <c r="A435" s="456">
        <v>1431</v>
      </c>
      <c r="B435" s="469" t="s">
        <v>1616</v>
      </c>
      <c r="C435" s="458" t="s">
        <v>251</v>
      </c>
      <c r="D435" s="456" t="str">
        <f>IF(Table10[[#This Row],[Current Age]]&gt;19,"Men's",IF(E435&gt;15,"U19",IF(E435&gt;13,"U15",IF(E435&gt;11,"U13",IF(E435&gt;0,"U11",0)))))</f>
        <v>Men's</v>
      </c>
      <c r="E435" s="456">
        <f>IFERROR(IF(Table10[[#This Row],[Year]]&gt;0,$E$1-Table10[[#This Row],[Year]],0),"")</f>
        <v>22</v>
      </c>
      <c r="F435" s="456">
        <v>2003</v>
      </c>
      <c r="G435" s="456">
        <v>1</v>
      </c>
      <c r="H435" s="456">
        <v>1</v>
      </c>
    </row>
    <row r="436" spans="1:8">
      <c r="A436" s="471">
        <v>1432</v>
      </c>
      <c r="B436" s="493" t="s">
        <v>1617</v>
      </c>
      <c r="C436" s="472" t="s">
        <v>248</v>
      </c>
      <c r="D436" s="456">
        <f>IF(Table10[[#This Row],[Current Age]]&gt;19,"Men's",IF(E436&gt;15,"U19",IF(E436&gt;13,"U15",IF(E436&gt;11,"U13",IF(E436&gt;0,"U11",0)))))</f>
        <v>0</v>
      </c>
      <c r="E436" s="456">
        <f>IFERROR(IF(Table10[[#This Row],[Year]]&gt;0,$E$1-Table10[[#This Row],[Year]],0),"")</f>
        <v>0</v>
      </c>
      <c r="F436" s="456"/>
      <c r="G436" s="456"/>
      <c r="H436" s="456"/>
    </row>
    <row r="437" spans="1:8">
      <c r="A437" s="456">
        <v>1433</v>
      </c>
      <c r="B437" s="469" t="s">
        <v>1618</v>
      </c>
      <c r="C437" s="458" t="s">
        <v>253</v>
      </c>
      <c r="D437" s="456">
        <f>IF(Table10[[#This Row],[Current Age]]&gt;19,"Men's",IF(E437&gt;15,"U19",IF(E437&gt;13,"U15",IF(E437&gt;11,"U13",IF(E437&gt;0,"U11",0)))))</f>
        <v>0</v>
      </c>
      <c r="E437" s="456">
        <f>IFERROR(IF(Table10[[#This Row],[Year]]&gt;0,$E$1-Table10[[#This Row],[Year]],0),"")</f>
        <v>0</v>
      </c>
      <c r="F437" s="456"/>
      <c r="G437" s="456"/>
      <c r="H437" s="456"/>
    </row>
    <row r="438" spans="1:8">
      <c r="A438" s="471">
        <v>1434</v>
      </c>
      <c r="B438" s="493" t="s">
        <v>1619</v>
      </c>
      <c r="C438" s="472" t="s">
        <v>253</v>
      </c>
      <c r="D438" s="456">
        <f>IF(Table10[[#This Row],[Current Age]]&gt;19,"Men's",IF(E438&gt;15,"U19",IF(E438&gt;13,"U15",IF(E438&gt;11,"U13",IF(E438&gt;0,"U11",0)))))</f>
        <v>0</v>
      </c>
      <c r="E438" s="456">
        <f>IFERROR(IF(Table10[[#This Row],[Year]]&gt;0,$E$1-Table10[[#This Row],[Year]],0),"")</f>
        <v>0</v>
      </c>
      <c r="F438" s="456"/>
      <c r="G438" s="456"/>
      <c r="H438" s="456"/>
    </row>
    <row r="439" spans="1:8">
      <c r="A439" s="456">
        <v>1435</v>
      </c>
      <c r="B439" s="469" t="s">
        <v>1620</v>
      </c>
      <c r="C439" s="458" t="s">
        <v>243</v>
      </c>
      <c r="D439" s="456" t="str">
        <f>IF(Table10[[#This Row],[Current Age]]&gt;19,"Men's",IF(E439&gt;15,"U19",IF(E439&gt;13,"U15",IF(E439&gt;11,"U13",IF(E439&gt;0,"U11",0)))))</f>
        <v>Men's</v>
      </c>
      <c r="E439" s="456">
        <f>IFERROR(IF(Table10[[#This Row],[Year]]&gt;0,$E$1-Table10[[#This Row],[Year]],0),"")</f>
        <v>21</v>
      </c>
      <c r="F439" s="456">
        <v>2004</v>
      </c>
      <c r="G439" s="456">
        <v>12</v>
      </c>
      <c r="H439" s="456">
        <v>30</v>
      </c>
    </row>
    <row r="440" spans="1:8">
      <c r="A440" s="471">
        <v>1436</v>
      </c>
      <c r="B440" s="493" t="s">
        <v>1621</v>
      </c>
      <c r="C440" s="472" t="s">
        <v>1914</v>
      </c>
      <c r="D440" s="456" t="str">
        <f>IF(Table10[[#This Row],[Current Age]]&gt;19,"Men's",IF(E440&gt;15,"U19",IF(E440&gt;13,"U15",IF(E440&gt;11,"U13",IF(E440&gt;0,"U11",0)))))</f>
        <v>Men's</v>
      </c>
      <c r="E440" s="456">
        <f>IFERROR(IF(Table10[[#This Row],[Year]]&gt;0,$E$1-Table10[[#This Row],[Year]],0),"")</f>
        <v>23</v>
      </c>
      <c r="F440" s="456">
        <v>2002</v>
      </c>
      <c r="G440" s="456">
        <v>6</v>
      </c>
      <c r="H440" s="456">
        <v>2</v>
      </c>
    </row>
    <row r="441" spans="1:8">
      <c r="A441" s="456">
        <v>1437</v>
      </c>
      <c r="B441" s="469" t="s">
        <v>1622</v>
      </c>
      <c r="C441" s="458" t="s">
        <v>248</v>
      </c>
      <c r="D441" s="456" t="str">
        <f>IF(Table10[[#This Row],[Current Age]]&gt;19,"Men's",IF(E441&gt;15,"U19",IF(E441&gt;13,"U15",IF(E441&gt;11,"U13",IF(E441&gt;0,"U11",0)))))</f>
        <v>Men's</v>
      </c>
      <c r="E441" s="456">
        <f>IFERROR(IF(Table10[[#This Row],[Year]]&gt;0,$E$1-Table10[[#This Row],[Year]],0),"")</f>
        <v>22</v>
      </c>
      <c r="F441" s="456">
        <v>2003</v>
      </c>
      <c r="G441" s="456">
        <v>9</v>
      </c>
      <c r="H441" s="456">
        <v>2</v>
      </c>
    </row>
    <row r="442" spans="1:8">
      <c r="A442" s="471">
        <v>1438</v>
      </c>
      <c r="B442" s="493" t="s">
        <v>1623</v>
      </c>
      <c r="C442" s="472" t="s">
        <v>248</v>
      </c>
      <c r="D442" s="456">
        <f>IF(Table10[[#This Row],[Current Age]]&gt;19,"Men's",IF(E442&gt;15,"U19",IF(E442&gt;13,"U15",IF(E442&gt;11,"U13",IF(E442&gt;0,"U11",0)))))</f>
        <v>0</v>
      </c>
      <c r="E442" s="456">
        <f>IFERROR(IF(Table10[[#This Row],[Year]]&gt;0,$E$1-Table10[[#This Row],[Year]],0),"")</f>
        <v>0</v>
      </c>
      <c r="F442" s="456"/>
      <c r="G442" s="456"/>
      <c r="H442" s="456"/>
    </row>
    <row r="443" spans="1:8">
      <c r="A443" s="456">
        <v>1439</v>
      </c>
      <c r="B443" s="469" t="s">
        <v>1624</v>
      </c>
      <c r="C443" s="458" t="s">
        <v>248</v>
      </c>
      <c r="D443" s="456">
        <f>IF(Table10[[#This Row],[Current Age]]&gt;19,"Men's",IF(E443&gt;15,"U19",IF(E443&gt;13,"U15",IF(E443&gt;11,"U13",IF(E443&gt;0,"U11",0)))))</f>
        <v>0</v>
      </c>
      <c r="E443" s="456">
        <f>IFERROR(IF(Table10[[#This Row],[Year]]&gt;0,$E$1-Table10[[#This Row],[Year]],0),"")</f>
        <v>0</v>
      </c>
      <c r="F443" s="456"/>
      <c r="G443" s="456"/>
      <c r="H443" s="456"/>
    </row>
    <row r="444" spans="1:8">
      <c r="A444" s="471">
        <v>1440</v>
      </c>
      <c r="B444" s="493" t="s">
        <v>1625</v>
      </c>
      <c r="C444" s="472" t="s">
        <v>256</v>
      </c>
      <c r="D444" s="456">
        <f>IF(Table10[[#This Row],[Current Age]]&gt;19,"Men's",IF(E444&gt;15,"U19",IF(E444&gt;13,"U15",IF(E444&gt;11,"U13",IF(E444&gt;0,"U11",0)))))</f>
        <v>0</v>
      </c>
      <c r="E444" s="456">
        <f>IFERROR(IF(Table10[[#This Row],[Year]]&gt;0,$E$1-Table10[[#This Row],[Year]],0),"")</f>
        <v>0</v>
      </c>
      <c r="F444" s="456"/>
      <c r="G444" s="456"/>
      <c r="H444" s="456"/>
    </row>
    <row r="445" spans="1:8">
      <c r="A445" s="456">
        <v>1441</v>
      </c>
      <c r="B445" s="469" t="s">
        <v>1626</v>
      </c>
      <c r="C445" s="458" t="s">
        <v>253</v>
      </c>
      <c r="D445" s="456">
        <f>IF(Table10[[#This Row],[Current Age]]&gt;19,"Men's",IF(E445&gt;15,"U19",IF(E445&gt;13,"U15",IF(E445&gt;11,"U13",IF(E445&gt;0,"U11",0)))))</f>
        <v>0</v>
      </c>
      <c r="E445" s="456">
        <f>IFERROR(IF(Table10[[#This Row],[Year]]&gt;0,$E$1-Table10[[#This Row],[Year]],0),"")</f>
        <v>0</v>
      </c>
      <c r="F445" s="456"/>
      <c r="G445" s="456"/>
      <c r="H445" s="456"/>
    </row>
    <row r="446" spans="1:8">
      <c r="A446" s="471">
        <v>1442</v>
      </c>
      <c r="B446" s="493" t="s">
        <v>1916</v>
      </c>
      <c r="C446" s="472" t="s">
        <v>361</v>
      </c>
      <c r="D446" s="456">
        <f>IF(Table10[[#This Row],[Current Age]]&gt;19,"Men's",IF(E446&gt;15,"U19",IF(E446&gt;13,"U15",IF(E446&gt;11,"U13",IF(E446&gt;0,"U11",0)))))</f>
        <v>0</v>
      </c>
      <c r="E446" s="456">
        <f>IFERROR(IF(Table10[[#This Row],[Year]]&gt;0,$E$1-Table10[[#This Row],[Year]],0),"")</f>
        <v>0</v>
      </c>
      <c r="F446" s="456"/>
      <c r="G446" s="456"/>
      <c r="H446" s="456"/>
    </row>
    <row r="447" spans="1:8">
      <c r="A447" s="456">
        <v>1443</v>
      </c>
      <c r="B447" s="469" t="s">
        <v>1627</v>
      </c>
      <c r="C447" s="458" t="s">
        <v>243</v>
      </c>
      <c r="D447" s="456" t="str">
        <f>IF(Table10[[#This Row],[Current Age]]&gt;19,"Men's",IF(E447&gt;15,"U19",IF(E447&gt;13,"U15",IF(E447&gt;11,"U13",IF(E447&gt;0,"U11",0)))))</f>
        <v>Men's</v>
      </c>
      <c r="E447" s="456">
        <f>IFERROR(IF(Table10[[#This Row],[Year]]&gt;0,$E$1-Table10[[#This Row],[Year]],0),"")</f>
        <v>20</v>
      </c>
      <c r="F447" s="456">
        <v>2005</v>
      </c>
      <c r="G447" s="456">
        <v>4</v>
      </c>
      <c r="H447" s="456">
        <v>6</v>
      </c>
    </row>
    <row r="448" spans="1:8">
      <c r="A448" s="471">
        <v>1444</v>
      </c>
      <c r="B448" s="493" t="s">
        <v>1628</v>
      </c>
      <c r="C448" s="472" t="s">
        <v>244</v>
      </c>
      <c r="D448" s="456" t="str">
        <f>IF(Table10[[#This Row],[Current Age]]&gt;19,"Men's",IF(E448&gt;15,"U19",IF(E448&gt;13,"U15",IF(E448&gt;11,"U13",IF(E448&gt;0,"U11",0)))))</f>
        <v>Men's</v>
      </c>
      <c r="E448" s="456">
        <f>IFERROR(IF(Table10[[#This Row],[Year]]&gt;0,$E$1-Table10[[#This Row],[Year]],0),"")</f>
        <v>20</v>
      </c>
      <c r="F448" s="456">
        <v>2005</v>
      </c>
      <c r="G448" s="456">
        <v>11</v>
      </c>
      <c r="H448" s="456">
        <v>28</v>
      </c>
    </row>
    <row r="449" spans="1:8">
      <c r="A449" s="456">
        <v>1445</v>
      </c>
      <c r="B449" s="469" t="s">
        <v>1629</v>
      </c>
      <c r="C449" s="458" t="s">
        <v>250</v>
      </c>
      <c r="D449" s="456">
        <f>IF(Table10[[#This Row],[Current Age]]&gt;19,"Men's",IF(E449&gt;15,"U19",IF(E449&gt;13,"U15",IF(E449&gt;11,"U13",IF(E449&gt;0,"U11",0)))))</f>
        <v>0</v>
      </c>
      <c r="E449" s="456">
        <f>IFERROR(IF(Table10[[#This Row],[Year]]&gt;0,$E$1-Table10[[#This Row],[Year]],0),"")</f>
        <v>0</v>
      </c>
      <c r="F449" s="456"/>
      <c r="G449" s="456"/>
      <c r="H449" s="456"/>
    </row>
    <row r="450" spans="1:8">
      <c r="A450" s="471">
        <v>1446</v>
      </c>
      <c r="B450" s="493" t="s">
        <v>1630</v>
      </c>
      <c r="C450" s="472" t="s">
        <v>256</v>
      </c>
      <c r="D450" s="456">
        <f>IF(Table10[[#This Row],[Current Age]]&gt;19,"Men's",IF(E450&gt;15,"U19",IF(E450&gt;13,"U15",IF(E450&gt;11,"U13",IF(E450&gt;0,"U11",0)))))</f>
        <v>0</v>
      </c>
      <c r="E450" s="456">
        <f>IFERROR(IF(Table10[[#This Row],[Year]]&gt;0,$E$1-Table10[[#This Row],[Year]],0),"")</f>
        <v>0</v>
      </c>
      <c r="F450" s="456"/>
      <c r="G450" s="456"/>
      <c r="H450" s="456"/>
    </row>
    <row r="451" spans="1:8">
      <c r="A451" s="456">
        <v>1447</v>
      </c>
      <c r="B451" s="469" t="s">
        <v>1631</v>
      </c>
      <c r="C451" s="458" t="s">
        <v>251</v>
      </c>
      <c r="D451" s="456">
        <f>IF(Table10[[#This Row],[Current Age]]&gt;19,"Men's",IF(E451&gt;15,"U19",IF(E451&gt;13,"U15",IF(E451&gt;11,"U13",IF(E451&gt;0,"U11",0)))))</f>
        <v>0</v>
      </c>
      <c r="E451" s="456">
        <f>IFERROR(IF(Table10[[#This Row],[Year]]&gt;0,$E$1-Table10[[#This Row],[Year]],0),"")</f>
        <v>0</v>
      </c>
      <c r="F451" s="456"/>
      <c r="G451" s="456"/>
      <c r="H451" s="456"/>
    </row>
    <row r="452" spans="1:8">
      <c r="A452" s="471">
        <v>1448</v>
      </c>
      <c r="B452" s="493" t="s">
        <v>1632</v>
      </c>
      <c r="C452" s="472" t="s">
        <v>251</v>
      </c>
      <c r="D452" s="456">
        <f>IF(Table10[[#This Row],[Current Age]]&gt;19,"Men's",IF(E452&gt;15,"U19",IF(E452&gt;13,"U15",IF(E452&gt;11,"U13",IF(E452&gt;0,"U11",0)))))</f>
        <v>0</v>
      </c>
      <c r="E452" s="456">
        <f>IFERROR(IF(Table10[[#This Row],[Year]]&gt;0,$E$1-Table10[[#This Row],[Year]],0),"")</f>
        <v>0</v>
      </c>
      <c r="F452" s="456"/>
      <c r="G452" s="456"/>
      <c r="H452" s="456"/>
    </row>
    <row r="453" spans="1:8">
      <c r="A453" s="456">
        <v>1449</v>
      </c>
      <c r="B453" s="469" t="s">
        <v>1633</v>
      </c>
      <c r="C453" s="458" t="s">
        <v>250</v>
      </c>
      <c r="D453" s="456">
        <f>IF(Table10[[#This Row],[Current Age]]&gt;19,"Men's",IF(E453&gt;15,"U19",IF(E453&gt;13,"U15",IF(E453&gt;11,"U13",IF(E453&gt;0,"U11",0)))))</f>
        <v>0</v>
      </c>
      <c r="E453" s="456">
        <f>IFERROR(IF(Table10[[#This Row],[Year]]&gt;0,$E$1-Table10[[#This Row],[Year]],0),"")</f>
        <v>0</v>
      </c>
      <c r="F453" s="456"/>
      <c r="G453" s="456"/>
      <c r="H453" s="456"/>
    </row>
    <row r="454" spans="1:8">
      <c r="A454" s="471">
        <v>1450</v>
      </c>
      <c r="B454" s="493" t="s">
        <v>1634</v>
      </c>
      <c r="C454" s="472" t="s">
        <v>628</v>
      </c>
      <c r="D454" s="456">
        <f>IF(Table10[[#This Row],[Current Age]]&gt;19,"Men's",IF(E454&gt;15,"U19",IF(E454&gt;13,"U15",IF(E454&gt;11,"U13",IF(E454&gt;0,"U11",0)))))</f>
        <v>0</v>
      </c>
      <c r="E454" s="456">
        <f>IFERROR(IF(Table10[[#This Row],[Year]]&gt;0,$E$1-Table10[[#This Row],[Year]],0),"")</f>
        <v>0</v>
      </c>
      <c r="F454" s="456"/>
      <c r="G454" s="456"/>
      <c r="H454" s="456"/>
    </row>
    <row r="455" spans="1:8">
      <c r="A455" s="456">
        <v>1451</v>
      </c>
      <c r="B455" s="469" t="s">
        <v>1635</v>
      </c>
      <c r="C455" s="458" t="s">
        <v>256</v>
      </c>
      <c r="D455" s="456">
        <f>IF(Table10[[#This Row],[Current Age]]&gt;19,"Men's",IF(E455&gt;15,"U19",IF(E455&gt;13,"U15",IF(E455&gt;11,"U13",IF(E455&gt;0,"U11",0)))))</f>
        <v>0</v>
      </c>
      <c r="E455" s="456">
        <f>IFERROR(IF(Table10[[#This Row],[Year]]&gt;0,$E$1-Table10[[#This Row],[Year]],0),"")</f>
        <v>0</v>
      </c>
      <c r="F455" s="456"/>
      <c r="G455" s="456"/>
      <c r="H455" s="456"/>
    </row>
    <row r="456" spans="1:8">
      <c r="A456" s="471">
        <v>1452</v>
      </c>
      <c r="B456" s="493" t="s">
        <v>1636</v>
      </c>
      <c r="C456" s="472" t="s">
        <v>256</v>
      </c>
      <c r="D456" s="456" t="str">
        <f>IF(Table10[[#This Row],[Current Age]]&gt;19,"Men's",IF(E456&gt;15,"U19",IF(E456&gt;13,"U15",IF(E456&gt;11,"U13",IF(E456&gt;0,"U11",0)))))</f>
        <v>Men's</v>
      </c>
      <c r="E456" s="456">
        <f>IFERROR(IF(Table10[[#This Row],[Year]]&gt;0,$E$1-Table10[[#This Row],[Year]],0),"")</f>
        <v>20</v>
      </c>
      <c r="F456" s="456">
        <v>2005</v>
      </c>
      <c r="G456" s="456">
        <v>3</v>
      </c>
      <c r="H456" s="456">
        <v>25</v>
      </c>
    </row>
    <row r="457" spans="1:8">
      <c r="A457" s="456">
        <v>1453</v>
      </c>
      <c r="B457" s="469" t="s">
        <v>3293</v>
      </c>
      <c r="C457" s="458" t="s">
        <v>253</v>
      </c>
      <c r="D457" s="456">
        <f>IF(Table10[[#This Row],[Current Age]]&gt;19,"Men's",IF(E457&gt;15,"U19",IF(E457&gt;13,"U15",IF(E457&gt;11,"U13",IF(E457&gt;0,"U11",0)))))</f>
        <v>0</v>
      </c>
      <c r="E457" s="456">
        <f>IFERROR(IF(Table10[[#This Row],[Year]]&gt;0,$E$1-Table10[[#This Row],[Year]],0),"")</f>
        <v>0</v>
      </c>
      <c r="F457" s="456"/>
      <c r="G457" s="456"/>
      <c r="H457" s="456"/>
    </row>
    <row r="458" spans="1:8">
      <c r="A458" s="471">
        <v>1454</v>
      </c>
      <c r="B458" s="493" t="s">
        <v>1637</v>
      </c>
      <c r="C458" s="472" t="s">
        <v>256</v>
      </c>
      <c r="D458" s="456">
        <f>IF(Table10[[#This Row],[Current Age]]&gt;19,"Men's",IF(E458&gt;15,"U19",IF(E458&gt;13,"U15",IF(E458&gt;11,"U13",IF(E458&gt;0,"U11",0)))))</f>
        <v>0</v>
      </c>
      <c r="E458" s="456">
        <f>IFERROR(IF(Table10[[#This Row],[Year]]&gt;0,$E$1-Table10[[#This Row],[Year]],0),"")</f>
        <v>0</v>
      </c>
      <c r="F458" s="456"/>
      <c r="G458" s="456"/>
      <c r="H458" s="456"/>
    </row>
    <row r="459" spans="1:8">
      <c r="A459" s="456">
        <v>1455</v>
      </c>
      <c r="B459" s="469" t="s">
        <v>1638</v>
      </c>
      <c r="C459" s="458" t="s">
        <v>251</v>
      </c>
      <c r="D459" s="456">
        <f>IF(Table10[[#This Row],[Current Age]]&gt;19,"Men's",IF(E459&gt;15,"U19",IF(E459&gt;13,"U15",IF(E459&gt;11,"U13",IF(E459&gt;0,"U11",0)))))</f>
        <v>0</v>
      </c>
      <c r="E459" s="456">
        <f>IFERROR(IF(Table10[[#This Row],[Year]]&gt;0,$E$1-Table10[[#This Row],[Year]],0),"")</f>
        <v>0</v>
      </c>
      <c r="F459" s="456"/>
      <c r="G459" s="456"/>
      <c r="H459" s="456"/>
    </row>
    <row r="460" spans="1:8">
      <c r="A460" s="471">
        <v>1456</v>
      </c>
      <c r="B460" s="493" t="s">
        <v>1639</v>
      </c>
      <c r="C460" s="472" t="s">
        <v>4552</v>
      </c>
      <c r="D460" s="456" t="str">
        <f>IF(Table10[[#This Row],[Current Age]]&gt;19,"Men's",IF(E460&gt;15,"U19",IF(E460&gt;13,"U15",IF(E460&gt;11,"U13",IF(E460&gt;0,"U11",0)))))</f>
        <v>Men's</v>
      </c>
      <c r="E460" s="456">
        <f>IFERROR(IF(Table10[[#This Row],[Year]]&gt;0,$E$1-Table10[[#This Row],[Year]],0),"")</f>
        <v>20</v>
      </c>
      <c r="F460" s="456">
        <v>2005</v>
      </c>
      <c r="G460" s="456">
        <v>9</v>
      </c>
      <c r="H460" s="456">
        <v>13</v>
      </c>
    </row>
    <row r="461" spans="1:8">
      <c r="A461" s="456">
        <v>1457</v>
      </c>
      <c r="B461" s="469" t="s">
        <v>1640</v>
      </c>
      <c r="C461" s="458" t="s">
        <v>762</v>
      </c>
      <c r="D461" s="456">
        <f>IF(Table10[[#This Row],[Current Age]]&gt;19,"Men's",IF(E461&gt;15,"U19",IF(E461&gt;13,"U15",IF(E461&gt;11,"U13",IF(E461&gt;0,"U11",0)))))</f>
        <v>0</v>
      </c>
      <c r="E461" s="456">
        <f>IFERROR(IF(Table10[[#This Row],[Year]]&gt;0,$E$1-Table10[[#This Row],[Year]],0),"")</f>
        <v>0</v>
      </c>
      <c r="F461" s="456"/>
      <c r="G461" s="456"/>
      <c r="H461" s="456"/>
    </row>
    <row r="462" spans="1:8">
      <c r="A462" s="471">
        <v>1458</v>
      </c>
      <c r="B462" s="493" t="s">
        <v>1641</v>
      </c>
      <c r="C462" s="472" t="s">
        <v>362</v>
      </c>
      <c r="D462" s="456">
        <f>IF(Table10[[#This Row],[Current Age]]&gt;19,"Men's",IF(E462&gt;15,"U19",IF(E462&gt;13,"U15",IF(E462&gt;11,"U13",IF(E462&gt;0,"U11",0)))))</f>
        <v>0</v>
      </c>
      <c r="E462" s="456">
        <f>IFERROR(IF(Table10[[#This Row],[Year]]&gt;0,$E$1-Table10[[#This Row],[Year]],0),"")</f>
        <v>0</v>
      </c>
      <c r="F462" s="456"/>
      <c r="G462" s="456"/>
      <c r="H462" s="456"/>
    </row>
    <row r="463" spans="1:8">
      <c r="A463" s="456">
        <v>1459</v>
      </c>
      <c r="B463" s="469" t="s">
        <v>1642</v>
      </c>
      <c r="C463" s="458" t="s">
        <v>250</v>
      </c>
      <c r="D463" s="456">
        <f>IF(Table10[[#This Row],[Current Age]]&gt;19,"Men's",IF(E463&gt;15,"U19",IF(E463&gt;13,"U15",IF(E463&gt;11,"U13",IF(E463&gt;0,"U11",0)))))</f>
        <v>0</v>
      </c>
      <c r="E463" s="456">
        <f>IFERROR(IF(Table10[[#This Row],[Year]]&gt;0,$E$1-Table10[[#This Row],[Year]],0),"")</f>
        <v>0</v>
      </c>
      <c r="F463" s="456"/>
      <c r="G463" s="456"/>
      <c r="H463" s="456"/>
    </row>
    <row r="464" spans="1:8">
      <c r="A464" s="471">
        <v>1460</v>
      </c>
      <c r="B464" s="493" t="s">
        <v>1643</v>
      </c>
      <c r="C464" s="472" t="s">
        <v>256</v>
      </c>
      <c r="D464" s="456">
        <f>IF(Table10[[#This Row],[Current Age]]&gt;19,"Men's",IF(E464&gt;15,"U19",IF(E464&gt;13,"U15",IF(E464&gt;11,"U13",IF(E464&gt;0,"U11",0)))))</f>
        <v>0</v>
      </c>
      <c r="E464" s="456">
        <f>IFERROR(IF(Table10[[#This Row],[Year]]&gt;0,$E$1-Table10[[#This Row],[Year]],0),"")</f>
        <v>0</v>
      </c>
      <c r="F464" s="456"/>
      <c r="G464" s="456"/>
      <c r="H464" s="456"/>
    </row>
    <row r="465" spans="1:8">
      <c r="A465" s="456">
        <v>1461</v>
      </c>
      <c r="B465" s="469" t="s">
        <v>1644</v>
      </c>
      <c r="C465" s="458" t="s">
        <v>362</v>
      </c>
      <c r="D465" s="456">
        <f>IF(Table10[[#This Row],[Current Age]]&gt;19,"Men's",IF(E465&gt;15,"U19",IF(E465&gt;13,"U15",IF(E465&gt;11,"U13",IF(E465&gt;0,"U11",0)))))</f>
        <v>0</v>
      </c>
      <c r="E465" s="456">
        <f>IFERROR(IF(Table10[[#This Row],[Year]]&gt;0,$E$1-Table10[[#This Row],[Year]],0),"")</f>
        <v>0</v>
      </c>
      <c r="F465" s="456"/>
      <c r="G465" s="456"/>
      <c r="H465" s="456"/>
    </row>
    <row r="466" spans="1:8">
      <c r="A466" s="471">
        <v>1462</v>
      </c>
      <c r="B466" s="493" t="s">
        <v>1645</v>
      </c>
      <c r="C466" s="472" t="s">
        <v>249</v>
      </c>
      <c r="D466" s="456" t="str">
        <f>IF(Table10[[#This Row],[Current Age]]&gt;19,"Men's",IF(E466&gt;15,"U19",IF(E466&gt;13,"U15",IF(E466&gt;11,"U13",IF(E466&gt;0,"U11",0)))))</f>
        <v>Men's</v>
      </c>
      <c r="E466" s="456">
        <f>IFERROR(IF(Table10[[#This Row],[Year]]&gt;0,$E$1-Table10[[#This Row],[Year]],0),"")</f>
        <v>21</v>
      </c>
      <c r="F466" s="456">
        <v>2004</v>
      </c>
      <c r="G466" s="456">
        <v>7</v>
      </c>
      <c r="H466" s="456">
        <v>3</v>
      </c>
    </row>
    <row r="467" spans="1:8">
      <c r="A467" s="456">
        <v>1463</v>
      </c>
      <c r="B467" s="469" t="s">
        <v>1646</v>
      </c>
      <c r="C467" s="458" t="s">
        <v>251</v>
      </c>
      <c r="D467" s="456">
        <f>IF(Table10[[#This Row],[Current Age]]&gt;19,"Men's",IF(E467&gt;15,"U19",IF(E467&gt;13,"U15",IF(E467&gt;11,"U13",IF(E467&gt;0,"U11",0)))))</f>
        <v>0</v>
      </c>
      <c r="E467" s="456">
        <f>IFERROR(IF(Table10[[#This Row],[Year]]&gt;0,$E$1-Table10[[#This Row],[Year]],0),"")</f>
        <v>0</v>
      </c>
      <c r="F467" s="456"/>
      <c r="G467" s="456"/>
      <c r="H467" s="456"/>
    </row>
    <row r="468" spans="1:8">
      <c r="A468" s="471">
        <v>1464</v>
      </c>
      <c r="B468" s="493" t="s">
        <v>1647</v>
      </c>
      <c r="C468" s="472" t="s">
        <v>243</v>
      </c>
      <c r="D468" s="456" t="str">
        <f>IF(Table10[[#This Row],[Current Age]]&gt;19,"Men's",IF(E468&gt;15,"U19",IF(E468&gt;13,"U15",IF(E468&gt;11,"U13",IF(E468&gt;0,"U11",0)))))</f>
        <v>Men's</v>
      </c>
      <c r="E468" s="456">
        <f>IFERROR(IF(Table10[[#This Row],[Year]]&gt;0,$E$1-Table10[[#This Row],[Year]],0),"")</f>
        <v>21</v>
      </c>
      <c r="F468" s="456">
        <v>2004</v>
      </c>
      <c r="G468" s="456">
        <v>9</v>
      </c>
      <c r="H468" s="456">
        <v>19</v>
      </c>
    </row>
    <row r="469" spans="1:8">
      <c r="A469" s="456">
        <v>1465</v>
      </c>
      <c r="B469" s="469" t="s">
        <v>1648</v>
      </c>
      <c r="C469" s="458" t="s">
        <v>256</v>
      </c>
      <c r="D469" s="456">
        <f>IF(Table10[[#This Row],[Current Age]]&gt;19,"Men's",IF(E469&gt;15,"U19",IF(E469&gt;13,"U15",IF(E469&gt;11,"U13",IF(E469&gt;0,"U11",0)))))</f>
        <v>0</v>
      </c>
      <c r="E469" s="456">
        <f>IFERROR(IF(Table10[[#This Row],[Year]]&gt;0,$E$1-Table10[[#This Row],[Year]],0),"")</f>
        <v>0</v>
      </c>
      <c r="F469" s="456"/>
      <c r="G469" s="456"/>
      <c r="H469" s="456"/>
    </row>
    <row r="470" spans="1:8">
      <c r="A470" s="471">
        <v>1466</v>
      </c>
      <c r="B470" s="493" t="s">
        <v>1649</v>
      </c>
      <c r="C470" s="472" t="s">
        <v>243</v>
      </c>
      <c r="D470" s="456" t="str">
        <f>IF(Table10[[#This Row],[Current Age]]&gt;19,"Men's",IF(E470&gt;15,"U19",IF(E470&gt;13,"U15",IF(E470&gt;11,"U13",IF(E470&gt;0,"U11",0)))))</f>
        <v>U19</v>
      </c>
      <c r="E470" s="456">
        <f>IFERROR(IF(Table10[[#This Row],[Year]]&gt;0,$E$1-Table10[[#This Row],[Year]],0),"")</f>
        <v>19</v>
      </c>
      <c r="F470" s="456">
        <v>2006</v>
      </c>
      <c r="G470" s="456">
        <v>11</v>
      </c>
      <c r="H470" s="456">
        <v>19</v>
      </c>
    </row>
    <row r="471" spans="1:8">
      <c r="A471" s="456">
        <v>1467</v>
      </c>
      <c r="B471" s="469" t="s">
        <v>1650</v>
      </c>
      <c r="C471" s="458" t="s">
        <v>628</v>
      </c>
      <c r="D471" s="456" t="str">
        <f>IF(Table10[[#This Row],[Current Age]]&gt;19,"Men's",IF(E471&gt;15,"U19",IF(E471&gt;13,"U15",IF(E471&gt;11,"U13",IF(E471&gt;0,"U11",0)))))</f>
        <v>Men's</v>
      </c>
      <c r="E471" s="456">
        <f>IFERROR(IF(Table10[[#This Row],[Year]]&gt;0,$E$1-Table10[[#This Row],[Year]],0),"")</f>
        <v>21</v>
      </c>
      <c r="F471" s="456">
        <v>2004</v>
      </c>
      <c r="G471" s="456">
        <v>4</v>
      </c>
      <c r="H471" s="456">
        <v>1</v>
      </c>
    </row>
    <row r="472" spans="1:8">
      <c r="A472" s="471">
        <v>1468</v>
      </c>
      <c r="B472" s="493" t="s">
        <v>1651</v>
      </c>
      <c r="C472" s="472" t="s">
        <v>256</v>
      </c>
      <c r="D472" s="456">
        <f>IF(Table10[[#This Row],[Current Age]]&gt;19,"Men's",IF(E472&gt;15,"U19",IF(E472&gt;13,"U15",IF(E472&gt;11,"U13",IF(E472&gt;0,"U11",0)))))</f>
        <v>0</v>
      </c>
      <c r="E472" s="456">
        <f>IFERROR(IF(Table10[[#This Row],[Year]]&gt;0,$E$1-Table10[[#This Row],[Year]],0),"")</f>
        <v>0</v>
      </c>
      <c r="F472" s="456"/>
      <c r="G472" s="456"/>
      <c r="H472" s="456"/>
    </row>
    <row r="473" spans="1:8">
      <c r="A473" s="456">
        <v>1469</v>
      </c>
      <c r="B473" s="469" t="s">
        <v>1652</v>
      </c>
      <c r="C473" s="458" t="s">
        <v>253</v>
      </c>
      <c r="D473" s="456">
        <f>IF(Table10[[#This Row],[Current Age]]&gt;19,"Men's",IF(E473&gt;15,"U19",IF(E473&gt;13,"U15",IF(E473&gt;11,"U13",IF(E473&gt;0,"U11",0)))))</f>
        <v>0</v>
      </c>
      <c r="E473" s="456">
        <f>IFERROR(IF(Table10[[#This Row],[Year]]&gt;0,$E$1-Table10[[#This Row],[Year]],0),"")</f>
        <v>0</v>
      </c>
      <c r="F473" s="456"/>
      <c r="G473" s="456"/>
      <c r="H473" s="456"/>
    </row>
    <row r="474" spans="1:8">
      <c r="A474" s="471">
        <v>1470</v>
      </c>
      <c r="B474" s="493" t="s">
        <v>1653</v>
      </c>
      <c r="C474" s="472" t="s">
        <v>250</v>
      </c>
      <c r="D474" s="456">
        <f>IF(Table10[[#This Row],[Current Age]]&gt;19,"Men's",IF(E474&gt;15,"U19",IF(E474&gt;13,"U15",IF(E474&gt;11,"U13",IF(E474&gt;0,"U11",0)))))</f>
        <v>0</v>
      </c>
      <c r="E474" s="456">
        <f>IFERROR(IF(Table10[[#This Row],[Year]]&gt;0,$E$1-Table10[[#This Row],[Year]],0),"")</f>
        <v>0</v>
      </c>
      <c r="F474" s="456"/>
      <c r="G474" s="456"/>
      <c r="H474" s="456"/>
    </row>
    <row r="475" spans="1:8">
      <c r="A475" s="456">
        <v>1471</v>
      </c>
      <c r="B475" s="469" t="s">
        <v>1654</v>
      </c>
      <c r="C475" s="458" t="s">
        <v>251</v>
      </c>
      <c r="D475" s="456">
        <f>IF(Table10[[#This Row],[Current Age]]&gt;19,"Men's",IF(E475&gt;15,"U19",IF(E475&gt;13,"U15",IF(E475&gt;11,"U13",IF(E475&gt;0,"U11",0)))))</f>
        <v>0</v>
      </c>
      <c r="E475" s="456">
        <f>IFERROR(IF(Table10[[#This Row],[Year]]&gt;0,$E$1-Table10[[#This Row],[Year]],0),"")</f>
        <v>0</v>
      </c>
      <c r="F475" s="456"/>
      <c r="G475" s="456"/>
      <c r="H475" s="456"/>
    </row>
    <row r="476" spans="1:8">
      <c r="A476" s="471">
        <v>1472</v>
      </c>
      <c r="B476" s="493" t="s">
        <v>1655</v>
      </c>
      <c r="C476" s="472" t="s">
        <v>256</v>
      </c>
      <c r="D476" s="456">
        <f>IF(Table10[[#This Row],[Current Age]]&gt;19,"Men's",IF(E476&gt;15,"U19",IF(E476&gt;13,"U15",IF(E476&gt;11,"U13",IF(E476&gt;0,"U11",0)))))</f>
        <v>0</v>
      </c>
      <c r="E476" s="456">
        <f>IFERROR(IF(Table10[[#This Row],[Year]]&gt;0,$E$1-Table10[[#This Row],[Year]],0),"")</f>
        <v>0</v>
      </c>
      <c r="F476" s="456"/>
      <c r="G476" s="456"/>
      <c r="H476" s="456"/>
    </row>
    <row r="477" spans="1:8">
      <c r="A477" s="456">
        <v>1473</v>
      </c>
      <c r="B477" s="469" t="s">
        <v>1656</v>
      </c>
      <c r="C477" s="458" t="s">
        <v>256</v>
      </c>
      <c r="D477" s="456">
        <f>IF(Table10[[#This Row],[Current Age]]&gt;19,"Men's",IF(E477&gt;15,"U19",IF(E477&gt;13,"U15",IF(E477&gt;11,"U13",IF(E477&gt;0,"U11",0)))))</f>
        <v>0</v>
      </c>
      <c r="E477" s="456">
        <f>IFERROR(IF(Table10[[#This Row],[Year]]&gt;0,$E$1-Table10[[#This Row],[Year]],0),"")</f>
        <v>0</v>
      </c>
      <c r="F477" s="456"/>
      <c r="G477" s="456"/>
      <c r="H477" s="456"/>
    </row>
    <row r="478" spans="1:8">
      <c r="A478" s="471">
        <v>1474</v>
      </c>
      <c r="B478" s="493" t="s">
        <v>1657</v>
      </c>
      <c r="C478" s="472" t="s">
        <v>243</v>
      </c>
      <c r="D478" s="456">
        <f>IF(Table10[[#This Row],[Current Age]]&gt;19,"Men's",IF(E478&gt;15,"U19",IF(E478&gt;13,"U15",IF(E478&gt;11,"U13",IF(E478&gt;0,"U11",0)))))</f>
        <v>0</v>
      </c>
      <c r="E478" s="456">
        <f>IFERROR(IF(Table10[[#This Row],[Year]]&gt;0,$E$1-Table10[[#This Row],[Year]],0),"")</f>
        <v>0</v>
      </c>
      <c r="F478" s="456"/>
      <c r="G478" s="456"/>
      <c r="H478" s="456"/>
    </row>
    <row r="479" spans="1:8">
      <c r="A479" s="456">
        <v>1475</v>
      </c>
      <c r="B479" s="469" t="s">
        <v>1658</v>
      </c>
      <c r="C479" s="458" t="s">
        <v>253</v>
      </c>
      <c r="D479" s="456">
        <f>IF(Table10[[#This Row],[Current Age]]&gt;19,"Men's",IF(E479&gt;15,"U19",IF(E479&gt;13,"U15",IF(E479&gt;11,"U13",IF(E479&gt;0,"U11",0)))))</f>
        <v>0</v>
      </c>
      <c r="E479" s="456">
        <f>IFERROR(IF(Table10[[#This Row],[Year]]&gt;0,$E$1-Table10[[#This Row],[Year]],0),"")</f>
        <v>0</v>
      </c>
      <c r="F479" s="456"/>
      <c r="G479" s="456"/>
      <c r="H479" s="456"/>
    </row>
    <row r="480" spans="1:8">
      <c r="A480" s="471">
        <v>1476</v>
      </c>
      <c r="B480" s="493" t="s">
        <v>1659</v>
      </c>
      <c r="C480" s="472" t="s">
        <v>243</v>
      </c>
      <c r="D480" s="456">
        <f>IF(Table10[[#This Row],[Current Age]]&gt;19,"Men's",IF(E480&gt;15,"U19",IF(E480&gt;13,"U15",IF(E480&gt;11,"U13",IF(E480&gt;0,"U11",0)))))</f>
        <v>0</v>
      </c>
      <c r="E480" s="456">
        <f>IFERROR(IF(Table10[[#This Row],[Year]]&gt;0,$E$1-Table10[[#This Row],[Year]],0),"")</f>
        <v>0</v>
      </c>
      <c r="F480" s="456"/>
      <c r="G480" s="456"/>
      <c r="H480" s="456"/>
    </row>
    <row r="481" spans="1:8">
      <c r="A481" s="456">
        <v>1477</v>
      </c>
      <c r="B481" s="469" t="s">
        <v>1660</v>
      </c>
      <c r="C481" s="458" t="s">
        <v>250</v>
      </c>
      <c r="D481" s="456">
        <f>IF(Table10[[#This Row],[Current Age]]&gt;19,"Men's",IF(E481&gt;15,"U19",IF(E481&gt;13,"U15",IF(E481&gt;11,"U13",IF(E481&gt;0,"U11",0)))))</f>
        <v>0</v>
      </c>
      <c r="E481" s="456">
        <f>IFERROR(IF(Table10[[#This Row],[Year]]&gt;0,$E$1-Table10[[#This Row],[Year]],0),"")</f>
        <v>0</v>
      </c>
      <c r="F481" s="456"/>
      <c r="G481" s="456"/>
      <c r="H481" s="456"/>
    </row>
    <row r="482" spans="1:8">
      <c r="A482" s="471">
        <v>1478</v>
      </c>
      <c r="B482" s="493" t="s">
        <v>1661</v>
      </c>
      <c r="C482" s="472" t="s">
        <v>253</v>
      </c>
      <c r="D482" s="456">
        <f>IF(Table10[[#This Row],[Current Age]]&gt;19,"Men's",IF(E482&gt;15,"U19",IF(E482&gt;13,"U15",IF(E482&gt;11,"U13",IF(E482&gt;0,"U11",0)))))</f>
        <v>0</v>
      </c>
      <c r="E482" s="456">
        <f>IFERROR(IF(Table10[[#This Row],[Year]]&gt;0,$E$1-Table10[[#This Row],[Year]],0),"")</f>
        <v>0</v>
      </c>
      <c r="F482" s="456"/>
      <c r="G482" s="456"/>
      <c r="H482" s="456"/>
    </row>
    <row r="483" spans="1:8">
      <c r="A483" s="456">
        <v>1479</v>
      </c>
      <c r="B483" s="469" t="s">
        <v>1662</v>
      </c>
      <c r="C483" s="458" t="s">
        <v>362</v>
      </c>
      <c r="D483" s="456">
        <f>IF(Table10[[#This Row],[Current Age]]&gt;19,"Men's",IF(E483&gt;15,"U19",IF(E483&gt;13,"U15",IF(E483&gt;11,"U13",IF(E483&gt;0,"U11",0)))))</f>
        <v>0</v>
      </c>
      <c r="E483" s="456">
        <f>IFERROR(IF(Table10[[#This Row],[Year]]&gt;0,$E$1-Table10[[#This Row],[Year]],0),"")</f>
        <v>0</v>
      </c>
      <c r="F483" s="456"/>
      <c r="G483" s="456"/>
      <c r="H483" s="456"/>
    </row>
    <row r="484" spans="1:8">
      <c r="A484" s="471">
        <v>1480</v>
      </c>
      <c r="B484" s="493" t="s">
        <v>1663</v>
      </c>
      <c r="C484" s="472" t="s">
        <v>762</v>
      </c>
      <c r="D484" s="456" t="str">
        <f>IF(Table10[[#This Row],[Current Age]]&gt;19,"Men's",IF(E484&gt;15,"U19",IF(E484&gt;13,"U15",IF(E484&gt;11,"U13",IF(E484&gt;0,"U11",0)))))</f>
        <v>Men's</v>
      </c>
      <c r="E484" s="456">
        <f>IFERROR(IF(Table10[[#This Row],[Year]]&gt;0,$E$1-Table10[[#This Row],[Year]],0),"")</f>
        <v>20</v>
      </c>
      <c r="F484" s="456">
        <v>2005</v>
      </c>
      <c r="G484" s="456">
        <v>7</v>
      </c>
      <c r="H484" s="456">
        <v>7</v>
      </c>
    </row>
    <row r="485" spans="1:8">
      <c r="A485" s="456">
        <v>1481</v>
      </c>
      <c r="B485" s="469" t="s">
        <v>1664</v>
      </c>
      <c r="C485" s="458" t="s">
        <v>255</v>
      </c>
      <c r="D485" s="456">
        <f>IF(Table10[[#This Row],[Current Age]]&gt;19,"Men's",IF(E485&gt;15,"U19",IF(E485&gt;13,"U15",IF(E485&gt;11,"U13",IF(E485&gt;0,"U11",0)))))</f>
        <v>0</v>
      </c>
      <c r="E485" s="456">
        <f>IFERROR(IF(Table10[[#This Row],[Year]]&gt;0,$E$1-Table10[[#This Row],[Year]],0),"")</f>
        <v>0</v>
      </c>
      <c r="F485" s="456"/>
      <c r="G485" s="456"/>
      <c r="H485" s="456"/>
    </row>
    <row r="486" spans="1:8">
      <c r="A486" s="471">
        <v>1482</v>
      </c>
      <c r="B486" s="493" t="s">
        <v>1665</v>
      </c>
      <c r="C486" s="472" t="s">
        <v>256</v>
      </c>
      <c r="D486" s="456">
        <f>IF(Table10[[#This Row],[Current Age]]&gt;19,"Men's",IF(E486&gt;15,"U19",IF(E486&gt;13,"U15",IF(E486&gt;11,"U13",IF(E486&gt;0,"U11",0)))))</f>
        <v>0</v>
      </c>
      <c r="E486" s="456">
        <f>IFERROR(IF(Table10[[#This Row],[Year]]&gt;0,$E$1-Table10[[#This Row],[Year]],0),"")</f>
        <v>0</v>
      </c>
      <c r="F486" s="456"/>
      <c r="G486" s="456"/>
      <c r="H486" s="456"/>
    </row>
    <row r="487" spans="1:8">
      <c r="A487" s="456">
        <v>1483</v>
      </c>
      <c r="B487" s="469" t="s">
        <v>1666</v>
      </c>
      <c r="C487" s="458" t="s">
        <v>256</v>
      </c>
      <c r="D487" s="456" t="str">
        <f>IF(Table10[[#This Row],[Current Age]]&gt;19,"Men's",IF(E487&gt;15,"U19",IF(E487&gt;13,"U15",IF(E487&gt;11,"U13",IF(E487&gt;0,"U11",0)))))</f>
        <v>Men's</v>
      </c>
      <c r="E487" s="456">
        <f>IFERROR(IF(Table10[[#This Row],[Year]]&gt;0,$E$1-Table10[[#This Row],[Year]],0),"")</f>
        <v>20</v>
      </c>
      <c r="F487" s="456">
        <v>2005</v>
      </c>
      <c r="G487" s="456">
        <v>6</v>
      </c>
      <c r="H487" s="456">
        <v>15</v>
      </c>
    </row>
    <row r="488" spans="1:8">
      <c r="A488" s="471">
        <v>1484</v>
      </c>
      <c r="B488" s="493" t="s">
        <v>1667</v>
      </c>
      <c r="C488" s="472" t="s">
        <v>243</v>
      </c>
      <c r="D488" s="456">
        <f>IF(Table10[[#This Row],[Current Age]]&gt;19,"Men's",IF(E488&gt;15,"U19",IF(E488&gt;13,"U15",IF(E488&gt;11,"U13",IF(E488&gt;0,"U11",0)))))</f>
        <v>0</v>
      </c>
      <c r="E488" s="456">
        <f>IFERROR(IF(Table10[[#This Row],[Year]]&gt;0,$E$1-Table10[[#This Row],[Year]],0),"")</f>
        <v>0</v>
      </c>
      <c r="F488" s="456"/>
      <c r="G488" s="456"/>
      <c r="H488" s="456"/>
    </row>
    <row r="489" spans="1:8">
      <c r="A489" s="456">
        <v>1485</v>
      </c>
      <c r="B489" s="469" t="s">
        <v>1668</v>
      </c>
      <c r="C489" s="458" t="s">
        <v>243</v>
      </c>
      <c r="D489" s="456">
        <f>IF(Table10[[#This Row],[Current Age]]&gt;19,"Men's",IF(E489&gt;15,"U19",IF(E489&gt;13,"U15",IF(E489&gt;11,"U13",IF(E489&gt;0,"U11",0)))))</f>
        <v>0</v>
      </c>
      <c r="E489" s="456">
        <f>IFERROR(IF(Table10[[#This Row],[Year]]&gt;0,$E$1-Table10[[#This Row],[Year]],0),"")</f>
        <v>0</v>
      </c>
      <c r="F489" s="456"/>
      <c r="G489" s="456"/>
      <c r="H489" s="456"/>
    </row>
    <row r="490" spans="1:8">
      <c r="A490" s="471">
        <v>1486</v>
      </c>
      <c r="B490" s="493" t="s">
        <v>1669</v>
      </c>
      <c r="C490" s="472" t="s">
        <v>250</v>
      </c>
      <c r="D490" s="456">
        <f>IF(Table10[[#This Row],[Current Age]]&gt;19,"Men's",IF(E490&gt;15,"U19",IF(E490&gt;13,"U15",IF(E490&gt;11,"U13",IF(E490&gt;0,"U11",0)))))</f>
        <v>0</v>
      </c>
      <c r="E490" s="456">
        <f>IFERROR(IF(Table10[[#This Row],[Year]]&gt;0,$E$1-Table10[[#This Row],[Year]],0),"")</f>
        <v>0</v>
      </c>
      <c r="F490" s="456"/>
      <c r="G490" s="456"/>
      <c r="H490" s="456"/>
    </row>
    <row r="491" spans="1:8">
      <c r="A491" s="456">
        <v>1487</v>
      </c>
      <c r="B491" s="469" t="s">
        <v>1670</v>
      </c>
      <c r="C491" s="458" t="s">
        <v>243</v>
      </c>
      <c r="D491" s="456">
        <f>IF(Table10[[#This Row],[Current Age]]&gt;19,"Men's",IF(E491&gt;15,"U19",IF(E491&gt;13,"U15",IF(E491&gt;11,"U13",IF(E491&gt;0,"U11",0)))))</f>
        <v>0</v>
      </c>
      <c r="E491" s="456">
        <f>IFERROR(IF(Table10[[#This Row],[Year]]&gt;0,$E$1-Table10[[#This Row],[Year]],0),"")</f>
        <v>0</v>
      </c>
      <c r="F491" s="456"/>
      <c r="G491" s="456"/>
      <c r="H491" s="456"/>
    </row>
    <row r="492" spans="1:8">
      <c r="A492" s="471">
        <v>1488</v>
      </c>
      <c r="B492" s="493" t="s">
        <v>1671</v>
      </c>
      <c r="C492" s="472" t="s">
        <v>256</v>
      </c>
      <c r="D492" s="456">
        <f>IF(Table10[[#This Row],[Current Age]]&gt;19,"Men's",IF(E492&gt;15,"U19",IF(E492&gt;13,"U15",IF(E492&gt;11,"U13",IF(E492&gt;0,"U11",0)))))</f>
        <v>0</v>
      </c>
      <c r="E492" s="456">
        <f>IFERROR(IF(Table10[[#This Row],[Year]]&gt;0,$E$1-Table10[[#This Row],[Year]],0),"")</f>
        <v>0</v>
      </c>
      <c r="F492" s="456"/>
      <c r="G492" s="456"/>
      <c r="H492" s="456"/>
    </row>
    <row r="493" spans="1:8">
      <c r="A493" s="456">
        <v>1489</v>
      </c>
      <c r="B493" s="469" t="s">
        <v>117</v>
      </c>
      <c r="C493" s="458"/>
      <c r="D493" s="456">
        <f>IF(Table10[[#This Row],[Current Age]]&gt;19,"Men's",IF(E493&gt;15,"U19",IF(E493&gt;13,"U15",IF(E493&gt;11,"U13",IF(E493&gt;0,"U11",0)))))</f>
        <v>0</v>
      </c>
      <c r="E493" s="456">
        <f>IFERROR(IF(Table10[[#This Row],[Year]]&gt;0,$E$1-Table10[[#This Row],[Year]],0),"")</f>
        <v>0</v>
      </c>
      <c r="F493" s="456"/>
      <c r="G493" s="456"/>
      <c r="H493" s="456"/>
    </row>
    <row r="494" spans="1:8">
      <c r="A494" s="471">
        <v>1490</v>
      </c>
      <c r="B494" s="493" t="s">
        <v>1672</v>
      </c>
      <c r="C494" s="472" t="s">
        <v>243</v>
      </c>
      <c r="D494" s="456">
        <f>IF(Table10[[#This Row],[Current Age]]&gt;19,"Men's",IF(E494&gt;15,"U19",IF(E494&gt;13,"U15",IF(E494&gt;11,"U13",IF(E494&gt;0,"U11",0)))))</f>
        <v>0</v>
      </c>
      <c r="E494" s="456">
        <f>IFERROR(IF(Table10[[#This Row],[Year]]&gt;0,$E$1-Table10[[#This Row],[Year]],0),"")</f>
        <v>0</v>
      </c>
      <c r="F494" s="456"/>
      <c r="G494" s="456"/>
      <c r="H494" s="456"/>
    </row>
    <row r="495" spans="1:8">
      <c r="A495" s="456">
        <v>1491</v>
      </c>
      <c r="B495" s="469" t="s">
        <v>1673</v>
      </c>
      <c r="C495" s="458" t="s">
        <v>256</v>
      </c>
      <c r="D495" s="456">
        <f>IF(Table10[[#This Row],[Current Age]]&gt;19,"Men's",IF(E495&gt;15,"U19",IF(E495&gt;13,"U15",IF(E495&gt;11,"U13",IF(E495&gt;0,"U11",0)))))</f>
        <v>0</v>
      </c>
      <c r="E495" s="456">
        <f>IFERROR(IF(Table10[[#This Row],[Year]]&gt;0,$E$1-Table10[[#This Row],[Year]],0),"")</f>
        <v>0</v>
      </c>
      <c r="F495" s="456"/>
      <c r="G495" s="456"/>
      <c r="H495" s="456"/>
    </row>
    <row r="496" spans="1:8">
      <c r="A496" s="471">
        <v>1492</v>
      </c>
      <c r="B496" s="493" t="s">
        <v>1674</v>
      </c>
      <c r="C496" s="472" t="s">
        <v>249</v>
      </c>
      <c r="D496" s="456">
        <f>IF(Table10[[#This Row],[Current Age]]&gt;19,"Men's",IF(E496&gt;15,"U19",IF(E496&gt;13,"U15",IF(E496&gt;11,"U13",IF(E496&gt;0,"U11",0)))))</f>
        <v>0</v>
      </c>
      <c r="E496" s="456">
        <f>IFERROR(IF(Table10[[#This Row],[Year]]&gt;0,$E$1-Table10[[#This Row],[Year]],0),"")</f>
        <v>0</v>
      </c>
      <c r="F496" s="456"/>
      <c r="G496" s="456"/>
      <c r="H496" s="456"/>
    </row>
    <row r="497" spans="1:8">
      <c r="A497" s="456">
        <v>1493</v>
      </c>
      <c r="B497" s="469" t="s">
        <v>1219</v>
      </c>
      <c r="C497" s="458" t="s">
        <v>256</v>
      </c>
      <c r="D497" s="456">
        <f>IF(Table10[[#This Row],[Current Age]]&gt;19,"Men's",IF(E497&gt;15,"U19",IF(E497&gt;13,"U15",IF(E497&gt;11,"U13",IF(E497&gt;0,"U11",0)))))</f>
        <v>0</v>
      </c>
      <c r="E497" s="456">
        <f>IFERROR(IF(Table10[[#This Row],[Year]]&gt;0,$E$1-Table10[[#This Row],[Year]],0),"")</f>
        <v>0</v>
      </c>
      <c r="F497" s="456"/>
      <c r="G497" s="456"/>
      <c r="H497" s="456"/>
    </row>
    <row r="498" spans="1:8">
      <c r="A498" s="471">
        <v>1494</v>
      </c>
      <c r="B498" s="493" t="s">
        <v>1675</v>
      </c>
      <c r="C498" s="472" t="s">
        <v>256</v>
      </c>
      <c r="D498" s="456">
        <f>IF(Table10[[#This Row],[Current Age]]&gt;19,"Men's",IF(E498&gt;15,"U19",IF(E498&gt;13,"U15",IF(E498&gt;11,"U13",IF(E498&gt;0,"U11",0)))))</f>
        <v>0</v>
      </c>
      <c r="E498" s="456">
        <f>IFERROR(IF(Table10[[#This Row],[Year]]&gt;0,$E$1-Table10[[#This Row],[Year]],0),"")</f>
        <v>0</v>
      </c>
      <c r="F498" s="456"/>
      <c r="G498" s="456"/>
      <c r="H498" s="456"/>
    </row>
    <row r="499" spans="1:8">
      <c r="A499" s="456">
        <v>1495</v>
      </c>
      <c r="B499" s="469" t="s">
        <v>1676</v>
      </c>
      <c r="C499" s="458" t="s">
        <v>253</v>
      </c>
      <c r="D499" s="456">
        <f>IF(Table10[[#This Row],[Current Age]]&gt;19,"Men's",IF(E499&gt;15,"U19",IF(E499&gt;13,"U15",IF(E499&gt;11,"U13",IF(E499&gt;0,"U11",0)))))</f>
        <v>0</v>
      </c>
      <c r="E499" s="456">
        <f>IFERROR(IF(Table10[[#This Row],[Year]]&gt;0,$E$1-Table10[[#This Row],[Year]],0),"")</f>
        <v>0</v>
      </c>
      <c r="F499" s="456"/>
      <c r="G499" s="456"/>
      <c r="H499" s="456"/>
    </row>
    <row r="500" spans="1:8">
      <c r="A500" s="471">
        <v>1496</v>
      </c>
      <c r="B500" s="493" t="s">
        <v>1677</v>
      </c>
      <c r="C500" s="472" t="s">
        <v>253</v>
      </c>
      <c r="D500" s="456">
        <f>IF(Table10[[#This Row],[Current Age]]&gt;19,"Men's",IF(E500&gt;15,"U19",IF(E500&gt;13,"U15",IF(E500&gt;11,"U13",IF(E500&gt;0,"U11",0)))))</f>
        <v>0</v>
      </c>
      <c r="E500" s="456">
        <f>IFERROR(IF(Table10[[#This Row],[Year]]&gt;0,$E$1-Table10[[#This Row],[Year]],0),"")</f>
        <v>0</v>
      </c>
      <c r="F500" s="456"/>
      <c r="G500" s="456"/>
      <c r="H500" s="456"/>
    </row>
    <row r="501" spans="1:8">
      <c r="A501" s="456">
        <v>1497</v>
      </c>
      <c r="B501" s="469" t="s">
        <v>1678</v>
      </c>
      <c r="C501" s="458" t="s">
        <v>243</v>
      </c>
      <c r="D501" s="456">
        <f>IF(Table10[[#This Row],[Current Age]]&gt;19,"Men's",IF(E501&gt;15,"U19",IF(E501&gt;13,"U15",IF(E501&gt;11,"U13",IF(E501&gt;0,"U11",0)))))</f>
        <v>0</v>
      </c>
      <c r="E501" s="456">
        <f>IFERROR(IF(Table10[[#This Row],[Year]]&gt;0,$E$1-Table10[[#This Row],[Year]],0),"")</f>
        <v>0</v>
      </c>
      <c r="F501" s="456"/>
      <c r="G501" s="456"/>
      <c r="H501" s="456"/>
    </row>
    <row r="502" spans="1:8">
      <c r="A502" s="471">
        <v>1498</v>
      </c>
      <c r="B502" s="493" t="s">
        <v>1679</v>
      </c>
      <c r="C502" s="472" t="s">
        <v>762</v>
      </c>
      <c r="D502" s="456">
        <f>IF(Table10[[#This Row],[Current Age]]&gt;19,"Men's",IF(E502&gt;15,"U19",IF(E502&gt;13,"U15",IF(E502&gt;11,"U13",IF(E502&gt;0,"U11",0)))))</f>
        <v>0</v>
      </c>
      <c r="E502" s="456">
        <f>IFERROR(IF(Table10[[#This Row],[Year]]&gt;0,$E$1-Table10[[#This Row],[Year]],0),"")</f>
        <v>0</v>
      </c>
      <c r="F502" s="456"/>
      <c r="G502" s="456"/>
      <c r="H502" s="456"/>
    </row>
    <row r="503" spans="1:8">
      <c r="A503" s="456">
        <v>1499</v>
      </c>
      <c r="B503" s="469" t="s">
        <v>1680</v>
      </c>
      <c r="C503" s="458" t="s">
        <v>4552</v>
      </c>
      <c r="D503" s="456">
        <f>IF(Table10[[#This Row],[Current Age]]&gt;19,"Men's",IF(E503&gt;15,"U19",IF(E503&gt;13,"U15",IF(E503&gt;11,"U13",IF(E503&gt;0,"U11",0)))))</f>
        <v>0</v>
      </c>
      <c r="E503" s="456">
        <f>IFERROR(IF(Table10[[#This Row],[Year]]&gt;0,$E$1-Table10[[#This Row],[Year]],0),"")</f>
        <v>0</v>
      </c>
      <c r="F503" s="456"/>
      <c r="G503" s="456"/>
      <c r="H503" s="456"/>
    </row>
    <row r="504" spans="1:8">
      <c r="A504" s="471">
        <v>1500</v>
      </c>
      <c r="B504" s="493" t="s">
        <v>1681</v>
      </c>
      <c r="C504" s="472" t="s">
        <v>256</v>
      </c>
      <c r="D504" s="456">
        <f>IF(Table10[[#This Row],[Current Age]]&gt;19,"Men's",IF(E504&gt;15,"U19",IF(E504&gt;13,"U15",IF(E504&gt;11,"U13",IF(E504&gt;0,"U11",0)))))</f>
        <v>0</v>
      </c>
      <c r="E504" s="456">
        <f>IFERROR(IF(Table10[[#This Row],[Year]]&gt;0,$E$1-Table10[[#This Row],[Year]],0),"")</f>
        <v>0</v>
      </c>
      <c r="F504" s="456"/>
      <c r="G504" s="456"/>
      <c r="H504" s="456"/>
    </row>
    <row r="505" spans="1:8">
      <c r="A505" s="456">
        <v>1501</v>
      </c>
      <c r="B505" s="469" t="s">
        <v>1682</v>
      </c>
      <c r="C505" s="458" t="s">
        <v>244</v>
      </c>
      <c r="D505" s="456">
        <f>IF(Table10[[#This Row],[Current Age]]&gt;19,"Men's",IF(E505&gt;15,"U19",IF(E505&gt;13,"U15",IF(E505&gt;11,"U13",IF(E505&gt;0,"U11",0)))))</f>
        <v>0</v>
      </c>
      <c r="E505" s="456">
        <f>IFERROR(IF(Table10[[#This Row],[Year]]&gt;0,$E$1-Table10[[#This Row],[Year]],0),"")</f>
        <v>0</v>
      </c>
      <c r="F505" s="456"/>
      <c r="G505" s="456"/>
      <c r="H505" s="456"/>
    </row>
    <row r="506" spans="1:8">
      <c r="A506" s="471">
        <v>1502</v>
      </c>
      <c r="B506" s="493" t="s">
        <v>1683</v>
      </c>
      <c r="C506" s="472" t="s">
        <v>244</v>
      </c>
      <c r="D506" s="456">
        <f>IF(Table10[[#This Row],[Current Age]]&gt;19,"Men's",IF(E506&gt;15,"U19",IF(E506&gt;13,"U15",IF(E506&gt;11,"U13",IF(E506&gt;0,"U11",0)))))</f>
        <v>0</v>
      </c>
      <c r="E506" s="456">
        <f>IFERROR(IF(Table10[[#This Row],[Year]]&gt;0,$E$1-Table10[[#This Row],[Year]],0),"")</f>
        <v>0</v>
      </c>
      <c r="F506" s="456"/>
      <c r="G506" s="456"/>
      <c r="H506" s="456"/>
    </row>
    <row r="507" spans="1:8">
      <c r="A507" s="456">
        <v>1503</v>
      </c>
      <c r="B507" s="469" t="s">
        <v>1684</v>
      </c>
      <c r="C507" s="458" t="s">
        <v>243</v>
      </c>
      <c r="D507" s="456">
        <f>IF(Table10[[#This Row],[Current Age]]&gt;19,"Men's",IF(E507&gt;15,"U19",IF(E507&gt;13,"U15",IF(E507&gt;11,"U13",IF(E507&gt;0,"U11",0)))))</f>
        <v>0</v>
      </c>
      <c r="E507" s="456">
        <f>IFERROR(IF(Table10[[#This Row],[Year]]&gt;0,$E$1-Table10[[#This Row],[Year]],0),"")</f>
        <v>0</v>
      </c>
      <c r="F507" s="456"/>
      <c r="G507" s="456"/>
      <c r="H507" s="456"/>
    </row>
    <row r="508" spans="1:8">
      <c r="A508" s="471">
        <v>1504</v>
      </c>
      <c r="B508" s="493" t="s">
        <v>1685</v>
      </c>
      <c r="C508" s="472" t="s">
        <v>4720</v>
      </c>
      <c r="D508" s="456">
        <f>IF(Table10[[#This Row],[Current Age]]&gt;19,"Men's",IF(E508&gt;15,"U19",IF(E508&gt;13,"U15",IF(E508&gt;11,"U13",IF(E508&gt;0,"U11",0)))))</f>
        <v>0</v>
      </c>
      <c r="E508" s="456">
        <f>IFERROR(IF(Table10[[#This Row],[Year]]&gt;0,$E$1-Table10[[#This Row],[Year]],0),"")</f>
        <v>0</v>
      </c>
      <c r="F508" s="456"/>
      <c r="G508" s="456"/>
      <c r="H508" s="456"/>
    </row>
    <row r="509" spans="1:8">
      <c r="A509" s="456">
        <v>1505</v>
      </c>
      <c r="B509" s="469" t="s">
        <v>1686</v>
      </c>
      <c r="C509" s="458" t="s">
        <v>4720</v>
      </c>
      <c r="D509" s="456">
        <f>IF(Table10[[#This Row],[Current Age]]&gt;19,"Men's",IF(E509&gt;15,"U19",IF(E509&gt;13,"U15",IF(E509&gt;11,"U13",IF(E509&gt;0,"U11",0)))))</f>
        <v>0</v>
      </c>
      <c r="E509" s="456">
        <f>IFERROR(IF(Table10[[#This Row],[Year]]&gt;0,$E$1-Table10[[#This Row],[Year]],0),"")</f>
        <v>0</v>
      </c>
      <c r="F509" s="456"/>
      <c r="G509" s="456"/>
      <c r="H509" s="456"/>
    </row>
    <row r="510" spans="1:8">
      <c r="A510" s="471">
        <v>1506</v>
      </c>
      <c r="B510" s="493" t="s">
        <v>1687</v>
      </c>
      <c r="C510" s="472" t="s">
        <v>4720</v>
      </c>
      <c r="D510" s="456">
        <f>IF(Table10[[#This Row],[Current Age]]&gt;19,"Men's",IF(E510&gt;15,"U19",IF(E510&gt;13,"U15",IF(E510&gt;11,"U13",IF(E510&gt;0,"U11",0)))))</f>
        <v>0</v>
      </c>
      <c r="E510" s="456">
        <f>IFERROR(IF(Table10[[#This Row],[Year]]&gt;0,$E$1-Table10[[#This Row],[Year]],0),"")</f>
        <v>0</v>
      </c>
      <c r="F510" s="456"/>
      <c r="G510" s="456"/>
      <c r="H510" s="456"/>
    </row>
    <row r="511" spans="1:8">
      <c r="A511" s="456">
        <v>1507</v>
      </c>
      <c r="B511" s="469" t="s">
        <v>1688</v>
      </c>
      <c r="C511" s="458" t="s">
        <v>252</v>
      </c>
      <c r="D511" s="456">
        <f>IF(Table10[[#This Row],[Current Age]]&gt;19,"Men's",IF(E511&gt;15,"U19",IF(E511&gt;13,"U15",IF(E511&gt;11,"U13",IF(E511&gt;0,"U11",0)))))</f>
        <v>0</v>
      </c>
      <c r="E511" s="456">
        <f>IFERROR(IF(Table10[[#This Row],[Year]]&gt;0,$E$1-Table10[[#This Row],[Year]],0),"")</f>
        <v>0</v>
      </c>
      <c r="F511" s="456"/>
      <c r="G511" s="456"/>
      <c r="H511" s="456"/>
    </row>
    <row r="512" spans="1:8">
      <c r="A512" s="471">
        <v>1508</v>
      </c>
      <c r="B512" s="493" t="s">
        <v>1689</v>
      </c>
      <c r="C512" s="472" t="s">
        <v>244</v>
      </c>
      <c r="D512" s="456">
        <f>IF(Table10[[#This Row],[Current Age]]&gt;19,"Men's",IF(E512&gt;15,"U19",IF(E512&gt;13,"U15",IF(E512&gt;11,"U13",IF(E512&gt;0,"U11",0)))))</f>
        <v>0</v>
      </c>
      <c r="E512" s="456">
        <f>IFERROR(IF(Table10[[#This Row],[Year]]&gt;0,$E$1-Table10[[#This Row],[Year]],0),"")</f>
        <v>0</v>
      </c>
      <c r="F512" s="456"/>
      <c r="G512" s="456"/>
      <c r="H512" s="456"/>
    </row>
    <row r="513" spans="1:8">
      <c r="A513" s="456">
        <v>1509</v>
      </c>
      <c r="B513" s="469" t="s">
        <v>197</v>
      </c>
      <c r="C513" s="458" t="s">
        <v>4720</v>
      </c>
      <c r="D513" s="456">
        <f>IF(Table10[[#This Row],[Current Age]]&gt;19,"Men's",IF(E513&gt;15,"U19",IF(E513&gt;13,"U15",IF(E513&gt;11,"U13",IF(E513&gt;0,"U11",0)))))</f>
        <v>0</v>
      </c>
      <c r="E513" s="456">
        <f>IFERROR(IF(Table10[[#This Row],[Year]]&gt;0,$E$1-Table10[[#This Row],[Year]],0),"")</f>
        <v>0</v>
      </c>
      <c r="F513" s="456"/>
      <c r="G513" s="456"/>
      <c r="H513" s="456"/>
    </row>
    <row r="514" spans="1:8">
      <c r="A514" s="471">
        <v>1510</v>
      </c>
      <c r="B514" s="493" t="s">
        <v>198</v>
      </c>
      <c r="C514" s="472"/>
      <c r="D514" s="456">
        <f>IF(Table10[[#This Row],[Current Age]]&gt;19,"Men's",IF(E514&gt;15,"U19",IF(E514&gt;13,"U15",IF(E514&gt;11,"U13",IF(E514&gt;0,"U11",0)))))</f>
        <v>0</v>
      </c>
      <c r="E514" s="456">
        <f>IFERROR(IF(Table10[[#This Row],[Year]]&gt;0,$E$1-Table10[[#This Row],[Year]],0),"")</f>
        <v>0</v>
      </c>
      <c r="F514" s="456"/>
      <c r="G514" s="456"/>
      <c r="H514" s="456"/>
    </row>
    <row r="515" spans="1:8">
      <c r="A515" s="456">
        <v>1511</v>
      </c>
      <c r="B515" s="469" t="s">
        <v>199</v>
      </c>
      <c r="C515" s="458" t="s">
        <v>4720</v>
      </c>
      <c r="D515" s="456">
        <f>IF(Table10[[#This Row],[Current Age]]&gt;19,"Men's",IF(E515&gt;15,"U19",IF(E515&gt;13,"U15",IF(E515&gt;11,"U13",IF(E515&gt;0,"U11",0)))))</f>
        <v>0</v>
      </c>
      <c r="E515" s="456">
        <f>IFERROR(IF(Table10[[#This Row],[Year]]&gt;0,$E$1-Table10[[#This Row],[Year]],0),"")</f>
        <v>0</v>
      </c>
      <c r="F515" s="456"/>
      <c r="G515" s="456"/>
      <c r="H515" s="456"/>
    </row>
    <row r="516" spans="1:8">
      <c r="A516" s="471">
        <v>1512</v>
      </c>
      <c r="B516" s="493" t="s">
        <v>1690</v>
      </c>
      <c r="C516" s="472" t="s">
        <v>4720</v>
      </c>
      <c r="D516" s="456">
        <f>IF(Table10[[#This Row],[Current Age]]&gt;19,"Men's",IF(E516&gt;15,"U19",IF(E516&gt;13,"U15",IF(E516&gt;11,"U13",IF(E516&gt;0,"U11",0)))))</f>
        <v>0</v>
      </c>
      <c r="E516" s="456">
        <f>IFERROR(IF(Table10[[#This Row],[Year]]&gt;0,$E$1-Table10[[#This Row],[Year]],0),"")</f>
        <v>0</v>
      </c>
      <c r="F516" s="456"/>
      <c r="G516" s="456"/>
      <c r="H516" s="456"/>
    </row>
    <row r="517" spans="1:8">
      <c r="A517" s="456">
        <v>1513</v>
      </c>
      <c r="B517" s="469" t="s">
        <v>200</v>
      </c>
      <c r="C517" s="458"/>
      <c r="D517" s="456">
        <f>IF(Table10[[#This Row],[Current Age]]&gt;19,"Men's",IF(E517&gt;15,"U19",IF(E517&gt;13,"U15",IF(E517&gt;11,"U13",IF(E517&gt;0,"U11",0)))))</f>
        <v>0</v>
      </c>
      <c r="E517" s="456">
        <f>IFERROR(IF(Table10[[#This Row],[Year]]&gt;0,$E$1-Table10[[#This Row],[Year]],0),"")</f>
        <v>0</v>
      </c>
      <c r="F517" s="456"/>
      <c r="G517" s="456"/>
      <c r="H517" s="456"/>
    </row>
    <row r="518" spans="1:8">
      <c r="A518" s="471">
        <v>1514</v>
      </c>
      <c r="B518" s="493" t="s">
        <v>201</v>
      </c>
      <c r="C518" s="472" t="s">
        <v>244</v>
      </c>
      <c r="D518" s="456">
        <f>IF(Table10[[#This Row],[Current Age]]&gt;19,"Men's",IF(E518&gt;15,"U19",IF(E518&gt;13,"U15",IF(E518&gt;11,"U13",IF(E518&gt;0,"U11",0)))))</f>
        <v>0</v>
      </c>
      <c r="E518" s="456">
        <f>IFERROR(IF(Table10[[#This Row],[Year]]&gt;0,$E$1-Table10[[#This Row],[Year]],0),"")</f>
        <v>0</v>
      </c>
      <c r="F518" s="456"/>
      <c r="G518" s="456"/>
      <c r="H518" s="456"/>
    </row>
    <row r="519" spans="1:8">
      <c r="A519" s="456">
        <v>1515</v>
      </c>
      <c r="B519" s="469" t="s">
        <v>202</v>
      </c>
      <c r="C519" s="458"/>
      <c r="D519" s="456">
        <f>IF(Table10[[#This Row],[Current Age]]&gt;19,"Men's",IF(E519&gt;15,"U19",IF(E519&gt;13,"U15",IF(E519&gt;11,"U13",IF(E519&gt;0,"U11",0)))))</f>
        <v>0</v>
      </c>
      <c r="E519" s="456">
        <f>IFERROR(IF(Table10[[#This Row],[Year]]&gt;0,$E$1-Table10[[#This Row],[Year]],0),"")</f>
        <v>0</v>
      </c>
      <c r="F519" s="456"/>
      <c r="G519" s="456"/>
      <c r="H519" s="456"/>
    </row>
    <row r="520" spans="1:8">
      <c r="A520" s="471">
        <v>1516</v>
      </c>
      <c r="B520" s="493" t="s">
        <v>1691</v>
      </c>
      <c r="C520" s="472" t="s">
        <v>4720</v>
      </c>
      <c r="D520" s="456">
        <f>IF(Table10[[#This Row],[Current Age]]&gt;19,"Men's",IF(E520&gt;15,"U19",IF(E520&gt;13,"U15",IF(E520&gt;11,"U13",IF(E520&gt;0,"U11",0)))))</f>
        <v>0</v>
      </c>
      <c r="E520" s="456">
        <f>IFERROR(IF(Table10[[#This Row],[Year]]&gt;0,$E$1-Table10[[#This Row],[Year]],0),"")</f>
        <v>0</v>
      </c>
      <c r="F520" s="456"/>
      <c r="G520" s="456"/>
      <c r="H520" s="456"/>
    </row>
    <row r="521" spans="1:8">
      <c r="A521" s="456">
        <v>1517</v>
      </c>
      <c r="B521" s="469" t="s">
        <v>203</v>
      </c>
      <c r="C521" s="458"/>
      <c r="D521" s="456">
        <f>IF(Table10[[#This Row],[Current Age]]&gt;19,"Men's",IF(E521&gt;15,"U19",IF(E521&gt;13,"U15",IF(E521&gt;11,"U13",IF(E521&gt;0,"U11",0)))))</f>
        <v>0</v>
      </c>
      <c r="E521" s="456">
        <f>IFERROR(IF(Table10[[#This Row],[Year]]&gt;0,$E$1-Table10[[#This Row],[Year]],0),"")</f>
        <v>0</v>
      </c>
      <c r="F521" s="456"/>
      <c r="G521" s="456"/>
      <c r="H521" s="456"/>
    </row>
    <row r="522" spans="1:8">
      <c r="A522" s="471">
        <v>1518</v>
      </c>
      <c r="B522" s="493" t="s">
        <v>1692</v>
      </c>
      <c r="C522" s="472" t="s">
        <v>361</v>
      </c>
      <c r="D522" s="456">
        <f>IF(Table10[[#This Row],[Current Age]]&gt;19,"Men's",IF(E522&gt;15,"U19",IF(E522&gt;13,"U15",IF(E522&gt;11,"U13",IF(E522&gt;0,"U11",0)))))</f>
        <v>0</v>
      </c>
      <c r="E522" s="456">
        <f>IFERROR(IF(Table10[[#This Row],[Year]]&gt;0,$E$1-Table10[[#This Row],[Year]],0),"")</f>
        <v>0</v>
      </c>
      <c r="F522" s="456"/>
      <c r="G522" s="456"/>
      <c r="H522" s="456"/>
    </row>
    <row r="523" spans="1:8">
      <c r="A523" s="456">
        <v>1519</v>
      </c>
      <c r="B523" s="469" t="s">
        <v>204</v>
      </c>
      <c r="C523" s="458"/>
      <c r="D523" s="456">
        <f>IF(Table10[[#This Row],[Current Age]]&gt;19,"Men's",IF(E523&gt;15,"U19",IF(E523&gt;13,"U15",IF(E523&gt;11,"U13",IF(E523&gt;0,"U11",0)))))</f>
        <v>0</v>
      </c>
      <c r="E523" s="456">
        <f>IFERROR(IF(Table10[[#This Row],[Year]]&gt;0,$E$1-Table10[[#This Row],[Year]],0),"")</f>
        <v>0</v>
      </c>
      <c r="F523" s="456"/>
      <c r="G523" s="456"/>
      <c r="H523" s="456"/>
    </row>
    <row r="524" spans="1:8">
      <c r="A524" s="471">
        <v>1520</v>
      </c>
      <c r="B524" s="493" t="s">
        <v>205</v>
      </c>
      <c r="C524" s="472"/>
      <c r="D524" s="456">
        <f>IF(Table10[[#This Row],[Current Age]]&gt;19,"Men's",IF(E524&gt;15,"U19",IF(E524&gt;13,"U15",IF(E524&gt;11,"U13",IF(E524&gt;0,"U11",0)))))</f>
        <v>0</v>
      </c>
      <c r="E524" s="456">
        <f>IFERROR(IF(Table10[[#This Row],[Year]]&gt;0,$E$1-Table10[[#This Row],[Year]],0),"")</f>
        <v>0</v>
      </c>
      <c r="F524" s="456"/>
      <c r="G524" s="456"/>
      <c r="H524" s="456"/>
    </row>
    <row r="525" spans="1:8">
      <c r="A525" s="456">
        <v>1521</v>
      </c>
      <c r="B525" s="469" t="s">
        <v>206</v>
      </c>
      <c r="C525" s="458"/>
      <c r="D525" s="456">
        <f>IF(Table10[[#This Row],[Current Age]]&gt;19,"Men's",IF(E525&gt;15,"U19",IF(E525&gt;13,"U15",IF(E525&gt;11,"U13",IF(E525&gt;0,"U11",0)))))</f>
        <v>0</v>
      </c>
      <c r="E525" s="456">
        <f>IFERROR(IF(Table10[[#This Row],[Year]]&gt;0,$E$1-Table10[[#This Row],[Year]],0),"")</f>
        <v>0</v>
      </c>
      <c r="F525" s="456"/>
      <c r="G525" s="456"/>
      <c r="H525" s="456"/>
    </row>
    <row r="526" spans="1:8">
      <c r="A526" s="471">
        <v>1522</v>
      </c>
      <c r="B526" s="493" t="s">
        <v>207</v>
      </c>
      <c r="C526" s="472"/>
      <c r="D526" s="456">
        <f>IF(Table10[[#This Row],[Current Age]]&gt;19,"Men's",IF(E526&gt;15,"U19",IF(E526&gt;13,"U15",IF(E526&gt;11,"U13",IF(E526&gt;0,"U11",0)))))</f>
        <v>0</v>
      </c>
      <c r="E526" s="456">
        <f>IFERROR(IF(Table10[[#This Row],[Year]]&gt;0,$E$1-Table10[[#This Row],[Year]],0),"")</f>
        <v>0</v>
      </c>
      <c r="F526" s="456"/>
      <c r="G526" s="456"/>
      <c r="H526" s="456"/>
    </row>
    <row r="527" spans="1:8">
      <c r="A527" s="456">
        <v>1523</v>
      </c>
      <c r="B527" s="469" t="s">
        <v>208</v>
      </c>
      <c r="C527" s="458"/>
      <c r="D527" s="456">
        <f>IF(Table10[[#This Row],[Current Age]]&gt;19,"Men's",IF(E527&gt;15,"U19",IF(E527&gt;13,"U15",IF(E527&gt;11,"U13",IF(E527&gt;0,"U11",0)))))</f>
        <v>0</v>
      </c>
      <c r="E527" s="456">
        <f>IFERROR(IF(Table10[[#This Row],[Year]]&gt;0,$E$1-Table10[[#This Row],[Year]],0),"")</f>
        <v>0</v>
      </c>
      <c r="F527" s="456"/>
      <c r="G527" s="456"/>
      <c r="H527" s="456"/>
    </row>
    <row r="528" spans="1:8">
      <c r="A528" s="471">
        <v>1524</v>
      </c>
      <c r="B528" s="493" t="s">
        <v>209</v>
      </c>
      <c r="C528" s="472" t="s">
        <v>4720</v>
      </c>
      <c r="D528" s="456">
        <f>IF(Table10[[#This Row],[Current Age]]&gt;19,"Men's",IF(E528&gt;15,"U19",IF(E528&gt;13,"U15",IF(E528&gt;11,"U13",IF(E528&gt;0,"U11",0)))))</f>
        <v>0</v>
      </c>
      <c r="E528" s="456">
        <f>IFERROR(IF(Table10[[#This Row],[Year]]&gt;0,$E$1-Table10[[#This Row],[Year]],0),"")</f>
        <v>0</v>
      </c>
      <c r="F528" s="456"/>
      <c r="G528" s="456"/>
      <c r="H528" s="456"/>
    </row>
    <row r="529" spans="1:8">
      <c r="A529" s="456">
        <v>1525</v>
      </c>
      <c r="B529" s="469" t="s">
        <v>210</v>
      </c>
      <c r="C529" s="458"/>
      <c r="D529" s="456">
        <f>IF(Table10[[#This Row],[Current Age]]&gt;19,"Men's",IF(E529&gt;15,"U19",IF(E529&gt;13,"U15",IF(E529&gt;11,"U13",IF(E529&gt;0,"U11",0)))))</f>
        <v>0</v>
      </c>
      <c r="E529" s="456">
        <f>IFERROR(IF(Table10[[#This Row],[Year]]&gt;0,$E$1-Table10[[#This Row],[Year]],0),"")</f>
        <v>0</v>
      </c>
      <c r="F529" s="456"/>
      <c r="G529" s="456"/>
      <c r="H529" s="456"/>
    </row>
    <row r="530" spans="1:8">
      <c r="A530" s="471">
        <v>1526</v>
      </c>
      <c r="B530" s="493" t="s">
        <v>211</v>
      </c>
      <c r="C530" s="472"/>
      <c r="D530" s="456">
        <f>IF(Table10[[#This Row],[Current Age]]&gt;19,"Men's",IF(E530&gt;15,"U19",IF(E530&gt;13,"U15",IF(E530&gt;11,"U13",IF(E530&gt;0,"U11",0)))))</f>
        <v>0</v>
      </c>
      <c r="E530" s="456">
        <f>IFERROR(IF(Table10[[#This Row],[Year]]&gt;0,$E$1-Table10[[#This Row],[Year]],0),"")</f>
        <v>0</v>
      </c>
      <c r="F530" s="456"/>
      <c r="G530" s="456"/>
      <c r="H530" s="456"/>
    </row>
    <row r="531" spans="1:8">
      <c r="A531" s="456">
        <v>1527</v>
      </c>
      <c r="B531" s="469" t="s">
        <v>1693</v>
      </c>
      <c r="C531" s="458" t="s">
        <v>4720</v>
      </c>
      <c r="D531" s="456">
        <f>IF(Table10[[#This Row],[Current Age]]&gt;19,"Men's",IF(E531&gt;15,"U19",IF(E531&gt;13,"U15",IF(E531&gt;11,"U13",IF(E531&gt;0,"U11",0)))))</f>
        <v>0</v>
      </c>
      <c r="E531" s="456">
        <f>IFERROR(IF(Table10[[#This Row],[Year]]&gt;0,$E$1-Table10[[#This Row],[Year]],0),"")</f>
        <v>0</v>
      </c>
      <c r="F531" s="456"/>
      <c r="G531" s="456"/>
      <c r="H531" s="456"/>
    </row>
    <row r="532" spans="1:8">
      <c r="A532" s="471">
        <v>1528</v>
      </c>
      <c r="B532" s="493" t="s">
        <v>212</v>
      </c>
      <c r="C532" s="472"/>
      <c r="D532" s="456">
        <f>IF(Table10[[#This Row],[Current Age]]&gt;19,"Men's",IF(E532&gt;15,"U19",IF(E532&gt;13,"U15",IF(E532&gt;11,"U13",IF(E532&gt;0,"U11",0)))))</f>
        <v>0</v>
      </c>
      <c r="E532" s="456">
        <f>IFERROR(IF(Table10[[#This Row],[Year]]&gt;0,$E$1-Table10[[#This Row],[Year]],0),"")</f>
        <v>0</v>
      </c>
      <c r="F532" s="456"/>
      <c r="G532" s="456"/>
      <c r="H532" s="456"/>
    </row>
    <row r="533" spans="1:8">
      <c r="A533" s="456">
        <v>1529</v>
      </c>
      <c r="B533" s="469" t="s">
        <v>3790</v>
      </c>
      <c r="C533" s="458" t="s">
        <v>251</v>
      </c>
      <c r="D533" s="456">
        <f>IF(Table10[[#This Row],[Current Age]]&gt;19,"Men's",IF(E533&gt;15,"U19",IF(E533&gt;13,"U15",IF(E533&gt;11,"U13",IF(E533&gt;0,"U11",0)))))</f>
        <v>0</v>
      </c>
      <c r="E533" s="456">
        <f>IFERROR(IF(Table10[[#This Row],[Year]]&gt;0,$E$1-Table10[[#This Row],[Year]],0),"")</f>
        <v>0</v>
      </c>
      <c r="F533" s="456"/>
      <c r="G533" s="456"/>
      <c r="H533" s="456"/>
    </row>
    <row r="534" spans="1:8">
      <c r="A534" s="471">
        <v>1530</v>
      </c>
      <c r="B534" s="493" t="s">
        <v>214</v>
      </c>
      <c r="C534" s="472"/>
      <c r="D534" s="456">
        <f>IF(Table10[[#This Row],[Current Age]]&gt;19,"Men's",IF(E534&gt;15,"U19",IF(E534&gt;13,"U15",IF(E534&gt;11,"U13",IF(E534&gt;0,"U11",0)))))</f>
        <v>0</v>
      </c>
      <c r="E534" s="456">
        <f>IFERROR(IF(Table10[[#This Row],[Year]]&gt;0,$E$1-Table10[[#This Row],[Year]],0),"")</f>
        <v>0</v>
      </c>
      <c r="F534" s="456"/>
      <c r="G534" s="456"/>
      <c r="H534" s="456"/>
    </row>
    <row r="535" spans="1:8">
      <c r="A535" s="456">
        <v>1531</v>
      </c>
      <c r="B535" s="469" t="s">
        <v>215</v>
      </c>
      <c r="C535" s="458" t="s">
        <v>4720</v>
      </c>
      <c r="D535" s="456" t="str">
        <f>IF(Table10[[#This Row],[Current Age]]&gt;19,"Men's",IF(E535&gt;15,"U19",IF(E535&gt;13,"U15",IF(E535&gt;11,"U13",IF(E535&gt;0,"U11",0)))))</f>
        <v>Men's</v>
      </c>
      <c r="E535" s="456">
        <f>IFERROR(IF(Table10[[#This Row],[Year]]&gt;0,$E$1-Table10[[#This Row],[Year]],0),"")</f>
        <v>32</v>
      </c>
      <c r="F535" s="456" t="s">
        <v>6302</v>
      </c>
      <c r="G535" s="456" t="s">
        <v>6299</v>
      </c>
      <c r="H535" s="456" t="s">
        <v>4264</v>
      </c>
    </row>
    <row r="536" spans="1:8">
      <c r="A536" s="471">
        <v>1532</v>
      </c>
      <c r="B536" s="493" t="s">
        <v>216</v>
      </c>
      <c r="C536" s="472"/>
      <c r="D536" s="456">
        <f>IF(Table10[[#This Row],[Current Age]]&gt;19,"Men's",IF(E536&gt;15,"U19",IF(E536&gt;13,"U15",IF(E536&gt;11,"U13",IF(E536&gt;0,"U11",0)))))</f>
        <v>0</v>
      </c>
      <c r="E536" s="456">
        <f>IFERROR(IF(Table10[[#This Row],[Year]]&gt;0,$E$1-Table10[[#This Row],[Year]],0),"")</f>
        <v>0</v>
      </c>
      <c r="F536" s="456"/>
      <c r="G536" s="456"/>
      <c r="H536" s="456"/>
    </row>
    <row r="537" spans="1:8">
      <c r="A537" s="456">
        <v>1533</v>
      </c>
      <c r="B537" s="469" t="s">
        <v>217</v>
      </c>
      <c r="C537" s="458"/>
      <c r="D537" s="456">
        <f>IF(Table10[[#This Row],[Current Age]]&gt;19,"Men's",IF(E537&gt;15,"U19",IF(E537&gt;13,"U15",IF(E537&gt;11,"U13",IF(E537&gt;0,"U11",0)))))</f>
        <v>0</v>
      </c>
      <c r="E537" s="456">
        <f>IFERROR(IF(Table10[[#This Row],[Year]]&gt;0,$E$1-Table10[[#This Row],[Year]],0),"")</f>
        <v>0</v>
      </c>
      <c r="F537" s="456"/>
      <c r="G537" s="456"/>
      <c r="H537" s="456"/>
    </row>
    <row r="538" spans="1:8">
      <c r="A538" s="471">
        <v>1534</v>
      </c>
      <c r="B538" s="493" t="s">
        <v>218</v>
      </c>
      <c r="C538" s="472"/>
      <c r="D538" s="456">
        <f>IF(Table10[[#This Row],[Current Age]]&gt;19,"Men's",IF(E538&gt;15,"U19",IF(E538&gt;13,"U15",IF(E538&gt;11,"U13",IF(E538&gt;0,"U11",0)))))</f>
        <v>0</v>
      </c>
      <c r="E538" s="456">
        <f>IFERROR(IF(Table10[[#This Row],[Year]]&gt;0,$E$1-Table10[[#This Row],[Year]],0),"")</f>
        <v>0</v>
      </c>
      <c r="F538" s="456"/>
      <c r="G538" s="456"/>
      <c r="H538" s="456"/>
    </row>
    <row r="539" spans="1:8">
      <c r="A539" s="456">
        <v>1535</v>
      </c>
      <c r="B539" s="469" t="s">
        <v>221</v>
      </c>
      <c r="C539" s="458"/>
      <c r="D539" s="456">
        <f>IF(Table10[[#This Row],[Current Age]]&gt;19,"Men's",IF(E539&gt;15,"U19",IF(E539&gt;13,"U15",IF(E539&gt;11,"U13",IF(E539&gt;0,"U11",0)))))</f>
        <v>0</v>
      </c>
      <c r="E539" s="456">
        <f>IFERROR(IF(Table10[[#This Row],[Year]]&gt;0,$E$1-Table10[[#This Row],[Year]],0),"")</f>
        <v>0</v>
      </c>
      <c r="F539" s="456"/>
      <c r="G539" s="456"/>
      <c r="H539" s="456"/>
    </row>
    <row r="540" spans="1:8">
      <c r="A540" s="471">
        <v>1536</v>
      </c>
      <c r="B540" s="493" t="s">
        <v>224</v>
      </c>
      <c r="C540" s="472"/>
      <c r="D540" s="456">
        <f>IF(Table10[[#This Row],[Current Age]]&gt;19,"Men's",IF(E540&gt;15,"U19",IF(E540&gt;13,"U15",IF(E540&gt;11,"U13",IF(E540&gt;0,"U11",0)))))</f>
        <v>0</v>
      </c>
      <c r="E540" s="456">
        <f>IFERROR(IF(Table10[[#This Row],[Year]]&gt;0,$E$1-Table10[[#This Row],[Year]],0),"")</f>
        <v>0</v>
      </c>
      <c r="F540" s="456"/>
      <c r="G540" s="456"/>
      <c r="H540" s="456"/>
    </row>
    <row r="541" spans="1:8">
      <c r="A541" s="456">
        <v>1537</v>
      </c>
      <c r="B541" s="469" t="s">
        <v>225</v>
      </c>
      <c r="C541" s="458" t="s">
        <v>4658</v>
      </c>
      <c r="D541" s="456" t="str">
        <f>IF(Table10[[#This Row],[Current Age]]&gt;19,"Men's",IF(E541&gt;15,"U19",IF(E541&gt;13,"U15",IF(E541&gt;11,"U13",IF(E541&gt;0,"U11",0)))))</f>
        <v>Men's</v>
      </c>
      <c r="E541" s="456">
        <f>IFERROR(IF(Table10[[#This Row],[Year]]&gt;0,$E$1-Table10[[#This Row],[Year]],0),"")</f>
        <v>22</v>
      </c>
      <c r="F541" s="456">
        <v>2003</v>
      </c>
      <c r="G541" s="456">
        <v>10</v>
      </c>
      <c r="H541" s="456">
        <v>31</v>
      </c>
    </row>
    <row r="542" spans="1:8">
      <c r="A542" s="471">
        <v>1538</v>
      </c>
      <c r="B542" s="493" t="s">
        <v>226</v>
      </c>
      <c r="C542" s="472"/>
      <c r="D542" s="456">
        <f>IF(Table10[[#This Row],[Current Age]]&gt;19,"Men's",IF(E542&gt;15,"U19",IF(E542&gt;13,"U15",IF(E542&gt;11,"U13",IF(E542&gt;0,"U11",0)))))</f>
        <v>0</v>
      </c>
      <c r="E542" s="456">
        <f>IFERROR(IF(Table10[[#This Row],[Year]]&gt;0,$E$1-Table10[[#This Row],[Year]],0),"")</f>
        <v>0</v>
      </c>
      <c r="F542" s="456"/>
      <c r="G542" s="456"/>
      <c r="H542" s="456"/>
    </row>
    <row r="543" spans="1:8">
      <c r="A543" s="456">
        <v>1539</v>
      </c>
      <c r="B543" s="469" t="s">
        <v>1694</v>
      </c>
      <c r="C543" s="458" t="s">
        <v>4720</v>
      </c>
      <c r="D543" s="456" t="str">
        <f>IF(Table10[[#This Row],[Current Age]]&gt;19,"Men's",IF(E543&gt;15,"U19",IF(E543&gt;13,"U15",IF(E543&gt;11,"U13",IF(E543&gt;0,"U11",0)))))</f>
        <v>Men's</v>
      </c>
      <c r="E543" s="456">
        <f>IFERROR(IF(Table10[[#This Row],[Year]]&gt;0,$E$1-Table10[[#This Row],[Year]],0),"")</f>
        <v>24</v>
      </c>
      <c r="F543" s="456">
        <v>2001</v>
      </c>
      <c r="G543" s="456">
        <v>11</v>
      </c>
      <c r="H543" s="456">
        <v>22</v>
      </c>
    </row>
    <row r="544" spans="1:8">
      <c r="A544" s="471">
        <v>1540</v>
      </c>
      <c r="B544" s="493" t="s">
        <v>227</v>
      </c>
      <c r="C544" s="472"/>
      <c r="D544" s="456">
        <f>IF(Table10[[#This Row],[Current Age]]&gt;19,"Men's",IF(E544&gt;15,"U19",IF(E544&gt;13,"U15",IF(E544&gt;11,"U13",IF(E544&gt;0,"U11",0)))))</f>
        <v>0</v>
      </c>
      <c r="E544" s="456">
        <f>IFERROR(IF(Table10[[#This Row],[Year]]&gt;0,$E$1-Table10[[#This Row],[Year]],0),"")</f>
        <v>0</v>
      </c>
      <c r="F544" s="456"/>
      <c r="G544" s="456"/>
      <c r="H544" s="456"/>
    </row>
    <row r="545" spans="1:8">
      <c r="A545" s="456">
        <v>1541</v>
      </c>
      <c r="B545" s="469" t="s">
        <v>228</v>
      </c>
      <c r="C545" s="458" t="s">
        <v>4720</v>
      </c>
      <c r="D545" s="456" t="str">
        <f>IF(Table10[[#This Row],[Current Age]]&gt;19,"Men's",IF(E545&gt;15,"U19",IF(E545&gt;13,"U15",IF(E545&gt;11,"U13",IF(E545&gt;0,"U11",0)))))</f>
        <v>Men's</v>
      </c>
      <c r="E545" s="456">
        <f>IFERROR(IF(Table10[[#This Row],[Year]]&gt;0,$E$1-Table10[[#This Row],[Year]],0),"")</f>
        <v>20</v>
      </c>
      <c r="F545" s="456">
        <v>2005</v>
      </c>
      <c r="G545" s="456">
        <v>3</v>
      </c>
      <c r="H545" s="456">
        <v>29</v>
      </c>
    </row>
    <row r="546" spans="1:8">
      <c r="A546" s="471">
        <v>1542</v>
      </c>
      <c r="B546" s="493" t="s">
        <v>229</v>
      </c>
      <c r="C546" s="472"/>
      <c r="D546" s="456">
        <f>IF(Table10[[#This Row],[Current Age]]&gt;19,"Men's",IF(E546&gt;15,"U19",IF(E546&gt;13,"U15",IF(E546&gt;11,"U13",IF(E546&gt;0,"U11",0)))))</f>
        <v>0</v>
      </c>
      <c r="E546" s="456">
        <f>IFERROR(IF(Table10[[#This Row],[Year]]&gt;0,$E$1-Table10[[#This Row],[Year]],0),"")</f>
        <v>0</v>
      </c>
      <c r="F546" s="456"/>
      <c r="G546" s="456"/>
      <c r="H546" s="456"/>
    </row>
    <row r="547" spans="1:8">
      <c r="A547" s="456">
        <v>1543</v>
      </c>
      <c r="B547" s="469" t="s">
        <v>230</v>
      </c>
      <c r="C547" s="458"/>
      <c r="D547" s="456">
        <f>IF(Table10[[#This Row],[Current Age]]&gt;19,"Men's",IF(E547&gt;15,"U19",IF(E547&gt;13,"U15",IF(E547&gt;11,"U13",IF(E547&gt;0,"U11",0)))))</f>
        <v>0</v>
      </c>
      <c r="E547" s="456">
        <f>IFERROR(IF(Table10[[#This Row],[Year]]&gt;0,$E$1-Table10[[#This Row],[Year]],0),"")</f>
        <v>0</v>
      </c>
      <c r="F547" s="456"/>
      <c r="G547" s="456"/>
      <c r="H547" s="456"/>
    </row>
    <row r="548" spans="1:8">
      <c r="A548" s="471">
        <v>1544</v>
      </c>
      <c r="B548" s="493" t="s">
        <v>231</v>
      </c>
      <c r="C548" s="472"/>
      <c r="D548" s="456">
        <f>IF(Table10[[#This Row],[Current Age]]&gt;19,"Men's",IF(E548&gt;15,"U19",IF(E548&gt;13,"U15",IF(E548&gt;11,"U13",IF(E548&gt;0,"U11",0)))))</f>
        <v>0</v>
      </c>
      <c r="E548" s="456">
        <f>IFERROR(IF(Table10[[#This Row],[Year]]&gt;0,$E$1-Table10[[#This Row],[Year]],0),"")</f>
        <v>0</v>
      </c>
      <c r="F548" s="456"/>
      <c r="G548" s="456"/>
      <c r="H548" s="456"/>
    </row>
    <row r="549" spans="1:8">
      <c r="A549" s="456">
        <v>1545</v>
      </c>
      <c r="B549" s="469" t="s">
        <v>232</v>
      </c>
      <c r="C549" s="458"/>
      <c r="D549" s="456">
        <f>IF(Table10[[#This Row],[Current Age]]&gt;19,"Men's",IF(E549&gt;15,"U19",IF(E549&gt;13,"U15",IF(E549&gt;11,"U13",IF(E549&gt;0,"U11",0)))))</f>
        <v>0</v>
      </c>
      <c r="E549" s="456">
        <f>IFERROR(IF(Table10[[#This Row],[Year]]&gt;0,$E$1-Table10[[#This Row],[Year]],0),"")</f>
        <v>0</v>
      </c>
      <c r="F549" s="456"/>
      <c r="G549" s="456"/>
      <c r="H549" s="456"/>
    </row>
    <row r="550" spans="1:8">
      <c r="A550" s="471">
        <v>1546</v>
      </c>
      <c r="B550" s="493" t="s">
        <v>233</v>
      </c>
      <c r="C550" s="472"/>
      <c r="D550" s="456">
        <f>IF(Table10[[#This Row],[Current Age]]&gt;19,"Men's",IF(E550&gt;15,"U19",IF(E550&gt;13,"U15",IF(E550&gt;11,"U13",IF(E550&gt;0,"U11",0)))))</f>
        <v>0</v>
      </c>
      <c r="E550" s="456">
        <f>IFERROR(IF(Table10[[#This Row],[Year]]&gt;0,$E$1-Table10[[#This Row],[Year]],0),"")</f>
        <v>0</v>
      </c>
      <c r="F550" s="456"/>
      <c r="G550" s="456"/>
      <c r="H550" s="456"/>
    </row>
    <row r="551" spans="1:8">
      <c r="A551" s="456">
        <v>1547</v>
      </c>
      <c r="B551" s="469" t="s">
        <v>238</v>
      </c>
      <c r="C551" s="458"/>
      <c r="D551" s="456">
        <f>IF(Table10[[#This Row],[Current Age]]&gt;19,"Men's",IF(E551&gt;15,"U19",IF(E551&gt;13,"U15",IF(E551&gt;11,"U13",IF(E551&gt;0,"U11",0)))))</f>
        <v>0</v>
      </c>
      <c r="E551" s="456">
        <f>IFERROR(IF(Table10[[#This Row],[Year]]&gt;0,$E$1-Table10[[#This Row],[Year]],0),"")</f>
        <v>0</v>
      </c>
      <c r="F551" s="456"/>
      <c r="G551" s="456"/>
      <c r="H551" s="456"/>
    </row>
    <row r="552" spans="1:8">
      <c r="A552" s="471">
        <v>1548</v>
      </c>
      <c r="B552" s="493" t="s">
        <v>1695</v>
      </c>
      <c r="C552" s="472" t="s">
        <v>361</v>
      </c>
      <c r="D552" s="456" t="str">
        <f>IF(Table10[[#This Row],[Current Age]]&gt;19,"Men's",IF(E552&gt;15,"U19",IF(E552&gt;13,"U15",IF(E552&gt;11,"U13",IF(E552&gt;0,"U11",0)))))</f>
        <v>Men's</v>
      </c>
      <c r="E552" s="456">
        <f>IFERROR(IF(Table10[[#This Row],[Year]]&gt;0,$E$1-Table10[[#This Row],[Year]],0),"")</f>
        <v>61</v>
      </c>
      <c r="F552" s="456">
        <v>1964</v>
      </c>
      <c r="G552" s="456">
        <v>11</v>
      </c>
      <c r="H552" s="456">
        <v>9</v>
      </c>
    </row>
    <row r="553" spans="1:8">
      <c r="A553" s="456">
        <v>1549</v>
      </c>
      <c r="B553" s="469" t="s">
        <v>1696</v>
      </c>
      <c r="C553" s="458" t="s">
        <v>361</v>
      </c>
      <c r="D553" s="456">
        <f>IF(Table10[[#This Row],[Current Age]]&gt;19,"Men's",IF(E553&gt;15,"U19",IF(E553&gt;13,"U15",IF(E553&gt;11,"U13",IF(E553&gt;0,"U11",0)))))</f>
        <v>0</v>
      </c>
      <c r="E553" s="456">
        <f>IFERROR(IF(Table10[[#This Row],[Year]]&gt;0,$E$1-Table10[[#This Row],[Year]],0),"")</f>
        <v>0</v>
      </c>
      <c r="F553" s="456"/>
      <c r="G553" s="456"/>
      <c r="H553" s="456"/>
    </row>
    <row r="554" spans="1:8">
      <c r="A554" s="471">
        <v>1550</v>
      </c>
      <c r="B554" s="493" t="s">
        <v>1697</v>
      </c>
      <c r="C554" s="472" t="s">
        <v>361</v>
      </c>
      <c r="D554" s="456" t="str">
        <f>IF(Table10[[#This Row],[Current Age]]&gt;19,"Men's",IF(E554&gt;15,"U19",IF(E554&gt;13,"U15",IF(E554&gt;11,"U13",IF(E554&gt;0,"U11",0)))))</f>
        <v>Men's</v>
      </c>
      <c r="E554" s="456">
        <f>IFERROR(IF(Table10[[#This Row],[Year]]&gt;0,$E$1-Table10[[#This Row],[Year]],0),"")</f>
        <v>40</v>
      </c>
      <c r="F554" s="456">
        <v>1985</v>
      </c>
      <c r="G554" s="456"/>
      <c r="H554" s="456"/>
    </row>
    <row r="555" spans="1:8">
      <c r="A555" s="456">
        <v>1551</v>
      </c>
      <c r="B555" s="469" t="s">
        <v>1698</v>
      </c>
      <c r="C555" s="458" t="s">
        <v>361</v>
      </c>
      <c r="D555" s="456" t="str">
        <f>IF(Table10[[#This Row],[Current Age]]&gt;19,"Men's",IF(E555&gt;15,"U19",IF(E555&gt;13,"U15",IF(E555&gt;11,"U13",IF(E555&gt;0,"U11",0)))))</f>
        <v>Men's</v>
      </c>
      <c r="E555" s="456">
        <f>IFERROR(IF(Table10[[#This Row],[Year]]&gt;0,$E$1-Table10[[#This Row],[Year]],0),"")</f>
        <v>35</v>
      </c>
      <c r="F555" s="456">
        <v>1990</v>
      </c>
      <c r="G555" s="456"/>
      <c r="H555" s="456"/>
    </row>
    <row r="556" spans="1:8">
      <c r="A556" s="471">
        <v>1552</v>
      </c>
      <c r="B556" s="493" t="s">
        <v>1699</v>
      </c>
      <c r="C556" s="472" t="s">
        <v>361</v>
      </c>
      <c r="D556" s="456" t="str">
        <f>IF(Table10[[#This Row],[Current Age]]&gt;19,"Men's",IF(E556&gt;15,"U19",IF(E556&gt;13,"U15",IF(E556&gt;11,"U13",IF(E556&gt;0,"U11",0)))))</f>
        <v>Men's</v>
      </c>
      <c r="E556" s="456">
        <f>IFERROR(IF(Table10[[#This Row],[Year]]&gt;0,$E$1-Table10[[#This Row],[Year]],0),"")</f>
        <v>22</v>
      </c>
      <c r="F556" s="456">
        <v>2003</v>
      </c>
      <c r="G556" s="456">
        <v>4</v>
      </c>
      <c r="H556" s="456">
        <v>30</v>
      </c>
    </row>
    <row r="557" spans="1:8">
      <c r="A557" s="456">
        <v>1553</v>
      </c>
      <c r="B557" s="469" t="s">
        <v>1700</v>
      </c>
      <c r="C557" s="458" t="s">
        <v>361</v>
      </c>
      <c r="D557" s="456" t="str">
        <f>IF(Table10[[#This Row],[Current Age]]&gt;19,"Men's",IF(E557&gt;15,"U19",IF(E557&gt;13,"U15",IF(E557&gt;11,"U13",IF(E557&gt;0,"U11",0)))))</f>
        <v>Men's</v>
      </c>
      <c r="E557" s="456">
        <f>IFERROR(IF(Table10[[#This Row],[Year]]&gt;0,$E$1-Table10[[#This Row],[Year]],0),"")</f>
        <v>43</v>
      </c>
      <c r="F557" s="456">
        <v>1982</v>
      </c>
      <c r="G557" s="456">
        <v>11</v>
      </c>
      <c r="H557" s="456">
        <v>30</v>
      </c>
    </row>
    <row r="558" spans="1:8">
      <c r="A558" s="471">
        <v>1554</v>
      </c>
      <c r="B558" s="493" t="s">
        <v>1701</v>
      </c>
      <c r="C558" s="472" t="s">
        <v>361</v>
      </c>
      <c r="D558" s="456" t="str">
        <f>IF(Table10[[#This Row],[Current Age]]&gt;19,"Men's",IF(E558&gt;15,"U19",IF(E558&gt;13,"U15",IF(E558&gt;11,"U13",IF(E558&gt;0,"U11",0)))))</f>
        <v>Men's</v>
      </c>
      <c r="E558" s="456">
        <f>IFERROR(IF(Table10[[#This Row],[Year]]&gt;0,$E$1-Table10[[#This Row],[Year]],0),"")</f>
        <v>29</v>
      </c>
      <c r="F558" s="456">
        <v>1996</v>
      </c>
      <c r="G558" s="456"/>
      <c r="H558" s="456"/>
    </row>
    <row r="559" spans="1:8">
      <c r="A559" s="456">
        <v>1555</v>
      </c>
      <c r="B559" s="469" t="s">
        <v>1702</v>
      </c>
      <c r="C559" s="458" t="s">
        <v>361</v>
      </c>
      <c r="D559" s="456" t="str">
        <f>IF(Table10[[#This Row],[Current Age]]&gt;19,"Men's",IF(E559&gt;15,"U19",IF(E559&gt;13,"U15",IF(E559&gt;11,"U13",IF(E559&gt;0,"U11",0)))))</f>
        <v>Men's</v>
      </c>
      <c r="E559" s="456">
        <f>IFERROR(IF(Table10[[#This Row],[Year]]&gt;0,$E$1-Table10[[#This Row],[Year]],0),"")</f>
        <v>41</v>
      </c>
      <c r="F559" s="456">
        <v>1984</v>
      </c>
      <c r="G559" s="456">
        <v>2</v>
      </c>
      <c r="H559" s="456">
        <v>21</v>
      </c>
    </row>
    <row r="560" spans="1:8">
      <c r="A560" s="471">
        <v>1556</v>
      </c>
      <c r="B560" s="493" t="s">
        <v>1703</v>
      </c>
      <c r="C560" s="472" t="s">
        <v>361</v>
      </c>
      <c r="D560" s="456">
        <f>IF(Table10[[#This Row],[Current Age]]&gt;19,"Men's",IF(E560&gt;15,"U19",IF(E560&gt;13,"U15",IF(E560&gt;11,"U13",IF(E560&gt;0,"U11",0)))))</f>
        <v>0</v>
      </c>
      <c r="E560" s="456">
        <f>IFERROR(IF(Table10[[#This Row],[Year]]&gt;0,$E$1-Table10[[#This Row],[Year]],0),"")</f>
        <v>0</v>
      </c>
      <c r="F560" s="456"/>
      <c r="G560" s="456"/>
      <c r="H560" s="456"/>
    </row>
    <row r="561" spans="1:8">
      <c r="A561" s="456">
        <v>1557</v>
      </c>
      <c r="B561" s="469" t="s">
        <v>1704</v>
      </c>
      <c r="C561" s="458" t="s">
        <v>361</v>
      </c>
      <c r="D561" s="456" t="str">
        <f>IF(Table10[[#This Row],[Current Age]]&gt;19,"Men's",IF(E561&gt;15,"U19",IF(E561&gt;13,"U15",IF(E561&gt;11,"U13",IF(E561&gt;0,"U11",0)))))</f>
        <v>Men's</v>
      </c>
      <c r="E561" s="456">
        <f>IFERROR(IF(Table10[[#This Row],[Year]]&gt;0,$E$1-Table10[[#This Row],[Year]],0),"")</f>
        <v>33</v>
      </c>
      <c r="F561" s="456">
        <v>1992</v>
      </c>
      <c r="G561" s="456"/>
      <c r="H561" s="456"/>
    </row>
    <row r="562" spans="1:8">
      <c r="A562" s="471">
        <v>1558</v>
      </c>
      <c r="B562" s="493" t="s">
        <v>1705</v>
      </c>
      <c r="C562" s="472" t="s">
        <v>361</v>
      </c>
      <c r="D562" s="456">
        <f>IF(Table10[[#This Row],[Current Age]]&gt;19,"Men's",IF(E562&gt;15,"U19",IF(E562&gt;13,"U15",IF(E562&gt;11,"U13",IF(E562&gt;0,"U11",0)))))</f>
        <v>0</v>
      </c>
      <c r="E562" s="456">
        <f>IFERROR(IF(Table10[[#This Row],[Year]]&gt;0,$E$1-Table10[[#This Row],[Year]],0),"")</f>
        <v>0</v>
      </c>
      <c r="F562" s="456"/>
      <c r="G562" s="456"/>
      <c r="H562" s="456"/>
    </row>
    <row r="563" spans="1:8">
      <c r="A563" s="456">
        <v>1559</v>
      </c>
      <c r="B563" s="469" t="s">
        <v>1706</v>
      </c>
      <c r="C563" s="458" t="s">
        <v>1908</v>
      </c>
      <c r="D563" s="456" t="str">
        <f>IF(Table10[[#This Row],[Current Age]]&gt;19,"Men's",IF(E563&gt;15,"U19",IF(E563&gt;13,"U15",IF(E563&gt;11,"U13",IF(E563&gt;0,"U11",0)))))</f>
        <v>Men's</v>
      </c>
      <c r="E563" s="456">
        <f>IFERROR(IF(Table10[[#This Row],[Year]]&gt;0,$E$1-Table10[[#This Row],[Year]],0),"")</f>
        <v>50</v>
      </c>
      <c r="F563" s="456">
        <v>1975</v>
      </c>
      <c r="G563" s="456">
        <v>12</v>
      </c>
      <c r="H563" s="456">
        <v>11</v>
      </c>
    </row>
    <row r="564" spans="1:8">
      <c r="A564" s="471">
        <v>1560</v>
      </c>
      <c r="B564" s="493" t="s">
        <v>3901</v>
      </c>
      <c r="C564" s="472" t="s">
        <v>361</v>
      </c>
      <c r="D564" s="456" t="str">
        <f>IF(Table10[[#This Row],[Current Age]]&gt;19,"Men's",IF(E564&gt;15,"U19",IF(E564&gt;13,"U15",IF(E564&gt;11,"U13",IF(E564&gt;0,"U11",0)))))</f>
        <v>Men's</v>
      </c>
      <c r="E564" s="456">
        <f>IFERROR(IF(Table10[[#This Row],[Year]]&gt;0,$E$1-Table10[[#This Row],[Year]],0),"")</f>
        <v>66</v>
      </c>
      <c r="F564" s="456">
        <v>1959</v>
      </c>
      <c r="G564" s="456">
        <v>4</v>
      </c>
      <c r="H564" s="456">
        <v>10</v>
      </c>
    </row>
    <row r="565" spans="1:8">
      <c r="A565" s="456">
        <v>1561</v>
      </c>
      <c r="B565" s="469" t="s">
        <v>1707</v>
      </c>
      <c r="C565" s="458" t="s">
        <v>361</v>
      </c>
      <c r="D565" s="456" t="str">
        <f>IF(Table10[[#This Row],[Current Age]]&gt;19,"Men's",IF(E565&gt;15,"U19",IF(E565&gt;13,"U15",IF(E565&gt;11,"U13",IF(E565&gt;0,"U11",0)))))</f>
        <v>Men's</v>
      </c>
      <c r="E565" s="456">
        <f>IFERROR(IF(Table10[[#This Row],[Year]]&gt;0,$E$1-Table10[[#This Row],[Year]],0),"")</f>
        <v>39</v>
      </c>
      <c r="F565" s="456">
        <v>1986</v>
      </c>
      <c r="G565" s="456"/>
      <c r="H565" s="456"/>
    </row>
    <row r="566" spans="1:8">
      <c r="A566" s="471">
        <v>1562</v>
      </c>
      <c r="B566" s="493" t="s">
        <v>402</v>
      </c>
      <c r="C566" s="472" t="s">
        <v>361</v>
      </c>
      <c r="D566" s="456">
        <f>IF(Table10[[#This Row],[Current Age]]&gt;19,"Men's",IF(E566&gt;15,"U19",IF(E566&gt;13,"U15",IF(E566&gt;11,"U13",IF(E566&gt;0,"U11",0)))))</f>
        <v>0</v>
      </c>
      <c r="E566" s="456">
        <f>IFERROR(IF(Table10[[#This Row],[Year]]&gt;0,$E$1-Table10[[#This Row],[Year]],0),"")</f>
        <v>0</v>
      </c>
      <c r="F566" s="456"/>
      <c r="G566" s="456"/>
      <c r="H566" s="456"/>
    </row>
    <row r="567" spans="1:8">
      <c r="A567" s="456">
        <v>1563</v>
      </c>
      <c r="B567" s="469" t="s">
        <v>1708</v>
      </c>
      <c r="C567" s="458" t="s">
        <v>361</v>
      </c>
      <c r="D567" s="456">
        <f>IF(Table10[[#This Row],[Current Age]]&gt;19,"Men's",IF(E567&gt;15,"U19",IF(E567&gt;13,"U15",IF(E567&gt;11,"U13",IF(E567&gt;0,"U11",0)))))</f>
        <v>0</v>
      </c>
      <c r="E567" s="456">
        <f>IFERROR(IF(Table10[[#This Row],[Year]]&gt;0,$E$1-Table10[[#This Row],[Year]],0),"")</f>
        <v>0</v>
      </c>
      <c r="F567" s="456"/>
      <c r="G567" s="456"/>
      <c r="H567" s="456"/>
    </row>
    <row r="568" spans="1:8">
      <c r="A568" s="471">
        <v>1564</v>
      </c>
      <c r="B568" s="493" t="s">
        <v>1709</v>
      </c>
      <c r="C568" s="472" t="s">
        <v>361</v>
      </c>
      <c r="D568" s="456" t="str">
        <f>IF(Table10[[#This Row],[Current Age]]&gt;19,"Men's",IF(E568&gt;15,"U19",IF(E568&gt;13,"U15",IF(E568&gt;11,"U13",IF(E568&gt;0,"U11",0)))))</f>
        <v>Men's</v>
      </c>
      <c r="E568" s="456">
        <f>IFERROR(IF(Table10[[#This Row],[Year]]&gt;0,$E$1-Table10[[#This Row],[Year]],0),"")</f>
        <v>58</v>
      </c>
      <c r="F568" s="456">
        <v>1967</v>
      </c>
      <c r="G568" s="456">
        <v>6</v>
      </c>
      <c r="H568" s="456">
        <v>17</v>
      </c>
    </row>
    <row r="569" spans="1:8">
      <c r="A569" s="456">
        <v>1565</v>
      </c>
      <c r="B569" s="469" t="s">
        <v>1710</v>
      </c>
      <c r="C569" s="458" t="s">
        <v>361</v>
      </c>
      <c r="D569" s="456" t="str">
        <f>IF(Table10[[#This Row],[Current Age]]&gt;19,"Men's",IF(E569&gt;15,"U19",IF(E569&gt;13,"U15",IF(E569&gt;11,"U13",IF(E569&gt;0,"U11",0)))))</f>
        <v>Men's</v>
      </c>
      <c r="E569" s="456">
        <f>IFERROR(IF(Table10[[#This Row],[Year]]&gt;0,$E$1-Table10[[#This Row],[Year]],0),"")</f>
        <v>43</v>
      </c>
      <c r="F569" s="456">
        <v>1982</v>
      </c>
      <c r="G569" s="456"/>
      <c r="H569" s="456"/>
    </row>
    <row r="570" spans="1:8">
      <c r="A570" s="471">
        <v>1566</v>
      </c>
      <c r="B570" s="493" t="s">
        <v>1711</v>
      </c>
      <c r="C570" s="472" t="s">
        <v>361</v>
      </c>
      <c r="D570" s="456" t="str">
        <f>IF(Table10[[#This Row],[Current Age]]&gt;19,"Men's",IF(E570&gt;15,"U19",IF(E570&gt;13,"U15",IF(E570&gt;11,"U13",IF(E570&gt;0,"U11",0)))))</f>
        <v>Men's</v>
      </c>
      <c r="E570" s="456">
        <f>IFERROR(IF(Table10[[#This Row],[Year]]&gt;0,$E$1-Table10[[#This Row],[Year]],0),"")</f>
        <v>52</v>
      </c>
      <c r="F570" s="456">
        <v>1973</v>
      </c>
      <c r="G570" s="456">
        <v>9</v>
      </c>
      <c r="H570" s="456">
        <v>22</v>
      </c>
    </row>
    <row r="571" spans="1:8">
      <c r="A571" s="456">
        <v>1567</v>
      </c>
      <c r="B571" s="469" t="s">
        <v>1712</v>
      </c>
      <c r="C571" s="458" t="s">
        <v>1908</v>
      </c>
      <c r="D571" s="456" t="str">
        <f>IF(Table10[[#This Row],[Current Age]]&gt;19,"Men's",IF(E571&gt;15,"U19",IF(E571&gt;13,"U15",IF(E571&gt;11,"U13",IF(E571&gt;0,"U11",0)))))</f>
        <v>Men's</v>
      </c>
      <c r="E571" s="456">
        <f>IFERROR(IF(Table10[[#This Row],[Year]]&gt;0,$E$1-Table10[[#This Row],[Year]],0),"")</f>
        <v>50</v>
      </c>
      <c r="F571" s="456">
        <v>1975</v>
      </c>
      <c r="G571" s="456">
        <v>12</v>
      </c>
      <c r="H571" s="456">
        <v>13</v>
      </c>
    </row>
    <row r="572" spans="1:8">
      <c r="A572" s="471">
        <v>1568</v>
      </c>
      <c r="B572" s="493" t="s">
        <v>1713</v>
      </c>
      <c r="C572" s="472" t="s">
        <v>1908</v>
      </c>
      <c r="D572" s="456" t="str">
        <f>IF(Table10[[#This Row],[Current Age]]&gt;19,"Men's",IF(E572&gt;15,"U19",IF(E572&gt;13,"U15",IF(E572&gt;11,"U13",IF(E572&gt;0,"U11",0)))))</f>
        <v>Men's</v>
      </c>
      <c r="E572" s="456">
        <f>IFERROR(IF(Table10[[#This Row],[Year]]&gt;0,$E$1-Table10[[#This Row],[Year]],0),"")</f>
        <v>48</v>
      </c>
      <c r="F572" s="456">
        <v>1977</v>
      </c>
      <c r="G572" s="456">
        <v>10</v>
      </c>
      <c r="H572" s="456">
        <v>11</v>
      </c>
    </row>
    <row r="573" spans="1:8">
      <c r="A573" s="456">
        <v>1569</v>
      </c>
      <c r="B573" s="469" t="s">
        <v>1714</v>
      </c>
      <c r="C573" s="458" t="s">
        <v>361</v>
      </c>
      <c r="D573" s="456" t="str">
        <f>IF(Table10[[#This Row],[Current Age]]&gt;19,"Men's",IF(E573&gt;15,"U19",IF(E573&gt;13,"U15",IF(E573&gt;11,"U13",IF(E573&gt;0,"U11",0)))))</f>
        <v>Men's</v>
      </c>
      <c r="E573" s="456">
        <f>IFERROR(IF(Table10[[#This Row],[Year]]&gt;0,$E$1-Table10[[#This Row],[Year]],0),"")</f>
        <v>45</v>
      </c>
      <c r="F573" s="456">
        <v>1980</v>
      </c>
      <c r="G573" s="456">
        <v>8</v>
      </c>
      <c r="H573" s="456">
        <v>15</v>
      </c>
    </row>
    <row r="574" spans="1:8">
      <c r="A574" s="471">
        <v>1570</v>
      </c>
      <c r="B574" s="493" t="s">
        <v>1715</v>
      </c>
      <c r="C574" s="472" t="s">
        <v>361</v>
      </c>
      <c r="D574" s="456" t="str">
        <f>IF(Table10[[#This Row],[Current Age]]&gt;19,"Men's",IF(E574&gt;15,"U19",IF(E574&gt;13,"U15",IF(E574&gt;11,"U13",IF(E574&gt;0,"U11",0)))))</f>
        <v>Men's</v>
      </c>
      <c r="E574" s="456">
        <f>IFERROR(IF(Table10[[#This Row],[Year]]&gt;0,$E$1-Table10[[#This Row],[Year]],0),"")</f>
        <v>48</v>
      </c>
      <c r="F574" s="456">
        <v>1977</v>
      </c>
      <c r="G574" s="456">
        <v>2</v>
      </c>
      <c r="H574" s="456">
        <v>6</v>
      </c>
    </row>
    <row r="575" spans="1:8">
      <c r="A575" s="456">
        <v>1571</v>
      </c>
      <c r="B575" s="469" t="s">
        <v>1716</v>
      </c>
      <c r="C575" s="458" t="s">
        <v>361</v>
      </c>
      <c r="D575" s="456" t="str">
        <f>IF(Table10[[#This Row],[Current Age]]&gt;19,"Men's",IF(E575&gt;15,"U19",IF(E575&gt;13,"U15",IF(E575&gt;11,"U13",IF(E575&gt;0,"U11",0)))))</f>
        <v>Men's</v>
      </c>
      <c r="E575" s="456">
        <f>IFERROR(IF(Table10[[#This Row],[Year]]&gt;0,$E$1-Table10[[#This Row],[Year]],0),"")</f>
        <v>53</v>
      </c>
      <c r="F575" s="456">
        <v>1972</v>
      </c>
      <c r="G575" s="456">
        <v>4</v>
      </c>
      <c r="H575" s="456">
        <v>12</v>
      </c>
    </row>
    <row r="576" spans="1:8">
      <c r="A576" s="471">
        <v>1572</v>
      </c>
      <c r="B576" s="493" t="s">
        <v>1717</v>
      </c>
      <c r="C576" s="472" t="s">
        <v>361</v>
      </c>
      <c r="D576" s="456" t="str">
        <f>IF(Table10[[#This Row],[Current Age]]&gt;19,"Men's",IF(E576&gt;15,"U19",IF(E576&gt;13,"U15",IF(E576&gt;11,"U13",IF(E576&gt;0,"U11",0)))))</f>
        <v>Men's</v>
      </c>
      <c r="E576" s="456">
        <f>IFERROR(IF(Table10[[#This Row],[Year]]&gt;0,$E$1-Table10[[#This Row],[Year]],0),"")</f>
        <v>54</v>
      </c>
      <c r="F576" s="456">
        <v>1971</v>
      </c>
      <c r="G576" s="456">
        <v>8</v>
      </c>
      <c r="H576" s="456">
        <v>9</v>
      </c>
    </row>
    <row r="577" spans="1:8">
      <c r="A577" s="456">
        <v>1573</v>
      </c>
      <c r="B577" s="469" t="s">
        <v>1718</v>
      </c>
      <c r="C577" s="458" t="s">
        <v>361</v>
      </c>
      <c r="D577" s="456">
        <f>IF(Table10[[#This Row],[Current Age]]&gt;19,"Men's",IF(E577&gt;15,"U19",IF(E577&gt;13,"U15",IF(E577&gt;11,"U13",IF(E577&gt;0,"U11",0)))))</f>
        <v>0</v>
      </c>
      <c r="E577" s="456">
        <f>IFERROR(IF(Table10[[#This Row],[Year]]&gt;0,$E$1-Table10[[#This Row],[Year]],0),"")</f>
        <v>0</v>
      </c>
      <c r="F577" s="456"/>
      <c r="G577" s="456"/>
      <c r="H577" s="456"/>
    </row>
    <row r="578" spans="1:8">
      <c r="A578" s="471">
        <v>1574</v>
      </c>
      <c r="B578" s="493" t="s">
        <v>1719</v>
      </c>
      <c r="C578" s="472" t="s">
        <v>361</v>
      </c>
      <c r="D578" s="456">
        <f>IF(Table10[[#This Row],[Current Age]]&gt;19,"Men's",IF(E578&gt;15,"U19",IF(E578&gt;13,"U15",IF(E578&gt;11,"U13",IF(E578&gt;0,"U11",0)))))</f>
        <v>0</v>
      </c>
      <c r="E578" s="456">
        <f>IFERROR(IF(Table10[[#This Row],[Year]]&gt;0,$E$1-Table10[[#This Row],[Year]],0),"")</f>
        <v>0</v>
      </c>
      <c r="F578" s="456"/>
      <c r="G578" s="456"/>
      <c r="H578" s="456"/>
    </row>
    <row r="579" spans="1:8">
      <c r="A579" s="456">
        <v>1575</v>
      </c>
      <c r="B579" s="469" t="s">
        <v>1720</v>
      </c>
      <c r="C579" s="458" t="s">
        <v>361</v>
      </c>
      <c r="D579" s="456" t="str">
        <f>IF(Table10[[#This Row],[Current Age]]&gt;19,"Men's",IF(E579&gt;15,"U19",IF(E579&gt;13,"U15",IF(E579&gt;11,"U13",IF(E579&gt;0,"U11",0)))))</f>
        <v>Men's</v>
      </c>
      <c r="E579" s="456">
        <f>IFERROR(IF(Table10[[#This Row],[Year]]&gt;0,$E$1-Table10[[#This Row],[Year]],0),"")</f>
        <v>41</v>
      </c>
      <c r="F579" s="456">
        <v>1984</v>
      </c>
      <c r="G579" s="456">
        <v>12</v>
      </c>
      <c r="H579" s="456">
        <v>25</v>
      </c>
    </row>
    <row r="580" spans="1:8">
      <c r="A580" s="471">
        <v>1576</v>
      </c>
      <c r="B580" s="493" t="s">
        <v>1721</v>
      </c>
      <c r="C580" s="472" t="s">
        <v>361</v>
      </c>
      <c r="D580" s="456">
        <f>IF(Table10[[#This Row],[Current Age]]&gt;19,"Men's",IF(E580&gt;15,"U19",IF(E580&gt;13,"U15",IF(E580&gt;11,"U13",IF(E580&gt;0,"U11",0)))))</f>
        <v>0</v>
      </c>
      <c r="E580" s="456">
        <f>IFERROR(IF(Table10[[#This Row],[Year]]&gt;0,$E$1-Table10[[#This Row],[Year]],0),"")</f>
        <v>0</v>
      </c>
      <c r="F580" s="456"/>
      <c r="G580" s="456"/>
      <c r="H580" s="456"/>
    </row>
    <row r="581" spans="1:8">
      <c r="A581" s="456">
        <v>1577</v>
      </c>
      <c r="B581" s="469" t="s">
        <v>1722</v>
      </c>
      <c r="C581" s="458" t="s">
        <v>246</v>
      </c>
      <c r="D581" s="456" t="str">
        <f>IF(Table10[[#This Row],[Current Age]]&gt;19,"Men's",IF(E581&gt;15,"U19",IF(E581&gt;13,"U15",IF(E581&gt;11,"U13",IF(E581&gt;0,"U11",0)))))</f>
        <v>Men's</v>
      </c>
      <c r="E581" s="456">
        <f>IFERROR(IF(Table10[[#This Row],[Year]]&gt;0,$E$1-Table10[[#This Row],[Year]],0),"")</f>
        <v>48</v>
      </c>
      <c r="F581" s="456">
        <v>1977</v>
      </c>
      <c r="G581" s="456">
        <v>10</v>
      </c>
      <c r="H581" s="456">
        <v>11</v>
      </c>
    </row>
    <row r="582" spans="1:8">
      <c r="A582" s="471">
        <v>1578</v>
      </c>
      <c r="B582" s="493" t="s">
        <v>3294</v>
      </c>
      <c r="C582" s="472" t="s">
        <v>244</v>
      </c>
      <c r="D582" s="456">
        <f>IF(Table10[[#This Row],[Current Age]]&gt;19,"Men's",IF(E582&gt;15,"U19",IF(E582&gt;13,"U15",IF(E582&gt;11,"U13",IF(E582&gt;0,"U11",0)))))</f>
        <v>0</v>
      </c>
      <c r="E582" s="456">
        <f>IFERROR(IF(Table10[[#This Row],[Year]]&gt;0,$E$1-Table10[[#This Row],[Year]],0),"")</f>
        <v>0</v>
      </c>
      <c r="F582" s="456"/>
      <c r="G582" s="456"/>
      <c r="H582" s="456"/>
    </row>
    <row r="583" spans="1:8">
      <c r="A583" s="456">
        <v>1579</v>
      </c>
      <c r="B583" s="469" t="s">
        <v>1723</v>
      </c>
      <c r="C583" s="458" t="s">
        <v>361</v>
      </c>
      <c r="D583" s="456">
        <f>IF(Table10[[#This Row],[Current Age]]&gt;19,"Men's",IF(E583&gt;15,"U19",IF(E583&gt;13,"U15",IF(E583&gt;11,"U13",IF(E583&gt;0,"U11",0)))))</f>
        <v>0</v>
      </c>
      <c r="E583" s="456">
        <f>IFERROR(IF(Table10[[#This Row],[Year]]&gt;0,$E$1-Table10[[#This Row],[Year]],0),"")</f>
        <v>0</v>
      </c>
      <c r="F583" s="456"/>
      <c r="G583" s="456"/>
      <c r="H583" s="456"/>
    </row>
    <row r="584" spans="1:8">
      <c r="A584" s="471">
        <v>1580</v>
      </c>
      <c r="B584" s="493" t="s">
        <v>1724</v>
      </c>
      <c r="C584" s="472" t="s">
        <v>361</v>
      </c>
      <c r="D584" s="456">
        <f>IF(Table10[[#This Row],[Current Age]]&gt;19,"Men's",IF(E584&gt;15,"U19",IF(E584&gt;13,"U15",IF(E584&gt;11,"U13",IF(E584&gt;0,"U11",0)))))</f>
        <v>0</v>
      </c>
      <c r="E584" s="456">
        <f>IFERROR(IF(Table10[[#This Row],[Year]]&gt;0,$E$1-Table10[[#This Row],[Year]],0),"")</f>
        <v>0</v>
      </c>
      <c r="F584" s="456"/>
      <c r="G584" s="456"/>
      <c r="H584" s="456"/>
    </row>
    <row r="585" spans="1:8">
      <c r="A585" s="456">
        <v>1581</v>
      </c>
      <c r="B585" s="469" t="s">
        <v>1725</v>
      </c>
      <c r="C585" s="458" t="s">
        <v>361</v>
      </c>
      <c r="D585" s="456">
        <f>IF(Table10[[#This Row],[Current Age]]&gt;19,"Men's",IF(E585&gt;15,"U19",IF(E585&gt;13,"U15",IF(E585&gt;11,"U13",IF(E585&gt;0,"U11",0)))))</f>
        <v>0</v>
      </c>
      <c r="E585" s="456">
        <f>IFERROR(IF(Table10[[#This Row],[Year]]&gt;0,$E$1-Table10[[#This Row],[Year]],0),"")</f>
        <v>0</v>
      </c>
      <c r="F585" s="456"/>
      <c r="G585" s="456"/>
      <c r="H585" s="456"/>
    </row>
    <row r="586" spans="1:8">
      <c r="A586" s="471">
        <v>1582</v>
      </c>
      <c r="B586" s="493" t="s">
        <v>1726</v>
      </c>
      <c r="C586" s="472" t="s">
        <v>361</v>
      </c>
      <c r="D586" s="456">
        <f>IF(Table10[[#This Row],[Current Age]]&gt;19,"Men's",IF(E586&gt;15,"U19",IF(E586&gt;13,"U15",IF(E586&gt;11,"U13",IF(E586&gt;0,"U11",0)))))</f>
        <v>0</v>
      </c>
      <c r="E586" s="456">
        <f>IFERROR(IF(Table10[[#This Row],[Year]]&gt;0,$E$1-Table10[[#This Row],[Year]],0),"")</f>
        <v>0</v>
      </c>
      <c r="F586" s="456"/>
      <c r="G586" s="456"/>
      <c r="H586" s="456"/>
    </row>
    <row r="587" spans="1:8">
      <c r="A587" s="456">
        <v>1583</v>
      </c>
      <c r="B587" s="469" t="s">
        <v>1727</v>
      </c>
      <c r="C587" s="458" t="s">
        <v>361</v>
      </c>
      <c r="D587" s="456">
        <f>IF(Table10[[#This Row],[Current Age]]&gt;19,"Men's",IF(E587&gt;15,"U19",IF(E587&gt;13,"U15",IF(E587&gt;11,"U13",IF(E587&gt;0,"U11",0)))))</f>
        <v>0</v>
      </c>
      <c r="E587" s="456">
        <f>IFERROR(IF(Table10[[#This Row],[Year]]&gt;0,$E$1-Table10[[#This Row],[Year]],0),"")</f>
        <v>0</v>
      </c>
      <c r="F587" s="456"/>
      <c r="G587" s="456"/>
      <c r="H587" s="456"/>
    </row>
    <row r="588" spans="1:8">
      <c r="A588" s="471">
        <v>1584</v>
      </c>
      <c r="B588" s="493" t="s">
        <v>1728</v>
      </c>
      <c r="C588" s="472" t="s">
        <v>361</v>
      </c>
      <c r="D588" s="456">
        <f>IF(Table10[[#This Row],[Current Age]]&gt;19,"Men's",IF(E588&gt;15,"U19",IF(E588&gt;13,"U15",IF(E588&gt;11,"U13",IF(E588&gt;0,"U11",0)))))</f>
        <v>0</v>
      </c>
      <c r="E588" s="456">
        <f>IFERROR(IF(Table10[[#This Row],[Year]]&gt;0,$E$1-Table10[[#This Row],[Year]],0),"")</f>
        <v>0</v>
      </c>
      <c r="F588" s="456"/>
      <c r="G588" s="456"/>
      <c r="H588" s="456"/>
    </row>
    <row r="589" spans="1:8">
      <c r="A589" s="456">
        <v>1585</v>
      </c>
      <c r="B589" s="469" t="s">
        <v>1729</v>
      </c>
      <c r="C589" s="458" t="s">
        <v>361</v>
      </c>
      <c r="D589" s="456" t="str">
        <f>IF(Table10[[#This Row],[Current Age]]&gt;19,"Men's",IF(E589&gt;15,"U19",IF(E589&gt;13,"U15",IF(E589&gt;11,"U13",IF(E589&gt;0,"U11",0)))))</f>
        <v>Men's</v>
      </c>
      <c r="E589" s="456">
        <f>IFERROR(IF(Table10[[#This Row],[Year]]&gt;0,$E$1-Table10[[#This Row],[Year]],0),"")</f>
        <v>57</v>
      </c>
      <c r="F589" s="456">
        <v>1968</v>
      </c>
      <c r="G589" s="456">
        <v>10</v>
      </c>
      <c r="H589" s="456">
        <v>17</v>
      </c>
    </row>
    <row r="590" spans="1:8">
      <c r="A590" s="471">
        <v>1586</v>
      </c>
      <c r="B590" s="493" t="s">
        <v>1730</v>
      </c>
      <c r="C590" s="472" t="s">
        <v>361</v>
      </c>
      <c r="D590" s="456">
        <f>IF(Table10[[#This Row],[Current Age]]&gt;19,"Men's",IF(E590&gt;15,"U19",IF(E590&gt;13,"U15",IF(E590&gt;11,"U13",IF(E590&gt;0,"U11",0)))))</f>
        <v>0</v>
      </c>
      <c r="E590" s="456">
        <f>IFERROR(IF(Table10[[#This Row],[Year]]&gt;0,$E$1-Table10[[#This Row],[Year]],0),"")</f>
        <v>0</v>
      </c>
      <c r="F590" s="456"/>
      <c r="G590" s="456"/>
      <c r="H590" s="456"/>
    </row>
    <row r="591" spans="1:8">
      <c r="A591" s="456">
        <v>1587</v>
      </c>
      <c r="B591" s="469" t="s">
        <v>3295</v>
      </c>
      <c r="C591" s="458" t="s">
        <v>244</v>
      </c>
      <c r="D591" s="456">
        <f>IF(Table10[[#This Row],[Current Age]]&gt;19,"Men's",IF(E591&gt;15,"U19",IF(E591&gt;13,"U15",IF(E591&gt;11,"U13",IF(E591&gt;0,"U11",0)))))</f>
        <v>0</v>
      </c>
      <c r="E591" s="456">
        <f>IFERROR(IF(Table10[[#This Row],[Year]]&gt;0,$E$1-Table10[[#This Row],[Year]],0),"")</f>
        <v>0</v>
      </c>
      <c r="F591" s="456"/>
      <c r="G591" s="456"/>
      <c r="H591" s="456"/>
    </row>
    <row r="592" spans="1:8">
      <c r="A592" s="471">
        <v>1588</v>
      </c>
      <c r="B592" s="493" t="s">
        <v>1731</v>
      </c>
      <c r="C592" s="472" t="s">
        <v>361</v>
      </c>
      <c r="D592" s="456">
        <f>IF(Table10[[#This Row],[Current Age]]&gt;19,"Men's",IF(E592&gt;15,"U19",IF(E592&gt;13,"U15",IF(E592&gt;11,"U13",IF(E592&gt;0,"U11",0)))))</f>
        <v>0</v>
      </c>
      <c r="E592" s="456">
        <f>IFERROR(IF(Table10[[#This Row],[Year]]&gt;0,$E$1-Table10[[#This Row],[Year]],0),"")</f>
        <v>0</v>
      </c>
      <c r="F592" s="456"/>
      <c r="G592" s="456"/>
      <c r="H592" s="456"/>
    </row>
    <row r="593" spans="1:8">
      <c r="A593" s="456">
        <v>1589</v>
      </c>
      <c r="B593" s="469" t="s">
        <v>1732</v>
      </c>
      <c r="C593" s="458" t="s">
        <v>361</v>
      </c>
      <c r="D593" s="456">
        <f>IF(Table10[[#This Row],[Current Age]]&gt;19,"Men's",IF(E593&gt;15,"U19",IF(E593&gt;13,"U15",IF(E593&gt;11,"U13",IF(E593&gt;0,"U11",0)))))</f>
        <v>0</v>
      </c>
      <c r="E593" s="456">
        <f>IFERROR(IF(Table10[[#This Row],[Year]]&gt;0,$E$1-Table10[[#This Row],[Year]],0),"")</f>
        <v>0</v>
      </c>
      <c r="F593" s="456"/>
      <c r="G593" s="456"/>
      <c r="H593" s="456"/>
    </row>
    <row r="594" spans="1:8">
      <c r="A594" s="471">
        <v>1590</v>
      </c>
      <c r="B594" s="493" t="s">
        <v>1733</v>
      </c>
      <c r="C594" s="472" t="s">
        <v>361</v>
      </c>
      <c r="D594" s="456">
        <f>IF(Table10[[#This Row],[Current Age]]&gt;19,"Men's",IF(E594&gt;15,"U19",IF(E594&gt;13,"U15",IF(E594&gt;11,"U13",IF(E594&gt;0,"U11",0)))))</f>
        <v>0</v>
      </c>
      <c r="E594" s="456">
        <f>IFERROR(IF(Table10[[#This Row],[Year]]&gt;0,$E$1-Table10[[#This Row],[Year]],0),"")</f>
        <v>0</v>
      </c>
      <c r="F594" s="456"/>
      <c r="G594" s="456"/>
      <c r="H594" s="456"/>
    </row>
    <row r="595" spans="1:8">
      <c r="A595" s="456">
        <v>1591</v>
      </c>
      <c r="B595" s="469" t="s">
        <v>1734</v>
      </c>
      <c r="C595" s="458" t="s">
        <v>361</v>
      </c>
      <c r="D595" s="456">
        <f>IF(Table10[[#This Row],[Current Age]]&gt;19,"Men's",IF(E595&gt;15,"U19",IF(E595&gt;13,"U15",IF(E595&gt;11,"U13",IF(E595&gt;0,"U11",0)))))</f>
        <v>0</v>
      </c>
      <c r="E595" s="456">
        <f>IFERROR(IF(Table10[[#This Row],[Year]]&gt;0,$E$1-Table10[[#This Row],[Year]],0),"")</f>
        <v>0</v>
      </c>
      <c r="F595" s="456"/>
      <c r="G595" s="456"/>
      <c r="H595" s="456"/>
    </row>
    <row r="596" spans="1:8">
      <c r="A596" s="471">
        <v>1592</v>
      </c>
      <c r="B596" s="493" t="s">
        <v>1735</v>
      </c>
      <c r="C596" s="472" t="s">
        <v>361</v>
      </c>
      <c r="D596" s="456">
        <f>IF(Table10[[#This Row],[Current Age]]&gt;19,"Men's",IF(E596&gt;15,"U19",IF(E596&gt;13,"U15",IF(E596&gt;11,"U13",IF(E596&gt;0,"U11",0)))))</f>
        <v>0</v>
      </c>
      <c r="E596" s="456">
        <f>IFERROR(IF(Table10[[#This Row],[Year]]&gt;0,$E$1-Table10[[#This Row],[Year]],0),"")</f>
        <v>0</v>
      </c>
      <c r="F596" s="456"/>
      <c r="G596" s="456"/>
      <c r="H596" s="456"/>
    </row>
    <row r="597" spans="1:8">
      <c r="A597" s="456">
        <v>1593</v>
      </c>
      <c r="B597" s="469" t="s">
        <v>1736</v>
      </c>
      <c r="C597" s="458" t="s">
        <v>361</v>
      </c>
      <c r="D597" s="456">
        <f>IF(Table10[[#This Row],[Current Age]]&gt;19,"Men's",IF(E597&gt;15,"U19",IF(E597&gt;13,"U15",IF(E597&gt;11,"U13",IF(E597&gt;0,"U11",0)))))</f>
        <v>0</v>
      </c>
      <c r="E597" s="456">
        <f>IFERROR(IF(Table10[[#This Row],[Year]]&gt;0,$E$1-Table10[[#This Row],[Year]],0),"")</f>
        <v>0</v>
      </c>
      <c r="F597" s="456"/>
      <c r="G597" s="456"/>
      <c r="H597" s="456"/>
    </row>
    <row r="598" spans="1:8">
      <c r="A598" s="471">
        <v>1594</v>
      </c>
      <c r="B598" s="493" t="s">
        <v>1737</v>
      </c>
      <c r="C598" s="472" t="s">
        <v>361</v>
      </c>
      <c r="D598" s="456">
        <f>IF(Table10[[#This Row],[Current Age]]&gt;19,"Men's",IF(E598&gt;15,"U19",IF(E598&gt;13,"U15",IF(E598&gt;11,"U13",IF(E598&gt;0,"U11",0)))))</f>
        <v>0</v>
      </c>
      <c r="E598" s="456">
        <f>IFERROR(IF(Table10[[#This Row],[Year]]&gt;0,$E$1-Table10[[#This Row],[Year]],0),"")</f>
        <v>0</v>
      </c>
      <c r="F598" s="456"/>
      <c r="G598" s="456"/>
      <c r="H598" s="456"/>
    </row>
    <row r="599" spans="1:8">
      <c r="A599" s="456">
        <v>1595</v>
      </c>
      <c r="B599" s="469" t="s">
        <v>1738</v>
      </c>
      <c r="C599" s="458" t="s">
        <v>361</v>
      </c>
      <c r="D599" s="456">
        <f>IF(Table10[[#This Row],[Current Age]]&gt;19,"Men's",IF(E599&gt;15,"U19",IF(E599&gt;13,"U15",IF(E599&gt;11,"U13",IF(E599&gt;0,"U11",0)))))</f>
        <v>0</v>
      </c>
      <c r="E599" s="456">
        <f>IFERROR(IF(Table10[[#This Row],[Year]]&gt;0,$E$1-Table10[[#This Row],[Year]],0),"")</f>
        <v>0</v>
      </c>
      <c r="F599" s="456"/>
      <c r="G599" s="456"/>
      <c r="H599" s="456"/>
    </row>
    <row r="600" spans="1:8">
      <c r="A600" s="471">
        <v>1596</v>
      </c>
      <c r="B600" s="493" t="s">
        <v>1739</v>
      </c>
      <c r="C600" s="472" t="s">
        <v>361</v>
      </c>
      <c r="D600" s="456">
        <f>IF(Table10[[#This Row],[Current Age]]&gt;19,"Men's",IF(E600&gt;15,"U19",IF(E600&gt;13,"U15",IF(E600&gt;11,"U13",IF(E600&gt;0,"U11",0)))))</f>
        <v>0</v>
      </c>
      <c r="E600" s="456">
        <f>IFERROR(IF(Table10[[#This Row],[Year]]&gt;0,$E$1-Table10[[#This Row],[Year]],0),"")</f>
        <v>0</v>
      </c>
      <c r="F600" s="456"/>
      <c r="G600" s="456"/>
      <c r="H600" s="456"/>
    </row>
    <row r="601" spans="1:8">
      <c r="A601" s="456">
        <v>1597</v>
      </c>
      <c r="B601" s="469" t="s">
        <v>3296</v>
      </c>
      <c r="C601" s="458" t="s">
        <v>253</v>
      </c>
      <c r="D601" s="456">
        <f>IF(Table10[[#This Row],[Current Age]]&gt;19,"Men's",IF(E601&gt;15,"U19",IF(E601&gt;13,"U15",IF(E601&gt;11,"U13",IF(E601&gt;0,"U11",0)))))</f>
        <v>0</v>
      </c>
      <c r="E601" s="456">
        <f>IFERROR(IF(Table10[[#This Row],[Year]]&gt;0,$E$1-Table10[[#This Row],[Year]],0),"")</f>
        <v>0</v>
      </c>
      <c r="F601" s="456"/>
      <c r="G601" s="456"/>
      <c r="H601" s="456"/>
    </row>
    <row r="602" spans="1:8">
      <c r="A602" s="471">
        <v>1598</v>
      </c>
      <c r="B602" s="493" t="s">
        <v>3501</v>
      </c>
      <c r="C602" s="472" t="s">
        <v>361</v>
      </c>
      <c r="D602" s="456" t="str">
        <f>IF(Table10[[#This Row],[Current Age]]&gt;19,"Men's",IF(E602&gt;15,"U19",IF(E602&gt;13,"U15",IF(E602&gt;11,"U13",IF(E602&gt;0,"U11",0)))))</f>
        <v>Men's</v>
      </c>
      <c r="E602" s="456">
        <f>IFERROR(IF(Table10[[#This Row],[Year]]&gt;0,$E$1-Table10[[#This Row],[Year]],0),"")</f>
        <v>43</v>
      </c>
      <c r="F602" s="456">
        <v>1982</v>
      </c>
      <c r="G602" s="456"/>
      <c r="H602" s="456"/>
    </row>
    <row r="603" spans="1:8">
      <c r="A603" s="456">
        <v>1599</v>
      </c>
      <c r="B603" s="469" t="s">
        <v>1740</v>
      </c>
      <c r="C603" s="458" t="s">
        <v>361</v>
      </c>
      <c r="D603" s="456" t="str">
        <f>IF(Table10[[#This Row],[Current Age]]&gt;19,"Men's",IF(E603&gt;15,"U19",IF(E603&gt;13,"U15",IF(E603&gt;11,"U13",IF(E603&gt;0,"U11",0)))))</f>
        <v>Men's</v>
      </c>
      <c r="E603" s="456">
        <f>IFERROR(IF(Table10[[#This Row],[Year]]&gt;0,$E$1-Table10[[#This Row],[Year]],0),"")</f>
        <v>42</v>
      </c>
      <c r="F603" s="456">
        <v>1983</v>
      </c>
      <c r="G603" s="456">
        <v>12</v>
      </c>
      <c r="H603" s="456">
        <v>15</v>
      </c>
    </row>
    <row r="604" spans="1:8">
      <c r="A604" s="471">
        <v>1600</v>
      </c>
      <c r="B604" s="493" t="s">
        <v>1741</v>
      </c>
      <c r="C604" s="472" t="s">
        <v>361</v>
      </c>
      <c r="D604" s="456">
        <f>IF(Table10[[#This Row],[Current Age]]&gt;19,"Men's",IF(E604&gt;15,"U19",IF(E604&gt;13,"U15",IF(E604&gt;11,"U13",IF(E604&gt;0,"U11",0)))))</f>
        <v>0</v>
      </c>
      <c r="E604" s="456">
        <f>IFERROR(IF(Table10[[#This Row],[Year]]&gt;0,$E$1-Table10[[#This Row],[Year]],0),"")</f>
        <v>0</v>
      </c>
      <c r="F604" s="456"/>
      <c r="G604" s="456"/>
      <c r="H604" s="456"/>
    </row>
    <row r="605" spans="1:8">
      <c r="A605" s="456">
        <v>1601</v>
      </c>
      <c r="B605" s="469" t="s">
        <v>1742</v>
      </c>
      <c r="C605" s="458" t="s">
        <v>361</v>
      </c>
      <c r="D605" s="456">
        <f>IF(Table10[[#This Row],[Current Age]]&gt;19,"Men's",IF(E605&gt;15,"U19",IF(E605&gt;13,"U15",IF(E605&gt;11,"U13",IF(E605&gt;0,"U11",0)))))</f>
        <v>0</v>
      </c>
      <c r="E605" s="456">
        <f>IFERROR(IF(Table10[[#This Row],[Year]]&gt;0,$E$1-Table10[[#This Row],[Year]],0),"")</f>
        <v>0</v>
      </c>
      <c r="F605" s="456"/>
      <c r="G605" s="456"/>
      <c r="H605" s="456"/>
    </row>
    <row r="606" spans="1:8">
      <c r="A606" s="471">
        <v>1602</v>
      </c>
      <c r="B606" s="493" t="s">
        <v>1743</v>
      </c>
      <c r="C606" s="472" t="s">
        <v>361</v>
      </c>
      <c r="D606" s="456">
        <f>IF(Table10[[#This Row],[Current Age]]&gt;19,"Men's",IF(E606&gt;15,"U19",IF(E606&gt;13,"U15",IF(E606&gt;11,"U13",IF(E606&gt;0,"U11",0)))))</f>
        <v>0</v>
      </c>
      <c r="E606" s="456">
        <f>IFERROR(IF(Table10[[#This Row],[Year]]&gt;0,$E$1-Table10[[#This Row],[Year]],0),"")</f>
        <v>0</v>
      </c>
      <c r="F606" s="456"/>
      <c r="G606" s="456"/>
      <c r="H606" s="456"/>
    </row>
    <row r="607" spans="1:8">
      <c r="A607" s="456">
        <v>1603</v>
      </c>
      <c r="B607" s="469" t="s">
        <v>1744</v>
      </c>
      <c r="C607" s="458" t="s">
        <v>361</v>
      </c>
      <c r="D607" s="456">
        <f>IF(Table10[[#This Row],[Current Age]]&gt;19,"Men's",IF(E607&gt;15,"U19",IF(E607&gt;13,"U15",IF(E607&gt;11,"U13",IF(E607&gt;0,"U11",0)))))</f>
        <v>0</v>
      </c>
      <c r="E607" s="456">
        <f>IFERROR(IF(Table10[[#This Row],[Year]]&gt;0,$E$1-Table10[[#This Row],[Year]],0),"")</f>
        <v>0</v>
      </c>
      <c r="F607" s="456"/>
      <c r="G607" s="456"/>
      <c r="H607" s="456"/>
    </row>
    <row r="608" spans="1:8">
      <c r="A608" s="471">
        <v>1604</v>
      </c>
      <c r="B608" s="493" t="s">
        <v>1745</v>
      </c>
      <c r="C608" s="472" t="s">
        <v>4720</v>
      </c>
      <c r="D608" s="456" t="str">
        <f>IF(Table10[[#This Row],[Current Age]]&gt;19,"Men's",IF(E608&gt;15,"U19",IF(E608&gt;13,"U15",IF(E608&gt;11,"U13",IF(E608&gt;0,"U11",0)))))</f>
        <v>Men's</v>
      </c>
      <c r="E608" s="456">
        <f>IFERROR(IF(Table10[[#This Row],[Year]]&gt;0,$E$1-Table10[[#This Row],[Year]],0),"")</f>
        <v>21</v>
      </c>
      <c r="F608" s="456">
        <v>2004</v>
      </c>
      <c r="G608" s="456">
        <v>8</v>
      </c>
      <c r="H608" s="456">
        <v>28</v>
      </c>
    </row>
    <row r="609" spans="1:8">
      <c r="A609" s="456">
        <v>1605</v>
      </c>
      <c r="B609" s="469" t="s">
        <v>1746</v>
      </c>
      <c r="C609" s="458" t="s">
        <v>361</v>
      </c>
      <c r="D609" s="456" t="str">
        <f>IF(Table10[[#This Row],[Current Age]]&gt;19,"Men's",IF(E609&gt;15,"U19",IF(E609&gt;13,"U15",IF(E609&gt;11,"U13",IF(E609&gt;0,"U11",0)))))</f>
        <v>Men's</v>
      </c>
      <c r="E609" s="456">
        <f>IFERROR(IF(Table10[[#This Row],[Year]]&gt;0,$E$1-Table10[[#This Row],[Year]],0),"")</f>
        <v>20</v>
      </c>
      <c r="F609" s="456">
        <v>2005</v>
      </c>
      <c r="G609" s="456">
        <v>2</v>
      </c>
      <c r="H609" s="456">
        <v>15</v>
      </c>
    </row>
    <row r="610" spans="1:8">
      <c r="A610" s="471">
        <v>1606</v>
      </c>
      <c r="B610" s="493" t="s">
        <v>1747</v>
      </c>
      <c r="C610" s="472" t="s">
        <v>361</v>
      </c>
      <c r="D610" s="456">
        <f>IF(Table10[[#This Row],[Current Age]]&gt;19,"Men's",IF(E610&gt;15,"U19",IF(E610&gt;13,"U15",IF(E610&gt;11,"U13",IF(E610&gt;0,"U11",0)))))</f>
        <v>0</v>
      </c>
      <c r="E610" s="456">
        <f>IFERROR(IF(Table10[[#This Row],[Year]]&gt;0,$E$1-Table10[[#This Row],[Year]],0),"")</f>
        <v>0</v>
      </c>
      <c r="F610" s="456"/>
      <c r="G610" s="456"/>
      <c r="H610" s="456"/>
    </row>
    <row r="611" spans="1:8">
      <c r="A611" s="456">
        <v>1607</v>
      </c>
      <c r="B611" s="469" t="s">
        <v>1748</v>
      </c>
      <c r="C611" s="458" t="s">
        <v>361</v>
      </c>
      <c r="D611" s="456" t="str">
        <f>IF(Table10[[#This Row],[Current Age]]&gt;19,"Men's",IF(E611&gt;15,"U19",IF(E611&gt;13,"U15",IF(E611&gt;11,"U13",IF(E611&gt;0,"U11",0)))))</f>
        <v>Men's</v>
      </c>
      <c r="E611" s="456">
        <f>IFERROR(IF(Table10[[#This Row],[Year]]&gt;0,$E$1-Table10[[#This Row],[Year]],0),"")</f>
        <v>20</v>
      </c>
      <c r="F611" s="456">
        <v>2005</v>
      </c>
      <c r="G611" s="456">
        <v>2</v>
      </c>
      <c r="H611" s="456">
        <v>5</v>
      </c>
    </row>
    <row r="612" spans="1:8">
      <c r="A612" s="471">
        <v>1608</v>
      </c>
      <c r="B612" s="493" t="s">
        <v>1749</v>
      </c>
      <c r="C612" s="472" t="s">
        <v>361</v>
      </c>
      <c r="D612" s="456">
        <f>IF(Table10[[#This Row],[Current Age]]&gt;19,"Men's",IF(E612&gt;15,"U19",IF(E612&gt;13,"U15",IF(E612&gt;11,"U13",IF(E612&gt;0,"U11",0)))))</f>
        <v>0</v>
      </c>
      <c r="E612" s="456">
        <f>IFERROR(IF(Table10[[#This Row],[Year]]&gt;0,$E$1-Table10[[#This Row],[Year]],0),"")</f>
        <v>0</v>
      </c>
      <c r="F612" s="456"/>
      <c r="G612" s="456"/>
      <c r="H612" s="456"/>
    </row>
    <row r="613" spans="1:8">
      <c r="A613" s="456">
        <v>1609</v>
      </c>
      <c r="B613" s="469" t="s">
        <v>1750</v>
      </c>
      <c r="C613" s="458" t="s">
        <v>361</v>
      </c>
      <c r="D613" s="456">
        <f>IF(Table10[[#This Row],[Current Age]]&gt;19,"Men's",IF(E613&gt;15,"U19",IF(E613&gt;13,"U15",IF(E613&gt;11,"U13",IF(E613&gt;0,"U11",0)))))</f>
        <v>0</v>
      </c>
      <c r="E613" s="456">
        <f>IFERROR(IF(Table10[[#This Row],[Year]]&gt;0,$E$1-Table10[[#This Row],[Year]],0),"")</f>
        <v>0</v>
      </c>
      <c r="F613" s="456"/>
      <c r="G613" s="456"/>
      <c r="H613" s="456"/>
    </row>
    <row r="614" spans="1:8">
      <c r="A614" s="471">
        <v>1610</v>
      </c>
      <c r="B614" s="493" t="s">
        <v>3297</v>
      </c>
      <c r="C614" s="472" t="s">
        <v>253</v>
      </c>
      <c r="D614" s="456">
        <f>IF(Table10[[#This Row],[Current Age]]&gt;19,"Men's",IF(E614&gt;15,"U19",IF(E614&gt;13,"U15",IF(E614&gt;11,"U13",IF(E614&gt;0,"U11",0)))))</f>
        <v>0</v>
      </c>
      <c r="E614" s="456">
        <f>IFERROR(IF(Table10[[#This Row],[Year]]&gt;0,$E$1-Table10[[#This Row],[Year]],0),"")</f>
        <v>0</v>
      </c>
      <c r="F614" s="456"/>
      <c r="G614" s="456"/>
      <c r="H614" s="456"/>
    </row>
    <row r="615" spans="1:8">
      <c r="A615" s="456">
        <v>1611</v>
      </c>
      <c r="B615" s="469" t="s">
        <v>1751</v>
      </c>
      <c r="C615" s="458" t="s">
        <v>361</v>
      </c>
      <c r="D615" s="456" t="str">
        <f>IF(Table10[[#This Row],[Current Age]]&gt;19,"Men's",IF(E615&gt;15,"U19",IF(E615&gt;13,"U15",IF(E615&gt;11,"U13",IF(E615&gt;0,"U11",0)))))</f>
        <v>U19</v>
      </c>
      <c r="E615" s="456">
        <f>IFERROR(IF(Table10[[#This Row],[Year]]&gt;0,$E$1-Table10[[#This Row],[Year]],0),"")</f>
        <v>18</v>
      </c>
      <c r="F615" s="456">
        <v>2007</v>
      </c>
      <c r="G615" s="456">
        <v>5</v>
      </c>
      <c r="H615" s="456">
        <v>6</v>
      </c>
    </row>
    <row r="616" spans="1:8">
      <c r="A616" s="471">
        <v>1612</v>
      </c>
      <c r="B616" s="493" t="s">
        <v>1752</v>
      </c>
      <c r="C616" s="472" t="s">
        <v>361</v>
      </c>
      <c r="D616" s="456">
        <f>IF(Table10[[#This Row],[Current Age]]&gt;19,"Men's",IF(E616&gt;15,"U19",IF(E616&gt;13,"U15",IF(E616&gt;11,"U13",IF(E616&gt;0,"U11",0)))))</f>
        <v>0</v>
      </c>
      <c r="E616" s="456">
        <f>IFERROR(IF(Table10[[#This Row],[Year]]&gt;0,$E$1-Table10[[#This Row],[Year]],0),"")</f>
        <v>0</v>
      </c>
      <c r="F616" s="456"/>
      <c r="G616" s="456"/>
      <c r="H616" s="456"/>
    </row>
    <row r="617" spans="1:8">
      <c r="A617" s="456">
        <v>1613</v>
      </c>
      <c r="B617" s="469" t="s">
        <v>1753</v>
      </c>
      <c r="C617" s="458" t="s">
        <v>361</v>
      </c>
      <c r="D617" s="456">
        <f>IF(Table10[[#This Row],[Current Age]]&gt;19,"Men's",IF(E617&gt;15,"U19",IF(E617&gt;13,"U15",IF(E617&gt;11,"U13",IF(E617&gt;0,"U11",0)))))</f>
        <v>0</v>
      </c>
      <c r="E617" s="456">
        <f>IFERROR(IF(Table10[[#This Row],[Year]]&gt;0,$E$1-Table10[[#This Row],[Year]],0),"")</f>
        <v>0</v>
      </c>
      <c r="F617" s="456"/>
      <c r="G617" s="456"/>
      <c r="H617" s="456"/>
    </row>
    <row r="618" spans="1:8">
      <c r="A618" s="471">
        <v>1614</v>
      </c>
      <c r="B618" s="493" t="s">
        <v>1754</v>
      </c>
      <c r="C618" s="472" t="s">
        <v>361</v>
      </c>
      <c r="D618" s="456">
        <f>IF(Table10[[#This Row],[Current Age]]&gt;19,"Men's",IF(E618&gt;15,"U19",IF(E618&gt;13,"U15",IF(E618&gt;11,"U13",IF(E618&gt;0,"U11",0)))))</f>
        <v>0</v>
      </c>
      <c r="E618" s="456">
        <f>IFERROR(IF(Table10[[#This Row],[Year]]&gt;0,$E$1-Table10[[#This Row],[Year]],0),"")</f>
        <v>0</v>
      </c>
      <c r="F618" s="456"/>
      <c r="G618" s="456"/>
      <c r="H618" s="456"/>
    </row>
    <row r="619" spans="1:8">
      <c r="A619" s="456">
        <v>1615</v>
      </c>
      <c r="B619" s="469" t="s">
        <v>279</v>
      </c>
      <c r="C619" s="458" t="s">
        <v>361</v>
      </c>
      <c r="D619" s="456" t="str">
        <f>IF(Table10[[#This Row],[Current Age]]&gt;19,"Men's",IF(E619&gt;15,"U19",IF(E619&gt;13,"U15",IF(E619&gt;11,"U13",IF(E619&gt;0,"U11",0)))))</f>
        <v>U19</v>
      </c>
      <c r="E619" s="456">
        <f>IFERROR(IF(Table10[[#This Row],[Year]]&gt;0,$E$1-Table10[[#This Row],[Year]],0),"")</f>
        <v>19</v>
      </c>
      <c r="F619" s="456">
        <v>2006</v>
      </c>
      <c r="G619" s="456">
        <v>3</v>
      </c>
      <c r="H619" s="456">
        <v>24</v>
      </c>
    </row>
    <row r="620" spans="1:8">
      <c r="A620" s="471">
        <v>1616</v>
      </c>
      <c r="B620" s="493" t="s">
        <v>1755</v>
      </c>
      <c r="C620" s="472" t="s">
        <v>361</v>
      </c>
      <c r="D620" s="456">
        <f>IF(Table10[[#This Row],[Current Age]]&gt;19,"Men's",IF(E620&gt;15,"U19",IF(E620&gt;13,"U15",IF(E620&gt;11,"U13",IF(E620&gt;0,"U11",0)))))</f>
        <v>0</v>
      </c>
      <c r="E620" s="456">
        <f>IFERROR(IF(Table10[[#This Row],[Year]]&gt;0,$E$1-Table10[[#This Row],[Year]],0),"")</f>
        <v>0</v>
      </c>
      <c r="F620" s="456"/>
      <c r="G620" s="456"/>
      <c r="H620" s="456"/>
    </row>
    <row r="621" spans="1:8">
      <c r="A621" s="456">
        <v>1617</v>
      </c>
      <c r="B621" s="469" t="s">
        <v>1756</v>
      </c>
      <c r="C621" s="458" t="s">
        <v>361</v>
      </c>
      <c r="D621" s="456">
        <f>IF(Table10[[#This Row],[Current Age]]&gt;19,"Men's",IF(E621&gt;15,"U19",IF(E621&gt;13,"U15",IF(E621&gt;11,"U13",IF(E621&gt;0,"U11",0)))))</f>
        <v>0</v>
      </c>
      <c r="E621" s="456">
        <f>IFERROR(IF(Table10[[#This Row],[Year]]&gt;0,$E$1-Table10[[#This Row],[Year]],0),"")</f>
        <v>0</v>
      </c>
      <c r="F621" s="456"/>
      <c r="G621" s="456"/>
      <c r="H621" s="456"/>
    </row>
    <row r="622" spans="1:8">
      <c r="A622" s="471">
        <v>1618</v>
      </c>
      <c r="B622" s="493" t="s">
        <v>1757</v>
      </c>
      <c r="C622" s="472" t="s">
        <v>361</v>
      </c>
      <c r="D622" s="456">
        <f>IF(Table10[[#This Row],[Current Age]]&gt;19,"Men's",IF(E622&gt;15,"U19",IF(E622&gt;13,"U15",IF(E622&gt;11,"U13",IF(E622&gt;0,"U11",0)))))</f>
        <v>0</v>
      </c>
      <c r="E622" s="456">
        <f>IFERROR(IF(Table10[[#This Row],[Year]]&gt;0,$E$1-Table10[[#This Row],[Year]],0),"")</f>
        <v>0</v>
      </c>
      <c r="F622" s="456"/>
      <c r="G622" s="456"/>
      <c r="H622" s="456"/>
    </row>
    <row r="623" spans="1:8">
      <c r="A623" s="456">
        <v>1619</v>
      </c>
      <c r="B623" s="469" t="s">
        <v>6062</v>
      </c>
      <c r="C623" s="458" t="s">
        <v>252</v>
      </c>
      <c r="D623" s="456" t="str">
        <f>IF(Table10[[#This Row],[Current Age]]&gt;19,"Men's",IF(E623&gt;15,"U19",IF(E623&gt;13,"U15",IF(E623&gt;11,"U13",IF(E623&gt;0,"U11",0)))))</f>
        <v>U19</v>
      </c>
      <c r="E623" s="456">
        <f>IFERROR(IF(Table10[[#This Row],[Year]]&gt;0,$E$1-Table10[[#This Row],[Year]],0),"")</f>
        <v>16</v>
      </c>
      <c r="F623" s="456">
        <v>2009</v>
      </c>
      <c r="G623" s="456">
        <v>6</v>
      </c>
      <c r="H623" s="456">
        <v>2</v>
      </c>
    </row>
    <row r="624" spans="1:8">
      <c r="A624" s="471">
        <v>1620</v>
      </c>
      <c r="B624" s="493" t="s">
        <v>1758</v>
      </c>
      <c r="C624" s="472" t="s">
        <v>361</v>
      </c>
      <c r="D624" s="456">
        <f>IF(Table10[[#This Row],[Current Age]]&gt;19,"Men's",IF(E624&gt;15,"U19",IF(E624&gt;13,"U15",IF(E624&gt;11,"U13",IF(E624&gt;0,"U11",0)))))</f>
        <v>0</v>
      </c>
      <c r="E624" s="456">
        <f>IFERROR(IF(Table10[[#This Row],[Year]]&gt;0,$E$1-Table10[[#This Row],[Year]],0),"")</f>
        <v>0</v>
      </c>
      <c r="F624" s="456"/>
      <c r="G624" s="456"/>
      <c r="H624" s="456"/>
    </row>
    <row r="625" spans="1:8">
      <c r="A625" s="456">
        <v>1621</v>
      </c>
      <c r="B625" s="469" t="s">
        <v>1759</v>
      </c>
      <c r="C625" s="458" t="s">
        <v>4720</v>
      </c>
      <c r="D625" s="456" t="str">
        <f>IF(Table10[[#This Row],[Current Age]]&gt;19,"Men's",IF(E625&gt;15,"U19",IF(E625&gt;13,"U15",IF(E625&gt;11,"U13",IF(E625&gt;0,"U11",0)))))</f>
        <v>Men's</v>
      </c>
      <c r="E625" s="456">
        <f>IFERROR(IF(Table10[[#This Row],[Year]]&gt;0,$E$1-Table10[[#This Row],[Year]],0),"")</f>
        <v>21</v>
      </c>
      <c r="F625" s="456">
        <v>2004</v>
      </c>
      <c r="G625" s="456">
        <v>4</v>
      </c>
      <c r="H625" s="456">
        <v>9</v>
      </c>
    </row>
    <row r="626" spans="1:8">
      <c r="A626" s="471">
        <v>1622</v>
      </c>
      <c r="B626" s="493" t="s">
        <v>1760</v>
      </c>
      <c r="C626" s="472" t="s">
        <v>361</v>
      </c>
      <c r="D626" s="456">
        <f>IF(Table10[[#This Row],[Current Age]]&gt;19,"Men's",IF(E626&gt;15,"U19",IF(E626&gt;13,"U15",IF(E626&gt;11,"U13",IF(E626&gt;0,"U11",0)))))</f>
        <v>0</v>
      </c>
      <c r="E626" s="456">
        <f>IFERROR(IF(Table10[[#This Row],[Year]]&gt;0,$E$1-Table10[[#This Row],[Year]],0),"")</f>
        <v>0</v>
      </c>
      <c r="F626" s="456"/>
      <c r="G626" s="456"/>
      <c r="H626" s="456"/>
    </row>
    <row r="627" spans="1:8">
      <c r="A627" s="456">
        <v>1623</v>
      </c>
      <c r="B627" s="469" t="s">
        <v>1761</v>
      </c>
      <c r="C627" s="458" t="s">
        <v>361</v>
      </c>
      <c r="D627" s="456">
        <f>IF(Table10[[#This Row],[Current Age]]&gt;19,"Men's",IF(E627&gt;15,"U19",IF(E627&gt;13,"U15",IF(E627&gt;11,"U13",IF(E627&gt;0,"U11",0)))))</f>
        <v>0</v>
      </c>
      <c r="E627" s="456">
        <f>IFERROR(IF(Table10[[#This Row],[Year]]&gt;0,$E$1-Table10[[#This Row],[Year]],0),"")</f>
        <v>0</v>
      </c>
      <c r="F627" s="456"/>
      <c r="G627" s="456"/>
      <c r="H627" s="456"/>
    </row>
    <row r="628" spans="1:8">
      <c r="A628" s="471">
        <v>1624</v>
      </c>
      <c r="B628" s="493" t="s">
        <v>1762</v>
      </c>
      <c r="C628" s="472" t="s">
        <v>361</v>
      </c>
      <c r="D628" s="456">
        <f>IF(Table10[[#This Row],[Current Age]]&gt;19,"Men's",IF(E628&gt;15,"U19",IF(E628&gt;13,"U15",IF(E628&gt;11,"U13",IF(E628&gt;0,"U11",0)))))</f>
        <v>0</v>
      </c>
      <c r="E628" s="456">
        <f>IFERROR(IF(Table10[[#This Row],[Year]]&gt;0,$E$1-Table10[[#This Row],[Year]],0),"")</f>
        <v>0</v>
      </c>
      <c r="F628" s="456"/>
      <c r="G628" s="456"/>
      <c r="H628" s="456"/>
    </row>
    <row r="629" spans="1:8">
      <c r="A629" s="456">
        <v>1625</v>
      </c>
      <c r="B629" s="469" t="s">
        <v>1763</v>
      </c>
      <c r="C629" s="458" t="s">
        <v>361</v>
      </c>
      <c r="D629" s="456" t="str">
        <f>IF(Table10[[#This Row],[Current Age]]&gt;19,"Men's",IF(E629&gt;15,"U19",IF(E629&gt;13,"U15",IF(E629&gt;11,"U13",IF(E629&gt;0,"U11",0)))))</f>
        <v>U19</v>
      </c>
      <c r="E629" s="456">
        <f>IFERROR(IF(Table10[[#This Row],[Year]]&gt;0,$E$1-Table10[[#This Row],[Year]],0),"")</f>
        <v>18</v>
      </c>
      <c r="F629" s="456">
        <v>2007</v>
      </c>
      <c r="G629" s="456">
        <v>6</v>
      </c>
      <c r="H629" s="456">
        <v>24</v>
      </c>
    </row>
    <row r="630" spans="1:8">
      <c r="A630" s="471">
        <v>1626</v>
      </c>
      <c r="B630" s="493" t="s">
        <v>1764</v>
      </c>
      <c r="C630" s="472" t="s">
        <v>361</v>
      </c>
      <c r="D630" s="456">
        <f>IF(Table10[[#This Row],[Current Age]]&gt;19,"Men's",IF(E630&gt;15,"U19",IF(E630&gt;13,"U15",IF(E630&gt;11,"U13",IF(E630&gt;0,"U11",0)))))</f>
        <v>0</v>
      </c>
      <c r="E630" s="456">
        <f>IFERROR(IF(Table10[[#This Row],[Year]]&gt;0,$E$1-Table10[[#This Row],[Year]],0),"")</f>
        <v>0</v>
      </c>
      <c r="F630" s="456"/>
      <c r="G630" s="456"/>
      <c r="H630" s="456"/>
    </row>
    <row r="631" spans="1:8">
      <c r="A631" s="456">
        <v>1627</v>
      </c>
      <c r="B631" s="469" t="s">
        <v>1765</v>
      </c>
      <c r="C631" s="458" t="s">
        <v>361</v>
      </c>
      <c r="D631" s="456">
        <f>IF(Table10[[#This Row],[Current Age]]&gt;19,"Men's",IF(E631&gt;15,"U19",IF(E631&gt;13,"U15",IF(E631&gt;11,"U13",IF(E631&gt;0,"U11",0)))))</f>
        <v>0</v>
      </c>
      <c r="E631" s="456">
        <f>IFERROR(IF(Table10[[#This Row],[Year]]&gt;0,$E$1-Table10[[#This Row],[Year]],0),"")</f>
        <v>0</v>
      </c>
      <c r="F631" s="456"/>
      <c r="G631" s="456"/>
      <c r="H631" s="456"/>
    </row>
    <row r="632" spans="1:8">
      <c r="A632" s="471">
        <v>1628</v>
      </c>
      <c r="B632" s="493" t="s">
        <v>1766</v>
      </c>
      <c r="C632" s="472" t="s">
        <v>361</v>
      </c>
      <c r="D632" s="456" t="str">
        <f>IF(Table10[[#This Row],[Current Age]]&gt;19,"Men's",IF(E632&gt;15,"U19",IF(E632&gt;13,"U15",IF(E632&gt;11,"U13",IF(E632&gt;0,"U11",0)))))</f>
        <v>Men's</v>
      </c>
      <c r="E632" s="456">
        <f>IFERROR(IF(Table10[[#This Row],[Year]]&gt;0,$E$1-Table10[[#This Row],[Year]],0),"")</f>
        <v>20</v>
      </c>
      <c r="F632" s="456">
        <v>2005</v>
      </c>
      <c r="G632" s="456">
        <v>10</v>
      </c>
      <c r="H632" s="456">
        <v>4</v>
      </c>
    </row>
    <row r="633" spans="1:8">
      <c r="A633" s="456">
        <v>1629</v>
      </c>
      <c r="B633" s="469" t="s">
        <v>1767</v>
      </c>
      <c r="C633" s="458" t="s">
        <v>361</v>
      </c>
      <c r="D633" s="456" t="str">
        <f>IF(Table10[[#This Row],[Current Age]]&gt;19,"Men's",IF(E633&gt;15,"U19",IF(E633&gt;13,"U15",IF(E633&gt;11,"U13",IF(E633&gt;0,"U11",0)))))</f>
        <v>U19</v>
      </c>
      <c r="E633" s="456">
        <f>IFERROR(IF(Table10[[#This Row],[Year]]&gt;0,$E$1-Table10[[#This Row],[Year]],0),"")</f>
        <v>18</v>
      </c>
      <c r="F633" s="456">
        <v>2007</v>
      </c>
      <c r="G633" s="456"/>
      <c r="H633" s="456"/>
    </row>
    <row r="634" spans="1:8">
      <c r="A634" s="471">
        <v>1630</v>
      </c>
      <c r="B634" s="493" t="s">
        <v>1768</v>
      </c>
      <c r="C634" s="472" t="s">
        <v>361</v>
      </c>
      <c r="D634" s="456">
        <f>IF(Table10[[#This Row],[Current Age]]&gt;19,"Men's",IF(E634&gt;15,"U19",IF(E634&gt;13,"U15",IF(E634&gt;11,"U13",IF(E634&gt;0,"U11",0)))))</f>
        <v>0</v>
      </c>
      <c r="E634" s="456">
        <f>IFERROR(IF(Table10[[#This Row],[Year]]&gt;0,$E$1-Table10[[#This Row],[Year]],0),"")</f>
        <v>0</v>
      </c>
      <c r="F634" s="456"/>
      <c r="G634" s="456"/>
      <c r="H634" s="456"/>
    </row>
    <row r="635" spans="1:8">
      <c r="A635" s="456">
        <v>1631</v>
      </c>
      <c r="B635" s="469" t="s">
        <v>1769</v>
      </c>
      <c r="C635" s="458" t="s">
        <v>361</v>
      </c>
      <c r="D635" s="456">
        <f>IF(Table10[[#This Row],[Current Age]]&gt;19,"Men's",IF(E635&gt;15,"U19",IF(E635&gt;13,"U15",IF(E635&gt;11,"U13",IF(E635&gt;0,"U11",0)))))</f>
        <v>0</v>
      </c>
      <c r="E635" s="456">
        <f>IFERROR(IF(Table10[[#This Row],[Year]]&gt;0,$E$1-Table10[[#This Row],[Year]],0),"")</f>
        <v>0</v>
      </c>
      <c r="F635" s="456"/>
      <c r="G635" s="456"/>
      <c r="H635" s="456"/>
    </row>
    <row r="636" spans="1:8">
      <c r="A636" s="471">
        <v>1632</v>
      </c>
      <c r="B636" s="493" t="s">
        <v>1770</v>
      </c>
      <c r="C636" s="472" t="s">
        <v>361</v>
      </c>
      <c r="D636" s="456" t="str">
        <f>IF(Table10[[#This Row],[Current Age]]&gt;19,"Men's",IF(E636&gt;15,"U19",IF(E636&gt;13,"U15",IF(E636&gt;11,"U13",IF(E636&gt;0,"U11",0)))))</f>
        <v>Men's</v>
      </c>
      <c r="E636" s="456">
        <f>IFERROR(IF(Table10[[#This Row],[Year]]&gt;0,$E$1-Table10[[#This Row],[Year]],0),"")</f>
        <v>20</v>
      </c>
      <c r="F636" s="456">
        <v>2005</v>
      </c>
      <c r="G636" s="456">
        <v>12</v>
      </c>
      <c r="H636" s="456">
        <v>19</v>
      </c>
    </row>
    <row r="637" spans="1:8">
      <c r="A637" s="456">
        <v>1633</v>
      </c>
      <c r="B637" s="469" t="s">
        <v>1771</v>
      </c>
      <c r="C637" s="458" t="s">
        <v>361</v>
      </c>
      <c r="D637" s="456">
        <f>IF(Table10[[#This Row],[Current Age]]&gt;19,"Men's",IF(E637&gt;15,"U19",IF(E637&gt;13,"U15",IF(E637&gt;11,"U13",IF(E637&gt;0,"U11",0)))))</f>
        <v>0</v>
      </c>
      <c r="E637" s="456">
        <f>IFERROR(IF(Table10[[#This Row],[Year]]&gt;0,$E$1-Table10[[#This Row],[Year]],0),"")</f>
        <v>0</v>
      </c>
      <c r="F637" s="456"/>
      <c r="G637" s="456"/>
      <c r="H637" s="456"/>
    </row>
    <row r="638" spans="1:8">
      <c r="A638" s="471">
        <v>1634</v>
      </c>
      <c r="B638" s="493" t="s">
        <v>1772</v>
      </c>
      <c r="C638" s="472" t="s">
        <v>361</v>
      </c>
      <c r="D638" s="456">
        <f>IF(Table10[[#This Row],[Current Age]]&gt;19,"Men's",IF(E638&gt;15,"U19",IF(E638&gt;13,"U15",IF(E638&gt;11,"U13",IF(E638&gt;0,"U11",0)))))</f>
        <v>0</v>
      </c>
      <c r="E638" s="456">
        <f>IFERROR(IF(Table10[[#This Row],[Year]]&gt;0,$E$1-Table10[[#This Row],[Year]],0),"")</f>
        <v>0</v>
      </c>
      <c r="F638" s="456"/>
      <c r="G638" s="456"/>
      <c r="H638" s="456"/>
    </row>
    <row r="639" spans="1:8">
      <c r="A639" s="456">
        <v>1635</v>
      </c>
      <c r="B639" s="469" t="s">
        <v>1773</v>
      </c>
      <c r="C639" s="458" t="s">
        <v>361</v>
      </c>
      <c r="D639" s="456" t="str">
        <f>IF(Table10[[#This Row],[Current Age]]&gt;19,"Men's",IF(E639&gt;15,"U19",IF(E639&gt;13,"U15",IF(E639&gt;11,"U13",IF(E639&gt;0,"U11",0)))))</f>
        <v>Men's</v>
      </c>
      <c r="E639" s="456">
        <f>IFERROR(IF(Table10[[#This Row],[Year]]&gt;0,$E$1-Table10[[#This Row],[Year]],0),"")</f>
        <v>23</v>
      </c>
      <c r="F639" s="456">
        <v>2002</v>
      </c>
      <c r="G639" s="456">
        <v>6</v>
      </c>
      <c r="H639" s="456">
        <v>23</v>
      </c>
    </row>
    <row r="640" spans="1:8">
      <c r="A640" s="471">
        <v>1636</v>
      </c>
      <c r="B640" s="493" t="s">
        <v>1774</v>
      </c>
      <c r="C640" s="472" t="s">
        <v>361</v>
      </c>
      <c r="D640" s="456">
        <f>IF(Table10[[#This Row],[Current Age]]&gt;19,"Men's",IF(E640&gt;15,"U19",IF(E640&gt;13,"U15",IF(E640&gt;11,"U13",IF(E640&gt;0,"U11",0)))))</f>
        <v>0</v>
      </c>
      <c r="E640" s="456">
        <f>IFERROR(IF(Table10[[#This Row],[Year]]&gt;0,$E$1-Table10[[#This Row],[Year]],0),"")</f>
        <v>0</v>
      </c>
      <c r="F640" s="456"/>
      <c r="G640" s="456"/>
      <c r="H640" s="456"/>
    </row>
    <row r="641" spans="1:8">
      <c r="A641" s="456">
        <v>1637</v>
      </c>
      <c r="B641" s="469" t="s">
        <v>1775</v>
      </c>
      <c r="C641" s="458" t="s">
        <v>361</v>
      </c>
      <c r="D641" s="456">
        <f>IF(Table10[[#This Row],[Current Age]]&gt;19,"Men's",IF(E641&gt;15,"U19",IF(E641&gt;13,"U15",IF(E641&gt;11,"U13",IF(E641&gt;0,"U11",0)))))</f>
        <v>0</v>
      </c>
      <c r="E641" s="456">
        <f>IFERROR(IF(Table10[[#This Row],[Year]]&gt;0,$E$1-Table10[[#This Row],[Year]],0),"")</f>
        <v>0</v>
      </c>
      <c r="F641" s="456"/>
      <c r="G641" s="456"/>
      <c r="H641" s="456"/>
    </row>
    <row r="642" spans="1:8">
      <c r="A642" s="471">
        <v>1638</v>
      </c>
      <c r="B642" s="493" t="s">
        <v>1776</v>
      </c>
      <c r="C642" s="472" t="s">
        <v>361</v>
      </c>
      <c r="D642" s="456">
        <f>IF(Table10[[#This Row],[Current Age]]&gt;19,"Men's",IF(E642&gt;15,"U19",IF(E642&gt;13,"U15",IF(E642&gt;11,"U13",IF(E642&gt;0,"U11",0)))))</f>
        <v>0</v>
      </c>
      <c r="E642" s="456">
        <f>IFERROR(IF(Table10[[#This Row],[Year]]&gt;0,$E$1-Table10[[#This Row],[Year]],0),"")</f>
        <v>0</v>
      </c>
      <c r="F642" s="456"/>
      <c r="G642" s="456"/>
      <c r="H642" s="456"/>
    </row>
    <row r="643" spans="1:8">
      <c r="A643" s="456">
        <v>1639</v>
      </c>
      <c r="B643" s="469" t="s">
        <v>1777</v>
      </c>
      <c r="C643" s="458" t="s">
        <v>361</v>
      </c>
      <c r="D643" s="456">
        <f>IF(Table10[[#This Row],[Current Age]]&gt;19,"Men's",IF(E643&gt;15,"U19",IF(E643&gt;13,"U15",IF(E643&gt;11,"U13",IF(E643&gt;0,"U11",0)))))</f>
        <v>0</v>
      </c>
      <c r="E643" s="456">
        <f>IFERROR(IF(Table10[[#This Row],[Year]]&gt;0,$E$1-Table10[[#This Row],[Year]],0),"")</f>
        <v>0</v>
      </c>
      <c r="F643" s="456"/>
      <c r="G643" s="456"/>
      <c r="H643" s="456"/>
    </row>
    <row r="644" spans="1:8">
      <c r="A644" s="471">
        <v>1640</v>
      </c>
      <c r="B644" s="493" t="s">
        <v>1778</v>
      </c>
      <c r="C644" s="472" t="s">
        <v>361</v>
      </c>
      <c r="D644" s="456">
        <f>IF(Table10[[#This Row],[Current Age]]&gt;19,"Men's",IF(E644&gt;15,"U19",IF(E644&gt;13,"U15",IF(E644&gt;11,"U13",IF(E644&gt;0,"U11",0)))))</f>
        <v>0</v>
      </c>
      <c r="E644" s="456">
        <f>IFERROR(IF(Table10[[#This Row],[Year]]&gt;0,$E$1-Table10[[#This Row],[Year]],0),"")</f>
        <v>0</v>
      </c>
      <c r="F644" s="456"/>
      <c r="G644" s="456"/>
      <c r="H644" s="456"/>
    </row>
    <row r="645" spans="1:8">
      <c r="A645" s="456">
        <v>1641</v>
      </c>
      <c r="B645" s="469" t="s">
        <v>1779</v>
      </c>
      <c r="C645" s="458" t="s">
        <v>248</v>
      </c>
      <c r="D645" s="456">
        <f>IF(Table10[[#This Row],[Current Age]]&gt;19,"Men's",IF(E645&gt;15,"U19",IF(E645&gt;13,"U15",IF(E645&gt;11,"U13",IF(E645&gt;0,"U11",0)))))</f>
        <v>0</v>
      </c>
      <c r="E645" s="456">
        <f>IFERROR(IF(Table10[[#This Row],[Year]]&gt;0,$E$1-Table10[[#This Row],[Year]],0),"")</f>
        <v>0</v>
      </c>
      <c r="F645" s="456"/>
      <c r="G645" s="456"/>
      <c r="H645" s="456"/>
    </row>
    <row r="646" spans="1:8">
      <c r="A646" s="471">
        <v>1642</v>
      </c>
      <c r="B646" s="493" t="s">
        <v>1780</v>
      </c>
      <c r="C646" s="472" t="s">
        <v>248</v>
      </c>
      <c r="D646" s="456">
        <f>IF(Table10[[#This Row],[Current Age]]&gt;19,"Men's",IF(E646&gt;15,"U19",IF(E646&gt;13,"U15",IF(E646&gt;11,"U13",IF(E646&gt;0,"U11",0)))))</f>
        <v>0</v>
      </c>
      <c r="E646" s="456">
        <f>IFERROR(IF(Table10[[#This Row],[Year]]&gt;0,$E$1-Table10[[#This Row],[Year]],0),"")</f>
        <v>0</v>
      </c>
      <c r="F646" s="456"/>
      <c r="G646" s="456"/>
      <c r="H646" s="456"/>
    </row>
    <row r="647" spans="1:8">
      <c r="A647" s="456">
        <v>1643</v>
      </c>
      <c r="B647" s="469" t="s">
        <v>1781</v>
      </c>
      <c r="C647" s="458" t="s">
        <v>3750</v>
      </c>
      <c r="D647" s="456">
        <f>IF(Table10[[#This Row],[Current Age]]&gt;19,"Men's",IF(E647&gt;15,"U19",IF(E647&gt;13,"U15",IF(E647&gt;11,"U13",IF(E647&gt;0,"U11",0)))))</f>
        <v>0</v>
      </c>
      <c r="E647" s="456">
        <f>IFERROR(IF(Table10[[#This Row],[Year]]&gt;0,$E$1-Table10[[#This Row],[Year]],0),"")</f>
        <v>0</v>
      </c>
      <c r="F647" s="456"/>
      <c r="G647" s="456"/>
      <c r="H647" s="456"/>
    </row>
    <row r="648" spans="1:8">
      <c r="A648" s="471">
        <v>1644</v>
      </c>
      <c r="B648" s="493" t="s">
        <v>1782</v>
      </c>
      <c r="C648" s="472" t="s">
        <v>248</v>
      </c>
      <c r="D648" s="456">
        <f>IF(Table10[[#This Row],[Current Age]]&gt;19,"Men's",IF(E648&gt;15,"U19",IF(E648&gt;13,"U15",IF(E648&gt;11,"U13",IF(E648&gt;0,"U11",0)))))</f>
        <v>0</v>
      </c>
      <c r="E648" s="456">
        <f>IFERROR(IF(Table10[[#This Row],[Year]]&gt;0,$E$1-Table10[[#This Row],[Year]],0),"")</f>
        <v>0</v>
      </c>
      <c r="F648" s="456"/>
      <c r="G648" s="456"/>
      <c r="H648" s="456"/>
    </row>
    <row r="649" spans="1:8">
      <c r="A649" s="456">
        <v>1645</v>
      </c>
      <c r="B649" s="469" t="s">
        <v>1783</v>
      </c>
      <c r="C649" s="458" t="s">
        <v>248</v>
      </c>
      <c r="D649" s="456">
        <f>IF(Table10[[#This Row],[Current Age]]&gt;19,"Men's",IF(E649&gt;15,"U19",IF(E649&gt;13,"U15",IF(E649&gt;11,"U13",IF(E649&gt;0,"U11",0)))))</f>
        <v>0</v>
      </c>
      <c r="E649" s="456">
        <f>IFERROR(IF(Table10[[#This Row],[Year]]&gt;0,$E$1-Table10[[#This Row],[Year]],0),"")</f>
        <v>0</v>
      </c>
      <c r="F649" s="456"/>
      <c r="G649" s="456"/>
      <c r="H649" s="456"/>
    </row>
    <row r="650" spans="1:8">
      <c r="A650" s="471">
        <v>1646</v>
      </c>
      <c r="B650" s="493" t="s">
        <v>1784</v>
      </c>
      <c r="C650" s="472" t="s">
        <v>248</v>
      </c>
      <c r="D650" s="456">
        <f>IF(Table10[[#This Row],[Current Age]]&gt;19,"Men's",IF(E650&gt;15,"U19",IF(E650&gt;13,"U15",IF(E650&gt;11,"U13",IF(E650&gt;0,"U11",0)))))</f>
        <v>0</v>
      </c>
      <c r="E650" s="456">
        <f>IFERROR(IF(Table10[[#This Row],[Year]]&gt;0,$E$1-Table10[[#This Row],[Year]],0),"")</f>
        <v>0</v>
      </c>
      <c r="F650" s="456"/>
      <c r="G650" s="456"/>
      <c r="H650" s="456"/>
    </row>
    <row r="651" spans="1:8">
      <c r="A651" s="456">
        <v>1647</v>
      </c>
      <c r="B651" s="469" t="s">
        <v>1785</v>
      </c>
      <c r="C651" s="458" t="s">
        <v>248</v>
      </c>
      <c r="D651" s="456">
        <f>IF(Table10[[#This Row],[Current Age]]&gt;19,"Men's",IF(E651&gt;15,"U19",IF(E651&gt;13,"U15",IF(E651&gt;11,"U13",IF(E651&gt;0,"U11",0)))))</f>
        <v>0</v>
      </c>
      <c r="E651" s="456">
        <f>IFERROR(IF(Table10[[#This Row],[Year]]&gt;0,$E$1-Table10[[#This Row],[Year]],0),"")</f>
        <v>0</v>
      </c>
      <c r="F651" s="456"/>
      <c r="G651" s="456"/>
      <c r="H651" s="456"/>
    </row>
    <row r="652" spans="1:8">
      <c r="A652" s="471">
        <v>1648</v>
      </c>
      <c r="B652" s="493" t="s">
        <v>1786</v>
      </c>
      <c r="C652" s="472" t="s">
        <v>248</v>
      </c>
      <c r="D652" s="456">
        <f>IF(Table10[[#This Row],[Current Age]]&gt;19,"Men's",IF(E652&gt;15,"U19",IF(E652&gt;13,"U15",IF(E652&gt;11,"U13",IF(E652&gt;0,"U11",0)))))</f>
        <v>0</v>
      </c>
      <c r="E652" s="456">
        <f>IFERROR(IF(Table10[[#This Row],[Year]]&gt;0,$E$1-Table10[[#This Row],[Year]],0),"")</f>
        <v>0</v>
      </c>
      <c r="F652" s="456"/>
      <c r="G652" s="456"/>
      <c r="H652" s="456"/>
    </row>
    <row r="653" spans="1:8">
      <c r="A653" s="456">
        <v>1649</v>
      </c>
      <c r="B653" s="469" t="s">
        <v>1787</v>
      </c>
      <c r="C653" s="458" t="s">
        <v>248</v>
      </c>
      <c r="D653" s="456">
        <f>IF(Table10[[#This Row],[Current Age]]&gt;19,"Men's",IF(E653&gt;15,"U19",IF(E653&gt;13,"U15",IF(E653&gt;11,"U13",IF(E653&gt;0,"U11",0)))))</f>
        <v>0</v>
      </c>
      <c r="E653" s="456">
        <f>IFERROR(IF(Table10[[#This Row],[Year]]&gt;0,$E$1-Table10[[#This Row],[Year]],0),"")</f>
        <v>0</v>
      </c>
      <c r="F653" s="456"/>
      <c r="G653" s="456"/>
      <c r="H653" s="456"/>
    </row>
    <row r="654" spans="1:8">
      <c r="A654" s="471">
        <v>1650</v>
      </c>
      <c r="B654" s="493" t="s">
        <v>1788</v>
      </c>
      <c r="C654" s="472" t="s">
        <v>248</v>
      </c>
      <c r="D654" s="456">
        <f>IF(Table10[[#This Row],[Current Age]]&gt;19,"Men's",IF(E654&gt;15,"U19",IF(E654&gt;13,"U15",IF(E654&gt;11,"U13",IF(E654&gt;0,"U11",0)))))</f>
        <v>0</v>
      </c>
      <c r="E654" s="456">
        <f>IFERROR(IF(Table10[[#This Row],[Year]]&gt;0,$E$1-Table10[[#This Row],[Year]],0),"")</f>
        <v>0</v>
      </c>
      <c r="F654" s="456"/>
      <c r="G654" s="456"/>
      <c r="H654" s="456"/>
    </row>
    <row r="655" spans="1:8">
      <c r="A655" s="456">
        <v>1651</v>
      </c>
      <c r="B655" s="469" t="s">
        <v>1789</v>
      </c>
      <c r="C655" s="458" t="s">
        <v>248</v>
      </c>
      <c r="D655" s="456">
        <f>IF(Table10[[#This Row],[Current Age]]&gt;19,"Men's",IF(E655&gt;15,"U19",IF(E655&gt;13,"U15",IF(E655&gt;11,"U13",IF(E655&gt;0,"U11",0)))))</f>
        <v>0</v>
      </c>
      <c r="E655" s="456">
        <f>IFERROR(IF(Table10[[#This Row],[Year]]&gt;0,$E$1-Table10[[#This Row],[Year]],0),"")</f>
        <v>0</v>
      </c>
      <c r="F655" s="456"/>
      <c r="G655" s="456"/>
      <c r="H655" s="456"/>
    </row>
    <row r="656" spans="1:8">
      <c r="A656" s="471">
        <v>1652</v>
      </c>
      <c r="B656" s="493" t="s">
        <v>1790</v>
      </c>
      <c r="C656" s="472" t="s">
        <v>248</v>
      </c>
      <c r="D656" s="456">
        <f>IF(Table10[[#This Row],[Current Age]]&gt;19,"Men's",IF(E656&gt;15,"U19",IF(E656&gt;13,"U15",IF(E656&gt;11,"U13",IF(E656&gt;0,"U11",0)))))</f>
        <v>0</v>
      </c>
      <c r="E656" s="456">
        <f>IFERROR(IF(Table10[[#This Row],[Year]]&gt;0,$E$1-Table10[[#This Row],[Year]],0),"")</f>
        <v>0</v>
      </c>
      <c r="F656" s="456"/>
      <c r="G656" s="456"/>
      <c r="H656" s="456"/>
    </row>
    <row r="657" spans="1:8">
      <c r="A657" s="456">
        <v>1653</v>
      </c>
      <c r="B657" s="469" t="s">
        <v>1791</v>
      </c>
      <c r="C657" s="458" t="s">
        <v>248</v>
      </c>
      <c r="D657" s="456">
        <f>IF(Table10[[#This Row],[Current Age]]&gt;19,"Men's",IF(E657&gt;15,"U19",IF(E657&gt;13,"U15",IF(E657&gt;11,"U13",IF(E657&gt;0,"U11",0)))))</f>
        <v>0</v>
      </c>
      <c r="E657" s="456">
        <f>IFERROR(IF(Table10[[#This Row],[Year]]&gt;0,$E$1-Table10[[#This Row],[Year]],0),"")</f>
        <v>0</v>
      </c>
      <c r="F657" s="456"/>
      <c r="G657" s="456"/>
      <c r="H657" s="456"/>
    </row>
    <row r="658" spans="1:8">
      <c r="A658" s="471">
        <v>1654</v>
      </c>
      <c r="B658" s="493" t="s">
        <v>1792</v>
      </c>
      <c r="C658" s="472" t="s">
        <v>248</v>
      </c>
      <c r="D658" s="456">
        <f>IF(Table10[[#This Row],[Current Age]]&gt;19,"Men's",IF(E658&gt;15,"U19",IF(E658&gt;13,"U15",IF(E658&gt;11,"U13",IF(E658&gt;0,"U11",0)))))</f>
        <v>0</v>
      </c>
      <c r="E658" s="456">
        <f>IFERROR(IF(Table10[[#This Row],[Year]]&gt;0,$E$1-Table10[[#This Row],[Year]],0),"")</f>
        <v>0</v>
      </c>
      <c r="F658" s="456"/>
      <c r="G658" s="456"/>
      <c r="H658" s="456"/>
    </row>
    <row r="659" spans="1:8">
      <c r="A659" s="456">
        <v>1655</v>
      </c>
      <c r="B659" s="469" t="s">
        <v>1793</v>
      </c>
      <c r="C659" s="458" t="s">
        <v>248</v>
      </c>
      <c r="D659" s="456">
        <f>IF(Table10[[#This Row],[Current Age]]&gt;19,"Men's",IF(E659&gt;15,"U19",IF(E659&gt;13,"U15",IF(E659&gt;11,"U13",IF(E659&gt;0,"U11",0)))))</f>
        <v>0</v>
      </c>
      <c r="E659" s="456">
        <f>IFERROR(IF(Table10[[#This Row],[Year]]&gt;0,$E$1-Table10[[#This Row],[Year]],0),"")</f>
        <v>0</v>
      </c>
      <c r="F659" s="456"/>
      <c r="G659" s="456"/>
      <c r="H659" s="456"/>
    </row>
    <row r="660" spans="1:8">
      <c r="A660" s="471">
        <v>1656</v>
      </c>
      <c r="B660" s="493" t="s">
        <v>1794</v>
      </c>
      <c r="C660" s="472" t="s">
        <v>248</v>
      </c>
      <c r="D660" s="456">
        <f>IF(Table10[[#This Row],[Current Age]]&gt;19,"Men's",IF(E660&gt;15,"U19",IF(E660&gt;13,"U15",IF(E660&gt;11,"U13",IF(E660&gt;0,"U11",0)))))</f>
        <v>0</v>
      </c>
      <c r="E660" s="456">
        <f>IFERROR(IF(Table10[[#This Row],[Year]]&gt;0,$E$1-Table10[[#This Row],[Year]],0),"")</f>
        <v>0</v>
      </c>
      <c r="F660" s="456"/>
      <c r="G660" s="456"/>
      <c r="H660" s="456"/>
    </row>
    <row r="661" spans="1:8">
      <c r="A661" s="456">
        <v>1657</v>
      </c>
      <c r="B661" s="469" t="s">
        <v>1795</v>
      </c>
      <c r="C661" s="458" t="s">
        <v>248</v>
      </c>
      <c r="D661" s="456">
        <f>IF(Table10[[#This Row],[Current Age]]&gt;19,"Men's",IF(E661&gt;15,"U19",IF(E661&gt;13,"U15",IF(E661&gt;11,"U13",IF(E661&gt;0,"U11",0)))))</f>
        <v>0</v>
      </c>
      <c r="E661" s="456">
        <f>IFERROR(IF(Table10[[#This Row],[Year]]&gt;0,$E$1-Table10[[#This Row],[Year]],0),"")</f>
        <v>0</v>
      </c>
      <c r="F661" s="456"/>
      <c r="G661" s="456"/>
      <c r="H661" s="456"/>
    </row>
    <row r="662" spans="1:8">
      <c r="A662" s="471">
        <v>1658</v>
      </c>
      <c r="B662" s="493" t="s">
        <v>1796</v>
      </c>
      <c r="C662" s="472" t="s">
        <v>248</v>
      </c>
      <c r="D662" s="456">
        <f>IF(Table10[[#This Row],[Current Age]]&gt;19,"Men's",IF(E662&gt;15,"U19",IF(E662&gt;13,"U15",IF(E662&gt;11,"U13",IF(E662&gt;0,"U11",0)))))</f>
        <v>0</v>
      </c>
      <c r="E662" s="456">
        <f>IFERROR(IF(Table10[[#This Row],[Year]]&gt;0,$E$1-Table10[[#This Row],[Year]],0),"")</f>
        <v>0</v>
      </c>
      <c r="F662" s="456"/>
      <c r="G662" s="456"/>
      <c r="H662" s="456"/>
    </row>
    <row r="663" spans="1:8">
      <c r="A663" s="456">
        <v>1659</v>
      </c>
      <c r="B663" s="469" t="s">
        <v>1797</v>
      </c>
      <c r="C663" s="458" t="s">
        <v>248</v>
      </c>
      <c r="D663" s="456">
        <f>IF(Table10[[#This Row],[Current Age]]&gt;19,"Men's",IF(E663&gt;15,"U19",IF(E663&gt;13,"U15",IF(E663&gt;11,"U13",IF(E663&gt;0,"U11",0)))))</f>
        <v>0</v>
      </c>
      <c r="E663" s="456">
        <f>IFERROR(IF(Table10[[#This Row],[Year]]&gt;0,$E$1-Table10[[#This Row],[Year]],0),"")</f>
        <v>0</v>
      </c>
      <c r="F663" s="456"/>
      <c r="G663" s="456"/>
      <c r="H663" s="456"/>
    </row>
    <row r="664" spans="1:8">
      <c r="A664" s="471">
        <v>1660</v>
      </c>
      <c r="B664" s="493" t="s">
        <v>1798</v>
      </c>
      <c r="C664" s="472" t="s">
        <v>248</v>
      </c>
      <c r="D664" s="456">
        <f>IF(Table10[[#This Row],[Current Age]]&gt;19,"Men's",IF(E664&gt;15,"U19",IF(E664&gt;13,"U15",IF(E664&gt;11,"U13",IF(E664&gt;0,"U11",0)))))</f>
        <v>0</v>
      </c>
      <c r="E664" s="456">
        <f>IFERROR(IF(Table10[[#This Row],[Year]]&gt;0,$E$1-Table10[[#This Row],[Year]],0),"")</f>
        <v>0</v>
      </c>
      <c r="F664" s="456"/>
      <c r="G664" s="456"/>
      <c r="H664" s="456"/>
    </row>
    <row r="665" spans="1:8">
      <c r="A665" s="456">
        <v>1661</v>
      </c>
      <c r="B665" s="469" t="s">
        <v>1799</v>
      </c>
      <c r="C665" s="458" t="s">
        <v>248</v>
      </c>
      <c r="D665" s="456">
        <f>IF(Table10[[#This Row],[Current Age]]&gt;19,"Men's",IF(E665&gt;15,"U19",IF(E665&gt;13,"U15",IF(E665&gt;11,"U13",IF(E665&gt;0,"U11",0)))))</f>
        <v>0</v>
      </c>
      <c r="E665" s="456">
        <f>IFERROR(IF(Table10[[#This Row],[Year]]&gt;0,$E$1-Table10[[#This Row],[Year]],0),"")</f>
        <v>0</v>
      </c>
      <c r="F665" s="456"/>
      <c r="G665" s="456"/>
      <c r="H665" s="456"/>
    </row>
    <row r="666" spans="1:8">
      <c r="A666" s="471">
        <v>1662</v>
      </c>
      <c r="B666" s="493" t="s">
        <v>1800</v>
      </c>
      <c r="C666" s="472" t="s">
        <v>248</v>
      </c>
      <c r="D666" s="456">
        <f>IF(Table10[[#This Row],[Current Age]]&gt;19,"Men's",IF(E666&gt;15,"U19",IF(E666&gt;13,"U15",IF(E666&gt;11,"U13",IF(E666&gt;0,"U11",0)))))</f>
        <v>0</v>
      </c>
      <c r="E666" s="456">
        <f>IFERROR(IF(Table10[[#This Row],[Year]]&gt;0,$E$1-Table10[[#This Row],[Year]],0),"")</f>
        <v>0</v>
      </c>
      <c r="F666" s="456"/>
      <c r="G666" s="456"/>
      <c r="H666" s="456"/>
    </row>
    <row r="667" spans="1:8">
      <c r="A667" s="456">
        <v>1663</v>
      </c>
      <c r="B667" s="469" t="s">
        <v>1801</v>
      </c>
      <c r="C667" s="458" t="s">
        <v>248</v>
      </c>
      <c r="D667" s="456">
        <f>IF(Table10[[#This Row],[Current Age]]&gt;19,"Men's",IF(E667&gt;15,"U19",IF(E667&gt;13,"U15",IF(E667&gt;11,"U13",IF(E667&gt;0,"U11",0)))))</f>
        <v>0</v>
      </c>
      <c r="E667" s="456">
        <f>IFERROR(IF(Table10[[#This Row],[Year]]&gt;0,$E$1-Table10[[#This Row],[Year]],0),"")</f>
        <v>0</v>
      </c>
      <c r="F667" s="456"/>
      <c r="G667" s="456"/>
      <c r="H667" s="456"/>
    </row>
    <row r="668" spans="1:8">
      <c r="A668" s="471">
        <v>1664</v>
      </c>
      <c r="B668" s="493" t="s">
        <v>1802</v>
      </c>
      <c r="C668" s="472" t="s">
        <v>248</v>
      </c>
      <c r="D668" s="456">
        <f>IF(Table10[[#This Row],[Current Age]]&gt;19,"Men's",IF(E668&gt;15,"U19",IF(E668&gt;13,"U15",IF(E668&gt;11,"U13",IF(E668&gt;0,"U11",0)))))</f>
        <v>0</v>
      </c>
      <c r="E668" s="456">
        <f>IFERROR(IF(Table10[[#This Row],[Year]]&gt;0,$E$1-Table10[[#This Row],[Year]],0),"")</f>
        <v>0</v>
      </c>
      <c r="F668" s="456"/>
      <c r="G668" s="456"/>
      <c r="H668" s="456"/>
    </row>
    <row r="669" spans="1:8">
      <c r="A669" s="456">
        <v>1665</v>
      </c>
      <c r="B669" s="469" t="s">
        <v>1803</v>
      </c>
      <c r="C669" s="458" t="s">
        <v>248</v>
      </c>
      <c r="D669" s="456">
        <f>IF(Table10[[#This Row],[Current Age]]&gt;19,"Men's",IF(E669&gt;15,"U19",IF(E669&gt;13,"U15",IF(E669&gt;11,"U13",IF(E669&gt;0,"U11",0)))))</f>
        <v>0</v>
      </c>
      <c r="E669" s="456">
        <f>IFERROR(IF(Table10[[#This Row],[Year]]&gt;0,$E$1-Table10[[#This Row],[Year]],0),"")</f>
        <v>0</v>
      </c>
      <c r="F669" s="456"/>
      <c r="G669" s="456"/>
      <c r="H669" s="456"/>
    </row>
    <row r="670" spans="1:8">
      <c r="A670" s="471">
        <v>1666</v>
      </c>
      <c r="B670" s="493" t="s">
        <v>1804</v>
      </c>
      <c r="C670" s="472" t="s">
        <v>248</v>
      </c>
      <c r="D670" s="456">
        <f>IF(Table10[[#This Row],[Current Age]]&gt;19,"Men's",IF(E670&gt;15,"U19",IF(E670&gt;13,"U15",IF(E670&gt;11,"U13",IF(E670&gt;0,"U11",0)))))</f>
        <v>0</v>
      </c>
      <c r="E670" s="456">
        <f>IFERROR(IF(Table10[[#This Row],[Year]]&gt;0,$E$1-Table10[[#This Row],[Year]],0),"")</f>
        <v>0</v>
      </c>
      <c r="F670" s="456"/>
      <c r="G670" s="456"/>
      <c r="H670" s="456"/>
    </row>
    <row r="671" spans="1:8">
      <c r="A671" s="456">
        <v>1667</v>
      </c>
      <c r="B671" s="469" t="s">
        <v>1805</v>
      </c>
      <c r="C671" s="458" t="s">
        <v>248</v>
      </c>
      <c r="D671" s="456">
        <f>IF(Table10[[#This Row],[Current Age]]&gt;19,"Men's",IF(E671&gt;15,"U19",IF(E671&gt;13,"U15",IF(E671&gt;11,"U13",IF(E671&gt;0,"U11",0)))))</f>
        <v>0</v>
      </c>
      <c r="E671" s="456">
        <f>IFERROR(IF(Table10[[#This Row],[Year]]&gt;0,$E$1-Table10[[#This Row],[Year]],0),"")</f>
        <v>0</v>
      </c>
      <c r="F671" s="456"/>
      <c r="G671" s="456"/>
      <c r="H671" s="456"/>
    </row>
    <row r="672" spans="1:8">
      <c r="A672" s="471">
        <v>1668</v>
      </c>
      <c r="B672" s="493" t="s">
        <v>1806</v>
      </c>
      <c r="C672" s="472" t="s">
        <v>248</v>
      </c>
      <c r="D672" s="456">
        <f>IF(Table10[[#This Row],[Current Age]]&gt;19,"Men's",IF(E672&gt;15,"U19",IF(E672&gt;13,"U15",IF(E672&gt;11,"U13",IF(E672&gt;0,"U11",0)))))</f>
        <v>0</v>
      </c>
      <c r="E672" s="456">
        <f>IFERROR(IF(Table10[[#This Row],[Year]]&gt;0,$E$1-Table10[[#This Row],[Year]],0),"")</f>
        <v>0</v>
      </c>
      <c r="F672" s="456"/>
      <c r="G672" s="456"/>
      <c r="H672" s="456"/>
    </row>
    <row r="673" spans="1:8">
      <c r="A673" s="456">
        <v>1669</v>
      </c>
      <c r="B673" s="469" t="s">
        <v>1807</v>
      </c>
      <c r="C673" s="458" t="s">
        <v>248</v>
      </c>
      <c r="D673" s="456">
        <f>IF(Table10[[#This Row],[Current Age]]&gt;19,"Men's",IF(E673&gt;15,"U19",IF(E673&gt;13,"U15",IF(E673&gt;11,"U13",IF(E673&gt;0,"U11",0)))))</f>
        <v>0</v>
      </c>
      <c r="E673" s="456">
        <f>IFERROR(IF(Table10[[#This Row],[Year]]&gt;0,$E$1-Table10[[#This Row],[Year]],0),"")</f>
        <v>0</v>
      </c>
      <c r="F673" s="456"/>
      <c r="G673" s="456"/>
      <c r="H673" s="456"/>
    </row>
    <row r="674" spans="1:8">
      <c r="A674" s="471">
        <v>1670</v>
      </c>
      <c r="B674" s="493" t="s">
        <v>1808</v>
      </c>
      <c r="C674" s="472" t="s">
        <v>248</v>
      </c>
      <c r="D674" s="456">
        <f>IF(Table10[[#This Row],[Current Age]]&gt;19,"Men's",IF(E674&gt;15,"U19",IF(E674&gt;13,"U15",IF(E674&gt;11,"U13",IF(E674&gt;0,"U11",0)))))</f>
        <v>0</v>
      </c>
      <c r="E674" s="456">
        <f>IFERROR(IF(Table10[[#This Row],[Year]]&gt;0,$E$1-Table10[[#This Row],[Year]],0),"")</f>
        <v>0</v>
      </c>
      <c r="F674" s="456"/>
      <c r="G674" s="456"/>
      <c r="H674" s="456"/>
    </row>
    <row r="675" spans="1:8">
      <c r="A675" s="456">
        <v>1671</v>
      </c>
      <c r="B675" s="469" t="s">
        <v>1809</v>
      </c>
      <c r="C675" s="458" t="s">
        <v>248</v>
      </c>
      <c r="D675" s="456">
        <f>IF(Table10[[#This Row],[Current Age]]&gt;19,"Men's",IF(E675&gt;15,"U19",IF(E675&gt;13,"U15",IF(E675&gt;11,"U13",IF(E675&gt;0,"U11",0)))))</f>
        <v>0</v>
      </c>
      <c r="E675" s="456">
        <f>IFERROR(IF(Table10[[#This Row],[Year]]&gt;0,$E$1-Table10[[#This Row],[Year]],0),"")</f>
        <v>0</v>
      </c>
      <c r="F675" s="456"/>
      <c r="G675" s="456"/>
      <c r="H675" s="456"/>
    </row>
    <row r="676" spans="1:8">
      <c r="A676" s="471">
        <v>1672</v>
      </c>
      <c r="B676" s="493" t="s">
        <v>1810</v>
      </c>
      <c r="C676" s="472" t="s">
        <v>248</v>
      </c>
      <c r="D676" s="456">
        <f>IF(Table10[[#This Row],[Current Age]]&gt;19,"Men's",IF(E676&gt;15,"U19",IF(E676&gt;13,"U15",IF(E676&gt;11,"U13",IF(E676&gt;0,"U11",0)))))</f>
        <v>0</v>
      </c>
      <c r="E676" s="456">
        <f>IFERROR(IF(Table10[[#This Row],[Year]]&gt;0,$E$1-Table10[[#This Row],[Year]],0),"")</f>
        <v>0</v>
      </c>
      <c r="F676" s="456"/>
      <c r="G676" s="456"/>
      <c r="H676" s="456"/>
    </row>
    <row r="677" spans="1:8">
      <c r="A677" s="456">
        <v>1673</v>
      </c>
      <c r="B677" s="469" t="s">
        <v>1811</v>
      </c>
      <c r="C677" s="458" t="s">
        <v>248</v>
      </c>
      <c r="D677" s="456">
        <f>IF(Table10[[#This Row],[Current Age]]&gt;19,"Men's",IF(E677&gt;15,"U19",IF(E677&gt;13,"U15",IF(E677&gt;11,"U13",IF(E677&gt;0,"U11",0)))))</f>
        <v>0</v>
      </c>
      <c r="E677" s="456">
        <f>IFERROR(IF(Table10[[#This Row],[Year]]&gt;0,$E$1-Table10[[#This Row],[Year]],0),"")</f>
        <v>0</v>
      </c>
      <c r="F677" s="456"/>
      <c r="G677" s="456"/>
      <c r="H677" s="456"/>
    </row>
    <row r="678" spans="1:8">
      <c r="A678" s="471">
        <v>1674</v>
      </c>
      <c r="B678" s="493" t="s">
        <v>1812</v>
      </c>
      <c r="C678" s="472" t="s">
        <v>248</v>
      </c>
      <c r="D678" s="456">
        <f>IF(Table10[[#This Row],[Current Age]]&gt;19,"Men's",IF(E678&gt;15,"U19",IF(E678&gt;13,"U15",IF(E678&gt;11,"U13",IF(E678&gt;0,"U11",0)))))</f>
        <v>0</v>
      </c>
      <c r="E678" s="456">
        <f>IFERROR(IF(Table10[[#This Row],[Year]]&gt;0,$E$1-Table10[[#This Row],[Year]],0),"")</f>
        <v>0</v>
      </c>
      <c r="F678" s="456"/>
      <c r="G678" s="456"/>
      <c r="H678" s="456"/>
    </row>
    <row r="679" spans="1:8">
      <c r="A679" s="456">
        <v>1675</v>
      </c>
      <c r="B679" s="469" t="s">
        <v>1813</v>
      </c>
      <c r="C679" s="458" t="s">
        <v>248</v>
      </c>
      <c r="D679" s="456">
        <f>IF(Table10[[#This Row],[Current Age]]&gt;19,"Men's",IF(E679&gt;15,"U19",IF(E679&gt;13,"U15",IF(E679&gt;11,"U13",IF(E679&gt;0,"U11",0)))))</f>
        <v>0</v>
      </c>
      <c r="E679" s="456">
        <f>IFERROR(IF(Table10[[#This Row],[Year]]&gt;0,$E$1-Table10[[#This Row],[Year]],0),"")</f>
        <v>0</v>
      </c>
      <c r="F679" s="456"/>
      <c r="G679" s="456"/>
      <c r="H679" s="456"/>
    </row>
    <row r="680" spans="1:8">
      <c r="A680" s="471">
        <v>1676</v>
      </c>
      <c r="B680" s="493" t="s">
        <v>1814</v>
      </c>
      <c r="C680" s="472" t="s">
        <v>248</v>
      </c>
      <c r="D680" s="456">
        <f>IF(Table10[[#This Row],[Current Age]]&gt;19,"Men's",IF(E680&gt;15,"U19",IF(E680&gt;13,"U15",IF(E680&gt;11,"U13",IF(E680&gt;0,"U11",0)))))</f>
        <v>0</v>
      </c>
      <c r="E680" s="456">
        <f>IFERROR(IF(Table10[[#This Row],[Year]]&gt;0,$E$1-Table10[[#This Row],[Year]],0),"")</f>
        <v>0</v>
      </c>
      <c r="F680" s="456"/>
      <c r="G680" s="456"/>
      <c r="H680" s="456"/>
    </row>
    <row r="681" spans="1:8">
      <c r="A681" s="456">
        <v>1677</v>
      </c>
      <c r="B681" s="469" t="s">
        <v>1815</v>
      </c>
      <c r="C681" s="458" t="s">
        <v>248</v>
      </c>
      <c r="D681" s="456">
        <f>IF(Table10[[#This Row],[Current Age]]&gt;19,"Men's",IF(E681&gt;15,"U19",IF(E681&gt;13,"U15",IF(E681&gt;11,"U13",IF(E681&gt;0,"U11",0)))))</f>
        <v>0</v>
      </c>
      <c r="E681" s="456">
        <f>IFERROR(IF(Table10[[#This Row],[Year]]&gt;0,$E$1-Table10[[#This Row],[Year]],0),"")</f>
        <v>0</v>
      </c>
      <c r="F681" s="456"/>
      <c r="G681" s="456"/>
      <c r="H681" s="456"/>
    </row>
    <row r="682" spans="1:8">
      <c r="A682" s="471">
        <v>1678</v>
      </c>
      <c r="B682" s="493" t="s">
        <v>1816</v>
      </c>
      <c r="C682" s="472" t="s">
        <v>248</v>
      </c>
      <c r="D682" s="456">
        <f>IF(Table10[[#This Row],[Current Age]]&gt;19,"Men's",IF(E682&gt;15,"U19",IF(E682&gt;13,"U15",IF(E682&gt;11,"U13",IF(E682&gt;0,"U11",0)))))</f>
        <v>0</v>
      </c>
      <c r="E682" s="456">
        <f>IFERROR(IF(Table10[[#This Row],[Year]]&gt;0,$E$1-Table10[[#This Row],[Year]],0),"")</f>
        <v>0</v>
      </c>
      <c r="F682" s="456"/>
      <c r="G682" s="456"/>
      <c r="H682" s="456"/>
    </row>
    <row r="683" spans="1:8">
      <c r="A683" s="456">
        <v>1679</v>
      </c>
      <c r="B683" s="469" t="s">
        <v>2496</v>
      </c>
      <c r="C683" s="458" t="s">
        <v>4720</v>
      </c>
      <c r="D683" s="456">
        <f>IF(Table10[[#This Row],[Current Age]]&gt;19,"Men's",IF(E683&gt;15,"U19",IF(E683&gt;13,"U15",IF(E683&gt;11,"U13",IF(E683&gt;0,"U11",0)))))</f>
        <v>0</v>
      </c>
      <c r="E683" s="456">
        <f>IFERROR(IF(Table10[[#This Row],[Year]]&gt;0,$E$1-Table10[[#This Row],[Year]],0),"")</f>
        <v>0</v>
      </c>
      <c r="F683" s="456"/>
      <c r="G683" s="456"/>
      <c r="H683" s="456"/>
    </row>
    <row r="684" spans="1:8">
      <c r="A684" s="471">
        <v>1680</v>
      </c>
      <c r="B684" s="493" t="s">
        <v>1817</v>
      </c>
      <c r="C684" s="472" t="s">
        <v>248</v>
      </c>
      <c r="D684" s="456">
        <f>IF(Table10[[#This Row],[Current Age]]&gt;19,"Men's",IF(E684&gt;15,"U19",IF(E684&gt;13,"U15",IF(E684&gt;11,"U13",IF(E684&gt;0,"U11",0)))))</f>
        <v>0</v>
      </c>
      <c r="E684" s="456">
        <f>IFERROR(IF(Table10[[#This Row],[Year]]&gt;0,$E$1-Table10[[#This Row],[Year]],0),"")</f>
        <v>0</v>
      </c>
      <c r="F684" s="456"/>
      <c r="G684" s="456"/>
      <c r="H684" s="456"/>
    </row>
    <row r="685" spans="1:8">
      <c r="A685" s="456">
        <v>1681</v>
      </c>
      <c r="B685" s="469" t="s">
        <v>1818</v>
      </c>
      <c r="C685" s="458" t="s">
        <v>248</v>
      </c>
      <c r="D685" s="456">
        <f>IF(Table10[[#This Row],[Current Age]]&gt;19,"Men's",IF(E685&gt;15,"U19",IF(E685&gt;13,"U15",IF(E685&gt;11,"U13",IF(E685&gt;0,"U11",0)))))</f>
        <v>0</v>
      </c>
      <c r="E685" s="456">
        <f>IFERROR(IF(Table10[[#This Row],[Year]]&gt;0,$E$1-Table10[[#This Row],[Year]],0),"")</f>
        <v>0</v>
      </c>
      <c r="F685" s="456"/>
      <c r="G685" s="456"/>
      <c r="H685" s="456"/>
    </row>
    <row r="686" spans="1:8">
      <c r="A686" s="471">
        <v>1682</v>
      </c>
      <c r="B686" s="493" t="s">
        <v>1819</v>
      </c>
      <c r="C686" s="472" t="s">
        <v>248</v>
      </c>
      <c r="D686" s="456">
        <f>IF(Table10[[#This Row],[Current Age]]&gt;19,"Men's",IF(E686&gt;15,"U19",IF(E686&gt;13,"U15",IF(E686&gt;11,"U13",IF(E686&gt;0,"U11",0)))))</f>
        <v>0</v>
      </c>
      <c r="E686" s="456">
        <f>IFERROR(IF(Table10[[#This Row],[Year]]&gt;0,$E$1-Table10[[#This Row],[Year]],0),"")</f>
        <v>0</v>
      </c>
      <c r="F686" s="456"/>
      <c r="G686" s="456"/>
      <c r="H686" s="456"/>
    </row>
    <row r="687" spans="1:8">
      <c r="A687" s="456">
        <v>1683</v>
      </c>
      <c r="B687" s="469" t="s">
        <v>1820</v>
      </c>
      <c r="C687" s="458" t="s">
        <v>248</v>
      </c>
      <c r="D687" s="456">
        <f>IF(Table10[[#This Row],[Current Age]]&gt;19,"Men's",IF(E687&gt;15,"U19",IF(E687&gt;13,"U15",IF(E687&gt;11,"U13",IF(E687&gt;0,"U11",0)))))</f>
        <v>0</v>
      </c>
      <c r="E687" s="456">
        <f>IFERROR(IF(Table10[[#This Row],[Year]]&gt;0,$E$1-Table10[[#This Row],[Year]],0),"")</f>
        <v>0</v>
      </c>
      <c r="F687" s="456"/>
      <c r="G687" s="456"/>
      <c r="H687" s="456"/>
    </row>
    <row r="688" spans="1:8">
      <c r="A688" s="471">
        <v>1684</v>
      </c>
      <c r="B688" s="493" t="s">
        <v>1821</v>
      </c>
      <c r="C688" s="472" t="s">
        <v>248</v>
      </c>
      <c r="D688" s="456">
        <f>IF(Table10[[#This Row],[Current Age]]&gt;19,"Men's",IF(E688&gt;15,"U19",IF(E688&gt;13,"U15",IF(E688&gt;11,"U13",IF(E688&gt;0,"U11",0)))))</f>
        <v>0</v>
      </c>
      <c r="E688" s="456">
        <f>IFERROR(IF(Table10[[#This Row],[Year]]&gt;0,$E$1-Table10[[#This Row],[Year]],0),"")</f>
        <v>0</v>
      </c>
      <c r="F688" s="456"/>
      <c r="G688" s="456"/>
      <c r="H688" s="456"/>
    </row>
    <row r="689" spans="1:8">
      <c r="A689" s="456">
        <v>1685</v>
      </c>
      <c r="B689" s="469" t="s">
        <v>1822</v>
      </c>
      <c r="C689" s="458" t="s">
        <v>248</v>
      </c>
      <c r="D689" s="456">
        <f>IF(Table10[[#This Row],[Current Age]]&gt;19,"Men's",IF(E689&gt;15,"U19",IF(E689&gt;13,"U15",IF(E689&gt;11,"U13",IF(E689&gt;0,"U11",0)))))</f>
        <v>0</v>
      </c>
      <c r="E689" s="456">
        <f>IFERROR(IF(Table10[[#This Row],[Year]]&gt;0,$E$1-Table10[[#This Row],[Year]],0),"")</f>
        <v>0</v>
      </c>
      <c r="F689" s="456"/>
      <c r="G689" s="456"/>
      <c r="H689" s="456"/>
    </row>
    <row r="690" spans="1:8">
      <c r="A690" s="471">
        <v>1686</v>
      </c>
      <c r="B690" s="493" t="s">
        <v>280</v>
      </c>
      <c r="C690" s="472" t="s">
        <v>248</v>
      </c>
      <c r="D690" s="456">
        <f>IF(Table10[[#This Row],[Current Age]]&gt;19,"Men's",IF(E690&gt;15,"U19",IF(E690&gt;13,"U15",IF(E690&gt;11,"U13",IF(E690&gt;0,"U11",0)))))</f>
        <v>0</v>
      </c>
      <c r="E690" s="456">
        <f>IFERROR(IF(Table10[[#This Row],[Year]]&gt;0,$E$1-Table10[[#This Row],[Year]],0),"")</f>
        <v>0</v>
      </c>
      <c r="F690" s="456"/>
      <c r="G690" s="456"/>
      <c r="H690" s="456"/>
    </row>
    <row r="691" spans="1:8">
      <c r="A691" s="456">
        <v>1687</v>
      </c>
      <c r="B691" s="469" t="s">
        <v>1823</v>
      </c>
      <c r="C691" s="458" t="s">
        <v>248</v>
      </c>
      <c r="D691" s="456">
        <f>IF(Table10[[#This Row],[Current Age]]&gt;19,"Men's",IF(E691&gt;15,"U19",IF(E691&gt;13,"U15",IF(E691&gt;11,"U13",IF(E691&gt;0,"U11",0)))))</f>
        <v>0</v>
      </c>
      <c r="E691" s="456">
        <f>IFERROR(IF(Table10[[#This Row],[Year]]&gt;0,$E$1-Table10[[#This Row],[Year]],0),"")</f>
        <v>0</v>
      </c>
      <c r="F691" s="456"/>
      <c r="G691" s="456"/>
      <c r="H691" s="456"/>
    </row>
    <row r="692" spans="1:8">
      <c r="A692" s="471">
        <v>1688</v>
      </c>
      <c r="B692" s="493" t="s">
        <v>1824</v>
      </c>
      <c r="C692" s="472" t="s">
        <v>246</v>
      </c>
      <c r="D692" s="456">
        <f>IF(Table10[[#This Row],[Current Age]]&gt;19,"Men's",IF(E692&gt;15,"U19",IF(E692&gt;13,"U15",IF(E692&gt;11,"U13",IF(E692&gt;0,"U11",0)))))</f>
        <v>0</v>
      </c>
      <c r="E692" s="456">
        <f>IFERROR(IF(Table10[[#This Row],[Year]]&gt;0,$E$1-Table10[[#This Row],[Year]],0),"")</f>
        <v>0</v>
      </c>
      <c r="F692" s="456"/>
      <c r="G692" s="456"/>
      <c r="H692" s="456"/>
    </row>
    <row r="693" spans="1:8">
      <c r="A693" s="456">
        <v>1689</v>
      </c>
      <c r="B693" s="469" t="s">
        <v>1825</v>
      </c>
      <c r="C693" s="458" t="s">
        <v>361</v>
      </c>
      <c r="D693" s="456" t="str">
        <f>IF(Table10[[#This Row],[Current Age]]&gt;19,"Men's",IF(E693&gt;15,"U19",IF(E693&gt;13,"U15",IF(E693&gt;11,"U13",IF(E693&gt;0,"U11",0)))))</f>
        <v>Men's</v>
      </c>
      <c r="E693" s="456">
        <f>IFERROR(IF(Table10[[#This Row],[Year]]&gt;0,$E$1-Table10[[#This Row],[Year]],0),"")</f>
        <v>52</v>
      </c>
      <c r="F693" s="456">
        <v>1973</v>
      </c>
      <c r="G693" s="456">
        <v>7</v>
      </c>
      <c r="H693" s="456">
        <v>23</v>
      </c>
    </row>
    <row r="694" spans="1:8">
      <c r="A694" s="471">
        <v>1690</v>
      </c>
      <c r="B694" s="493" t="s">
        <v>1826</v>
      </c>
      <c r="C694" s="472" t="s">
        <v>250</v>
      </c>
      <c r="D694" s="456">
        <f>IF(Table10[[#This Row],[Current Age]]&gt;19,"Men's",IF(E694&gt;15,"U19",IF(E694&gt;13,"U15",IF(E694&gt;11,"U13",IF(E694&gt;0,"U11",0)))))</f>
        <v>0</v>
      </c>
      <c r="E694" s="456">
        <f>IFERROR(IF(Table10[[#This Row],[Year]]&gt;0,$E$1-Table10[[#This Row],[Year]],0),"")</f>
        <v>0</v>
      </c>
      <c r="F694" s="456"/>
      <c r="G694" s="456"/>
      <c r="H694" s="456"/>
    </row>
    <row r="695" spans="1:8">
      <c r="A695" s="456">
        <v>1691</v>
      </c>
      <c r="B695" s="469" t="s">
        <v>1827</v>
      </c>
      <c r="C695" s="458" t="s">
        <v>250</v>
      </c>
      <c r="D695" s="456">
        <f>IF(Table10[[#This Row],[Current Age]]&gt;19,"Men's",IF(E695&gt;15,"U19",IF(E695&gt;13,"U15",IF(E695&gt;11,"U13",IF(E695&gt;0,"U11",0)))))</f>
        <v>0</v>
      </c>
      <c r="E695" s="456">
        <f>IFERROR(IF(Table10[[#This Row],[Year]]&gt;0,$E$1-Table10[[#This Row],[Year]],0),"")</f>
        <v>0</v>
      </c>
      <c r="F695" s="456"/>
      <c r="G695" s="456"/>
      <c r="H695" s="456"/>
    </row>
    <row r="696" spans="1:8">
      <c r="A696" s="471">
        <v>1692</v>
      </c>
      <c r="B696" s="493" t="s">
        <v>1828</v>
      </c>
      <c r="C696" s="472" t="s">
        <v>252</v>
      </c>
      <c r="D696" s="456">
        <f>IF(Table10[[#This Row],[Current Age]]&gt;19,"Men's",IF(E696&gt;15,"U19",IF(E696&gt;13,"U15",IF(E696&gt;11,"U13",IF(E696&gt;0,"U11",0)))))</f>
        <v>0</v>
      </c>
      <c r="E696" s="456">
        <f>IFERROR(IF(Table10[[#This Row],[Year]]&gt;0,$E$1-Table10[[#This Row],[Year]],0),"")</f>
        <v>0</v>
      </c>
      <c r="F696" s="456"/>
      <c r="G696" s="456"/>
      <c r="H696" s="456"/>
    </row>
    <row r="697" spans="1:8">
      <c r="A697" s="456">
        <v>1693</v>
      </c>
      <c r="B697" s="469" t="s">
        <v>1829</v>
      </c>
      <c r="C697" s="458" t="s">
        <v>251</v>
      </c>
      <c r="D697" s="456">
        <f>IF(Table10[[#This Row],[Current Age]]&gt;19,"Men's",IF(E697&gt;15,"U19",IF(E697&gt;13,"U15",IF(E697&gt;11,"U13",IF(E697&gt;0,"U11",0)))))</f>
        <v>0</v>
      </c>
      <c r="E697" s="456">
        <f>IFERROR(IF(Table10[[#This Row],[Year]]&gt;0,$E$1-Table10[[#This Row],[Year]],0),"")</f>
        <v>0</v>
      </c>
      <c r="F697" s="456"/>
      <c r="G697" s="456"/>
      <c r="H697" s="456"/>
    </row>
    <row r="698" spans="1:8">
      <c r="A698" s="471">
        <v>1694</v>
      </c>
      <c r="B698" s="493" t="s">
        <v>3162</v>
      </c>
      <c r="C698" s="472" t="s">
        <v>249</v>
      </c>
      <c r="D698" s="456" t="str">
        <f>IF(Table10[[#This Row],[Current Age]]&gt;19,"Men's",IF(E698&gt;15,"U19",IF(E698&gt;13,"U15",IF(E698&gt;11,"U13",IF(E698&gt;0,"U11",0)))))</f>
        <v>U19</v>
      </c>
      <c r="E698" s="456">
        <f>IFERROR(IF(Table10[[#This Row],[Year]]&gt;0,$E$1-Table10[[#This Row],[Year]],0),"")</f>
        <v>18</v>
      </c>
      <c r="F698" s="456">
        <v>2007</v>
      </c>
      <c r="G698" s="456">
        <v>11</v>
      </c>
      <c r="H698" s="456">
        <v>22</v>
      </c>
    </row>
    <row r="699" spans="1:8">
      <c r="A699" s="456">
        <v>1695</v>
      </c>
      <c r="B699" s="469" t="s">
        <v>1830</v>
      </c>
      <c r="C699" s="458" t="s">
        <v>244</v>
      </c>
      <c r="D699" s="456">
        <f>IF(Table10[[#This Row],[Current Age]]&gt;19,"Men's",IF(E699&gt;15,"U19",IF(E699&gt;13,"U15",IF(E699&gt;11,"U13",IF(E699&gt;0,"U11",0)))))</f>
        <v>0</v>
      </c>
      <c r="E699" s="456">
        <f>IFERROR(IF(Table10[[#This Row],[Year]]&gt;0,$E$1-Table10[[#This Row],[Year]],0),"")</f>
        <v>0</v>
      </c>
      <c r="F699" s="456"/>
      <c r="G699" s="456"/>
      <c r="H699" s="456"/>
    </row>
    <row r="700" spans="1:8">
      <c r="A700" s="471">
        <v>1696</v>
      </c>
      <c r="B700" s="493" t="s">
        <v>1831</v>
      </c>
      <c r="C700" s="472" t="s">
        <v>250</v>
      </c>
      <c r="D700" s="456">
        <f>IF(Table10[[#This Row],[Current Age]]&gt;19,"Men's",IF(E700&gt;15,"U19",IF(E700&gt;13,"U15",IF(E700&gt;11,"U13",IF(E700&gt;0,"U11",0)))))</f>
        <v>0</v>
      </c>
      <c r="E700" s="456">
        <f>IFERROR(IF(Table10[[#This Row],[Year]]&gt;0,$E$1-Table10[[#This Row],[Year]],0),"")</f>
        <v>0</v>
      </c>
      <c r="F700" s="456"/>
      <c r="G700" s="456"/>
      <c r="H700" s="456"/>
    </row>
    <row r="701" spans="1:8">
      <c r="A701" s="456">
        <v>1697</v>
      </c>
      <c r="B701" s="469" t="s">
        <v>1832</v>
      </c>
      <c r="C701" s="458" t="s">
        <v>246</v>
      </c>
      <c r="D701" s="456">
        <f>IF(Table10[[#This Row],[Current Age]]&gt;19,"Men's",IF(E701&gt;15,"U19",IF(E701&gt;13,"U15",IF(E701&gt;11,"U13",IF(E701&gt;0,"U11",0)))))</f>
        <v>0</v>
      </c>
      <c r="E701" s="456">
        <f>IFERROR(IF(Table10[[#This Row],[Year]]&gt;0,$E$1-Table10[[#This Row],[Year]],0),"")</f>
        <v>0</v>
      </c>
      <c r="F701" s="456"/>
      <c r="G701" s="456"/>
      <c r="H701" s="456"/>
    </row>
    <row r="702" spans="1:8">
      <c r="A702" s="471">
        <v>1698</v>
      </c>
      <c r="B702" s="493" t="s">
        <v>1833</v>
      </c>
      <c r="C702" s="472" t="s">
        <v>250</v>
      </c>
      <c r="D702" s="456">
        <f>IF(Table10[[#This Row],[Current Age]]&gt;19,"Men's",IF(E702&gt;15,"U19",IF(E702&gt;13,"U15",IF(E702&gt;11,"U13",IF(E702&gt;0,"U11",0)))))</f>
        <v>0</v>
      </c>
      <c r="E702" s="456">
        <f>IFERROR(IF(Table10[[#This Row],[Year]]&gt;0,$E$1-Table10[[#This Row],[Year]],0),"")</f>
        <v>0</v>
      </c>
      <c r="F702" s="456"/>
      <c r="G702" s="456"/>
      <c r="H702" s="456"/>
    </row>
    <row r="703" spans="1:8">
      <c r="A703" s="456">
        <v>1699</v>
      </c>
      <c r="B703" s="469" t="s">
        <v>1834</v>
      </c>
      <c r="C703" s="458" t="s">
        <v>250</v>
      </c>
      <c r="D703" s="456">
        <f>IF(Table10[[#This Row],[Current Age]]&gt;19,"Men's",IF(E703&gt;15,"U19",IF(E703&gt;13,"U15",IF(E703&gt;11,"U13",IF(E703&gt;0,"U11",0)))))</f>
        <v>0</v>
      </c>
      <c r="E703" s="456">
        <f>IFERROR(IF(Table10[[#This Row],[Year]]&gt;0,$E$1-Table10[[#This Row],[Year]],0),"")</f>
        <v>0</v>
      </c>
      <c r="F703" s="456"/>
      <c r="G703" s="456"/>
      <c r="H703" s="456"/>
    </row>
    <row r="704" spans="1:8">
      <c r="A704" s="471">
        <v>1700</v>
      </c>
      <c r="B704" s="493" t="s">
        <v>1835</v>
      </c>
      <c r="C704" s="472" t="s">
        <v>250</v>
      </c>
      <c r="D704" s="456">
        <f>IF(Table10[[#This Row],[Current Age]]&gt;19,"Men's",IF(E704&gt;15,"U19",IF(E704&gt;13,"U15",IF(E704&gt;11,"U13",IF(E704&gt;0,"U11",0)))))</f>
        <v>0</v>
      </c>
      <c r="E704" s="456">
        <f>IFERROR(IF(Table10[[#This Row],[Year]]&gt;0,$E$1-Table10[[#This Row],[Year]],0),"")</f>
        <v>0</v>
      </c>
      <c r="F704" s="456"/>
      <c r="G704" s="456"/>
      <c r="H704" s="456"/>
    </row>
    <row r="705" spans="1:8">
      <c r="A705" s="456">
        <v>1701</v>
      </c>
      <c r="B705" s="469" t="s">
        <v>1836</v>
      </c>
      <c r="C705" s="458" t="s">
        <v>251</v>
      </c>
      <c r="D705" s="456">
        <f>IF(Table10[[#This Row],[Current Age]]&gt;19,"Men's",IF(E705&gt;15,"U19",IF(E705&gt;13,"U15",IF(E705&gt;11,"U13",IF(E705&gt;0,"U11",0)))))</f>
        <v>0</v>
      </c>
      <c r="E705" s="456">
        <f>IFERROR(IF(Table10[[#This Row],[Year]]&gt;0,$E$1-Table10[[#This Row],[Year]],0),"")</f>
        <v>0</v>
      </c>
      <c r="F705" s="456"/>
      <c r="G705" s="456"/>
      <c r="H705" s="456"/>
    </row>
    <row r="706" spans="1:8">
      <c r="A706" s="471">
        <v>1702</v>
      </c>
      <c r="B706" s="493" t="s">
        <v>1837</v>
      </c>
      <c r="C706" s="472" t="s">
        <v>252</v>
      </c>
      <c r="D706" s="456">
        <f>IF(Table10[[#This Row],[Current Age]]&gt;19,"Men's",IF(E706&gt;15,"U19",IF(E706&gt;13,"U15",IF(E706&gt;11,"U13",IF(E706&gt;0,"U11",0)))))</f>
        <v>0</v>
      </c>
      <c r="E706" s="456">
        <f>IFERROR(IF(Table10[[#This Row],[Year]]&gt;0,$E$1-Table10[[#This Row],[Year]],0),"")</f>
        <v>0</v>
      </c>
      <c r="F706" s="456"/>
      <c r="G706" s="456"/>
      <c r="H706" s="456"/>
    </row>
    <row r="707" spans="1:8">
      <c r="A707" s="456">
        <v>1703</v>
      </c>
      <c r="B707" s="469" t="s">
        <v>1838</v>
      </c>
      <c r="C707" s="458" t="s">
        <v>250</v>
      </c>
      <c r="D707" s="456">
        <f>IF(Table10[[#This Row],[Current Age]]&gt;19,"Men's",IF(E707&gt;15,"U19",IF(E707&gt;13,"U15",IF(E707&gt;11,"U13",IF(E707&gt;0,"U11",0)))))</f>
        <v>0</v>
      </c>
      <c r="E707" s="456">
        <f>IFERROR(IF(Table10[[#This Row],[Year]]&gt;0,$E$1-Table10[[#This Row],[Year]],0),"")</f>
        <v>0</v>
      </c>
      <c r="F707" s="456"/>
      <c r="G707" s="456"/>
      <c r="H707" s="456"/>
    </row>
    <row r="708" spans="1:8">
      <c r="A708" s="471">
        <v>1704</v>
      </c>
      <c r="B708" s="493" t="s">
        <v>1839</v>
      </c>
      <c r="C708" s="472" t="s">
        <v>252</v>
      </c>
      <c r="D708" s="456">
        <f>IF(Table10[[#This Row],[Current Age]]&gt;19,"Men's",IF(E708&gt;15,"U19",IF(E708&gt;13,"U15",IF(E708&gt;11,"U13",IF(E708&gt;0,"U11",0)))))</f>
        <v>0</v>
      </c>
      <c r="E708" s="456">
        <f>IFERROR(IF(Table10[[#This Row],[Year]]&gt;0,$E$1-Table10[[#This Row],[Year]],0),"")</f>
        <v>0</v>
      </c>
      <c r="F708" s="456"/>
      <c r="G708" s="456"/>
      <c r="H708" s="456"/>
    </row>
    <row r="709" spans="1:8">
      <c r="A709" s="456">
        <v>1705</v>
      </c>
      <c r="B709" s="469" t="s">
        <v>477</v>
      </c>
      <c r="C709" s="458" t="s">
        <v>249</v>
      </c>
      <c r="D709" s="456" t="str">
        <f>IF(Table10[[#This Row],[Current Age]]&gt;19,"Men's",IF(E709&gt;15,"U19",IF(E709&gt;13,"U15",IF(E709&gt;11,"U13",IF(E709&gt;0,"U11",0)))))</f>
        <v>Men's</v>
      </c>
      <c r="E709" s="456">
        <f>IFERROR(IF(Table10[[#This Row],[Year]]&gt;0,$E$1-Table10[[#This Row],[Year]],0),"")</f>
        <v>46</v>
      </c>
      <c r="F709" s="456">
        <v>1979</v>
      </c>
      <c r="G709" s="456">
        <v>9</v>
      </c>
      <c r="H709" s="456">
        <v>28</v>
      </c>
    </row>
    <row r="710" spans="1:8">
      <c r="A710" s="471">
        <v>1706</v>
      </c>
      <c r="B710" s="493" t="s">
        <v>1840</v>
      </c>
      <c r="C710" s="472" t="s">
        <v>249</v>
      </c>
      <c r="D710" s="456" t="str">
        <f>IF(Table10[[#This Row],[Current Age]]&gt;19,"Men's",IF(E710&gt;15,"U19",IF(E710&gt;13,"U15",IF(E710&gt;11,"U13",IF(E710&gt;0,"U11",0)))))</f>
        <v>Men's</v>
      </c>
      <c r="E710" s="456">
        <f>IFERROR(IF(Table10[[#This Row],[Year]]&gt;0,$E$1-Table10[[#This Row],[Year]],0),"")</f>
        <v>41</v>
      </c>
      <c r="F710" s="456">
        <v>1984</v>
      </c>
      <c r="G710" s="456">
        <v>9</v>
      </c>
      <c r="H710" s="456">
        <v>10</v>
      </c>
    </row>
    <row r="711" spans="1:8">
      <c r="A711" s="456">
        <v>1707</v>
      </c>
      <c r="B711" s="469" t="s">
        <v>1841</v>
      </c>
      <c r="C711" s="458" t="s">
        <v>250</v>
      </c>
      <c r="D711" s="456">
        <f>IF(Table10[[#This Row],[Current Age]]&gt;19,"Men's",IF(E711&gt;15,"U19",IF(E711&gt;13,"U15",IF(E711&gt;11,"U13",IF(E711&gt;0,"U11",0)))))</f>
        <v>0</v>
      </c>
      <c r="E711" s="456">
        <f>IFERROR(IF(Table10[[#This Row],[Year]]&gt;0,$E$1-Table10[[#This Row],[Year]],0),"")</f>
        <v>0</v>
      </c>
      <c r="F711" s="456"/>
      <c r="G711" s="456"/>
      <c r="H711" s="456"/>
    </row>
    <row r="712" spans="1:8">
      <c r="A712" s="471">
        <v>1708</v>
      </c>
      <c r="B712" s="493" t="s">
        <v>1842</v>
      </c>
      <c r="C712" s="472" t="s">
        <v>251</v>
      </c>
      <c r="D712" s="456">
        <f>IF(Table10[[#This Row],[Current Age]]&gt;19,"Men's",IF(E712&gt;15,"U19",IF(E712&gt;13,"U15",IF(E712&gt;11,"U13",IF(E712&gt;0,"U11",0)))))</f>
        <v>0</v>
      </c>
      <c r="E712" s="456">
        <f>IFERROR(IF(Table10[[#This Row],[Year]]&gt;0,$E$1-Table10[[#This Row],[Year]],0),"")</f>
        <v>0</v>
      </c>
      <c r="F712" s="456"/>
      <c r="G712" s="456"/>
      <c r="H712" s="456"/>
    </row>
    <row r="713" spans="1:8">
      <c r="A713" s="456">
        <v>1709</v>
      </c>
      <c r="B713" s="469" t="s">
        <v>1843</v>
      </c>
      <c r="C713" s="458" t="s">
        <v>249</v>
      </c>
      <c r="D713" s="456">
        <f>IF(Table10[[#This Row],[Current Age]]&gt;19,"Men's",IF(E713&gt;15,"U19",IF(E713&gt;13,"U15",IF(E713&gt;11,"U13",IF(E713&gt;0,"U11",0)))))</f>
        <v>0</v>
      </c>
      <c r="E713" s="456">
        <f>IFERROR(IF(Table10[[#This Row],[Year]]&gt;0,$E$1-Table10[[#This Row],[Year]],0),"")</f>
        <v>0</v>
      </c>
      <c r="F713" s="456"/>
      <c r="G713" s="456"/>
      <c r="H713" s="456"/>
    </row>
    <row r="714" spans="1:8">
      <c r="A714" s="471">
        <v>1710</v>
      </c>
      <c r="B714" s="493" t="s">
        <v>1844</v>
      </c>
      <c r="C714" s="472" t="s">
        <v>250</v>
      </c>
      <c r="D714" s="456">
        <f>IF(Table10[[#This Row],[Current Age]]&gt;19,"Men's",IF(E714&gt;15,"U19",IF(E714&gt;13,"U15",IF(E714&gt;11,"U13",IF(E714&gt;0,"U11",0)))))</f>
        <v>0</v>
      </c>
      <c r="E714" s="456">
        <f>IFERROR(IF(Table10[[#This Row],[Year]]&gt;0,$E$1-Table10[[#This Row],[Year]],0),"")</f>
        <v>0</v>
      </c>
      <c r="F714" s="456"/>
      <c r="G714" s="456"/>
      <c r="H714" s="456"/>
    </row>
    <row r="715" spans="1:8">
      <c r="A715" s="456">
        <v>1711</v>
      </c>
      <c r="B715" s="469" t="s">
        <v>1845</v>
      </c>
      <c r="C715" s="458" t="s">
        <v>252</v>
      </c>
      <c r="D715" s="456">
        <f>IF(Table10[[#This Row],[Current Age]]&gt;19,"Men's",IF(E715&gt;15,"U19",IF(E715&gt;13,"U15",IF(E715&gt;11,"U13",IF(E715&gt;0,"U11",0)))))</f>
        <v>0</v>
      </c>
      <c r="E715" s="456">
        <f>IFERROR(IF(Table10[[#This Row],[Year]]&gt;0,$E$1-Table10[[#This Row],[Year]],0),"")</f>
        <v>0</v>
      </c>
      <c r="F715" s="456"/>
      <c r="G715" s="456"/>
      <c r="H715" s="456"/>
    </row>
    <row r="716" spans="1:8">
      <c r="A716" s="471">
        <v>1712</v>
      </c>
      <c r="B716" s="493" t="s">
        <v>1846</v>
      </c>
      <c r="C716" s="472" t="s">
        <v>250</v>
      </c>
      <c r="D716" s="456">
        <f>IF(Table10[[#This Row],[Current Age]]&gt;19,"Men's",IF(E716&gt;15,"U19",IF(E716&gt;13,"U15",IF(E716&gt;11,"U13",IF(E716&gt;0,"U11",0)))))</f>
        <v>0</v>
      </c>
      <c r="E716" s="456">
        <f>IFERROR(IF(Table10[[#This Row],[Year]]&gt;0,$E$1-Table10[[#This Row],[Year]],0),"")</f>
        <v>0</v>
      </c>
      <c r="F716" s="456"/>
      <c r="G716" s="456"/>
      <c r="H716" s="456"/>
    </row>
    <row r="717" spans="1:8">
      <c r="A717" s="456">
        <v>1713</v>
      </c>
      <c r="B717" s="469" t="s">
        <v>1847</v>
      </c>
      <c r="C717" s="458" t="s">
        <v>246</v>
      </c>
      <c r="D717" s="456">
        <f>IF(Table10[[#This Row],[Current Age]]&gt;19,"Men's",IF(E717&gt;15,"U19",IF(E717&gt;13,"U15",IF(E717&gt;11,"U13",IF(E717&gt;0,"U11",0)))))</f>
        <v>0</v>
      </c>
      <c r="E717" s="456">
        <f>IFERROR(IF(Table10[[#This Row],[Year]]&gt;0,$E$1-Table10[[#This Row],[Year]],0),"")</f>
        <v>0</v>
      </c>
      <c r="F717" s="456"/>
      <c r="G717" s="456"/>
      <c r="H717" s="456"/>
    </row>
    <row r="718" spans="1:8">
      <c r="A718" s="471">
        <v>1714</v>
      </c>
      <c r="B718" s="493" t="s">
        <v>1848</v>
      </c>
      <c r="C718" s="472" t="s">
        <v>762</v>
      </c>
      <c r="D718" s="456">
        <f>IF(Table10[[#This Row],[Current Age]]&gt;19,"Men's",IF(E718&gt;15,"U19",IF(E718&gt;13,"U15",IF(E718&gt;11,"U13",IF(E718&gt;0,"U11",0)))))</f>
        <v>0</v>
      </c>
      <c r="E718" s="456">
        <f>IFERROR(IF(Table10[[#This Row],[Year]]&gt;0,$E$1-Table10[[#This Row],[Year]],0),"")</f>
        <v>0</v>
      </c>
      <c r="F718" s="456"/>
      <c r="G718" s="456"/>
      <c r="H718" s="456"/>
    </row>
    <row r="719" spans="1:8">
      <c r="A719" s="456">
        <v>1715</v>
      </c>
      <c r="B719" s="469" t="s">
        <v>1849</v>
      </c>
      <c r="C719" s="458" t="s">
        <v>251</v>
      </c>
      <c r="D719" s="456">
        <f>IF(Table10[[#This Row],[Current Age]]&gt;19,"Men's",IF(E719&gt;15,"U19",IF(E719&gt;13,"U15",IF(E719&gt;11,"U13",IF(E719&gt;0,"U11",0)))))</f>
        <v>0</v>
      </c>
      <c r="E719" s="456">
        <f>IFERROR(IF(Table10[[#This Row],[Year]]&gt;0,$E$1-Table10[[#This Row],[Year]],0),"")</f>
        <v>0</v>
      </c>
      <c r="F719" s="456"/>
      <c r="G719" s="456"/>
      <c r="H719" s="456"/>
    </row>
    <row r="720" spans="1:8">
      <c r="A720" s="471">
        <v>1716</v>
      </c>
      <c r="B720" s="493" t="s">
        <v>1850</v>
      </c>
      <c r="C720" s="472" t="s">
        <v>252</v>
      </c>
      <c r="D720" s="456">
        <f>IF(Table10[[#This Row],[Current Age]]&gt;19,"Men's",IF(E720&gt;15,"U19",IF(E720&gt;13,"U15",IF(E720&gt;11,"U13",IF(E720&gt;0,"U11",0)))))</f>
        <v>0</v>
      </c>
      <c r="E720" s="456">
        <f>IFERROR(IF(Table10[[#This Row],[Year]]&gt;0,$E$1-Table10[[#This Row],[Year]],0),"")</f>
        <v>0</v>
      </c>
      <c r="F720" s="456"/>
      <c r="G720" s="456"/>
      <c r="H720" s="456"/>
    </row>
    <row r="721" spans="1:8">
      <c r="A721" s="456">
        <v>1717</v>
      </c>
      <c r="B721" s="469" t="s">
        <v>1851</v>
      </c>
      <c r="C721" s="458" t="s">
        <v>250</v>
      </c>
      <c r="D721" s="456">
        <f>IF(Table10[[#This Row],[Current Age]]&gt;19,"Men's",IF(E721&gt;15,"U19",IF(E721&gt;13,"U15",IF(E721&gt;11,"U13",IF(E721&gt;0,"U11",0)))))</f>
        <v>0</v>
      </c>
      <c r="E721" s="456">
        <f>IFERROR(IF(Table10[[#This Row],[Year]]&gt;0,$E$1-Table10[[#This Row],[Year]],0),"")</f>
        <v>0</v>
      </c>
      <c r="F721" s="456"/>
      <c r="G721" s="456"/>
      <c r="H721" s="456"/>
    </row>
    <row r="722" spans="1:8">
      <c r="A722" s="471">
        <v>1718</v>
      </c>
      <c r="B722" s="493" t="s">
        <v>1852</v>
      </c>
      <c r="C722" s="472" t="s">
        <v>250</v>
      </c>
      <c r="D722" s="456">
        <f>IF(Table10[[#This Row],[Current Age]]&gt;19,"Men's",IF(E722&gt;15,"U19",IF(E722&gt;13,"U15",IF(E722&gt;11,"U13",IF(E722&gt;0,"U11",0)))))</f>
        <v>0</v>
      </c>
      <c r="E722" s="456">
        <f>IFERROR(IF(Table10[[#This Row],[Year]]&gt;0,$E$1-Table10[[#This Row],[Year]],0),"")</f>
        <v>0</v>
      </c>
      <c r="F722" s="456"/>
      <c r="G722" s="456"/>
      <c r="H722" s="456"/>
    </row>
    <row r="723" spans="1:8">
      <c r="A723" s="456">
        <v>1719</v>
      </c>
      <c r="B723" s="469" t="s">
        <v>1853</v>
      </c>
      <c r="C723" s="458" t="s">
        <v>250</v>
      </c>
      <c r="D723" s="456">
        <f>IF(Table10[[#This Row],[Current Age]]&gt;19,"Men's",IF(E723&gt;15,"U19",IF(E723&gt;13,"U15",IF(E723&gt;11,"U13",IF(E723&gt;0,"U11",0)))))</f>
        <v>0</v>
      </c>
      <c r="E723" s="456">
        <f>IFERROR(IF(Table10[[#This Row],[Year]]&gt;0,$E$1-Table10[[#This Row],[Year]],0),"")</f>
        <v>0</v>
      </c>
      <c r="F723" s="456"/>
      <c r="G723" s="456"/>
      <c r="H723" s="456"/>
    </row>
    <row r="724" spans="1:8">
      <c r="A724" s="471">
        <v>1720</v>
      </c>
      <c r="B724" s="493" t="s">
        <v>1854</v>
      </c>
      <c r="C724" s="472" t="s">
        <v>252</v>
      </c>
      <c r="D724" s="456">
        <f>IF(Table10[[#This Row],[Current Age]]&gt;19,"Men's",IF(E724&gt;15,"U19",IF(E724&gt;13,"U15",IF(E724&gt;11,"U13",IF(E724&gt;0,"U11",0)))))</f>
        <v>0</v>
      </c>
      <c r="E724" s="456">
        <f>IFERROR(IF(Table10[[#This Row],[Year]]&gt;0,$E$1-Table10[[#This Row],[Year]],0),"")</f>
        <v>0</v>
      </c>
      <c r="F724" s="456"/>
      <c r="G724" s="456"/>
      <c r="H724" s="456"/>
    </row>
    <row r="725" spans="1:8">
      <c r="A725" s="456">
        <v>1721</v>
      </c>
      <c r="B725" s="469" t="s">
        <v>1855</v>
      </c>
      <c r="C725" s="458" t="s">
        <v>762</v>
      </c>
      <c r="D725" s="456">
        <f>IF(Table10[[#This Row],[Current Age]]&gt;19,"Men's",IF(E725&gt;15,"U19",IF(E725&gt;13,"U15",IF(E725&gt;11,"U13",IF(E725&gt;0,"U11",0)))))</f>
        <v>0</v>
      </c>
      <c r="E725" s="456">
        <f>IFERROR(IF(Table10[[#This Row],[Year]]&gt;0,$E$1-Table10[[#This Row],[Year]],0),"")</f>
        <v>0</v>
      </c>
      <c r="F725" s="456"/>
      <c r="G725" s="456"/>
      <c r="H725" s="456"/>
    </row>
    <row r="726" spans="1:8">
      <c r="A726" s="471">
        <v>1722</v>
      </c>
      <c r="B726" s="493" t="s">
        <v>1856</v>
      </c>
      <c r="C726" s="472" t="s">
        <v>250</v>
      </c>
      <c r="D726" s="456">
        <f>IF(Table10[[#This Row],[Current Age]]&gt;19,"Men's",IF(E726&gt;15,"U19",IF(E726&gt;13,"U15",IF(E726&gt;11,"U13",IF(E726&gt;0,"U11",0)))))</f>
        <v>0</v>
      </c>
      <c r="E726" s="456">
        <f>IFERROR(IF(Table10[[#This Row],[Year]]&gt;0,$E$1-Table10[[#This Row],[Year]],0),"")</f>
        <v>0</v>
      </c>
      <c r="F726" s="456"/>
      <c r="G726" s="456"/>
      <c r="H726" s="456"/>
    </row>
    <row r="727" spans="1:8">
      <c r="A727" s="456">
        <v>1723</v>
      </c>
      <c r="B727" s="469" t="s">
        <v>1857</v>
      </c>
      <c r="C727" s="458" t="s">
        <v>253</v>
      </c>
      <c r="D727" s="456">
        <f>IF(Table10[[#This Row],[Current Age]]&gt;19,"Men's",IF(E727&gt;15,"U19",IF(E727&gt;13,"U15",IF(E727&gt;11,"U13",IF(E727&gt;0,"U11",0)))))</f>
        <v>0</v>
      </c>
      <c r="E727" s="456">
        <f>IFERROR(IF(Table10[[#This Row],[Year]]&gt;0,$E$1-Table10[[#This Row],[Year]],0),"")</f>
        <v>0</v>
      </c>
      <c r="F727" s="456"/>
      <c r="G727" s="456"/>
      <c r="H727" s="456"/>
    </row>
    <row r="728" spans="1:8">
      <c r="A728" s="471">
        <v>1724</v>
      </c>
      <c r="B728" s="493" t="s">
        <v>1858</v>
      </c>
      <c r="C728" s="472" t="s">
        <v>251</v>
      </c>
      <c r="D728" s="456">
        <f>IF(Table10[[#This Row],[Current Age]]&gt;19,"Men's",IF(E728&gt;15,"U19",IF(E728&gt;13,"U15",IF(E728&gt;11,"U13",IF(E728&gt;0,"U11",0)))))</f>
        <v>0</v>
      </c>
      <c r="E728" s="456">
        <f>IFERROR(IF(Table10[[#This Row],[Year]]&gt;0,$E$1-Table10[[#This Row],[Year]],0),"")</f>
        <v>0</v>
      </c>
      <c r="F728" s="456"/>
      <c r="G728" s="456"/>
      <c r="H728" s="456"/>
    </row>
    <row r="729" spans="1:8">
      <c r="A729" s="456">
        <v>1725</v>
      </c>
      <c r="B729" s="469" t="s">
        <v>1859</v>
      </c>
      <c r="C729" s="458" t="s">
        <v>251</v>
      </c>
      <c r="D729" s="456">
        <f>IF(Table10[[#This Row],[Current Age]]&gt;19,"Men's",IF(E729&gt;15,"U19",IF(E729&gt;13,"U15",IF(E729&gt;11,"U13",IF(E729&gt;0,"U11",0)))))</f>
        <v>0</v>
      </c>
      <c r="E729" s="456">
        <f>IFERROR(IF(Table10[[#This Row],[Year]]&gt;0,$E$1-Table10[[#This Row],[Year]],0),"")</f>
        <v>0</v>
      </c>
      <c r="F729" s="456"/>
      <c r="G729" s="456"/>
      <c r="H729" s="456"/>
    </row>
    <row r="730" spans="1:8">
      <c r="A730" s="471">
        <v>1726</v>
      </c>
      <c r="B730" s="493" t="s">
        <v>1860</v>
      </c>
      <c r="C730" s="472" t="s">
        <v>361</v>
      </c>
      <c r="D730" s="456">
        <f>IF(Table10[[#This Row],[Current Age]]&gt;19,"Men's",IF(E730&gt;15,"U19",IF(E730&gt;13,"U15",IF(E730&gt;11,"U13",IF(E730&gt;0,"U11",0)))))</f>
        <v>0</v>
      </c>
      <c r="E730" s="456">
        <f>IFERROR(IF(Table10[[#This Row],[Year]]&gt;0,$E$1-Table10[[#This Row],[Year]],0),"")</f>
        <v>0</v>
      </c>
      <c r="F730" s="456"/>
      <c r="G730" s="456"/>
      <c r="H730" s="456"/>
    </row>
    <row r="731" spans="1:8">
      <c r="A731" s="456">
        <v>1727</v>
      </c>
      <c r="B731" s="469" t="s">
        <v>1861</v>
      </c>
      <c r="C731" s="458" t="s">
        <v>361</v>
      </c>
      <c r="D731" s="456" t="str">
        <f>IF(Table10[[#This Row],[Current Age]]&gt;19,"Men's",IF(E731&gt;15,"U19",IF(E731&gt;13,"U15",IF(E731&gt;11,"U13",IF(E731&gt;0,"U11",0)))))</f>
        <v>Men's</v>
      </c>
      <c r="E731" s="456">
        <f>IFERROR(IF(Table10[[#This Row],[Year]]&gt;0,$E$1-Table10[[#This Row],[Year]],0),"")</f>
        <v>61</v>
      </c>
      <c r="F731" s="456">
        <v>1964</v>
      </c>
      <c r="G731" s="456">
        <v>3</v>
      </c>
      <c r="H731" s="456">
        <v>2</v>
      </c>
    </row>
    <row r="732" spans="1:8">
      <c r="A732" s="471">
        <v>1728</v>
      </c>
      <c r="B732" s="493" t="s">
        <v>1862</v>
      </c>
      <c r="C732" s="472" t="s">
        <v>361</v>
      </c>
      <c r="D732" s="456" t="str">
        <f>IF(Table10[[#This Row],[Current Age]]&gt;19,"Men's",IF(E732&gt;15,"U19",IF(E732&gt;13,"U15",IF(E732&gt;11,"U13",IF(E732&gt;0,"U11",0)))))</f>
        <v>Men's</v>
      </c>
      <c r="E732" s="456">
        <f>IFERROR(IF(Table10[[#This Row],[Year]]&gt;0,$E$1-Table10[[#This Row],[Year]],0),"")</f>
        <v>71</v>
      </c>
      <c r="F732" s="456">
        <v>1954</v>
      </c>
      <c r="G732" s="456">
        <v>1</v>
      </c>
      <c r="H732" s="456">
        <v>7</v>
      </c>
    </row>
    <row r="733" spans="1:8">
      <c r="A733" s="456">
        <v>1729</v>
      </c>
      <c r="B733" s="469" t="s">
        <v>1863</v>
      </c>
      <c r="C733" s="458" t="s">
        <v>361</v>
      </c>
      <c r="D733" s="456">
        <f>IF(Table10[[#This Row],[Current Age]]&gt;19,"Men's",IF(E733&gt;15,"U19",IF(E733&gt;13,"U15",IF(E733&gt;11,"U13",IF(E733&gt;0,"U11",0)))))</f>
        <v>0</v>
      </c>
      <c r="E733" s="456">
        <f>IFERROR(IF(Table10[[#This Row],[Year]]&gt;0,$E$1-Table10[[#This Row],[Year]],0),"")</f>
        <v>0</v>
      </c>
      <c r="F733" s="456"/>
      <c r="G733" s="456"/>
      <c r="H733" s="456"/>
    </row>
    <row r="734" spans="1:8">
      <c r="A734" s="471">
        <v>1730</v>
      </c>
      <c r="B734" s="493" t="s">
        <v>1864</v>
      </c>
      <c r="C734" s="472" t="s">
        <v>361</v>
      </c>
      <c r="D734" s="456">
        <f>IF(Table10[[#This Row],[Current Age]]&gt;19,"Men's",IF(E734&gt;15,"U19",IF(E734&gt;13,"U15",IF(E734&gt;11,"U13",IF(E734&gt;0,"U11",0)))))</f>
        <v>0</v>
      </c>
      <c r="E734" s="456">
        <f>IFERROR(IF(Table10[[#This Row],[Year]]&gt;0,$E$1-Table10[[#This Row],[Year]],0),"")</f>
        <v>0</v>
      </c>
      <c r="F734" s="456"/>
      <c r="G734" s="456"/>
      <c r="H734" s="456"/>
    </row>
    <row r="735" spans="1:8">
      <c r="A735" s="456">
        <v>1731</v>
      </c>
      <c r="B735" s="469" t="s">
        <v>1865</v>
      </c>
      <c r="C735" s="458" t="s">
        <v>361</v>
      </c>
      <c r="D735" s="456">
        <f>IF(Table10[[#This Row],[Current Age]]&gt;19,"Men's",IF(E735&gt;15,"U19",IF(E735&gt;13,"U15",IF(E735&gt;11,"U13",IF(E735&gt;0,"U11",0)))))</f>
        <v>0</v>
      </c>
      <c r="E735" s="456">
        <f>IFERROR(IF(Table10[[#This Row],[Year]]&gt;0,$E$1-Table10[[#This Row],[Year]],0),"")</f>
        <v>0</v>
      </c>
      <c r="F735" s="456"/>
      <c r="G735" s="456"/>
      <c r="H735" s="456"/>
    </row>
    <row r="736" spans="1:8">
      <c r="A736" s="471">
        <v>1732</v>
      </c>
      <c r="B736" s="493" t="s">
        <v>1866</v>
      </c>
      <c r="C736" s="472" t="s">
        <v>361</v>
      </c>
      <c r="D736" s="456">
        <f>IF(Table10[[#This Row],[Current Age]]&gt;19,"Men's",IF(E736&gt;15,"U19",IF(E736&gt;13,"U15",IF(E736&gt;11,"U13",IF(E736&gt;0,"U11",0)))))</f>
        <v>0</v>
      </c>
      <c r="E736" s="456">
        <f>IFERROR(IF(Table10[[#This Row],[Year]]&gt;0,$E$1-Table10[[#This Row],[Year]],0),"")</f>
        <v>0</v>
      </c>
      <c r="F736" s="456"/>
      <c r="G736" s="456"/>
      <c r="H736" s="456"/>
    </row>
    <row r="737" spans="1:8">
      <c r="A737" s="456">
        <v>1733</v>
      </c>
      <c r="B737" s="469" t="s">
        <v>1867</v>
      </c>
      <c r="C737" s="458" t="s">
        <v>361</v>
      </c>
      <c r="D737" s="456" t="str">
        <f>IF(Table10[[#This Row],[Current Age]]&gt;19,"Men's",IF(E737&gt;15,"U19",IF(E737&gt;13,"U15",IF(E737&gt;11,"U13",IF(E737&gt;0,"U11",0)))))</f>
        <v>Men's</v>
      </c>
      <c r="E737" s="456">
        <f>IFERROR(IF(Table10[[#This Row],[Year]]&gt;0,$E$1-Table10[[#This Row],[Year]],0),"")</f>
        <v>49</v>
      </c>
      <c r="F737" s="456">
        <v>1976</v>
      </c>
      <c r="G737" s="456">
        <v>6</v>
      </c>
      <c r="H737" s="456">
        <v>13</v>
      </c>
    </row>
    <row r="738" spans="1:8">
      <c r="A738" s="471">
        <v>1734</v>
      </c>
      <c r="B738" s="493" t="s">
        <v>1868</v>
      </c>
      <c r="C738" s="472" t="s">
        <v>361</v>
      </c>
      <c r="D738" s="456" t="str">
        <f>IF(Table10[[#This Row],[Current Age]]&gt;19,"Men's",IF(E738&gt;15,"U19",IF(E738&gt;13,"U15",IF(E738&gt;11,"U13",IF(E738&gt;0,"U11",0)))))</f>
        <v>Men's</v>
      </c>
      <c r="E738" s="456">
        <f>IFERROR(IF(Table10[[#This Row],[Year]]&gt;0,$E$1-Table10[[#This Row],[Year]],0),"")</f>
        <v>38</v>
      </c>
      <c r="F738" s="456">
        <v>1987</v>
      </c>
      <c r="G738" s="456">
        <v>11</v>
      </c>
      <c r="H738" s="456">
        <v>7</v>
      </c>
    </row>
    <row r="739" spans="1:8">
      <c r="A739" s="456">
        <v>1735</v>
      </c>
      <c r="B739" s="469" t="s">
        <v>1869</v>
      </c>
      <c r="C739" s="458" t="s">
        <v>361</v>
      </c>
      <c r="D739" s="456">
        <f>IF(Table10[[#This Row],[Current Age]]&gt;19,"Men's",IF(E739&gt;15,"U19",IF(E739&gt;13,"U15",IF(E739&gt;11,"U13",IF(E739&gt;0,"U11",0)))))</f>
        <v>0</v>
      </c>
      <c r="E739" s="456">
        <f>IFERROR(IF(Table10[[#This Row],[Year]]&gt;0,$E$1-Table10[[#This Row],[Year]],0),"")</f>
        <v>0</v>
      </c>
      <c r="F739" s="456"/>
      <c r="G739" s="456"/>
      <c r="H739" s="456"/>
    </row>
    <row r="740" spans="1:8">
      <c r="A740" s="471">
        <v>1736</v>
      </c>
      <c r="B740" s="493" t="s">
        <v>1870</v>
      </c>
      <c r="C740" s="472" t="s">
        <v>361</v>
      </c>
      <c r="D740" s="456" t="str">
        <f>IF(Table10[[#This Row],[Current Age]]&gt;19,"Men's",IF(E740&gt;15,"U19",IF(E740&gt;13,"U15",IF(E740&gt;11,"U13",IF(E740&gt;0,"U11",0)))))</f>
        <v>Men's</v>
      </c>
      <c r="E740" s="456">
        <f>IFERROR(IF(Table10[[#This Row],[Year]]&gt;0,$E$1-Table10[[#This Row],[Year]],0),"")</f>
        <v>62</v>
      </c>
      <c r="F740" s="456">
        <v>1963</v>
      </c>
      <c r="G740" s="456">
        <v>3</v>
      </c>
      <c r="H740" s="456">
        <v>6</v>
      </c>
    </row>
    <row r="741" spans="1:8">
      <c r="A741" s="456">
        <v>1737</v>
      </c>
      <c r="B741" s="533" t="s">
        <v>3820</v>
      </c>
      <c r="C741" s="458" t="s">
        <v>361</v>
      </c>
      <c r="D741" s="456" t="str">
        <f>IF(Table10[[#This Row],[Current Age]]&gt;19,"Men's",IF(E741&gt;15,"U19",IF(E741&gt;13,"U15",IF(E741&gt;11,"U13",IF(E741&gt;0,"U11",0)))))</f>
        <v>Men's</v>
      </c>
      <c r="E741" s="456">
        <f>IFERROR(IF(Table10[[#This Row],[Year]]&gt;0,$E$1-Table10[[#This Row],[Year]],0),"")</f>
        <v>21</v>
      </c>
      <c r="F741" s="456">
        <v>2004</v>
      </c>
      <c r="G741" s="456">
        <v>5</v>
      </c>
      <c r="H741" s="456">
        <v>27</v>
      </c>
    </row>
    <row r="742" spans="1:8">
      <c r="A742" s="471">
        <v>1738</v>
      </c>
      <c r="B742" s="534" t="s">
        <v>650</v>
      </c>
      <c r="C742" s="472" t="s">
        <v>361</v>
      </c>
      <c r="D742" s="456" t="str">
        <f>IF(Table10[[#This Row],[Current Age]]&gt;19,"Men's",IF(E742&gt;15,"U19",IF(E742&gt;13,"U15",IF(E742&gt;11,"U13",IF(E742&gt;0,"U11",0)))))</f>
        <v>U19</v>
      </c>
      <c r="E742" s="456">
        <f>IFERROR(IF(Table10[[#This Row],[Year]]&gt;0,$E$1-Table10[[#This Row],[Year]],0),"")</f>
        <v>19</v>
      </c>
      <c r="F742" s="456">
        <v>2006</v>
      </c>
      <c r="G742" s="456">
        <v>7</v>
      </c>
      <c r="H742" s="456">
        <v>24</v>
      </c>
    </row>
    <row r="743" spans="1:8">
      <c r="A743" s="456">
        <v>1739</v>
      </c>
      <c r="B743" s="533" t="s">
        <v>1871</v>
      </c>
      <c r="C743" s="458" t="s">
        <v>361</v>
      </c>
      <c r="D743" s="456" t="str">
        <f>IF(Table10[[#This Row],[Current Age]]&gt;19,"Men's",IF(E743&gt;15,"U19",IF(E743&gt;13,"U15",IF(E743&gt;11,"U13",IF(E743&gt;0,"U11",0)))))</f>
        <v>Men's</v>
      </c>
      <c r="E743" s="456">
        <f>IFERROR(IF(Table10[[#This Row],[Year]]&gt;0,$E$1-Table10[[#This Row],[Year]],0),"")</f>
        <v>20</v>
      </c>
      <c r="F743" s="456">
        <v>2005</v>
      </c>
      <c r="G743" s="456">
        <v>12</v>
      </c>
      <c r="H743" s="456">
        <v>27</v>
      </c>
    </row>
    <row r="744" spans="1:8">
      <c r="A744" s="471">
        <v>1740</v>
      </c>
      <c r="B744" s="534" t="s">
        <v>1872</v>
      </c>
      <c r="C744" s="472" t="s">
        <v>361</v>
      </c>
      <c r="D744" s="456" t="str">
        <f>IF(Table10[[#This Row],[Current Age]]&gt;19,"Men's",IF(E744&gt;15,"U19",IF(E744&gt;13,"U15",IF(E744&gt;11,"U13",IF(E744&gt;0,"U11",0)))))</f>
        <v>Men's</v>
      </c>
      <c r="E744" s="456">
        <f>IFERROR(IF(Table10[[#This Row],[Year]]&gt;0,$E$1-Table10[[#This Row],[Year]],0),"")</f>
        <v>21</v>
      </c>
      <c r="F744" s="456">
        <v>2004</v>
      </c>
      <c r="G744" s="456">
        <v>12</v>
      </c>
      <c r="H744" s="456">
        <v>16</v>
      </c>
    </row>
    <row r="745" spans="1:8">
      <c r="A745" s="456">
        <v>1741</v>
      </c>
      <c r="B745" s="533" t="s">
        <v>1873</v>
      </c>
      <c r="C745" s="458" t="s">
        <v>361</v>
      </c>
      <c r="D745" s="456" t="str">
        <f>IF(Table10[[#This Row],[Current Age]]&gt;19,"Men's",IF(E745&gt;15,"U19",IF(E745&gt;13,"U15",IF(E745&gt;11,"U13",IF(E745&gt;0,"U11",0)))))</f>
        <v>Men's</v>
      </c>
      <c r="E745" s="456">
        <f>IFERROR(IF(Table10[[#This Row],[Year]]&gt;0,$E$1-Table10[[#This Row],[Year]],0),"")</f>
        <v>21</v>
      </c>
      <c r="F745" s="456">
        <v>2004</v>
      </c>
      <c r="G745" s="456">
        <v>11</v>
      </c>
      <c r="H745" s="456">
        <v>26</v>
      </c>
    </row>
    <row r="746" spans="1:8">
      <c r="A746" s="471">
        <v>1742</v>
      </c>
      <c r="B746" s="534" t="s">
        <v>1874</v>
      </c>
      <c r="C746" s="472" t="s">
        <v>361</v>
      </c>
      <c r="D746" s="456" t="str">
        <f>IF(Table10[[#This Row],[Current Age]]&gt;19,"Men's",IF(E746&gt;15,"U19",IF(E746&gt;13,"U15",IF(E746&gt;11,"U13",IF(E746&gt;0,"U11",0)))))</f>
        <v>Men's</v>
      </c>
      <c r="E746" s="456">
        <f>IFERROR(IF(Table10[[#This Row],[Year]]&gt;0,$E$1-Table10[[#This Row],[Year]],0),"")</f>
        <v>21</v>
      </c>
      <c r="F746" s="456">
        <v>2004</v>
      </c>
      <c r="G746" s="456">
        <v>12</v>
      </c>
      <c r="H746" s="456">
        <v>2</v>
      </c>
    </row>
    <row r="747" spans="1:8">
      <c r="A747" s="456">
        <v>1743</v>
      </c>
      <c r="B747" s="469" t="s">
        <v>1875</v>
      </c>
      <c r="C747" s="458" t="s">
        <v>361</v>
      </c>
      <c r="D747" s="456" t="str">
        <f>IF(Table10[[#This Row],[Current Age]]&gt;19,"Men's",IF(E747&gt;15,"U19",IF(E747&gt;13,"U15",IF(E747&gt;11,"U13",IF(E747&gt;0,"U11",0)))))</f>
        <v>Men's</v>
      </c>
      <c r="E747" s="456">
        <f>IFERROR(IF(Table10[[#This Row],[Year]]&gt;0,$E$1-Table10[[#This Row],[Year]],0),"")</f>
        <v>20</v>
      </c>
      <c r="F747" s="456">
        <v>2005</v>
      </c>
      <c r="G747" s="456">
        <v>5</v>
      </c>
      <c r="H747" s="456">
        <v>11</v>
      </c>
    </row>
    <row r="748" spans="1:8">
      <c r="A748" s="471">
        <v>1744</v>
      </c>
      <c r="B748" s="493" t="s">
        <v>1876</v>
      </c>
      <c r="C748" s="472" t="s">
        <v>361</v>
      </c>
      <c r="D748" s="456" t="str">
        <f>IF(Table10[[#This Row],[Current Age]]&gt;19,"Men's",IF(E748&gt;15,"U19",IF(E748&gt;13,"U15",IF(E748&gt;11,"U13",IF(E748&gt;0,"U11",0)))))</f>
        <v>U19</v>
      </c>
      <c r="E748" s="456">
        <f>IFERROR(IF(Table10[[#This Row],[Year]]&gt;0,$E$1-Table10[[#This Row],[Year]],0),"")</f>
        <v>19</v>
      </c>
      <c r="F748" s="456">
        <v>2006</v>
      </c>
      <c r="G748" s="456">
        <v>3</v>
      </c>
      <c r="H748" s="456">
        <v>19</v>
      </c>
    </row>
    <row r="749" spans="1:8">
      <c r="A749" s="456">
        <v>1745</v>
      </c>
      <c r="B749" s="469" t="s">
        <v>1877</v>
      </c>
      <c r="C749" s="458" t="s">
        <v>361</v>
      </c>
      <c r="D749" s="456" t="str">
        <f>IF(Table10[[#This Row],[Current Age]]&gt;19,"Men's",IF(E749&gt;15,"U19",IF(E749&gt;13,"U15",IF(E749&gt;11,"U13",IF(E749&gt;0,"U11",0)))))</f>
        <v>Men's</v>
      </c>
      <c r="E749" s="456">
        <f>IFERROR(IF(Table10[[#This Row],[Year]]&gt;0,$E$1-Table10[[#This Row],[Year]],0),"")</f>
        <v>20</v>
      </c>
      <c r="F749" s="456">
        <v>2005</v>
      </c>
      <c r="G749" s="456">
        <v>10</v>
      </c>
      <c r="H749" s="456">
        <v>11</v>
      </c>
    </row>
    <row r="750" spans="1:8">
      <c r="A750" s="471">
        <v>1746</v>
      </c>
      <c r="B750" s="493" t="s">
        <v>1878</v>
      </c>
      <c r="C750" s="472" t="s">
        <v>361</v>
      </c>
      <c r="D750" s="456" t="str">
        <f>IF(Table10[[#This Row],[Current Age]]&gt;19,"Men's",IF(E750&gt;15,"U19",IF(E750&gt;13,"U15",IF(E750&gt;11,"U13",IF(E750&gt;0,"U11",0)))))</f>
        <v>U19</v>
      </c>
      <c r="E750" s="456">
        <f>IFERROR(IF(Table10[[#This Row],[Year]]&gt;0,$E$1-Table10[[#This Row],[Year]],0),"")</f>
        <v>16</v>
      </c>
      <c r="F750" s="456">
        <v>2009</v>
      </c>
      <c r="G750" s="456">
        <v>12</v>
      </c>
      <c r="H750" s="456">
        <v>15</v>
      </c>
    </row>
    <row r="751" spans="1:8">
      <c r="A751" s="456">
        <v>1747</v>
      </c>
      <c r="B751" s="469" t="s">
        <v>1879</v>
      </c>
      <c r="C751" s="458" t="s">
        <v>361</v>
      </c>
      <c r="D751" s="456">
        <f>IF(Table10[[#This Row],[Current Age]]&gt;19,"Men's",IF(E751&gt;15,"U19",IF(E751&gt;13,"U15",IF(E751&gt;11,"U13",IF(E751&gt;0,"U11",0)))))</f>
        <v>0</v>
      </c>
      <c r="E751" s="456">
        <f>IFERROR(IF(Table10[[#This Row],[Year]]&gt;0,$E$1-Table10[[#This Row],[Year]],0),"")</f>
        <v>0</v>
      </c>
      <c r="F751" s="456"/>
      <c r="G751" s="456"/>
      <c r="H751" s="456"/>
    </row>
    <row r="752" spans="1:8">
      <c r="A752" s="471">
        <v>1748</v>
      </c>
      <c r="B752" s="493" t="s">
        <v>1880</v>
      </c>
      <c r="C752" s="472" t="s">
        <v>361</v>
      </c>
      <c r="D752" s="456">
        <f>IF(Table10[[#This Row],[Current Age]]&gt;19,"Men's",IF(E752&gt;15,"U19",IF(E752&gt;13,"U15",IF(E752&gt;11,"U13",IF(E752&gt;0,"U11",0)))))</f>
        <v>0</v>
      </c>
      <c r="E752" s="456">
        <f>IFERROR(IF(Table10[[#This Row],[Year]]&gt;0,$E$1-Table10[[#This Row],[Year]],0),"")</f>
        <v>0</v>
      </c>
      <c r="F752" s="456"/>
      <c r="G752" s="456"/>
      <c r="H752" s="456"/>
    </row>
    <row r="753" spans="1:8">
      <c r="A753" s="456">
        <v>1749</v>
      </c>
      <c r="B753" s="533" t="s">
        <v>1881</v>
      </c>
      <c r="C753" s="458" t="s">
        <v>361</v>
      </c>
      <c r="D753" s="456">
        <f>IF(Table10[[#This Row],[Current Age]]&gt;19,"Men's",IF(E753&gt;15,"U19",IF(E753&gt;13,"U15",IF(E753&gt;11,"U13",IF(E753&gt;0,"U11",0)))))</f>
        <v>0</v>
      </c>
      <c r="E753" s="456">
        <f>IFERROR(IF(Table10[[#This Row],[Year]]&gt;0,$E$1-Table10[[#This Row],[Year]],0),"")</f>
        <v>0</v>
      </c>
      <c r="F753" s="456"/>
      <c r="G753" s="456"/>
      <c r="H753" s="456"/>
    </row>
    <row r="754" spans="1:8">
      <c r="A754" s="471">
        <v>1750</v>
      </c>
      <c r="B754" s="493" t="s">
        <v>1882</v>
      </c>
      <c r="C754" s="472" t="s">
        <v>361</v>
      </c>
      <c r="D754" s="456">
        <f>IF(Table10[[#This Row],[Current Age]]&gt;19,"Men's",IF(E754&gt;15,"U19",IF(E754&gt;13,"U15",IF(E754&gt;11,"U13",IF(E754&gt;0,"U11",0)))))</f>
        <v>0</v>
      </c>
      <c r="E754" s="456">
        <f>IFERROR(IF(Table10[[#This Row],[Year]]&gt;0,$E$1-Table10[[#This Row],[Year]],0),"")</f>
        <v>0</v>
      </c>
      <c r="F754" s="456"/>
      <c r="G754" s="456"/>
      <c r="H754" s="456"/>
    </row>
    <row r="755" spans="1:8">
      <c r="A755" s="456">
        <v>1751</v>
      </c>
      <c r="B755" s="533" t="s">
        <v>3298</v>
      </c>
      <c r="C755" s="458" t="s">
        <v>3299</v>
      </c>
      <c r="D755" s="456">
        <f>IF(Table10[[#This Row],[Current Age]]&gt;19,"Men's",IF(E755&gt;15,"U19",IF(E755&gt;13,"U15",IF(E755&gt;11,"U13",IF(E755&gt;0,"U11",0)))))</f>
        <v>0</v>
      </c>
      <c r="E755" s="456">
        <f>IFERROR(IF(Table10[[#This Row],[Year]]&gt;0,$E$1-Table10[[#This Row],[Year]],0),"")</f>
        <v>0</v>
      </c>
      <c r="F755" s="456"/>
      <c r="G755" s="456"/>
      <c r="H755" s="456"/>
    </row>
    <row r="756" spans="1:8">
      <c r="A756" s="471">
        <v>1752</v>
      </c>
      <c r="B756" s="534" t="s">
        <v>1883</v>
      </c>
      <c r="C756" s="472" t="s">
        <v>361</v>
      </c>
      <c r="D756" s="456" t="str">
        <f>IF(Table10[[#This Row],[Current Age]]&gt;19,"Men's",IF(E756&gt;15,"U19",IF(E756&gt;13,"U15",IF(E756&gt;11,"U13",IF(E756&gt;0,"U11",0)))))</f>
        <v>U19</v>
      </c>
      <c r="E756" s="456">
        <f>IFERROR(IF(Table10[[#This Row],[Year]]&gt;0,$E$1-Table10[[#This Row],[Year]],0),"")</f>
        <v>18</v>
      </c>
      <c r="F756" s="456">
        <v>2007</v>
      </c>
      <c r="G756" s="456"/>
      <c r="H756" s="456"/>
    </row>
    <row r="757" spans="1:8">
      <c r="A757" s="456">
        <v>1753</v>
      </c>
      <c r="B757" s="469" t="s">
        <v>1884</v>
      </c>
      <c r="C757" s="458" t="s">
        <v>361</v>
      </c>
      <c r="D757" s="456">
        <f>IF(Table10[[#This Row],[Current Age]]&gt;19,"Men's",IF(E757&gt;15,"U19",IF(E757&gt;13,"U15",IF(E757&gt;11,"U13",IF(E757&gt;0,"U11",0)))))</f>
        <v>0</v>
      </c>
      <c r="E757" s="456">
        <f>IFERROR(IF(Table10[[#This Row],[Year]]&gt;0,$E$1-Table10[[#This Row],[Year]],0),"")</f>
        <v>0</v>
      </c>
      <c r="F757" s="456"/>
      <c r="G757" s="456"/>
      <c r="H757" s="456"/>
    </row>
    <row r="758" spans="1:8">
      <c r="A758" s="471">
        <v>1754</v>
      </c>
      <c r="B758" s="493" t="s">
        <v>1885</v>
      </c>
      <c r="C758" s="472" t="s">
        <v>361</v>
      </c>
      <c r="D758" s="456" t="str">
        <f>IF(Table10[[#This Row],[Current Age]]&gt;19,"Men's",IF(E758&gt;15,"U19",IF(E758&gt;13,"U15",IF(E758&gt;11,"U13",IF(E758&gt;0,"U11",0)))))</f>
        <v>Men's</v>
      </c>
      <c r="E758" s="456">
        <f>IFERROR(IF(Table10[[#This Row],[Year]]&gt;0,$E$1-Table10[[#This Row],[Year]],0),"")</f>
        <v>21</v>
      </c>
      <c r="F758" s="456">
        <v>2004</v>
      </c>
      <c r="G758" s="456"/>
      <c r="H758" s="456"/>
    </row>
    <row r="759" spans="1:8">
      <c r="A759" s="456">
        <v>1755</v>
      </c>
      <c r="B759" s="469" t="s">
        <v>1886</v>
      </c>
      <c r="C759" s="458" t="s">
        <v>361</v>
      </c>
      <c r="D759" s="456" t="str">
        <f>IF(Table10[[#This Row],[Current Age]]&gt;19,"Men's",IF(E759&gt;15,"U19",IF(E759&gt;13,"U15",IF(E759&gt;11,"U13",IF(E759&gt;0,"U11",0)))))</f>
        <v>U19</v>
      </c>
      <c r="E759" s="456">
        <f>IFERROR(IF(Table10[[#This Row],[Year]]&gt;0,$E$1-Table10[[#This Row],[Year]],0),"")</f>
        <v>17</v>
      </c>
      <c r="F759" s="456">
        <v>2008</v>
      </c>
      <c r="G759" s="456">
        <v>3</v>
      </c>
      <c r="H759" s="456">
        <v>25</v>
      </c>
    </row>
    <row r="760" spans="1:8">
      <c r="A760" s="471">
        <v>1756</v>
      </c>
      <c r="B760" s="493" t="s">
        <v>1887</v>
      </c>
      <c r="C760" s="472" t="s">
        <v>361</v>
      </c>
      <c r="D760" s="456" t="str">
        <f>IF(Table10[[#This Row],[Current Age]]&gt;19,"Men's",IF(E760&gt;15,"U19",IF(E760&gt;13,"U15",IF(E760&gt;11,"U13",IF(E760&gt;0,"U11",0)))))</f>
        <v>Men's</v>
      </c>
      <c r="E760" s="456">
        <f>IFERROR(IF(Table10[[#This Row],[Year]]&gt;0,$E$1-Table10[[#This Row],[Year]],0),"")</f>
        <v>21</v>
      </c>
      <c r="F760" s="456">
        <v>2004</v>
      </c>
      <c r="G760" s="456">
        <v>4</v>
      </c>
      <c r="H760" s="456">
        <v>10</v>
      </c>
    </row>
    <row r="761" spans="1:8">
      <c r="A761" s="456">
        <v>1757</v>
      </c>
      <c r="B761" s="469" t="s">
        <v>1888</v>
      </c>
      <c r="C761" s="458" t="s">
        <v>361</v>
      </c>
      <c r="D761" s="456">
        <f>IF(Table10[[#This Row],[Current Age]]&gt;19,"Men's",IF(E761&gt;15,"U19",IF(E761&gt;13,"U15",IF(E761&gt;11,"U13",IF(E761&gt;0,"U11",0)))))</f>
        <v>0</v>
      </c>
      <c r="E761" s="456">
        <f>IFERROR(IF(Table10[[#This Row],[Year]]&gt;0,$E$1-Table10[[#This Row],[Year]],0),"")</f>
        <v>0</v>
      </c>
      <c r="F761" s="456"/>
      <c r="G761" s="456"/>
      <c r="H761" s="456"/>
    </row>
    <row r="762" spans="1:8">
      <c r="A762" s="471">
        <v>1758</v>
      </c>
      <c r="B762" s="493" t="s">
        <v>1889</v>
      </c>
      <c r="C762" s="472" t="s">
        <v>361</v>
      </c>
      <c r="D762" s="456">
        <f>IF(Table10[[#This Row],[Current Age]]&gt;19,"Men's",IF(E762&gt;15,"U19",IF(E762&gt;13,"U15",IF(E762&gt;11,"U13",IF(E762&gt;0,"U11",0)))))</f>
        <v>0</v>
      </c>
      <c r="E762" s="456">
        <f>IFERROR(IF(Table10[[#This Row],[Year]]&gt;0,$E$1-Table10[[#This Row],[Year]],0),"")</f>
        <v>0</v>
      </c>
      <c r="F762" s="456"/>
      <c r="G762" s="456"/>
      <c r="H762" s="456"/>
    </row>
    <row r="763" spans="1:8">
      <c r="A763" s="456">
        <v>1759</v>
      </c>
      <c r="B763" s="533" t="s">
        <v>3300</v>
      </c>
      <c r="C763" s="458" t="s">
        <v>252</v>
      </c>
      <c r="D763" s="456" t="str">
        <f>IF(Table10[[#This Row],[Current Age]]&gt;19,"Men's",IF(E763&gt;15,"U19",IF(E763&gt;13,"U15",IF(E763&gt;11,"U13",IF(E763&gt;0,"U11",0)))))</f>
        <v>U13</v>
      </c>
      <c r="E763" s="456">
        <f>IFERROR(IF(Table10[[#This Row],[Year]]&gt;0,$E$1-Table10[[#This Row],[Year]],0),"")</f>
        <v>13</v>
      </c>
      <c r="F763" s="456">
        <v>2012</v>
      </c>
      <c r="G763" s="456">
        <v>10</v>
      </c>
      <c r="H763" s="456">
        <v>11</v>
      </c>
    </row>
    <row r="764" spans="1:8">
      <c r="A764" s="471">
        <v>1760</v>
      </c>
      <c r="B764" s="534" t="s">
        <v>1890</v>
      </c>
      <c r="C764" s="472" t="s">
        <v>361</v>
      </c>
      <c r="D764" s="456">
        <f>IF(Table10[[#This Row],[Current Age]]&gt;19,"Men's",IF(E764&gt;15,"U19",IF(E764&gt;13,"U15",IF(E764&gt;11,"U13",IF(E764&gt;0,"U11",0)))))</f>
        <v>0</v>
      </c>
      <c r="E764" s="456">
        <f>IFERROR(IF(Table10[[#This Row],[Year]]&gt;0,$E$1-Table10[[#This Row],[Year]],0),"")</f>
        <v>0</v>
      </c>
      <c r="F764" s="456"/>
      <c r="G764" s="456"/>
      <c r="H764" s="456"/>
    </row>
    <row r="765" spans="1:8">
      <c r="A765" s="456">
        <v>1761</v>
      </c>
      <c r="B765" s="469" t="s">
        <v>1891</v>
      </c>
      <c r="C765" s="458" t="s">
        <v>361</v>
      </c>
      <c r="D765" s="456" t="str">
        <f>IF(Table10[[#This Row],[Current Age]]&gt;19,"Men's",IF(E765&gt;15,"U19",IF(E765&gt;13,"U15",IF(E765&gt;11,"U13",IF(E765&gt;0,"U11",0)))))</f>
        <v>Men's</v>
      </c>
      <c r="E765" s="456">
        <f>IFERROR(IF(Table10[[#This Row],[Year]]&gt;0,$E$1-Table10[[#This Row],[Year]],0),"")</f>
        <v>23</v>
      </c>
      <c r="F765" s="456">
        <v>2002</v>
      </c>
      <c r="G765" s="456">
        <v>10</v>
      </c>
      <c r="H765" s="456">
        <v>7</v>
      </c>
    </row>
    <row r="766" spans="1:8">
      <c r="A766" s="471">
        <v>1762</v>
      </c>
      <c r="B766" s="493" t="s">
        <v>1892</v>
      </c>
      <c r="C766" s="472" t="s">
        <v>361</v>
      </c>
      <c r="D766" s="456" t="str">
        <f>IF(Table10[[#This Row],[Current Age]]&gt;19,"Men's",IF(E766&gt;15,"U19",IF(E766&gt;13,"U15",IF(E766&gt;11,"U13",IF(E766&gt;0,"U11",0)))))</f>
        <v>Men's</v>
      </c>
      <c r="E766" s="456">
        <f>IFERROR(IF(Table10[[#This Row],[Year]]&gt;0,$E$1-Table10[[#This Row],[Year]],0),"")</f>
        <v>23</v>
      </c>
      <c r="F766" s="456">
        <v>2002</v>
      </c>
      <c r="G766" s="456"/>
      <c r="H766" s="456"/>
    </row>
    <row r="767" spans="1:8">
      <c r="A767" s="456">
        <v>1763</v>
      </c>
      <c r="B767" s="469" t="s">
        <v>1893</v>
      </c>
      <c r="C767" s="458" t="s">
        <v>361</v>
      </c>
      <c r="D767" s="456">
        <f>IF(Table10[[#This Row],[Current Age]]&gt;19,"Men's",IF(E767&gt;15,"U19",IF(E767&gt;13,"U15",IF(E767&gt;11,"U13",IF(E767&gt;0,"U11",0)))))</f>
        <v>0</v>
      </c>
      <c r="E767" s="456">
        <f>IFERROR(IF(Table10[[#This Row],[Year]]&gt;0,$E$1-Table10[[#This Row],[Year]],0),"")</f>
        <v>0</v>
      </c>
      <c r="F767" s="456"/>
      <c r="G767" s="456"/>
      <c r="H767" s="456"/>
    </row>
    <row r="768" spans="1:8">
      <c r="A768" s="471">
        <v>1764</v>
      </c>
      <c r="B768" s="493" t="s">
        <v>1894</v>
      </c>
      <c r="C768" s="472" t="s">
        <v>361</v>
      </c>
      <c r="D768" s="456" t="str">
        <f>IF(Table10[[#This Row],[Current Age]]&gt;19,"Men's",IF(E768&gt;15,"U19",IF(E768&gt;13,"U15",IF(E768&gt;11,"U13",IF(E768&gt;0,"U11",0)))))</f>
        <v>Men's</v>
      </c>
      <c r="E768" s="456">
        <f>IFERROR(IF(Table10[[#This Row],[Year]]&gt;0,$E$1-Table10[[#This Row],[Year]],0),"")</f>
        <v>22</v>
      </c>
      <c r="F768" s="456">
        <v>2003</v>
      </c>
      <c r="G768" s="456">
        <v>11</v>
      </c>
      <c r="H768" s="456">
        <v>30</v>
      </c>
    </row>
    <row r="769" spans="1:8">
      <c r="A769" s="456">
        <v>1765</v>
      </c>
      <c r="B769" s="469" t="s">
        <v>1895</v>
      </c>
      <c r="C769" s="458" t="s">
        <v>361</v>
      </c>
      <c r="D769" s="456" t="str">
        <f>IF(Table10[[#This Row],[Current Age]]&gt;19,"Men's",IF(E769&gt;15,"U19",IF(E769&gt;13,"U15",IF(E769&gt;11,"U13",IF(E769&gt;0,"U11",0)))))</f>
        <v>Men's</v>
      </c>
      <c r="E769" s="456">
        <f>IFERROR(IF(Table10[[#This Row],[Year]]&gt;0,$E$1-Table10[[#This Row],[Year]],0),"")</f>
        <v>23</v>
      </c>
      <c r="F769" s="456">
        <v>2002</v>
      </c>
      <c r="G769" s="456">
        <v>12</v>
      </c>
      <c r="H769" s="456">
        <v>2</v>
      </c>
    </row>
    <row r="770" spans="1:8">
      <c r="A770" s="471">
        <v>1766</v>
      </c>
      <c r="B770" s="534" t="s">
        <v>3301</v>
      </c>
      <c r="C770" s="472" t="s">
        <v>250</v>
      </c>
      <c r="D770" s="456">
        <f>IF(Table10[[#This Row],[Current Age]]&gt;19,"Men's",IF(E770&gt;15,"U19",IF(E770&gt;13,"U15",IF(E770&gt;11,"U13",IF(E770&gt;0,"U11",0)))))</f>
        <v>0</v>
      </c>
      <c r="E770" s="456">
        <f>IFERROR(IF(Table10[[#This Row],[Year]]&gt;0,$E$1-Table10[[#This Row],[Year]],0),"")</f>
        <v>0</v>
      </c>
      <c r="F770" s="456"/>
      <c r="G770" s="456"/>
      <c r="H770" s="456"/>
    </row>
    <row r="771" spans="1:8">
      <c r="A771" s="456">
        <v>1767</v>
      </c>
      <c r="B771" s="533" t="s">
        <v>3302</v>
      </c>
      <c r="C771" s="458" t="s">
        <v>762</v>
      </c>
      <c r="D771" s="456">
        <f>IF(Table10[[#This Row],[Current Age]]&gt;19,"Men's",IF(E771&gt;15,"U19",IF(E771&gt;13,"U15",IF(E771&gt;11,"U13",IF(E771&gt;0,"U11",0)))))</f>
        <v>0</v>
      </c>
      <c r="E771" s="456">
        <f>IFERROR(IF(Table10[[#This Row],[Year]]&gt;0,$E$1-Table10[[#This Row],[Year]],0),"")</f>
        <v>0</v>
      </c>
      <c r="F771" s="456"/>
      <c r="G771" s="456"/>
      <c r="H771" s="456"/>
    </row>
    <row r="772" spans="1:8">
      <c r="A772" s="471">
        <v>1768</v>
      </c>
      <c r="B772" s="493" t="s">
        <v>1896</v>
      </c>
      <c r="C772" s="472" t="s">
        <v>361</v>
      </c>
      <c r="D772" s="456" t="str">
        <f>IF(Table10[[#This Row],[Current Age]]&gt;19,"Men's",IF(E772&gt;15,"U19",IF(E772&gt;13,"U15",IF(E772&gt;11,"U13",IF(E772&gt;0,"U11",0)))))</f>
        <v>Men's</v>
      </c>
      <c r="E772" s="456">
        <f>IFERROR(IF(Table10[[#This Row],[Year]]&gt;0,$E$1-Table10[[#This Row],[Year]],0),"")</f>
        <v>24</v>
      </c>
      <c r="F772" s="456">
        <v>2001</v>
      </c>
      <c r="G772" s="456">
        <v>6</v>
      </c>
      <c r="H772" s="456">
        <v>27</v>
      </c>
    </row>
    <row r="773" spans="1:8">
      <c r="A773" s="456">
        <v>1769</v>
      </c>
      <c r="B773" s="469" t="s">
        <v>1897</v>
      </c>
      <c r="C773" s="458" t="s">
        <v>361</v>
      </c>
      <c r="D773" s="456">
        <f>IF(Table10[[#This Row],[Current Age]]&gt;19,"Men's",IF(E773&gt;15,"U19",IF(E773&gt;13,"U15",IF(E773&gt;11,"U13",IF(E773&gt;0,"U11",0)))))</f>
        <v>0</v>
      </c>
      <c r="E773" s="456">
        <f>IFERROR(IF(Table10[[#This Row],[Year]]&gt;0,$E$1-Table10[[#This Row],[Year]],0),"")</f>
        <v>0</v>
      </c>
      <c r="F773" s="456"/>
      <c r="G773" s="456"/>
      <c r="H773" s="456"/>
    </row>
    <row r="774" spans="1:8">
      <c r="A774" s="471">
        <v>1770</v>
      </c>
      <c r="B774" s="493" t="s">
        <v>1898</v>
      </c>
      <c r="C774" s="472" t="s">
        <v>361</v>
      </c>
      <c r="D774" s="456">
        <f>IF(Table10[[#This Row],[Current Age]]&gt;19,"Men's",IF(E774&gt;15,"U19",IF(E774&gt;13,"U15",IF(E774&gt;11,"U13",IF(E774&gt;0,"U11",0)))))</f>
        <v>0</v>
      </c>
      <c r="E774" s="456">
        <f>IFERROR(IF(Table10[[#This Row],[Year]]&gt;0,$E$1-Table10[[#This Row],[Year]],0),"")</f>
        <v>0</v>
      </c>
      <c r="F774" s="456"/>
      <c r="G774" s="456"/>
      <c r="H774" s="456"/>
    </row>
    <row r="775" spans="1:8">
      <c r="A775" s="456">
        <v>1771</v>
      </c>
      <c r="B775" s="469" t="s">
        <v>1899</v>
      </c>
      <c r="C775" s="458" t="s">
        <v>361</v>
      </c>
      <c r="D775" s="456">
        <f>IF(Table10[[#This Row],[Current Age]]&gt;19,"Men's",IF(E775&gt;15,"U19",IF(E775&gt;13,"U15",IF(E775&gt;11,"U13",IF(E775&gt;0,"U11",0)))))</f>
        <v>0</v>
      </c>
      <c r="E775" s="456">
        <f>IFERROR(IF(Table10[[#This Row],[Year]]&gt;0,$E$1-Table10[[#This Row],[Year]],0),"")</f>
        <v>0</v>
      </c>
      <c r="F775" s="456"/>
      <c r="G775" s="456"/>
      <c r="H775" s="456"/>
    </row>
    <row r="776" spans="1:8">
      <c r="A776" s="471">
        <v>1772</v>
      </c>
      <c r="B776" s="493" t="s">
        <v>1900</v>
      </c>
      <c r="C776" s="472" t="s">
        <v>361</v>
      </c>
      <c r="D776" s="456">
        <f>IF(Table10[[#This Row],[Current Age]]&gt;19,"Men's",IF(E776&gt;15,"U19",IF(E776&gt;13,"U15",IF(E776&gt;11,"U13",IF(E776&gt;0,"U11",0)))))</f>
        <v>0</v>
      </c>
      <c r="E776" s="456">
        <f>IFERROR(IF(Table10[[#This Row],[Year]]&gt;0,$E$1-Table10[[#This Row],[Year]],0),"")</f>
        <v>0</v>
      </c>
      <c r="F776" s="456"/>
      <c r="G776" s="456"/>
      <c r="H776" s="456"/>
    </row>
    <row r="777" spans="1:8">
      <c r="A777" s="456">
        <v>1773</v>
      </c>
      <c r="B777" s="469" t="s">
        <v>1901</v>
      </c>
      <c r="C777" s="458" t="s">
        <v>361</v>
      </c>
      <c r="D777" s="456">
        <f>IF(Table10[[#This Row],[Current Age]]&gt;19,"Men's",IF(E777&gt;15,"U19",IF(E777&gt;13,"U15",IF(E777&gt;11,"U13",IF(E777&gt;0,"U11",0)))))</f>
        <v>0</v>
      </c>
      <c r="E777" s="456">
        <f>IFERROR(IF(Table10[[#This Row],[Year]]&gt;0,$E$1-Table10[[#This Row],[Year]],0),"")</f>
        <v>0</v>
      </c>
      <c r="F777" s="456"/>
      <c r="G777" s="456"/>
      <c r="H777" s="456"/>
    </row>
    <row r="778" spans="1:8">
      <c r="A778" s="471">
        <v>1774</v>
      </c>
      <c r="B778" s="493" t="s">
        <v>379</v>
      </c>
      <c r="C778" s="472" t="s">
        <v>361</v>
      </c>
      <c r="D778" s="456" t="str">
        <f>IF(Table10[[#This Row],[Current Age]]&gt;19,"Men's",IF(E778&gt;15,"U19",IF(E778&gt;13,"U15",IF(E778&gt;11,"U13",IF(E778&gt;0,"U11",0)))))</f>
        <v>Men's</v>
      </c>
      <c r="E778" s="456">
        <f>IFERROR(IF(Table10[[#This Row],[Year]]&gt;0,$E$1-Table10[[#This Row],[Year]],0),"")</f>
        <v>56</v>
      </c>
      <c r="F778" s="456">
        <v>1969</v>
      </c>
      <c r="G778" s="456">
        <v>2</v>
      </c>
      <c r="H778" s="456">
        <v>14</v>
      </c>
    </row>
    <row r="779" spans="1:8">
      <c r="A779" s="456">
        <v>1775</v>
      </c>
      <c r="B779" s="469" t="s">
        <v>1902</v>
      </c>
      <c r="C779" s="458" t="s">
        <v>361</v>
      </c>
      <c r="D779" s="456" t="str">
        <f>IF(Table10[[#This Row],[Current Age]]&gt;19,"Men's",IF(E779&gt;15,"U19",IF(E779&gt;13,"U15",IF(E779&gt;11,"U13",IF(E779&gt;0,"U11",0)))))</f>
        <v>Men's</v>
      </c>
      <c r="E779" s="456">
        <f>IFERROR(IF(Table10[[#This Row],[Year]]&gt;0,$E$1-Table10[[#This Row],[Year]],0),"")</f>
        <v>60</v>
      </c>
      <c r="F779" s="456">
        <v>1965</v>
      </c>
      <c r="G779" s="456">
        <v>8</v>
      </c>
      <c r="H779" s="456">
        <v>4</v>
      </c>
    </row>
    <row r="780" spans="1:8">
      <c r="A780" s="471">
        <v>1776</v>
      </c>
      <c r="B780" s="493" t="s">
        <v>2566</v>
      </c>
      <c r="C780" s="472" t="s">
        <v>361</v>
      </c>
      <c r="D780" s="456" t="str">
        <f>IF(Table10[[#This Row],[Current Age]]&gt;19,"Men's",IF(E780&gt;15,"U19",IF(E780&gt;13,"U15",IF(E780&gt;11,"U13",IF(E780&gt;0,"U11",0)))))</f>
        <v>Men's</v>
      </c>
      <c r="E780" s="456">
        <f>IFERROR(IF(Table10[[#This Row],[Year]]&gt;0,$E$1-Table10[[#This Row],[Year]],0),"")</f>
        <v>50</v>
      </c>
      <c r="F780" s="456">
        <v>1975</v>
      </c>
      <c r="G780" s="456">
        <v>1</v>
      </c>
      <c r="H780" s="456">
        <v>1</v>
      </c>
    </row>
    <row r="781" spans="1:8">
      <c r="A781" s="456">
        <v>1777</v>
      </c>
      <c r="B781" s="469" t="s">
        <v>1903</v>
      </c>
      <c r="C781" s="458" t="s">
        <v>361</v>
      </c>
      <c r="D781" s="456" t="str">
        <f>IF(Table10[[#This Row],[Current Age]]&gt;19,"Men's",IF(E781&gt;15,"U19",IF(E781&gt;13,"U15",IF(E781&gt;11,"U13",IF(E781&gt;0,"U11",0)))))</f>
        <v>Men's</v>
      </c>
      <c r="E781" s="456">
        <f>IFERROR(IF(Table10[[#This Row],[Year]]&gt;0,$E$1-Table10[[#This Row],[Year]],0),"")</f>
        <v>40</v>
      </c>
      <c r="F781" s="456">
        <v>1985</v>
      </c>
      <c r="G781" s="456">
        <v>3</v>
      </c>
      <c r="H781" s="456">
        <v>13</v>
      </c>
    </row>
    <row r="782" spans="1:8">
      <c r="A782" s="471">
        <v>1778</v>
      </c>
      <c r="B782" s="496" t="s">
        <v>1917</v>
      </c>
      <c r="C782" s="472" t="s">
        <v>361</v>
      </c>
      <c r="D782" s="456">
        <f>IF(Table10[[#This Row],[Current Age]]&gt;19,"Men's",IF(E782&gt;15,"U19",IF(E782&gt;13,"U15",IF(E782&gt;11,"U13",IF(E782&gt;0,"U11",0)))))</f>
        <v>0</v>
      </c>
      <c r="E782" s="456">
        <f>IFERROR(IF(Table10[[#This Row],[Year]]&gt;0,$E$1-Table10[[#This Row],[Year]],0),"")</f>
        <v>0</v>
      </c>
      <c r="F782" s="456"/>
      <c r="G782" s="456"/>
      <c r="H782" s="456"/>
    </row>
    <row r="783" spans="1:8">
      <c r="A783" s="456">
        <v>1779</v>
      </c>
      <c r="B783" s="497" t="s">
        <v>376</v>
      </c>
      <c r="C783" s="458" t="s">
        <v>361</v>
      </c>
      <c r="D783" s="456">
        <f>IF(Table10[[#This Row],[Current Age]]&gt;19,"Men's",IF(E783&gt;15,"U19",IF(E783&gt;13,"U15",IF(E783&gt;11,"U13",IF(E783&gt;0,"U11",0)))))</f>
        <v>0</v>
      </c>
      <c r="E783" s="456">
        <f>IFERROR(IF(Table10[[#This Row],[Year]]&gt;0,$E$1-Table10[[#This Row],[Year]],0),"")</f>
        <v>0</v>
      </c>
      <c r="F783" s="456"/>
      <c r="G783" s="456"/>
      <c r="H783" s="456"/>
    </row>
    <row r="784" spans="1:8">
      <c r="A784" s="471">
        <v>1780</v>
      </c>
      <c r="B784" s="496" t="s">
        <v>377</v>
      </c>
      <c r="C784" s="472" t="s">
        <v>361</v>
      </c>
      <c r="D784" s="456">
        <f>IF(Table10[[#This Row],[Current Age]]&gt;19,"Men's",IF(E784&gt;15,"U19",IF(E784&gt;13,"U15",IF(E784&gt;11,"U13",IF(E784&gt;0,"U11",0)))))</f>
        <v>0</v>
      </c>
      <c r="E784" s="456">
        <f>IFERROR(IF(Table10[[#This Row],[Year]]&gt;0,$E$1-Table10[[#This Row],[Year]],0),"")</f>
        <v>0</v>
      </c>
      <c r="F784" s="456"/>
      <c r="G784" s="456"/>
      <c r="H784" s="456"/>
    </row>
    <row r="785" spans="1:8">
      <c r="A785" s="456">
        <v>1781</v>
      </c>
      <c r="B785" s="497" t="s">
        <v>1918</v>
      </c>
      <c r="C785" s="458" t="s">
        <v>361</v>
      </c>
      <c r="D785" s="456">
        <f>IF(Table10[[#This Row],[Current Age]]&gt;19,"Men's",IF(E785&gt;15,"U19",IF(E785&gt;13,"U15",IF(E785&gt;11,"U13",IF(E785&gt;0,"U11",0)))))</f>
        <v>0</v>
      </c>
      <c r="E785" s="456">
        <f>IFERROR(IF(Table10[[#This Row],[Year]]&gt;0,$E$1-Table10[[#This Row],[Year]],0),"")</f>
        <v>0</v>
      </c>
      <c r="F785" s="456"/>
      <c r="G785" s="456"/>
      <c r="H785" s="456"/>
    </row>
    <row r="786" spans="1:8">
      <c r="A786" s="471">
        <v>1782</v>
      </c>
      <c r="B786" s="496" t="s">
        <v>1919</v>
      </c>
      <c r="C786" s="472" t="s">
        <v>361</v>
      </c>
      <c r="D786" s="456">
        <f>IF(Table10[[#This Row],[Current Age]]&gt;19,"Men's",IF(E786&gt;15,"U19",IF(E786&gt;13,"U15",IF(E786&gt;11,"U13",IF(E786&gt;0,"U11",0)))))</f>
        <v>0</v>
      </c>
      <c r="E786" s="456">
        <f>IFERROR(IF(Table10[[#This Row],[Year]]&gt;0,$E$1-Table10[[#This Row],[Year]],0),"")</f>
        <v>0</v>
      </c>
      <c r="F786" s="456"/>
      <c r="G786" s="456"/>
      <c r="H786" s="456"/>
    </row>
    <row r="787" spans="1:8">
      <c r="A787" s="456">
        <v>1783</v>
      </c>
      <c r="B787" s="497" t="s">
        <v>380</v>
      </c>
      <c r="C787" s="458" t="s">
        <v>361</v>
      </c>
      <c r="D787" s="456" t="str">
        <f>IF(Table10[[#This Row],[Current Age]]&gt;19,"Men's",IF(E787&gt;15,"U19",IF(E787&gt;13,"U15",IF(E787&gt;11,"U13",IF(E787&gt;0,"U11",0)))))</f>
        <v>Men's</v>
      </c>
      <c r="E787" s="456">
        <f>IFERROR(IF(Table10[[#This Row],[Year]]&gt;0,$E$1-Table10[[#This Row],[Year]],0),"")</f>
        <v>53</v>
      </c>
      <c r="F787" s="456">
        <v>1972</v>
      </c>
      <c r="G787" s="456">
        <v>9</v>
      </c>
      <c r="H787" s="456">
        <v>4</v>
      </c>
    </row>
    <row r="788" spans="1:8">
      <c r="A788" s="471">
        <v>1784</v>
      </c>
      <c r="B788" s="496" t="s">
        <v>381</v>
      </c>
      <c r="C788" s="472" t="s">
        <v>362</v>
      </c>
      <c r="D788" s="456" t="str">
        <f>IF(Table10[[#This Row],[Current Age]]&gt;19,"Men's",IF(E788&gt;15,"U19",IF(E788&gt;13,"U15",IF(E788&gt;11,"U13",IF(E788&gt;0,"U11",0)))))</f>
        <v>Men's</v>
      </c>
      <c r="E788" s="456">
        <f>IFERROR(IF(Table10[[#This Row],[Year]]&gt;0,$E$1-Table10[[#This Row],[Year]],0),"")</f>
        <v>51</v>
      </c>
      <c r="F788" s="456">
        <v>1974</v>
      </c>
      <c r="G788" s="456">
        <v>9</v>
      </c>
      <c r="H788" s="456">
        <v>7</v>
      </c>
    </row>
    <row r="789" spans="1:8">
      <c r="A789" s="456">
        <v>1785</v>
      </c>
      <c r="B789" s="497" t="s">
        <v>382</v>
      </c>
      <c r="C789" s="458" t="s">
        <v>362</v>
      </c>
      <c r="D789" s="456">
        <f>IF(Table10[[#This Row],[Current Age]]&gt;19,"Men's",IF(E789&gt;15,"U19",IF(E789&gt;13,"U15",IF(E789&gt;11,"U13",IF(E789&gt;0,"U11",0)))))</f>
        <v>0</v>
      </c>
      <c r="E789" s="456">
        <f>IFERROR(IF(Table10[[#This Row],[Year]]&gt;0,$E$1-Table10[[#This Row],[Year]],0),"")</f>
        <v>0</v>
      </c>
      <c r="F789" s="456"/>
      <c r="G789" s="456"/>
      <c r="H789" s="456"/>
    </row>
    <row r="790" spans="1:8">
      <c r="A790" s="471">
        <v>1786</v>
      </c>
      <c r="B790" s="496" t="s">
        <v>383</v>
      </c>
      <c r="C790" s="472" t="s">
        <v>362</v>
      </c>
      <c r="D790" s="456">
        <f>IF(Table10[[#This Row],[Current Age]]&gt;19,"Men's",IF(E790&gt;15,"U19",IF(E790&gt;13,"U15",IF(E790&gt;11,"U13",IF(E790&gt;0,"U11",0)))))</f>
        <v>0</v>
      </c>
      <c r="E790" s="456">
        <f>IFERROR(IF(Table10[[#This Row],[Year]]&gt;0,$E$1-Table10[[#This Row],[Year]],0),"")</f>
        <v>0</v>
      </c>
      <c r="F790" s="456"/>
      <c r="G790" s="456"/>
      <c r="H790" s="456"/>
    </row>
    <row r="791" spans="1:8">
      <c r="A791" s="456">
        <v>1787</v>
      </c>
      <c r="B791" s="497" t="s">
        <v>384</v>
      </c>
      <c r="C791" s="458" t="s">
        <v>362</v>
      </c>
      <c r="D791" s="456">
        <f>IF(Table10[[#This Row],[Current Age]]&gt;19,"Men's",IF(E791&gt;15,"U19",IF(E791&gt;13,"U15",IF(E791&gt;11,"U13",IF(E791&gt;0,"U11",0)))))</f>
        <v>0</v>
      </c>
      <c r="E791" s="456">
        <f>IFERROR(IF(Table10[[#This Row],[Year]]&gt;0,$E$1-Table10[[#This Row],[Year]],0),"")</f>
        <v>0</v>
      </c>
      <c r="F791" s="456"/>
      <c r="G791" s="456"/>
      <c r="H791" s="456"/>
    </row>
    <row r="792" spans="1:8">
      <c r="A792" s="471">
        <v>1788</v>
      </c>
      <c r="B792" s="496" t="s">
        <v>385</v>
      </c>
      <c r="C792" s="472" t="s">
        <v>362</v>
      </c>
      <c r="D792" s="456">
        <f>IF(Table10[[#This Row],[Current Age]]&gt;19,"Men's",IF(E792&gt;15,"U19",IF(E792&gt;13,"U15",IF(E792&gt;11,"U13",IF(E792&gt;0,"U11",0)))))</f>
        <v>0</v>
      </c>
      <c r="E792" s="456">
        <f>IFERROR(IF(Table10[[#This Row],[Year]]&gt;0,$E$1-Table10[[#This Row],[Year]],0),"")</f>
        <v>0</v>
      </c>
      <c r="F792" s="456"/>
      <c r="G792" s="456"/>
      <c r="H792" s="456"/>
    </row>
    <row r="793" spans="1:8">
      <c r="A793" s="456">
        <v>1789</v>
      </c>
      <c r="B793" s="497" t="s">
        <v>386</v>
      </c>
      <c r="C793" s="458" t="s">
        <v>362</v>
      </c>
      <c r="D793" s="456">
        <f>IF(Table10[[#This Row],[Current Age]]&gt;19,"Men's",IF(E793&gt;15,"U19",IF(E793&gt;13,"U15",IF(E793&gt;11,"U13",IF(E793&gt;0,"U11",0)))))</f>
        <v>0</v>
      </c>
      <c r="E793" s="456">
        <f>IFERROR(IF(Table10[[#This Row],[Year]]&gt;0,$E$1-Table10[[#This Row],[Year]],0),"")</f>
        <v>0</v>
      </c>
      <c r="F793" s="456"/>
      <c r="G793" s="456"/>
      <c r="H793" s="456"/>
    </row>
    <row r="794" spans="1:8">
      <c r="A794" s="471">
        <v>1790</v>
      </c>
      <c r="B794" s="496" t="s">
        <v>387</v>
      </c>
      <c r="C794" s="472" t="s">
        <v>362</v>
      </c>
      <c r="D794" s="456" t="str">
        <f>IF(Table10[[#This Row],[Current Age]]&gt;19,"Men's",IF(E794&gt;15,"U19",IF(E794&gt;13,"U15",IF(E794&gt;11,"U13",IF(E794&gt;0,"U11",0)))))</f>
        <v>Men's</v>
      </c>
      <c r="E794" s="456">
        <f>IFERROR(IF(Table10[[#This Row],[Year]]&gt;0,$E$1-Table10[[#This Row],[Year]],0),"")</f>
        <v>30</v>
      </c>
      <c r="F794" s="456">
        <v>1995</v>
      </c>
      <c r="G794" s="456">
        <v>9</v>
      </c>
      <c r="H794" s="456">
        <v>7</v>
      </c>
    </row>
    <row r="795" spans="1:8">
      <c r="A795" s="456">
        <v>1791</v>
      </c>
      <c r="B795" s="497" t="s">
        <v>388</v>
      </c>
      <c r="C795" s="458" t="s">
        <v>362</v>
      </c>
      <c r="D795" s="456">
        <f>IF(Table10[[#This Row],[Current Age]]&gt;19,"Men's",IF(E795&gt;15,"U19",IF(E795&gt;13,"U15",IF(E795&gt;11,"U13",IF(E795&gt;0,"U11",0)))))</f>
        <v>0</v>
      </c>
      <c r="E795" s="456">
        <f>IFERROR(IF(Table10[[#This Row],[Year]]&gt;0,$E$1-Table10[[#This Row],[Year]],0),"")</f>
        <v>0</v>
      </c>
      <c r="F795" s="456"/>
      <c r="G795" s="456"/>
      <c r="H795" s="456"/>
    </row>
    <row r="796" spans="1:8">
      <c r="A796" s="471">
        <v>1792</v>
      </c>
      <c r="B796" s="496" t="s">
        <v>389</v>
      </c>
      <c r="C796" s="472" t="s">
        <v>362</v>
      </c>
      <c r="D796" s="456">
        <f>IF(Table10[[#This Row],[Current Age]]&gt;19,"Men's",IF(E796&gt;15,"U19",IF(E796&gt;13,"U15",IF(E796&gt;11,"U13",IF(E796&gt;0,"U11",0)))))</f>
        <v>0</v>
      </c>
      <c r="E796" s="456">
        <f>IFERROR(IF(Table10[[#This Row],[Year]]&gt;0,$E$1-Table10[[#This Row],[Year]],0),"")</f>
        <v>0</v>
      </c>
      <c r="F796" s="456"/>
      <c r="G796" s="456"/>
      <c r="H796" s="456"/>
    </row>
    <row r="797" spans="1:8">
      <c r="A797" s="456">
        <v>1793</v>
      </c>
      <c r="B797" s="497" t="s">
        <v>390</v>
      </c>
      <c r="C797" s="458" t="s">
        <v>362</v>
      </c>
      <c r="D797" s="456">
        <f>IF(Table10[[#This Row],[Current Age]]&gt;19,"Men's",IF(E797&gt;15,"U19",IF(E797&gt;13,"U15",IF(E797&gt;11,"U13",IF(E797&gt;0,"U11",0)))))</f>
        <v>0</v>
      </c>
      <c r="E797" s="456">
        <f>IFERROR(IF(Table10[[#This Row],[Year]]&gt;0,$E$1-Table10[[#This Row],[Year]],0),"")</f>
        <v>0</v>
      </c>
      <c r="F797" s="456"/>
      <c r="G797" s="456"/>
      <c r="H797" s="456"/>
    </row>
    <row r="798" spans="1:8">
      <c r="A798" s="471">
        <v>1794</v>
      </c>
      <c r="B798" s="496" t="s">
        <v>391</v>
      </c>
      <c r="C798" s="472" t="s">
        <v>362</v>
      </c>
      <c r="D798" s="456">
        <f>IF(Table10[[#This Row],[Current Age]]&gt;19,"Men's",IF(E798&gt;15,"U19",IF(E798&gt;13,"U15",IF(E798&gt;11,"U13",IF(E798&gt;0,"U11",0)))))</f>
        <v>0</v>
      </c>
      <c r="E798" s="456">
        <f>IFERROR(IF(Table10[[#This Row],[Year]]&gt;0,$E$1-Table10[[#This Row],[Year]],0),"")</f>
        <v>0</v>
      </c>
      <c r="F798" s="456"/>
      <c r="G798" s="456"/>
      <c r="H798" s="456"/>
    </row>
    <row r="799" spans="1:8">
      <c r="A799" s="456">
        <v>1795</v>
      </c>
      <c r="B799" s="497" t="s">
        <v>392</v>
      </c>
      <c r="C799" s="458" t="s">
        <v>362</v>
      </c>
      <c r="D799" s="456">
        <f>IF(Table10[[#This Row],[Current Age]]&gt;19,"Men's",IF(E799&gt;15,"U19",IF(E799&gt;13,"U15",IF(E799&gt;11,"U13",IF(E799&gt;0,"U11",0)))))</f>
        <v>0</v>
      </c>
      <c r="E799" s="456">
        <f>IFERROR(IF(Table10[[#This Row],[Year]]&gt;0,$E$1-Table10[[#This Row],[Year]],0),"")</f>
        <v>0</v>
      </c>
      <c r="F799" s="456"/>
      <c r="G799" s="456"/>
      <c r="H799" s="456"/>
    </row>
    <row r="800" spans="1:8">
      <c r="A800" s="471">
        <v>1796</v>
      </c>
      <c r="B800" s="496" t="s">
        <v>393</v>
      </c>
      <c r="C800" s="472" t="s">
        <v>362</v>
      </c>
      <c r="D800" s="456">
        <f>IF(Table10[[#This Row],[Current Age]]&gt;19,"Men's",IF(E800&gt;15,"U19",IF(E800&gt;13,"U15",IF(E800&gt;11,"U13",IF(E800&gt;0,"U11",0)))))</f>
        <v>0</v>
      </c>
      <c r="E800" s="456">
        <f>IFERROR(IF(Table10[[#This Row],[Year]]&gt;0,$E$1-Table10[[#This Row],[Year]],0),"")</f>
        <v>0</v>
      </c>
      <c r="F800" s="456"/>
      <c r="G800" s="456"/>
      <c r="H800" s="456"/>
    </row>
    <row r="801" spans="1:8">
      <c r="A801" s="456">
        <v>1797</v>
      </c>
      <c r="B801" s="497" t="s">
        <v>394</v>
      </c>
      <c r="C801" s="458" t="s">
        <v>362</v>
      </c>
      <c r="D801" s="456">
        <f>IF(Table10[[#This Row],[Current Age]]&gt;19,"Men's",IF(E801&gt;15,"U19",IF(E801&gt;13,"U15",IF(E801&gt;11,"U13",IF(E801&gt;0,"U11",0)))))</f>
        <v>0</v>
      </c>
      <c r="E801" s="456">
        <f>IFERROR(IF(Table10[[#This Row],[Year]]&gt;0,$E$1-Table10[[#This Row],[Year]],0),"")</f>
        <v>0</v>
      </c>
      <c r="F801" s="456"/>
      <c r="G801" s="456"/>
      <c r="H801" s="456"/>
    </row>
    <row r="802" spans="1:8">
      <c r="A802" s="471">
        <v>1798</v>
      </c>
      <c r="B802" s="496" t="s">
        <v>395</v>
      </c>
      <c r="C802" s="472" t="s">
        <v>1914</v>
      </c>
      <c r="D802" s="456" t="str">
        <f>IF(Table10[[#This Row],[Current Age]]&gt;19,"Men's",IF(E802&gt;15,"U19",IF(E802&gt;13,"U15",IF(E802&gt;11,"U13",IF(E802&gt;0,"U11",0)))))</f>
        <v>Men's</v>
      </c>
      <c r="E802" s="456">
        <f>IFERROR(IF(Table10[[#This Row],[Year]]&gt;0,$E$1-Table10[[#This Row],[Year]],0),"")</f>
        <v>39</v>
      </c>
      <c r="F802" s="456">
        <v>1986</v>
      </c>
      <c r="G802" s="456">
        <v>3</v>
      </c>
      <c r="H802" s="456">
        <v>16</v>
      </c>
    </row>
    <row r="803" spans="1:8">
      <c r="A803" s="456">
        <v>1799</v>
      </c>
      <c r="B803" s="497" t="s">
        <v>396</v>
      </c>
      <c r="C803" s="458" t="s">
        <v>362</v>
      </c>
      <c r="D803" s="456">
        <f>IF(Table10[[#This Row],[Current Age]]&gt;19,"Men's",IF(E803&gt;15,"U19",IF(E803&gt;13,"U15",IF(E803&gt;11,"U13",IF(E803&gt;0,"U11",0)))))</f>
        <v>0</v>
      </c>
      <c r="E803" s="456">
        <f>IFERROR(IF(Table10[[#This Row],[Year]]&gt;0,$E$1-Table10[[#This Row],[Year]],0),"")</f>
        <v>0</v>
      </c>
      <c r="F803" s="456"/>
      <c r="G803" s="456"/>
      <c r="H803" s="456"/>
    </row>
    <row r="804" spans="1:8">
      <c r="A804" s="471">
        <v>1800</v>
      </c>
      <c r="B804" s="496" t="s">
        <v>397</v>
      </c>
      <c r="C804" s="472" t="s">
        <v>362</v>
      </c>
      <c r="D804" s="456">
        <f>IF(Table10[[#This Row],[Current Age]]&gt;19,"Men's",IF(E804&gt;15,"U19",IF(E804&gt;13,"U15",IF(E804&gt;11,"U13",IF(E804&gt;0,"U11",0)))))</f>
        <v>0</v>
      </c>
      <c r="E804" s="456">
        <f>IFERROR(IF(Table10[[#This Row],[Year]]&gt;0,$E$1-Table10[[#This Row],[Year]],0),"")</f>
        <v>0</v>
      </c>
      <c r="F804" s="456"/>
      <c r="G804" s="456"/>
      <c r="H804" s="456"/>
    </row>
    <row r="805" spans="1:8">
      <c r="A805" s="456">
        <v>1801</v>
      </c>
      <c r="B805" s="497" t="s">
        <v>398</v>
      </c>
      <c r="C805" s="458" t="s">
        <v>1914</v>
      </c>
      <c r="D805" s="456" t="str">
        <f>IF(Table10[[#This Row],[Current Age]]&gt;19,"Men's",IF(E805&gt;15,"U19",IF(E805&gt;13,"U15",IF(E805&gt;11,"U13",IF(E805&gt;0,"U11",0)))))</f>
        <v>Men's</v>
      </c>
      <c r="E805" s="456">
        <f>IFERROR(IF(Table10[[#This Row],[Year]]&gt;0,$E$1-Table10[[#This Row],[Year]],0),"")</f>
        <v>33</v>
      </c>
      <c r="F805" s="456">
        <v>1992</v>
      </c>
      <c r="G805" s="456">
        <v>7</v>
      </c>
      <c r="H805" s="456">
        <v>16</v>
      </c>
    </row>
    <row r="806" spans="1:8">
      <c r="A806" s="471">
        <v>1802</v>
      </c>
      <c r="B806" s="496" t="s">
        <v>399</v>
      </c>
      <c r="C806" s="472" t="s">
        <v>362</v>
      </c>
      <c r="D806" s="456">
        <f>IF(Table10[[#This Row],[Current Age]]&gt;19,"Men's",IF(E806&gt;15,"U19",IF(E806&gt;13,"U15",IF(E806&gt;11,"U13",IF(E806&gt;0,"U11",0)))))</f>
        <v>0</v>
      </c>
      <c r="E806" s="456">
        <f>IFERROR(IF(Table10[[#This Row],[Year]]&gt;0,$E$1-Table10[[#This Row],[Year]],0),"")</f>
        <v>0</v>
      </c>
      <c r="F806" s="456"/>
      <c r="G806" s="456"/>
      <c r="H806" s="456"/>
    </row>
    <row r="807" spans="1:8">
      <c r="A807" s="456">
        <v>1803</v>
      </c>
      <c r="B807" s="497" t="s">
        <v>400</v>
      </c>
      <c r="C807" s="458" t="s">
        <v>362</v>
      </c>
      <c r="D807" s="456">
        <f>IF(Table10[[#This Row],[Current Age]]&gt;19,"Men's",IF(E807&gt;15,"U19",IF(E807&gt;13,"U15",IF(E807&gt;11,"U13",IF(E807&gt;0,"U11",0)))))</f>
        <v>0</v>
      </c>
      <c r="E807" s="456">
        <f>IFERROR(IF(Table10[[#This Row],[Year]]&gt;0,$E$1-Table10[[#This Row],[Year]],0),"")</f>
        <v>0</v>
      </c>
      <c r="F807" s="456"/>
      <c r="G807" s="456"/>
      <c r="H807" s="456"/>
    </row>
    <row r="808" spans="1:8">
      <c r="A808" s="471">
        <v>1804</v>
      </c>
      <c r="B808" s="496" t="s">
        <v>401</v>
      </c>
      <c r="C808" s="472" t="s">
        <v>362</v>
      </c>
      <c r="D808" s="456">
        <f>IF(Table10[[#This Row],[Current Age]]&gt;19,"Men's",IF(E808&gt;15,"U19",IF(E808&gt;13,"U15",IF(E808&gt;11,"U13",IF(E808&gt;0,"U11",0)))))</f>
        <v>0</v>
      </c>
      <c r="E808" s="456">
        <f>IFERROR(IF(Table10[[#This Row],[Year]]&gt;0,$E$1-Table10[[#This Row],[Year]],0),"")</f>
        <v>0</v>
      </c>
      <c r="F808" s="456"/>
      <c r="G808" s="456"/>
      <c r="H808" s="456"/>
    </row>
    <row r="809" spans="1:8">
      <c r="A809" s="456">
        <v>1805</v>
      </c>
      <c r="B809" s="497" t="s">
        <v>1920</v>
      </c>
      <c r="C809" s="458" t="s">
        <v>361</v>
      </c>
      <c r="D809" s="456">
        <f>IF(Table10[[#This Row],[Current Age]]&gt;19,"Men's",IF(E809&gt;15,"U19",IF(E809&gt;13,"U15",IF(E809&gt;11,"U13",IF(E809&gt;0,"U11",0)))))</f>
        <v>0</v>
      </c>
      <c r="E809" s="456">
        <f>IFERROR(IF(Table10[[#This Row],[Year]]&gt;0,$E$1-Table10[[#This Row],[Year]],0),"")</f>
        <v>0</v>
      </c>
      <c r="F809" s="456"/>
      <c r="G809" s="456"/>
      <c r="H809" s="456"/>
    </row>
    <row r="810" spans="1:8">
      <c r="A810" s="471">
        <v>1806</v>
      </c>
      <c r="B810" s="496" t="s">
        <v>1937</v>
      </c>
      <c r="C810" s="472" t="s">
        <v>1908</v>
      </c>
      <c r="D810" s="456">
        <f>IF(Table10[[#This Row],[Current Age]]&gt;19,"Men's",IF(E810&gt;15,"U19",IF(E810&gt;13,"U15",IF(E810&gt;11,"U13",IF(E810&gt;0,"U11",0)))))</f>
        <v>0</v>
      </c>
      <c r="E810" s="456">
        <f>IFERROR(IF(Table10[[#This Row],[Year]]&gt;0,$E$1-Table10[[#This Row],[Year]],0),"")</f>
        <v>0</v>
      </c>
      <c r="F810" s="456"/>
      <c r="G810" s="456"/>
      <c r="H810" s="456"/>
    </row>
    <row r="811" spans="1:8">
      <c r="A811" s="456">
        <v>1807</v>
      </c>
      <c r="B811" s="497" t="s">
        <v>403</v>
      </c>
      <c r="C811" s="458" t="s">
        <v>362</v>
      </c>
      <c r="D811" s="456">
        <f>IF(Table10[[#This Row],[Current Age]]&gt;19,"Men's",IF(E811&gt;15,"U19",IF(E811&gt;13,"U15",IF(E811&gt;11,"U13",IF(E811&gt;0,"U11",0)))))</f>
        <v>0</v>
      </c>
      <c r="E811" s="456">
        <f>IFERROR(IF(Table10[[#This Row],[Year]]&gt;0,$E$1-Table10[[#This Row],[Year]],0),"")</f>
        <v>0</v>
      </c>
      <c r="F811" s="456"/>
      <c r="G811" s="456"/>
      <c r="H811" s="456"/>
    </row>
    <row r="812" spans="1:8">
      <c r="A812" s="471">
        <v>1808</v>
      </c>
      <c r="B812" s="496" t="s">
        <v>404</v>
      </c>
      <c r="C812" s="472" t="s">
        <v>362</v>
      </c>
      <c r="D812" s="456">
        <f>IF(Table10[[#This Row],[Current Age]]&gt;19,"Men's",IF(E812&gt;15,"U19",IF(E812&gt;13,"U15",IF(E812&gt;11,"U13",IF(E812&gt;0,"U11",0)))))</f>
        <v>0</v>
      </c>
      <c r="E812" s="456">
        <f>IFERROR(IF(Table10[[#This Row],[Year]]&gt;0,$E$1-Table10[[#This Row],[Year]],0),"")</f>
        <v>0</v>
      </c>
      <c r="F812" s="456"/>
      <c r="G812" s="456"/>
      <c r="H812" s="456"/>
    </row>
    <row r="813" spans="1:8">
      <c r="A813" s="456">
        <v>1809</v>
      </c>
      <c r="B813" s="497" t="s">
        <v>405</v>
      </c>
      <c r="C813" s="458" t="s">
        <v>362</v>
      </c>
      <c r="D813" s="456">
        <f>IF(Table10[[#This Row],[Current Age]]&gt;19,"Men's",IF(E813&gt;15,"U19",IF(E813&gt;13,"U15",IF(E813&gt;11,"U13",IF(E813&gt;0,"U11",0)))))</f>
        <v>0</v>
      </c>
      <c r="E813" s="456">
        <f>IFERROR(IF(Table10[[#This Row],[Year]]&gt;0,$E$1-Table10[[#This Row],[Year]],0),"")</f>
        <v>0</v>
      </c>
      <c r="F813" s="456"/>
      <c r="G813" s="456"/>
      <c r="H813" s="456"/>
    </row>
    <row r="814" spans="1:8">
      <c r="A814" s="471">
        <v>1810</v>
      </c>
      <c r="B814" s="496" t="s">
        <v>406</v>
      </c>
      <c r="C814" s="472" t="s">
        <v>362</v>
      </c>
      <c r="D814" s="456">
        <f>IF(Table10[[#This Row],[Current Age]]&gt;19,"Men's",IF(E814&gt;15,"U19",IF(E814&gt;13,"U15",IF(E814&gt;11,"U13",IF(E814&gt;0,"U11",0)))))</f>
        <v>0</v>
      </c>
      <c r="E814" s="456">
        <f>IFERROR(IF(Table10[[#This Row],[Year]]&gt;0,$E$1-Table10[[#This Row],[Year]],0),"")</f>
        <v>0</v>
      </c>
      <c r="F814" s="456"/>
      <c r="G814" s="456"/>
      <c r="H814" s="456"/>
    </row>
    <row r="815" spans="1:8">
      <c r="A815" s="456">
        <v>1811</v>
      </c>
      <c r="B815" s="497" t="s">
        <v>407</v>
      </c>
      <c r="C815" s="458" t="s">
        <v>362</v>
      </c>
      <c r="D815" s="456">
        <f>IF(Table10[[#This Row],[Current Age]]&gt;19,"Men's",IF(E815&gt;15,"U19",IF(E815&gt;13,"U15",IF(E815&gt;11,"U13",IF(E815&gt;0,"U11",0)))))</f>
        <v>0</v>
      </c>
      <c r="E815" s="456">
        <f>IFERROR(IF(Table10[[#This Row],[Year]]&gt;0,$E$1-Table10[[#This Row],[Year]],0),"")</f>
        <v>0</v>
      </c>
      <c r="F815" s="456"/>
      <c r="G815" s="456"/>
      <c r="H815" s="456"/>
    </row>
    <row r="816" spans="1:8">
      <c r="A816" s="471">
        <v>1812</v>
      </c>
      <c r="B816" s="496" t="s">
        <v>408</v>
      </c>
      <c r="C816" s="472" t="s">
        <v>362</v>
      </c>
      <c r="D816" s="456">
        <f>IF(Table10[[#This Row],[Current Age]]&gt;19,"Men's",IF(E816&gt;15,"U19",IF(E816&gt;13,"U15",IF(E816&gt;11,"U13",IF(E816&gt;0,"U11",0)))))</f>
        <v>0</v>
      </c>
      <c r="E816" s="456">
        <f>IFERROR(IF(Table10[[#This Row],[Year]]&gt;0,$E$1-Table10[[#This Row],[Year]],0),"")</f>
        <v>0</v>
      </c>
      <c r="F816" s="456"/>
      <c r="G816" s="456"/>
      <c r="H816" s="456"/>
    </row>
    <row r="817" spans="1:8">
      <c r="A817" s="456">
        <v>1813</v>
      </c>
      <c r="B817" s="497" t="s">
        <v>409</v>
      </c>
      <c r="C817" s="458" t="s">
        <v>362</v>
      </c>
      <c r="D817" s="456">
        <f>IF(Table10[[#This Row],[Current Age]]&gt;19,"Men's",IF(E817&gt;15,"U19",IF(E817&gt;13,"U15",IF(E817&gt;11,"U13",IF(E817&gt;0,"U11",0)))))</f>
        <v>0</v>
      </c>
      <c r="E817" s="456">
        <f>IFERROR(IF(Table10[[#This Row],[Year]]&gt;0,$E$1-Table10[[#This Row],[Year]],0),"")</f>
        <v>0</v>
      </c>
      <c r="F817" s="456"/>
      <c r="G817" s="456"/>
      <c r="H817" s="456"/>
    </row>
    <row r="818" spans="1:8">
      <c r="A818" s="471">
        <v>1814</v>
      </c>
      <c r="B818" s="496" t="s">
        <v>410</v>
      </c>
      <c r="C818" s="472" t="s">
        <v>362</v>
      </c>
      <c r="D818" s="456">
        <f>IF(Table10[[#This Row],[Current Age]]&gt;19,"Men's",IF(E818&gt;15,"U19",IF(E818&gt;13,"U15",IF(E818&gt;11,"U13",IF(E818&gt;0,"U11",0)))))</f>
        <v>0</v>
      </c>
      <c r="E818" s="456">
        <f>IFERROR(IF(Table10[[#This Row],[Year]]&gt;0,$E$1-Table10[[#This Row],[Year]],0),"")</f>
        <v>0</v>
      </c>
      <c r="F818" s="456"/>
      <c r="G818" s="456"/>
      <c r="H818" s="456"/>
    </row>
    <row r="819" spans="1:8">
      <c r="A819" s="456">
        <v>1815</v>
      </c>
      <c r="B819" s="497" t="s">
        <v>411</v>
      </c>
      <c r="C819" s="458" t="s">
        <v>362</v>
      </c>
      <c r="D819" s="456">
        <f>IF(Table10[[#This Row],[Current Age]]&gt;19,"Men's",IF(E819&gt;15,"U19",IF(E819&gt;13,"U15",IF(E819&gt;11,"U13",IF(E819&gt;0,"U11",0)))))</f>
        <v>0</v>
      </c>
      <c r="E819" s="456">
        <f>IFERROR(IF(Table10[[#This Row],[Year]]&gt;0,$E$1-Table10[[#This Row],[Year]],0),"")</f>
        <v>0</v>
      </c>
      <c r="F819" s="456"/>
      <c r="G819" s="456"/>
      <c r="H819" s="456"/>
    </row>
    <row r="820" spans="1:8">
      <c r="A820" s="471">
        <v>1816</v>
      </c>
      <c r="B820" s="496" t="s">
        <v>412</v>
      </c>
      <c r="C820" s="472" t="s">
        <v>362</v>
      </c>
      <c r="D820" s="456">
        <f>IF(Table10[[#This Row],[Current Age]]&gt;19,"Men's",IF(E820&gt;15,"U19",IF(E820&gt;13,"U15",IF(E820&gt;11,"U13",IF(E820&gt;0,"U11",0)))))</f>
        <v>0</v>
      </c>
      <c r="E820" s="456">
        <f>IFERROR(IF(Table10[[#This Row],[Year]]&gt;0,$E$1-Table10[[#This Row],[Year]],0),"")</f>
        <v>0</v>
      </c>
      <c r="F820" s="456"/>
      <c r="G820" s="456"/>
      <c r="H820" s="456"/>
    </row>
    <row r="821" spans="1:8">
      <c r="A821" s="456">
        <v>1817</v>
      </c>
      <c r="B821" s="497" t="s">
        <v>413</v>
      </c>
      <c r="C821" s="458" t="s">
        <v>362</v>
      </c>
      <c r="D821" s="456">
        <f>IF(Table10[[#This Row],[Current Age]]&gt;19,"Men's",IF(E821&gt;15,"U19",IF(E821&gt;13,"U15",IF(E821&gt;11,"U13",IF(E821&gt;0,"U11",0)))))</f>
        <v>0</v>
      </c>
      <c r="E821" s="456">
        <f>IFERROR(IF(Table10[[#This Row],[Year]]&gt;0,$E$1-Table10[[#This Row],[Year]],0),"")</f>
        <v>0</v>
      </c>
      <c r="F821" s="456"/>
      <c r="G821" s="456"/>
      <c r="H821" s="456"/>
    </row>
    <row r="822" spans="1:8">
      <c r="A822" s="471">
        <v>1818</v>
      </c>
      <c r="B822" s="496" t="s">
        <v>414</v>
      </c>
      <c r="C822" s="472" t="s">
        <v>362</v>
      </c>
      <c r="D822" s="456">
        <f>IF(Table10[[#This Row],[Current Age]]&gt;19,"Men's",IF(E822&gt;15,"U19",IF(E822&gt;13,"U15",IF(E822&gt;11,"U13",IF(E822&gt;0,"U11",0)))))</f>
        <v>0</v>
      </c>
      <c r="E822" s="456">
        <f>IFERROR(IF(Table10[[#This Row],[Year]]&gt;0,$E$1-Table10[[#This Row],[Year]],0),"")</f>
        <v>0</v>
      </c>
      <c r="F822" s="456"/>
      <c r="G822" s="456"/>
      <c r="H822" s="456"/>
    </row>
    <row r="823" spans="1:8">
      <c r="A823" s="456">
        <v>1819</v>
      </c>
      <c r="B823" s="497" t="s">
        <v>415</v>
      </c>
      <c r="C823" s="458" t="s">
        <v>362</v>
      </c>
      <c r="D823" s="456">
        <f>IF(Table10[[#This Row],[Current Age]]&gt;19,"Men's",IF(E823&gt;15,"U19",IF(E823&gt;13,"U15",IF(E823&gt;11,"U13",IF(E823&gt;0,"U11",0)))))</f>
        <v>0</v>
      </c>
      <c r="E823" s="456">
        <f>IFERROR(IF(Table10[[#This Row],[Year]]&gt;0,$E$1-Table10[[#This Row],[Year]],0),"")</f>
        <v>0</v>
      </c>
      <c r="F823" s="456"/>
      <c r="G823" s="456"/>
      <c r="H823" s="456"/>
    </row>
    <row r="824" spans="1:8">
      <c r="A824" s="471">
        <v>1820</v>
      </c>
      <c r="B824" s="496" t="s">
        <v>416</v>
      </c>
      <c r="C824" s="472" t="s">
        <v>362</v>
      </c>
      <c r="D824" s="456">
        <f>IF(Table10[[#This Row],[Current Age]]&gt;19,"Men's",IF(E824&gt;15,"U19",IF(E824&gt;13,"U15",IF(E824&gt;11,"U13",IF(E824&gt;0,"U11",0)))))</f>
        <v>0</v>
      </c>
      <c r="E824" s="456">
        <f>IFERROR(IF(Table10[[#This Row],[Year]]&gt;0,$E$1-Table10[[#This Row],[Year]],0),"")</f>
        <v>0</v>
      </c>
      <c r="F824" s="456"/>
      <c r="G824" s="456"/>
      <c r="H824" s="456"/>
    </row>
    <row r="825" spans="1:8">
      <c r="A825" s="456">
        <v>1821</v>
      </c>
      <c r="B825" s="497" t="s">
        <v>417</v>
      </c>
      <c r="C825" s="458" t="s">
        <v>362</v>
      </c>
      <c r="D825" s="456">
        <f>IF(Table10[[#This Row],[Current Age]]&gt;19,"Men's",IF(E825&gt;15,"U19",IF(E825&gt;13,"U15",IF(E825&gt;11,"U13",IF(E825&gt;0,"U11",0)))))</f>
        <v>0</v>
      </c>
      <c r="E825" s="456">
        <f>IFERROR(IF(Table10[[#This Row],[Year]]&gt;0,$E$1-Table10[[#This Row],[Year]],0),"")</f>
        <v>0</v>
      </c>
      <c r="F825" s="456"/>
      <c r="G825" s="456"/>
      <c r="H825" s="456"/>
    </row>
    <row r="826" spans="1:8">
      <c r="A826" s="471">
        <v>1822</v>
      </c>
      <c r="B826" s="496" t="s">
        <v>418</v>
      </c>
      <c r="C826" s="472" t="s">
        <v>362</v>
      </c>
      <c r="D826" s="456">
        <f>IF(Table10[[#This Row],[Current Age]]&gt;19,"Men's",IF(E826&gt;15,"U19",IF(E826&gt;13,"U15",IF(E826&gt;11,"U13",IF(E826&gt;0,"U11",0)))))</f>
        <v>0</v>
      </c>
      <c r="E826" s="456">
        <f>IFERROR(IF(Table10[[#This Row],[Year]]&gt;0,$E$1-Table10[[#This Row],[Year]],0),"")</f>
        <v>0</v>
      </c>
      <c r="F826" s="456"/>
      <c r="G826" s="456"/>
      <c r="H826" s="456"/>
    </row>
    <row r="827" spans="1:8">
      <c r="A827" s="456">
        <v>1823</v>
      </c>
      <c r="B827" s="497" t="s">
        <v>419</v>
      </c>
      <c r="C827" s="458" t="s">
        <v>362</v>
      </c>
      <c r="D827" s="456">
        <f>IF(Table10[[#This Row],[Current Age]]&gt;19,"Men's",IF(E827&gt;15,"U19",IF(E827&gt;13,"U15",IF(E827&gt;11,"U13",IF(E827&gt;0,"U11",0)))))</f>
        <v>0</v>
      </c>
      <c r="E827" s="456">
        <f>IFERROR(IF(Table10[[#This Row],[Year]]&gt;0,$E$1-Table10[[#This Row],[Year]],0),"")</f>
        <v>0</v>
      </c>
      <c r="F827" s="456"/>
      <c r="G827" s="456"/>
      <c r="H827" s="456"/>
    </row>
    <row r="828" spans="1:8">
      <c r="A828" s="471">
        <v>1824</v>
      </c>
      <c r="B828" s="496" t="s">
        <v>420</v>
      </c>
      <c r="C828" s="472" t="s">
        <v>362</v>
      </c>
      <c r="D828" s="456">
        <f>IF(Table10[[#This Row],[Current Age]]&gt;19,"Men's",IF(E828&gt;15,"U19",IF(E828&gt;13,"U15",IF(E828&gt;11,"U13",IF(E828&gt;0,"U11",0)))))</f>
        <v>0</v>
      </c>
      <c r="E828" s="456">
        <f>IFERROR(IF(Table10[[#This Row],[Year]]&gt;0,$E$1-Table10[[#This Row],[Year]],0),"")</f>
        <v>0</v>
      </c>
      <c r="F828" s="456"/>
      <c r="G828" s="456"/>
      <c r="H828" s="456"/>
    </row>
    <row r="829" spans="1:8">
      <c r="A829" s="456">
        <v>1825</v>
      </c>
      <c r="B829" s="497" t="s">
        <v>421</v>
      </c>
      <c r="C829" s="458" t="s">
        <v>362</v>
      </c>
      <c r="D829" s="456">
        <f>IF(Table10[[#This Row],[Current Age]]&gt;19,"Men's",IF(E829&gt;15,"U19",IF(E829&gt;13,"U15",IF(E829&gt;11,"U13",IF(E829&gt;0,"U11",0)))))</f>
        <v>0</v>
      </c>
      <c r="E829" s="456">
        <f>IFERROR(IF(Table10[[#This Row],[Year]]&gt;0,$E$1-Table10[[#This Row],[Year]],0),"")</f>
        <v>0</v>
      </c>
      <c r="F829" s="456"/>
      <c r="G829" s="456"/>
      <c r="H829" s="456"/>
    </row>
    <row r="830" spans="1:8">
      <c r="A830" s="471">
        <v>1826</v>
      </c>
      <c r="B830" s="496" t="s">
        <v>422</v>
      </c>
      <c r="C830" s="472" t="s">
        <v>362</v>
      </c>
      <c r="D830" s="456">
        <f>IF(Table10[[#This Row],[Current Age]]&gt;19,"Men's",IF(E830&gt;15,"U19",IF(E830&gt;13,"U15",IF(E830&gt;11,"U13",IF(E830&gt;0,"U11",0)))))</f>
        <v>0</v>
      </c>
      <c r="E830" s="456">
        <f>IFERROR(IF(Table10[[#This Row],[Year]]&gt;0,$E$1-Table10[[#This Row],[Year]],0),"")</f>
        <v>0</v>
      </c>
      <c r="F830" s="456"/>
      <c r="G830" s="456"/>
      <c r="H830" s="456"/>
    </row>
    <row r="831" spans="1:8">
      <c r="A831" s="456">
        <v>1827</v>
      </c>
      <c r="B831" s="497" t="s">
        <v>423</v>
      </c>
      <c r="C831" s="458" t="s">
        <v>362</v>
      </c>
      <c r="D831" s="456">
        <f>IF(Table10[[#This Row],[Current Age]]&gt;19,"Men's",IF(E831&gt;15,"U19",IF(E831&gt;13,"U15",IF(E831&gt;11,"U13",IF(E831&gt;0,"U11",0)))))</f>
        <v>0</v>
      </c>
      <c r="E831" s="456">
        <f>IFERROR(IF(Table10[[#This Row],[Year]]&gt;0,$E$1-Table10[[#This Row],[Year]],0),"")</f>
        <v>0</v>
      </c>
      <c r="F831" s="456"/>
      <c r="G831" s="456"/>
      <c r="H831" s="456"/>
    </row>
    <row r="832" spans="1:8">
      <c r="A832" s="471">
        <v>1828</v>
      </c>
      <c r="B832" s="496" t="s">
        <v>424</v>
      </c>
      <c r="C832" s="472" t="s">
        <v>362</v>
      </c>
      <c r="D832" s="456">
        <f>IF(Table10[[#This Row],[Current Age]]&gt;19,"Men's",IF(E832&gt;15,"U19",IF(E832&gt;13,"U15",IF(E832&gt;11,"U13",IF(E832&gt;0,"U11",0)))))</f>
        <v>0</v>
      </c>
      <c r="E832" s="456">
        <f>IFERROR(IF(Table10[[#This Row],[Year]]&gt;0,$E$1-Table10[[#This Row],[Year]],0),"")</f>
        <v>0</v>
      </c>
      <c r="F832" s="456"/>
      <c r="G832" s="456"/>
      <c r="H832" s="456"/>
    </row>
    <row r="833" spans="1:8">
      <c r="A833" s="456">
        <v>1829</v>
      </c>
      <c r="B833" s="497" t="s">
        <v>425</v>
      </c>
      <c r="C833" s="458" t="s">
        <v>362</v>
      </c>
      <c r="D833" s="456">
        <f>IF(Table10[[#This Row],[Current Age]]&gt;19,"Men's",IF(E833&gt;15,"U19",IF(E833&gt;13,"U15",IF(E833&gt;11,"U13",IF(E833&gt;0,"U11",0)))))</f>
        <v>0</v>
      </c>
      <c r="E833" s="456">
        <f>IFERROR(IF(Table10[[#This Row],[Year]]&gt;0,$E$1-Table10[[#This Row],[Year]],0),"")</f>
        <v>0</v>
      </c>
      <c r="F833" s="456"/>
      <c r="G833" s="456"/>
      <c r="H833" s="456"/>
    </row>
    <row r="834" spans="1:8">
      <c r="A834" s="471">
        <v>1830</v>
      </c>
      <c r="B834" s="496" t="s">
        <v>426</v>
      </c>
      <c r="C834" s="472" t="s">
        <v>362</v>
      </c>
      <c r="D834" s="456">
        <f>IF(Table10[[#This Row],[Current Age]]&gt;19,"Men's",IF(E834&gt;15,"U19",IF(E834&gt;13,"U15",IF(E834&gt;11,"U13",IF(E834&gt;0,"U11",0)))))</f>
        <v>0</v>
      </c>
      <c r="E834" s="456">
        <f>IFERROR(IF(Table10[[#This Row],[Year]]&gt;0,$E$1-Table10[[#This Row],[Year]],0),"")</f>
        <v>0</v>
      </c>
      <c r="F834" s="456"/>
      <c r="G834" s="456"/>
      <c r="H834" s="456"/>
    </row>
    <row r="835" spans="1:8">
      <c r="A835" s="456">
        <v>1831</v>
      </c>
      <c r="B835" s="497" t="s">
        <v>427</v>
      </c>
      <c r="C835" s="458" t="s">
        <v>362</v>
      </c>
      <c r="D835" s="456">
        <f>IF(Table10[[#This Row],[Current Age]]&gt;19,"Men's",IF(E835&gt;15,"U19",IF(E835&gt;13,"U15",IF(E835&gt;11,"U13",IF(E835&gt;0,"U11",0)))))</f>
        <v>0</v>
      </c>
      <c r="E835" s="456">
        <f>IFERROR(IF(Table10[[#This Row],[Year]]&gt;0,$E$1-Table10[[#This Row],[Year]],0),"")</f>
        <v>0</v>
      </c>
      <c r="F835" s="456"/>
      <c r="G835" s="456"/>
      <c r="H835" s="456"/>
    </row>
    <row r="836" spans="1:8">
      <c r="A836" s="471">
        <v>1832</v>
      </c>
      <c r="B836" s="496" t="s">
        <v>428</v>
      </c>
      <c r="C836" s="472" t="s">
        <v>362</v>
      </c>
      <c r="D836" s="456">
        <f>IF(Table10[[#This Row],[Current Age]]&gt;19,"Men's",IF(E836&gt;15,"U19",IF(E836&gt;13,"U15",IF(E836&gt;11,"U13",IF(E836&gt;0,"U11",0)))))</f>
        <v>0</v>
      </c>
      <c r="E836" s="456">
        <f>IFERROR(IF(Table10[[#This Row],[Year]]&gt;0,$E$1-Table10[[#This Row],[Year]],0),"")</f>
        <v>0</v>
      </c>
      <c r="F836" s="456"/>
      <c r="G836" s="456"/>
      <c r="H836" s="456"/>
    </row>
    <row r="837" spans="1:8">
      <c r="A837" s="456">
        <v>1833</v>
      </c>
      <c r="B837" s="497" t="s">
        <v>429</v>
      </c>
      <c r="C837" s="458" t="s">
        <v>362</v>
      </c>
      <c r="D837" s="456">
        <f>IF(Table10[[#This Row],[Current Age]]&gt;19,"Men's",IF(E837&gt;15,"U19",IF(E837&gt;13,"U15",IF(E837&gt;11,"U13",IF(E837&gt;0,"U11",0)))))</f>
        <v>0</v>
      </c>
      <c r="E837" s="456">
        <f>IFERROR(IF(Table10[[#This Row],[Year]]&gt;0,$E$1-Table10[[#This Row],[Year]],0),"")</f>
        <v>0</v>
      </c>
      <c r="F837" s="456"/>
      <c r="G837" s="456"/>
      <c r="H837" s="456"/>
    </row>
    <row r="838" spans="1:8">
      <c r="A838" s="471">
        <v>1834</v>
      </c>
      <c r="B838" s="496" t="s">
        <v>430</v>
      </c>
      <c r="C838" s="472" t="s">
        <v>362</v>
      </c>
      <c r="D838" s="456">
        <f>IF(Table10[[#This Row],[Current Age]]&gt;19,"Men's",IF(E838&gt;15,"U19",IF(E838&gt;13,"U15",IF(E838&gt;11,"U13",IF(E838&gt;0,"U11",0)))))</f>
        <v>0</v>
      </c>
      <c r="E838" s="456">
        <f>IFERROR(IF(Table10[[#This Row],[Year]]&gt;0,$E$1-Table10[[#This Row],[Year]],0),"")</f>
        <v>0</v>
      </c>
      <c r="F838" s="456"/>
      <c r="G838" s="456"/>
      <c r="H838" s="456"/>
    </row>
    <row r="839" spans="1:8">
      <c r="A839" s="456">
        <v>1835</v>
      </c>
      <c r="B839" s="497" t="s">
        <v>431</v>
      </c>
      <c r="C839" s="458" t="s">
        <v>362</v>
      </c>
      <c r="D839" s="456">
        <f>IF(Table10[[#This Row],[Current Age]]&gt;19,"Men's",IF(E839&gt;15,"U19",IF(E839&gt;13,"U15",IF(E839&gt;11,"U13",IF(E839&gt;0,"U11",0)))))</f>
        <v>0</v>
      </c>
      <c r="E839" s="456">
        <f>IFERROR(IF(Table10[[#This Row],[Year]]&gt;0,$E$1-Table10[[#This Row],[Year]],0),"")</f>
        <v>0</v>
      </c>
      <c r="F839" s="456"/>
      <c r="G839" s="456"/>
      <c r="H839" s="456"/>
    </row>
    <row r="840" spans="1:8">
      <c r="A840" s="471">
        <v>1836</v>
      </c>
      <c r="B840" s="496" t="s">
        <v>432</v>
      </c>
      <c r="C840" s="472" t="s">
        <v>362</v>
      </c>
      <c r="D840" s="456">
        <f>IF(Table10[[#This Row],[Current Age]]&gt;19,"Men's",IF(E840&gt;15,"U19",IF(E840&gt;13,"U15",IF(E840&gt;11,"U13",IF(E840&gt;0,"U11",0)))))</f>
        <v>0</v>
      </c>
      <c r="E840" s="456">
        <f>IFERROR(IF(Table10[[#This Row],[Year]]&gt;0,$E$1-Table10[[#This Row],[Year]],0),"")</f>
        <v>0</v>
      </c>
      <c r="F840" s="456"/>
      <c r="G840" s="456"/>
      <c r="H840" s="456"/>
    </row>
    <row r="841" spans="1:8">
      <c r="A841" s="456">
        <v>1837</v>
      </c>
      <c r="B841" s="497" t="s">
        <v>433</v>
      </c>
      <c r="C841" s="458" t="s">
        <v>362</v>
      </c>
      <c r="D841" s="456">
        <f>IF(Table10[[#This Row],[Current Age]]&gt;19,"Men's",IF(E841&gt;15,"U19",IF(E841&gt;13,"U15",IF(E841&gt;11,"U13",IF(E841&gt;0,"U11",0)))))</f>
        <v>0</v>
      </c>
      <c r="E841" s="456">
        <f>IFERROR(IF(Table10[[#This Row],[Year]]&gt;0,$E$1-Table10[[#This Row],[Year]],0),"")</f>
        <v>0</v>
      </c>
      <c r="F841" s="456"/>
      <c r="G841" s="456"/>
      <c r="H841" s="456"/>
    </row>
    <row r="842" spans="1:8">
      <c r="A842" s="471">
        <v>1838</v>
      </c>
      <c r="B842" s="496" t="s">
        <v>434</v>
      </c>
      <c r="C842" s="472" t="s">
        <v>362</v>
      </c>
      <c r="D842" s="456">
        <f>IF(Table10[[#This Row],[Current Age]]&gt;19,"Men's",IF(E842&gt;15,"U19",IF(E842&gt;13,"U15",IF(E842&gt;11,"U13",IF(E842&gt;0,"U11",0)))))</f>
        <v>0</v>
      </c>
      <c r="E842" s="456">
        <f>IFERROR(IF(Table10[[#This Row],[Year]]&gt;0,$E$1-Table10[[#This Row],[Year]],0),"")</f>
        <v>0</v>
      </c>
      <c r="F842" s="456"/>
      <c r="G842" s="456"/>
      <c r="H842" s="456"/>
    </row>
    <row r="843" spans="1:8">
      <c r="A843" s="456">
        <v>1839</v>
      </c>
      <c r="B843" s="497" t="s">
        <v>435</v>
      </c>
      <c r="C843" s="458" t="s">
        <v>362</v>
      </c>
      <c r="D843" s="456">
        <f>IF(Table10[[#This Row],[Current Age]]&gt;19,"Men's",IF(E843&gt;15,"U19",IF(E843&gt;13,"U15",IF(E843&gt;11,"U13",IF(E843&gt;0,"U11",0)))))</f>
        <v>0</v>
      </c>
      <c r="E843" s="456">
        <f>IFERROR(IF(Table10[[#This Row],[Year]]&gt;0,$E$1-Table10[[#This Row],[Year]],0),"")</f>
        <v>0</v>
      </c>
      <c r="F843" s="456"/>
      <c r="G843" s="456"/>
      <c r="H843" s="456"/>
    </row>
    <row r="844" spans="1:8">
      <c r="A844" s="471">
        <v>1840</v>
      </c>
      <c r="B844" s="496" t="s">
        <v>436</v>
      </c>
      <c r="C844" s="472" t="s">
        <v>362</v>
      </c>
      <c r="D844" s="456">
        <f>IF(Table10[[#This Row],[Current Age]]&gt;19,"Men's",IF(E844&gt;15,"U19",IF(E844&gt;13,"U15",IF(E844&gt;11,"U13",IF(E844&gt;0,"U11",0)))))</f>
        <v>0</v>
      </c>
      <c r="E844" s="456">
        <f>IFERROR(IF(Table10[[#This Row],[Year]]&gt;0,$E$1-Table10[[#This Row],[Year]],0),"")</f>
        <v>0</v>
      </c>
      <c r="F844" s="456"/>
      <c r="G844" s="456"/>
      <c r="H844" s="456"/>
    </row>
    <row r="845" spans="1:8">
      <c r="A845" s="456">
        <v>1841</v>
      </c>
      <c r="B845" s="497" t="s">
        <v>437</v>
      </c>
      <c r="C845" s="458" t="s">
        <v>362</v>
      </c>
      <c r="D845" s="456" t="str">
        <f>IF(Table10[[#This Row],[Current Age]]&gt;19,"Men's",IF(E845&gt;15,"U19",IF(E845&gt;13,"U15",IF(E845&gt;11,"U13",IF(E845&gt;0,"U11",0)))))</f>
        <v>Men's</v>
      </c>
      <c r="E845" s="456">
        <f>IFERROR(IF(Table10[[#This Row],[Year]]&gt;0,$E$1-Table10[[#This Row],[Year]],0),"")</f>
        <v>43</v>
      </c>
      <c r="F845" s="456">
        <v>1982</v>
      </c>
      <c r="G845" s="456">
        <v>2</v>
      </c>
      <c r="H845" s="456">
        <v>1</v>
      </c>
    </row>
    <row r="846" spans="1:8">
      <c r="A846" s="471">
        <v>1842</v>
      </c>
      <c r="B846" s="496" t="s">
        <v>438</v>
      </c>
      <c r="C846" s="472" t="s">
        <v>362</v>
      </c>
      <c r="D846" s="456">
        <f>IF(Table10[[#This Row],[Current Age]]&gt;19,"Men's",IF(E846&gt;15,"U19",IF(E846&gt;13,"U15",IF(E846&gt;11,"U13",IF(E846&gt;0,"U11",0)))))</f>
        <v>0</v>
      </c>
      <c r="E846" s="456">
        <f>IFERROR(IF(Table10[[#This Row],[Year]]&gt;0,$E$1-Table10[[#This Row],[Year]],0),"")</f>
        <v>0</v>
      </c>
      <c r="F846" s="456"/>
      <c r="G846" s="456"/>
      <c r="H846" s="456"/>
    </row>
    <row r="847" spans="1:8">
      <c r="A847" s="456">
        <v>1843</v>
      </c>
      <c r="B847" s="497" t="s">
        <v>439</v>
      </c>
      <c r="C847" s="458" t="s">
        <v>362</v>
      </c>
      <c r="D847" s="456">
        <f>IF(Table10[[#This Row],[Current Age]]&gt;19,"Men's",IF(E847&gt;15,"U19",IF(E847&gt;13,"U15",IF(E847&gt;11,"U13",IF(E847&gt;0,"U11",0)))))</f>
        <v>0</v>
      </c>
      <c r="E847" s="456">
        <f>IFERROR(IF(Table10[[#This Row],[Year]]&gt;0,$E$1-Table10[[#This Row],[Year]],0),"")</f>
        <v>0</v>
      </c>
      <c r="F847" s="456"/>
      <c r="G847" s="456"/>
      <c r="H847" s="456"/>
    </row>
    <row r="848" spans="1:8">
      <c r="A848" s="471">
        <v>1844</v>
      </c>
      <c r="B848" s="496" t="s">
        <v>440</v>
      </c>
      <c r="C848" s="472" t="s">
        <v>362</v>
      </c>
      <c r="D848" s="456">
        <f>IF(Table10[[#This Row],[Current Age]]&gt;19,"Men's",IF(E848&gt;15,"U19",IF(E848&gt;13,"U15",IF(E848&gt;11,"U13",IF(E848&gt;0,"U11",0)))))</f>
        <v>0</v>
      </c>
      <c r="E848" s="456">
        <f>IFERROR(IF(Table10[[#This Row],[Year]]&gt;0,$E$1-Table10[[#This Row],[Year]],0),"")</f>
        <v>0</v>
      </c>
      <c r="F848" s="456"/>
      <c r="G848" s="456"/>
      <c r="H848" s="456"/>
    </row>
    <row r="849" spans="1:8">
      <c r="A849" s="456">
        <v>1845</v>
      </c>
      <c r="B849" s="497" t="s">
        <v>441</v>
      </c>
      <c r="C849" s="458" t="s">
        <v>362</v>
      </c>
      <c r="D849" s="456">
        <f>IF(Table10[[#This Row],[Current Age]]&gt;19,"Men's",IF(E849&gt;15,"U19",IF(E849&gt;13,"U15",IF(E849&gt;11,"U13",IF(E849&gt;0,"U11",0)))))</f>
        <v>0</v>
      </c>
      <c r="E849" s="456">
        <f>IFERROR(IF(Table10[[#This Row],[Year]]&gt;0,$E$1-Table10[[#This Row],[Year]],0),"")</f>
        <v>0</v>
      </c>
      <c r="F849" s="456"/>
      <c r="G849" s="456"/>
      <c r="H849" s="456"/>
    </row>
    <row r="850" spans="1:8">
      <c r="A850" s="471">
        <v>1846</v>
      </c>
      <c r="B850" s="496" t="s">
        <v>442</v>
      </c>
      <c r="C850" s="472" t="s">
        <v>362</v>
      </c>
      <c r="D850" s="456">
        <f>IF(Table10[[#This Row],[Current Age]]&gt;19,"Men's",IF(E850&gt;15,"U19",IF(E850&gt;13,"U15",IF(E850&gt;11,"U13",IF(E850&gt;0,"U11",0)))))</f>
        <v>0</v>
      </c>
      <c r="E850" s="456">
        <f>IFERROR(IF(Table10[[#This Row],[Year]]&gt;0,$E$1-Table10[[#This Row],[Year]],0),"")</f>
        <v>0</v>
      </c>
      <c r="F850" s="456"/>
      <c r="G850" s="456"/>
      <c r="H850" s="456"/>
    </row>
    <row r="851" spans="1:8">
      <c r="A851" s="456">
        <v>1847</v>
      </c>
      <c r="B851" s="497" t="s">
        <v>443</v>
      </c>
      <c r="C851" s="458" t="s">
        <v>362</v>
      </c>
      <c r="D851" s="456">
        <f>IF(Table10[[#This Row],[Current Age]]&gt;19,"Men's",IF(E851&gt;15,"U19",IF(E851&gt;13,"U15",IF(E851&gt;11,"U13",IF(E851&gt;0,"U11",0)))))</f>
        <v>0</v>
      </c>
      <c r="E851" s="456">
        <f>IFERROR(IF(Table10[[#This Row],[Year]]&gt;0,$E$1-Table10[[#This Row],[Year]],0),"")</f>
        <v>0</v>
      </c>
      <c r="F851" s="456"/>
      <c r="G851" s="456"/>
      <c r="H851" s="456"/>
    </row>
    <row r="852" spans="1:8">
      <c r="A852" s="471">
        <v>1848</v>
      </c>
      <c r="B852" s="496" t="s">
        <v>444</v>
      </c>
      <c r="C852" s="472" t="s">
        <v>362</v>
      </c>
      <c r="D852" s="456">
        <f>IF(Table10[[#This Row],[Current Age]]&gt;19,"Men's",IF(E852&gt;15,"U19",IF(E852&gt;13,"U15",IF(E852&gt;11,"U13",IF(E852&gt;0,"U11",0)))))</f>
        <v>0</v>
      </c>
      <c r="E852" s="456">
        <f>IFERROR(IF(Table10[[#This Row],[Year]]&gt;0,$E$1-Table10[[#This Row],[Year]],0),"")</f>
        <v>0</v>
      </c>
      <c r="F852" s="456"/>
      <c r="G852" s="456"/>
      <c r="H852" s="456"/>
    </row>
    <row r="853" spans="1:8">
      <c r="A853" s="456">
        <v>1849</v>
      </c>
      <c r="B853" s="497" t="s">
        <v>445</v>
      </c>
      <c r="C853" s="458" t="s">
        <v>362</v>
      </c>
      <c r="D853" s="456">
        <f>IF(Table10[[#This Row],[Current Age]]&gt;19,"Men's",IF(E853&gt;15,"U19",IF(E853&gt;13,"U15",IF(E853&gt;11,"U13",IF(E853&gt;0,"U11",0)))))</f>
        <v>0</v>
      </c>
      <c r="E853" s="456">
        <f>IFERROR(IF(Table10[[#This Row],[Year]]&gt;0,$E$1-Table10[[#This Row],[Year]],0),"")</f>
        <v>0</v>
      </c>
      <c r="F853" s="456"/>
      <c r="G853" s="456"/>
      <c r="H853" s="456"/>
    </row>
    <row r="854" spans="1:8">
      <c r="A854" s="471">
        <v>1850</v>
      </c>
      <c r="B854" s="496" t="s">
        <v>446</v>
      </c>
      <c r="C854" s="472" t="s">
        <v>362</v>
      </c>
      <c r="D854" s="456">
        <f>IF(Table10[[#This Row],[Current Age]]&gt;19,"Men's",IF(E854&gt;15,"U19",IF(E854&gt;13,"U15",IF(E854&gt;11,"U13",IF(E854&gt;0,"U11",0)))))</f>
        <v>0</v>
      </c>
      <c r="E854" s="456">
        <f>IFERROR(IF(Table10[[#This Row],[Year]]&gt;0,$E$1-Table10[[#This Row],[Year]],0),"")</f>
        <v>0</v>
      </c>
      <c r="F854" s="456"/>
      <c r="G854" s="456"/>
      <c r="H854" s="456"/>
    </row>
    <row r="855" spans="1:8">
      <c r="A855" s="456">
        <v>1851</v>
      </c>
      <c r="B855" s="497" t="s">
        <v>447</v>
      </c>
      <c r="C855" s="458" t="s">
        <v>362</v>
      </c>
      <c r="D855" s="456" t="str">
        <f>IF(Table10[[#This Row],[Current Age]]&gt;19,"Men's",IF(E855&gt;15,"U19",IF(E855&gt;13,"U15",IF(E855&gt;11,"U13",IF(E855&gt;0,"U11",0)))))</f>
        <v>Men's</v>
      </c>
      <c r="E855" s="456">
        <f>IFERROR(IF(Table10[[#This Row],[Year]]&gt;0,$E$1-Table10[[#This Row],[Year]],0),"")</f>
        <v>38</v>
      </c>
      <c r="F855" s="456">
        <v>1987</v>
      </c>
      <c r="G855" s="456">
        <v>9</v>
      </c>
      <c r="H855" s="456">
        <v>17</v>
      </c>
    </row>
    <row r="856" spans="1:8">
      <c r="A856" s="471">
        <v>1852</v>
      </c>
      <c r="B856" s="496" t="s">
        <v>448</v>
      </c>
      <c r="C856" s="472" t="s">
        <v>362</v>
      </c>
      <c r="D856" s="456">
        <f>IF(Table10[[#This Row],[Current Age]]&gt;19,"Men's",IF(E856&gt;15,"U19",IF(E856&gt;13,"U15",IF(E856&gt;11,"U13",IF(E856&gt;0,"U11",0)))))</f>
        <v>0</v>
      </c>
      <c r="E856" s="456">
        <f>IFERROR(IF(Table10[[#This Row],[Year]]&gt;0,$E$1-Table10[[#This Row],[Year]],0),"")</f>
        <v>0</v>
      </c>
      <c r="F856" s="456"/>
      <c r="G856" s="456"/>
      <c r="H856" s="456"/>
    </row>
    <row r="857" spans="1:8">
      <c r="A857" s="456">
        <v>1853</v>
      </c>
      <c r="B857" s="497" t="s">
        <v>449</v>
      </c>
      <c r="C857" s="458" t="s">
        <v>362</v>
      </c>
      <c r="D857" s="456">
        <f>IF(Table10[[#This Row],[Current Age]]&gt;19,"Men's",IF(E857&gt;15,"U19",IF(E857&gt;13,"U15",IF(E857&gt;11,"U13",IF(E857&gt;0,"U11",0)))))</f>
        <v>0</v>
      </c>
      <c r="E857" s="456">
        <f>IFERROR(IF(Table10[[#This Row],[Year]]&gt;0,$E$1-Table10[[#This Row],[Year]],0),"")</f>
        <v>0</v>
      </c>
      <c r="F857" s="456"/>
      <c r="G857" s="456"/>
      <c r="H857" s="456"/>
    </row>
    <row r="858" spans="1:8">
      <c r="A858" s="471">
        <v>1854</v>
      </c>
      <c r="B858" s="496" t="s">
        <v>450</v>
      </c>
      <c r="C858" s="472" t="s">
        <v>362</v>
      </c>
      <c r="D858" s="456">
        <f>IF(Table10[[#This Row],[Current Age]]&gt;19,"Men's",IF(E858&gt;15,"U19",IF(E858&gt;13,"U15",IF(E858&gt;11,"U13",IF(E858&gt;0,"U11",0)))))</f>
        <v>0</v>
      </c>
      <c r="E858" s="456">
        <f>IFERROR(IF(Table10[[#This Row],[Year]]&gt;0,$E$1-Table10[[#This Row],[Year]],0),"")</f>
        <v>0</v>
      </c>
      <c r="F858" s="456"/>
      <c r="G858" s="456"/>
      <c r="H858" s="456"/>
    </row>
    <row r="859" spans="1:8">
      <c r="A859" s="456">
        <v>1855</v>
      </c>
      <c r="B859" s="497" t="s">
        <v>451</v>
      </c>
      <c r="C859" s="458" t="s">
        <v>362</v>
      </c>
      <c r="D859" s="456">
        <f>IF(Table10[[#This Row],[Current Age]]&gt;19,"Men's",IF(E859&gt;15,"U19",IF(E859&gt;13,"U15",IF(E859&gt;11,"U13",IF(E859&gt;0,"U11",0)))))</f>
        <v>0</v>
      </c>
      <c r="E859" s="456">
        <f>IFERROR(IF(Table10[[#This Row],[Year]]&gt;0,$E$1-Table10[[#This Row],[Year]],0),"")</f>
        <v>0</v>
      </c>
      <c r="F859" s="456"/>
      <c r="G859" s="456"/>
      <c r="H859" s="456"/>
    </row>
    <row r="860" spans="1:8">
      <c r="A860" s="471">
        <v>1856</v>
      </c>
      <c r="B860" s="496" t="s">
        <v>452</v>
      </c>
      <c r="C860" s="472" t="s">
        <v>362</v>
      </c>
      <c r="D860" s="456">
        <f>IF(Table10[[#This Row],[Current Age]]&gt;19,"Men's",IF(E860&gt;15,"U19",IF(E860&gt;13,"U15",IF(E860&gt;11,"U13",IF(E860&gt;0,"U11",0)))))</f>
        <v>0</v>
      </c>
      <c r="E860" s="456">
        <f>IFERROR(IF(Table10[[#This Row],[Year]]&gt;0,$E$1-Table10[[#This Row],[Year]],0),"")</f>
        <v>0</v>
      </c>
      <c r="F860" s="456"/>
      <c r="G860" s="456"/>
      <c r="H860" s="456"/>
    </row>
    <row r="861" spans="1:8">
      <c r="A861" s="456">
        <v>1857</v>
      </c>
      <c r="B861" s="497" t="s">
        <v>453</v>
      </c>
      <c r="C861" s="458" t="s">
        <v>362</v>
      </c>
      <c r="D861" s="456">
        <f>IF(Table10[[#This Row],[Current Age]]&gt;19,"Men's",IF(E861&gt;15,"U19",IF(E861&gt;13,"U15",IF(E861&gt;11,"U13",IF(E861&gt;0,"U11",0)))))</f>
        <v>0</v>
      </c>
      <c r="E861" s="456">
        <f>IFERROR(IF(Table10[[#This Row],[Year]]&gt;0,$E$1-Table10[[#This Row],[Year]],0),"")</f>
        <v>0</v>
      </c>
      <c r="F861" s="456"/>
      <c r="G861" s="456"/>
      <c r="H861" s="456"/>
    </row>
    <row r="862" spans="1:8">
      <c r="A862" s="471">
        <v>1858</v>
      </c>
      <c r="B862" s="496" t="s">
        <v>454</v>
      </c>
      <c r="C862" s="472" t="s">
        <v>362</v>
      </c>
      <c r="D862" s="456">
        <f>IF(Table10[[#This Row],[Current Age]]&gt;19,"Men's",IF(E862&gt;15,"U19",IF(E862&gt;13,"U15",IF(E862&gt;11,"U13",IF(E862&gt;0,"U11",0)))))</f>
        <v>0</v>
      </c>
      <c r="E862" s="456">
        <f>IFERROR(IF(Table10[[#This Row],[Year]]&gt;0,$E$1-Table10[[#This Row],[Year]],0),"")</f>
        <v>0</v>
      </c>
      <c r="F862" s="456"/>
      <c r="G862" s="456"/>
      <c r="H862" s="456"/>
    </row>
    <row r="863" spans="1:8">
      <c r="A863" s="456">
        <v>1859</v>
      </c>
      <c r="B863" s="497" t="s">
        <v>455</v>
      </c>
      <c r="C863" s="458" t="s">
        <v>362</v>
      </c>
      <c r="D863" s="456">
        <f>IF(Table10[[#This Row],[Current Age]]&gt;19,"Men's",IF(E863&gt;15,"U19",IF(E863&gt;13,"U15",IF(E863&gt;11,"U13",IF(E863&gt;0,"U11",0)))))</f>
        <v>0</v>
      </c>
      <c r="E863" s="456">
        <f>IFERROR(IF(Table10[[#This Row],[Year]]&gt;0,$E$1-Table10[[#This Row],[Year]],0),"")</f>
        <v>0</v>
      </c>
      <c r="F863" s="456"/>
      <c r="G863" s="456"/>
      <c r="H863" s="456"/>
    </row>
    <row r="864" spans="1:8">
      <c r="A864" s="471">
        <v>1860</v>
      </c>
      <c r="B864" s="496" t="s">
        <v>456</v>
      </c>
      <c r="C864" s="472" t="s">
        <v>1914</v>
      </c>
      <c r="D864" s="456" t="str">
        <f>IF(Table10[[#This Row],[Current Age]]&gt;19,"Men's",IF(E864&gt;15,"U19",IF(E864&gt;13,"U15",IF(E864&gt;11,"U13",IF(E864&gt;0,"U11",0)))))</f>
        <v>Men's</v>
      </c>
      <c r="E864" s="456">
        <f>IFERROR(IF(Table10[[#This Row],[Year]]&gt;0,$E$1-Table10[[#This Row],[Year]],0),"")</f>
        <v>24</v>
      </c>
      <c r="F864" s="456">
        <v>2001</v>
      </c>
      <c r="G864" s="456">
        <v>1</v>
      </c>
      <c r="H864" s="456">
        <v>16</v>
      </c>
    </row>
    <row r="865" spans="1:8">
      <c r="A865" s="456">
        <v>1861</v>
      </c>
      <c r="B865" s="497" t="s">
        <v>457</v>
      </c>
      <c r="C865" s="458" t="s">
        <v>362</v>
      </c>
      <c r="D865" s="456">
        <f>IF(Table10[[#This Row],[Current Age]]&gt;19,"Men's",IF(E865&gt;15,"U19",IF(E865&gt;13,"U15",IF(E865&gt;11,"U13",IF(E865&gt;0,"U11",0)))))</f>
        <v>0</v>
      </c>
      <c r="E865" s="456">
        <f>IFERROR(IF(Table10[[#This Row],[Year]]&gt;0,$E$1-Table10[[#This Row],[Year]],0),"")</f>
        <v>0</v>
      </c>
      <c r="F865" s="456"/>
      <c r="G865" s="456"/>
      <c r="H865" s="456"/>
    </row>
    <row r="866" spans="1:8">
      <c r="A866" s="471">
        <v>1862</v>
      </c>
      <c r="B866" s="496" t="s">
        <v>458</v>
      </c>
      <c r="C866" s="472" t="s">
        <v>362</v>
      </c>
      <c r="D866" s="456">
        <f>IF(Table10[[#This Row],[Current Age]]&gt;19,"Men's",IF(E866&gt;15,"U19",IF(E866&gt;13,"U15",IF(E866&gt;11,"U13",IF(E866&gt;0,"U11",0)))))</f>
        <v>0</v>
      </c>
      <c r="E866" s="456">
        <f>IFERROR(IF(Table10[[#This Row],[Year]]&gt;0,$E$1-Table10[[#This Row],[Year]],0),"")</f>
        <v>0</v>
      </c>
      <c r="F866" s="456"/>
      <c r="G866" s="456"/>
      <c r="H866" s="456"/>
    </row>
    <row r="867" spans="1:8">
      <c r="A867" s="456">
        <v>1863</v>
      </c>
      <c r="B867" s="497" t="s">
        <v>459</v>
      </c>
      <c r="C867" s="458" t="s">
        <v>362</v>
      </c>
      <c r="D867" s="456">
        <f>IF(Table10[[#This Row],[Current Age]]&gt;19,"Men's",IF(E867&gt;15,"U19",IF(E867&gt;13,"U15",IF(E867&gt;11,"U13",IF(E867&gt;0,"U11",0)))))</f>
        <v>0</v>
      </c>
      <c r="E867" s="456">
        <f>IFERROR(IF(Table10[[#This Row],[Year]]&gt;0,$E$1-Table10[[#This Row],[Year]],0),"")</f>
        <v>0</v>
      </c>
      <c r="F867" s="456"/>
      <c r="G867" s="456"/>
      <c r="H867" s="456"/>
    </row>
    <row r="868" spans="1:8">
      <c r="A868" s="471">
        <v>1864</v>
      </c>
      <c r="B868" s="496" t="s">
        <v>460</v>
      </c>
      <c r="C868" s="472" t="s">
        <v>362</v>
      </c>
      <c r="D868" s="456">
        <f>IF(Table10[[#This Row],[Current Age]]&gt;19,"Men's",IF(E868&gt;15,"U19",IF(E868&gt;13,"U15",IF(E868&gt;11,"U13",IF(E868&gt;0,"U11",0)))))</f>
        <v>0</v>
      </c>
      <c r="E868" s="456">
        <f>IFERROR(IF(Table10[[#This Row],[Year]]&gt;0,$E$1-Table10[[#This Row],[Year]],0),"")</f>
        <v>0</v>
      </c>
      <c r="F868" s="456"/>
      <c r="G868" s="456"/>
      <c r="H868" s="456"/>
    </row>
    <row r="869" spans="1:8">
      <c r="A869" s="456">
        <v>1865</v>
      </c>
      <c r="B869" s="497" t="s">
        <v>461</v>
      </c>
      <c r="C869" s="458" t="s">
        <v>362</v>
      </c>
      <c r="D869" s="456">
        <f>IF(Table10[[#This Row],[Current Age]]&gt;19,"Men's",IF(E869&gt;15,"U19",IF(E869&gt;13,"U15",IF(E869&gt;11,"U13",IF(E869&gt;0,"U11",0)))))</f>
        <v>0</v>
      </c>
      <c r="E869" s="456">
        <f>IFERROR(IF(Table10[[#This Row],[Year]]&gt;0,$E$1-Table10[[#This Row],[Year]],0),"")</f>
        <v>0</v>
      </c>
      <c r="F869" s="456"/>
      <c r="G869" s="456"/>
      <c r="H869" s="456"/>
    </row>
    <row r="870" spans="1:8">
      <c r="A870" s="471">
        <v>1866</v>
      </c>
      <c r="B870" s="496" t="s">
        <v>462</v>
      </c>
      <c r="C870" s="472" t="s">
        <v>362</v>
      </c>
      <c r="D870" s="456">
        <f>IF(Table10[[#This Row],[Current Age]]&gt;19,"Men's",IF(E870&gt;15,"U19",IF(E870&gt;13,"U15",IF(E870&gt;11,"U13",IF(E870&gt;0,"U11",0)))))</f>
        <v>0</v>
      </c>
      <c r="E870" s="456">
        <f>IFERROR(IF(Table10[[#This Row],[Year]]&gt;0,$E$1-Table10[[#This Row],[Year]],0),"")</f>
        <v>0</v>
      </c>
      <c r="F870" s="456"/>
      <c r="G870" s="456"/>
      <c r="H870" s="456"/>
    </row>
    <row r="871" spans="1:8">
      <c r="A871" s="456">
        <v>1867</v>
      </c>
      <c r="B871" s="497" t="s">
        <v>463</v>
      </c>
      <c r="C871" s="458" t="s">
        <v>362</v>
      </c>
      <c r="D871" s="456">
        <f>IF(Table10[[#This Row],[Current Age]]&gt;19,"Men's",IF(E871&gt;15,"U19",IF(E871&gt;13,"U15",IF(E871&gt;11,"U13",IF(E871&gt;0,"U11",0)))))</f>
        <v>0</v>
      </c>
      <c r="E871" s="456">
        <f>IFERROR(IF(Table10[[#This Row],[Year]]&gt;0,$E$1-Table10[[#This Row],[Year]],0),"")</f>
        <v>0</v>
      </c>
      <c r="F871" s="456"/>
      <c r="G871" s="456"/>
      <c r="H871" s="456"/>
    </row>
    <row r="872" spans="1:8">
      <c r="A872" s="471">
        <v>1868</v>
      </c>
      <c r="B872" s="496" t="s">
        <v>464</v>
      </c>
      <c r="C872" s="472" t="s">
        <v>362</v>
      </c>
      <c r="D872" s="456">
        <f>IF(Table10[[#This Row],[Current Age]]&gt;19,"Men's",IF(E872&gt;15,"U19",IF(E872&gt;13,"U15",IF(E872&gt;11,"U13",IF(E872&gt;0,"U11",0)))))</f>
        <v>0</v>
      </c>
      <c r="E872" s="456">
        <f>IFERROR(IF(Table10[[#This Row],[Year]]&gt;0,$E$1-Table10[[#This Row],[Year]],0),"")</f>
        <v>0</v>
      </c>
      <c r="F872" s="456"/>
      <c r="G872" s="456"/>
      <c r="H872" s="456"/>
    </row>
    <row r="873" spans="1:8">
      <c r="A873" s="456">
        <v>1869</v>
      </c>
      <c r="B873" s="497" t="s">
        <v>465</v>
      </c>
      <c r="C873" s="458" t="s">
        <v>362</v>
      </c>
      <c r="D873" s="456">
        <f>IF(Table10[[#This Row],[Current Age]]&gt;19,"Men's",IF(E873&gt;15,"U19",IF(E873&gt;13,"U15",IF(E873&gt;11,"U13",IF(E873&gt;0,"U11",0)))))</f>
        <v>0</v>
      </c>
      <c r="E873" s="456">
        <f>IFERROR(IF(Table10[[#This Row],[Year]]&gt;0,$E$1-Table10[[#This Row],[Year]],0),"")</f>
        <v>0</v>
      </c>
      <c r="F873" s="456"/>
      <c r="G873" s="456"/>
      <c r="H873" s="456"/>
    </row>
    <row r="874" spans="1:8">
      <c r="A874" s="471">
        <v>1870</v>
      </c>
      <c r="B874" s="496" t="s">
        <v>466</v>
      </c>
      <c r="C874" s="472" t="s">
        <v>362</v>
      </c>
      <c r="D874" s="456">
        <f>IF(Table10[[#This Row],[Current Age]]&gt;19,"Men's",IF(E874&gt;15,"U19",IF(E874&gt;13,"U15",IF(E874&gt;11,"U13",IF(E874&gt;0,"U11",0)))))</f>
        <v>0</v>
      </c>
      <c r="E874" s="456">
        <f>IFERROR(IF(Table10[[#This Row],[Year]]&gt;0,$E$1-Table10[[#This Row],[Year]],0),"")</f>
        <v>0</v>
      </c>
      <c r="F874" s="456"/>
      <c r="G874" s="456"/>
      <c r="H874" s="456"/>
    </row>
    <row r="875" spans="1:8">
      <c r="A875" s="456">
        <v>1871</v>
      </c>
      <c r="B875" s="497" t="s">
        <v>467</v>
      </c>
      <c r="C875" s="458" t="s">
        <v>362</v>
      </c>
      <c r="D875" s="456">
        <f>IF(Table10[[#This Row],[Current Age]]&gt;19,"Men's",IF(E875&gt;15,"U19",IF(E875&gt;13,"U15",IF(E875&gt;11,"U13",IF(E875&gt;0,"U11",0)))))</f>
        <v>0</v>
      </c>
      <c r="E875" s="456">
        <f>IFERROR(IF(Table10[[#This Row],[Year]]&gt;0,$E$1-Table10[[#This Row],[Year]],0),"")</f>
        <v>0</v>
      </c>
      <c r="F875" s="456"/>
      <c r="G875" s="456"/>
      <c r="H875" s="456"/>
    </row>
    <row r="876" spans="1:8">
      <c r="A876" s="471">
        <v>1872</v>
      </c>
      <c r="B876" s="496" t="s">
        <v>468</v>
      </c>
      <c r="C876" s="472" t="s">
        <v>362</v>
      </c>
      <c r="D876" s="456">
        <f>IF(Table10[[#This Row],[Current Age]]&gt;19,"Men's",IF(E876&gt;15,"U19",IF(E876&gt;13,"U15",IF(E876&gt;11,"U13",IF(E876&gt;0,"U11",0)))))</f>
        <v>0</v>
      </c>
      <c r="E876" s="456">
        <f>IFERROR(IF(Table10[[#This Row],[Year]]&gt;0,$E$1-Table10[[#This Row],[Year]],0),"")</f>
        <v>0</v>
      </c>
      <c r="F876" s="456"/>
      <c r="G876" s="456"/>
      <c r="H876" s="456"/>
    </row>
    <row r="877" spans="1:8">
      <c r="A877" s="456">
        <v>1873</v>
      </c>
      <c r="B877" s="497" t="s">
        <v>469</v>
      </c>
      <c r="C877" s="458" t="s">
        <v>362</v>
      </c>
      <c r="D877" s="456">
        <f>IF(Table10[[#This Row],[Current Age]]&gt;19,"Men's",IF(E877&gt;15,"U19",IF(E877&gt;13,"U15",IF(E877&gt;11,"U13",IF(E877&gt;0,"U11",0)))))</f>
        <v>0</v>
      </c>
      <c r="E877" s="456">
        <f>IFERROR(IF(Table10[[#This Row],[Year]]&gt;0,$E$1-Table10[[#This Row],[Year]],0),"")</f>
        <v>0</v>
      </c>
      <c r="F877" s="456"/>
      <c r="G877" s="456"/>
      <c r="H877" s="456"/>
    </row>
    <row r="878" spans="1:8">
      <c r="A878" s="471">
        <v>1874</v>
      </c>
      <c r="B878" s="496" t="s">
        <v>470</v>
      </c>
      <c r="C878" s="472" t="s">
        <v>362</v>
      </c>
      <c r="D878" s="456">
        <f>IF(Table10[[#This Row],[Current Age]]&gt;19,"Men's",IF(E878&gt;15,"U19",IF(E878&gt;13,"U15",IF(E878&gt;11,"U13",IF(E878&gt;0,"U11",0)))))</f>
        <v>0</v>
      </c>
      <c r="E878" s="456">
        <f>IFERROR(IF(Table10[[#This Row],[Year]]&gt;0,$E$1-Table10[[#This Row],[Year]],0),"")</f>
        <v>0</v>
      </c>
      <c r="F878" s="456"/>
      <c r="G878" s="456"/>
      <c r="H878" s="456"/>
    </row>
    <row r="879" spans="1:8">
      <c r="A879" s="456">
        <v>1875</v>
      </c>
      <c r="B879" s="497" t="s">
        <v>471</v>
      </c>
      <c r="C879" s="458" t="s">
        <v>362</v>
      </c>
      <c r="D879" s="456">
        <f>IF(Table10[[#This Row],[Current Age]]&gt;19,"Men's",IF(E879&gt;15,"U19",IF(E879&gt;13,"U15",IF(E879&gt;11,"U13",IF(E879&gt;0,"U11",0)))))</f>
        <v>0</v>
      </c>
      <c r="E879" s="456">
        <f>IFERROR(IF(Table10[[#This Row],[Year]]&gt;0,$E$1-Table10[[#This Row],[Year]],0),"")</f>
        <v>0</v>
      </c>
      <c r="F879" s="456"/>
      <c r="G879" s="456"/>
      <c r="H879" s="456"/>
    </row>
    <row r="880" spans="1:8">
      <c r="A880" s="471">
        <v>1876</v>
      </c>
      <c r="B880" s="496" t="s">
        <v>472</v>
      </c>
      <c r="C880" s="472" t="s">
        <v>362</v>
      </c>
      <c r="D880" s="456">
        <f>IF(Table10[[#This Row],[Current Age]]&gt;19,"Men's",IF(E880&gt;15,"U19",IF(E880&gt;13,"U15",IF(E880&gt;11,"U13",IF(E880&gt;0,"U11",0)))))</f>
        <v>0</v>
      </c>
      <c r="E880" s="456">
        <f>IFERROR(IF(Table10[[#This Row],[Year]]&gt;0,$E$1-Table10[[#This Row],[Year]],0),"")</f>
        <v>0</v>
      </c>
      <c r="F880" s="456"/>
      <c r="G880" s="456"/>
      <c r="H880" s="456"/>
    </row>
    <row r="881" spans="1:8">
      <c r="A881" s="456">
        <v>1877</v>
      </c>
      <c r="B881" s="497" t="s">
        <v>473</v>
      </c>
      <c r="C881" s="458" t="s">
        <v>362</v>
      </c>
      <c r="D881" s="456">
        <f>IF(Table10[[#This Row],[Current Age]]&gt;19,"Men's",IF(E881&gt;15,"U19",IF(E881&gt;13,"U15",IF(E881&gt;11,"U13",IF(E881&gt;0,"U11",0)))))</f>
        <v>0</v>
      </c>
      <c r="E881" s="456">
        <f>IFERROR(IF(Table10[[#This Row],[Year]]&gt;0,$E$1-Table10[[#This Row],[Year]],0),"")</f>
        <v>0</v>
      </c>
      <c r="F881" s="456"/>
      <c r="G881" s="456"/>
      <c r="H881" s="456"/>
    </row>
    <row r="882" spans="1:8">
      <c r="A882" s="471">
        <v>1878</v>
      </c>
      <c r="B882" s="496" t="s">
        <v>474</v>
      </c>
      <c r="C882" s="472" t="s">
        <v>362</v>
      </c>
      <c r="D882" s="456">
        <f>IF(Table10[[#This Row],[Current Age]]&gt;19,"Men's",IF(E882&gt;15,"U19",IF(E882&gt;13,"U15",IF(E882&gt;11,"U13",IF(E882&gt;0,"U11",0)))))</f>
        <v>0</v>
      </c>
      <c r="E882" s="456">
        <f>IFERROR(IF(Table10[[#This Row],[Year]]&gt;0,$E$1-Table10[[#This Row],[Year]],0),"")</f>
        <v>0</v>
      </c>
      <c r="F882" s="456"/>
      <c r="G882" s="456"/>
      <c r="H882" s="456"/>
    </row>
    <row r="883" spans="1:8">
      <c r="A883" s="456">
        <v>1879</v>
      </c>
      <c r="B883" s="497" t="s">
        <v>475</v>
      </c>
      <c r="C883" s="458" t="s">
        <v>362</v>
      </c>
      <c r="D883" s="456">
        <f>IF(Table10[[#This Row],[Current Age]]&gt;19,"Men's",IF(E883&gt;15,"U19",IF(E883&gt;13,"U15",IF(E883&gt;11,"U13",IF(E883&gt;0,"U11",0)))))</f>
        <v>0</v>
      </c>
      <c r="E883" s="456">
        <f>IFERROR(IF(Table10[[#This Row],[Year]]&gt;0,$E$1-Table10[[#This Row],[Year]],0),"")</f>
        <v>0</v>
      </c>
      <c r="F883" s="456"/>
      <c r="G883" s="456"/>
      <c r="H883" s="456"/>
    </row>
    <row r="884" spans="1:8">
      <c r="A884" s="471">
        <v>1880</v>
      </c>
      <c r="B884" s="496" t="s">
        <v>476</v>
      </c>
      <c r="C884" s="472" t="s">
        <v>362</v>
      </c>
      <c r="D884" s="456">
        <f>IF(Table10[[#This Row],[Current Age]]&gt;19,"Men's",IF(E884&gt;15,"U19",IF(E884&gt;13,"U15",IF(E884&gt;11,"U13",IF(E884&gt;0,"U11",0)))))</f>
        <v>0</v>
      </c>
      <c r="E884" s="456">
        <f>IFERROR(IF(Table10[[#This Row],[Year]]&gt;0,$E$1-Table10[[#This Row],[Year]],0),"")</f>
        <v>0</v>
      </c>
      <c r="F884" s="456"/>
      <c r="G884" s="456"/>
      <c r="H884" s="456"/>
    </row>
    <row r="885" spans="1:8">
      <c r="A885" s="456">
        <v>1881</v>
      </c>
      <c r="B885" s="497" t="s">
        <v>1938</v>
      </c>
      <c r="C885" s="458" t="s">
        <v>1908</v>
      </c>
      <c r="D885" s="456">
        <f>IF(Table10[[#This Row],[Current Age]]&gt;19,"Men's",IF(E885&gt;15,"U19",IF(E885&gt;13,"U15",IF(E885&gt;11,"U13",IF(E885&gt;0,"U11",0)))))</f>
        <v>0</v>
      </c>
      <c r="E885" s="456">
        <f>IFERROR(IF(Table10[[#This Row],[Year]]&gt;0,$E$1-Table10[[#This Row],[Year]],0),"")</f>
        <v>0</v>
      </c>
      <c r="F885" s="456"/>
      <c r="G885" s="456"/>
      <c r="H885" s="456"/>
    </row>
    <row r="886" spans="1:8">
      <c r="A886" s="471">
        <v>1882</v>
      </c>
      <c r="B886" s="496" t="s">
        <v>478</v>
      </c>
      <c r="C886" s="472" t="s">
        <v>362</v>
      </c>
      <c r="D886" s="456">
        <f>IF(Table10[[#This Row],[Current Age]]&gt;19,"Men's",IF(E886&gt;15,"U19",IF(E886&gt;13,"U15",IF(E886&gt;11,"U13",IF(E886&gt;0,"U11",0)))))</f>
        <v>0</v>
      </c>
      <c r="E886" s="456">
        <f>IFERROR(IF(Table10[[#This Row],[Year]]&gt;0,$E$1-Table10[[#This Row],[Year]],0),"")</f>
        <v>0</v>
      </c>
      <c r="F886" s="456"/>
      <c r="G886" s="456"/>
      <c r="H886" s="456"/>
    </row>
    <row r="887" spans="1:8">
      <c r="A887" s="456">
        <v>1883</v>
      </c>
      <c r="B887" s="497" t="s">
        <v>479</v>
      </c>
      <c r="C887" s="458" t="s">
        <v>362</v>
      </c>
      <c r="D887" s="456">
        <f>IF(Table10[[#This Row],[Current Age]]&gt;19,"Men's",IF(E887&gt;15,"U19",IF(E887&gt;13,"U15",IF(E887&gt;11,"U13",IF(E887&gt;0,"U11",0)))))</f>
        <v>0</v>
      </c>
      <c r="E887" s="456">
        <f>IFERROR(IF(Table10[[#This Row],[Year]]&gt;0,$E$1-Table10[[#This Row],[Year]],0),"")</f>
        <v>0</v>
      </c>
      <c r="F887" s="456"/>
      <c r="G887" s="456"/>
      <c r="H887" s="456"/>
    </row>
    <row r="888" spans="1:8">
      <c r="A888" s="471">
        <v>1884</v>
      </c>
      <c r="B888" s="496" t="s">
        <v>480</v>
      </c>
      <c r="C888" s="472" t="s">
        <v>362</v>
      </c>
      <c r="D888" s="456">
        <f>IF(Table10[[#This Row],[Current Age]]&gt;19,"Men's",IF(E888&gt;15,"U19",IF(E888&gt;13,"U15",IF(E888&gt;11,"U13",IF(E888&gt;0,"U11",0)))))</f>
        <v>0</v>
      </c>
      <c r="E888" s="456">
        <f>IFERROR(IF(Table10[[#This Row],[Year]]&gt;0,$E$1-Table10[[#This Row],[Year]],0),"")</f>
        <v>0</v>
      </c>
      <c r="F888" s="456"/>
      <c r="G888" s="456"/>
      <c r="H888" s="456"/>
    </row>
    <row r="889" spans="1:8">
      <c r="A889" s="456">
        <v>1885</v>
      </c>
      <c r="B889" s="497" t="s">
        <v>481</v>
      </c>
      <c r="C889" s="458" t="s">
        <v>362</v>
      </c>
      <c r="D889" s="456">
        <f>IF(Table10[[#This Row],[Current Age]]&gt;19,"Men's",IF(E889&gt;15,"U19",IF(E889&gt;13,"U15",IF(E889&gt;11,"U13",IF(E889&gt;0,"U11",0)))))</f>
        <v>0</v>
      </c>
      <c r="E889" s="456">
        <f>IFERROR(IF(Table10[[#This Row],[Year]]&gt;0,$E$1-Table10[[#This Row],[Year]],0),"")</f>
        <v>0</v>
      </c>
      <c r="F889" s="456"/>
      <c r="G889" s="456"/>
      <c r="H889" s="456"/>
    </row>
    <row r="890" spans="1:8">
      <c r="A890" s="471">
        <v>1886</v>
      </c>
      <c r="B890" s="496" t="s">
        <v>482</v>
      </c>
      <c r="C890" s="472" t="s">
        <v>362</v>
      </c>
      <c r="D890" s="456">
        <f>IF(Table10[[#This Row],[Current Age]]&gt;19,"Men's",IF(E890&gt;15,"U19",IF(E890&gt;13,"U15",IF(E890&gt;11,"U13",IF(E890&gt;0,"U11",0)))))</f>
        <v>0</v>
      </c>
      <c r="E890" s="456">
        <f>IFERROR(IF(Table10[[#This Row],[Year]]&gt;0,$E$1-Table10[[#This Row],[Year]],0),"")</f>
        <v>0</v>
      </c>
      <c r="F890" s="456"/>
      <c r="G890" s="456"/>
      <c r="H890" s="456"/>
    </row>
    <row r="891" spans="1:8">
      <c r="A891" s="456">
        <v>1887</v>
      </c>
      <c r="B891" s="497" t="s">
        <v>483</v>
      </c>
      <c r="C891" s="458" t="s">
        <v>362</v>
      </c>
      <c r="D891" s="456">
        <f>IF(Table10[[#This Row],[Current Age]]&gt;19,"Men's",IF(E891&gt;15,"U19",IF(E891&gt;13,"U15",IF(E891&gt;11,"U13",IF(E891&gt;0,"U11",0)))))</f>
        <v>0</v>
      </c>
      <c r="E891" s="456">
        <f>IFERROR(IF(Table10[[#This Row],[Year]]&gt;0,$E$1-Table10[[#This Row],[Year]],0),"")</f>
        <v>0</v>
      </c>
      <c r="F891" s="456"/>
      <c r="G891" s="456"/>
      <c r="H891" s="456"/>
    </row>
    <row r="892" spans="1:8">
      <c r="A892" s="471">
        <v>1888</v>
      </c>
      <c r="B892" s="496" t="s">
        <v>484</v>
      </c>
      <c r="C892" s="472" t="s">
        <v>362</v>
      </c>
      <c r="D892" s="456">
        <f>IF(Table10[[#This Row],[Current Age]]&gt;19,"Men's",IF(E892&gt;15,"U19",IF(E892&gt;13,"U15",IF(E892&gt;11,"U13",IF(E892&gt;0,"U11",0)))))</f>
        <v>0</v>
      </c>
      <c r="E892" s="456">
        <f>IFERROR(IF(Table10[[#This Row],[Year]]&gt;0,$E$1-Table10[[#This Row],[Year]],0),"")</f>
        <v>0</v>
      </c>
      <c r="F892" s="456"/>
      <c r="G892" s="456"/>
      <c r="H892" s="456"/>
    </row>
    <row r="893" spans="1:8">
      <c r="A893" s="456">
        <v>1889</v>
      </c>
      <c r="B893" s="497" t="s">
        <v>485</v>
      </c>
      <c r="C893" s="458" t="s">
        <v>362</v>
      </c>
      <c r="D893" s="456">
        <f>IF(Table10[[#This Row],[Current Age]]&gt;19,"Men's",IF(E893&gt;15,"U19",IF(E893&gt;13,"U15",IF(E893&gt;11,"U13",IF(E893&gt;0,"U11",0)))))</f>
        <v>0</v>
      </c>
      <c r="E893" s="456">
        <f>IFERROR(IF(Table10[[#This Row],[Year]]&gt;0,$E$1-Table10[[#This Row],[Year]],0),"")</f>
        <v>0</v>
      </c>
      <c r="F893" s="456"/>
      <c r="G893" s="456"/>
      <c r="H893" s="456"/>
    </row>
    <row r="894" spans="1:8">
      <c r="A894" s="471">
        <v>1890</v>
      </c>
      <c r="B894" s="496" t="s">
        <v>486</v>
      </c>
      <c r="C894" s="472" t="s">
        <v>362</v>
      </c>
      <c r="D894" s="456">
        <f>IF(Table10[[#This Row],[Current Age]]&gt;19,"Men's",IF(E894&gt;15,"U19",IF(E894&gt;13,"U15",IF(E894&gt;11,"U13",IF(E894&gt;0,"U11",0)))))</f>
        <v>0</v>
      </c>
      <c r="E894" s="456">
        <f>IFERROR(IF(Table10[[#This Row],[Year]]&gt;0,$E$1-Table10[[#This Row],[Year]],0),"")</f>
        <v>0</v>
      </c>
      <c r="F894" s="456"/>
      <c r="G894" s="456"/>
      <c r="H894" s="456"/>
    </row>
    <row r="895" spans="1:8">
      <c r="A895" s="456">
        <v>1891</v>
      </c>
      <c r="B895" s="497" t="s">
        <v>487</v>
      </c>
      <c r="C895" s="458" t="s">
        <v>362</v>
      </c>
      <c r="D895" s="456">
        <f>IF(Table10[[#This Row],[Current Age]]&gt;19,"Men's",IF(E895&gt;15,"U19",IF(E895&gt;13,"U15",IF(E895&gt;11,"U13",IF(E895&gt;0,"U11",0)))))</f>
        <v>0</v>
      </c>
      <c r="E895" s="456">
        <f>IFERROR(IF(Table10[[#This Row],[Year]]&gt;0,$E$1-Table10[[#This Row],[Year]],0),"")</f>
        <v>0</v>
      </c>
      <c r="F895" s="456"/>
      <c r="G895" s="456"/>
      <c r="H895" s="456"/>
    </row>
    <row r="896" spans="1:8">
      <c r="A896" s="471">
        <v>1892</v>
      </c>
      <c r="B896" s="496" t="s">
        <v>488</v>
      </c>
      <c r="C896" s="472" t="s">
        <v>362</v>
      </c>
      <c r="D896" s="456">
        <f>IF(Table10[[#This Row],[Current Age]]&gt;19,"Men's",IF(E896&gt;15,"U19",IF(E896&gt;13,"U15",IF(E896&gt;11,"U13",IF(E896&gt;0,"U11",0)))))</f>
        <v>0</v>
      </c>
      <c r="E896" s="456">
        <f>IFERROR(IF(Table10[[#This Row],[Year]]&gt;0,$E$1-Table10[[#This Row],[Year]],0),"")</f>
        <v>0</v>
      </c>
      <c r="F896" s="456"/>
      <c r="G896" s="456"/>
      <c r="H896" s="456"/>
    </row>
    <row r="897" spans="1:8">
      <c r="A897" s="456">
        <v>1893</v>
      </c>
      <c r="B897" s="497" t="s">
        <v>489</v>
      </c>
      <c r="C897" s="458" t="s">
        <v>362</v>
      </c>
      <c r="D897" s="456">
        <f>IF(Table10[[#This Row],[Current Age]]&gt;19,"Men's",IF(E897&gt;15,"U19",IF(E897&gt;13,"U15",IF(E897&gt;11,"U13",IF(E897&gt;0,"U11",0)))))</f>
        <v>0</v>
      </c>
      <c r="E897" s="456">
        <f>IFERROR(IF(Table10[[#This Row],[Year]]&gt;0,$E$1-Table10[[#This Row],[Year]],0),"")</f>
        <v>0</v>
      </c>
      <c r="F897" s="456"/>
      <c r="G897" s="456"/>
      <c r="H897" s="456"/>
    </row>
    <row r="898" spans="1:8">
      <c r="A898" s="471">
        <v>1894</v>
      </c>
      <c r="B898" s="496" t="s">
        <v>490</v>
      </c>
      <c r="C898" s="472" t="s">
        <v>362</v>
      </c>
      <c r="D898" s="456">
        <f>IF(Table10[[#This Row],[Current Age]]&gt;19,"Men's",IF(E898&gt;15,"U19",IF(E898&gt;13,"U15",IF(E898&gt;11,"U13",IF(E898&gt;0,"U11",0)))))</f>
        <v>0</v>
      </c>
      <c r="E898" s="456">
        <f>IFERROR(IF(Table10[[#This Row],[Year]]&gt;0,$E$1-Table10[[#This Row],[Year]],0),"")</f>
        <v>0</v>
      </c>
      <c r="F898" s="456"/>
      <c r="G898" s="456"/>
      <c r="H898" s="456"/>
    </row>
    <row r="899" spans="1:8">
      <c r="A899" s="456">
        <v>1895</v>
      </c>
      <c r="B899" s="497" t="s">
        <v>491</v>
      </c>
      <c r="C899" s="458" t="s">
        <v>362</v>
      </c>
      <c r="D899" s="456">
        <f>IF(Table10[[#This Row],[Current Age]]&gt;19,"Men's",IF(E899&gt;15,"U19",IF(E899&gt;13,"U15",IF(E899&gt;11,"U13",IF(E899&gt;0,"U11",0)))))</f>
        <v>0</v>
      </c>
      <c r="E899" s="456">
        <f>IFERROR(IF(Table10[[#This Row],[Year]]&gt;0,$E$1-Table10[[#This Row],[Year]],0),"")</f>
        <v>0</v>
      </c>
      <c r="F899" s="456"/>
      <c r="G899" s="456"/>
      <c r="H899" s="456"/>
    </row>
    <row r="900" spans="1:8">
      <c r="A900" s="471">
        <v>1896</v>
      </c>
      <c r="B900" s="496" t="s">
        <v>492</v>
      </c>
      <c r="C900" s="472" t="s">
        <v>362</v>
      </c>
      <c r="D900" s="456">
        <f>IF(Table10[[#This Row],[Current Age]]&gt;19,"Men's",IF(E900&gt;15,"U19",IF(E900&gt;13,"U15",IF(E900&gt;11,"U13",IF(E900&gt;0,"U11",0)))))</f>
        <v>0</v>
      </c>
      <c r="E900" s="456">
        <f>IFERROR(IF(Table10[[#This Row],[Year]]&gt;0,$E$1-Table10[[#This Row],[Year]],0),"")</f>
        <v>0</v>
      </c>
      <c r="F900" s="456"/>
      <c r="G900" s="456"/>
      <c r="H900" s="456"/>
    </row>
    <row r="901" spans="1:8">
      <c r="A901" s="456">
        <v>1897</v>
      </c>
      <c r="B901" s="497" t="s">
        <v>493</v>
      </c>
      <c r="C901" s="458" t="s">
        <v>362</v>
      </c>
      <c r="D901" s="456">
        <f>IF(Table10[[#This Row],[Current Age]]&gt;19,"Men's",IF(E901&gt;15,"U19",IF(E901&gt;13,"U15",IF(E901&gt;11,"U13",IF(E901&gt;0,"U11",0)))))</f>
        <v>0</v>
      </c>
      <c r="E901" s="456">
        <f>IFERROR(IF(Table10[[#This Row],[Year]]&gt;0,$E$1-Table10[[#This Row],[Year]],0),"")</f>
        <v>0</v>
      </c>
      <c r="F901" s="456"/>
      <c r="G901" s="456"/>
      <c r="H901" s="456"/>
    </row>
    <row r="902" spans="1:8">
      <c r="A902" s="471">
        <v>1898</v>
      </c>
      <c r="B902" s="496" t="s">
        <v>494</v>
      </c>
      <c r="C902" s="472" t="s">
        <v>362</v>
      </c>
      <c r="D902" s="456">
        <f>IF(Table10[[#This Row],[Current Age]]&gt;19,"Men's",IF(E902&gt;15,"U19",IF(E902&gt;13,"U15",IF(E902&gt;11,"U13",IF(E902&gt;0,"U11",0)))))</f>
        <v>0</v>
      </c>
      <c r="E902" s="456">
        <f>IFERROR(IF(Table10[[#This Row],[Year]]&gt;0,$E$1-Table10[[#This Row],[Year]],0),"")</f>
        <v>0</v>
      </c>
      <c r="F902" s="456"/>
      <c r="G902" s="456"/>
      <c r="H902" s="456"/>
    </row>
    <row r="903" spans="1:8">
      <c r="A903" s="456">
        <v>1899</v>
      </c>
      <c r="B903" s="497" t="s">
        <v>495</v>
      </c>
      <c r="C903" s="458" t="s">
        <v>362</v>
      </c>
      <c r="D903" s="456">
        <f>IF(Table10[[#This Row],[Current Age]]&gt;19,"Men's",IF(E903&gt;15,"U19",IF(E903&gt;13,"U15",IF(E903&gt;11,"U13",IF(E903&gt;0,"U11",0)))))</f>
        <v>0</v>
      </c>
      <c r="E903" s="456">
        <f>IFERROR(IF(Table10[[#This Row],[Year]]&gt;0,$E$1-Table10[[#This Row],[Year]],0),"")</f>
        <v>0</v>
      </c>
      <c r="F903" s="456"/>
      <c r="G903" s="456"/>
      <c r="H903" s="456"/>
    </row>
    <row r="904" spans="1:8">
      <c r="A904" s="471">
        <v>1900</v>
      </c>
      <c r="B904" s="496" t="s">
        <v>496</v>
      </c>
      <c r="C904" s="472" t="s">
        <v>362</v>
      </c>
      <c r="D904" s="456">
        <f>IF(Table10[[#This Row],[Current Age]]&gt;19,"Men's",IF(E904&gt;15,"U19",IF(E904&gt;13,"U15",IF(E904&gt;11,"U13",IF(E904&gt;0,"U11",0)))))</f>
        <v>0</v>
      </c>
      <c r="E904" s="456">
        <f>IFERROR(IF(Table10[[#This Row],[Year]]&gt;0,$E$1-Table10[[#This Row],[Year]],0),"")</f>
        <v>0</v>
      </c>
      <c r="F904" s="456"/>
      <c r="G904" s="456"/>
      <c r="H904" s="456"/>
    </row>
    <row r="905" spans="1:8">
      <c r="A905" s="456">
        <v>1901</v>
      </c>
      <c r="B905" s="497" t="s">
        <v>497</v>
      </c>
      <c r="C905" s="458" t="s">
        <v>362</v>
      </c>
      <c r="D905" s="456">
        <f>IF(Table10[[#This Row],[Current Age]]&gt;19,"Men's",IF(E905&gt;15,"U19",IF(E905&gt;13,"U15",IF(E905&gt;11,"U13",IF(E905&gt;0,"U11",0)))))</f>
        <v>0</v>
      </c>
      <c r="E905" s="456">
        <f>IFERROR(IF(Table10[[#This Row],[Year]]&gt;0,$E$1-Table10[[#This Row],[Year]],0),"")</f>
        <v>0</v>
      </c>
      <c r="F905" s="456"/>
      <c r="G905" s="456"/>
      <c r="H905" s="456"/>
    </row>
    <row r="906" spans="1:8">
      <c r="A906" s="471">
        <v>1902</v>
      </c>
      <c r="B906" s="496" t="s">
        <v>498</v>
      </c>
      <c r="C906" s="472" t="s">
        <v>362</v>
      </c>
      <c r="D906" s="456">
        <f>IF(Table10[[#This Row],[Current Age]]&gt;19,"Men's",IF(E906&gt;15,"U19",IF(E906&gt;13,"U15",IF(E906&gt;11,"U13",IF(E906&gt;0,"U11",0)))))</f>
        <v>0</v>
      </c>
      <c r="E906" s="456">
        <f>IFERROR(IF(Table10[[#This Row],[Year]]&gt;0,$E$1-Table10[[#This Row],[Year]],0),"")</f>
        <v>0</v>
      </c>
      <c r="F906" s="456"/>
      <c r="G906" s="456"/>
      <c r="H906" s="456"/>
    </row>
    <row r="907" spans="1:8">
      <c r="A907" s="456">
        <v>1903</v>
      </c>
      <c r="B907" s="497" t="s">
        <v>499</v>
      </c>
      <c r="C907" s="458" t="s">
        <v>1914</v>
      </c>
      <c r="D907" s="456" t="str">
        <f>IF(Table10[[#This Row],[Current Age]]&gt;19,"Men's",IF(E907&gt;15,"U19",IF(E907&gt;13,"U15",IF(E907&gt;11,"U13",IF(E907&gt;0,"U11",0)))))</f>
        <v>Men's</v>
      </c>
      <c r="E907" s="456">
        <f>IFERROR(IF(Table10[[#This Row],[Year]]&gt;0,$E$1-Table10[[#This Row],[Year]],0),"")</f>
        <v>26</v>
      </c>
      <c r="F907" s="456">
        <v>1999</v>
      </c>
      <c r="G907" s="456">
        <v>10</v>
      </c>
      <c r="H907" s="456">
        <v>31</v>
      </c>
    </row>
    <row r="908" spans="1:8">
      <c r="A908" s="471">
        <v>1904</v>
      </c>
      <c r="B908" s="496" t="s">
        <v>2497</v>
      </c>
      <c r="C908" s="472" t="s">
        <v>4720</v>
      </c>
      <c r="D908" s="456">
        <f>IF(Table10[[#This Row],[Current Age]]&gt;19,"Men's",IF(E908&gt;15,"U19",IF(E908&gt;13,"U15",IF(E908&gt;11,"U13",IF(E908&gt;0,"U11",0)))))</f>
        <v>0</v>
      </c>
      <c r="E908" s="456">
        <f>IFERROR(IF(Table10[[#This Row],[Year]]&gt;0,$E$1-Table10[[#This Row],[Year]],0),"")</f>
        <v>0</v>
      </c>
      <c r="F908" s="456"/>
      <c r="G908" s="456"/>
      <c r="H908" s="456"/>
    </row>
    <row r="909" spans="1:8">
      <c r="A909" s="456">
        <v>1905</v>
      </c>
      <c r="B909" s="497" t="s">
        <v>501</v>
      </c>
      <c r="C909" s="458" t="s">
        <v>362</v>
      </c>
      <c r="D909" s="456">
        <f>IF(Table10[[#This Row],[Current Age]]&gt;19,"Men's",IF(E909&gt;15,"U19",IF(E909&gt;13,"U15",IF(E909&gt;11,"U13",IF(E909&gt;0,"U11",0)))))</f>
        <v>0</v>
      </c>
      <c r="E909" s="456">
        <f>IFERROR(IF(Table10[[#This Row],[Year]]&gt;0,$E$1-Table10[[#This Row],[Year]],0),"")</f>
        <v>0</v>
      </c>
      <c r="F909" s="456"/>
      <c r="G909" s="456"/>
      <c r="H909" s="456"/>
    </row>
    <row r="910" spans="1:8">
      <c r="A910" s="471">
        <v>1906</v>
      </c>
      <c r="B910" s="496" t="s">
        <v>502</v>
      </c>
      <c r="C910" s="472" t="s">
        <v>362</v>
      </c>
      <c r="D910" s="456">
        <f>IF(Table10[[#This Row],[Current Age]]&gt;19,"Men's",IF(E910&gt;15,"U19",IF(E910&gt;13,"U15",IF(E910&gt;11,"U13",IF(E910&gt;0,"U11",0)))))</f>
        <v>0</v>
      </c>
      <c r="E910" s="456">
        <f>IFERROR(IF(Table10[[#This Row],[Year]]&gt;0,$E$1-Table10[[#This Row],[Year]],0),"")</f>
        <v>0</v>
      </c>
      <c r="F910" s="456"/>
      <c r="G910" s="456"/>
      <c r="H910" s="456"/>
    </row>
    <row r="911" spans="1:8">
      <c r="A911" s="456">
        <v>1907</v>
      </c>
      <c r="B911" s="497" t="s">
        <v>503</v>
      </c>
      <c r="C911" s="458" t="s">
        <v>362</v>
      </c>
      <c r="D911" s="456">
        <f>IF(Table10[[#This Row],[Current Age]]&gt;19,"Men's",IF(E911&gt;15,"U19",IF(E911&gt;13,"U15",IF(E911&gt;11,"U13",IF(E911&gt;0,"U11",0)))))</f>
        <v>0</v>
      </c>
      <c r="E911" s="456">
        <f>IFERROR(IF(Table10[[#This Row],[Year]]&gt;0,$E$1-Table10[[#This Row],[Year]],0),"")</f>
        <v>0</v>
      </c>
      <c r="F911" s="456"/>
      <c r="G911" s="456"/>
      <c r="H911" s="456"/>
    </row>
    <row r="912" spans="1:8">
      <c r="A912" s="471">
        <v>1908</v>
      </c>
      <c r="B912" s="496" t="s">
        <v>504</v>
      </c>
      <c r="C912" s="472" t="s">
        <v>362</v>
      </c>
      <c r="D912" s="456">
        <f>IF(Table10[[#This Row],[Current Age]]&gt;19,"Men's",IF(E912&gt;15,"U19",IF(E912&gt;13,"U15",IF(E912&gt;11,"U13",IF(E912&gt;0,"U11",0)))))</f>
        <v>0</v>
      </c>
      <c r="E912" s="456">
        <f>IFERROR(IF(Table10[[#This Row],[Year]]&gt;0,$E$1-Table10[[#This Row],[Year]],0),"")</f>
        <v>0</v>
      </c>
      <c r="F912" s="456"/>
      <c r="G912" s="456"/>
      <c r="H912" s="456"/>
    </row>
    <row r="913" spans="1:8">
      <c r="A913" s="456">
        <v>1909</v>
      </c>
      <c r="B913" s="497" t="s">
        <v>505</v>
      </c>
      <c r="C913" s="458" t="s">
        <v>362</v>
      </c>
      <c r="D913" s="456">
        <f>IF(Table10[[#This Row],[Current Age]]&gt;19,"Men's",IF(E913&gt;15,"U19",IF(E913&gt;13,"U15",IF(E913&gt;11,"U13",IF(E913&gt;0,"U11",0)))))</f>
        <v>0</v>
      </c>
      <c r="E913" s="456">
        <f>IFERROR(IF(Table10[[#This Row],[Year]]&gt;0,$E$1-Table10[[#This Row],[Year]],0),"")</f>
        <v>0</v>
      </c>
      <c r="F913" s="456"/>
      <c r="G913" s="456"/>
      <c r="H913" s="456"/>
    </row>
    <row r="914" spans="1:8">
      <c r="A914" s="471">
        <v>1910</v>
      </c>
      <c r="B914" s="496" t="s">
        <v>506</v>
      </c>
      <c r="C914" s="472" t="s">
        <v>362</v>
      </c>
      <c r="D914" s="456">
        <f>IF(Table10[[#This Row],[Current Age]]&gt;19,"Men's",IF(E914&gt;15,"U19",IF(E914&gt;13,"U15",IF(E914&gt;11,"U13",IF(E914&gt;0,"U11",0)))))</f>
        <v>0</v>
      </c>
      <c r="E914" s="456">
        <f>IFERROR(IF(Table10[[#This Row],[Year]]&gt;0,$E$1-Table10[[#This Row],[Year]],0),"")</f>
        <v>0</v>
      </c>
      <c r="F914" s="456"/>
      <c r="G914" s="456"/>
      <c r="H914" s="456"/>
    </row>
    <row r="915" spans="1:8">
      <c r="A915" s="456">
        <v>1911</v>
      </c>
      <c r="B915" s="497" t="s">
        <v>507</v>
      </c>
      <c r="C915" s="458" t="s">
        <v>362</v>
      </c>
      <c r="D915" s="456">
        <f>IF(Table10[[#This Row],[Current Age]]&gt;19,"Men's",IF(E915&gt;15,"U19",IF(E915&gt;13,"U15",IF(E915&gt;11,"U13",IF(E915&gt;0,"U11",0)))))</f>
        <v>0</v>
      </c>
      <c r="E915" s="456">
        <f>IFERROR(IF(Table10[[#This Row],[Year]]&gt;0,$E$1-Table10[[#This Row],[Year]],0),"")</f>
        <v>0</v>
      </c>
      <c r="F915" s="456"/>
      <c r="G915" s="456"/>
      <c r="H915" s="456"/>
    </row>
    <row r="916" spans="1:8">
      <c r="A916" s="471">
        <v>1912</v>
      </c>
      <c r="B916" s="496" t="s">
        <v>508</v>
      </c>
      <c r="C916" s="472" t="s">
        <v>362</v>
      </c>
      <c r="D916" s="456">
        <f>IF(Table10[[#This Row],[Current Age]]&gt;19,"Men's",IF(E916&gt;15,"U19",IF(E916&gt;13,"U15",IF(E916&gt;11,"U13",IF(E916&gt;0,"U11",0)))))</f>
        <v>0</v>
      </c>
      <c r="E916" s="456">
        <f>IFERROR(IF(Table10[[#This Row],[Year]]&gt;0,$E$1-Table10[[#This Row],[Year]],0),"")</f>
        <v>0</v>
      </c>
      <c r="F916" s="456"/>
      <c r="G916" s="456"/>
      <c r="H916" s="456"/>
    </row>
    <row r="917" spans="1:8">
      <c r="A917" s="456">
        <v>1913</v>
      </c>
      <c r="B917" s="497" t="s">
        <v>509</v>
      </c>
      <c r="C917" s="458" t="s">
        <v>362</v>
      </c>
      <c r="D917" s="456">
        <f>IF(Table10[[#This Row],[Current Age]]&gt;19,"Men's",IF(E917&gt;15,"U19",IF(E917&gt;13,"U15",IF(E917&gt;11,"U13",IF(E917&gt;0,"U11",0)))))</f>
        <v>0</v>
      </c>
      <c r="E917" s="456">
        <f>IFERROR(IF(Table10[[#This Row],[Year]]&gt;0,$E$1-Table10[[#This Row],[Year]],0),"")</f>
        <v>0</v>
      </c>
      <c r="F917" s="456"/>
      <c r="G917" s="456"/>
      <c r="H917" s="456"/>
    </row>
    <row r="918" spans="1:8">
      <c r="A918" s="471">
        <v>1914</v>
      </c>
      <c r="B918" s="496" t="s">
        <v>510</v>
      </c>
      <c r="C918" s="472" t="s">
        <v>362</v>
      </c>
      <c r="D918" s="456">
        <f>IF(Table10[[#This Row],[Current Age]]&gt;19,"Men's",IF(E918&gt;15,"U19",IF(E918&gt;13,"U15",IF(E918&gt;11,"U13",IF(E918&gt;0,"U11",0)))))</f>
        <v>0</v>
      </c>
      <c r="E918" s="456">
        <f>IFERROR(IF(Table10[[#This Row],[Year]]&gt;0,$E$1-Table10[[#This Row],[Year]],0),"")</f>
        <v>0</v>
      </c>
      <c r="F918" s="456"/>
      <c r="G918" s="456"/>
      <c r="H918" s="456"/>
    </row>
    <row r="919" spans="1:8">
      <c r="A919" s="456">
        <v>1915</v>
      </c>
      <c r="B919" s="497" t="s">
        <v>511</v>
      </c>
      <c r="C919" s="458" t="s">
        <v>362</v>
      </c>
      <c r="D919" s="456">
        <f>IF(Table10[[#This Row],[Current Age]]&gt;19,"Men's",IF(E919&gt;15,"U19",IF(E919&gt;13,"U15",IF(E919&gt;11,"U13",IF(E919&gt;0,"U11",0)))))</f>
        <v>0</v>
      </c>
      <c r="E919" s="456">
        <f>IFERROR(IF(Table10[[#This Row],[Year]]&gt;0,$E$1-Table10[[#This Row],[Year]],0),"")</f>
        <v>0</v>
      </c>
      <c r="F919" s="456"/>
      <c r="G919" s="456"/>
      <c r="H919" s="456"/>
    </row>
    <row r="920" spans="1:8">
      <c r="A920" s="471">
        <v>1916</v>
      </c>
      <c r="B920" s="496" t="s">
        <v>512</v>
      </c>
      <c r="C920" s="472" t="s">
        <v>362</v>
      </c>
      <c r="D920" s="456">
        <f>IF(Table10[[#This Row],[Current Age]]&gt;19,"Men's",IF(E920&gt;15,"U19",IF(E920&gt;13,"U15",IF(E920&gt;11,"U13",IF(E920&gt;0,"U11",0)))))</f>
        <v>0</v>
      </c>
      <c r="E920" s="456">
        <f>IFERROR(IF(Table10[[#This Row],[Year]]&gt;0,$E$1-Table10[[#This Row],[Year]],0),"")</f>
        <v>0</v>
      </c>
      <c r="F920" s="456"/>
      <c r="G920" s="456"/>
      <c r="H920" s="456"/>
    </row>
    <row r="921" spans="1:8">
      <c r="A921" s="456">
        <v>1917</v>
      </c>
      <c r="B921" s="497" t="s">
        <v>513</v>
      </c>
      <c r="C921" s="458" t="s">
        <v>362</v>
      </c>
      <c r="D921" s="456">
        <f>IF(Table10[[#This Row],[Current Age]]&gt;19,"Men's",IF(E921&gt;15,"U19",IF(E921&gt;13,"U15",IF(E921&gt;11,"U13",IF(E921&gt;0,"U11",0)))))</f>
        <v>0</v>
      </c>
      <c r="E921" s="456">
        <f>IFERROR(IF(Table10[[#This Row],[Year]]&gt;0,$E$1-Table10[[#This Row],[Year]],0),"")</f>
        <v>0</v>
      </c>
      <c r="F921" s="456"/>
      <c r="G921" s="456"/>
      <c r="H921" s="456"/>
    </row>
    <row r="922" spans="1:8">
      <c r="A922" s="471">
        <v>1918</v>
      </c>
      <c r="B922" s="496" t="s">
        <v>514</v>
      </c>
      <c r="C922" s="472" t="s">
        <v>362</v>
      </c>
      <c r="D922" s="456">
        <f>IF(Table10[[#This Row],[Current Age]]&gt;19,"Men's",IF(E922&gt;15,"U19",IF(E922&gt;13,"U15",IF(E922&gt;11,"U13",IF(E922&gt;0,"U11",0)))))</f>
        <v>0</v>
      </c>
      <c r="E922" s="456">
        <f>IFERROR(IF(Table10[[#This Row],[Year]]&gt;0,$E$1-Table10[[#This Row],[Year]],0),"")</f>
        <v>0</v>
      </c>
      <c r="F922" s="456"/>
      <c r="G922" s="456"/>
      <c r="H922" s="456"/>
    </row>
    <row r="923" spans="1:8">
      <c r="A923" s="456">
        <v>1919</v>
      </c>
      <c r="B923" s="497" t="s">
        <v>282</v>
      </c>
      <c r="C923" s="458" t="s">
        <v>249</v>
      </c>
      <c r="D923" s="456">
        <f>IF(Table10[[#This Row],[Current Age]]&gt;19,"Men's",IF(E923&gt;15,"U19",IF(E923&gt;13,"U15",IF(E923&gt;11,"U13",IF(E923&gt;0,"U11",0)))))</f>
        <v>0</v>
      </c>
      <c r="E923" s="456">
        <f>IFERROR(IF(Table10[[#This Row],[Year]]&gt;0,$E$1-Table10[[#This Row],[Year]],0),"")</f>
        <v>0</v>
      </c>
      <c r="F923" s="456"/>
      <c r="G923" s="456"/>
      <c r="H923" s="456"/>
    </row>
    <row r="924" spans="1:8">
      <c r="A924" s="471">
        <v>1920</v>
      </c>
      <c r="B924" s="496" t="s">
        <v>283</v>
      </c>
      <c r="C924" s="472" t="s">
        <v>249</v>
      </c>
      <c r="D924" s="456">
        <f>IF(Table10[[#This Row],[Current Age]]&gt;19,"Men's",IF(E924&gt;15,"U19",IF(E924&gt;13,"U15",IF(E924&gt;11,"U13",IF(E924&gt;0,"U11",0)))))</f>
        <v>0</v>
      </c>
      <c r="E924" s="456">
        <f>IFERROR(IF(Table10[[#This Row],[Year]]&gt;0,$E$1-Table10[[#This Row],[Year]],0),"")</f>
        <v>0</v>
      </c>
      <c r="F924" s="456"/>
      <c r="G924" s="456"/>
      <c r="H924" s="456"/>
    </row>
    <row r="925" spans="1:8">
      <c r="A925" s="456">
        <v>1921</v>
      </c>
      <c r="B925" s="497" t="s">
        <v>284</v>
      </c>
      <c r="C925" s="458" t="s">
        <v>249</v>
      </c>
      <c r="D925" s="456">
        <f>IF(Table10[[#This Row],[Current Age]]&gt;19,"Men's",IF(E925&gt;15,"U19",IF(E925&gt;13,"U15",IF(E925&gt;11,"U13",IF(E925&gt;0,"U11",0)))))</f>
        <v>0</v>
      </c>
      <c r="E925" s="456">
        <f>IFERROR(IF(Table10[[#This Row],[Year]]&gt;0,$E$1-Table10[[#This Row],[Year]],0),"")</f>
        <v>0</v>
      </c>
      <c r="F925" s="456"/>
      <c r="G925" s="456"/>
      <c r="H925" s="456"/>
    </row>
    <row r="926" spans="1:8">
      <c r="A926" s="471">
        <v>1922</v>
      </c>
      <c r="B926" s="496" t="s">
        <v>285</v>
      </c>
      <c r="C926" s="472" t="s">
        <v>249</v>
      </c>
      <c r="D926" s="456" t="str">
        <f>IF(Table10[[#This Row],[Current Age]]&gt;19,"Men's",IF(E926&gt;15,"U19",IF(E926&gt;13,"U15",IF(E926&gt;11,"U13",IF(E926&gt;0,"U11",0)))))</f>
        <v>Men's</v>
      </c>
      <c r="E926" s="456">
        <f>IFERROR(IF(Table10[[#This Row],[Year]]&gt;0,$E$1-Table10[[#This Row],[Year]],0),"")</f>
        <v>31</v>
      </c>
      <c r="F926" s="456">
        <v>1994</v>
      </c>
      <c r="G926" s="456">
        <v>8</v>
      </c>
      <c r="H926" s="456">
        <v>1</v>
      </c>
    </row>
    <row r="927" spans="1:8">
      <c r="A927" s="456">
        <v>1923</v>
      </c>
      <c r="B927" s="497" t="s">
        <v>286</v>
      </c>
      <c r="C927" s="458" t="s">
        <v>249</v>
      </c>
      <c r="D927" s="456">
        <f>IF(Table10[[#This Row],[Current Age]]&gt;19,"Men's",IF(E927&gt;15,"U19",IF(E927&gt;13,"U15",IF(E927&gt;11,"U13",IF(E927&gt;0,"U11",0)))))</f>
        <v>0</v>
      </c>
      <c r="E927" s="456">
        <f>IFERROR(IF(Table10[[#This Row],[Year]]&gt;0,$E$1-Table10[[#This Row],[Year]],0),"")</f>
        <v>0</v>
      </c>
      <c r="F927" s="456"/>
      <c r="G927" s="456"/>
      <c r="H927" s="456"/>
    </row>
    <row r="928" spans="1:8">
      <c r="A928" s="471">
        <v>1924</v>
      </c>
      <c r="B928" s="496" t="s">
        <v>287</v>
      </c>
      <c r="C928" s="472" t="s">
        <v>249</v>
      </c>
      <c r="D928" s="456" t="str">
        <f>IF(Table10[[#This Row],[Current Age]]&gt;19,"Men's",IF(E928&gt;15,"U19",IF(E928&gt;13,"U15",IF(E928&gt;11,"U13",IF(E928&gt;0,"U11",0)))))</f>
        <v>Men's</v>
      </c>
      <c r="E928" s="456">
        <f>IFERROR(IF(Table10[[#This Row],[Year]]&gt;0,$E$1-Table10[[#This Row],[Year]],0),"")</f>
        <v>27</v>
      </c>
      <c r="F928" s="456">
        <v>1998</v>
      </c>
      <c r="G928" s="456">
        <v>5</v>
      </c>
      <c r="H928" s="456">
        <v>2</v>
      </c>
    </row>
    <row r="929" spans="1:8">
      <c r="A929" s="456">
        <v>1925</v>
      </c>
      <c r="B929" s="497" t="s">
        <v>288</v>
      </c>
      <c r="C929" s="458" t="s">
        <v>249</v>
      </c>
      <c r="D929" s="456">
        <f>IF(Table10[[#This Row],[Current Age]]&gt;19,"Men's",IF(E929&gt;15,"U19",IF(E929&gt;13,"U15",IF(E929&gt;11,"U13",IF(E929&gt;0,"U11",0)))))</f>
        <v>0</v>
      </c>
      <c r="E929" s="456">
        <f>IFERROR(IF(Table10[[#This Row],[Year]]&gt;0,$E$1-Table10[[#This Row],[Year]],0),"")</f>
        <v>0</v>
      </c>
      <c r="F929" s="456"/>
      <c r="G929" s="456"/>
      <c r="H929" s="456"/>
    </row>
    <row r="930" spans="1:8">
      <c r="A930" s="471">
        <v>1926</v>
      </c>
      <c r="B930" s="496" t="s">
        <v>289</v>
      </c>
      <c r="C930" s="472" t="s">
        <v>249</v>
      </c>
      <c r="D930" s="456">
        <f>IF(Table10[[#This Row],[Current Age]]&gt;19,"Men's",IF(E930&gt;15,"U19",IF(E930&gt;13,"U15",IF(E930&gt;11,"U13",IF(E930&gt;0,"U11",0)))))</f>
        <v>0</v>
      </c>
      <c r="E930" s="456">
        <f>IFERROR(IF(Table10[[#This Row],[Year]]&gt;0,$E$1-Table10[[#This Row],[Year]],0),"")</f>
        <v>0</v>
      </c>
      <c r="F930" s="456"/>
      <c r="G930" s="456"/>
      <c r="H930" s="456"/>
    </row>
    <row r="931" spans="1:8">
      <c r="A931" s="456">
        <v>1927</v>
      </c>
      <c r="B931" s="497" t="s">
        <v>290</v>
      </c>
      <c r="C931" s="458" t="s">
        <v>249</v>
      </c>
      <c r="D931" s="456" t="str">
        <f>IF(Table10[[#This Row],[Current Age]]&gt;19,"Men's",IF(E931&gt;15,"U19",IF(E931&gt;13,"U15",IF(E931&gt;11,"U13",IF(E931&gt;0,"U11",0)))))</f>
        <v>Men's</v>
      </c>
      <c r="E931" s="456">
        <f>IFERROR(IF(Table10[[#This Row],[Year]]&gt;0,$E$1-Table10[[#This Row],[Year]],0),"")</f>
        <v>20</v>
      </c>
      <c r="F931" s="456">
        <v>2005</v>
      </c>
      <c r="G931" s="456">
        <v>5</v>
      </c>
      <c r="H931" s="456">
        <v>31</v>
      </c>
    </row>
    <row r="932" spans="1:8">
      <c r="A932" s="471">
        <v>1928</v>
      </c>
      <c r="B932" s="496" t="s">
        <v>291</v>
      </c>
      <c r="C932" s="472" t="s">
        <v>249</v>
      </c>
      <c r="D932" s="456" t="str">
        <f>IF(Table10[[#This Row],[Current Age]]&gt;19,"Men's",IF(E932&gt;15,"U19",IF(E932&gt;13,"U15",IF(E932&gt;11,"U13",IF(E932&gt;0,"U11",0)))))</f>
        <v>Men's</v>
      </c>
      <c r="E932" s="456">
        <f>IFERROR(IF(Table10[[#This Row],[Year]]&gt;0,$E$1-Table10[[#This Row],[Year]],0),"")</f>
        <v>20</v>
      </c>
      <c r="F932" s="456">
        <v>2005</v>
      </c>
      <c r="G932" s="456">
        <v>4</v>
      </c>
      <c r="H932" s="456">
        <v>1</v>
      </c>
    </row>
    <row r="933" spans="1:8">
      <c r="A933" s="456">
        <v>1929</v>
      </c>
      <c r="B933" s="497" t="s">
        <v>292</v>
      </c>
      <c r="C933" s="458" t="s">
        <v>249</v>
      </c>
      <c r="D933" s="456">
        <f>IF(Table10[[#This Row],[Current Age]]&gt;19,"Men's",IF(E933&gt;15,"U19",IF(E933&gt;13,"U15",IF(E933&gt;11,"U13",IF(E933&gt;0,"U11",0)))))</f>
        <v>0</v>
      </c>
      <c r="E933" s="456">
        <f>IFERROR(IF(Table10[[#This Row],[Year]]&gt;0,$E$1-Table10[[#This Row],[Year]],0),"")</f>
        <v>0</v>
      </c>
      <c r="F933" s="456"/>
      <c r="G933" s="456"/>
      <c r="H933" s="456"/>
    </row>
    <row r="934" spans="1:8">
      <c r="A934" s="471">
        <v>1930</v>
      </c>
      <c r="B934" s="496" t="s">
        <v>293</v>
      </c>
      <c r="C934" s="472" t="s">
        <v>249</v>
      </c>
      <c r="D934" s="456">
        <f>IF(Table10[[#This Row],[Current Age]]&gt;19,"Men's",IF(E934&gt;15,"U19",IF(E934&gt;13,"U15",IF(E934&gt;11,"U13",IF(E934&gt;0,"U11",0)))))</f>
        <v>0</v>
      </c>
      <c r="E934" s="456">
        <f>IFERROR(IF(Table10[[#This Row],[Year]]&gt;0,$E$1-Table10[[#This Row],[Year]],0),"")</f>
        <v>0</v>
      </c>
      <c r="F934" s="456"/>
      <c r="G934" s="456"/>
      <c r="H934" s="456"/>
    </row>
    <row r="935" spans="1:8">
      <c r="A935" s="456">
        <v>1931</v>
      </c>
      <c r="B935" s="497" t="s">
        <v>294</v>
      </c>
      <c r="C935" s="458" t="s">
        <v>249</v>
      </c>
      <c r="D935" s="456" t="str">
        <f>IF(Table10[[#This Row],[Current Age]]&gt;19,"Men's",IF(E935&gt;15,"U19",IF(E935&gt;13,"U15",IF(E935&gt;11,"U13",IF(E935&gt;0,"U11",0)))))</f>
        <v>Men's</v>
      </c>
      <c r="E935" s="456">
        <f>IFERROR(IF(Table10[[#This Row],[Year]]&gt;0,$E$1-Table10[[#This Row],[Year]],0),"")</f>
        <v>21</v>
      </c>
      <c r="F935" s="456">
        <v>2004</v>
      </c>
      <c r="G935" s="456">
        <v>9</v>
      </c>
      <c r="H935" s="456">
        <v>26</v>
      </c>
    </row>
    <row r="936" spans="1:8">
      <c r="A936" s="471">
        <v>1932</v>
      </c>
      <c r="B936" s="496" t="s">
        <v>295</v>
      </c>
      <c r="C936" s="472" t="s">
        <v>249</v>
      </c>
      <c r="D936" s="456">
        <f>IF(Table10[[#This Row],[Current Age]]&gt;19,"Men's",IF(E936&gt;15,"U19",IF(E936&gt;13,"U15",IF(E936&gt;11,"U13",IF(E936&gt;0,"U11",0)))))</f>
        <v>0</v>
      </c>
      <c r="E936" s="456">
        <f>IFERROR(IF(Table10[[#This Row],[Year]]&gt;0,$E$1-Table10[[#This Row],[Year]],0),"")</f>
        <v>0</v>
      </c>
      <c r="F936" s="456"/>
      <c r="G936" s="456"/>
      <c r="H936" s="456"/>
    </row>
    <row r="937" spans="1:8">
      <c r="A937" s="456">
        <v>1933</v>
      </c>
      <c r="B937" s="497" t="s">
        <v>296</v>
      </c>
      <c r="C937" s="458" t="s">
        <v>249</v>
      </c>
      <c r="D937" s="456">
        <f>IF(Table10[[#This Row],[Current Age]]&gt;19,"Men's",IF(E937&gt;15,"U19",IF(E937&gt;13,"U15",IF(E937&gt;11,"U13",IF(E937&gt;0,"U11",0)))))</f>
        <v>0</v>
      </c>
      <c r="E937" s="456">
        <f>IFERROR(IF(Table10[[#This Row],[Year]]&gt;0,$E$1-Table10[[#This Row],[Year]],0),"")</f>
        <v>0</v>
      </c>
      <c r="F937" s="456"/>
      <c r="G937" s="456"/>
      <c r="H937" s="456"/>
    </row>
    <row r="938" spans="1:8">
      <c r="A938" s="471">
        <v>1934</v>
      </c>
      <c r="B938" s="496" t="s">
        <v>297</v>
      </c>
      <c r="C938" s="472" t="s">
        <v>249</v>
      </c>
      <c r="D938" s="456">
        <f>IF(Table10[[#This Row],[Current Age]]&gt;19,"Men's",IF(E938&gt;15,"U19",IF(E938&gt;13,"U15",IF(E938&gt;11,"U13",IF(E938&gt;0,"U11",0)))))</f>
        <v>0</v>
      </c>
      <c r="E938" s="456">
        <f>IFERROR(IF(Table10[[#This Row],[Year]]&gt;0,$E$1-Table10[[#This Row],[Year]],0),"")</f>
        <v>0</v>
      </c>
      <c r="F938" s="456"/>
      <c r="G938" s="456"/>
      <c r="H938" s="456"/>
    </row>
    <row r="939" spans="1:8">
      <c r="A939" s="456">
        <v>1935</v>
      </c>
      <c r="B939" s="497" t="s">
        <v>298</v>
      </c>
      <c r="C939" s="458" t="s">
        <v>249</v>
      </c>
      <c r="D939" s="456">
        <f>IF(Table10[[#This Row],[Current Age]]&gt;19,"Men's",IF(E939&gt;15,"U19",IF(E939&gt;13,"U15",IF(E939&gt;11,"U13",IF(E939&gt;0,"U11",0)))))</f>
        <v>0</v>
      </c>
      <c r="E939" s="456">
        <f>IFERROR(IF(Table10[[#This Row],[Year]]&gt;0,$E$1-Table10[[#This Row],[Year]],0),"")</f>
        <v>0</v>
      </c>
      <c r="F939" s="456"/>
      <c r="G939" s="456"/>
      <c r="H939" s="456"/>
    </row>
    <row r="940" spans="1:8">
      <c r="A940" s="471">
        <v>1936</v>
      </c>
      <c r="B940" s="496" t="s">
        <v>299</v>
      </c>
      <c r="C940" s="472" t="s">
        <v>249</v>
      </c>
      <c r="D940" s="456">
        <f>IF(Table10[[#This Row],[Current Age]]&gt;19,"Men's",IF(E940&gt;15,"U19",IF(E940&gt;13,"U15",IF(E940&gt;11,"U13",IF(E940&gt;0,"U11",0)))))</f>
        <v>0</v>
      </c>
      <c r="E940" s="456">
        <f>IFERROR(IF(Table10[[#This Row],[Year]]&gt;0,$E$1-Table10[[#This Row],[Year]],0),"")</f>
        <v>0</v>
      </c>
      <c r="F940" s="456"/>
      <c r="G940" s="456"/>
      <c r="H940" s="456"/>
    </row>
    <row r="941" spans="1:8">
      <c r="A941" s="456">
        <v>1937</v>
      </c>
      <c r="B941" s="497" t="s">
        <v>300</v>
      </c>
      <c r="C941" s="458" t="s">
        <v>249</v>
      </c>
      <c r="D941" s="456">
        <f>IF(Table10[[#This Row],[Current Age]]&gt;19,"Men's",IF(E941&gt;15,"U19",IF(E941&gt;13,"U15",IF(E941&gt;11,"U13",IF(E941&gt;0,"U11",0)))))</f>
        <v>0</v>
      </c>
      <c r="E941" s="456">
        <f>IFERROR(IF(Table10[[#This Row],[Year]]&gt;0,$E$1-Table10[[#This Row],[Year]],0),"")</f>
        <v>0</v>
      </c>
      <c r="F941" s="456"/>
      <c r="G941" s="456"/>
      <c r="H941" s="456"/>
    </row>
    <row r="942" spans="1:8">
      <c r="A942" s="471">
        <v>1938</v>
      </c>
      <c r="B942" s="496" t="s">
        <v>301</v>
      </c>
      <c r="C942" s="472" t="s">
        <v>249</v>
      </c>
      <c r="D942" s="456">
        <f>IF(Table10[[#This Row],[Current Age]]&gt;19,"Men's",IF(E942&gt;15,"U19",IF(E942&gt;13,"U15",IF(E942&gt;11,"U13",IF(E942&gt;0,"U11",0)))))</f>
        <v>0</v>
      </c>
      <c r="E942" s="456">
        <f>IFERROR(IF(Table10[[#This Row],[Year]]&gt;0,$E$1-Table10[[#This Row],[Year]],0),"")</f>
        <v>0</v>
      </c>
      <c r="F942" s="456"/>
      <c r="G942" s="456"/>
      <c r="H942" s="456"/>
    </row>
    <row r="943" spans="1:8">
      <c r="A943" s="456">
        <v>1939</v>
      </c>
      <c r="B943" s="497" t="s">
        <v>302</v>
      </c>
      <c r="C943" s="458" t="s">
        <v>249</v>
      </c>
      <c r="D943" s="456">
        <f>IF(Table10[[#This Row],[Current Age]]&gt;19,"Men's",IF(E943&gt;15,"U19",IF(E943&gt;13,"U15",IF(E943&gt;11,"U13",IF(E943&gt;0,"U11",0)))))</f>
        <v>0</v>
      </c>
      <c r="E943" s="456">
        <f>IFERROR(IF(Table10[[#This Row],[Year]]&gt;0,$E$1-Table10[[#This Row],[Year]],0),"")</f>
        <v>0</v>
      </c>
      <c r="F943" s="456"/>
      <c r="G943" s="456"/>
      <c r="H943" s="456"/>
    </row>
    <row r="944" spans="1:8">
      <c r="A944" s="471">
        <v>1940</v>
      </c>
      <c r="B944" s="496" t="s">
        <v>303</v>
      </c>
      <c r="C944" s="472" t="s">
        <v>249</v>
      </c>
      <c r="D944" s="456">
        <f>IF(Table10[[#This Row],[Current Age]]&gt;19,"Men's",IF(E944&gt;15,"U19",IF(E944&gt;13,"U15",IF(E944&gt;11,"U13",IF(E944&gt;0,"U11",0)))))</f>
        <v>0</v>
      </c>
      <c r="E944" s="456">
        <f>IFERROR(IF(Table10[[#This Row],[Year]]&gt;0,$E$1-Table10[[#This Row],[Year]],0),"")</f>
        <v>0</v>
      </c>
      <c r="F944" s="456"/>
      <c r="G944" s="456"/>
      <c r="H944" s="456"/>
    </row>
    <row r="945" spans="1:8">
      <c r="A945" s="456">
        <v>1941</v>
      </c>
      <c r="B945" s="497" t="s">
        <v>304</v>
      </c>
      <c r="C945" s="458" t="s">
        <v>249</v>
      </c>
      <c r="D945" s="456">
        <f>IF(Table10[[#This Row],[Current Age]]&gt;19,"Men's",IF(E945&gt;15,"U19",IF(E945&gt;13,"U15",IF(E945&gt;11,"U13",IF(E945&gt;0,"U11",0)))))</f>
        <v>0</v>
      </c>
      <c r="E945" s="456">
        <f>IFERROR(IF(Table10[[#This Row],[Year]]&gt;0,$E$1-Table10[[#This Row],[Year]],0),"")</f>
        <v>0</v>
      </c>
      <c r="F945" s="456"/>
      <c r="G945" s="456"/>
      <c r="H945" s="456"/>
    </row>
    <row r="946" spans="1:8">
      <c r="A946" s="471">
        <v>1942</v>
      </c>
      <c r="B946" s="496" t="s">
        <v>305</v>
      </c>
      <c r="C946" s="472" t="s">
        <v>249</v>
      </c>
      <c r="D946" s="456">
        <f>IF(Table10[[#This Row],[Current Age]]&gt;19,"Men's",IF(E946&gt;15,"U19",IF(E946&gt;13,"U15",IF(E946&gt;11,"U13",IF(E946&gt;0,"U11",0)))))</f>
        <v>0</v>
      </c>
      <c r="E946" s="456">
        <f>IFERROR(IF(Table10[[#This Row],[Year]]&gt;0,$E$1-Table10[[#This Row],[Year]],0),"")</f>
        <v>0</v>
      </c>
      <c r="F946" s="456"/>
      <c r="G946" s="456"/>
      <c r="H946" s="456"/>
    </row>
    <row r="947" spans="1:8">
      <c r="A947" s="456">
        <v>1943</v>
      </c>
      <c r="B947" s="497" t="s">
        <v>306</v>
      </c>
      <c r="C947" s="458" t="s">
        <v>249</v>
      </c>
      <c r="D947" s="456">
        <f>IF(Table10[[#This Row],[Current Age]]&gt;19,"Men's",IF(E947&gt;15,"U19",IF(E947&gt;13,"U15",IF(E947&gt;11,"U13",IF(E947&gt;0,"U11",0)))))</f>
        <v>0</v>
      </c>
      <c r="E947" s="456">
        <f>IFERROR(IF(Table10[[#This Row],[Year]]&gt;0,$E$1-Table10[[#This Row],[Year]],0),"")</f>
        <v>0</v>
      </c>
      <c r="F947" s="456"/>
      <c r="G947" s="456"/>
      <c r="H947" s="456"/>
    </row>
    <row r="948" spans="1:8">
      <c r="A948" s="471">
        <v>1944</v>
      </c>
      <c r="B948" s="496" t="s">
        <v>307</v>
      </c>
      <c r="C948" s="472" t="s">
        <v>249</v>
      </c>
      <c r="D948" s="456">
        <f>IF(Table10[[#This Row],[Current Age]]&gt;19,"Men's",IF(E948&gt;15,"U19",IF(E948&gt;13,"U15",IF(E948&gt;11,"U13",IF(E948&gt;0,"U11",0)))))</f>
        <v>0</v>
      </c>
      <c r="E948" s="456">
        <f>IFERROR(IF(Table10[[#This Row],[Year]]&gt;0,$E$1-Table10[[#This Row],[Year]],0),"")</f>
        <v>0</v>
      </c>
      <c r="F948" s="456"/>
      <c r="G948" s="456"/>
      <c r="H948" s="456"/>
    </row>
    <row r="949" spans="1:8">
      <c r="A949" s="456">
        <v>1945</v>
      </c>
      <c r="B949" s="497" t="s">
        <v>308</v>
      </c>
      <c r="C949" s="458" t="s">
        <v>249</v>
      </c>
      <c r="D949" s="456">
        <f>IF(Table10[[#This Row],[Current Age]]&gt;19,"Men's",IF(E949&gt;15,"U19",IF(E949&gt;13,"U15",IF(E949&gt;11,"U13",IF(E949&gt;0,"U11",0)))))</f>
        <v>0</v>
      </c>
      <c r="E949" s="456">
        <f>IFERROR(IF(Table10[[#This Row],[Year]]&gt;0,$E$1-Table10[[#This Row],[Year]],0),"")</f>
        <v>0</v>
      </c>
      <c r="F949" s="456"/>
      <c r="G949" s="456"/>
      <c r="H949" s="456"/>
    </row>
    <row r="950" spans="1:8">
      <c r="A950" s="471">
        <v>1946</v>
      </c>
      <c r="B950" s="496" t="s">
        <v>309</v>
      </c>
      <c r="C950" s="472" t="s">
        <v>249</v>
      </c>
      <c r="D950" s="456">
        <f>IF(Table10[[#This Row],[Current Age]]&gt;19,"Men's",IF(E950&gt;15,"U19",IF(E950&gt;13,"U15",IF(E950&gt;11,"U13",IF(E950&gt;0,"U11",0)))))</f>
        <v>0</v>
      </c>
      <c r="E950" s="456">
        <f>IFERROR(IF(Table10[[#This Row],[Year]]&gt;0,$E$1-Table10[[#This Row],[Year]],0),"")</f>
        <v>0</v>
      </c>
      <c r="F950" s="456"/>
      <c r="G950" s="456"/>
      <c r="H950" s="456"/>
    </row>
    <row r="951" spans="1:8">
      <c r="A951" s="456">
        <v>1947</v>
      </c>
      <c r="B951" s="497" t="s">
        <v>310</v>
      </c>
      <c r="C951" s="458" t="s">
        <v>249</v>
      </c>
      <c r="D951" s="456">
        <f>IF(Table10[[#This Row],[Current Age]]&gt;19,"Men's",IF(E951&gt;15,"U19",IF(E951&gt;13,"U15",IF(E951&gt;11,"U13",IF(E951&gt;0,"U11",0)))))</f>
        <v>0</v>
      </c>
      <c r="E951" s="456">
        <f>IFERROR(IF(Table10[[#This Row],[Year]]&gt;0,$E$1-Table10[[#This Row],[Year]],0),"")</f>
        <v>0</v>
      </c>
      <c r="F951" s="456"/>
      <c r="G951" s="456"/>
      <c r="H951" s="456"/>
    </row>
    <row r="952" spans="1:8">
      <c r="A952" s="471">
        <v>1948</v>
      </c>
      <c r="B952" s="496" t="s">
        <v>311</v>
      </c>
      <c r="C952" s="472" t="s">
        <v>249</v>
      </c>
      <c r="D952" s="456">
        <f>IF(Table10[[#This Row],[Current Age]]&gt;19,"Men's",IF(E952&gt;15,"U19",IF(E952&gt;13,"U15",IF(E952&gt;11,"U13",IF(E952&gt;0,"U11",0)))))</f>
        <v>0</v>
      </c>
      <c r="E952" s="456">
        <f>IFERROR(IF(Table10[[#This Row],[Year]]&gt;0,$E$1-Table10[[#This Row],[Year]],0),"")</f>
        <v>0</v>
      </c>
      <c r="F952" s="456"/>
      <c r="G952" s="456"/>
      <c r="H952" s="456"/>
    </row>
    <row r="953" spans="1:8">
      <c r="A953" s="456">
        <v>1949</v>
      </c>
      <c r="B953" s="497" t="s">
        <v>312</v>
      </c>
      <c r="C953" s="458" t="s">
        <v>249</v>
      </c>
      <c r="D953" s="456">
        <f>IF(Table10[[#This Row],[Current Age]]&gt;19,"Men's",IF(E953&gt;15,"U19",IF(E953&gt;13,"U15",IF(E953&gt;11,"U13",IF(E953&gt;0,"U11",0)))))</f>
        <v>0</v>
      </c>
      <c r="E953" s="456">
        <f>IFERROR(IF(Table10[[#This Row],[Year]]&gt;0,$E$1-Table10[[#This Row],[Year]],0),"")</f>
        <v>0</v>
      </c>
      <c r="F953" s="456"/>
      <c r="G953" s="456"/>
      <c r="H953" s="456"/>
    </row>
    <row r="954" spans="1:8">
      <c r="A954" s="471">
        <v>1950</v>
      </c>
      <c r="B954" s="496" t="s">
        <v>313</v>
      </c>
      <c r="C954" s="472" t="s">
        <v>249</v>
      </c>
      <c r="D954" s="456">
        <f>IF(Table10[[#This Row],[Current Age]]&gt;19,"Men's",IF(E954&gt;15,"U19",IF(E954&gt;13,"U15",IF(E954&gt;11,"U13",IF(E954&gt;0,"U11",0)))))</f>
        <v>0</v>
      </c>
      <c r="E954" s="456">
        <f>IFERROR(IF(Table10[[#This Row],[Year]]&gt;0,$E$1-Table10[[#This Row],[Year]],0),"")</f>
        <v>0</v>
      </c>
      <c r="F954" s="456"/>
      <c r="G954" s="456"/>
      <c r="H954" s="456"/>
    </row>
    <row r="955" spans="1:8">
      <c r="A955" s="456">
        <v>1951</v>
      </c>
      <c r="B955" s="497" t="s">
        <v>314</v>
      </c>
      <c r="C955" s="458" t="s">
        <v>249</v>
      </c>
      <c r="D955" s="456">
        <f>IF(Table10[[#This Row],[Current Age]]&gt;19,"Men's",IF(E955&gt;15,"U19",IF(E955&gt;13,"U15",IF(E955&gt;11,"U13",IF(E955&gt;0,"U11",0)))))</f>
        <v>0</v>
      </c>
      <c r="E955" s="456">
        <f>IFERROR(IF(Table10[[#This Row],[Year]]&gt;0,$E$1-Table10[[#This Row],[Year]],0),"")</f>
        <v>0</v>
      </c>
      <c r="F955" s="456"/>
      <c r="G955" s="456"/>
      <c r="H955" s="456"/>
    </row>
    <row r="956" spans="1:8">
      <c r="A956" s="471">
        <v>1952</v>
      </c>
      <c r="B956" s="496" t="s">
        <v>315</v>
      </c>
      <c r="C956" s="472" t="s">
        <v>249</v>
      </c>
      <c r="D956" s="456">
        <f>IF(Table10[[#This Row],[Current Age]]&gt;19,"Men's",IF(E956&gt;15,"U19",IF(E956&gt;13,"U15",IF(E956&gt;11,"U13",IF(E956&gt;0,"U11",0)))))</f>
        <v>0</v>
      </c>
      <c r="E956" s="456">
        <f>IFERROR(IF(Table10[[#This Row],[Year]]&gt;0,$E$1-Table10[[#This Row],[Year]],0),"")</f>
        <v>0</v>
      </c>
      <c r="F956" s="456"/>
      <c r="G956" s="456"/>
      <c r="H956" s="456"/>
    </row>
    <row r="957" spans="1:8">
      <c r="A957" s="456">
        <v>1953</v>
      </c>
      <c r="B957" s="497" t="s">
        <v>316</v>
      </c>
      <c r="C957" s="458" t="s">
        <v>249</v>
      </c>
      <c r="D957" s="456">
        <f>IF(Table10[[#This Row],[Current Age]]&gt;19,"Men's",IF(E957&gt;15,"U19",IF(E957&gt;13,"U15",IF(E957&gt;11,"U13",IF(E957&gt;0,"U11",0)))))</f>
        <v>0</v>
      </c>
      <c r="E957" s="456">
        <f>IFERROR(IF(Table10[[#This Row],[Year]]&gt;0,$E$1-Table10[[#This Row],[Year]],0),"")</f>
        <v>0</v>
      </c>
      <c r="F957" s="456"/>
      <c r="G957" s="456"/>
      <c r="H957" s="456"/>
    </row>
    <row r="958" spans="1:8">
      <c r="A958" s="471">
        <v>1954</v>
      </c>
      <c r="B958" s="496" t="s">
        <v>317</v>
      </c>
      <c r="C958" s="472" t="s">
        <v>249</v>
      </c>
      <c r="D958" s="456" t="str">
        <f>IF(Table10[[#This Row],[Current Age]]&gt;19,"Men's",IF(E958&gt;15,"U19",IF(E958&gt;13,"U15",IF(E958&gt;11,"U13",IF(E958&gt;0,"U11",0)))))</f>
        <v>Men's</v>
      </c>
      <c r="E958" s="456">
        <f>IFERROR(IF(Table10[[#This Row],[Year]]&gt;0,$E$1-Table10[[#This Row],[Year]],0),"")</f>
        <v>38</v>
      </c>
      <c r="F958" s="456">
        <v>1987</v>
      </c>
      <c r="G958" s="456">
        <v>6</v>
      </c>
      <c r="H958" s="456">
        <v>4</v>
      </c>
    </row>
    <row r="959" spans="1:8">
      <c r="A959" s="456">
        <v>1955</v>
      </c>
      <c r="B959" s="497" t="s">
        <v>318</v>
      </c>
      <c r="C959" s="458" t="s">
        <v>249</v>
      </c>
      <c r="D959" s="456">
        <f>IF(Table10[[#This Row],[Current Age]]&gt;19,"Men's",IF(E959&gt;15,"U19",IF(E959&gt;13,"U15",IF(E959&gt;11,"U13",IF(E959&gt;0,"U11",0)))))</f>
        <v>0</v>
      </c>
      <c r="E959" s="456">
        <f>IFERROR(IF(Table10[[#This Row],[Year]]&gt;0,$E$1-Table10[[#This Row],[Year]],0),"")</f>
        <v>0</v>
      </c>
      <c r="F959" s="456"/>
      <c r="G959" s="456"/>
      <c r="H959" s="456"/>
    </row>
    <row r="960" spans="1:8">
      <c r="A960" s="471">
        <v>1956</v>
      </c>
      <c r="B960" s="496" t="s">
        <v>319</v>
      </c>
      <c r="C960" s="472" t="s">
        <v>249</v>
      </c>
      <c r="D960" s="456" t="str">
        <f>IF(Table10[[#This Row],[Current Age]]&gt;19,"Men's",IF(E960&gt;15,"U19",IF(E960&gt;13,"U15",IF(E960&gt;11,"U13",IF(E960&gt;0,"U11",0)))))</f>
        <v>Men's</v>
      </c>
      <c r="E960" s="456">
        <f>IFERROR(IF(Table10[[#This Row],[Year]]&gt;0,$E$1-Table10[[#This Row],[Year]],0),"")</f>
        <v>25</v>
      </c>
      <c r="F960" s="456">
        <v>2000</v>
      </c>
      <c r="G960" s="456">
        <v>6</v>
      </c>
      <c r="H960" s="456">
        <v>12</v>
      </c>
    </row>
    <row r="961" spans="1:8">
      <c r="A961" s="456">
        <v>1957</v>
      </c>
      <c r="B961" s="497" t="s">
        <v>320</v>
      </c>
      <c r="C961" s="458" t="s">
        <v>249</v>
      </c>
      <c r="D961" s="456">
        <f>IF(Table10[[#This Row],[Current Age]]&gt;19,"Men's",IF(E961&gt;15,"U19",IF(E961&gt;13,"U15",IF(E961&gt;11,"U13",IF(E961&gt;0,"U11",0)))))</f>
        <v>0</v>
      </c>
      <c r="E961" s="456">
        <f>IFERROR(IF(Table10[[#This Row],[Year]]&gt;0,$E$1-Table10[[#This Row],[Year]],0),"")</f>
        <v>0</v>
      </c>
      <c r="F961" s="456"/>
      <c r="G961" s="456"/>
      <c r="H961" s="456"/>
    </row>
    <row r="962" spans="1:8">
      <c r="A962" s="471">
        <v>1958</v>
      </c>
      <c r="B962" s="496" t="s">
        <v>321</v>
      </c>
      <c r="C962" s="472" t="s">
        <v>249</v>
      </c>
      <c r="D962" s="456" t="str">
        <f>IF(Table10[[#This Row],[Current Age]]&gt;19,"Men's",IF(E962&gt;15,"U19",IF(E962&gt;13,"U15",IF(E962&gt;11,"U13",IF(E962&gt;0,"U11",0)))))</f>
        <v>Men's</v>
      </c>
      <c r="E962" s="456">
        <f>IFERROR(IF(Table10[[#This Row],[Year]]&gt;0,$E$1-Table10[[#This Row],[Year]],0),"")</f>
        <v>24</v>
      </c>
      <c r="F962" s="456">
        <v>2001</v>
      </c>
      <c r="G962" s="456">
        <v>6</v>
      </c>
      <c r="H962" s="456">
        <v>13</v>
      </c>
    </row>
    <row r="963" spans="1:8">
      <c r="A963" s="456">
        <v>1959</v>
      </c>
      <c r="B963" s="497" t="s">
        <v>322</v>
      </c>
      <c r="C963" s="458" t="s">
        <v>249</v>
      </c>
      <c r="D963" s="456">
        <f>IF(Table10[[#This Row],[Current Age]]&gt;19,"Men's",IF(E963&gt;15,"U19",IF(E963&gt;13,"U15",IF(E963&gt;11,"U13",IF(E963&gt;0,"U11",0)))))</f>
        <v>0</v>
      </c>
      <c r="E963" s="456">
        <f>IFERROR(IF(Table10[[#This Row],[Year]]&gt;0,$E$1-Table10[[#This Row],[Year]],0),"")</f>
        <v>0</v>
      </c>
      <c r="F963" s="456"/>
      <c r="G963" s="456"/>
      <c r="H963" s="456"/>
    </row>
    <row r="964" spans="1:8">
      <c r="A964" s="471">
        <v>1960</v>
      </c>
      <c r="B964" s="496" t="s">
        <v>323</v>
      </c>
      <c r="C964" s="472" t="s">
        <v>249</v>
      </c>
      <c r="D964" s="456">
        <f>IF(Table10[[#This Row],[Current Age]]&gt;19,"Men's",IF(E964&gt;15,"U19",IF(E964&gt;13,"U15",IF(E964&gt;11,"U13",IF(E964&gt;0,"U11",0)))))</f>
        <v>0</v>
      </c>
      <c r="E964" s="456">
        <f>IFERROR(IF(Table10[[#This Row],[Year]]&gt;0,$E$1-Table10[[#This Row],[Year]],0),"")</f>
        <v>0</v>
      </c>
      <c r="F964" s="456"/>
      <c r="G964" s="456"/>
      <c r="H964" s="456"/>
    </row>
    <row r="965" spans="1:8">
      <c r="A965" s="456">
        <v>1961</v>
      </c>
      <c r="B965" s="497" t="s">
        <v>324</v>
      </c>
      <c r="C965" s="458" t="s">
        <v>249</v>
      </c>
      <c r="D965" s="456">
        <f>IF(Table10[[#This Row],[Current Age]]&gt;19,"Men's",IF(E965&gt;15,"U19",IF(E965&gt;13,"U15",IF(E965&gt;11,"U13",IF(E965&gt;0,"U11",0)))))</f>
        <v>0</v>
      </c>
      <c r="E965" s="456">
        <f>IFERROR(IF(Table10[[#This Row],[Year]]&gt;0,$E$1-Table10[[#This Row],[Year]],0),"")</f>
        <v>0</v>
      </c>
      <c r="F965" s="456"/>
      <c r="G965" s="456"/>
      <c r="H965" s="456"/>
    </row>
    <row r="966" spans="1:8">
      <c r="A966" s="471">
        <v>1962</v>
      </c>
      <c r="B966" s="496" t="s">
        <v>325</v>
      </c>
      <c r="C966" s="472" t="s">
        <v>249</v>
      </c>
      <c r="D966" s="456">
        <f>IF(Table10[[#This Row],[Current Age]]&gt;19,"Men's",IF(E966&gt;15,"U19",IF(E966&gt;13,"U15",IF(E966&gt;11,"U13",IF(E966&gt;0,"U11",0)))))</f>
        <v>0</v>
      </c>
      <c r="E966" s="456">
        <f>IFERROR(IF(Table10[[#This Row],[Year]]&gt;0,$E$1-Table10[[#This Row],[Year]],0),"")</f>
        <v>0</v>
      </c>
      <c r="F966" s="456"/>
      <c r="G966" s="456"/>
      <c r="H966" s="456"/>
    </row>
    <row r="967" spans="1:8">
      <c r="A967" s="456">
        <v>1963</v>
      </c>
      <c r="B967" s="497" t="s">
        <v>326</v>
      </c>
      <c r="C967" s="458" t="s">
        <v>249</v>
      </c>
      <c r="D967" s="456">
        <f>IF(Table10[[#This Row],[Current Age]]&gt;19,"Men's",IF(E967&gt;15,"U19",IF(E967&gt;13,"U15",IF(E967&gt;11,"U13",IF(E967&gt;0,"U11",0)))))</f>
        <v>0</v>
      </c>
      <c r="E967" s="456">
        <f>IFERROR(IF(Table10[[#This Row],[Year]]&gt;0,$E$1-Table10[[#This Row],[Year]],0),"")</f>
        <v>0</v>
      </c>
      <c r="F967" s="456"/>
      <c r="G967" s="456"/>
      <c r="H967" s="456"/>
    </row>
    <row r="968" spans="1:8">
      <c r="A968" s="471">
        <v>1964</v>
      </c>
      <c r="B968" s="496" t="s">
        <v>327</v>
      </c>
      <c r="C968" s="472" t="s">
        <v>249</v>
      </c>
      <c r="D968" s="456">
        <f>IF(Table10[[#This Row],[Current Age]]&gt;19,"Men's",IF(E968&gt;15,"U19",IF(E968&gt;13,"U15",IF(E968&gt;11,"U13",IF(E968&gt;0,"U11",0)))))</f>
        <v>0</v>
      </c>
      <c r="E968" s="456">
        <f>IFERROR(IF(Table10[[#This Row],[Year]]&gt;0,$E$1-Table10[[#This Row],[Year]],0),"")</f>
        <v>0</v>
      </c>
      <c r="F968" s="456"/>
      <c r="G968" s="456"/>
      <c r="H968" s="456"/>
    </row>
    <row r="969" spans="1:8">
      <c r="A969" s="456">
        <v>1965</v>
      </c>
      <c r="B969" s="497" t="s">
        <v>328</v>
      </c>
      <c r="C969" s="458" t="s">
        <v>249</v>
      </c>
      <c r="D969" s="456">
        <f>IF(Table10[[#This Row],[Current Age]]&gt;19,"Men's",IF(E969&gt;15,"U19",IF(E969&gt;13,"U15",IF(E969&gt;11,"U13",IF(E969&gt;0,"U11",0)))))</f>
        <v>0</v>
      </c>
      <c r="E969" s="456">
        <f>IFERROR(IF(Table10[[#This Row],[Year]]&gt;0,$E$1-Table10[[#This Row],[Year]],0),"")</f>
        <v>0</v>
      </c>
      <c r="F969" s="456"/>
      <c r="G969" s="456"/>
      <c r="H969" s="456"/>
    </row>
    <row r="970" spans="1:8">
      <c r="A970" s="471">
        <v>1966</v>
      </c>
      <c r="B970" s="496" t="s">
        <v>329</v>
      </c>
      <c r="C970" s="472" t="s">
        <v>249</v>
      </c>
      <c r="D970" s="456">
        <f>IF(Table10[[#This Row],[Current Age]]&gt;19,"Men's",IF(E970&gt;15,"U19",IF(E970&gt;13,"U15",IF(E970&gt;11,"U13",IF(E970&gt;0,"U11",0)))))</f>
        <v>0</v>
      </c>
      <c r="E970" s="456">
        <f>IFERROR(IF(Table10[[#This Row],[Year]]&gt;0,$E$1-Table10[[#This Row],[Year]],0),"")</f>
        <v>0</v>
      </c>
      <c r="F970" s="456"/>
      <c r="G970" s="456"/>
      <c r="H970" s="456"/>
    </row>
    <row r="971" spans="1:8">
      <c r="A971" s="456">
        <v>1967</v>
      </c>
      <c r="B971" s="497" t="s">
        <v>330</v>
      </c>
      <c r="C971" s="458" t="s">
        <v>249</v>
      </c>
      <c r="D971" s="456">
        <f>IF(Table10[[#This Row],[Current Age]]&gt;19,"Men's",IF(E971&gt;15,"U19",IF(E971&gt;13,"U15",IF(E971&gt;11,"U13",IF(E971&gt;0,"U11",0)))))</f>
        <v>0</v>
      </c>
      <c r="E971" s="456">
        <f>IFERROR(IF(Table10[[#This Row],[Year]]&gt;0,$E$1-Table10[[#This Row],[Year]],0),"")</f>
        <v>0</v>
      </c>
      <c r="F971" s="456"/>
      <c r="G971" s="456"/>
      <c r="H971" s="456"/>
    </row>
    <row r="972" spans="1:8">
      <c r="A972" s="471">
        <v>1968</v>
      </c>
      <c r="B972" s="496" t="s">
        <v>331</v>
      </c>
      <c r="C972" s="472" t="s">
        <v>249</v>
      </c>
      <c r="D972" s="456" t="str">
        <f>IF(Table10[[#This Row],[Current Age]]&gt;19,"Men's",IF(E972&gt;15,"U19",IF(E972&gt;13,"U15",IF(E972&gt;11,"U13",IF(E972&gt;0,"U11",0)))))</f>
        <v>Men's</v>
      </c>
      <c r="E972" s="456">
        <f>IFERROR(IF(Table10[[#This Row],[Year]]&gt;0,$E$1-Table10[[#This Row],[Year]],0),"")</f>
        <v>22</v>
      </c>
      <c r="F972" s="456">
        <v>2003</v>
      </c>
      <c r="G972" s="456">
        <v>4</v>
      </c>
      <c r="H972" s="456">
        <v>27</v>
      </c>
    </row>
    <row r="973" spans="1:8">
      <c r="A973" s="456">
        <v>1969</v>
      </c>
      <c r="B973" s="497" t="s">
        <v>332</v>
      </c>
      <c r="C973" s="458" t="s">
        <v>249</v>
      </c>
      <c r="D973" s="456" t="str">
        <f>IF(Table10[[#This Row],[Current Age]]&gt;19,"Men's",IF(E973&gt;15,"U19",IF(E973&gt;13,"U15",IF(E973&gt;11,"U13",IF(E973&gt;0,"U11",0)))))</f>
        <v>Men's</v>
      </c>
      <c r="E973" s="456">
        <f>IFERROR(IF(Table10[[#This Row],[Year]]&gt;0,$E$1-Table10[[#This Row],[Year]],0),"")</f>
        <v>20</v>
      </c>
      <c r="F973" s="456">
        <v>2005</v>
      </c>
      <c r="G973" s="456">
        <v>12</v>
      </c>
      <c r="H973" s="456">
        <v>12</v>
      </c>
    </row>
    <row r="974" spans="1:8">
      <c r="A974" s="471">
        <v>1970</v>
      </c>
      <c r="B974" s="496" t="s">
        <v>333</v>
      </c>
      <c r="C974" s="472" t="s">
        <v>249</v>
      </c>
      <c r="D974" s="456" t="str">
        <f>IF(Table10[[#This Row],[Current Age]]&gt;19,"Men's",IF(E974&gt;15,"U19",IF(E974&gt;13,"U15",IF(E974&gt;11,"U13",IF(E974&gt;0,"U11",0)))))</f>
        <v>Men's</v>
      </c>
      <c r="E974" s="456">
        <f>IFERROR(IF(Table10[[#This Row],[Year]]&gt;0,$E$1-Table10[[#This Row],[Year]],0),"")</f>
        <v>21</v>
      </c>
      <c r="F974" s="456">
        <v>2004</v>
      </c>
      <c r="G974" s="456">
        <v>5</v>
      </c>
      <c r="H974" s="456">
        <v>25</v>
      </c>
    </row>
    <row r="975" spans="1:8">
      <c r="A975" s="456">
        <v>1971</v>
      </c>
      <c r="B975" s="497" t="s">
        <v>334</v>
      </c>
      <c r="C975" s="458" t="s">
        <v>249</v>
      </c>
      <c r="D975" s="456" t="str">
        <f>IF(Table10[[#This Row],[Current Age]]&gt;19,"Men's",IF(E975&gt;15,"U19",IF(E975&gt;13,"U15",IF(E975&gt;11,"U13",IF(E975&gt;0,"U11",0)))))</f>
        <v>Men's</v>
      </c>
      <c r="E975" s="456">
        <f>IFERROR(IF(Table10[[#This Row],[Year]]&gt;0,$E$1-Table10[[#This Row],[Year]],0),"")</f>
        <v>21</v>
      </c>
      <c r="F975" s="456">
        <v>2004</v>
      </c>
      <c r="G975" s="456">
        <v>5</v>
      </c>
      <c r="H975" s="456">
        <v>26</v>
      </c>
    </row>
    <row r="976" spans="1:8">
      <c r="A976" s="471">
        <v>1972</v>
      </c>
      <c r="B976" s="496" t="s">
        <v>335</v>
      </c>
      <c r="C976" s="472" t="s">
        <v>249</v>
      </c>
      <c r="D976" s="456" t="str">
        <f>IF(Table10[[#This Row],[Current Age]]&gt;19,"Men's",IF(E976&gt;15,"U19",IF(E976&gt;13,"U15",IF(E976&gt;11,"U13",IF(E976&gt;0,"U11",0)))))</f>
        <v>Men's</v>
      </c>
      <c r="E976" s="456">
        <f>IFERROR(IF(Table10[[#This Row],[Year]]&gt;0,$E$1-Table10[[#This Row],[Year]],0),"")</f>
        <v>21</v>
      </c>
      <c r="F976" s="456">
        <v>2004</v>
      </c>
      <c r="G976" s="456">
        <v>2</v>
      </c>
      <c r="H976" s="456">
        <v>18</v>
      </c>
    </row>
    <row r="977" spans="1:8">
      <c r="A977" s="456">
        <v>1973</v>
      </c>
      <c r="B977" s="497" t="s">
        <v>336</v>
      </c>
      <c r="C977" s="458" t="s">
        <v>249</v>
      </c>
      <c r="D977" s="456" t="str">
        <f>IF(Table10[[#This Row],[Current Age]]&gt;19,"Men's",IF(E977&gt;15,"U19",IF(E977&gt;13,"U15",IF(E977&gt;11,"U13",IF(E977&gt;0,"U11",0)))))</f>
        <v>Men's</v>
      </c>
      <c r="E977" s="456">
        <f>IFERROR(IF(Table10[[#This Row],[Year]]&gt;0,$E$1-Table10[[#This Row],[Year]],0),"")</f>
        <v>34</v>
      </c>
      <c r="F977" s="456">
        <v>1991</v>
      </c>
      <c r="G977" s="456">
        <v>4</v>
      </c>
      <c r="H977" s="456">
        <v>26</v>
      </c>
    </row>
    <row r="978" spans="1:8">
      <c r="A978" s="471">
        <v>1974</v>
      </c>
      <c r="B978" s="496" t="s">
        <v>337</v>
      </c>
      <c r="C978" s="472" t="s">
        <v>249</v>
      </c>
      <c r="D978" s="456" t="str">
        <f>IF(Table10[[#This Row],[Current Age]]&gt;19,"Men's",IF(E978&gt;15,"U19",IF(E978&gt;13,"U15",IF(E978&gt;11,"U13",IF(E978&gt;0,"U11",0)))))</f>
        <v>Men's</v>
      </c>
      <c r="E978" s="456">
        <f>IFERROR(IF(Table10[[#This Row],[Year]]&gt;0,$E$1-Table10[[#This Row],[Year]],0),"")</f>
        <v>62</v>
      </c>
      <c r="F978" s="456">
        <v>1963</v>
      </c>
      <c r="G978" s="456">
        <v>5</v>
      </c>
      <c r="H978" s="456">
        <v>29</v>
      </c>
    </row>
    <row r="979" spans="1:8">
      <c r="A979" s="456">
        <v>1975</v>
      </c>
      <c r="B979" s="497" t="s">
        <v>338</v>
      </c>
      <c r="C979" s="458" t="s">
        <v>249</v>
      </c>
      <c r="D979" s="456">
        <f>IF(Table10[[#This Row],[Current Age]]&gt;19,"Men's",IF(E979&gt;15,"U19",IF(E979&gt;13,"U15",IF(E979&gt;11,"U13",IF(E979&gt;0,"U11",0)))))</f>
        <v>0</v>
      </c>
      <c r="E979" s="456">
        <f>IFERROR(IF(Table10[[#This Row],[Year]]&gt;0,$E$1-Table10[[#This Row],[Year]],0),"")</f>
        <v>0</v>
      </c>
      <c r="F979" s="456"/>
      <c r="G979" s="456"/>
      <c r="H979" s="456"/>
    </row>
    <row r="980" spans="1:8">
      <c r="A980" s="471">
        <v>1976</v>
      </c>
      <c r="B980" s="496" t="s">
        <v>339</v>
      </c>
      <c r="C980" s="472" t="s">
        <v>249</v>
      </c>
      <c r="D980" s="456">
        <f>IF(Table10[[#This Row],[Current Age]]&gt;19,"Men's",IF(E980&gt;15,"U19",IF(E980&gt;13,"U15",IF(E980&gt;11,"U13",IF(E980&gt;0,"U11",0)))))</f>
        <v>0</v>
      </c>
      <c r="E980" s="456">
        <f>IFERROR(IF(Table10[[#This Row],[Year]]&gt;0,$E$1-Table10[[#This Row],[Year]],0),"")</f>
        <v>0</v>
      </c>
      <c r="F980" s="456"/>
      <c r="G980" s="456"/>
      <c r="H980" s="456"/>
    </row>
    <row r="981" spans="1:8">
      <c r="A981" s="456">
        <v>1977</v>
      </c>
      <c r="B981" s="497" t="s">
        <v>340</v>
      </c>
      <c r="C981" s="458" t="s">
        <v>249</v>
      </c>
      <c r="D981" s="456">
        <f>IF(Table10[[#This Row],[Current Age]]&gt;19,"Men's",IF(E981&gt;15,"U19",IF(E981&gt;13,"U15",IF(E981&gt;11,"U13",IF(E981&gt;0,"U11",0)))))</f>
        <v>0</v>
      </c>
      <c r="E981" s="456">
        <f>IFERROR(IF(Table10[[#This Row],[Year]]&gt;0,$E$1-Table10[[#This Row],[Year]],0),"")</f>
        <v>0</v>
      </c>
      <c r="F981" s="456"/>
      <c r="G981" s="456"/>
      <c r="H981" s="456"/>
    </row>
    <row r="982" spans="1:8">
      <c r="A982" s="471">
        <v>1978</v>
      </c>
      <c r="B982" s="496" t="s">
        <v>341</v>
      </c>
      <c r="C982" s="472" t="s">
        <v>249</v>
      </c>
      <c r="D982" s="456">
        <f>IF(Table10[[#This Row],[Current Age]]&gt;19,"Men's",IF(E982&gt;15,"U19",IF(E982&gt;13,"U15",IF(E982&gt;11,"U13",IF(E982&gt;0,"U11",0)))))</f>
        <v>0</v>
      </c>
      <c r="E982" s="456">
        <f>IFERROR(IF(Table10[[#This Row],[Year]]&gt;0,$E$1-Table10[[#This Row],[Year]],0),"")</f>
        <v>0</v>
      </c>
      <c r="F982" s="456"/>
      <c r="G982" s="456"/>
      <c r="H982" s="456"/>
    </row>
    <row r="983" spans="1:8">
      <c r="A983" s="456">
        <v>1979</v>
      </c>
      <c r="B983" s="497" t="s">
        <v>342</v>
      </c>
      <c r="C983" s="458" t="s">
        <v>249</v>
      </c>
      <c r="D983" s="456">
        <f>IF(Table10[[#This Row],[Current Age]]&gt;19,"Men's",IF(E983&gt;15,"U19",IF(E983&gt;13,"U15",IF(E983&gt;11,"U13",IF(E983&gt;0,"U11",0)))))</f>
        <v>0</v>
      </c>
      <c r="E983" s="456">
        <f>IFERROR(IF(Table10[[#This Row],[Year]]&gt;0,$E$1-Table10[[#This Row],[Year]],0),"")</f>
        <v>0</v>
      </c>
      <c r="F983" s="456"/>
      <c r="G983" s="456"/>
      <c r="H983" s="456"/>
    </row>
    <row r="984" spans="1:8">
      <c r="A984" s="471">
        <v>1980</v>
      </c>
      <c r="B984" s="539" t="s">
        <v>1939</v>
      </c>
      <c r="C984" s="472" t="s">
        <v>1908</v>
      </c>
      <c r="D984" s="456" t="str">
        <f>IF(Table10[[#This Row],[Current Age]]&gt;19,"Men's",IF(E984&gt;15,"U19",IF(E984&gt;13,"U15",IF(E984&gt;11,"U13",IF(E984&gt;0,"U11",0)))))</f>
        <v>Men's</v>
      </c>
      <c r="E984" s="456">
        <f>IFERROR(IF(Table10[[#This Row],[Year]]&gt;0,$E$1-Table10[[#This Row],[Year]],0),"")</f>
        <v>20</v>
      </c>
      <c r="F984" s="456">
        <v>2005</v>
      </c>
      <c r="G984" s="456">
        <v>9</v>
      </c>
      <c r="H984" s="456">
        <v>13</v>
      </c>
    </row>
    <row r="985" spans="1:8">
      <c r="A985" s="456">
        <v>1981</v>
      </c>
      <c r="B985" s="531" t="s">
        <v>515</v>
      </c>
      <c r="C985" s="458" t="s">
        <v>4552</v>
      </c>
      <c r="D985" s="456" t="str">
        <f>IF(Table10[[#This Row],[Current Age]]&gt;19,"Men's",IF(E985&gt;15,"U19",IF(E985&gt;13,"U15",IF(E985&gt;11,"U13",IF(E985&gt;0,"U11",0)))))</f>
        <v>Men's</v>
      </c>
      <c r="E985" s="456">
        <f>IFERROR(IF(Table10[[#This Row],[Year]]&gt;0,$E$1-Table10[[#This Row],[Year]],0),"")</f>
        <v>20</v>
      </c>
      <c r="F985" s="456">
        <v>2005</v>
      </c>
      <c r="G985" s="456">
        <v>5</v>
      </c>
      <c r="H985" s="456">
        <v>18</v>
      </c>
    </row>
    <row r="986" spans="1:8">
      <c r="A986" s="471">
        <v>1982</v>
      </c>
      <c r="B986" s="539" t="s">
        <v>516</v>
      </c>
      <c r="C986" s="472" t="s">
        <v>4552</v>
      </c>
      <c r="D986" s="456" t="str">
        <f>IF(Table10[[#This Row],[Current Age]]&gt;19,"Men's",IF(E986&gt;15,"U19",IF(E986&gt;13,"U15",IF(E986&gt;11,"U13",IF(E986&gt;0,"U11",0)))))</f>
        <v>Men's</v>
      </c>
      <c r="E986" s="456">
        <f>IFERROR(IF(Table10[[#This Row],[Year]]&gt;0,$E$1-Table10[[#This Row],[Year]],0),"")</f>
        <v>20</v>
      </c>
      <c r="F986" s="456">
        <v>2005</v>
      </c>
      <c r="G986" s="456">
        <v>11</v>
      </c>
      <c r="H986" s="456">
        <v>19</v>
      </c>
    </row>
    <row r="987" spans="1:8">
      <c r="A987" s="456">
        <v>1983</v>
      </c>
      <c r="B987" s="531" t="s">
        <v>1940</v>
      </c>
      <c r="C987" s="458" t="s">
        <v>1908</v>
      </c>
      <c r="D987" s="456">
        <f>IF(Table10[[#This Row],[Current Age]]&gt;19,"Men's",IF(E987&gt;15,"U19",IF(E987&gt;13,"U15",IF(E987&gt;11,"U13",IF(E987&gt;0,"U11",0)))))</f>
        <v>0</v>
      </c>
      <c r="E987" s="456">
        <f>IFERROR(IF(Table10[[#This Row],[Year]]&gt;0,$E$1-Table10[[#This Row],[Year]],0),"")</f>
        <v>0</v>
      </c>
      <c r="F987" s="456"/>
      <c r="G987" s="456"/>
      <c r="H987" s="456"/>
    </row>
    <row r="988" spans="1:8">
      <c r="A988" s="471">
        <v>1984</v>
      </c>
      <c r="B988" s="496" t="s">
        <v>1941</v>
      </c>
      <c r="C988" s="472" t="s">
        <v>1908</v>
      </c>
      <c r="D988" s="456">
        <f>IF(Table10[[#This Row],[Current Age]]&gt;19,"Men's",IF(E988&gt;15,"U19",IF(E988&gt;13,"U15",IF(E988&gt;11,"U13",IF(E988&gt;0,"U11",0)))))</f>
        <v>0</v>
      </c>
      <c r="E988" s="456">
        <f>IFERROR(IF(Table10[[#This Row],[Year]]&gt;0,$E$1-Table10[[#This Row],[Year]],0),"")</f>
        <v>0</v>
      </c>
      <c r="F988" s="456"/>
      <c r="G988" s="456"/>
      <c r="H988" s="456"/>
    </row>
    <row r="989" spans="1:8">
      <c r="A989" s="456">
        <v>1985</v>
      </c>
      <c r="B989" s="497" t="s">
        <v>1942</v>
      </c>
      <c r="C989" s="458" t="s">
        <v>1908</v>
      </c>
      <c r="D989" s="456">
        <f>IF(Table10[[#This Row],[Current Age]]&gt;19,"Men's",IF(E989&gt;15,"U19",IF(E989&gt;13,"U15",IF(E989&gt;11,"U13",IF(E989&gt;0,"U11",0)))))</f>
        <v>0</v>
      </c>
      <c r="E989" s="456">
        <f>IFERROR(IF(Table10[[#This Row],[Year]]&gt;0,$E$1-Table10[[#This Row],[Year]],0),"")</f>
        <v>0</v>
      </c>
      <c r="F989" s="456"/>
      <c r="G989" s="456"/>
      <c r="H989" s="456"/>
    </row>
    <row r="990" spans="1:8">
      <c r="A990" s="471">
        <v>1986</v>
      </c>
      <c r="B990" s="496" t="s">
        <v>517</v>
      </c>
      <c r="C990" s="472" t="s">
        <v>246</v>
      </c>
      <c r="D990" s="456">
        <f>IF(Table10[[#This Row],[Current Age]]&gt;19,"Men's",IF(E990&gt;15,"U19",IF(E990&gt;13,"U15",IF(E990&gt;11,"U13",IF(E990&gt;0,"U11",0)))))</f>
        <v>0</v>
      </c>
      <c r="E990" s="456">
        <f>IFERROR(IF(Table10[[#This Row],[Year]]&gt;0,$E$1-Table10[[#This Row],[Year]],0),"")</f>
        <v>0</v>
      </c>
      <c r="F990" s="456"/>
      <c r="G990" s="456"/>
      <c r="H990" s="456"/>
    </row>
    <row r="991" spans="1:8">
      <c r="A991" s="456">
        <v>1987</v>
      </c>
      <c r="B991" s="497" t="s">
        <v>1943</v>
      </c>
      <c r="C991" s="458" t="s">
        <v>1908</v>
      </c>
      <c r="D991" s="456">
        <f>IF(Table10[[#This Row],[Current Age]]&gt;19,"Men's",IF(E991&gt;15,"U19",IF(E991&gt;13,"U15",IF(E991&gt;11,"U13",IF(E991&gt;0,"U11",0)))))</f>
        <v>0</v>
      </c>
      <c r="E991" s="456">
        <f>IFERROR(IF(Table10[[#This Row],[Year]]&gt;0,$E$1-Table10[[#This Row],[Year]],0),"")</f>
        <v>0</v>
      </c>
      <c r="F991" s="456"/>
      <c r="G991" s="456"/>
      <c r="H991" s="456"/>
    </row>
    <row r="992" spans="1:8">
      <c r="A992" s="471">
        <v>1988</v>
      </c>
      <c r="B992" s="496" t="s">
        <v>519</v>
      </c>
      <c r="C992" s="472" t="s">
        <v>246</v>
      </c>
      <c r="D992" s="456">
        <f>IF(Table10[[#This Row],[Current Age]]&gt;19,"Men's",IF(E992&gt;15,"U19",IF(E992&gt;13,"U15",IF(E992&gt;11,"U13",IF(E992&gt;0,"U11",0)))))</f>
        <v>0</v>
      </c>
      <c r="E992" s="456">
        <f>IFERROR(IF(Table10[[#This Row],[Year]]&gt;0,$E$1-Table10[[#This Row],[Year]],0),"")</f>
        <v>0</v>
      </c>
      <c r="F992" s="456"/>
      <c r="G992" s="456"/>
      <c r="H992" s="456"/>
    </row>
    <row r="993" spans="1:8">
      <c r="A993" s="456">
        <v>1989</v>
      </c>
      <c r="B993" s="497" t="s">
        <v>520</v>
      </c>
      <c r="C993" s="458" t="s">
        <v>246</v>
      </c>
      <c r="D993" s="456">
        <f>IF(Table10[[#This Row],[Current Age]]&gt;19,"Men's",IF(E993&gt;15,"U19",IF(E993&gt;13,"U15",IF(E993&gt;11,"U13",IF(E993&gt;0,"U11",0)))))</f>
        <v>0</v>
      </c>
      <c r="E993" s="456">
        <f>IFERROR(IF(Table10[[#This Row],[Year]]&gt;0,$E$1-Table10[[#This Row],[Year]],0),"")</f>
        <v>0</v>
      </c>
      <c r="F993" s="456"/>
      <c r="G993" s="456"/>
      <c r="H993" s="456"/>
    </row>
    <row r="994" spans="1:8">
      <c r="A994" s="471">
        <v>1990</v>
      </c>
      <c r="B994" s="496" t="s">
        <v>521</v>
      </c>
      <c r="C994" s="472" t="s">
        <v>246</v>
      </c>
      <c r="D994" s="456">
        <f>IF(Table10[[#This Row],[Current Age]]&gt;19,"Men's",IF(E994&gt;15,"U19",IF(E994&gt;13,"U15",IF(E994&gt;11,"U13",IF(E994&gt;0,"U11",0)))))</f>
        <v>0</v>
      </c>
      <c r="E994" s="456">
        <f>IFERROR(IF(Table10[[#This Row],[Year]]&gt;0,$E$1-Table10[[#This Row],[Year]],0),"")</f>
        <v>0</v>
      </c>
      <c r="F994" s="456"/>
      <c r="G994" s="456"/>
      <c r="H994" s="456"/>
    </row>
    <row r="995" spans="1:8">
      <c r="A995" s="456">
        <v>1991</v>
      </c>
      <c r="B995" s="497" t="s">
        <v>522</v>
      </c>
      <c r="C995" s="458" t="s">
        <v>246</v>
      </c>
      <c r="D995" s="456">
        <f>IF(Table10[[#This Row],[Current Age]]&gt;19,"Men's",IF(E995&gt;15,"U19",IF(E995&gt;13,"U15",IF(E995&gt;11,"U13",IF(E995&gt;0,"U11",0)))))</f>
        <v>0</v>
      </c>
      <c r="E995" s="456">
        <f>IFERROR(IF(Table10[[#This Row],[Year]]&gt;0,$E$1-Table10[[#This Row],[Year]],0),"")</f>
        <v>0</v>
      </c>
      <c r="F995" s="456"/>
      <c r="G995" s="456"/>
      <c r="H995" s="456"/>
    </row>
    <row r="996" spans="1:8">
      <c r="A996" s="471">
        <v>1992</v>
      </c>
      <c r="B996" s="496" t="s">
        <v>523</v>
      </c>
      <c r="C996" s="472" t="s">
        <v>246</v>
      </c>
      <c r="D996" s="456">
        <f>IF(Table10[[#This Row],[Current Age]]&gt;19,"Men's",IF(E996&gt;15,"U19",IF(E996&gt;13,"U15",IF(E996&gt;11,"U13",IF(E996&gt;0,"U11",0)))))</f>
        <v>0</v>
      </c>
      <c r="E996" s="456">
        <f>IFERROR(IF(Table10[[#This Row],[Year]]&gt;0,$E$1-Table10[[#This Row],[Year]],0),"")</f>
        <v>0</v>
      </c>
      <c r="F996" s="456"/>
      <c r="G996" s="456"/>
      <c r="H996" s="456"/>
    </row>
    <row r="997" spans="1:8">
      <c r="A997" s="456">
        <v>1993</v>
      </c>
      <c r="B997" s="497" t="s">
        <v>524</v>
      </c>
      <c r="C997" s="458" t="s">
        <v>246</v>
      </c>
      <c r="D997" s="456">
        <f>IF(Table10[[#This Row],[Current Age]]&gt;19,"Men's",IF(E997&gt;15,"U19",IF(E997&gt;13,"U15",IF(E997&gt;11,"U13",IF(E997&gt;0,"U11",0)))))</f>
        <v>0</v>
      </c>
      <c r="E997" s="456">
        <f>IFERROR(IF(Table10[[#This Row],[Year]]&gt;0,$E$1-Table10[[#This Row],[Year]],0),"")</f>
        <v>0</v>
      </c>
      <c r="F997" s="456"/>
      <c r="G997" s="456"/>
      <c r="H997" s="456"/>
    </row>
    <row r="998" spans="1:8">
      <c r="A998" s="471">
        <v>1994</v>
      </c>
      <c r="B998" s="496" t="s">
        <v>525</v>
      </c>
      <c r="C998" s="472" t="s">
        <v>246</v>
      </c>
      <c r="D998" s="456">
        <f>IF(Table10[[#This Row],[Current Age]]&gt;19,"Men's",IF(E998&gt;15,"U19",IF(E998&gt;13,"U15",IF(E998&gt;11,"U13",IF(E998&gt;0,"U11",0)))))</f>
        <v>0</v>
      </c>
      <c r="E998" s="456">
        <f>IFERROR(IF(Table10[[#This Row],[Year]]&gt;0,$E$1-Table10[[#This Row],[Year]],0),"")</f>
        <v>0</v>
      </c>
      <c r="F998" s="456"/>
      <c r="G998" s="456"/>
      <c r="H998" s="456"/>
    </row>
    <row r="999" spans="1:8">
      <c r="A999" s="456">
        <v>1995</v>
      </c>
      <c r="B999" s="497" t="s">
        <v>526</v>
      </c>
      <c r="C999" s="458" t="s">
        <v>246</v>
      </c>
      <c r="D999" s="456">
        <f>IF(Table10[[#This Row],[Current Age]]&gt;19,"Men's",IF(E999&gt;15,"U19",IF(E999&gt;13,"U15",IF(E999&gt;11,"U13",IF(E999&gt;0,"U11",0)))))</f>
        <v>0</v>
      </c>
      <c r="E999" s="456">
        <f>IFERROR(IF(Table10[[#This Row],[Year]]&gt;0,$E$1-Table10[[#This Row],[Year]],0),"")</f>
        <v>0</v>
      </c>
      <c r="F999" s="456"/>
      <c r="G999" s="456"/>
      <c r="H999" s="456"/>
    </row>
    <row r="1000" spans="1:8">
      <c r="A1000" s="471">
        <v>1996</v>
      </c>
      <c r="B1000" s="496" t="s">
        <v>527</v>
      </c>
      <c r="C1000" s="472" t="s">
        <v>246</v>
      </c>
      <c r="D1000" s="456">
        <f>IF(Table10[[#This Row],[Current Age]]&gt;19,"Men's",IF(E1000&gt;15,"U19",IF(E1000&gt;13,"U15",IF(E1000&gt;11,"U13",IF(E1000&gt;0,"U11",0)))))</f>
        <v>0</v>
      </c>
      <c r="E1000" s="456">
        <f>IFERROR(IF(Table10[[#This Row],[Year]]&gt;0,$E$1-Table10[[#This Row],[Year]],0),"")</f>
        <v>0</v>
      </c>
      <c r="F1000" s="456"/>
      <c r="G1000" s="456"/>
      <c r="H1000" s="456"/>
    </row>
    <row r="1001" spans="1:8">
      <c r="A1001" s="456">
        <v>1997</v>
      </c>
      <c r="B1001" s="497" t="s">
        <v>528</v>
      </c>
      <c r="C1001" s="458" t="s">
        <v>246</v>
      </c>
      <c r="D1001" s="456">
        <f>IF(Table10[[#This Row],[Current Age]]&gt;19,"Men's",IF(E1001&gt;15,"U19",IF(E1001&gt;13,"U15",IF(E1001&gt;11,"U13",IF(E1001&gt;0,"U11",0)))))</f>
        <v>0</v>
      </c>
      <c r="E1001" s="456">
        <f>IFERROR(IF(Table10[[#This Row],[Year]]&gt;0,$E$1-Table10[[#This Row],[Year]],0),"")</f>
        <v>0</v>
      </c>
      <c r="F1001" s="456"/>
      <c r="G1001" s="456"/>
      <c r="H1001" s="456"/>
    </row>
    <row r="1002" spans="1:8">
      <c r="A1002" s="471">
        <v>1998</v>
      </c>
      <c r="B1002" s="496" t="s">
        <v>529</v>
      </c>
      <c r="C1002" s="472" t="s">
        <v>246</v>
      </c>
      <c r="D1002" s="456">
        <f>IF(Table10[[#This Row],[Current Age]]&gt;19,"Men's",IF(E1002&gt;15,"U19",IF(E1002&gt;13,"U15",IF(E1002&gt;11,"U13",IF(E1002&gt;0,"U11",0)))))</f>
        <v>0</v>
      </c>
      <c r="E1002" s="456">
        <f>IFERROR(IF(Table10[[#This Row],[Year]]&gt;0,$E$1-Table10[[#This Row],[Year]],0),"")</f>
        <v>0</v>
      </c>
      <c r="F1002" s="456"/>
      <c r="G1002" s="456"/>
      <c r="H1002" s="456"/>
    </row>
    <row r="1003" spans="1:8">
      <c r="A1003" s="456">
        <v>1999</v>
      </c>
      <c r="B1003" s="497" t="s">
        <v>530</v>
      </c>
      <c r="C1003" s="458" t="s">
        <v>246</v>
      </c>
      <c r="D1003" s="456">
        <f>IF(Table10[[#This Row],[Current Age]]&gt;19,"Men's",IF(E1003&gt;15,"U19",IF(E1003&gt;13,"U15",IF(E1003&gt;11,"U13",IF(E1003&gt;0,"U11",0)))))</f>
        <v>0</v>
      </c>
      <c r="E1003" s="456">
        <f>IFERROR(IF(Table10[[#This Row],[Year]]&gt;0,$E$1-Table10[[#This Row],[Year]],0),"")</f>
        <v>0</v>
      </c>
      <c r="F1003" s="456"/>
      <c r="G1003" s="456"/>
      <c r="H1003" s="456"/>
    </row>
    <row r="1004" spans="1:8">
      <c r="A1004" s="471">
        <v>2000</v>
      </c>
      <c r="B1004" s="496" t="s">
        <v>531</v>
      </c>
      <c r="C1004" s="472" t="s">
        <v>246</v>
      </c>
      <c r="D1004" s="456">
        <f>IF(Table10[[#This Row],[Current Age]]&gt;19,"Men's",IF(E1004&gt;15,"U19",IF(E1004&gt;13,"U15",IF(E1004&gt;11,"U13",IF(E1004&gt;0,"U11",0)))))</f>
        <v>0</v>
      </c>
      <c r="E1004" s="456">
        <f>IFERROR(IF(Table10[[#This Row],[Year]]&gt;0,$E$1-Table10[[#This Row],[Year]],0),"")</f>
        <v>0</v>
      </c>
      <c r="F1004" s="456"/>
      <c r="G1004" s="456"/>
      <c r="H1004" s="456"/>
    </row>
    <row r="1005" spans="1:8">
      <c r="A1005" s="456">
        <v>2001</v>
      </c>
      <c r="B1005" s="497" t="s">
        <v>532</v>
      </c>
      <c r="C1005" s="458" t="s">
        <v>246</v>
      </c>
      <c r="D1005" s="456">
        <f>IF(Table10[[#This Row],[Current Age]]&gt;19,"Men's",IF(E1005&gt;15,"U19",IF(E1005&gt;13,"U15",IF(E1005&gt;11,"U13",IF(E1005&gt;0,"U11",0)))))</f>
        <v>0</v>
      </c>
      <c r="E1005" s="456">
        <f>IFERROR(IF(Table10[[#This Row],[Year]]&gt;0,$E$1-Table10[[#This Row],[Year]],0),"")</f>
        <v>0</v>
      </c>
      <c r="F1005" s="456"/>
      <c r="G1005" s="456"/>
      <c r="H1005" s="456"/>
    </row>
    <row r="1006" spans="1:8">
      <c r="A1006" s="471">
        <v>2002</v>
      </c>
      <c r="B1006" s="496" t="s">
        <v>533</v>
      </c>
      <c r="C1006" s="472" t="s">
        <v>246</v>
      </c>
      <c r="D1006" s="456">
        <f>IF(Table10[[#This Row],[Current Age]]&gt;19,"Men's",IF(E1006&gt;15,"U19",IF(E1006&gt;13,"U15",IF(E1006&gt;11,"U13",IF(E1006&gt;0,"U11",0)))))</f>
        <v>0</v>
      </c>
      <c r="E1006" s="456">
        <f>IFERROR(IF(Table10[[#This Row],[Year]]&gt;0,$E$1-Table10[[#This Row],[Year]],0),"")</f>
        <v>0</v>
      </c>
      <c r="F1006" s="456"/>
      <c r="G1006" s="456"/>
      <c r="H1006" s="456"/>
    </row>
    <row r="1007" spans="1:8">
      <c r="A1007" s="456">
        <v>2003</v>
      </c>
      <c r="B1007" s="497" t="s">
        <v>534</v>
      </c>
      <c r="C1007" s="458" t="s">
        <v>246</v>
      </c>
      <c r="D1007" s="456">
        <f>IF(Table10[[#This Row],[Current Age]]&gt;19,"Men's",IF(E1007&gt;15,"U19",IF(E1007&gt;13,"U15",IF(E1007&gt;11,"U13",IF(E1007&gt;0,"U11",0)))))</f>
        <v>0</v>
      </c>
      <c r="E1007" s="456">
        <f>IFERROR(IF(Table10[[#This Row],[Year]]&gt;0,$E$1-Table10[[#This Row],[Year]],0),"")</f>
        <v>0</v>
      </c>
      <c r="F1007" s="456"/>
      <c r="G1007" s="456"/>
      <c r="H1007" s="456"/>
    </row>
    <row r="1008" spans="1:8">
      <c r="A1008" s="471">
        <v>2004</v>
      </c>
      <c r="B1008" s="496" t="s">
        <v>535</v>
      </c>
      <c r="C1008" s="472" t="s">
        <v>246</v>
      </c>
      <c r="D1008" s="456">
        <f>IF(Table10[[#This Row],[Current Age]]&gt;19,"Men's",IF(E1008&gt;15,"U19",IF(E1008&gt;13,"U15",IF(E1008&gt;11,"U13",IF(E1008&gt;0,"U11",0)))))</f>
        <v>0</v>
      </c>
      <c r="E1008" s="456">
        <f>IFERROR(IF(Table10[[#This Row],[Year]]&gt;0,$E$1-Table10[[#This Row],[Year]],0),"")</f>
        <v>0</v>
      </c>
      <c r="F1008" s="456"/>
      <c r="G1008" s="456"/>
      <c r="H1008" s="456"/>
    </row>
    <row r="1009" spans="1:8">
      <c r="A1009" s="456">
        <v>2005</v>
      </c>
      <c r="B1009" s="497" t="s">
        <v>536</v>
      </c>
      <c r="C1009" s="458" t="s">
        <v>246</v>
      </c>
      <c r="D1009" s="456">
        <f>IF(Table10[[#This Row],[Current Age]]&gt;19,"Men's",IF(E1009&gt;15,"U19",IF(E1009&gt;13,"U15",IF(E1009&gt;11,"U13",IF(E1009&gt;0,"U11",0)))))</f>
        <v>0</v>
      </c>
      <c r="E1009" s="456">
        <f>IFERROR(IF(Table10[[#This Row],[Year]]&gt;0,$E$1-Table10[[#This Row],[Year]],0),"")</f>
        <v>0</v>
      </c>
      <c r="F1009" s="456"/>
      <c r="G1009" s="456"/>
      <c r="H1009" s="456"/>
    </row>
    <row r="1010" spans="1:8">
      <c r="A1010" s="471">
        <v>2006</v>
      </c>
      <c r="B1010" s="496" t="s">
        <v>537</v>
      </c>
      <c r="C1010" s="472" t="s">
        <v>246</v>
      </c>
      <c r="D1010" s="456">
        <f>IF(Table10[[#This Row],[Current Age]]&gt;19,"Men's",IF(E1010&gt;15,"U19",IF(E1010&gt;13,"U15",IF(E1010&gt;11,"U13",IF(E1010&gt;0,"U11",0)))))</f>
        <v>0</v>
      </c>
      <c r="E1010" s="456">
        <f>IFERROR(IF(Table10[[#This Row],[Year]]&gt;0,$E$1-Table10[[#This Row],[Year]],0),"")</f>
        <v>0</v>
      </c>
      <c r="F1010" s="456"/>
      <c r="G1010" s="456"/>
      <c r="H1010" s="456"/>
    </row>
    <row r="1011" spans="1:8">
      <c r="A1011" s="456">
        <v>2007</v>
      </c>
      <c r="B1011" s="497" t="s">
        <v>538</v>
      </c>
      <c r="C1011" s="458" t="s">
        <v>246</v>
      </c>
      <c r="D1011" s="456">
        <f>IF(Table10[[#This Row],[Current Age]]&gt;19,"Men's",IF(E1011&gt;15,"U19",IF(E1011&gt;13,"U15",IF(E1011&gt;11,"U13",IF(E1011&gt;0,"U11",0)))))</f>
        <v>0</v>
      </c>
      <c r="E1011" s="456">
        <f>IFERROR(IF(Table10[[#This Row],[Year]]&gt;0,$E$1-Table10[[#This Row],[Year]],0),"")</f>
        <v>0</v>
      </c>
      <c r="F1011" s="456"/>
      <c r="G1011" s="456"/>
      <c r="H1011" s="456"/>
    </row>
    <row r="1012" spans="1:8">
      <c r="A1012" s="471">
        <v>2008</v>
      </c>
      <c r="B1012" s="496" t="s">
        <v>539</v>
      </c>
      <c r="C1012" s="472" t="s">
        <v>246</v>
      </c>
      <c r="D1012" s="456">
        <f>IF(Table10[[#This Row],[Current Age]]&gt;19,"Men's",IF(E1012&gt;15,"U19",IF(E1012&gt;13,"U15",IF(E1012&gt;11,"U13",IF(E1012&gt;0,"U11",0)))))</f>
        <v>0</v>
      </c>
      <c r="E1012" s="456">
        <f>IFERROR(IF(Table10[[#This Row],[Year]]&gt;0,$E$1-Table10[[#This Row],[Year]],0),"")</f>
        <v>0</v>
      </c>
      <c r="F1012" s="456"/>
      <c r="G1012" s="456"/>
      <c r="H1012" s="456"/>
    </row>
    <row r="1013" spans="1:8">
      <c r="A1013" s="456">
        <v>2009</v>
      </c>
      <c r="B1013" s="497" t="s">
        <v>540</v>
      </c>
      <c r="C1013" s="458" t="s">
        <v>246</v>
      </c>
      <c r="D1013" s="456">
        <f>IF(Table10[[#This Row],[Current Age]]&gt;19,"Men's",IF(E1013&gt;15,"U19",IF(E1013&gt;13,"U15",IF(E1013&gt;11,"U13",IF(E1013&gt;0,"U11",0)))))</f>
        <v>0</v>
      </c>
      <c r="E1013" s="456">
        <f>IFERROR(IF(Table10[[#This Row],[Year]]&gt;0,$E$1-Table10[[#This Row],[Year]],0),"")</f>
        <v>0</v>
      </c>
      <c r="F1013" s="456"/>
      <c r="G1013" s="456"/>
      <c r="H1013" s="456"/>
    </row>
    <row r="1014" spans="1:8">
      <c r="A1014" s="471">
        <v>2010</v>
      </c>
      <c r="B1014" s="496" t="s">
        <v>541</v>
      </c>
      <c r="C1014" s="472" t="s">
        <v>246</v>
      </c>
      <c r="D1014" s="456">
        <f>IF(Table10[[#This Row],[Current Age]]&gt;19,"Men's",IF(E1014&gt;15,"U19",IF(E1014&gt;13,"U15",IF(E1014&gt;11,"U13",IF(E1014&gt;0,"U11",0)))))</f>
        <v>0</v>
      </c>
      <c r="E1014" s="456">
        <f>IFERROR(IF(Table10[[#This Row],[Year]]&gt;0,$E$1-Table10[[#This Row],[Year]],0),"")</f>
        <v>0</v>
      </c>
      <c r="F1014" s="456"/>
      <c r="G1014" s="456"/>
      <c r="H1014" s="456"/>
    </row>
    <row r="1015" spans="1:8">
      <c r="A1015" s="456">
        <v>2011</v>
      </c>
      <c r="B1015" s="497" t="s">
        <v>542</v>
      </c>
      <c r="C1015" s="458" t="s">
        <v>246</v>
      </c>
      <c r="D1015" s="456">
        <f>IF(Table10[[#This Row],[Current Age]]&gt;19,"Men's",IF(E1015&gt;15,"U19",IF(E1015&gt;13,"U15",IF(E1015&gt;11,"U13",IF(E1015&gt;0,"U11",0)))))</f>
        <v>0</v>
      </c>
      <c r="E1015" s="456">
        <f>IFERROR(IF(Table10[[#This Row],[Year]]&gt;0,$E$1-Table10[[#This Row],[Year]],0),"")</f>
        <v>0</v>
      </c>
      <c r="F1015" s="456"/>
      <c r="G1015" s="456"/>
      <c r="H1015" s="456"/>
    </row>
    <row r="1016" spans="1:8">
      <c r="A1016" s="471">
        <v>2012</v>
      </c>
      <c r="B1016" s="496" t="s">
        <v>543</v>
      </c>
      <c r="C1016" s="472" t="s">
        <v>246</v>
      </c>
      <c r="D1016" s="456">
        <f>IF(Table10[[#This Row],[Current Age]]&gt;19,"Men's",IF(E1016&gt;15,"U19",IF(E1016&gt;13,"U15",IF(E1016&gt;11,"U13",IF(E1016&gt;0,"U11",0)))))</f>
        <v>0</v>
      </c>
      <c r="E1016" s="456">
        <f>IFERROR(IF(Table10[[#This Row],[Year]]&gt;0,$E$1-Table10[[#This Row],[Year]],0),"")</f>
        <v>0</v>
      </c>
      <c r="F1016" s="456"/>
      <c r="G1016" s="456"/>
      <c r="H1016" s="456"/>
    </row>
    <row r="1017" spans="1:8">
      <c r="A1017" s="456">
        <v>2013</v>
      </c>
      <c r="B1017" s="497" t="s">
        <v>544</v>
      </c>
      <c r="C1017" s="458" t="s">
        <v>246</v>
      </c>
      <c r="D1017" s="456">
        <f>IF(Table10[[#This Row],[Current Age]]&gt;19,"Men's",IF(E1017&gt;15,"U19",IF(E1017&gt;13,"U15",IF(E1017&gt;11,"U13",IF(E1017&gt;0,"U11",0)))))</f>
        <v>0</v>
      </c>
      <c r="E1017" s="456">
        <f>IFERROR(IF(Table10[[#This Row],[Year]]&gt;0,$E$1-Table10[[#This Row],[Year]],0),"")</f>
        <v>0</v>
      </c>
      <c r="F1017" s="456"/>
      <c r="G1017" s="456"/>
      <c r="H1017" s="456"/>
    </row>
    <row r="1018" spans="1:8">
      <c r="A1018" s="471">
        <v>2014</v>
      </c>
      <c r="B1018" s="496" t="s">
        <v>545</v>
      </c>
      <c r="C1018" s="472" t="s">
        <v>246</v>
      </c>
      <c r="D1018" s="456">
        <f>IF(Table10[[#This Row],[Current Age]]&gt;19,"Men's",IF(E1018&gt;15,"U19",IF(E1018&gt;13,"U15",IF(E1018&gt;11,"U13",IF(E1018&gt;0,"U11",0)))))</f>
        <v>0</v>
      </c>
      <c r="E1018" s="456">
        <f>IFERROR(IF(Table10[[#This Row],[Year]]&gt;0,$E$1-Table10[[#This Row],[Year]],0),"")</f>
        <v>0</v>
      </c>
      <c r="F1018" s="456"/>
      <c r="G1018" s="456"/>
      <c r="H1018" s="456"/>
    </row>
    <row r="1019" spans="1:8">
      <c r="A1019" s="456">
        <v>2015</v>
      </c>
      <c r="B1019" s="497" t="s">
        <v>546</v>
      </c>
      <c r="C1019" s="458" t="s">
        <v>246</v>
      </c>
      <c r="D1019" s="456">
        <f>IF(Table10[[#This Row],[Current Age]]&gt;19,"Men's",IF(E1019&gt;15,"U19",IF(E1019&gt;13,"U15",IF(E1019&gt;11,"U13",IF(E1019&gt;0,"U11",0)))))</f>
        <v>0</v>
      </c>
      <c r="E1019" s="456">
        <f>IFERROR(IF(Table10[[#This Row],[Year]]&gt;0,$E$1-Table10[[#This Row],[Year]],0),"")</f>
        <v>0</v>
      </c>
      <c r="F1019" s="456"/>
      <c r="G1019" s="456"/>
      <c r="H1019" s="456"/>
    </row>
    <row r="1020" spans="1:8">
      <c r="A1020" s="471">
        <v>2016</v>
      </c>
      <c r="B1020" s="496" t="s">
        <v>1944</v>
      </c>
      <c r="C1020" s="472" t="s">
        <v>1908</v>
      </c>
      <c r="D1020" s="456">
        <f>IF(Table10[[#This Row],[Current Age]]&gt;19,"Men's",IF(E1020&gt;15,"U19",IF(E1020&gt;13,"U15",IF(E1020&gt;11,"U13",IF(E1020&gt;0,"U11",0)))))</f>
        <v>0</v>
      </c>
      <c r="E1020" s="456">
        <f>IFERROR(IF(Table10[[#This Row],[Year]]&gt;0,$E$1-Table10[[#This Row],[Year]],0),"")</f>
        <v>0</v>
      </c>
      <c r="F1020" s="456"/>
      <c r="G1020" s="456"/>
      <c r="H1020" s="456"/>
    </row>
    <row r="1021" spans="1:8">
      <c r="A1021" s="456">
        <v>2017</v>
      </c>
      <c r="B1021" s="497" t="s">
        <v>1945</v>
      </c>
      <c r="C1021" s="458" t="s">
        <v>1908</v>
      </c>
      <c r="D1021" s="456">
        <f>IF(Table10[[#This Row],[Current Age]]&gt;19,"Men's",IF(E1021&gt;15,"U19",IF(E1021&gt;13,"U15",IF(E1021&gt;11,"U13",IF(E1021&gt;0,"U11",0)))))</f>
        <v>0</v>
      </c>
      <c r="E1021" s="456">
        <f>IFERROR(IF(Table10[[#This Row],[Year]]&gt;0,$E$1-Table10[[#This Row],[Year]],0),"")</f>
        <v>0</v>
      </c>
      <c r="F1021" s="456"/>
      <c r="G1021" s="456"/>
      <c r="H1021" s="456"/>
    </row>
    <row r="1022" spans="1:8">
      <c r="A1022" s="471">
        <v>2018</v>
      </c>
      <c r="B1022" s="496" t="s">
        <v>548</v>
      </c>
      <c r="C1022" s="472" t="s">
        <v>246</v>
      </c>
      <c r="D1022" s="456">
        <f>IF(Table10[[#This Row],[Current Age]]&gt;19,"Men's",IF(E1022&gt;15,"U19",IF(E1022&gt;13,"U15",IF(E1022&gt;11,"U13",IF(E1022&gt;0,"U11",0)))))</f>
        <v>0</v>
      </c>
      <c r="E1022" s="456">
        <f>IFERROR(IF(Table10[[#This Row],[Year]]&gt;0,$E$1-Table10[[#This Row],[Year]],0),"")</f>
        <v>0</v>
      </c>
      <c r="F1022" s="456"/>
      <c r="G1022" s="456"/>
      <c r="H1022" s="456"/>
    </row>
    <row r="1023" spans="1:8">
      <c r="A1023" s="456">
        <v>2019</v>
      </c>
      <c r="B1023" s="497" t="s">
        <v>549</v>
      </c>
      <c r="C1023" s="458" t="s">
        <v>246</v>
      </c>
      <c r="D1023" s="456">
        <f>IF(Table10[[#This Row],[Current Age]]&gt;19,"Men's",IF(E1023&gt;15,"U19",IF(E1023&gt;13,"U15",IF(E1023&gt;11,"U13",IF(E1023&gt;0,"U11",0)))))</f>
        <v>0</v>
      </c>
      <c r="E1023" s="456">
        <f>IFERROR(IF(Table10[[#This Row],[Year]]&gt;0,$E$1-Table10[[#This Row],[Year]],0),"")</f>
        <v>0</v>
      </c>
      <c r="F1023" s="456"/>
      <c r="G1023" s="456"/>
      <c r="H1023" s="456"/>
    </row>
    <row r="1024" spans="1:8">
      <c r="A1024" s="471">
        <v>2020</v>
      </c>
      <c r="B1024" s="496" t="s">
        <v>550</v>
      </c>
      <c r="C1024" s="472" t="s">
        <v>246</v>
      </c>
      <c r="D1024" s="456">
        <f>IF(Table10[[#This Row],[Current Age]]&gt;19,"Men's",IF(E1024&gt;15,"U19",IF(E1024&gt;13,"U15",IF(E1024&gt;11,"U13",IF(E1024&gt;0,"U11",0)))))</f>
        <v>0</v>
      </c>
      <c r="E1024" s="456">
        <f>IFERROR(IF(Table10[[#This Row],[Year]]&gt;0,$E$1-Table10[[#This Row],[Year]],0),"")</f>
        <v>0</v>
      </c>
      <c r="F1024" s="456"/>
      <c r="G1024" s="456"/>
      <c r="H1024" s="456"/>
    </row>
    <row r="1025" spans="1:8">
      <c r="A1025" s="456">
        <v>2021</v>
      </c>
      <c r="B1025" s="497" t="s">
        <v>551</v>
      </c>
      <c r="C1025" s="458" t="s">
        <v>246</v>
      </c>
      <c r="D1025" s="456">
        <f>IF(Table10[[#This Row],[Current Age]]&gt;19,"Men's",IF(E1025&gt;15,"U19",IF(E1025&gt;13,"U15",IF(E1025&gt;11,"U13",IF(E1025&gt;0,"U11",0)))))</f>
        <v>0</v>
      </c>
      <c r="E1025" s="456">
        <f>IFERROR(IF(Table10[[#This Row],[Year]]&gt;0,$E$1-Table10[[#This Row],[Year]],0),"")</f>
        <v>0</v>
      </c>
      <c r="F1025" s="456"/>
      <c r="G1025" s="456"/>
      <c r="H1025" s="456"/>
    </row>
    <row r="1026" spans="1:8">
      <c r="A1026" s="471">
        <v>2022</v>
      </c>
      <c r="B1026" s="496" t="s">
        <v>552</v>
      </c>
      <c r="C1026" s="472" t="s">
        <v>246</v>
      </c>
      <c r="D1026" s="456">
        <f>IF(Table10[[#This Row],[Current Age]]&gt;19,"Men's",IF(E1026&gt;15,"U19",IF(E1026&gt;13,"U15",IF(E1026&gt;11,"U13",IF(E1026&gt;0,"U11",0)))))</f>
        <v>0</v>
      </c>
      <c r="E1026" s="456">
        <f>IFERROR(IF(Table10[[#This Row],[Year]]&gt;0,$E$1-Table10[[#This Row],[Year]],0),"")</f>
        <v>0</v>
      </c>
      <c r="F1026" s="456"/>
      <c r="G1026" s="456"/>
      <c r="H1026" s="456"/>
    </row>
    <row r="1027" spans="1:8">
      <c r="A1027" s="456">
        <v>2023</v>
      </c>
      <c r="B1027" s="497" t="s">
        <v>553</v>
      </c>
      <c r="C1027" s="458" t="s">
        <v>246</v>
      </c>
      <c r="D1027" s="456">
        <f>IF(Table10[[#This Row],[Current Age]]&gt;19,"Men's",IF(E1027&gt;15,"U19",IF(E1027&gt;13,"U15",IF(E1027&gt;11,"U13",IF(E1027&gt;0,"U11",0)))))</f>
        <v>0</v>
      </c>
      <c r="E1027" s="456">
        <f>IFERROR(IF(Table10[[#This Row],[Year]]&gt;0,$E$1-Table10[[#This Row],[Year]],0),"")</f>
        <v>0</v>
      </c>
      <c r="F1027" s="456"/>
      <c r="G1027" s="456"/>
      <c r="H1027" s="456"/>
    </row>
    <row r="1028" spans="1:8">
      <c r="A1028" s="471">
        <v>2024</v>
      </c>
      <c r="B1028" s="496" t="s">
        <v>554</v>
      </c>
      <c r="C1028" s="472" t="s">
        <v>246</v>
      </c>
      <c r="D1028" s="456">
        <f>IF(Table10[[#This Row],[Current Age]]&gt;19,"Men's",IF(E1028&gt;15,"U19",IF(E1028&gt;13,"U15",IF(E1028&gt;11,"U13",IF(E1028&gt;0,"U11",0)))))</f>
        <v>0</v>
      </c>
      <c r="E1028" s="456">
        <f>IFERROR(IF(Table10[[#This Row],[Year]]&gt;0,$E$1-Table10[[#This Row],[Year]],0),"")</f>
        <v>0</v>
      </c>
      <c r="F1028" s="456"/>
      <c r="G1028" s="456"/>
      <c r="H1028" s="456"/>
    </row>
    <row r="1029" spans="1:8">
      <c r="A1029" s="456">
        <v>2025</v>
      </c>
      <c r="B1029" s="497" t="s">
        <v>555</v>
      </c>
      <c r="C1029" s="458" t="s">
        <v>246</v>
      </c>
      <c r="D1029" s="456">
        <f>IF(Table10[[#This Row],[Current Age]]&gt;19,"Men's",IF(E1029&gt;15,"U19",IF(E1029&gt;13,"U15",IF(E1029&gt;11,"U13",IF(E1029&gt;0,"U11",0)))))</f>
        <v>0</v>
      </c>
      <c r="E1029" s="456">
        <f>IFERROR(IF(Table10[[#This Row],[Year]]&gt;0,$E$1-Table10[[#This Row],[Year]],0),"")</f>
        <v>0</v>
      </c>
      <c r="F1029" s="456"/>
      <c r="G1029" s="456"/>
      <c r="H1029" s="456"/>
    </row>
    <row r="1030" spans="1:8">
      <c r="A1030" s="471">
        <v>2026</v>
      </c>
      <c r="B1030" s="496" t="s">
        <v>556</v>
      </c>
      <c r="C1030" s="472" t="s">
        <v>246</v>
      </c>
      <c r="D1030" s="456">
        <f>IF(Table10[[#This Row],[Current Age]]&gt;19,"Men's",IF(E1030&gt;15,"U19",IF(E1030&gt;13,"U15",IF(E1030&gt;11,"U13",IF(E1030&gt;0,"U11",0)))))</f>
        <v>0</v>
      </c>
      <c r="E1030" s="456">
        <f>IFERROR(IF(Table10[[#This Row],[Year]]&gt;0,$E$1-Table10[[#This Row],[Year]],0),"")</f>
        <v>0</v>
      </c>
      <c r="F1030" s="456"/>
      <c r="G1030" s="456"/>
      <c r="H1030" s="456"/>
    </row>
    <row r="1031" spans="1:8">
      <c r="A1031" s="456">
        <v>2027</v>
      </c>
      <c r="B1031" s="497" t="s">
        <v>557</v>
      </c>
      <c r="C1031" s="458" t="s">
        <v>246</v>
      </c>
      <c r="D1031" s="456">
        <f>IF(Table10[[#This Row],[Current Age]]&gt;19,"Men's",IF(E1031&gt;15,"U19",IF(E1031&gt;13,"U15",IF(E1031&gt;11,"U13",IF(E1031&gt;0,"U11",0)))))</f>
        <v>0</v>
      </c>
      <c r="E1031" s="456">
        <f>IFERROR(IF(Table10[[#This Row],[Year]]&gt;0,$E$1-Table10[[#This Row],[Year]],0),"")</f>
        <v>0</v>
      </c>
      <c r="F1031" s="456"/>
      <c r="G1031" s="456"/>
      <c r="H1031" s="456"/>
    </row>
    <row r="1032" spans="1:8">
      <c r="A1032" s="471">
        <v>2028</v>
      </c>
      <c r="B1032" s="496" t="s">
        <v>558</v>
      </c>
      <c r="C1032" s="472" t="s">
        <v>246</v>
      </c>
      <c r="D1032" s="456">
        <f>IF(Table10[[#This Row],[Current Age]]&gt;19,"Men's",IF(E1032&gt;15,"U19",IF(E1032&gt;13,"U15",IF(E1032&gt;11,"U13",IF(E1032&gt;0,"U11",0)))))</f>
        <v>0</v>
      </c>
      <c r="E1032" s="456">
        <f>IFERROR(IF(Table10[[#This Row],[Year]]&gt;0,$E$1-Table10[[#This Row],[Year]],0),"")</f>
        <v>0</v>
      </c>
      <c r="F1032" s="456"/>
      <c r="G1032" s="456"/>
      <c r="H1032" s="456"/>
    </row>
    <row r="1033" spans="1:8">
      <c r="A1033" s="456">
        <v>2029</v>
      </c>
      <c r="B1033" s="497" t="s">
        <v>3071</v>
      </c>
      <c r="C1033" s="458" t="s">
        <v>246</v>
      </c>
      <c r="D1033" s="456">
        <f>IF(Table10[[#This Row],[Current Age]]&gt;19,"Men's",IF(E1033&gt;15,"U19",IF(E1033&gt;13,"U15",IF(E1033&gt;11,"U13",IF(E1033&gt;0,"U11",0)))))</f>
        <v>0</v>
      </c>
      <c r="E1033" s="456">
        <f>IFERROR(IF(Table10[[#This Row],[Year]]&gt;0,$E$1-Table10[[#This Row],[Year]],0),"")</f>
        <v>0</v>
      </c>
      <c r="F1033" s="456"/>
      <c r="G1033" s="456"/>
      <c r="H1033" s="456"/>
    </row>
    <row r="1034" spans="1:8">
      <c r="A1034" s="471">
        <v>2030</v>
      </c>
      <c r="B1034" s="496" t="s">
        <v>559</v>
      </c>
      <c r="C1034" s="472" t="s">
        <v>246</v>
      </c>
      <c r="D1034" s="456">
        <f>IF(Table10[[#This Row],[Current Age]]&gt;19,"Men's",IF(E1034&gt;15,"U19",IF(E1034&gt;13,"U15",IF(E1034&gt;11,"U13",IF(E1034&gt;0,"U11",0)))))</f>
        <v>0</v>
      </c>
      <c r="E1034" s="456">
        <f>IFERROR(IF(Table10[[#This Row],[Year]]&gt;0,$E$1-Table10[[#This Row],[Year]],0),"")</f>
        <v>0</v>
      </c>
      <c r="F1034" s="456"/>
      <c r="G1034" s="456"/>
      <c r="H1034" s="456"/>
    </row>
    <row r="1035" spans="1:8">
      <c r="A1035" s="456">
        <v>2031</v>
      </c>
      <c r="B1035" s="497" t="s">
        <v>560</v>
      </c>
      <c r="C1035" s="458" t="s">
        <v>246</v>
      </c>
      <c r="D1035" s="456">
        <f>IF(Table10[[#This Row],[Current Age]]&gt;19,"Men's",IF(E1035&gt;15,"U19",IF(E1035&gt;13,"U15",IF(E1035&gt;11,"U13",IF(E1035&gt;0,"U11",0)))))</f>
        <v>0</v>
      </c>
      <c r="E1035" s="456">
        <f>IFERROR(IF(Table10[[#This Row],[Year]]&gt;0,$E$1-Table10[[#This Row],[Year]],0),"")</f>
        <v>0</v>
      </c>
      <c r="F1035" s="456"/>
      <c r="G1035" s="456"/>
      <c r="H1035" s="456"/>
    </row>
    <row r="1036" spans="1:8">
      <c r="A1036" s="471">
        <v>2032</v>
      </c>
      <c r="B1036" s="496" t="s">
        <v>561</v>
      </c>
      <c r="C1036" s="472" t="s">
        <v>246</v>
      </c>
      <c r="D1036" s="456">
        <f>IF(Table10[[#This Row],[Current Age]]&gt;19,"Men's",IF(E1036&gt;15,"U19",IF(E1036&gt;13,"U15",IF(E1036&gt;11,"U13",IF(E1036&gt;0,"U11",0)))))</f>
        <v>0</v>
      </c>
      <c r="E1036" s="456">
        <f>IFERROR(IF(Table10[[#This Row],[Year]]&gt;0,$E$1-Table10[[#This Row],[Year]],0),"")</f>
        <v>0</v>
      </c>
      <c r="F1036" s="456"/>
      <c r="G1036" s="456"/>
      <c r="H1036" s="456"/>
    </row>
    <row r="1037" spans="1:8">
      <c r="A1037" s="456">
        <v>2033</v>
      </c>
      <c r="B1037" s="497" t="s">
        <v>562</v>
      </c>
      <c r="C1037" s="458" t="s">
        <v>246</v>
      </c>
      <c r="D1037" s="456">
        <f>IF(Table10[[#This Row],[Current Age]]&gt;19,"Men's",IF(E1037&gt;15,"U19",IF(E1037&gt;13,"U15",IF(E1037&gt;11,"U13",IF(E1037&gt;0,"U11",0)))))</f>
        <v>0</v>
      </c>
      <c r="E1037" s="456">
        <f>IFERROR(IF(Table10[[#This Row],[Year]]&gt;0,$E$1-Table10[[#This Row],[Year]],0),"")</f>
        <v>0</v>
      </c>
      <c r="F1037" s="456"/>
      <c r="G1037" s="456"/>
      <c r="H1037" s="456"/>
    </row>
    <row r="1038" spans="1:8">
      <c r="A1038" s="471">
        <v>2034</v>
      </c>
      <c r="B1038" s="496" t="s">
        <v>563</v>
      </c>
      <c r="C1038" s="472" t="s">
        <v>246</v>
      </c>
      <c r="D1038" s="456">
        <f>IF(Table10[[#This Row],[Current Age]]&gt;19,"Men's",IF(E1038&gt;15,"U19",IF(E1038&gt;13,"U15",IF(E1038&gt;11,"U13",IF(E1038&gt;0,"U11",0)))))</f>
        <v>0</v>
      </c>
      <c r="E1038" s="456">
        <f>IFERROR(IF(Table10[[#This Row],[Year]]&gt;0,$E$1-Table10[[#This Row],[Year]],0),"")</f>
        <v>0</v>
      </c>
      <c r="F1038" s="456"/>
      <c r="G1038" s="456"/>
      <c r="H1038" s="456"/>
    </row>
    <row r="1039" spans="1:8">
      <c r="A1039" s="456">
        <v>2035</v>
      </c>
      <c r="B1039" s="497" t="s">
        <v>564</v>
      </c>
      <c r="C1039" s="458" t="s">
        <v>246</v>
      </c>
      <c r="D1039" s="456">
        <f>IF(Table10[[#This Row],[Current Age]]&gt;19,"Men's",IF(E1039&gt;15,"U19",IF(E1039&gt;13,"U15",IF(E1039&gt;11,"U13",IF(E1039&gt;0,"U11",0)))))</f>
        <v>0</v>
      </c>
      <c r="E1039" s="456">
        <f>IFERROR(IF(Table10[[#This Row],[Year]]&gt;0,$E$1-Table10[[#This Row],[Year]],0),"")</f>
        <v>0</v>
      </c>
      <c r="F1039" s="456"/>
      <c r="G1039" s="456"/>
      <c r="H1039" s="456"/>
    </row>
    <row r="1040" spans="1:8">
      <c r="A1040" s="471">
        <v>2036</v>
      </c>
      <c r="B1040" s="496" t="s">
        <v>565</v>
      </c>
      <c r="C1040" s="472" t="s">
        <v>246</v>
      </c>
      <c r="D1040" s="456">
        <f>IF(Table10[[#This Row],[Current Age]]&gt;19,"Men's",IF(E1040&gt;15,"U19",IF(E1040&gt;13,"U15",IF(E1040&gt;11,"U13",IF(E1040&gt;0,"U11",0)))))</f>
        <v>0</v>
      </c>
      <c r="E1040" s="456">
        <f>IFERROR(IF(Table10[[#This Row],[Year]]&gt;0,$E$1-Table10[[#This Row],[Year]],0),"")</f>
        <v>0</v>
      </c>
      <c r="F1040" s="456"/>
      <c r="G1040" s="456"/>
      <c r="H1040" s="456"/>
    </row>
    <row r="1041" spans="1:8">
      <c r="A1041" s="456">
        <v>2037</v>
      </c>
      <c r="B1041" s="497" t="s">
        <v>566</v>
      </c>
      <c r="C1041" s="458" t="s">
        <v>246</v>
      </c>
      <c r="D1041" s="456">
        <f>IF(Table10[[#This Row],[Current Age]]&gt;19,"Men's",IF(E1041&gt;15,"U19",IF(E1041&gt;13,"U15",IF(E1041&gt;11,"U13",IF(E1041&gt;0,"U11",0)))))</f>
        <v>0</v>
      </c>
      <c r="E1041" s="456">
        <f>IFERROR(IF(Table10[[#This Row],[Year]]&gt;0,$E$1-Table10[[#This Row],[Year]],0),"")</f>
        <v>0</v>
      </c>
      <c r="F1041" s="456"/>
      <c r="G1041" s="456"/>
      <c r="H1041" s="456"/>
    </row>
    <row r="1042" spans="1:8">
      <c r="A1042" s="471">
        <v>2038</v>
      </c>
      <c r="B1042" s="496" t="s">
        <v>567</v>
      </c>
      <c r="C1042" s="472" t="s">
        <v>246</v>
      </c>
      <c r="D1042" s="456">
        <f>IF(Table10[[#This Row],[Current Age]]&gt;19,"Men's",IF(E1042&gt;15,"U19",IF(E1042&gt;13,"U15",IF(E1042&gt;11,"U13",IF(E1042&gt;0,"U11",0)))))</f>
        <v>0</v>
      </c>
      <c r="E1042" s="456">
        <f>IFERROR(IF(Table10[[#This Row],[Year]]&gt;0,$E$1-Table10[[#This Row],[Year]],0),"")</f>
        <v>0</v>
      </c>
      <c r="F1042" s="456"/>
      <c r="G1042" s="456"/>
      <c r="H1042" s="456"/>
    </row>
    <row r="1043" spans="1:8">
      <c r="A1043" s="456">
        <v>2039</v>
      </c>
      <c r="B1043" s="497" t="s">
        <v>568</v>
      </c>
      <c r="C1043" s="458" t="s">
        <v>246</v>
      </c>
      <c r="D1043" s="456">
        <f>IF(Table10[[#This Row],[Current Age]]&gt;19,"Men's",IF(E1043&gt;15,"U19",IF(E1043&gt;13,"U15",IF(E1043&gt;11,"U13",IF(E1043&gt;0,"U11",0)))))</f>
        <v>0</v>
      </c>
      <c r="E1043" s="456">
        <f>IFERROR(IF(Table10[[#This Row],[Year]]&gt;0,$E$1-Table10[[#This Row],[Year]],0),"")</f>
        <v>0</v>
      </c>
      <c r="F1043" s="456"/>
      <c r="G1043" s="456"/>
      <c r="H1043" s="456"/>
    </row>
    <row r="1044" spans="1:8">
      <c r="A1044" s="471">
        <v>2040</v>
      </c>
      <c r="B1044" s="496" t="s">
        <v>569</v>
      </c>
      <c r="C1044" s="472" t="s">
        <v>246</v>
      </c>
      <c r="D1044" s="456">
        <f>IF(Table10[[#This Row],[Current Age]]&gt;19,"Men's",IF(E1044&gt;15,"U19",IF(E1044&gt;13,"U15",IF(E1044&gt;11,"U13",IF(E1044&gt;0,"U11",0)))))</f>
        <v>0</v>
      </c>
      <c r="E1044" s="456">
        <f>IFERROR(IF(Table10[[#This Row],[Year]]&gt;0,$E$1-Table10[[#This Row],[Year]],0),"")</f>
        <v>0</v>
      </c>
      <c r="F1044" s="456"/>
      <c r="G1044" s="456"/>
      <c r="H1044" s="456"/>
    </row>
    <row r="1045" spans="1:8">
      <c r="A1045" s="456">
        <v>2041</v>
      </c>
      <c r="B1045" s="497" t="s">
        <v>570</v>
      </c>
      <c r="C1045" s="458" t="s">
        <v>246</v>
      </c>
      <c r="D1045" s="456">
        <f>IF(Table10[[#This Row],[Current Age]]&gt;19,"Men's",IF(E1045&gt;15,"U19",IF(E1045&gt;13,"U15",IF(E1045&gt;11,"U13",IF(E1045&gt;0,"U11",0)))))</f>
        <v>0</v>
      </c>
      <c r="E1045" s="456">
        <f>IFERROR(IF(Table10[[#This Row],[Year]]&gt;0,$E$1-Table10[[#This Row],[Year]],0),"")</f>
        <v>0</v>
      </c>
      <c r="F1045" s="456"/>
      <c r="G1045" s="456"/>
      <c r="H1045" s="456"/>
    </row>
    <row r="1046" spans="1:8">
      <c r="A1046" s="471">
        <v>2042</v>
      </c>
      <c r="B1046" s="496" t="s">
        <v>571</v>
      </c>
      <c r="C1046" s="472" t="s">
        <v>246</v>
      </c>
      <c r="D1046" s="456">
        <f>IF(Table10[[#This Row],[Current Age]]&gt;19,"Men's",IF(E1046&gt;15,"U19",IF(E1046&gt;13,"U15",IF(E1046&gt;11,"U13",IF(E1046&gt;0,"U11",0)))))</f>
        <v>0</v>
      </c>
      <c r="E1046" s="456">
        <f>IFERROR(IF(Table10[[#This Row],[Year]]&gt;0,$E$1-Table10[[#This Row],[Year]],0),"")</f>
        <v>0</v>
      </c>
      <c r="F1046" s="456"/>
      <c r="G1046" s="456"/>
      <c r="H1046" s="456"/>
    </row>
    <row r="1047" spans="1:8">
      <c r="A1047" s="456">
        <v>2043</v>
      </c>
      <c r="B1047" s="497" t="s">
        <v>572</v>
      </c>
      <c r="C1047" s="458" t="s">
        <v>246</v>
      </c>
      <c r="D1047" s="456">
        <f>IF(Table10[[#This Row],[Current Age]]&gt;19,"Men's",IF(E1047&gt;15,"U19",IF(E1047&gt;13,"U15",IF(E1047&gt;11,"U13",IF(E1047&gt;0,"U11",0)))))</f>
        <v>0</v>
      </c>
      <c r="E1047" s="456">
        <f>IFERROR(IF(Table10[[#This Row],[Year]]&gt;0,$E$1-Table10[[#This Row],[Year]],0),"")</f>
        <v>0</v>
      </c>
      <c r="F1047" s="456"/>
      <c r="G1047" s="456"/>
      <c r="H1047" s="456"/>
    </row>
    <row r="1048" spans="1:8">
      <c r="A1048" s="471">
        <v>2044</v>
      </c>
      <c r="B1048" s="496" t="s">
        <v>573</v>
      </c>
      <c r="C1048" s="472" t="s">
        <v>246</v>
      </c>
      <c r="D1048" s="456">
        <f>IF(Table10[[#This Row],[Current Age]]&gt;19,"Men's",IF(E1048&gt;15,"U19",IF(E1048&gt;13,"U15",IF(E1048&gt;11,"U13",IF(E1048&gt;0,"U11",0)))))</f>
        <v>0</v>
      </c>
      <c r="E1048" s="456">
        <f>IFERROR(IF(Table10[[#This Row],[Year]]&gt;0,$E$1-Table10[[#This Row],[Year]],0),"")</f>
        <v>0</v>
      </c>
      <c r="F1048" s="456"/>
      <c r="G1048" s="456"/>
      <c r="H1048" s="456"/>
    </row>
    <row r="1049" spans="1:8">
      <c r="A1049" s="456">
        <v>2045</v>
      </c>
      <c r="B1049" s="497" t="s">
        <v>574</v>
      </c>
      <c r="C1049" s="458" t="s">
        <v>246</v>
      </c>
      <c r="D1049" s="456">
        <f>IF(Table10[[#This Row],[Current Age]]&gt;19,"Men's",IF(E1049&gt;15,"U19",IF(E1049&gt;13,"U15",IF(E1049&gt;11,"U13",IF(E1049&gt;0,"U11",0)))))</f>
        <v>0</v>
      </c>
      <c r="E1049" s="456">
        <f>IFERROR(IF(Table10[[#This Row],[Year]]&gt;0,$E$1-Table10[[#This Row],[Year]],0),"")</f>
        <v>0</v>
      </c>
      <c r="F1049" s="456"/>
      <c r="G1049" s="456"/>
      <c r="H1049" s="456"/>
    </row>
    <row r="1050" spans="1:8">
      <c r="A1050" s="471">
        <v>2046</v>
      </c>
      <c r="B1050" s="496" t="s">
        <v>575</v>
      </c>
      <c r="C1050" s="472" t="s">
        <v>246</v>
      </c>
      <c r="D1050" s="456">
        <f>IF(Table10[[#This Row],[Current Age]]&gt;19,"Men's",IF(E1050&gt;15,"U19",IF(E1050&gt;13,"U15",IF(E1050&gt;11,"U13",IF(E1050&gt;0,"U11",0)))))</f>
        <v>0</v>
      </c>
      <c r="E1050" s="456">
        <f>IFERROR(IF(Table10[[#This Row],[Year]]&gt;0,$E$1-Table10[[#This Row],[Year]],0),"")</f>
        <v>0</v>
      </c>
      <c r="F1050" s="456"/>
      <c r="G1050" s="456"/>
      <c r="H1050" s="456"/>
    </row>
    <row r="1051" spans="1:8">
      <c r="A1051" s="456">
        <v>2047</v>
      </c>
      <c r="B1051" s="497" t="s">
        <v>576</v>
      </c>
      <c r="C1051" s="458" t="s">
        <v>246</v>
      </c>
      <c r="D1051" s="456">
        <f>IF(Table10[[#This Row],[Current Age]]&gt;19,"Men's",IF(E1051&gt;15,"U19",IF(E1051&gt;13,"U15",IF(E1051&gt;11,"U13",IF(E1051&gt;0,"U11",0)))))</f>
        <v>0</v>
      </c>
      <c r="E1051" s="456">
        <f>IFERROR(IF(Table10[[#This Row],[Year]]&gt;0,$E$1-Table10[[#This Row],[Year]],0),"")</f>
        <v>0</v>
      </c>
      <c r="F1051" s="456"/>
      <c r="G1051" s="456"/>
      <c r="H1051" s="456"/>
    </row>
    <row r="1052" spans="1:8">
      <c r="A1052" s="471">
        <v>2048</v>
      </c>
      <c r="B1052" s="496" t="s">
        <v>577</v>
      </c>
      <c r="C1052" s="472" t="s">
        <v>246</v>
      </c>
      <c r="D1052" s="456">
        <f>IF(Table10[[#This Row],[Current Age]]&gt;19,"Men's",IF(E1052&gt;15,"U19",IF(E1052&gt;13,"U15",IF(E1052&gt;11,"U13",IF(E1052&gt;0,"U11",0)))))</f>
        <v>0</v>
      </c>
      <c r="E1052" s="456">
        <f>IFERROR(IF(Table10[[#This Row],[Year]]&gt;0,$E$1-Table10[[#This Row],[Year]],0),"")</f>
        <v>0</v>
      </c>
      <c r="F1052" s="456"/>
      <c r="G1052" s="456"/>
      <c r="H1052" s="456"/>
    </row>
    <row r="1053" spans="1:8">
      <c r="A1053" s="456">
        <v>2049</v>
      </c>
      <c r="B1053" s="497" t="s">
        <v>578</v>
      </c>
      <c r="C1053" s="458" t="s">
        <v>246</v>
      </c>
      <c r="D1053" s="456">
        <f>IF(Table10[[#This Row],[Current Age]]&gt;19,"Men's",IF(E1053&gt;15,"U19",IF(E1053&gt;13,"U15",IF(E1053&gt;11,"U13",IF(E1053&gt;0,"U11",0)))))</f>
        <v>0</v>
      </c>
      <c r="E1053" s="456">
        <f>IFERROR(IF(Table10[[#This Row],[Year]]&gt;0,$E$1-Table10[[#This Row],[Year]],0),"")</f>
        <v>0</v>
      </c>
      <c r="F1053" s="456"/>
      <c r="G1053" s="456"/>
      <c r="H1053" s="456"/>
    </row>
    <row r="1054" spans="1:8">
      <c r="A1054" s="471">
        <v>2050</v>
      </c>
      <c r="B1054" s="496" t="s">
        <v>579</v>
      </c>
      <c r="C1054" s="472" t="s">
        <v>246</v>
      </c>
      <c r="D1054" s="456">
        <f>IF(Table10[[#This Row],[Current Age]]&gt;19,"Men's",IF(E1054&gt;15,"U19",IF(E1054&gt;13,"U15",IF(E1054&gt;11,"U13",IF(E1054&gt;0,"U11",0)))))</f>
        <v>0</v>
      </c>
      <c r="E1054" s="456">
        <f>IFERROR(IF(Table10[[#This Row],[Year]]&gt;0,$E$1-Table10[[#This Row],[Year]],0),"")</f>
        <v>0</v>
      </c>
      <c r="F1054" s="456"/>
      <c r="G1054" s="456"/>
      <c r="H1054" s="456"/>
    </row>
    <row r="1055" spans="1:8">
      <c r="A1055" s="456">
        <v>2051</v>
      </c>
      <c r="B1055" s="497" t="s">
        <v>580</v>
      </c>
      <c r="C1055" s="458" t="s">
        <v>246</v>
      </c>
      <c r="D1055" s="456">
        <f>IF(Table10[[#This Row],[Current Age]]&gt;19,"Men's",IF(E1055&gt;15,"U19",IF(E1055&gt;13,"U15",IF(E1055&gt;11,"U13",IF(E1055&gt;0,"U11",0)))))</f>
        <v>0</v>
      </c>
      <c r="E1055" s="456">
        <f>IFERROR(IF(Table10[[#This Row],[Year]]&gt;0,$E$1-Table10[[#This Row],[Year]],0),"")</f>
        <v>0</v>
      </c>
      <c r="F1055" s="456"/>
      <c r="G1055" s="456"/>
      <c r="H1055" s="456"/>
    </row>
    <row r="1056" spans="1:8">
      <c r="A1056" s="471">
        <v>2052</v>
      </c>
      <c r="B1056" s="496" t="s">
        <v>581</v>
      </c>
      <c r="C1056" s="472" t="s">
        <v>246</v>
      </c>
      <c r="D1056" s="456">
        <f>IF(Table10[[#This Row],[Current Age]]&gt;19,"Men's",IF(E1056&gt;15,"U19",IF(E1056&gt;13,"U15",IF(E1056&gt;11,"U13",IF(E1056&gt;0,"U11",0)))))</f>
        <v>0</v>
      </c>
      <c r="E1056" s="456">
        <f>IFERROR(IF(Table10[[#This Row],[Year]]&gt;0,$E$1-Table10[[#This Row],[Year]],0),"")</f>
        <v>0</v>
      </c>
      <c r="F1056" s="456"/>
      <c r="G1056" s="456"/>
      <c r="H1056" s="456"/>
    </row>
    <row r="1057" spans="1:8">
      <c r="A1057" s="456">
        <v>2053</v>
      </c>
      <c r="B1057" s="497" t="s">
        <v>582</v>
      </c>
      <c r="C1057" s="458" t="s">
        <v>246</v>
      </c>
      <c r="D1057" s="456">
        <f>IF(Table10[[#This Row],[Current Age]]&gt;19,"Men's",IF(E1057&gt;15,"U19",IF(E1057&gt;13,"U15",IF(E1057&gt;11,"U13",IF(E1057&gt;0,"U11",0)))))</f>
        <v>0</v>
      </c>
      <c r="E1057" s="456">
        <f>IFERROR(IF(Table10[[#This Row],[Year]]&gt;0,$E$1-Table10[[#This Row],[Year]],0),"")</f>
        <v>0</v>
      </c>
      <c r="F1057" s="456"/>
      <c r="G1057" s="456"/>
      <c r="H1057" s="456"/>
    </row>
    <row r="1058" spans="1:8">
      <c r="A1058" s="471">
        <v>2054</v>
      </c>
      <c r="B1058" s="496" t="s">
        <v>583</v>
      </c>
      <c r="C1058" s="472" t="s">
        <v>246</v>
      </c>
      <c r="D1058" s="456">
        <f>IF(Table10[[#This Row],[Current Age]]&gt;19,"Men's",IF(E1058&gt;15,"U19",IF(E1058&gt;13,"U15",IF(E1058&gt;11,"U13",IF(E1058&gt;0,"U11",0)))))</f>
        <v>0</v>
      </c>
      <c r="E1058" s="456">
        <f>IFERROR(IF(Table10[[#This Row],[Year]]&gt;0,$E$1-Table10[[#This Row],[Year]],0),"")</f>
        <v>0</v>
      </c>
      <c r="F1058" s="456"/>
      <c r="G1058" s="456"/>
      <c r="H1058" s="456"/>
    </row>
    <row r="1059" spans="1:8">
      <c r="A1059" s="456">
        <v>2055</v>
      </c>
      <c r="B1059" s="497" t="s">
        <v>584</v>
      </c>
      <c r="C1059" s="458" t="s">
        <v>246</v>
      </c>
      <c r="D1059" s="456">
        <f>IF(Table10[[#This Row],[Current Age]]&gt;19,"Men's",IF(E1059&gt;15,"U19",IF(E1059&gt;13,"U15",IF(E1059&gt;11,"U13",IF(E1059&gt;0,"U11",0)))))</f>
        <v>0</v>
      </c>
      <c r="E1059" s="456">
        <f>IFERROR(IF(Table10[[#This Row],[Year]]&gt;0,$E$1-Table10[[#This Row],[Year]],0),"")</f>
        <v>0</v>
      </c>
      <c r="F1059" s="456"/>
      <c r="G1059" s="456"/>
      <c r="H1059" s="456"/>
    </row>
    <row r="1060" spans="1:8">
      <c r="A1060" s="471">
        <v>2056</v>
      </c>
      <c r="B1060" s="496" t="s">
        <v>585</v>
      </c>
      <c r="C1060" s="472" t="s">
        <v>246</v>
      </c>
      <c r="D1060" s="456">
        <f>IF(Table10[[#This Row],[Current Age]]&gt;19,"Men's",IF(E1060&gt;15,"U19",IF(E1060&gt;13,"U15",IF(E1060&gt;11,"U13",IF(E1060&gt;0,"U11",0)))))</f>
        <v>0</v>
      </c>
      <c r="E1060" s="456">
        <f>IFERROR(IF(Table10[[#This Row],[Year]]&gt;0,$E$1-Table10[[#This Row],[Year]],0),"")</f>
        <v>0</v>
      </c>
      <c r="F1060" s="456"/>
      <c r="G1060" s="456"/>
      <c r="H1060" s="456"/>
    </row>
    <row r="1061" spans="1:8">
      <c r="A1061" s="456">
        <v>2057</v>
      </c>
      <c r="B1061" s="497" t="s">
        <v>586</v>
      </c>
      <c r="C1061" s="458" t="s">
        <v>246</v>
      </c>
      <c r="D1061" s="456">
        <f>IF(Table10[[#This Row],[Current Age]]&gt;19,"Men's",IF(E1061&gt;15,"U19",IF(E1061&gt;13,"U15",IF(E1061&gt;11,"U13",IF(E1061&gt;0,"U11",0)))))</f>
        <v>0</v>
      </c>
      <c r="E1061" s="456">
        <f>IFERROR(IF(Table10[[#This Row],[Year]]&gt;0,$E$1-Table10[[#This Row],[Year]],0),"")</f>
        <v>0</v>
      </c>
      <c r="F1061" s="456"/>
      <c r="G1061" s="456"/>
      <c r="H1061" s="456"/>
    </row>
    <row r="1062" spans="1:8">
      <c r="A1062" s="471">
        <v>2058</v>
      </c>
      <c r="B1062" s="496" t="s">
        <v>587</v>
      </c>
      <c r="C1062" s="472" t="s">
        <v>246</v>
      </c>
      <c r="D1062" s="456">
        <f>IF(Table10[[#This Row],[Current Age]]&gt;19,"Men's",IF(E1062&gt;15,"U19",IF(E1062&gt;13,"U15",IF(E1062&gt;11,"U13",IF(E1062&gt;0,"U11",0)))))</f>
        <v>0</v>
      </c>
      <c r="E1062" s="456">
        <f>IFERROR(IF(Table10[[#This Row],[Year]]&gt;0,$E$1-Table10[[#This Row],[Year]],0),"")</f>
        <v>0</v>
      </c>
      <c r="F1062" s="456"/>
      <c r="G1062" s="456"/>
      <c r="H1062" s="456"/>
    </row>
    <row r="1063" spans="1:8">
      <c r="A1063" s="456">
        <v>2059</v>
      </c>
      <c r="B1063" s="497" t="s">
        <v>588</v>
      </c>
      <c r="C1063" s="458" t="s">
        <v>246</v>
      </c>
      <c r="D1063" s="456">
        <f>IF(Table10[[#This Row],[Current Age]]&gt;19,"Men's",IF(E1063&gt;15,"U19",IF(E1063&gt;13,"U15",IF(E1063&gt;11,"U13",IF(E1063&gt;0,"U11",0)))))</f>
        <v>0</v>
      </c>
      <c r="E1063" s="456">
        <f>IFERROR(IF(Table10[[#This Row],[Year]]&gt;0,$E$1-Table10[[#This Row],[Year]],0),"")</f>
        <v>0</v>
      </c>
      <c r="F1063" s="456"/>
      <c r="G1063" s="456"/>
      <c r="H1063" s="456"/>
    </row>
    <row r="1064" spans="1:8">
      <c r="A1064" s="471">
        <v>2060</v>
      </c>
      <c r="B1064" s="496" t="s">
        <v>589</v>
      </c>
      <c r="C1064" s="472" t="s">
        <v>246</v>
      </c>
      <c r="D1064" s="456">
        <f>IF(Table10[[#This Row],[Current Age]]&gt;19,"Men's",IF(E1064&gt;15,"U19",IF(E1064&gt;13,"U15",IF(E1064&gt;11,"U13",IF(E1064&gt;0,"U11",0)))))</f>
        <v>0</v>
      </c>
      <c r="E1064" s="456">
        <f>IFERROR(IF(Table10[[#This Row],[Year]]&gt;0,$E$1-Table10[[#This Row],[Year]],0),"")</f>
        <v>0</v>
      </c>
      <c r="F1064" s="456"/>
      <c r="G1064" s="456"/>
      <c r="H1064" s="456"/>
    </row>
    <row r="1065" spans="1:8">
      <c r="A1065" s="456">
        <v>2061</v>
      </c>
      <c r="B1065" s="497" t="s">
        <v>590</v>
      </c>
      <c r="C1065" s="458" t="s">
        <v>246</v>
      </c>
      <c r="D1065" s="456">
        <f>IF(Table10[[#This Row],[Current Age]]&gt;19,"Men's",IF(E1065&gt;15,"U19",IF(E1065&gt;13,"U15",IF(E1065&gt;11,"U13",IF(E1065&gt;0,"U11",0)))))</f>
        <v>0</v>
      </c>
      <c r="E1065" s="456">
        <f>IFERROR(IF(Table10[[#This Row],[Year]]&gt;0,$E$1-Table10[[#This Row],[Year]],0),"")</f>
        <v>0</v>
      </c>
      <c r="F1065" s="456"/>
      <c r="G1065" s="456"/>
      <c r="H1065" s="456"/>
    </row>
    <row r="1066" spans="1:8">
      <c r="A1066" s="471">
        <v>2062</v>
      </c>
      <c r="B1066" s="496" t="s">
        <v>591</v>
      </c>
      <c r="C1066" s="472" t="s">
        <v>246</v>
      </c>
      <c r="D1066" s="456">
        <f>IF(Table10[[#This Row],[Current Age]]&gt;19,"Men's",IF(E1066&gt;15,"U19",IF(E1066&gt;13,"U15",IF(E1066&gt;11,"U13",IF(E1066&gt;0,"U11",0)))))</f>
        <v>0</v>
      </c>
      <c r="E1066" s="456">
        <f>IFERROR(IF(Table10[[#This Row],[Year]]&gt;0,$E$1-Table10[[#This Row],[Year]],0),"")</f>
        <v>0</v>
      </c>
      <c r="F1066" s="456"/>
      <c r="G1066" s="456"/>
      <c r="H1066" s="456"/>
    </row>
    <row r="1067" spans="1:8">
      <c r="A1067" s="456">
        <v>2063</v>
      </c>
      <c r="B1067" s="497" t="s">
        <v>592</v>
      </c>
      <c r="C1067" s="458" t="s">
        <v>246</v>
      </c>
      <c r="D1067" s="456">
        <f>IF(Table10[[#This Row],[Current Age]]&gt;19,"Men's",IF(E1067&gt;15,"U19",IF(E1067&gt;13,"U15",IF(E1067&gt;11,"U13",IF(E1067&gt;0,"U11",0)))))</f>
        <v>0</v>
      </c>
      <c r="E1067" s="456">
        <f>IFERROR(IF(Table10[[#This Row],[Year]]&gt;0,$E$1-Table10[[#This Row],[Year]],0),"")</f>
        <v>0</v>
      </c>
      <c r="F1067" s="456"/>
      <c r="G1067" s="456"/>
      <c r="H1067" s="456"/>
    </row>
    <row r="1068" spans="1:8">
      <c r="A1068" s="471">
        <v>2064</v>
      </c>
      <c r="B1068" s="496" t="s">
        <v>593</v>
      </c>
      <c r="C1068" s="472" t="s">
        <v>246</v>
      </c>
      <c r="D1068" s="456">
        <f>IF(Table10[[#This Row],[Current Age]]&gt;19,"Men's",IF(E1068&gt;15,"U19",IF(E1068&gt;13,"U15",IF(E1068&gt;11,"U13",IF(E1068&gt;0,"U11",0)))))</f>
        <v>0</v>
      </c>
      <c r="E1068" s="456">
        <f>IFERROR(IF(Table10[[#This Row],[Year]]&gt;0,$E$1-Table10[[#This Row],[Year]],0),"")</f>
        <v>0</v>
      </c>
      <c r="F1068" s="456"/>
      <c r="G1068" s="456"/>
      <c r="H1068" s="456"/>
    </row>
    <row r="1069" spans="1:8">
      <c r="A1069" s="456">
        <v>2065</v>
      </c>
      <c r="B1069" s="497" t="s">
        <v>594</v>
      </c>
      <c r="C1069" s="458" t="s">
        <v>246</v>
      </c>
      <c r="D1069" s="456">
        <f>IF(Table10[[#This Row],[Current Age]]&gt;19,"Men's",IF(E1069&gt;15,"U19",IF(E1069&gt;13,"U15",IF(E1069&gt;11,"U13",IF(E1069&gt;0,"U11",0)))))</f>
        <v>0</v>
      </c>
      <c r="E1069" s="456">
        <f>IFERROR(IF(Table10[[#This Row],[Year]]&gt;0,$E$1-Table10[[#This Row],[Year]],0),"")</f>
        <v>0</v>
      </c>
      <c r="F1069" s="456"/>
      <c r="G1069" s="456"/>
      <c r="H1069" s="456"/>
    </row>
    <row r="1070" spans="1:8">
      <c r="A1070" s="471">
        <v>2066</v>
      </c>
      <c r="B1070" s="496" t="s">
        <v>595</v>
      </c>
      <c r="C1070" s="472" t="s">
        <v>246</v>
      </c>
      <c r="D1070" s="456">
        <f>IF(Table10[[#This Row],[Current Age]]&gt;19,"Men's",IF(E1070&gt;15,"U19",IF(E1070&gt;13,"U15",IF(E1070&gt;11,"U13",IF(E1070&gt;0,"U11",0)))))</f>
        <v>0</v>
      </c>
      <c r="E1070" s="456">
        <f>IFERROR(IF(Table10[[#This Row],[Year]]&gt;0,$E$1-Table10[[#This Row],[Year]],0),"")</f>
        <v>0</v>
      </c>
      <c r="F1070" s="456"/>
      <c r="G1070" s="456"/>
      <c r="H1070" s="456"/>
    </row>
    <row r="1071" spans="1:8">
      <c r="A1071" s="456">
        <v>2067</v>
      </c>
      <c r="B1071" s="497" t="s">
        <v>596</v>
      </c>
      <c r="C1071" s="458" t="s">
        <v>246</v>
      </c>
      <c r="D1071" s="456">
        <f>IF(Table10[[#This Row],[Current Age]]&gt;19,"Men's",IF(E1071&gt;15,"U19",IF(E1071&gt;13,"U15",IF(E1071&gt;11,"U13",IF(E1071&gt;0,"U11",0)))))</f>
        <v>0</v>
      </c>
      <c r="E1071" s="456">
        <f>IFERROR(IF(Table10[[#This Row],[Year]]&gt;0,$E$1-Table10[[#This Row],[Year]],0),"")</f>
        <v>0</v>
      </c>
      <c r="F1071" s="456"/>
      <c r="G1071" s="456"/>
      <c r="H1071" s="456"/>
    </row>
    <row r="1072" spans="1:8">
      <c r="A1072" s="471">
        <v>2068</v>
      </c>
      <c r="B1072" s="496" t="s">
        <v>597</v>
      </c>
      <c r="C1072" s="472" t="s">
        <v>246</v>
      </c>
      <c r="D1072" s="456">
        <f>IF(Table10[[#This Row],[Current Age]]&gt;19,"Men's",IF(E1072&gt;15,"U19",IF(E1072&gt;13,"U15",IF(E1072&gt;11,"U13",IF(E1072&gt;0,"U11",0)))))</f>
        <v>0</v>
      </c>
      <c r="E1072" s="456">
        <f>IFERROR(IF(Table10[[#This Row],[Year]]&gt;0,$E$1-Table10[[#This Row],[Year]],0),"")</f>
        <v>0</v>
      </c>
      <c r="F1072" s="456"/>
      <c r="G1072" s="456"/>
      <c r="H1072" s="456"/>
    </row>
    <row r="1073" spans="1:8">
      <c r="A1073" s="456">
        <v>2069</v>
      </c>
      <c r="B1073" s="497" t="s">
        <v>598</v>
      </c>
      <c r="C1073" s="458" t="s">
        <v>246</v>
      </c>
      <c r="D1073" s="456">
        <f>IF(Table10[[#This Row],[Current Age]]&gt;19,"Men's",IF(E1073&gt;15,"U19",IF(E1073&gt;13,"U15",IF(E1073&gt;11,"U13",IF(E1073&gt;0,"U11",0)))))</f>
        <v>0</v>
      </c>
      <c r="E1073" s="456">
        <f>IFERROR(IF(Table10[[#This Row],[Year]]&gt;0,$E$1-Table10[[#This Row],[Year]],0),"")</f>
        <v>0</v>
      </c>
      <c r="F1073" s="456"/>
      <c r="G1073" s="456"/>
      <c r="H1073" s="456"/>
    </row>
    <row r="1074" spans="1:8">
      <c r="A1074" s="471">
        <v>2070</v>
      </c>
      <c r="B1074" s="496" t="s">
        <v>599</v>
      </c>
      <c r="C1074" s="472" t="s">
        <v>246</v>
      </c>
      <c r="D1074" s="456">
        <f>IF(Table10[[#This Row],[Current Age]]&gt;19,"Men's",IF(E1074&gt;15,"U19",IF(E1074&gt;13,"U15",IF(E1074&gt;11,"U13",IF(E1074&gt;0,"U11",0)))))</f>
        <v>0</v>
      </c>
      <c r="E1074" s="456">
        <f>IFERROR(IF(Table10[[#This Row],[Year]]&gt;0,$E$1-Table10[[#This Row],[Year]],0),"")</f>
        <v>0</v>
      </c>
      <c r="F1074" s="456"/>
      <c r="G1074" s="456"/>
      <c r="H1074" s="456"/>
    </row>
    <row r="1075" spans="1:8">
      <c r="A1075" s="456">
        <v>2071</v>
      </c>
      <c r="B1075" s="497" t="s">
        <v>600</v>
      </c>
      <c r="C1075" s="458" t="s">
        <v>246</v>
      </c>
      <c r="D1075" s="456">
        <f>IF(Table10[[#This Row],[Current Age]]&gt;19,"Men's",IF(E1075&gt;15,"U19",IF(E1075&gt;13,"U15",IF(E1075&gt;11,"U13",IF(E1075&gt;0,"U11",0)))))</f>
        <v>0</v>
      </c>
      <c r="E1075" s="456">
        <f>IFERROR(IF(Table10[[#This Row],[Year]]&gt;0,$E$1-Table10[[#This Row],[Year]],0),"")</f>
        <v>0</v>
      </c>
      <c r="F1075" s="456"/>
      <c r="G1075" s="456"/>
      <c r="H1075" s="456"/>
    </row>
    <row r="1076" spans="1:8">
      <c r="A1076" s="471">
        <v>2072</v>
      </c>
      <c r="B1076" s="496" t="s">
        <v>601</v>
      </c>
      <c r="C1076" s="472" t="s">
        <v>246</v>
      </c>
      <c r="D1076" s="456">
        <f>IF(Table10[[#This Row],[Current Age]]&gt;19,"Men's",IF(E1076&gt;15,"U19",IF(E1076&gt;13,"U15",IF(E1076&gt;11,"U13",IF(E1076&gt;0,"U11",0)))))</f>
        <v>0</v>
      </c>
      <c r="E1076" s="456">
        <f>IFERROR(IF(Table10[[#This Row],[Year]]&gt;0,$E$1-Table10[[#This Row],[Year]],0),"")</f>
        <v>0</v>
      </c>
      <c r="F1076" s="456"/>
      <c r="G1076" s="456"/>
      <c r="H1076" s="456"/>
    </row>
    <row r="1077" spans="1:8">
      <c r="A1077" s="456">
        <v>2073</v>
      </c>
      <c r="B1077" s="497" t="s">
        <v>602</v>
      </c>
      <c r="C1077" s="458" t="s">
        <v>246</v>
      </c>
      <c r="D1077" s="456">
        <f>IF(Table10[[#This Row],[Current Age]]&gt;19,"Men's",IF(E1077&gt;15,"U19",IF(E1077&gt;13,"U15",IF(E1077&gt;11,"U13",IF(E1077&gt;0,"U11",0)))))</f>
        <v>0</v>
      </c>
      <c r="E1077" s="456">
        <f>IFERROR(IF(Table10[[#This Row],[Year]]&gt;0,$E$1-Table10[[#This Row],[Year]],0),"")</f>
        <v>0</v>
      </c>
      <c r="F1077" s="456"/>
      <c r="G1077" s="456"/>
      <c r="H1077" s="456"/>
    </row>
    <row r="1078" spans="1:8">
      <c r="A1078" s="471">
        <v>2074</v>
      </c>
      <c r="B1078" s="496" t="s">
        <v>603</v>
      </c>
      <c r="C1078" s="472" t="s">
        <v>246</v>
      </c>
      <c r="D1078" s="456">
        <f>IF(Table10[[#This Row],[Current Age]]&gt;19,"Men's",IF(E1078&gt;15,"U19",IF(E1078&gt;13,"U15",IF(E1078&gt;11,"U13",IF(E1078&gt;0,"U11",0)))))</f>
        <v>0</v>
      </c>
      <c r="E1078" s="456">
        <f>IFERROR(IF(Table10[[#This Row],[Year]]&gt;0,$E$1-Table10[[#This Row],[Year]],0),"")</f>
        <v>0</v>
      </c>
      <c r="F1078" s="456"/>
      <c r="G1078" s="456"/>
      <c r="H1078" s="456"/>
    </row>
    <row r="1079" spans="1:8">
      <c r="A1079" s="456">
        <v>2075</v>
      </c>
      <c r="B1079" s="497" t="s">
        <v>604</v>
      </c>
      <c r="C1079" s="458" t="s">
        <v>246</v>
      </c>
      <c r="D1079" s="456">
        <f>IF(Table10[[#This Row],[Current Age]]&gt;19,"Men's",IF(E1079&gt;15,"U19",IF(E1079&gt;13,"U15",IF(E1079&gt;11,"U13",IF(E1079&gt;0,"U11",0)))))</f>
        <v>0</v>
      </c>
      <c r="E1079" s="456">
        <f>IFERROR(IF(Table10[[#This Row],[Year]]&gt;0,$E$1-Table10[[#This Row],[Year]],0),"")</f>
        <v>0</v>
      </c>
      <c r="F1079" s="456"/>
      <c r="G1079" s="456"/>
      <c r="H1079" s="456"/>
    </row>
    <row r="1080" spans="1:8">
      <c r="A1080" s="471">
        <v>2076</v>
      </c>
      <c r="B1080" s="496" t="s">
        <v>605</v>
      </c>
      <c r="C1080" s="472" t="s">
        <v>246</v>
      </c>
      <c r="D1080" s="456">
        <f>IF(Table10[[#This Row],[Current Age]]&gt;19,"Men's",IF(E1080&gt;15,"U19",IF(E1080&gt;13,"U15",IF(E1080&gt;11,"U13",IF(E1080&gt;0,"U11",0)))))</f>
        <v>0</v>
      </c>
      <c r="E1080" s="456">
        <f>IFERROR(IF(Table10[[#This Row],[Year]]&gt;0,$E$1-Table10[[#This Row],[Year]],0),"")</f>
        <v>0</v>
      </c>
      <c r="F1080" s="456"/>
      <c r="G1080" s="456"/>
      <c r="H1080" s="456"/>
    </row>
    <row r="1081" spans="1:8">
      <c r="A1081" s="456">
        <v>2077</v>
      </c>
      <c r="B1081" s="497" t="s">
        <v>606</v>
      </c>
      <c r="C1081" s="458" t="s">
        <v>246</v>
      </c>
      <c r="D1081" s="456">
        <f>IF(Table10[[#This Row],[Current Age]]&gt;19,"Men's",IF(E1081&gt;15,"U19",IF(E1081&gt;13,"U15",IF(E1081&gt;11,"U13",IF(E1081&gt;0,"U11",0)))))</f>
        <v>0</v>
      </c>
      <c r="E1081" s="456">
        <f>IFERROR(IF(Table10[[#This Row],[Year]]&gt;0,$E$1-Table10[[#This Row],[Year]],0),"")</f>
        <v>0</v>
      </c>
      <c r="F1081" s="456"/>
      <c r="G1081" s="456"/>
      <c r="H1081" s="456"/>
    </row>
    <row r="1082" spans="1:8">
      <c r="A1082" s="471">
        <v>2078</v>
      </c>
      <c r="B1082" s="496" t="s">
        <v>607</v>
      </c>
      <c r="C1082" s="472" t="s">
        <v>246</v>
      </c>
      <c r="D1082" s="456">
        <f>IF(Table10[[#This Row],[Current Age]]&gt;19,"Men's",IF(E1082&gt;15,"U19",IF(E1082&gt;13,"U15",IF(E1082&gt;11,"U13",IF(E1082&gt;0,"U11",0)))))</f>
        <v>0</v>
      </c>
      <c r="E1082" s="456">
        <f>IFERROR(IF(Table10[[#This Row],[Year]]&gt;0,$E$1-Table10[[#This Row],[Year]],0),"")</f>
        <v>0</v>
      </c>
      <c r="F1082" s="456"/>
      <c r="G1082" s="456"/>
      <c r="H1082" s="456"/>
    </row>
    <row r="1083" spans="1:8">
      <c r="A1083" s="456">
        <v>2079</v>
      </c>
      <c r="B1083" s="497" t="s">
        <v>608</v>
      </c>
      <c r="C1083" s="458" t="s">
        <v>246</v>
      </c>
      <c r="D1083" s="456">
        <f>IF(Table10[[#This Row],[Current Age]]&gt;19,"Men's",IF(E1083&gt;15,"U19",IF(E1083&gt;13,"U15",IF(E1083&gt;11,"U13",IF(E1083&gt;0,"U11",0)))))</f>
        <v>0</v>
      </c>
      <c r="E1083" s="456">
        <f>IFERROR(IF(Table10[[#This Row],[Year]]&gt;0,$E$1-Table10[[#This Row],[Year]],0),"")</f>
        <v>0</v>
      </c>
      <c r="F1083" s="456"/>
      <c r="G1083" s="456"/>
      <c r="H1083" s="456"/>
    </row>
    <row r="1084" spans="1:8">
      <c r="A1084" s="471">
        <v>2080</v>
      </c>
      <c r="B1084" s="496" t="s">
        <v>609</v>
      </c>
      <c r="C1084" s="472" t="s">
        <v>246</v>
      </c>
      <c r="D1084" s="456">
        <f>IF(Table10[[#This Row],[Current Age]]&gt;19,"Men's",IF(E1084&gt;15,"U19",IF(E1084&gt;13,"U15",IF(E1084&gt;11,"U13",IF(E1084&gt;0,"U11",0)))))</f>
        <v>0</v>
      </c>
      <c r="E1084" s="456">
        <f>IFERROR(IF(Table10[[#This Row],[Year]]&gt;0,$E$1-Table10[[#This Row],[Year]],0),"")</f>
        <v>0</v>
      </c>
      <c r="F1084" s="456"/>
      <c r="G1084" s="456"/>
      <c r="H1084" s="456"/>
    </row>
    <row r="1085" spans="1:8">
      <c r="A1085" s="456">
        <v>2081</v>
      </c>
      <c r="B1085" s="497" t="s">
        <v>610</v>
      </c>
      <c r="C1085" s="458" t="s">
        <v>246</v>
      </c>
      <c r="D1085" s="456">
        <f>IF(Table10[[#This Row],[Current Age]]&gt;19,"Men's",IF(E1085&gt;15,"U19",IF(E1085&gt;13,"U15",IF(E1085&gt;11,"U13",IF(E1085&gt;0,"U11",0)))))</f>
        <v>0</v>
      </c>
      <c r="E1085" s="456">
        <f>IFERROR(IF(Table10[[#This Row],[Year]]&gt;0,$E$1-Table10[[#This Row],[Year]],0),"")</f>
        <v>0</v>
      </c>
      <c r="F1085" s="456"/>
      <c r="G1085" s="456"/>
      <c r="H1085" s="456"/>
    </row>
    <row r="1086" spans="1:8">
      <c r="A1086" s="471">
        <v>2082</v>
      </c>
      <c r="B1086" s="496" t="s">
        <v>611</v>
      </c>
      <c r="C1086" s="472" t="s">
        <v>246</v>
      </c>
      <c r="D1086" s="456">
        <f>IF(Table10[[#This Row],[Current Age]]&gt;19,"Men's",IF(E1086&gt;15,"U19",IF(E1086&gt;13,"U15",IF(E1086&gt;11,"U13",IF(E1086&gt;0,"U11",0)))))</f>
        <v>0</v>
      </c>
      <c r="E1086" s="456">
        <f>IFERROR(IF(Table10[[#This Row],[Year]]&gt;0,$E$1-Table10[[#This Row],[Year]],0),"")</f>
        <v>0</v>
      </c>
      <c r="F1086" s="456"/>
      <c r="G1086" s="456"/>
      <c r="H1086" s="456"/>
    </row>
    <row r="1087" spans="1:8">
      <c r="A1087" s="456">
        <v>2083</v>
      </c>
      <c r="B1087" s="497" t="s">
        <v>612</v>
      </c>
      <c r="C1087" s="458" t="s">
        <v>246</v>
      </c>
      <c r="D1087" s="456">
        <f>IF(Table10[[#This Row],[Current Age]]&gt;19,"Men's",IF(E1087&gt;15,"U19",IF(E1087&gt;13,"U15",IF(E1087&gt;11,"U13",IF(E1087&gt;0,"U11",0)))))</f>
        <v>0</v>
      </c>
      <c r="E1087" s="456">
        <f>IFERROR(IF(Table10[[#This Row],[Year]]&gt;0,$E$1-Table10[[#This Row],[Year]],0),"")</f>
        <v>0</v>
      </c>
      <c r="F1087" s="456"/>
      <c r="G1087" s="456"/>
      <c r="H1087" s="456"/>
    </row>
    <row r="1088" spans="1:8">
      <c r="A1088" s="471">
        <v>2084</v>
      </c>
      <c r="B1088" s="496" t="s">
        <v>613</v>
      </c>
      <c r="C1088" s="472" t="s">
        <v>246</v>
      </c>
      <c r="D1088" s="456">
        <f>IF(Table10[[#This Row],[Current Age]]&gt;19,"Men's",IF(E1088&gt;15,"U19",IF(E1088&gt;13,"U15",IF(E1088&gt;11,"U13",IF(E1088&gt;0,"U11",0)))))</f>
        <v>0</v>
      </c>
      <c r="E1088" s="456">
        <f>IFERROR(IF(Table10[[#This Row],[Year]]&gt;0,$E$1-Table10[[#This Row],[Year]],0),"")</f>
        <v>0</v>
      </c>
      <c r="F1088" s="456"/>
      <c r="G1088" s="456"/>
      <c r="H1088" s="456"/>
    </row>
    <row r="1089" spans="1:8">
      <c r="A1089" s="456">
        <v>2085</v>
      </c>
      <c r="B1089" s="497" t="s">
        <v>614</v>
      </c>
      <c r="C1089" s="458" t="s">
        <v>246</v>
      </c>
      <c r="D1089" s="456">
        <f>IF(Table10[[#This Row],[Current Age]]&gt;19,"Men's",IF(E1089&gt;15,"U19",IF(E1089&gt;13,"U15",IF(E1089&gt;11,"U13",IF(E1089&gt;0,"U11",0)))))</f>
        <v>0</v>
      </c>
      <c r="E1089" s="456">
        <f>IFERROR(IF(Table10[[#This Row],[Year]]&gt;0,$E$1-Table10[[#This Row],[Year]],0),"")</f>
        <v>0</v>
      </c>
      <c r="F1089" s="456"/>
      <c r="G1089" s="456"/>
      <c r="H1089" s="456"/>
    </row>
    <row r="1090" spans="1:8">
      <c r="A1090" s="471">
        <v>2086</v>
      </c>
      <c r="B1090" s="496" t="s">
        <v>615</v>
      </c>
      <c r="C1090" s="472" t="s">
        <v>246</v>
      </c>
      <c r="D1090" s="456">
        <f>IF(Table10[[#This Row],[Current Age]]&gt;19,"Men's",IF(E1090&gt;15,"U19",IF(E1090&gt;13,"U15",IF(E1090&gt;11,"U13",IF(E1090&gt;0,"U11",0)))))</f>
        <v>0</v>
      </c>
      <c r="E1090" s="456">
        <f>IFERROR(IF(Table10[[#This Row],[Year]]&gt;0,$E$1-Table10[[#This Row],[Year]],0),"")</f>
        <v>0</v>
      </c>
      <c r="F1090" s="456"/>
      <c r="G1090" s="456"/>
      <c r="H1090" s="456"/>
    </row>
    <row r="1091" spans="1:8">
      <c r="A1091" s="456">
        <v>2087</v>
      </c>
      <c r="B1091" s="497" t="s">
        <v>616</v>
      </c>
      <c r="C1091" s="458" t="s">
        <v>246</v>
      </c>
      <c r="D1091" s="456">
        <f>IF(Table10[[#This Row],[Current Age]]&gt;19,"Men's",IF(E1091&gt;15,"U19",IF(E1091&gt;13,"U15",IF(E1091&gt;11,"U13",IF(E1091&gt;0,"U11",0)))))</f>
        <v>0</v>
      </c>
      <c r="E1091" s="456">
        <f>IFERROR(IF(Table10[[#This Row],[Year]]&gt;0,$E$1-Table10[[#This Row],[Year]],0),"")</f>
        <v>0</v>
      </c>
      <c r="F1091" s="456"/>
      <c r="G1091" s="456"/>
      <c r="H1091" s="456"/>
    </row>
    <row r="1092" spans="1:8">
      <c r="A1092" s="471">
        <v>2088</v>
      </c>
      <c r="B1092" s="496" t="s">
        <v>617</v>
      </c>
      <c r="C1092" s="472" t="s">
        <v>246</v>
      </c>
      <c r="D1092" s="456">
        <f>IF(Table10[[#This Row],[Current Age]]&gt;19,"Men's",IF(E1092&gt;15,"U19",IF(E1092&gt;13,"U15",IF(E1092&gt;11,"U13",IF(E1092&gt;0,"U11",0)))))</f>
        <v>0</v>
      </c>
      <c r="E1092" s="456">
        <f>IFERROR(IF(Table10[[#This Row],[Year]]&gt;0,$E$1-Table10[[#This Row],[Year]],0),"")</f>
        <v>0</v>
      </c>
      <c r="F1092" s="456"/>
      <c r="G1092" s="456"/>
      <c r="H1092" s="456"/>
    </row>
    <row r="1093" spans="1:8">
      <c r="A1093" s="456">
        <v>2089</v>
      </c>
      <c r="B1093" s="497" t="s">
        <v>618</v>
      </c>
      <c r="C1093" s="458" t="s">
        <v>246</v>
      </c>
      <c r="D1093" s="456">
        <f>IF(Table10[[#This Row],[Current Age]]&gt;19,"Men's",IF(E1093&gt;15,"U19",IF(E1093&gt;13,"U15",IF(E1093&gt;11,"U13",IF(E1093&gt;0,"U11",0)))))</f>
        <v>0</v>
      </c>
      <c r="E1093" s="456">
        <f>IFERROR(IF(Table10[[#This Row],[Year]]&gt;0,$E$1-Table10[[#This Row],[Year]],0),"")</f>
        <v>0</v>
      </c>
      <c r="F1093" s="456"/>
      <c r="G1093" s="456"/>
      <c r="H1093" s="456"/>
    </row>
    <row r="1094" spans="1:8">
      <c r="A1094" s="471">
        <v>2090</v>
      </c>
      <c r="B1094" s="496" t="s">
        <v>619</v>
      </c>
      <c r="C1094" s="472" t="s">
        <v>246</v>
      </c>
      <c r="D1094" s="456">
        <f>IF(Table10[[#This Row],[Current Age]]&gt;19,"Men's",IF(E1094&gt;15,"U19",IF(E1094&gt;13,"U15",IF(E1094&gt;11,"U13",IF(E1094&gt;0,"U11",0)))))</f>
        <v>0</v>
      </c>
      <c r="E1094" s="456">
        <f>IFERROR(IF(Table10[[#This Row],[Year]]&gt;0,$E$1-Table10[[#This Row],[Year]],0),"")</f>
        <v>0</v>
      </c>
      <c r="F1094" s="456"/>
      <c r="G1094" s="456"/>
      <c r="H1094" s="456"/>
    </row>
    <row r="1095" spans="1:8">
      <c r="A1095" s="456">
        <v>2091</v>
      </c>
      <c r="B1095" s="497" t="s">
        <v>620</v>
      </c>
      <c r="C1095" s="458" t="s">
        <v>246</v>
      </c>
      <c r="D1095" s="456">
        <f>IF(Table10[[#This Row],[Current Age]]&gt;19,"Men's",IF(E1095&gt;15,"U19",IF(E1095&gt;13,"U15",IF(E1095&gt;11,"U13",IF(E1095&gt;0,"U11",0)))))</f>
        <v>0</v>
      </c>
      <c r="E1095" s="456">
        <f>IFERROR(IF(Table10[[#This Row],[Year]]&gt;0,$E$1-Table10[[#This Row],[Year]],0),"")</f>
        <v>0</v>
      </c>
      <c r="F1095" s="456"/>
      <c r="G1095" s="456"/>
      <c r="H1095" s="456"/>
    </row>
    <row r="1096" spans="1:8">
      <c r="A1096" s="471">
        <v>2092</v>
      </c>
      <c r="B1096" s="496" t="s">
        <v>621</v>
      </c>
      <c r="C1096" s="472" t="s">
        <v>246</v>
      </c>
      <c r="D1096" s="456">
        <f>IF(Table10[[#This Row],[Current Age]]&gt;19,"Men's",IF(E1096&gt;15,"U19",IF(E1096&gt;13,"U15",IF(E1096&gt;11,"U13",IF(E1096&gt;0,"U11",0)))))</f>
        <v>0</v>
      </c>
      <c r="E1096" s="456">
        <f>IFERROR(IF(Table10[[#This Row],[Year]]&gt;0,$E$1-Table10[[#This Row],[Year]],0),"")</f>
        <v>0</v>
      </c>
      <c r="F1096" s="456"/>
      <c r="G1096" s="456"/>
      <c r="H1096" s="456"/>
    </row>
    <row r="1097" spans="1:8">
      <c r="A1097" s="456">
        <v>2093</v>
      </c>
      <c r="B1097" s="497" t="s">
        <v>622</v>
      </c>
      <c r="C1097" s="458" t="s">
        <v>246</v>
      </c>
      <c r="D1097" s="456">
        <f>IF(Table10[[#This Row],[Current Age]]&gt;19,"Men's",IF(E1097&gt;15,"U19",IF(E1097&gt;13,"U15",IF(E1097&gt;11,"U13",IF(E1097&gt;0,"U11",0)))))</f>
        <v>0</v>
      </c>
      <c r="E1097" s="456">
        <f>IFERROR(IF(Table10[[#This Row],[Year]]&gt;0,$E$1-Table10[[#This Row],[Year]],0),"")</f>
        <v>0</v>
      </c>
      <c r="F1097" s="456"/>
      <c r="G1097" s="456"/>
      <c r="H1097" s="456"/>
    </row>
    <row r="1098" spans="1:8">
      <c r="A1098" s="471">
        <v>2094</v>
      </c>
      <c r="B1098" s="496" t="s">
        <v>623</v>
      </c>
      <c r="C1098" s="472" t="s">
        <v>246</v>
      </c>
      <c r="D1098" s="456">
        <f>IF(Table10[[#This Row],[Current Age]]&gt;19,"Men's",IF(E1098&gt;15,"U19",IF(E1098&gt;13,"U15",IF(E1098&gt;11,"U13",IF(E1098&gt;0,"U11",0)))))</f>
        <v>0</v>
      </c>
      <c r="E1098" s="456">
        <f>IFERROR(IF(Table10[[#This Row],[Year]]&gt;0,$E$1-Table10[[#This Row],[Year]],0),"")</f>
        <v>0</v>
      </c>
      <c r="F1098" s="456"/>
      <c r="G1098" s="456"/>
      <c r="H1098" s="456"/>
    </row>
    <row r="1099" spans="1:8">
      <c r="A1099" s="456">
        <v>2095</v>
      </c>
      <c r="B1099" s="497" t="s">
        <v>1946</v>
      </c>
      <c r="C1099" s="458" t="s">
        <v>1908</v>
      </c>
      <c r="D1099" s="456">
        <f>IF(Table10[[#This Row],[Current Age]]&gt;19,"Men's",IF(E1099&gt;15,"U19",IF(E1099&gt;13,"U15",IF(E1099&gt;11,"U13",IF(E1099&gt;0,"U11",0)))))</f>
        <v>0</v>
      </c>
      <c r="E1099" s="456">
        <f>IFERROR(IF(Table10[[#This Row],[Year]]&gt;0,$E$1-Table10[[#This Row],[Year]],0),"")</f>
        <v>0</v>
      </c>
      <c r="F1099" s="456"/>
      <c r="G1099" s="456"/>
      <c r="H1099" s="456"/>
    </row>
    <row r="1100" spans="1:8">
      <c r="A1100" s="471">
        <v>2096</v>
      </c>
      <c r="B1100" s="496" t="s">
        <v>344</v>
      </c>
      <c r="C1100" s="472" t="s">
        <v>243</v>
      </c>
      <c r="D1100" s="456">
        <f>IF(Table10[[#This Row],[Current Age]]&gt;19,"Men's",IF(E1100&gt;15,"U19",IF(E1100&gt;13,"U15",IF(E1100&gt;11,"U13",IF(E1100&gt;0,"U11",0)))))</f>
        <v>0</v>
      </c>
      <c r="E1100" s="456">
        <f>IFERROR(IF(Table10[[#This Row],[Year]]&gt;0,$E$1-Table10[[#This Row],[Year]],0),"")</f>
        <v>0</v>
      </c>
      <c r="F1100" s="456"/>
      <c r="G1100" s="456"/>
      <c r="H1100" s="456"/>
    </row>
    <row r="1101" spans="1:8">
      <c r="A1101" s="456">
        <v>2097</v>
      </c>
      <c r="B1101" s="497" t="s">
        <v>345</v>
      </c>
      <c r="C1101" s="458" t="s">
        <v>243</v>
      </c>
      <c r="D1101" s="456">
        <f>IF(Table10[[#This Row],[Current Age]]&gt;19,"Men's",IF(E1101&gt;15,"U19",IF(E1101&gt;13,"U15",IF(E1101&gt;11,"U13",IF(E1101&gt;0,"U11",0)))))</f>
        <v>0</v>
      </c>
      <c r="E1101" s="456">
        <f>IFERROR(IF(Table10[[#This Row],[Year]]&gt;0,$E$1-Table10[[#This Row],[Year]],0),"")</f>
        <v>0</v>
      </c>
      <c r="F1101" s="456"/>
      <c r="G1101" s="456"/>
      <c r="H1101" s="456"/>
    </row>
    <row r="1102" spans="1:8">
      <c r="A1102" s="471">
        <v>2098</v>
      </c>
      <c r="B1102" s="496" t="s">
        <v>346</v>
      </c>
      <c r="C1102" s="472" t="s">
        <v>243</v>
      </c>
      <c r="D1102" s="456" t="str">
        <f>IF(Table10[[#This Row],[Current Age]]&gt;19,"Men's",IF(E1102&gt;15,"U19",IF(E1102&gt;13,"U15",IF(E1102&gt;11,"U13",IF(E1102&gt;0,"U11",0)))))</f>
        <v>U19</v>
      </c>
      <c r="E1102" s="456">
        <f>IFERROR(IF(Table10[[#This Row],[Year]]&gt;0,$E$1-Table10[[#This Row],[Year]],0),"")</f>
        <v>19</v>
      </c>
      <c r="F1102" s="456">
        <v>2006</v>
      </c>
      <c r="G1102" s="456">
        <v>4</v>
      </c>
      <c r="H1102" s="456">
        <v>5</v>
      </c>
    </row>
    <row r="1103" spans="1:8">
      <c r="A1103" s="456">
        <v>2099</v>
      </c>
      <c r="B1103" s="497" t="s">
        <v>347</v>
      </c>
      <c r="C1103" s="458" t="s">
        <v>243</v>
      </c>
      <c r="D1103" s="456">
        <f>IF(Table10[[#This Row],[Current Age]]&gt;19,"Men's",IF(E1103&gt;15,"U19",IF(E1103&gt;13,"U15",IF(E1103&gt;11,"U13",IF(E1103&gt;0,"U11",0)))))</f>
        <v>0</v>
      </c>
      <c r="E1103" s="456">
        <f>IFERROR(IF(Table10[[#This Row],[Year]]&gt;0,$E$1-Table10[[#This Row],[Year]],0),"")</f>
        <v>0</v>
      </c>
      <c r="F1103" s="456"/>
      <c r="G1103" s="456"/>
      <c r="H1103" s="456"/>
    </row>
    <row r="1104" spans="1:8">
      <c r="A1104" s="471">
        <v>2100</v>
      </c>
      <c r="B1104" s="496" t="s">
        <v>348</v>
      </c>
      <c r="C1104" s="472" t="s">
        <v>243</v>
      </c>
      <c r="D1104" s="456">
        <f>IF(Table10[[#This Row],[Current Age]]&gt;19,"Men's",IF(E1104&gt;15,"U19",IF(E1104&gt;13,"U15",IF(E1104&gt;11,"U13",IF(E1104&gt;0,"U11",0)))))</f>
        <v>0</v>
      </c>
      <c r="E1104" s="456">
        <f>IFERROR(IF(Table10[[#This Row],[Year]]&gt;0,$E$1-Table10[[#This Row],[Year]],0),"")</f>
        <v>0</v>
      </c>
      <c r="F1104" s="456"/>
      <c r="G1104" s="456"/>
      <c r="H1104" s="456"/>
    </row>
    <row r="1105" spans="1:8">
      <c r="A1105" s="456">
        <v>2101</v>
      </c>
      <c r="B1105" s="497" t="s">
        <v>349</v>
      </c>
      <c r="C1105" s="458" t="s">
        <v>243</v>
      </c>
      <c r="D1105" s="456">
        <f>IF(Table10[[#This Row],[Current Age]]&gt;19,"Men's",IF(E1105&gt;15,"U19",IF(E1105&gt;13,"U15",IF(E1105&gt;11,"U13",IF(E1105&gt;0,"U11",0)))))</f>
        <v>0</v>
      </c>
      <c r="E1105" s="456">
        <f>IFERROR(IF(Table10[[#This Row],[Year]]&gt;0,$E$1-Table10[[#This Row],[Year]],0),"")</f>
        <v>0</v>
      </c>
      <c r="F1105" s="456"/>
      <c r="G1105" s="456"/>
      <c r="H1105" s="456"/>
    </row>
    <row r="1106" spans="1:8">
      <c r="A1106" s="471">
        <v>2102</v>
      </c>
      <c r="B1106" s="496" t="s">
        <v>350</v>
      </c>
      <c r="C1106" s="472" t="s">
        <v>243</v>
      </c>
      <c r="D1106" s="456">
        <f>IF(Table10[[#This Row],[Current Age]]&gt;19,"Men's",IF(E1106&gt;15,"U19",IF(E1106&gt;13,"U15",IF(E1106&gt;11,"U13",IF(E1106&gt;0,"U11",0)))))</f>
        <v>0</v>
      </c>
      <c r="E1106" s="456">
        <f>IFERROR(IF(Table10[[#This Row],[Year]]&gt;0,$E$1-Table10[[#This Row],[Year]],0),"")</f>
        <v>0</v>
      </c>
      <c r="F1106" s="456"/>
      <c r="G1106" s="456"/>
      <c r="H1106" s="456"/>
    </row>
    <row r="1107" spans="1:8">
      <c r="A1107" s="456">
        <v>2103</v>
      </c>
      <c r="B1107" s="497" t="s">
        <v>351</v>
      </c>
      <c r="C1107" s="458" t="s">
        <v>243</v>
      </c>
      <c r="D1107" s="456">
        <f>IF(Table10[[#This Row],[Current Age]]&gt;19,"Men's",IF(E1107&gt;15,"U19",IF(E1107&gt;13,"U15",IF(E1107&gt;11,"U13",IF(E1107&gt;0,"U11",0)))))</f>
        <v>0</v>
      </c>
      <c r="E1107" s="456">
        <f>IFERROR(IF(Table10[[#This Row],[Year]]&gt;0,$E$1-Table10[[#This Row],[Year]],0),"")</f>
        <v>0</v>
      </c>
      <c r="F1107" s="456"/>
      <c r="G1107" s="456"/>
      <c r="H1107" s="456"/>
    </row>
    <row r="1108" spans="1:8">
      <c r="A1108" s="471">
        <v>2104</v>
      </c>
      <c r="B1108" s="496" t="s">
        <v>352</v>
      </c>
      <c r="C1108" s="472" t="s">
        <v>243</v>
      </c>
      <c r="D1108" s="456">
        <f>IF(Table10[[#This Row],[Current Age]]&gt;19,"Men's",IF(E1108&gt;15,"U19",IF(E1108&gt;13,"U15",IF(E1108&gt;11,"U13",IF(E1108&gt;0,"U11",0)))))</f>
        <v>0</v>
      </c>
      <c r="E1108" s="456">
        <f>IFERROR(IF(Table10[[#This Row],[Year]]&gt;0,$E$1-Table10[[#This Row],[Year]],0),"")</f>
        <v>0</v>
      </c>
      <c r="F1108" s="456"/>
      <c r="G1108" s="456"/>
      <c r="H1108" s="456"/>
    </row>
    <row r="1109" spans="1:8">
      <c r="A1109" s="456">
        <v>2105</v>
      </c>
      <c r="B1109" s="497" t="s">
        <v>353</v>
      </c>
      <c r="C1109" s="458" t="s">
        <v>243</v>
      </c>
      <c r="D1109" s="456">
        <f>IF(Table10[[#This Row],[Current Age]]&gt;19,"Men's",IF(E1109&gt;15,"U19",IF(E1109&gt;13,"U15",IF(E1109&gt;11,"U13",IF(E1109&gt;0,"U11",0)))))</f>
        <v>0</v>
      </c>
      <c r="E1109" s="456">
        <f>IFERROR(IF(Table10[[#This Row],[Year]]&gt;0,$E$1-Table10[[#This Row],[Year]],0),"")</f>
        <v>0</v>
      </c>
      <c r="F1109" s="456"/>
      <c r="G1109" s="456"/>
      <c r="H1109" s="456"/>
    </row>
    <row r="1110" spans="1:8">
      <c r="A1110" s="471">
        <v>2106</v>
      </c>
      <c r="B1110" s="496" t="s">
        <v>354</v>
      </c>
      <c r="C1110" s="472" t="s">
        <v>243</v>
      </c>
      <c r="D1110" s="456">
        <f>IF(Table10[[#This Row],[Current Age]]&gt;19,"Men's",IF(E1110&gt;15,"U19",IF(E1110&gt;13,"U15",IF(E1110&gt;11,"U13",IF(E1110&gt;0,"U11",0)))))</f>
        <v>0</v>
      </c>
      <c r="E1110" s="456">
        <f>IFERROR(IF(Table10[[#This Row],[Year]]&gt;0,$E$1-Table10[[#This Row],[Year]],0),"")</f>
        <v>0</v>
      </c>
      <c r="F1110" s="456"/>
      <c r="G1110" s="456"/>
      <c r="H1110" s="456"/>
    </row>
    <row r="1111" spans="1:8">
      <c r="A1111" s="456">
        <v>2107</v>
      </c>
      <c r="B1111" s="497" t="s">
        <v>355</v>
      </c>
      <c r="C1111" s="458" t="s">
        <v>243</v>
      </c>
      <c r="D1111" s="456">
        <f>IF(Table10[[#This Row],[Current Age]]&gt;19,"Men's",IF(E1111&gt;15,"U19",IF(E1111&gt;13,"U15",IF(E1111&gt;11,"U13",IF(E1111&gt;0,"U11",0)))))</f>
        <v>0</v>
      </c>
      <c r="E1111" s="456">
        <f>IFERROR(IF(Table10[[#This Row],[Year]]&gt;0,$E$1-Table10[[#This Row],[Year]],0),"")</f>
        <v>0</v>
      </c>
      <c r="F1111" s="456"/>
      <c r="G1111" s="456"/>
      <c r="H1111" s="456"/>
    </row>
    <row r="1112" spans="1:8">
      <c r="A1112" s="471">
        <v>2108</v>
      </c>
      <c r="B1112" s="496" t="s">
        <v>356</v>
      </c>
      <c r="C1112" s="472" t="s">
        <v>243</v>
      </c>
      <c r="D1112" s="456">
        <f>IF(Table10[[#This Row],[Current Age]]&gt;19,"Men's",IF(E1112&gt;15,"U19",IF(E1112&gt;13,"U15",IF(E1112&gt;11,"U13",IF(E1112&gt;0,"U11",0)))))</f>
        <v>0</v>
      </c>
      <c r="E1112" s="456">
        <f>IFERROR(IF(Table10[[#This Row],[Year]]&gt;0,$E$1-Table10[[#This Row],[Year]],0),"")</f>
        <v>0</v>
      </c>
      <c r="F1112" s="456"/>
      <c r="G1112" s="456"/>
      <c r="H1112" s="456"/>
    </row>
    <row r="1113" spans="1:8">
      <c r="A1113" s="456">
        <v>2109</v>
      </c>
      <c r="B1113" s="497" t="s">
        <v>357</v>
      </c>
      <c r="C1113" s="458" t="s">
        <v>243</v>
      </c>
      <c r="D1113" s="456">
        <f>IF(Table10[[#This Row],[Current Age]]&gt;19,"Men's",IF(E1113&gt;15,"U19",IF(E1113&gt;13,"U15",IF(E1113&gt;11,"U13",IF(E1113&gt;0,"U11",0)))))</f>
        <v>0</v>
      </c>
      <c r="E1113" s="456">
        <f>IFERROR(IF(Table10[[#This Row],[Year]]&gt;0,$E$1-Table10[[#This Row],[Year]],0),"")</f>
        <v>0</v>
      </c>
      <c r="F1113" s="456"/>
      <c r="G1113" s="456"/>
      <c r="H1113" s="456"/>
    </row>
    <row r="1114" spans="1:8">
      <c r="A1114" s="471">
        <v>2110</v>
      </c>
      <c r="B1114" s="496" t="s">
        <v>358</v>
      </c>
      <c r="C1114" s="472" t="s">
        <v>243</v>
      </c>
      <c r="D1114" s="456">
        <f>IF(Table10[[#This Row],[Current Age]]&gt;19,"Men's",IF(E1114&gt;15,"U19",IF(E1114&gt;13,"U15",IF(E1114&gt;11,"U13",IF(E1114&gt;0,"U11",0)))))</f>
        <v>0</v>
      </c>
      <c r="E1114" s="456">
        <f>IFERROR(IF(Table10[[#This Row],[Year]]&gt;0,$E$1-Table10[[#This Row],[Year]],0),"")</f>
        <v>0</v>
      </c>
      <c r="F1114" s="456"/>
      <c r="G1114" s="456"/>
      <c r="H1114" s="456"/>
    </row>
    <row r="1115" spans="1:8">
      <c r="A1115" s="456">
        <v>2111</v>
      </c>
      <c r="B1115" s="497" t="s">
        <v>359</v>
      </c>
      <c r="C1115" s="458" t="s">
        <v>243</v>
      </c>
      <c r="D1115" s="456">
        <f>IF(Table10[[#This Row],[Current Age]]&gt;19,"Men's",IF(E1115&gt;15,"U19",IF(E1115&gt;13,"U15",IF(E1115&gt;11,"U13",IF(E1115&gt;0,"U11",0)))))</f>
        <v>0</v>
      </c>
      <c r="E1115" s="456">
        <f>IFERROR(IF(Table10[[#This Row],[Year]]&gt;0,$E$1-Table10[[#This Row],[Year]],0),"")</f>
        <v>0</v>
      </c>
      <c r="F1115" s="456"/>
      <c r="G1115" s="456"/>
      <c r="H1115" s="456"/>
    </row>
    <row r="1116" spans="1:8">
      <c r="A1116" s="471">
        <v>2112</v>
      </c>
      <c r="B1116" s="496" t="s">
        <v>360</v>
      </c>
      <c r="C1116" s="472" t="s">
        <v>243</v>
      </c>
      <c r="D1116" s="456">
        <f>IF(Table10[[#This Row],[Current Age]]&gt;19,"Men's",IF(E1116&gt;15,"U19",IF(E1116&gt;13,"U15",IF(E1116&gt;11,"U13",IF(E1116&gt;0,"U11",0)))))</f>
        <v>0</v>
      </c>
      <c r="E1116" s="456">
        <f>IFERROR(IF(Table10[[#This Row],[Year]]&gt;0,$E$1-Table10[[#This Row],[Year]],0),"")</f>
        <v>0</v>
      </c>
      <c r="F1116" s="456"/>
      <c r="G1116" s="456"/>
      <c r="H1116" s="456"/>
    </row>
    <row r="1117" spans="1:8">
      <c r="A1117" s="456">
        <v>2113</v>
      </c>
      <c r="B1117" s="469" t="s">
        <v>624</v>
      </c>
      <c r="C1117" s="458" t="s">
        <v>243</v>
      </c>
      <c r="D1117" s="456">
        <f>IF(Table10[[#This Row],[Current Age]]&gt;19,"Men's",IF(E1117&gt;15,"U19",IF(E1117&gt;13,"U15",IF(E1117&gt;11,"U13",IF(E1117&gt;0,"U11",0)))))</f>
        <v>0</v>
      </c>
      <c r="E1117" s="456">
        <f>IFERROR(IF(Table10[[#This Row],[Year]]&gt;0,$E$1-Table10[[#This Row],[Year]],0),"")</f>
        <v>0</v>
      </c>
      <c r="F1117" s="456"/>
      <c r="G1117" s="456"/>
      <c r="H1117" s="456"/>
    </row>
    <row r="1118" spans="1:8">
      <c r="A1118" s="471">
        <v>2114</v>
      </c>
      <c r="B1118" s="493" t="s">
        <v>625</v>
      </c>
      <c r="C1118" s="472" t="s">
        <v>243</v>
      </c>
      <c r="D1118" s="456">
        <f>IF(Table10[[#This Row],[Current Age]]&gt;19,"Men's",IF(E1118&gt;15,"U19",IF(E1118&gt;13,"U15",IF(E1118&gt;11,"U13",IF(E1118&gt;0,"U11",0)))))</f>
        <v>0</v>
      </c>
      <c r="E1118" s="456">
        <f>IFERROR(IF(Table10[[#This Row],[Year]]&gt;0,$E$1-Table10[[#This Row],[Year]],0),"")</f>
        <v>0</v>
      </c>
      <c r="F1118" s="456"/>
      <c r="G1118" s="456"/>
      <c r="H1118" s="456"/>
    </row>
    <row r="1119" spans="1:8">
      <c r="A1119" s="456">
        <v>2115</v>
      </c>
      <c r="B1119" s="469" t="s">
        <v>626</v>
      </c>
      <c r="C1119" s="458" t="s">
        <v>243</v>
      </c>
      <c r="D1119" s="456">
        <f>IF(Table10[[#This Row],[Current Age]]&gt;19,"Men's",IF(E1119&gt;15,"U19",IF(E1119&gt;13,"U15",IF(E1119&gt;11,"U13",IF(E1119&gt;0,"U11",0)))))</f>
        <v>0</v>
      </c>
      <c r="E1119" s="456">
        <f>IFERROR(IF(Table10[[#This Row],[Year]]&gt;0,$E$1-Table10[[#This Row],[Year]],0),"")</f>
        <v>0</v>
      </c>
      <c r="F1119" s="456"/>
      <c r="G1119" s="456"/>
      <c r="H1119" s="456"/>
    </row>
    <row r="1120" spans="1:8">
      <c r="A1120" s="471">
        <v>2116</v>
      </c>
      <c r="B1120" s="493" t="s">
        <v>627</v>
      </c>
      <c r="C1120" s="472" t="s">
        <v>628</v>
      </c>
      <c r="D1120" s="456" t="str">
        <f>IF(Table10[[#This Row],[Current Age]]&gt;19,"Men's",IF(E1120&gt;15,"U19",IF(E1120&gt;13,"U15",IF(E1120&gt;11,"U13",IF(E1120&gt;0,"U11",0)))))</f>
        <v>Men's</v>
      </c>
      <c r="E1120" s="456">
        <f>IFERROR(IF(Table10[[#This Row],[Year]]&gt;0,$E$1-Table10[[#This Row],[Year]],0),"")</f>
        <v>24</v>
      </c>
      <c r="F1120" s="456">
        <v>2001</v>
      </c>
      <c r="G1120" s="456">
        <v>5</v>
      </c>
      <c r="H1120" s="456">
        <v>30</v>
      </c>
    </row>
    <row r="1121" spans="1:8">
      <c r="A1121" s="456">
        <v>2117</v>
      </c>
      <c r="B1121" s="469" t="s">
        <v>629</v>
      </c>
      <c r="C1121" s="458" t="s">
        <v>628</v>
      </c>
      <c r="D1121" s="456" t="str">
        <f>IF(Table10[[#This Row],[Current Age]]&gt;19,"Men's",IF(E1121&gt;15,"U19",IF(E1121&gt;13,"U15",IF(E1121&gt;11,"U13",IF(E1121&gt;0,"U11",0)))))</f>
        <v>Men's</v>
      </c>
      <c r="E1121" s="456">
        <f>IFERROR(IF(Table10[[#This Row],[Year]]&gt;0,$E$1-Table10[[#This Row],[Year]],0),"")</f>
        <v>20</v>
      </c>
      <c r="F1121" s="456">
        <v>2005</v>
      </c>
      <c r="G1121" s="456">
        <v>9</v>
      </c>
      <c r="H1121" s="456">
        <v>15</v>
      </c>
    </row>
    <row r="1122" spans="1:8">
      <c r="A1122" s="471">
        <v>2118</v>
      </c>
      <c r="B1122" s="493" t="s">
        <v>630</v>
      </c>
      <c r="C1122" s="472" t="s">
        <v>628</v>
      </c>
      <c r="D1122" s="456" t="str">
        <f>IF(Table10[[#This Row],[Current Age]]&gt;19,"Men's",IF(E1122&gt;15,"U19",IF(E1122&gt;13,"U15",IF(E1122&gt;11,"U13",IF(E1122&gt;0,"U11",0)))))</f>
        <v>Men's</v>
      </c>
      <c r="E1122" s="456">
        <f>IFERROR(IF(Table10[[#This Row],[Year]]&gt;0,$E$1-Table10[[#This Row],[Year]],0),"")</f>
        <v>22</v>
      </c>
      <c r="F1122" s="456">
        <v>2003</v>
      </c>
      <c r="G1122" s="456">
        <v>3</v>
      </c>
      <c r="H1122" s="456">
        <v>2</v>
      </c>
    </row>
    <row r="1123" spans="1:8">
      <c r="A1123" s="456">
        <v>2119</v>
      </c>
      <c r="B1123" s="469" t="s">
        <v>631</v>
      </c>
      <c r="C1123" s="458" t="s">
        <v>628</v>
      </c>
      <c r="D1123" s="456" t="str">
        <f>IF(Table10[[#This Row],[Current Age]]&gt;19,"Men's",IF(E1123&gt;15,"U19",IF(E1123&gt;13,"U15",IF(E1123&gt;11,"U13",IF(E1123&gt;0,"U11",0)))))</f>
        <v>Men's</v>
      </c>
      <c r="E1123" s="456">
        <f>IFERROR(IF(Table10[[#This Row],[Year]]&gt;0,$E$1-Table10[[#This Row],[Year]],0),"")</f>
        <v>22</v>
      </c>
      <c r="F1123" s="456">
        <v>2003</v>
      </c>
      <c r="G1123" s="456">
        <v>4</v>
      </c>
      <c r="H1123" s="456">
        <v>16</v>
      </c>
    </row>
    <row r="1124" spans="1:8">
      <c r="A1124" s="471">
        <v>2120</v>
      </c>
      <c r="B1124" s="493" t="s">
        <v>632</v>
      </c>
      <c r="C1124" s="472" t="s">
        <v>243</v>
      </c>
      <c r="D1124" s="456" t="str">
        <f>IF(Table10[[#This Row],[Current Age]]&gt;19,"Men's",IF(E1124&gt;15,"U19",IF(E1124&gt;13,"U15",IF(E1124&gt;11,"U13",IF(E1124&gt;0,"U11",0)))))</f>
        <v>U19</v>
      </c>
      <c r="E1124" s="456">
        <f>IFERROR(IF(Table10[[#This Row],[Year]]&gt;0,$E$1-Table10[[#This Row],[Year]],0),"")</f>
        <v>16</v>
      </c>
      <c r="F1124" s="456">
        <v>2009</v>
      </c>
      <c r="G1124" s="456">
        <v>7</v>
      </c>
      <c r="H1124" s="456">
        <v>11</v>
      </c>
    </row>
    <row r="1125" spans="1:8">
      <c r="A1125" s="456">
        <v>2121</v>
      </c>
      <c r="B1125" s="538" t="s">
        <v>633</v>
      </c>
      <c r="C1125" s="458" t="s">
        <v>250</v>
      </c>
      <c r="D1125" s="456">
        <f>IF(Table10[[#This Row],[Current Age]]&gt;19,"Men's",IF(E1125&gt;15,"U19",IF(E1125&gt;13,"U15",IF(E1125&gt;11,"U13",IF(E1125&gt;0,"U11",0)))))</f>
        <v>0</v>
      </c>
      <c r="E1125" s="456">
        <f>IFERROR(IF(Table10[[#This Row],[Year]]&gt;0,$E$1-Table10[[#This Row],[Year]],0),"")</f>
        <v>0</v>
      </c>
      <c r="F1125" s="456"/>
      <c r="G1125" s="456"/>
      <c r="H1125" s="456"/>
    </row>
    <row r="1126" spans="1:8">
      <c r="A1126" s="471">
        <v>2122</v>
      </c>
      <c r="B1126" s="537" t="s">
        <v>634</v>
      </c>
      <c r="C1126" s="472" t="s">
        <v>250</v>
      </c>
      <c r="D1126" s="456">
        <f>IF(Table10[[#This Row],[Current Age]]&gt;19,"Men's",IF(E1126&gt;15,"U19",IF(E1126&gt;13,"U15",IF(E1126&gt;11,"U13",IF(E1126&gt;0,"U11",0)))))</f>
        <v>0</v>
      </c>
      <c r="E1126" s="456">
        <f>IFERROR(IF(Table10[[#This Row],[Year]]&gt;0,$E$1-Table10[[#This Row],[Year]],0),"")</f>
        <v>0</v>
      </c>
      <c r="F1126" s="456"/>
      <c r="G1126" s="456"/>
      <c r="H1126" s="456"/>
    </row>
    <row r="1127" spans="1:8">
      <c r="A1127" s="456">
        <v>2123</v>
      </c>
      <c r="B1127" s="538" t="s">
        <v>635</v>
      </c>
      <c r="C1127" s="458" t="s">
        <v>250</v>
      </c>
      <c r="D1127" s="456">
        <f>IF(Table10[[#This Row],[Current Age]]&gt;19,"Men's",IF(E1127&gt;15,"U19",IF(E1127&gt;13,"U15",IF(E1127&gt;11,"U13",IF(E1127&gt;0,"U11",0)))))</f>
        <v>0</v>
      </c>
      <c r="E1127" s="456">
        <f>IFERROR(IF(Table10[[#This Row],[Year]]&gt;0,$E$1-Table10[[#This Row],[Year]],0),"")</f>
        <v>0</v>
      </c>
      <c r="F1127" s="456"/>
      <c r="G1127" s="456"/>
      <c r="H1127" s="456"/>
    </row>
    <row r="1128" spans="1:8">
      <c r="A1128" s="471">
        <v>2124</v>
      </c>
      <c r="B1128" s="537" t="s">
        <v>3989</v>
      </c>
      <c r="C1128" s="472" t="s">
        <v>250</v>
      </c>
      <c r="D1128" s="456">
        <f>IF(Table10[[#This Row],[Current Age]]&gt;19,"Men's",IF(E1128&gt;15,"U19",IF(E1128&gt;13,"U15",IF(E1128&gt;11,"U13",IF(E1128&gt;0,"U11",0)))))</f>
        <v>0</v>
      </c>
      <c r="E1128" s="456">
        <f>IFERROR(IF(Table10[[#This Row],[Year]]&gt;0,$E$1-Table10[[#This Row],[Year]],0),"")</f>
        <v>0</v>
      </c>
      <c r="F1128" s="456"/>
      <c r="G1128" s="456"/>
      <c r="H1128" s="456"/>
    </row>
    <row r="1129" spans="1:8">
      <c r="A1129" s="456">
        <v>2125</v>
      </c>
      <c r="B1129" s="538" t="s">
        <v>636</v>
      </c>
      <c r="C1129" s="458" t="s">
        <v>250</v>
      </c>
      <c r="D1129" s="456">
        <f>IF(Table10[[#This Row],[Current Age]]&gt;19,"Men's",IF(E1129&gt;15,"U19",IF(E1129&gt;13,"U15",IF(E1129&gt;11,"U13",IF(E1129&gt;0,"U11",0)))))</f>
        <v>0</v>
      </c>
      <c r="E1129" s="456">
        <f>IFERROR(IF(Table10[[#This Row],[Year]]&gt;0,$E$1-Table10[[#This Row],[Year]],0),"")</f>
        <v>0</v>
      </c>
      <c r="F1129" s="456"/>
      <c r="G1129" s="456"/>
      <c r="H1129" s="456"/>
    </row>
    <row r="1130" spans="1:8">
      <c r="A1130" s="471">
        <v>2126</v>
      </c>
      <c r="B1130" s="537" t="s">
        <v>637</v>
      </c>
      <c r="C1130" s="472" t="s">
        <v>250</v>
      </c>
      <c r="D1130" s="456">
        <f>IF(Table10[[#This Row],[Current Age]]&gt;19,"Men's",IF(E1130&gt;15,"U19",IF(E1130&gt;13,"U15",IF(E1130&gt;11,"U13",IF(E1130&gt;0,"U11",0)))))</f>
        <v>0</v>
      </c>
      <c r="E1130" s="456">
        <f>IFERROR(IF(Table10[[#This Row],[Year]]&gt;0,$E$1-Table10[[#This Row],[Year]],0),"")</f>
        <v>0</v>
      </c>
      <c r="F1130" s="456"/>
      <c r="G1130" s="456"/>
      <c r="H1130" s="456"/>
    </row>
    <row r="1131" spans="1:8">
      <c r="A1131" s="456">
        <v>2127</v>
      </c>
      <c r="B1131" s="538" t="s">
        <v>638</v>
      </c>
      <c r="C1131" s="458" t="s">
        <v>250</v>
      </c>
      <c r="D1131" s="456">
        <f>IF(Table10[[#This Row],[Current Age]]&gt;19,"Men's",IF(E1131&gt;15,"U19",IF(E1131&gt;13,"U15",IF(E1131&gt;11,"U13",IF(E1131&gt;0,"U11",0)))))</f>
        <v>0</v>
      </c>
      <c r="E1131" s="456">
        <f>IFERROR(IF(Table10[[#This Row],[Year]]&gt;0,$E$1-Table10[[#This Row],[Year]],0),"")</f>
        <v>0</v>
      </c>
      <c r="F1131" s="456"/>
      <c r="G1131" s="456"/>
      <c r="H1131" s="456"/>
    </row>
    <row r="1132" spans="1:8">
      <c r="A1132" s="471">
        <v>2128</v>
      </c>
      <c r="B1132" s="537" t="s">
        <v>639</v>
      </c>
      <c r="C1132" s="472" t="s">
        <v>250</v>
      </c>
      <c r="D1132" s="456">
        <f>IF(Table10[[#This Row],[Current Age]]&gt;19,"Men's",IF(E1132&gt;15,"U19",IF(E1132&gt;13,"U15",IF(E1132&gt;11,"U13",IF(E1132&gt;0,"U11",0)))))</f>
        <v>0</v>
      </c>
      <c r="E1132" s="456">
        <f>IFERROR(IF(Table10[[#This Row],[Year]]&gt;0,$E$1-Table10[[#This Row],[Year]],0),"")</f>
        <v>0</v>
      </c>
      <c r="F1132" s="456"/>
      <c r="G1132" s="456"/>
      <c r="H1132" s="456"/>
    </row>
    <row r="1133" spans="1:8">
      <c r="A1133" s="456">
        <v>2129</v>
      </c>
      <c r="B1133" s="536" t="s">
        <v>640</v>
      </c>
      <c r="C1133" s="492" t="s">
        <v>4552</v>
      </c>
      <c r="D1133" s="456" t="str">
        <f>IF(Table10[[#This Row],[Current Age]]&gt;19,"Men's",IF(E1133&gt;15,"U19",IF(E1133&gt;13,"U15",IF(E1133&gt;11,"U13",IF(E1133&gt;0,"U11",0)))))</f>
        <v>Men's</v>
      </c>
      <c r="E1133" s="456">
        <f>IFERROR(IF(Table10[[#This Row],[Year]]&gt;0,$E$1-Table10[[#This Row],[Year]],0),"")</f>
        <v>25</v>
      </c>
      <c r="F1133" s="456">
        <v>2000</v>
      </c>
      <c r="G1133" s="456">
        <v>4</v>
      </c>
      <c r="H1133" s="456">
        <v>16</v>
      </c>
    </row>
    <row r="1134" spans="1:8">
      <c r="A1134" s="471">
        <v>2130</v>
      </c>
      <c r="B1134" s="535" t="s">
        <v>641</v>
      </c>
      <c r="C1134" s="491" t="s">
        <v>4552</v>
      </c>
      <c r="D1134" s="456" t="str">
        <f>IF(Table10[[#This Row],[Current Age]]&gt;19,"Men's",IF(E1134&gt;15,"U19",IF(E1134&gt;13,"U15",IF(E1134&gt;11,"U13",IF(E1134&gt;0,"U11",0)))))</f>
        <v>Men's</v>
      </c>
      <c r="E1134" s="456">
        <f>IFERROR(IF(Table10[[#This Row],[Year]]&gt;0,$E$1-Table10[[#This Row],[Year]],0),"")</f>
        <v>22</v>
      </c>
      <c r="F1134" s="456">
        <v>2003</v>
      </c>
      <c r="G1134" s="456">
        <v>2</v>
      </c>
      <c r="H1134" s="456">
        <v>10</v>
      </c>
    </row>
    <row r="1135" spans="1:8">
      <c r="A1135" s="456">
        <v>2131</v>
      </c>
      <c r="B1135" s="536" t="s">
        <v>642</v>
      </c>
      <c r="C1135" s="492" t="s">
        <v>4552</v>
      </c>
      <c r="D1135" s="456" t="str">
        <f>IF(Table10[[#This Row],[Current Age]]&gt;19,"Men's",IF(E1135&gt;15,"U19",IF(E1135&gt;13,"U15",IF(E1135&gt;11,"U13",IF(E1135&gt;0,"U11",0)))))</f>
        <v>U19</v>
      </c>
      <c r="E1135" s="456">
        <f>IFERROR(IF(Table10[[#This Row],[Year]]&gt;0,$E$1-Table10[[#This Row],[Year]],0),"")</f>
        <v>16</v>
      </c>
      <c r="F1135" s="456">
        <v>2009</v>
      </c>
      <c r="G1135" s="456">
        <v>4</v>
      </c>
      <c r="H1135" s="456">
        <v>2</v>
      </c>
    </row>
    <row r="1136" spans="1:8">
      <c r="A1136" s="471">
        <v>2132</v>
      </c>
      <c r="B1136" s="535" t="s">
        <v>643</v>
      </c>
      <c r="C1136" s="491" t="s">
        <v>4552</v>
      </c>
      <c r="D1136" s="456" t="str">
        <f>IF(Table10[[#This Row],[Current Age]]&gt;19,"Men's",IF(E1136&gt;15,"U19",IF(E1136&gt;13,"U15",IF(E1136&gt;11,"U13",IF(E1136&gt;0,"U11",0)))))</f>
        <v>Men's</v>
      </c>
      <c r="E1136" s="456">
        <f>IFERROR(IF(Table10[[#This Row],[Year]]&gt;0,$E$1-Table10[[#This Row],[Year]],0),"")</f>
        <v>32</v>
      </c>
      <c r="F1136" s="456">
        <v>1993</v>
      </c>
      <c r="G1136" s="456">
        <v>8</v>
      </c>
      <c r="H1136" s="456">
        <v>15</v>
      </c>
    </row>
    <row r="1137" spans="1:8">
      <c r="A1137" s="456">
        <v>2133</v>
      </c>
      <c r="B1137" s="536" t="s">
        <v>1947</v>
      </c>
      <c r="C1137" s="458" t="s">
        <v>1908</v>
      </c>
      <c r="D1137" s="456" t="str">
        <f>IF(Table10[[#This Row],[Current Age]]&gt;19,"Men's",IF(E1137&gt;15,"U19",IF(E1137&gt;13,"U15",IF(E1137&gt;11,"U13",IF(E1137&gt;0,"U11",0)))))</f>
        <v>Men's</v>
      </c>
      <c r="E1137" s="456">
        <f>IFERROR(IF(Table10[[#This Row],[Year]]&gt;0,$E$1-Table10[[#This Row],[Year]],0),"")</f>
        <v>36</v>
      </c>
      <c r="F1137" s="456">
        <v>1989</v>
      </c>
      <c r="G1137" s="456">
        <v>7</v>
      </c>
      <c r="H1137" s="456">
        <v>18</v>
      </c>
    </row>
    <row r="1138" spans="1:8">
      <c r="A1138" s="471">
        <v>2134</v>
      </c>
      <c r="B1138" s="493" t="s">
        <v>644</v>
      </c>
      <c r="C1138" s="472" t="s">
        <v>251</v>
      </c>
      <c r="D1138" s="456" t="str">
        <f>IF(Table10[[#This Row],[Current Age]]&gt;19,"Men's",IF(E1138&gt;15,"U19",IF(E1138&gt;13,"U15",IF(E1138&gt;11,"U13",IF(E1138&gt;0,"U11",0)))))</f>
        <v>U19</v>
      </c>
      <c r="E1138" s="456">
        <f>IFERROR(IF(Table10[[#This Row],[Year]]&gt;0,$E$1-Table10[[#This Row],[Year]],0),"")</f>
        <v>19</v>
      </c>
      <c r="F1138" s="456">
        <v>2006</v>
      </c>
      <c r="G1138" s="456">
        <v>5</v>
      </c>
      <c r="H1138" s="456">
        <v>9</v>
      </c>
    </row>
    <row r="1139" spans="1:8">
      <c r="A1139" s="456">
        <v>2135</v>
      </c>
      <c r="B1139" s="469" t="s">
        <v>645</v>
      </c>
      <c r="C1139" s="458" t="s">
        <v>251</v>
      </c>
      <c r="D1139" s="456" t="str">
        <f>IF(Table10[[#This Row],[Current Age]]&gt;19,"Men's",IF(E1139&gt;15,"U19",IF(E1139&gt;13,"U15",IF(E1139&gt;11,"U13",IF(E1139&gt;0,"U11",0)))))</f>
        <v>U19</v>
      </c>
      <c r="E1139" s="456">
        <f>IFERROR(IF(Table10[[#This Row],[Year]]&gt;0,$E$1-Table10[[#This Row],[Year]],0),"")</f>
        <v>17</v>
      </c>
      <c r="F1139" s="456">
        <v>2008</v>
      </c>
      <c r="G1139" s="456">
        <v>6</v>
      </c>
      <c r="H1139" s="456">
        <v>15</v>
      </c>
    </row>
    <row r="1140" spans="1:8">
      <c r="A1140" s="471">
        <v>2136</v>
      </c>
      <c r="B1140" s="493" t="s">
        <v>646</v>
      </c>
      <c r="C1140" s="472" t="s">
        <v>251</v>
      </c>
      <c r="D1140" s="456" t="str">
        <f>IF(Table10[[#This Row],[Current Age]]&gt;19,"Men's",IF(E1140&gt;15,"U19",IF(E1140&gt;13,"U15",IF(E1140&gt;11,"U13",IF(E1140&gt;0,"U11",0)))))</f>
        <v>U13</v>
      </c>
      <c r="E1140" s="456">
        <f>IFERROR(IF(Table10[[#This Row],[Year]]&gt;0,$E$1-Table10[[#This Row],[Year]],0),"")</f>
        <v>13</v>
      </c>
      <c r="F1140" s="456">
        <v>2012</v>
      </c>
      <c r="G1140" s="456">
        <v>8</v>
      </c>
      <c r="H1140" s="456">
        <v>7</v>
      </c>
    </row>
    <row r="1141" spans="1:8">
      <c r="A1141" s="456">
        <v>2137</v>
      </c>
      <c r="B1141" s="469" t="s">
        <v>647</v>
      </c>
      <c r="C1141" s="458" t="s">
        <v>251</v>
      </c>
      <c r="D1141" s="456" t="str">
        <f>IF(Table10[[#This Row],[Current Age]]&gt;19,"Men's",IF(E1141&gt;15,"U19",IF(E1141&gt;13,"U15",IF(E1141&gt;11,"U13",IF(E1141&gt;0,"U11",0)))))</f>
        <v>Men's</v>
      </c>
      <c r="E1141" s="456">
        <f>IFERROR(IF(Table10[[#This Row],[Year]]&gt;0,$E$1-Table10[[#This Row],[Year]],0),"")</f>
        <v>23</v>
      </c>
      <c r="F1141" s="456">
        <v>2002</v>
      </c>
      <c r="G1141" s="456">
        <v>11</v>
      </c>
      <c r="H1141" s="456">
        <v>13</v>
      </c>
    </row>
    <row r="1142" spans="1:8">
      <c r="A1142" s="471">
        <v>2138</v>
      </c>
      <c r="B1142" s="493" t="s">
        <v>1948</v>
      </c>
      <c r="C1142" s="472" t="s">
        <v>1908</v>
      </c>
      <c r="D1142" s="456" t="str">
        <f>IF(Table10[[#This Row],[Current Age]]&gt;19,"Men's",IF(E1142&gt;15,"U19",IF(E1142&gt;13,"U15",IF(E1142&gt;11,"U13",IF(E1142&gt;0,"U11",0)))))</f>
        <v>Men's</v>
      </c>
      <c r="E1142" s="456">
        <f>IFERROR(IF(Table10[[#This Row],[Year]]&gt;0,$E$1-Table10[[#This Row],[Year]],0),"")</f>
        <v>22</v>
      </c>
      <c r="F1142" s="456">
        <v>2003</v>
      </c>
      <c r="G1142" s="456">
        <v>5</v>
      </c>
      <c r="H1142" s="456">
        <v>26</v>
      </c>
    </row>
    <row r="1143" spans="1:8">
      <c r="A1143" s="456">
        <v>2139</v>
      </c>
      <c r="B1143" s="469" t="s">
        <v>651</v>
      </c>
      <c r="C1143" s="458" t="s">
        <v>244</v>
      </c>
      <c r="D1143" s="456">
        <f>IF(Table10[[#This Row],[Current Age]]&gt;19,"Men's",IF(E1143&gt;15,"U19",IF(E1143&gt;13,"U15",IF(E1143&gt;11,"U13",IF(E1143&gt;0,"U11",0)))))</f>
        <v>0</v>
      </c>
      <c r="E1143" s="456">
        <f>IFERROR(IF(Table10[[#This Row],[Year]]&gt;0,$E$1-Table10[[#This Row],[Year]],0),"")</f>
        <v>0</v>
      </c>
      <c r="F1143" s="456"/>
      <c r="G1143" s="456"/>
      <c r="H1143" s="456"/>
    </row>
    <row r="1144" spans="1:8">
      <c r="A1144" s="471">
        <v>2140</v>
      </c>
      <c r="B1144" s="493" t="s">
        <v>652</v>
      </c>
      <c r="C1144" s="472" t="s">
        <v>244</v>
      </c>
      <c r="D1144" s="456" t="str">
        <f>IF(Table10[[#This Row],[Current Age]]&gt;19,"Men's",IF(E1144&gt;15,"U19",IF(E1144&gt;13,"U15",IF(E1144&gt;11,"U13",IF(E1144&gt;0,"U11",0)))))</f>
        <v>Men's</v>
      </c>
      <c r="E1144" s="456">
        <f>IFERROR(IF(Table10[[#This Row],[Year]]&gt;0,$E$1-Table10[[#This Row],[Year]],0),"")</f>
        <v>22</v>
      </c>
      <c r="F1144" s="456">
        <v>2003</v>
      </c>
      <c r="G1144" s="456">
        <v>5</v>
      </c>
      <c r="H1144" s="456">
        <v>27</v>
      </c>
    </row>
    <row r="1145" spans="1:8">
      <c r="A1145" s="456">
        <v>2141</v>
      </c>
      <c r="B1145" s="469" t="s">
        <v>653</v>
      </c>
      <c r="C1145" s="458" t="s">
        <v>244</v>
      </c>
      <c r="D1145" s="456" t="str">
        <f>IF(Table10[[#This Row],[Current Age]]&gt;19,"Men's",IF(E1145&gt;15,"U19",IF(E1145&gt;13,"U15",IF(E1145&gt;11,"U13",IF(E1145&gt;0,"U11",0)))))</f>
        <v>Men's</v>
      </c>
      <c r="E1145" s="456">
        <f>IFERROR(IF(Table10[[#This Row],[Year]]&gt;0,$E$1-Table10[[#This Row],[Year]],0),"")</f>
        <v>22</v>
      </c>
      <c r="F1145" s="456">
        <v>2003</v>
      </c>
      <c r="G1145" s="456">
        <v>6</v>
      </c>
      <c r="H1145" s="456">
        <v>12</v>
      </c>
    </row>
    <row r="1146" spans="1:8">
      <c r="A1146" s="471">
        <v>2142</v>
      </c>
      <c r="B1146" s="493" t="s">
        <v>654</v>
      </c>
      <c r="C1146" s="472" t="s">
        <v>244</v>
      </c>
      <c r="D1146" s="456" t="str">
        <f>IF(Table10[[#This Row],[Current Age]]&gt;19,"Men's",IF(E1146&gt;15,"U19",IF(E1146&gt;13,"U15",IF(E1146&gt;11,"U13",IF(E1146&gt;0,"U11",0)))))</f>
        <v>Men's</v>
      </c>
      <c r="E1146" s="456">
        <f>IFERROR(IF(Table10[[#This Row],[Year]]&gt;0,$E$1-Table10[[#This Row],[Year]],0),"")</f>
        <v>25</v>
      </c>
      <c r="F1146" s="456">
        <v>2000</v>
      </c>
      <c r="G1146" s="456">
        <v>6</v>
      </c>
      <c r="H1146" s="456">
        <v>19</v>
      </c>
    </row>
    <row r="1147" spans="1:8">
      <c r="A1147" s="456">
        <v>2143</v>
      </c>
      <c r="B1147" s="469" t="s">
        <v>655</v>
      </c>
      <c r="C1147" s="458" t="s">
        <v>244</v>
      </c>
      <c r="D1147" s="456" t="str">
        <f>IF(Table10[[#This Row],[Current Age]]&gt;19,"Men's",IF(E1147&gt;15,"U19",IF(E1147&gt;13,"U15",IF(E1147&gt;11,"U13",IF(E1147&gt;0,"U11",0)))))</f>
        <v>Men's</v>
      </c>
      <c r="E1147" s="456">
        <f>IFERROR(IF(Table10[[#This Row],[Year]]&gt;0,$E$1-Table10[[#This Row],[Year]],0),"")</f>
        <v>24</v>
      </c>
      <c r="F1147" s="456">
        <v>2001</v>
      </c>
      <c r="G1147" s="456">
        <v>5</v>
      </c>
      <c r="H1147" s="456">
        <v>30</v>
      </c>
    </row>
    <row r="1148" spans="1:8">
      <c r="A1148" s="471">
        <v>2144</v>
      </c>
      <c r="B1148" s="493" t="s">
        <v>656</v>
      </c>
      <c r="C1148" s="472" t="s">
        <v>244</v>
      </c>
      <c r="D1148" s="456" t="str">
        <f>IF(Table10[[#This Row],[Current Age]]&gt;19,"Men's",IF(E1148&gt;15,"U19",IF(E1148&gt;13,"U15",IF(E1148&gt;11,"U13",IF(E1148&gt;0,"U11",0)))))</f>
        <v>Men's</v>
      </c>
      <c r="E1148" s="456">
        <f>IFERROR(IF(Table10[[#This Row],[Year]]&gt;0,$E$1-Table10[[#This Row],[Year]],0),"")</f>
        <v>25</v>
      </c>
      <c r="F1148" s="456">
        <v>2000</v>
      </c>
      <c r="G1148" s="456">
        <v>6</v>
      </c>
      <c r="H1148" s="456">
        <v>23</v>
      </c>
    </row>
    <row r="1149" spans="1:8">
      <c r="A1149" s="456">
        <v>2145</v>
      </c>
      <c r="B1149" s="469" t="s">
        <v>657</v>
      </c>
      <c r="C1149" s="458" t="s">
        <v>244</v>
      </c>
      <c r="D1149" s="456">
        <f>IF(Table10[[#This Row],[Current Age]]&gt;19,"Men's",IF(E1149&gt;15,"U19",IF(E1149&gt;13,"U15",IF(E1149&gt;11,"U13",IF(E1149&gt;0,"U11",0)))))</f>
        <v>0</v>
      </c>
      <c r="E1149" s="456">
        <f>IFERROR(IF(Table10[[#This Row],[Year]]&gt;0,$E$1-Table10[[#This Row],[Year]],0),"")</f>
        <v>0</v>
      </c>
      <c r="F1149" s="456"/>
      <c r="G1149" s="456"/>
      <c r="H1149" s="456"/>
    </row>
    <row r="1150" spans="1:8">
      <c r="A1150" s="471">
        <v>2146</v>
      </c>
      <c r="B1150" s="496" t="s">
        <v>648</v>
      </c>
      <c r="C1150" s="472" t="s">
        <v>244</v>
      </c>
      <c r="D1150" s="456" t="str">
        <f>IF(Table10[[#This Row],[Current Age]]&gt;19,"Men's",IF(E1150&gt;15,"U19",IF(E1150&gt;13,"U15",IF(E1150&gt;11,"U13",IF(E1150&gt;0,"U11",0)))))</f>
        <v>Men's</v>
      </c>
      <c r="E1150" s="456">
        <f>IFERROR(IF(Table10[[#This Row],[Year]]&gt;0,$E$1-Table10[[#This Row],[Year]],0),"")</f>
        <v>28</v>
      </c>
      <c r="F1150" s="456">
        <v>1997</v>
      </c>
      <c r="G1150" s="456">
        <v>7</v>
      </c>
      <c r="H1150" s="456">
        <v>8</v>
      </c>
    </row>
    <row r="1151" spans="1:8">
      <c r="A1151" s="456">
        <v>2147</v>
      </c>
      <c r="B1151" s="531" t="s">
        <v>1949</v>
      </c>
      <c r="C1151" s="458" t="s">
        <v>1908</v>
      </c>
      <c r="D1151" s="456">
        <f>IF(Table10[[#This Row],[Current Age]]&gt;19,"Men's",IF(E1151&gt;15,"U19",IF(E1151&gt;13,"U15",IF(E1151&gt;11,"U13",IF(E1151&gt;0,"U11",0)))))</f>
        <v>0</v>
      </c>
      <c r="E1151" s="456">
        <f>IFERROR(IF(Table10[[#This Row],[Year]]&gt;0,$E$1-Table10[[#This Row],[Year]],0),"")</f>
        <v>0</v>
      </c>
      <c r="F1151" s="456"/>
      <c r="G1151" s="456"/>
      <c r="H1151" s="456"/>
    </row>
    <row r="1152" spans="1:8">
      <c r="A1152" s="471">
        <v>2148</v>
      </c>
      <c r="B1152" s="493" t="s">
        <v>1950</v>
      </c>
      <c r="C1152" s="472" t="s">
        <v>1908</v>
      </c>
      <c r="D1152" s="456">
        <f>IF(Table10[[#This Row],[Current Age]]&gt;19,"Men's",IF(E1152&gt;15,"U19",IF(E1152&gt;13,"U15",IF(E1152&gt;11,"U13",IF(E1152&gt;0,"U11",0)))))</f>
        <v>0</v>
      </c>
      <c r="E1152" s="456">
        <f>IFERROR(IF(Table10[[#This Row],[Year]]&gt;0,$E$1-Table10[[#This Row],[Year]],0),"")</f>
        <v>0</v>
      </c>
      <c r="F1152" s="456"/>
      <c r="G1152" s="456"/>
      <c r="H1152" s="456"/>
    </row>
    <row r="1153" spans="1:8">
      <c r="A1153" s="456">
        <v>2149</v>
      </c>
      <c r="B1153" s="469" t="s">
        <v>2785</v>
      </c>
      <c r="C1153" s="458" t="s">
        <v>256</v>
      </c>
      <c r="D1153" s="456">
        <f>IF(Table10[[#This Row],[Current Age]]&gt;19,"Men's",IF(E1153&gt;15,"U19",IF(E1153&gt;13,"U15",IF(E1153&gt;11,"U13",IF(E1153&gt;0,"U11",0)))))</f>
        <v>0</v>
      </c>
      <c r="E1153" s="456">
        <f>IFERROR(IF(Table10[[#This Row],[Year]]&gt;0,$E$1-Table10[[#This Row],[Year]],0),"")</f>
        <v>0</v>
      </c>
      <c r="F1153" s="456"/>
      <c r="G1153" s="456"/>
      <c r="H1153" s="456"/>
    </row>
    <row r="1154" spans="1:8">
      <c r="A1154" s="471">
        <v>2150</v>
      </c>
      <c r="B1154" s="493" t="s">
        <v>2786</v>
      </c>
      <c r="C1154" s="472" t="s">
        <v>256</v>
      </c>
      <c r="D1154" s="456">
        <f>IF(Table10[[#This Row],[Current Age]]&gt;19,"Men's",IF(E1154&gt;15,"U19",IF(E1154&gt;13,"U15",IF(E1154&gt;11,"U13",IF(E1154&gt;0,"U11",0)))))</f>
        <v>0</v>
      </c>
      <c r="E1154" s="456">
        <f>IFERROR(IF(Table10[[#This Row],[Year]]&gt;0,$E$1-Table10[[#This Row],[Year]],0),"")</f>
        <v>0</v>
      </c>
      <c r="F1154" s="456"/>
      <c r="G1154" s="456"/>
      <c r="H1154" s="456"/>
    </row>
    <row r="1155" spans="1:8">
      <c r="A1155" s="456">
        <v>2151</v>
      </c>
      <c r="B1155" s="469" t="s">
        <v>2787</v>
      </c>
      <c r="C1155" s="458" t="s">
        <v>256</v>
      </c>
      <c r="D1155" s="456">
        <f>IF(Table10[[#This Row],[Current Age]]&gt;19,"Men's",IF(E1155&gt;15,"U19",IF(E1155&gt;13,"U15",IF(E1155&gt;11,"U13",IF(E1155&gt;0,"U11",0)))))</f>
        <v>0</v>
      </c>
      <c r="E1155" s="456">
        <f>IFERROR(IF(Table10[[#This Row],[Year]]&gt;0,$E$1-Table10[[#This Row],[Year]],0),"")</f>
        <v>0</v>
      </c>
      <c r="F1155" s="456"/>
      <c r="G1155" s="456"/>
      <c r="H1155" s="456"/>
    </row>
    <row r="1156" spans="1:8">
      <c r="A1156" s="471">
        <v>2152</v>
      </c>
      <c r="B1156" s="493" t="s">
        <v>2788</v>
      </c>
      <c r="C1156" s="472" t="s">
        <v>2857</v>
      </c>
      <c r="D1156" s="456">
        <f>IF(Table10[[#This Row],[Current Age]]&gt;19,"Men's",IF(E1156&gt;15,"U19",IF(E1156&gt;13,"U15",IF(E1156&gt;11,"U13",IF(E1156&gt;0,"U11",0)))))</f>
        <v>0</v>
      </c>
      <c r="E1156" s="456">
        <f>IFERROR(IF(Table10[[#This Row],[Year]]&gt;0,$E$1-Table10[[#This Row],[Year]],0),"")</f>
        <v>0</v>
      </c>
      <c r="F1156" s="456"/>
      <c r="G1156" s="456"/>
      <c r="H1156" s="456"/>
    </row>
    <row r="1157" spans="1:8">
      <c r="A1157" s="456">
        <v>2153</v>
      </c>
      <c r="B1157" s="469" t="s">
        <v>2789</v>
      </c>
      <c r="C1157" s="458" t="s">
        <v>256</v>
      </c>
      <c r="D1157" s="456">
        <f>IF(Table10[[#This Row],[Current Age]]&gt;19,"Men's",IF(E1157&gt;15,"U19",IF(E1157&gt;13,"U15",IF(E1157&gt;11,"U13",IF(E1157&gt;0,"U11",0)))))</f>
        <v>0</v>
      </c>
      <c r="E1157" s="456">
        <f>IFERROR(IF(Table10[[#This Row],[Year]]&gt;0,$E$1-Table10[[#This Row],[Year]],0),"")</f>
        <v>0</v>
      </c>
      <c r="F1157" s="456"/>
      <c r="G1157" s="456"/>
      <c r="H1157" s="456"/>
    </row>
    <row r="1158" spans="1:8">
      <c r="A1158" s="471">
        <v>2154</v>
      </c>
      <c r="B1158" s="493" t="s">
        <v>2790</v>
      </c>
      <c r="C1158" s="472" t="s">
        <v>256</v>
      </c>
      <c r="D1158" s="456">
        <f>IF(Table10[[#This Row],[Current Age]]&gt;19,"Men's",IF(E1158&gt;15,"U19",IF(E1158&gt;13,"U15",IF(E1158&gt;11,"U13",IF(E1158&gt;0,"U11",0)))))</f>
        <v>0</v>
      </c>
      <c r="E1158" s="456">
        <f>IFERROR(IF(Table10[[#This Row],[Year]]&gt;0,$E$1-Table10[[#This Row],[Year]],0),"")</f>
        <v>0</v>
      </c>
      <c r="F1158" s="456"/>
      <c r="G1158" s="456"/>
      <c r="H1158" s="456"/>
    </row>
    <row r="1159" spans="1:8">
      <c r="A1159" s="456">
        <v>2155</v>
      </c>
      <c r="B1159" s="469" t="s">
        <v>2791</v>
      </c>
      <c r="C1159" s="458" t="s">
        <v>256</v>
      </c>
      <c r="D1159" s="456">
        <f>IF(Table10[[#This Row],[Current Age]]&gt;19,"Men's",IF(E1159&gt;15,"U19",IF(E1159&gt;13,"U15",IF(E1159&gt;11,"U13",IF(E1159&gt;0,"U11",0)))))</f>
        <v>0</v>
      </c>
      <c r="E1159" s="456">
        <f>IFERROR(IF(Table10[[#This Row],[Year]]&gt;0,$E$1-Table10[[#This Row],[Year]],0),"")</f>
        <v>0</v>
      </c>
      <c r="F1159" s="456"/>
      <c r="G1159" s="456"/>
      <c r="H1159" s="456"/>
    </row>
    <row r="1160" spans="1:8">
      <c r="A1160" s="471">
        <v>2156</v>
      </c>
      <c r="B1160" s="493" t="s">
        <v>2792</v>
      </c>
      <c r="C1160" s="472" t="s">
        <v>256</v>
      </c>
      <c r="D1160" s="456">
        <f>IF(Table10[[#This Row],[Current Age]]&gt;19,"Men's",IF(E1160&gt;15,"U19",IF(E1160&gt;13,"U15",IF(E1160&gt;11,"U13",IF(E1160&gt;0,"U11",0)))))</f>
        <v>0</v>
      </c>
      <c r="E1160" s="456">
        <f>IFERROR(IF(Table10[[#This Row],[Year]]&gt;0,$E$1-Table10[[#This Row],[Year]],0),"")</f>
        <v>0</v>
      </c>
      <c r="F1160" s="456"/>
      <c r="G1160" s="456"/>
      <c r="H1160" s="456"/>
    </row>
    <row r="1161" spans="1:8">
      <c r="A1161" s="456">
        <v>2157</v>
      </c>
      <c r="B1161" s="469" t="s">
        <v>2793</v>
      </c>
      <c r="C1161" s="458" t="s">
        <v>256</v>
      </c>
      <c r="D1161" s="456">
        <f>IF(Table10[[#This Row],[Current Age]]&gt;19,"Men's",IF(E1161&gt;15,"U19",IF(E1161&gt;13,"U15",IF(E1161&gt;11,"U13",IF(E1161&gt;0,"U11",0)))))</f>
        <v>0</v>
      </c>
      <c r="E1161" s="456">
        <f>IFERROR(IF(Table10[[#This Row],[Year]]&gt;0,$E$1-Table10[[#This Row],[Year]],0),"")</f>
        <v>0</v>
      </c>
      <c r="F1161" s="456"/>
      <c r="G1161" s="456"/>
      <c r="H1161" s="456"/>
    </row>
    <row r="1162" spans="1:8">
      <c r="A1162" s="471">
        <v>2158</v>
      </c>
      <c r="B1162" s="493" t="s">
        <v>2794</v>
      </c>
      <c r="C1162" s="472" t="s">
        <v>256</v>
      </c>
      <c r="D1162" s="456">
        <f>IF(Table10[[#This Row],[Current Age]]&gt;19,"Men's",IF(E1162&gt;15,"U19",IF(E1162&gt;13,"U15",IF(E1162&gt;11,"U13",IF(E1162&gt;0,"U11",0)))))</f>
        <v>0</v>
      </c>
      <c r="E1162" s="456">
        <f>IFERROR(IF(Table10[[#This Row],[Year]]&gt;0,$E$1-Table10[[#This Row],[Year]],0),"")</f>
        <v>0</v>
      </c>
      <c r="F1162" s="456"/>
      <c r="G1162" s="456"/>
      <c r="H1162" s="456"/>
    </row>
    <row r="1163" spans="1:8">
      <c r="A1163" s="456">
        <v>2159</v>
      </c>
      <c r="B1163" s="469" t="s">
        <v>658</v>
      </c>
      <c r="C1163" s="458" t="s">
        <v>2857</v>
      </c>
      <c r="D1163" s="456">
        <f>IF(Table10[[#This Row],[Current Age]]&gt;19,"Men's",IF(E1163&gt;15,"U19",IF(E1163&gt;13,"U15",IF(E1163&gt;11,"U13",IF(E1163&gt;0,"U11",0)))))</f>
        <v>0</v>
      </c>
      <c r="E1163" s="456">
        <f>IFERROR(IF(Table10[[#This Row],[Year]]&gt;0,$E$1-Table10[[#This Row],[Year]],0),"")</f>
        <v>0</v>
      </c>
      <c r="F1163" s="456"/>
      <c r="G1163" s="456"/>
      <c r="H1163" s="456"/>
    </row>
    <row r="1164" spans="1:8">
      <c r="A1164" s="471">
        <v>2160</v>
      </c>
      <c r="B1164" s="493" t="s">
        <v>2795</v>
      </c>
      <c r="C1164" s="472" t="s">
        <v>256</v>
      </c>
      <c r="D1164" s="456">
        <f>IF(Table10[[#This Row],[Current Age]]&gt;19,"Men's",IF(E1164&gt;15,"U19",IF(E1164&gt;13,"U15",IF(E1164&gt;11,"U13",IF(E1164&gt;0,"U11",0)))))</f>
        <v>0</v>
      </c>
      <c r="E1164" s="456">
        <f>IFERROR(IF(Table10[[#This Row],[Year]]&gt;0,$E$1-Table10[[#This Row],[Year]],0),"")</f>
        <v>0</v>
      </c>
      <c r="F1164" s="456"/>
      <c r="G1164" s="456"/>
      <c r="H1164" s="456"/>
    </row>
    <row r="1165" spans="1:8">
      <c r="A1165" s="456">
        <v>2161</v>
      </c>
      <c r="B1165" s="469" t="s">
        <v>659</v>
      </c>
      <c r="C1165" s="458" t="s">
        <v>249</v>
      </c>
      <c r="D1165" s="456" t="str">
        <f>IF(Table10[[#This Row],[Current Age]]&gt;19,"Men's",IF(E1165&gt;15,"U19",IF(E1165&gt;13,"U15",IF(E1165&gt;11,"U13",IF(E1165&gt;0,"U11",0)))))</f>
        <v>Men's</v>
      </c>
      <c r="E1165" s="456">
        <f>IFERROR(IF(Table10[[#This Row],[Year]]&gt;0,$E$1-Table10[[#This Row],[Year]],0),"")</f>
        <v>20</v>
      </c>
      <c r="F1165" s="456">
        <v>2005</v>
      </c>
      <c r="G1165" s="456">
        <v>1</v>
      </c>
      <c r="H1165" s="456">
        <v>10</v>
      </c>
    </row>
    <row r="1166" spans="1:8">
      <c r="A1166" s="471">
        <v>2162</v>
      </c>
      <c r="B1166" s="493" t="s">
        <v>660</v>
      </c>
      <c r="C1166" s="472" t="s">
        <v>248</v>
      </c>
      <c r="D1166" s="456" t="str">
        <f>IF(Table10[[#This Row],[Current Age]]&gt;19,"Men's",IF(E1166&gt;15,"U19",IF(E1166&gt;13,"U15",IF(E1166&gt;11,"U13",IF(E1166&gt;0,"U11",0)))))</f>
        <v>U19</v>
      </c>
      <c r="E1166" s="456">
        <f>IFERROR(IF(Table10[[#This Row],[Year]]&gt;0,$E$1-Table10[[#This Row],[Year]],0),"")</f>
        <v>19</v>
      </c>
      <c r="F1166" s="456">
        <v>2006</v>
      </c>
      <c r="G1166" s="456">
        <v>3</v>
      </c>
      <c r="H1166" s="456">
        <v>7</v>
      </c>
    </row>
    <row r="1167" spans="1:8">
      <c r="A1167" s="456">
        <v>2163</v>
      </c>
      <c r="B1167" s="469" t="s">
        <v>661</v>
      </c>
      <c r="C1167" s="458" t="s">
        <v>248</v>
      </c>
      <c r="D1167" s="456" t="str">
        <f>IF(Table10[[#This Row],[Current Age]]&gt;19,"Men's",IF(E1167&gt;15,"U19",IF(E1167&gt;13,"U15",IF(E1167&gt;11,"U13",IF(E1167&gt;0,"U11",0)))))</f>
        <v>Men's</v>
      </c>
      <c r="E1167" s="456">
        <f>IFERROR(IF(Table10[[#This Row],[Year]]&gt;0,$E$1-Table10[[#This Row],[Year]],0),"")</f>
        <v>20</v>
      </c>
      <c r="F1167" s="456">
        <v>2005</v>
      </c>
      <c r="G1167" s="456">
        <v>1</v>
      </c>
      <c r="H1167" s="456">
        <v>23</v>
      </c>
    </row>
    <row r="1168" spans="1:8">
      <c r="A1168" s="471">
        <v>2164</v>
      </c>
      <c r="B1168" s="493" t="s">
        <v>2100</v>
      </c>
      <c r="C1168" s="472" t="s">
        <v>248</v>
      </c>
      <c r="D1168" s="456" t="str">
        <f>IF(Table10[[#This Row],[Current Age]]&gt;19,"Men's",IF(E1168&gt;15,"U19",IF(E1168&gt;13,"U15",IF(E1168&gt;11,"U13",IF(E1168&gt;0,"U11",0)))))</f>
        <v>Men's</v>
      </c>
      <c r="E1168" s="456">
        <f>IFERROR(IF(Table10[[#This Row],[Year]]&gt;0,$E$1-Table10[[#This Row],[Year]],0),"")</f>
        <v>20</v>
      </c>
      <c r="F1168" s="456">
        <v>2005</v>
      </c>
      <c r="G1168" s="456">
        <v>6</v>
      </c>
      <c r="H1168" s="456">
        <v>1</v>
      </c>
    </row>
    <row r="1169" spans="1:8">
      <c r="A1169" s="456">
        <v>2165</v>
      </c>
      <c r="B1169" s="469" t="s">
        <v>662</v>
      </c>
      <c r="C1169" s="458" t="s">
        <v>248</v>
      </c>
      <c r="D1169" s="456" t="str">
        <f>IF(Table10[[#This Row],[Current Age]]&gt;19,"Men's",IF(E1169&gt;15,"U19",IF(E1169&gt;13,"U15",IF(E1169&gt;11,"U13",IF(E1169&gt;0,"U11",0)))))</f>
        <v>Men's</v>
      </c>
      <c r="E1169" s="456">
        <f>IFERROR(IF(Table10[[#This Row],[Year]]&gt;0,$E$1-Table10[[#This Row],[Year]],0),"")</f>
        <v>22</v>
      </c>
      <c r="F1169" s="456">
        <v>2003</v>
      </c>
      <c r="G1169" s="456">
        <v>5</v>
      </c>
      <c r="H1169" s="456">
        <v>20</v>
      </c>
    </row>
    <row r="1170" spans="1:8">
      <c r="A1170" s="471">
        <v>2166</v>
      </c>
      <c r="B1170" s="493" t="s">
        <v>663</v>
      </c>
      <c r="C1170" s="472" t="s">
        <v>248</v>
      </c>
      <c r="D1170" s="456" t="str">
        <f>IF(Table10[[#This Row],[Current Age]]&gt;19,"Men's",IF(E1170&gt;15,"U19",IF(E1170&gt;13,"U15",IF(E1170&gt;11,"U13",IF(E1170&gt;0,"U11",0)))))</f>
        <v>Men's</v>
      </c>
      <c r="E1170" s="456">
        <f>IFERROR(IF(Table10[[#This Row],[Year]]&gt;0,$E$1-Table10[[#This Row],[Year]],0),"")</f>
        <v>24</v>
      </c>
      <c r="F1170" s="456">
        <v>2001</v>
      </c>
      <c r="G1170" s="456">
        <v>5</v>
      </c>
      <c r="H1170" s="456">
        <v>20</v>
      </c>
    </row>
    <row r="1171" spans="1:8">
      <c r="A1171" s="456">
        <v>2167</v>
      </c>
      <c r="B1171" s="469" t="s">
        <v>664</v>
      </c>
      <c r="C1171" s="458" t="s">
        <v>248</v>
      </c>
      <c r="D1171" s="456" t="str">
        <f>IF(Table10[[#This Row],[Current Age]]&gt;19,"Men's",IF(E1171&gt;15,"U19",IF(E1171&gt;13,"U15",IF(E1171&gt;11,"U13",IF(E1171&gt;0,"U11",0)))))</f>
        <v>Men's</v>
      </c>
      <c r="E1171" s="456">
        <f>IFERROR(IF(Table10[[#This Row],[Year]]&gt;0,$E$1-Table10[[#This Row],[Year]],0),"")</f>
        <v>25</v>
      </c>
      <c r="F1171" s="456">
        <v>2000</v>
      </c>
      <c r="G1171" s="456">
        <v>9</v>
      </c>
      <c r="H1171" s="456">
        <v>5</v>
      </c>
    </row>
    <row r="1172" spans="1:8">
      <c r="A1172" s="471">
        <v>2168</v>
      </c>
      <c r="B1172" s="493" t="s">
        <v>665</v>
      </c>
      <c r="C1172" s="472" t="s">
        <v>248</v>
      </c>
      <c r="D1172" s="456" t="str">
        <f>IF(Table10[[#This Row],[Current Age]]&gt;19,"Men's",IF(E1172&gt;15,"U19",IF(E1172&gt;13,"U15",IF(E1172&gt;11,"U13",IF(E1172&gt;0,"U11",0)))))</f>
        <v>Men's</v>
      </c>
      <c r="E1172" s="456">
        <f>IFERROR(IF(Table10[[#This Row],[Year]]&gt;0,$E$1-Table10[[#This Row],[Year]],0),"")</f>
        <v>24</v>
      </c>
      <c r="F1172" s="456">
        <v>2001</v>
      </c>
      <c r="G1172" s="456">
        <v>3</v>
      </c>
      <c r="H1172" s="456">
        <v>12</v>
      </c>
    </row>
    <row r="1173" spans="1:8">
      <c r="A1173" s="456">
        <v>2169</v>
      </c>
      <c r="B1173" s="469" t="s">
        <v>666</v>
      </c>
      <c r="C1173" s="458" t="s">
        <v>248</v>
      </c>
      <c r="D1173" s="456" t="str">
        <f>IF(Table10[[#This Row],[Current Age]]&gt;19,"Men's",IF(E1173&gt;15,"U19",IF(E1173&gt;13,"U15",IF(E1173&gt;11,"U13",IF(E1173&gt;0,"U11",0)))))</f>
        <v>Men's</v>
      </c>
      <c r="E1173" s="456">
        <f>IFERROR(IF(Table10[[#This Row],[Year]]&gt;0,$E$1-Table10[[#This Row],[Year]],0),"")</f>
        <v>25</v>
      </c>
      <c r="F1173" s="456">
        <v>2000</v>
      </c>
      <c r="G1173" s="456">
        <v>12</v>
      </c>
      <c r="H1173" s="456">
        <v>27</v>
      </c>
    </row>
    <row r="1174" spans="1:8">
      <c r="A1174" s="471">
        <v>2170</v>
      </c>
      <c r="B1174" s="493" t="s">
        <v>1951</v>
      </c>
      <c r="C1174" s="472" t="s">
        <v>1908</v>
      </c>
      <c r="D1174" s="456">
        <f>IF(Table10[[#This Row],[Current Age]]&gt;19,"Men's",IF(E1174&gt;15,"U19",IF(E1174&gt;13,"U15",IF(E1174&gt;11,"U13",IF(E1174&gt;0,"U11",0)))))</f>
        <v>0</v>
      </c>
      <c r="E1174" s="456">
        <f>IFERROR(IF(Table10[[#This Row],[Year]]&gt;0,$E$1-Table10[[#This Row],[Year]],0),"")</f>
        <v>0</v>
      </c>
      <c r="F1174" s="456"/>
      <c r="G1174" s="456"/>
      <c r="H1174" s="456"/>
    </row>
    <row r="1175" spans="1:8">
      <c r="A1175" s="456">
        <v>2171</v>
      </c>
      <c r="B1175" s="469" t="s">
        <v>667</v>
      </c>
      <c r="C1175" s="458" t="s">
        <v>248</v>
      </c>
      <c r="D1175" s="456">
        <f>IF(Table10[[#This Row],[Current Age]]&gt;19,"Men's",IF(E1175&gt;15,"U19",IF(E1175&gt;13,"U15",IF(E1175&gt;11,"U13",IF(E1175&gt;0,"U11",0)))))</f>
        <v>0</v>
      </c>
      <c r="E1175" s="456">
        <f>IFERROR(IF(Table10[[#This Row],[Year]]&gt;0,$E$1-Table10[[#This Row],[Year]],0),"")</f>
        <v>0</v>
      </c>
      <c r="F1175" s="456"/>
      <c r="G1175" s="456"/>
      <c r="H1175" s="456"/>
    </row>
    <row r="1176" spans="1:8">
      <c r="A1176" s="471">
        <v>2172</v>
      </c>
      <c r="B1176" s="493" t="s">
        <v>2796</v>
      </c>
      <c r="C1176" s="472" t="s">
        <v>250</v>
      </c>
      <c r="D1176" s="456">
        <f>IF(Table10[[#This Row],[Current Age]]&gt;19,"Men's",IF(E1176&gt;15,"U19",IF(E1176&gt;13,"U15",IF(E1176&gt;11,"U13",IF(E1176&gt;0,"U11",0)))))</f>
        <v>0</v>
      </c>
      <c r="E1176" s="456">
        <f>IFERROR(IF(Table10[[#This Row],[Year]]&gt;0,$E$1-Table10[[#This Row],[Year]],0),"")</f>
        <v>0</v>
      </c>
      <c r="F1176" s="456"/>
      <c r="G1176" s="456"/>
      <c r="H1176" s="456"/>
    </row>
    <row r="1177" spans="1:8">
      <c r="A1177" s="456">
        <v>2173</v>
      </c>
      <c r="B1177" s="469" t="s">
        <v>2797</v>
      </c>
      <c r="C1177" s="458" t="s">
        <v>250</v>
      </c>
      <c r="D1177" s="456">
        <f>IF(Table10[[#This Row],[Current Age]]&gt;19,"Men's",IF(E1177&gt;15,"U19",IF(E1177&gt;13,"U15",IF(E1177&gt;11,"U13",IF(E1177&gt;0,"U11",0)))))</f>
        <v>0</v>
      </c>
      <c r="E1177" s="456">
        <f>IFERROR(IF(Table10[[#This Row],[Year]]&gt;0,$E$1-Table10[[#This Row],[Year]],0),"")</f>
        <v>0</v>
      </c>
      <c r="F1177" s="456"/>
      <c r="G1177" s="456"/>
      <c r="H1177" s="456"/>
    </row>
    <row r="1178" spans="1:8">
      <c r="A1178" s="471">
        <v>2174</v>
      </c>
      <c r="B1178" s="493" t="s">
        <v>2798</v>
      </c>
      <c r="C1178" s="472" t="s">
        <v>250</v>
      </c>
      <c r="D1178" s="456">
        <f>IF(Table10[[#This Row],[Current Age]]&gt;19,"Men's",IF(E1178&gt;15,"U19",IF(E1178&gt;13,"U15",IF(E1178&gt;11,"U13",IF(E1178&gt;0,"U11",0)))))</f>
        <v>0</v>
      </c>
      <c r="E1178" s="456">
        <f>IFERROR(IF(Table10[[#This Row],[Year]]&gt;0,$E$1-Table10[[#This Row],[Year]],0),"")</f>
        <v>0</v>
      </c>
      <c r="F1178" s="456"/>
      <c r="G1178" s="456"/>
      <c r="H1178" s="456"/>
    </row>
    <row r="1179" spans="1:8">
      <c r="A1179" s="456">
        <v>2175</v>
      </c>
      <c r="B1179" s="469" t="s">
        <v>668</v>
      </c>
      <c r="C1179" s="458" t="s">
        <v>249</v>
      </c>
      <c r="D1179" s="456" t="str">
        <f>IF(Table10[[#This Row],[Current Age]]&gt;19,"Men's",IF(E1179&gt;15,"U19",IF(E1179&gt;13,"U15",IF(E1179&gt;11,"U13",IF(E1179&gt;0,"U11",0)))))</f>
        <v>U19</v>
      </c>
      <c r="E1179" s="456">
        <f>IFERROR(IF(Table10[[#This Row],[Year]]&gt;0,$E$1-Table10[[#This Row],[Year]],0),"")</f>
        <v>18</v>
      </c>
      <c r="F1179" s="456">
        <v>2007</v>
      </c>
      <c r="G1179" s="456">
        <v>6</v>
      </c>
      <c r="H1179" s="456">
        <v>1</v>
      </c>
    </row>
    <row r="1180" spans="1:8">
      <c r="A1180" s="471">
        <v>2176</v>
      </c>
      <c r="B1180" s="493" t="s">
        <v>2799</v>
      </c>
      <c r="C1180" s="472" t="s">
        <v>256</v>
      </c>
      <c r="D1180" s="456">
        <f>IF(Table10[[#This Row],[Current Age]]&gt;19,"Men's",IF(E1180&gt;15,"U19",IF(E1180&gt;13,"U15",IF(E1180&gt;11,"U13",IF(E1180&gt;0,"U11",0)))))</f>
        <v>0</v>
      </c>
      <c r="E1180" s="456">
        <f>IFERROR(IF(Table10[[#This Row],[Year]]&gt;0,$E$1-Table10[[#This Row],[Year]],0),"")</f>
        <v>0</v>
      </c>
      <c r="F1180" s="456"/>
      <c r="G1180" s="456"/>
      <c r="H1180" s="456"/>
    </row>
    <row r="1181" spans="1:8">
      <c r="A1181" s="456">
        <v>2177</v>
      </c>
      <c r="B1181" s="469" t="s">
        <v>2800</v>
      </c>
      <c r="C1181" s="458" t="s">
        <v>256</v>
      </c>
      <c r="D1181" s="456">
        <f>IF(Table10[[#This Row],[Current Age]]&gt;19,"Men's",IF(E1181&gt;15,"U19",IF(E1181&gt;13,"U15",IF(E1181&gt;11,"U13",IF(E1181&gt;0,"U11",0)))))</f>
        <v>0</v>
      </c>
      <c r="E1181" s="456">
        <f>IFERROR(IF(Table10[[#This Row],[Year]]&gt;0,$E$1-Table10[[#This Row],[Year]],0),"")</f>
        <v>0</v>
      </c>
      <c r="F1181" s="456"/>
      <c r="G1181" s="456"/>
      <c r="H1181" s="456"/>
    </row>
    <row r="1182" spans="1:8">
      <c r="A1182" s="471">
        <v>2178</v>
      </c>
      <c r="B1182" s="493" t="s">
        <v>2801</v>
      </c>
      <c r="C1182" s="472" t="s">
        <v>256</v>
      </c>
      <c r="D1182" s="456">
        <f>IF(Table10[[#This Row],[Current Age]]&gt;19,"Men's",IF(E1182&gt;15,"U19",IF(E1182&gt;13,"U15",IF(E1182&gt;11,"U13",IF(E1182&gt;0,"U11",0)))))</f>
        <v>0</v>
      </c>
      <c r="E1182" s="456">
        <f>IFERROR(IF(Table10[[#This Row],[Year]]&gt;0,$E$1-Table10[[#This Row],[Year]],0),"")</f>
        <v>0</v>
      </c>
      <c r="F1182" s="456"/>
      <c r="G1182" s="456"/>
      <c r="H1182" s="456"/>
    </row>
    <row r="1183" spans="1:8">
      <c r="A1183" s="456">
        <v>2179</v>
      </c>
      <c r="B1183" s="469" t="s">
        <v>2802</v>
      </c>
      <c r="C1183" s="458" t="s">
        <v>256</v>
      </c>
      <c r="D1183" s="456">
        <f>IF(Table10[[#This Row],[Current Age]]&gt;19,"Men's",IF(E1183&gt;15,"U19",IF(E1183&gt;13,"U15",IF(E1183&gt;11,"U13",IF(E1183&gt;0,"U11",0)))))</f>
        <v>0</v>
      </c>
      <c r="E1183" s="456">
        <f>IFERROR(IF(Table10[[#This Row],[Year]]&gt;0,$E$1-Table10[[#This Row],[Year]],0),"")</f>
        <v>0</v>
      </c>
      <c r="F1183" s="456"/>
      <c r="G1183" s="456"/>
      <c r="H1183" s="456"/>
    </row>
    <row r="1184" spans="1:8">
      <c r="A1184" s="471">
        <v>2180</v>
      </c>
      <c r="B1184" s="493" t="s">
        <v>2803</v>
      </c>
      <c r="C1184" s="472" t="s">
        <v>256</v>
      </c>
      <c r="D1184" s="456">
        <f>IF(Table10[[#This Row],[Current Age]]&gt;19,"Men's",IF(E1184&gt;15,"U19",IF(E1184&gt;13,"U15",IF(E1184&gt;11,"U13",IF(E1184&gt;0,"U11",0)))))</f>
        <v>0</v>
      </c>
      <c r="E1184" s="456">
        <f>IFERROR(IF(Table10[[#This Row],[Year]]&gt;0,$E$1-Table10[[#This Row],[Year]],0),"")</f>
        <v>0</v>
      </c>
      <c r="F1184" s="456"/>
      <c r="G1184" s="456"/>
      <c r="H1184" s="456"/>
    </row>
    <row r="1185" spans="1:8">
      <c r="A1185" s="456">
        <v>2181</v>
      </c>
      <c r="B1185" s="469" t="s">
        <v>1952</v>
      </c>
      <c r="C1185" s="458" t="s">
        <v>1908</v>
      </c>
      <c r="D1185" s="456">
        <f>IF(Table10[[#This Row],[Current Age]]&gt;19,"Men's",IF(E1185&gt;15,"U19",IF(E1185&gt;13,"U15",IF(E1185&gt;11,"U13",IF(E1185&gt;0,"U11",0)))))</f>
        <v>0</v>
      </c>
      <c r="E1185" s="456">
        <f>IFERROR(IF(Table10[[#This Row],[Year]]&gt;0,$E$1-Table10[[#This Row],[Year]],0),"")</f>
        <v>0</v>
      </c>
      <c r="F1185" s="456"/>
      <c r="G1185" s="456"/>
      <c r="H1185" s="456"/>
    </row>
    <row r="1186" spans="1:8">
      <c r="A1186" s="471">
        <v>2182</v>
      </c>
      <c r="B1186" s="493" t="s">
        <v>1953</v>
      </c>
      <c r="C1186" s="472" t="s">
        <v>1908</v>
      </c>
      <c r="D1186" s="456">
        <f>IF(Table10[[#This Row],[Current Age]]&gt;19,"Men's",IF(E1186&gt;15,"U19",IF(E1186&gt;13,"U15",IF(E1186&gt;11,"U13",IF(E1186&gt;0,"U11",0)))))</f>
        <v>0</v>
      </c>
      <c r="E1186" s="456">
        <f>IFERROR(IF(Table10[[#This Row],[Year]]&gt;0,$E$1-Table10[[#This Row],[Year]],0),"")</f>
        <v>0</v>
      </c>
      <c r="F1186" s="456"/>
      <c r="G1186" s="456"/>
      <c r="H1186" s="456"/>
    </row>
    <row r="1187" spans="1:8">
      <c r="A1187" s="456">
        <v>2183</v>
      </c>
      <c r="B1187" s="469" t="s">
        <v>669</v>
      </c>
      <c r="C1187" s="458" t="s">
        <v>256</v>
      </c>
      <c r="D1187" s="456">
        <f>IF(Table10[[#This Row],[Current Age]]&gt;19,"Men's",IF(E1187&gt;15,"U19",IF(E1187&gt;13,"U15",IF(E1187&gt;11,"U13",IF(E1187&gt;0,"U11",0)))))</f>
        <v>0</v>
      </c>
      <c r="E1187" s="456">
        <f>IFERROR(IF(Table10[[#This Row],[Year]]&gt;0,$E$1-Table10[[#This Row],[Year]],0),"")</f>
        <v>0</v>
      </c>
      <c r="F1187" s="456"/>
      <c r="G1187" s="456"/>
      <c r="H1187" s="456"/>
    </row>
    <row r="1188" spans="1:8">
      <c r="A1188" s="471">
        <v>2184</v>
      </c>
      <c r="B1188" s="493" t="s">
        <v>670</v>
      </c>
      <c r="C1188" s="472" t="s">
        <v>671</v>
      </c>
      <c r="D1188" s="456" t="str">
        <f>IF(Table10[[#This Row],[Current Age]]&gt;19,"Men's",IF(E1188&gt;15,"U19",IF(E1188&gt;13,"U15",IF(E1188&gt;11,"U13",IF(E1188&gt;0,"U11",0)))))</f>
        <v>U19</v>
      </c>
      <c r="E1188" s="456">
        <f>IFERROR(IF(Table10[[#This Row],[Year]]&gt;0,$E$1-Table10[[#This Row],[Year]],0),"")</f>
        <v>18</v>
      </c>
      <c r="F1188" s="456">
        <v>2007</v>
      </c>
      <c r="G1188" s="456">
        <v>7</v>
      </c>
      <c r="H1188" s="456">
        <v>26</v>
      </c>
    </row>
    <row r="1189" spans="1:8">
      <c r="A1189" s="456">
        <v>2185</v>
      </c>
      <c r="B1189" s="469" t="s">
        <v>672</v>
      </c>
      <c r="C1189" s="458" t="s">
        <v>671</v>
      </c>
      <c r="D1189" s="456" t="str">
        <f>IF(Table10[[#This Row],[Current Age]]&gt;19,"Men's",IF(E1189&gt;15,"U19",IF(E1189&gt;13,"U15",IF(E1189&gt;11,"U13",IF(E1189&gt;0,"U11",0)))))</f>
        <v>U19</v>
      </c>
      <c r="E1189" s="456">
        <f>IFERROR(IF(Table10[[#This Row],[Year]]&gt;0,$E$1-Table10[[#This Row],[Year]],0),"")</f>
        <v>18</v>
      </c>
      <c r="F1189" s="456">
        <v>2007</v>
      </c>
      <c r="G1189" s="456">
        <v>4</v>
      </c>
      <c r="H1189" s="456">
        <v>10</v>
      </c>
    </row>
    <row r="1190" spans="1:8">
      <c r="A1190" s="471">
        <v>2186</v>
      </c>
      <c r="B1190" s="493" t="s">
        <v>673</v>
      </c>
      <c r="C1190" s="472" t="s">
        <v>671</v>
      </c>
      <c r="D1190" s="456" t="str">
        <f>IF(Table10[[#This Row],[Current Age]]&gt;19,"Men's",IF(E1190&gt;15,"U19",IF(E1190&gt;13,"U15",IF(E1190&gt;11,"U13",IF(E1190&gt;0,"U11",0)))))</f>
        <v>U19</v>
      </c>
      <c r="E1190" s="456">
        <f>IFERROR(IF(Table10[[#This Row],[Year]]&gt;0,$E$1-Table10[[#This Row],[Year]],0),"")</f>
        <v>18</v>
      </c>
      <c r="F1190" s="456">
        <v>2007</v>
      </c>
      <c r="G1190" s="456">
        <v>6</v>
      </c>
      <c r="H1190" s="456">
        <v>26</v>
      </c>
    </row>
    <row r="1191" spans="1:8">
      <c r="A1191" s="456">
        <v>2187</v>
      </c>
      <c r="B1191" s="469" t="s">
        <v>674</v>
      </c>
      <c r="C1191" s="458" t="s">
        <v>671</v>
      </c>
      <c r="D1191" s="456" t="str">
        <f>IF(Table10[[#This Row],[Current Age]]&gt;19,"Men's",IF(E1191&gt;15,"U19",IF(E1191&gt;13,"U15",IF(E1191&gt;11,"U13",IF(E1191&gt;0,"U11",0)))))</f>
        <v>Men's</v>
      </c>
      <c r="E1191" s="456">
        <f>IFERROR(IF(Table10[[#This Row],[Year]]&gt;0,$E$1-Table10[[#This Row],[Year]],0),"")</f>
        <v>20</v>
      </c>
      <c r="F1191" s="456">
        <v>2005</v>
      </c>
      <c r="G1191" s="456">
        <v>1</v>
      </c>
      <c r="H1191" s="456">
        <v>23</v>
      </c>
    </row>
    <row r="1192" spans="1:8">
      <c r="A1192" s="471">
        <v>2188</v>
      </c>
      <c r="B1192" s="493" t="s">
        <v>675</v>
      </c>
      <c r="C1192" s="472" t="s">
        <v>671</v>
      </c>
      <c r="D1192" s="456" t="str">
        <f>IF(Table10[[#This Row],[Current Age]]&gt;19,"Men's",IF(E1192&gt;15,"U19",IF(E1192&gt;13,"U15",IF(E1192&gt;11,"U13",IF(E1192&gt;0,"U11",0)))))</f>
        <v>U19</v>
      </c>
      <c r="E1192" s="456">
        <f>IFERROR(IF(Table10[[#This Row],[Year]]&gt;0,$E$1-Table10[[#This Row],[Year]],0),"")</f>
        <v>18</v>
      </c>
      <c r="F1192" s="456">
        <v>2007</v>
      </c>
      <c r="G1192" s="456">
        <v>7</v>
      </c>
      <c r="H1192" s="456">
        <v>22</v>
      </c>
    </row>
    <row r="1193" spans="1:8">
      <c r="A1193" s="456">
        <v>2189</v>
      </c>
      <c r="B1193" s="469" t="s">
        <v>676</v>
      </c>
      <c r="C1193" s="458" t="s">
        <v>671</v>
      </c>
      <c r="D1193" s="456">
        <f>IF(Table10[[#This Row],[Current Age]]&gt;19,"Men's",IF(E1193&gt;15,"U19",IF(E1193&gt;13,"U15",IF(E1193&gt;11,"U13",IF(E1193&gt;0,"U11",0)))))</f>
        <v>0</v>
      </c>
      <c r="E1193" s="456">
        <f>IFERROR(IF(Table10[[#This Row],[Year]]&gt;0,$E$1-Table10[[#This Row],[Year]],0),"")</f>
        <v>0</v>
      </c>
      <c r="F1193" s="456"/>
      <c r="G1193" s="456"/>
      <c r="H1193" s="456"/>
    </row>
    <row r="1194" spans="1:8">
      <c r="A1194" s="471">
        <v>2190</v>
      </c>
      <c r="B1194" s="493" t="s">
        <v>677</v>
      </c>
      <c r="C1194" s="472" t="s">
        <v>671</v>
      </c>
      <c r="D1194" s="456">
        <f>IF(Table10[[#This Row],[Current Age]]&gt;19,"Men's",IF(E1194&gt;15,"U19",IF(E1194&gt;13,"U15",IF(E1194&gt;11,"U13",IF(E1194&gt;0,"U11",0)))))</f>
        <v>0</v>
      </c>
      <c r="E1194" s="456">
        <f>IFERROR(IF(Table10[[#This Row],[Year]]&gt;0,$E$1-Table10[[#This Row],[Year]],0),"")</f>
        <v>0</v>
      </c>
      <c r="F1194" s="456"/>
      <c r="G1194" s="456"/>
      <c r="H1194" s="456"/>
    </row>
    <row r="1195" spans="1:8">
      <c r="A1195" s="456">
        <v>2191</v>
      </c>
      <c r="B1195" s="469" t="s">
        <v>678</v>
      </c>
      <c r="C1195" s="458" t="s">
        <v>671</v>
      </c>
      <c r="D1195" s="456">
        <f>IF(Table10[[#This Row],[Current Age]]&gt;19,"Men's",IF(E1195&gt;15,"U19",IF(E1195&gt;13,"U15",IF(E1195&gt;11,"U13",IF(E1195&gt;0,"U11",0)))))</f>
        <v>0</v>
      </c>
      <c r="E1195" s="456">
        <f>IFERROR(IF(Table10[[#This Row],[Year]]&gt;0,$E$1-Table10[[#This Row],[Year]],0),"")</f>
        <v>0</v>
      </c>
      <c r="F1195" s="456"/>
      <c r="G1195" s="456"/>
      <c r="H1195" s="456"/>
    </row>
    <row r="1196" spans="1:8">
      <c r="A1196" s="471">
        <v>2192</v>
      </c>
      <c r="B1196" s="493" t="s">
        <v>1954</v>
      </c>
      <c r="C1196" s="472" t="s">
        <v>1908</v>
      </c>
      <c r="D1196" s="456">
        <f>IF(Table10[[#This Row],[Current Age]]&gt;19,"Men's",IF(E1196&gt;15,"U19",IF(E1196&gt;13,"U15",IF(E1196&gt;11,"U13",IF(E1196&gt;0,"U11",0)))))</f>
        <v>0</v>
      </c>
      <c r="E1196" s="456">
        <f>IFERROR(IF(Table10[[#This Row],[Year]]&gt;0,$E$1-Table10[[#This Row],[Year]],0),"")</f>
        <v>0</v>
      </c>
      <c r="F1196" s="456"/>
      <c r="G1196" s="456"/>
      <c r="H1196" s="456"/>
    </row>
    <row r="1197" spans="1:8">
      <c r="A1197" s="456">
        <v>2193</v>
      </c>
      <c r="B1197" s="469" t="s">
        <v>679</v>
      </c>
      <c r="C1197" s="458" t="s">
        <v>671</v>
      </c>
      <c r="D1197" s="456">
        <f>IF(Table10[[#This Row],[Current Age]]&gt;19,"Men's",IF(E1197&gt;15,"U19",IF(E1197&gt;13,"U15",IF(E1197&gt;11,"U13",IF(E1197&gt;0,"U11",0)))))</f>
        <v>0</v>
      </c>
      <c r="E1197" s="456">
        <f>IFERROR(IF(Table10[[#This Row],[Year]]&gt;0,$E$1-Table10[[#This Row],[Year]],0),"")</f>
        <v>0</v>
      </c>
      <c r="F1197" s="456"/>
      <c r="G1197" s="456"/>
      <c r="H1197" s="456"/>
    </row>
    <row r="1198" spans="1:8">
      <c r="A1198" s="471">
        <v>2194</v>
      </c>
      <c r="B1198" s="493" t="s">
        <v>680</v>
      </c>
      <c r="C1198" s="472" t="s">
        <v>671</v>
      </c>
      <c r="D1198" s="456">
        <f>IF(Table10[[#This Row],[Current Age]]&gt;19,"Men's",IF(E1198&gt;15,"U19",IF(E1198&gt;13,"U15",IF(E1198&gt;11,"U13",IF(E1198&gt;0,"U11",0)))))</f>
        <v>0</v>
      </c>
      <c r="E1198" s="456">
        <f>IFERROR(IF(Table10[[#This Row],[Year]]&gt;0,$E$1-Table10[[#This Row],[Year]],0),"")</f>
        <v>0</v>
      </c>
      <c r="F1198" s="456"/>
      <c r="G1198" s="456"/>
      <c r="H1198" s="456"/>
    </row>
    <row r="1199" spans="1:8">
      <c r="A1199" s="456">
        <v>2195</v>
      </c>
      <c r="B1199" s="469" t="s">
        <v>681</v>
      </c>
      <c r="C1199" s="458" t="s">
        <v>671</v>
      </c>
      <c r="D1199" s="456">
        <f>IF(Table10[[#This Row],[Current Age]]&gt;19,"Men's",IF(E1199&gt;15,"U19",IF(E1199&gt;13,"U15",IF(E1199&gt;11,"U13",IF(E1199&gt;0,"U11",0)))))</f>
        <v>0</v>
      </c>
      <c r="E1199" s="456">
        <f>IFERROR(IF(Table10[[#This Row],[Year]]&gt;0,$E$1-Table10[[#This Row],[Year]],0),"")</f>
        <v>0</v>
      </c>
      <c r="F1199" s="456"/>
      <c r="G1199" s="456"/>
      <c r="H1199" s="456"/>
    </row>
    <row r="1200" spans="1:8">
      <c r="A1200" s="471">
        <v>2196</v>
      </c>
      <c r="B1200" s="493" t="s">
        <v>682</v>
      </c>
      <c r="C1200" s="472" t="s">
        <v>671</v>
      </c>
      <c r="D1200" s="456" t="str">
        <f>IF(Table10[[#This Row],[Current Age]]&gt;19,"Men's",IF(E1200&gt;15,"U19",IF(E1200&gt;13,"U15",IF(E1200&gt;11,"U13",IF(E1200&gt;0,"U11",0)))))</f>
        <v>Men's</v>
      </c>
      <c r="E1200" s="456">
        <f>IFERROR(IF(Table10[[#This Row],[Year]]&gt;0,$E$1-Table10[[#This Row],[Year]],0),"")</f>
        <v>26</v>
      </c>
      <c r="F1200" s="456">
        <v>1999</v>
      </c>
      <c r="G1200" s="456">
        <v>9</v>
      </c>
      <c r="H1200" s="456">
        <v>30</v>
      </c>
    </row>
    <row r="1201" spans="1:8">
      <c r="A1201" s="456">
        <v>2197</v>
      </c>
      <c r="B1201" s="469" t="s">
        <v>1955</v>
      </c>
      <c r="C1201" s="458" t="s">
        <v>1908</v>
      </c>
      <c r="D1201" s="456">
        <f>IF(Table10[[#This Row],[Current Age]]&gt;19,"Men's",IF(E1201&gt;15,"U19",IF(E1201&gt;13,"U15",IF(E1201&gt;11,"U13",IF(E1201&gt;0,"U11",0)))))</f>
        <v>0</v>
      </c>
      <c r="E1201" s="456">
        <f>IFERROR(IF(Table10[[#This Row],[Year]]&gt;0,$E$1-Table10[[#This Row],[Year]],0),"")</f>
        <v>0</v>
      </c>
      <c r="F1201" s="456"/>
      <c r="G1201" s="456"/>
      <c r="H1201" s="456"/>
    </row>
    <row r="1202" spans="1:8">
      <c r="A1202" s="471">
        <v>2198</v>
      </c>
      <c r="B1202" s="493" t="s">
        <v>683</v>
      </c>
      <c r="C1202" s="472" t="s">
        <v>671</v>
      </c>
      <c r="D1202" s="456">
        <f>IF(Table10[[#This Row],[Current Age]]&gt;19,"Men's",IF(E1202&gt;15,"U19",IF(E1202&gt;13,"U15",IF(E1202&gt;11,"U13",IF(E1202&gt;0,"U11",0)))))</f>
        <v>0</v>
      </c>
      <c r="E1202" s="456">
        <f>IFERROR(IF(Table10[[#This Row],[Year]]&gt;0,$E$1-Table10[[#This Row],[Year]],0),"")</f>
        <v>0</v>
      </c>
      <c r="F1202" s="456"/>
      <c r="G1202" s="456"/>
      <c r="H1202" s="456"/>
    </row>
    <row r="1203" spans="1:8">
      <c r="A1203" s="456">
        <v>2199</v>
      </c>
      <c r="B1203" s="469" t="s">
        <v>684</v>
      </c>
      <c r="C1203" s="458" t="s">
        <v>671</v>
      </c>
      <c r="D1203" s="456">
        <f>IF(Table10[[#This Row],[Current Age]]&gt;19,"Men's",IF(E1203&gt;15,"U19",IF(E1203&gt;13,"U15",IF(E1203&gt;11,"U13",IF(E1203&gt;0,"U11",0)))))</f>
        <v>0</v>
      </c>
      <c r="E1203" s="456">
        <f>IFERROR(IF(Table10[[#This Row],[Year]]&gt;0,$E$1-Table10[[#This Row],[Year]],0),"")</f>
        <v>0</v>
      </c>
      <c r="F1203" s="456"/>
      <c r="G1203" s="456"/>
      <c r="H1203" s="456"/>
    </row>
    <row r="1204" spans="1:8">
      <c r="A1204" s="471">
        <v>2200</v>
      </c>
      <c r="B1204" s="493" t="s">
        <v>1956</v>
      </c>
      <c r="C1204" s="472" t="s">
        <v>1908</v>
      </c>
      <c r="D1204" s="456">
        <f>IF(Table10[[#This Row],[Current Age]]&gt;19,"Men's",IF(E1204&gt;15,"U19",IF(E1204&gt;13,"U15",IF(E1204&gt;11,"U13",IF(E1204&gt;0,"U11",0)))))</f>
        <v>0</v>
      </c>
      <c r="E1204" s="456">
        <f>IFERROR(IF(Table10[[#This Row],[Year]]&gt;0,$E$1-Table10[[#This Row],[Year]],0),"")</f>
        <v>0</v>
      </c>
      <c r="F1204" s="456"/>
      <c r="G1204" s="456"/>
      <c r="H1204" s="456"/>
    </row>
    <row r="1205" spans="1:8">
      <c r="A1205" s="456">
        <v>2201</v>
      </c>
      <c r="B1205" s="469" t="s">
        <v>1957</v>
      </c>
      <c r="C1205" s="458" t="s">
        <v>1908</v>
      </c>
      <c r="D1205" s="456">
        <f>IF(Table10[[#This Row],[Current Age]]&gt;19,"Men's",IF(E1205&gt;15,"U19",IF(E1205&gt;13,"U15",IF(E1205&gt;11,"U13",IF(E1205&gt;0,"U11",0)))))</f>
        <v>0</v>
      </c>
      <c r="E1205" s="456">
        <f>IFERROR(IF(Table10[[#This Row],[Year]]&gt;0,$E$1-Table10[[#This Row],[Year]],0),"")</f>
        <v>0</v>
      </c>
      <c r="F1205" s="456"/>
      <c r="G1205" s="456"/>
      <c r="H1205" s="456"/>
    </row>
    <row r="1206" spans="1:8">
      <c r="A1206" s="471">
        <v>2202</v>
      </c>
      <c r="B1206" s="493" t="s">
        <v>1958</v>
      </c>
      <c r="C1206" s="472" t="s">
        <v>4720</v>
      </c>
      <c r="D1206" s="456">
        <f>IF(Table10[[#This Row],[Current Age]]&gt;19,"Men's",IF(E1206&gt;15,"U19",IF(E1206&gt;13,"U15",IF(E1206&gt;11,"U13",IF(E1206&gt;0,"U11",0)))))</f>
        <v>0</v>
      </c>
      <c r="E1206" s="456">
        <f>IFERROR(IF(Table10[[#This Row],[Year]]&gt;0,$E$1-Table10[[#This Row],[Year]],0),"")</f>
        <v>0</v>
      </c>
      <c r="F1206" s="456"/>
      <c r="G1206" s="456"/>
      <c r="H1206" s="456"/>
    </row>
    <row r="1207" spans="1:8">
      <c r="A1207" s="456">
        <v>2203</v>
      </c>
      <c r="B1207" s="469" t="s">
        <v>685</v>
      </c>
      <c r="C1207" s="458" t="s">
        <v>253</v>
      </c>
      <c r="D1207" s="456">
        <f>IF(Table10[[#This Row],[Current Age]]&gt;19,"Men's",IF(E1207&gt;15,"U19",IF(E1207&gt;13,"U15",IF(E1207&gt;11,"U13",IF(E1207&gt;0,"U11",0)))))</f>
        <v>0</v>
      </c>
      <c r="E1207" s="456">
        <f>IFERROR(IF(Table10[[#This Row],[Year]]&gt;0,$E$1-Table10[[#This Row],[Year]],0),"")</f>
        <v>0</v>
      </c>
      <c r="F1207" s="456"/>
      <c r="G1207" s="456"/>
      <c r="H1207" s="456"/>
    </row>
    <row r="1208" spans="1:8">
      <c r="A1208" s="471">
        <v>2204</v>
      </c>
      <c r="B1208" s="493" t="s">
        <v>686</v>
      </c>
      <c r="C1208" s="472" t="s">
        <v>253</v>
      </c>
      <c r="D1208" s="456">
        <f>IF(Table10[[#This Row],[Current Age]]&gt;19,"Men's",IF(E1208&gt;15,"U19",IF(E1208&gt;13,"U15",IF(E1208&gt;11,"U13",IF(E1208&gt;0,"U11",0)))))</f>
        <v>0</v>
      </c>
      <c r="E1208" s="456">
        <f>IFERROR(IF(Table10[[#This Row],[Year]]&gt;0,$E$1-Table10[[#This Row],[Year]],0),"")</f>
        <v>0</v>
      </c>
      <c r="F1208" s="456"/>
      <c r="G1208" s="456"/>
      <c r="H1208" s="456"/>
    </row>
    <row r="1209" spans="1:8">
      <c r="A1209" s="456">
        <v>2205</v>
      </c>
      <c r="B1209" s="469" t="s">
        <v>687</v>
      </c>
      <c r="C1209" s="458" t="s">
        <v>253</v>
      </c>
      <c r="D1209" s="456">
        <f>IF(Table10[[#This Row],[Current Age]]&gt;19,"Men's",IF(E1209&gt;15,"U19",IF(E1209&gt;13,"U15",IF(E1209&gt;11,"U13",IF(E1209&gt;0,"U11",0)))))</f>
        <v>0</v>
      </c>
      <c r="E1209" s="456">
        <f>IFERROR(IF(Table10[[#This Row],[Year]]&gt;0,$E$1-Table10[[#This Row],[Year]],0),"")</f>
        <v>0</v>
      </c>
      <c r="F1209" s="456"/>
      <c r="G1209" s="456"/>
      <c r="H1209" s="456"/>
    </row>
    <row r="1210" spans="1:8">
      <c r="A1210" s="471">
        <v>2206</v>
      </c>
      <c r="B1210" s="493" t="s">
        <v>688</v>
      </c>
      <c r="C1210" s="472" t="s">
        <v>253</v>
      </c>
      <c r="D1210" s="456">
        <f>IF(Table10[[#This Row],[Current Age]]&gt;19,"Men's",IF(E1210&gt;15,"U19",IF(E1210&gt;13,"U15",IF(E1210&gt;11,"U13",IF(E1210&gt;0,"U11",0)))))</f>
        <v>0</v>
      </c>
      <c r="E1210" s="456">
        <f>IFERROR(IF(Table10[[#This Row],[Year]]&gt;0,$E$1-Table10[[#This Row],[Year]],0),"")</f>
        <v>0</v>
      </c>
      <c r="F1210" s="456"/>
      <c r="G1210" s="456"/>
      <c r="H1210" s="456"/>
    </row>
    <row r="1211" spans="1:8">
      <c r="A1211" s="456">
        <v>2207</v>
      </c>
      <c r="B1211" s="469" t="s">
        <v>689</v>
      </c>
      <c r="C1211" s="458" t="s">
        <v>253</v>
      </c>
      <c r="D1211" s="456">
        <f>IF(Table10[[#This Row],[Current Age]]&gt;19,"Men's",IF(E1211&gt;15,"U19",IF(E1211&gt;13,"U15",IF(E1211&gt;11,"U13",IF(E1211&gt;0,"U11",0)))))</f>
        <v>0</v>
      </c>
      <c r="E1211" s="456">
        <f>IFERROR(IF(Table10[[#This Row],[Year]]&gt;0,$E$1-Table10[[#This Row],[Year]],0),"")</f>
        <v>0</v>
      </c>
      <c r="F1211" s="456"/>
      <c r="G1211" s="456"/>
      <c r="H1211" s="456"/>
    </row>
    <row r="1212" spans="1:8">
      <c r="A1212" s="471">
        <v>2208</v>
      </c>
      <c r="B1212" s="493" t="s">
        <v>690</v>
      </c>
      <c r="C1212" s="472" t="s">
        <v>253</v>
      </c>
      <c r="D1212" s="456">
        <f>IF(Table10[[#This Row],[Current Age]]&gt;19,"Men's",IF(E1212&gt;15,"U19",IF(E1212&gt;13,"U15",IF(E1212&gt;11,"U13",IF(E1212&gt;0,"U11",0)))))</f>
        <v>0</v>
      </c>
      <c r="E1212" s="456">
        <f>IFERROR(IF(Table10[[#This Row],[Year]]&gt;0,$E$1-Table10[[#This Row],[Year]],0),"")</f>
        <v>0</v>
      </c>
      <c r="F1212" s="456"/>
      <c r="G1212" s="456"/>
      <c r="H1212" s="456"/>
    </row>
    <row r="1213" spans="1:8">
      <c r="A1213" s="456">
        <v>2209</v>
      </c>
      <c r="B1213" s="469" t="s">
        <v>691</v>
      </c>
      <c r="C1213" s="458" t="s">
        <v>253</v>
      </c>
      <c r="D1213" s="456" t="str">
        <f>IF(Table10[[#This Row],[Current Age]]&gt;19,"Men's",IF(E1213&gt;15,"U19",IF(E1213&gt;13,"U15",IF(E1213&gt;11,"U13",IF(E1213&gt;0,"U11",0)))))</f>
        <v>Men's</v>
      </c>
      <c r="E1213" s="456">
        <f>IFERROR(IF(Table10[[#This Row],[Year]]&gt;0,$E$1-Table10[[#This Row],[Year]],0),"")</f>
        <v>22</v>
      </c>
      <c r="F1213" s="456">
        <v>2003</v>
      </c>
      <c r="G1213" s="456">
        <v>11</v>
      </c>
      <c r="H1213" s="456">
        <v>8</v>
      </c>
    </row>
    <row r="1214" spans="1:8">
      <c r="A1214" s="471">
        <v>2210</v>
      </c>
      <c r="B1214" s="493" t="s">
        <v>2355</v>
      </c>
      <c r="C1214" s="472" t="s">
        <v>4720</v>
      </c>
      <c r="D1214" s="456">
        <f>IF(Table10[[#This Row],[Current Age]]&gt;19,"Men's",IF(E1214&gt;15,"U19",IF(E1214&gt;13,"U15",IF(E1214&gt;11,"U13",IF(E1214&gt;0,"U11",0)))))</f>
        <v>0</v>
      </c>
      <c r="E1214" s="456">
        <f>IFERROR(IF(Table10[[#This Row],[Year]]&gt;0,$E$1-Table10[[#This Row],[Year]],0),"")</f>
        <v>0</v>
      </c>
      <c r="F1214" s="456"/>
      <c r="G1214" s="456"/>
      <c r="H1214" s="456"/>
    </row>
    <row r="1215" spans="1:8">
      <c r="A1215" s="456">
        <v>2211</v>
      </c>
      <c r="B1215" s="469" t="s">
        <v>692</v>
      </c>
      <c r="C1215" s="458" t="s">
        <v>253</v>
      </c>
      <c r="D1215" s="456">
        <f>IF(Table10[[#This Row],[Current Age]]&gt;19,"Men's",IF(E1215&gt;15,"U19",IF(E1215&gt;13,"U15",IF(E1215&gt;11,"U13",IF(E1215&gt;0,"U11",0)))))</f>
        <v>0</v>
      </c>
      <c r="E1215" s="456">
        <f>IFERROR(IF(Table10[[#This Row],[Year]]&gt;0,$E$1-Table10[[#This Row],[Year]],0),"")</f>
        <v>0</v>
      </c>
      <c r="F1215" s="456"/>
      <c r="G1215" s="456"/>
      <c r="H1215" s="456"/>
    </row>
    <row r="1216" spans="1:8">
      <c r="A1216" s="471">
        <v>2212</v>
      </c>
      <c r="B1216" s="493" t="s">
        <v>693</v>
      </c>
      <c r="C1216" s="472" t="s">
        <v>256</v>
      </c>
      <c r="D1216" s="456">
        <f>IF(Table10[[#This Row],[Current Age]]&gt;19,"Men's",IF(E1216&gt;15,"U19",IF(E1216&gt;13,"U15",IF(E1216&gt;11,"U13",IF(E1216&gt;0,"U11",0)))))</f>
        <v>0</v>
      </c>
      <c r="E1216" s="456">
        <f>IFERROR(IF(Table10[[#This Row],[Year]]&gt;0,$E$1-Table10[[#This Row],[Year]],0),"")</f>
        <v>0</v>
      </c>
      <c r="F1216" s="456"/>
      <c r="G1216" s="456"/>
      <c r="H1216" s="456"/>
    </row>
    <row r="1217" spans="1:8">
      <c r="A1217" s="456">
        <v>2213</v>
      </c>
      <c r="B1217" s="469" t="s">
        <v>1959</v>
      </c>
      <c r="C1217" s="458" t="s">
        <v>1908</v>
      </c>
      <c r="D1217" s="456">
        <f>IF(Table10[[#This Row],[Current Age]]&gt;19,"Men's",IF(E1217&gt;15,"U19",IF(E1217&gt;13,"U15",IF(E1217&gt;11,"U13",IF(E1217&gt;0,"U11",0)))))</f>
        <v>0</v>
      </c>
      <c r="E1217" s="456">
        <f>IFERROR(IF(Table10[[#This Row],[Year]]&gt;0,$E$1-Table10[[#This Row],[Year]],0),"")</f>
        <v>0</v>
      </c>
      <c r="F1217" s="456"/>
      <c r="G1217" s="456"/>
      <c r="H1217" s="456"/>
    </row>
    <row r="1218" spans="1:8">
      <c r="A1218" s="471">
        <v>2214</v>
      </c>
      <c r="B1218" s="493" t="s">
        <v>694</v>
      </c>
      <c r="C1218" s="472" t="s">
        <v>256</v>
      </c>
      <c r="D1218" s="456">
        <f>IF(Table10[[#This Row],[Current Age]]&gt;19,"Men's",IF(E1218&gt;15,"U19",IF(E1218&gt;13,"U15",IF(E1218&gt;11,"U13",IF(E1218&gt;0,"U11",0)))))</f>
        <v>0</v>
      </c>
      <c r="E1218" s="456">
        <f>IFERROR(IF(Table10[[#This Row],[Year]]&gt;0,$E$1-Table10[[#This Row],[Year]],0),"")</f>
        <v>0</v>
      </c>
      <c r="F1218" s="456"/>
      <c r="G1218" s="456"/>
      <c r="H1218" s="456"/>
    </row>
    <row r="1219" spans="1:8">
      <c r="A1219" s="456">
        <v>2215</v>
      </c>
      <c r="B1219" s="469" t="s">
        <v>1960</v>
      </c>
      <c r="C1219" s="458" t="s">
        <v>1908</v>
      </c>
      <c r="D1219" s="456">
        <f>IF(Table10[[#This Row],[Current Age]]&gt;19,"Men's",IF(E1219&gt;15,"U19",IF(E1219&gt;13,"U15",IF(E1219&gt;11,"U13",IF(E1219&gt;0,"U11",0)))))</f>
        <v>0</v>
      </c>
      <c r="E1219" s="456">
        <f>IFERROR(IF(Table10[[#This Row],[Year]]&gt;0,$E$1-Table10[[#This Row],[Year]],0),"")</f>
        <v>0</v>
      </c>
      <c r="F1219" s="456"/>
      <c r="G1219" s="456"/>
      <c r="H1219" s="456"/>
    </row>
    <row r="1220" spans="1:8">
      <c r="A1220" s="471">
        <v>2216</v>
      </c>
      <c r="B1220" s="493" t="s">
        <v>695</v>
      </c>
      <c r="C1220" s="472" t="s">
        <v>252</v>
      </c>
      <c r="D1220" s="456">
        <f>IF(Table10[[#This Row],[Current Age]]&gt;19,"Men's",IF(E1220&gt;15,"U19",IF(E1220&gt;13,"U15",IF(E1220&gt;11,"U13",IF(E1220&gt;0,"U11",0)))))</f>
        <v>0</v>
      </c>
      <c r="E1220" s="456">
        <f>IFERROR(IF(Table10[[#This Row],[Year]]&gt;0,$E$1-Table10[[#This Row],[Year]],0),"")</f>
        <v>0</v>
      </c>
      <c r="F1220" s="456"/>
      <c r="G1220" s="456"/>
      <c r="H1220" s="456"/>
    </row>
    <row r="1221" spans="1:8">
      <c r="A1221" s="456">
        <v>2217</v>
      </c>
      <c r="B1221" s="469" t="s">
        <v>696</v>
      </c>
      <c r="C1221" s="458" t="s">
        <v>252</v>
      </c>
      <c r="D1221" s="456">
        <f>IF(Table10[[#This Row],[Current Age]]&gt;19,"Men's",IF(E1221&gt;15,"U19",IF(E1221&gt;13,"U15",IF(E1221&gt;11,"U13",IF(E1221&gt;0,"U11",0)))))</f>
        <v>0</v>
      </c>
      <c r="E1221" s="456">
        <f>IFERROR(IF(Table10[[#This Row],[Year]]&gt;0,$E$1-Table10[[#This Row],[Year]],0),"")</f>
        <v>0</v>
      </c>
      <c r="F1221" s="456"/>
      <c r="G1221" s="456"/>
      <c r="H1221" s="456"/>
    </row>
    <row r="1222" spans="1:8">
      <c r="A1222" s="471">
        <v>2218</v>
      </c>
      <c r="B1222" s="493" t="s">
        <v>697</v>
      </c>
      <c r="C1222" s="472" t="s">
        <v>698</v>
      </c>
      <c r="D1222" s="456">
        <f>IF(Table10[[#This Row],[Current Age]]&gt;19,"Men's",IF(E1222&gt;15,"U19",IF(E1222&gt;13,"U15",IF(E1222&gt;11,"U13",IF(E1222&gt;0,"U11",0)))))</f>
        <v>0</v>
      </c>
      <c r="E1222" s="456">
        <f>IFERROR(IF(Table10[[#This Row],[Year]]&gt;0,$E$1-Table10[[#This Row],[Year]],0),"")</f>
        <v>0</v>
      </c>
      <c r="F1222" s="456"/>
      <c r="G1222" s="456"/>
      <c r="H1222" s="456"/>
    </row>
    <row r="1223" spans="1:8">
      <c r="A1223" s="456">
        <v>2219</v>
      </c>
      <c r="B1223" s="469" t="s">
        <v>699</v>
      </c>
      <c r="C1223" s="458" t="s">
        <v>250</v>
      </c>
      <c r="D1223" s="456">
        <f>IF(Table10[[#This Row],[Current Age]]&gt;19,"Men's",IF(E1223&gt;15,"U19",IF(E1223&gt;13,"U15",IF(E1223&gt;11,"U13",IF(E1223&gt;0,"U11",0)))))</f>
        <v>0</v>
      </c>
      <c r="E1223" s="456">
        <f>IFERROR(IF(Table10[[#This Row],[Year]]&gt;0,$E$1-Table10[[#This Row],[Year]],0),"")</f>
        <v>0</v>
      </c>
      <c r="F1223" s="456"/>
      <c r="G1223" s="456"/>
      <c r="H1223" s="456"/>
    </row>
    <row r="1224" spans="1:8">
      <c r="A1224" s="471">
        <v>2220</v>
      </c>
      <c r="B1224" s="493" t="s">
        <v>1961</v>
      </c>
      <c r="C1224" s="472" t="s">
        <v>1908</v>
      </c>
      <c r="D1224" s="456">
        <f>IF(Table10[[#This Row],[Current Age]]&gt;19,"Men's",IF(E1224&gt;15,"U19",IF(E1224&gt;13,"U15",IF(E1224&gt;11,"U13",IF(E1224&gt;0,"U11",0)))))</f>
        <v>0</v>
      </c>
      <c r="E1224" s="456">
        <f>IFERROR(IF(Table10[[#This Row],[Year]]&gt;0,$E$1-Table10[[#This Row],[Year]],0),"")</f>
        <v>0</v>
      </c>
      <c r="F1224" s="456"/>
      <c r="G1224" s="456"/>
      <c r="H1224" s="456"/>
    </row>
    <row r="1225" spans="1:8">
      <c r="A1225" s="456">
        <v>2221</v>
      </c>
      <c r="B1225" s="469" t="s">
        <v>700</v>
      </c>
      <c r="C1225" s="458" t="s">
        <v>762</v>
      </c>
      <c r="D1225" s="456" t="str">
        <f>IF(Table10[[#This Row],[Current Age]]&gt;19,"Men's",IF(E1225&gt;15,"U19",IF(E1225&gt;13,"U15",IF(E1225&gt;11,"U13",IF(E1225&gt;0,"U11",0)))))</f>
        <v>U19</v>
      </c>
      <c r="E1225" s="456">
        <f>IFERROR(IF(Table10[[#This Row],[Year]]&gt;0,$E$1-Table10[[#This Row],[Year]],0),"")</f>
        <v>19</v>
      </c>
      <c r="F1225" s="456">
        <v>2006</v>
      </c>
      <c r="G1225" s="456">
        <v>1</v>
      </c>
      <c r="H1225" s="456">
        <v>1</v>
      </c>
    </row>
    <row r="1226" spans="1:8">
      <c r="A1226" s="471">
        <v>2222</v>
      </c>
      <c r="B1226" s="493" t="s">
        <v>701</v>
      </c>
      <c r="C1226" s="472" t="s">
        <v>698</v>
      </c>
      <c r="D1226" s="456">
        <f>IF(Table10[[#This Row],[Current Age]]&gt;19,"Men's",IF(E1226&gt;15,"U19",IF(E1226&gt;13,"U15",IF(E1226&gt;11,"U13",IF(E1226&gt;0,"U11",0)))))</f>
        <v>0</v>
      </c>
      <c r="E1226" s="456">
        <f>IFERROR(IF(Table10[[#This Row],[Year]]&gt;0,$E$1-Table10[[#This Row],[Year]],0),"")</f>
        <v>0</v>
      </c>
      <c r="F1226" s="456"/>
      <c r="G1226" s="456"/>
      <c r="H1226" s="456"/>
    </row>
    <row r="1227" spans="1:8">
      <c r="A1227" s="456">
        <v>2223</v>
      </c>
      <c r="B1227" s="469" t="s">
        <v>702</v>
      </c>
      <c r="C1227" s="458" t="s">
        <v>698</v>
      </c>
      <c r="D1227" s="456">
        <f>IF(Table10[[#This Row],[Current Age]]&gt;19,"Men's",IF(E1227&gt;15,"U19",IF(E1227&gt;13,"U15",IF(E1227&gt;11,"U13",IF(E1227&gt;0,"U11",0)))))</f>
        <v>0</v>
      </c>
      <c r="E1227" s="456">
        <f>IFERROR(IF(Table10[[#This Row],[Year]]&gt;0,$E$1-Table10[[#This Row],[Year]],0),"")</f>
        <v>0</v>
      </c>
      <c r="F1227" s="456"/>
      <c r="G1227" s="456"/>
      <c r="H1227" s="456"/>
    </row>
    <row r="1228" spans="1:8">
      <c r="A1228" s="471">
        <v>2224</v>
      </c>
      <c r="B1228" s="493" t="s">
        <v>703</v>
      </c>
      <c r="C1228" s="472" t="s">
        <v>362</v>
      </c>
      <c r="D1228" s="456" t="str">
        <f>IF(Table10[[#This Row],[Current Age]]&gt;19,"Men's",IF(E1228&gt;15,"U19",IF(E1228&gt;13,"U15",IF(E1228&gt;11,"U13",IF(E1228&gt;0,"U11",0)))))</f>
        <v>Men's</v>
      </c>
      <c r="E1228" s="456">
        <f>IFERROR(IF(Table10[[#This Row],[Year]]&gt;0,$E$1-Table10[[#This Row],[Year]],0),"")</f>
        <v>20</v>
      </c>
      <c r="F1228" s="456">
        <v>2005</v>
      </c>
      <c r="G1228" s="456">
        <v>3</v>
      </c>
      <c r="H1228" s="456">
        <v>11</v>
      </c>
    </row>
    <row r="1229" spans="1:8">
      <c r="A1229" s="456">
        <v>2225</v>
      </c>
      <c r="B1229" s="469" t="s">
        <v>704</v>
      </c>
      <c r="C1229" s="458" t="s">
        <v>698</v>
      </c>
      <c r="D1229" s="456">
        <f>IF(Table10[[#This Row],[Current Age]]&gt;19,"Men's",IF(E1229&gt;15,"U19",IF(E1229&gt;13,"U15",IF(E1229&gt;11,"U13",IF(E1229&gt;0,"U11",0)))))</f>
        <v>0</v>
      </c>
      <c r="E1229" s="456">
        <f>IFERROR(IF(Table10[[#This Row],[Year]]&gt;0,$E$1-Table10[[#This Row],[Year]],0),"")</f>
        <v>0</v>
      </c>
      <c r="F1229" s="456"/>
      <c r="G1229" s="456"/>
      <c r="H1229" s="456"/>
    </row>
    <row r="1230" spans="1:8">
      <c r="A1230" s="471">
        <v>2226</v>
      </c>
      <c r="B1230" s="493" t="s">
        <v>705</v>
      </c>
      <c r="C1230" s="472" t="s">
        <v>698</v>
      </c>
      <c r="D1230" s="456">
        <f>IF(Table10[[#This Row],[Current Age]]&gt;19,"Men's",IF(E1230&gt;15,"U19",IF(E1230&gt;13,"U15",IF(E1230&gt;11,"U13",IF(E1230&gt;0,"U11",0)))))</f>
        <v>0</v>
      </c>
      <c r="E1230" s="456">
        <f>IFERROR(IF(Table10[[#This Row],[Year]]&gt;0,$E$1-Table10[[#This Row],[Year]],0),"")</f>
        <v>0</v>
      </c>
      <c r="F1230" s="456"/>
      <c r="G1230" s="456"/>
      <c r="H1230" s="456"/>
    </row>
    <row r="1231" spans="1:8">
      <c r="A1231" s="456">
        <v>2228</v>
      </c>
      <c r="B1231" s="469" t="s">
        <v>1005</v>
      </c>
      <c r="C1231" s="458" t="s">
        <v>361</v>
      </c>
      <c r="D1231" s="456" t="str">
        <f>IF(Table10[[#This Row],[Current Age]]&gt;19,"Men's",IF(E1231&gt;15,"U19",IF(E1231&gt;13,"U15",IF(E1231&gt;11,"U13",IF(E1231&gt;0,"U11",0)))))</f>
        <v>Men's</v>
      </c>
      <c r="E1231" s="456">
        <f>IFERROR(IF(Table10[[#This Row],[Year]]&gt;0,$E$1-Table10[[#This Row],[Year]],0),"")</f>
        <v>37</v>
      </c>
      <c r="F1231" s="456">
        <v>1988</v>
      </c>
      <c r="G1231" s="456">
        <v>5</v>
      </c>
      <c r="H1231" s="456">
        <v>26</v>
      </c>
    </row>
    <row r="1232" spans="1:8">
      <c r="A1232" s="471">
        <v>2229</v>
      </c>
      <c r="B1232" s="493" t="s">
        <v>989</v>
      </c>
      <c r="C1232" s="472" t="s">
        <v>361</v>
      </c>
      <c r="D1232" s="456" t="str">
        <f>IF(Table10[[#This Row],[Current Age]]&gt;19,"Men's",IF(E1232&gt;15,"U19",IF(E1232&gt;13,"U15",IF(E1232&gt;11,"U13",IF(E1232&gt;0,"U11",0)))))</f>
        <v>Men's</v>
      </c>
      <c r="E1232" s="456">
        <f>IFERROR(IF(Table10[[#This Row],[Year]]&gt;0,$E$1-Table10[[#This Row],[Year]],0),"")</f>
        <v>21</v>
      </c>
      <c r="F1232" s="456">
        <v>2004</v>
      </c>
      <c r="G1232" s="456">
        <v>1</v>
      </c>
      <c r="H1232" s="456">
        <v>9</v>
      </c>
    </row>
    <row r="1233" spans="1:8">
      <c r="A1233" s="456">
        <v>2230</v>
      </c>
      <c r="B1233" s="533" t="s">
        <v>990</v>
      </c>
      <c r="C1233" s="458" t="s">
        <v>361</v>
      </c>
      <c r="D1233" s="456">
        <f>IF(Table10[[#This Row],[Current Age]]&gt;19,"Men's",IF(E1233&gt;15,"U19",IF(E1233&gt;13,"U15",IF(E1233&gt;11,"U13",IF(E1233&gt;0,"U11",0)))))</f>
        <v>0</v>
      </c>
      <c r="E1233" s="456">
        <f>IFERROR(IF(Table10[[#This Row],[Year]]&gt;0,$E$1-Table10[[#This Row],[Year]],0),"")</f>
        <v>0</v>
      </c>
      <c r="F1233" s="456"/>
      <c r="G1233" s="456"/>
      <c r="H1233" s="456"/>
    </row>
    <row r="1234" spans="1:8">
      <c r="A1234" s="471">
        <v>2231</v>
      </c>
      <c r="B1234" s="534" t="s">
        <v>1008</v>
      </c>
      <c r="C1234" s="472"/>
      <c r="D1234" s="456">
        <f>IF(Table10[[#This Row],[Current Age]]&gt;19,"Men's",IF(E1234&gt;15,"U19",IF(E1234&gt;13,"U15",IF(E1234&gt;11,"U13",IF(E1234&gt;0,"U11",0)))))</f>
        <v>0</v>
      </c>
      <c r="E1234" s="456">
        <f>IFERROR(IF(Table10[[#This Row],[Year]]&gt;0,$E$1-Table10[[#This Row],[Year]],0),"")</f>
        <v>0</v>
      </c>
      <c r="F1234" s="456"/>
      <c r="G1234" s="456"/>
      <c r="H1234" s="456"/>
    </row>
    <row r="1235" spans="1:8">
      <c r="A1235" s="456">
        <v>2232</v>
      </c>
      <c r="B1235" s="533" t="s">
        <v>992</v>
      </c>
      <c r="C1235" s="458" t="s">
        <v>361</v>
      </c>
      <c r="D1235" s="456" t="str">
        <f>IF(Table10[[#This Row],[Current Age]]&gt;19,"Men's",IF(E1235&gt;15,"U19",IF(E1235&gt;13,"U15",IF(E1235&gt;11,"U13",IF(E1235&gt;0,"U11",0)))))</f>
        <v>Men's</v>
      </c>
      <c r="E1235" s="456">
        <f>IFERROR(IF(Table10[[#This Row],[Year]]&gt;0,$E$1-Table10[[#This Row],[Year]],0),"")</f>
        <v>20</v>
      </c>
      <c r="F1235" s="456">
        <v>2005</v>
      </c>
      <c r="G1235" s="456">
        <v>5</v>
      </c>
      <c r="H1235" s="456">
        <v>19</v>
      </c>
    </row>
    <row r="1236" spans="1:8">
      <c r="A1236" s="471">
        <v>2233</v>
      </c>
      <c r="B1236" s="534" t="s">
        <v>993</v>
      </c>
      <c r="C1236" s="472" t="s">
        <v>361</v>
      </c>
      <c r="D1236" s="456">
        <f>IF(Table10[[#This Row],[Current Age]]&gt;19,"Men's",IF(E1236&gt;15,"U19",IF(E1236&gt;13,"U15",IF(E1236&gt;11,"U13",IF(E1236&gt;0,"U11",0)))))</f>
        <v>0</v>
      </c>
      <c r="E1236" s="456">
        <f>IFERROR(IF(Table10[[#This Row],[Year]]&gt;0,$E$1-Table10[[#This Row],[Year]],0),"")</f>
        <v>0</v>
      </c>
      <c r="F1236" s="456"/>
      <c r="G1236" s="456"/>
      <c r="H1236" s="456"/>
    </row>
    <row r="1237" spans="1:8">
      <c r="A1237" s="456">
        <v>2234</v>
      </c>
      <c r="B1237" s="469" t="s">
        <v>994</v>
      </c>
      <c r="C1237" s="458" t="s">
        <v>361</v>
      </c>
      <c r="D1237" s="456" t="str">
        <f>IF(Table10[[#This Row],[Current Age]]&gt;19,"Men's",IF(E1237&gt;15,"U19",IF(E1237&gt;13,"U15",IF(E1237&gt;11,"U13",IF(E1237&gt;0,"U11",0)))))</f>
        <v>Men's</v>
      </c>
      <c r="E1237" s="456">
        <f>IFERROR(IF(Table10[[#This Row],[Year]]&gt;0,$E$1-Table10[[#This Row],[Year]],0),"")</f>
        <v>26</v>
      </c>
      <c r="F1237" s="456">
        <v>1999</v>
      </c>
      <c r="G1237" s="456">
        <v>12</v>
      </c>
      <c r="H1237" s="456">
        <v>14</v>
      </c>
    </row>
    <row r="1238" spans="1:8">
      <c r="A1238" s="471">
        <v>2235</v>
      </c>
      <c r="B1238" s="493" t="s">
        <v>1009</v>
      </c>
      <c r="C1238" s="472" t="s">
        <v>1004</v>
      </c>
      <c r="D1238" s="456">
        <f>IF(Table10[[#This Row],[Current Age]]&gt;19,"Men's",IF(E1238&gt;15,"U19",IF(E1238&gt;13,"U15",IF(E1238&gt;11,"U13",IF(E1238&gt;0,"U11",0)))))</f>
        <v>0</v>
      </c>
      <c r="E1238" s="456">
        <f>IFERROR(IF(Table10[[#This Row],[Year]]&gt;0,$E$1-Table10[[#This Row],[Year]],0),"")</f>
        <v>0</v>
      </c>
      <c r="F1238" s="456"/>
      <c r="G1238" s="456"/>
      <c r="H1238" s="456"/>
    </row>
    <row r="1239" spans="1:8">
      <c r="A1239" s="456">
        <v>2236</v>
      </c>
      <c r="B1239" s="533" t="s">
        <v>1003</v>
      </c>
      <c r="C1239" s="458" t="s">
        <v>1004</v>
      </c>
      <c r="D1239" s="456">
        <f>IF(Table10[[#This Row],[Current Age]]&gt;19,"Men's",IF(E1239&gt;15,"U19",IF(E1239&gt;13,"U15",IF(E1239&gt;11,"U13",IF(E1239&gt;0,"U11",0)))))</f>
        <v>0</v>
      </c>
      <c r="E1239" s="456">
        <f>IFERROR(IF(Table10[[#This Row],[Year]]&gt;0,$E$1-Table10[[#This Row],[Year]],0),"")</f>
        <v>0</v>
      </c>
      <c r="F1239" s="456"/>
      <c r="G1239" s="456"/>
      <c r="H1239" s="456"/>
    </row>
    <row r="1240" spans="1:8">
      <c r="A1240" s="471">
        <v>2237</v>
      </c>
      <c r="B1240" s="493" t="s">
        <v>1006</v>
      </c>
      <c r="C1240" s="472" t="s">
        <v>1004</v>
      </c>
      <c r="D1240" s="456">
        <f>IF(Table10[[#This Row],[Current Age]]&gt;19,"Men's",IF(E1240&gt;15,"U19",IF(E1240&gt;13,"U15",IF(E1240&gt;11,"U13",IF(E1240&gt;0,"U11",0)))))</f>
        <v>0</v>
      </c>
      <c r="E1240" s="456">
        <f>IFERROR(IF(Table10[[#This Row],[Year]]&gt;0,$E$1-Table10[[#This Row],[Year]],0),"")</f>
        <v>0</v>
      </c>
      <c r="F1240" s="456"/>
      <c r="G1240" s="456"/>
      <c r="H1240" s="456"/>
    </row>
    <row r="1241" spans="1:8">
      <c r="A1241" s="456">
        <v>2238</v>
      </c>
      <c r="B1241" s="469" t="s">
        <v>998</v>
      </c>
      <c r="C1241" s="458" t="s">
        <v>361</v>
      </c>
      <c r="D1241" s="456">
        <f>IF(Table10[[#This Row],[Current Age]]&gt;19,"Men's",IF(E1241&gt;15,"U19",IF(E1241&gt;13,"U15",IF(E1241&gt;11,"U13",IF(E1241&gt;0,"U11",0)))))</f>
        <v>0</v>
      </c>
      <c r="E1241" s="456">
        <f>IFERROR(IF(Table10[[#This Row],[Year]]&gt;0,$E$1-Table10[[#This Row],[Year]],0),"")</f>
        <v>0</v>
      </c>
      <c r="F1241" s="456"/>
      <c r="G1241" s="456"/>
      <c r="H1241" s="456"/>
    </row>
    <row r="1242" spans="1:8">
      <c r="A1242" s="471">
        <v>2239</v>
      </c>
      <c r="B1242" s="534" t="s">
        <v>3303</v>
      </c>
      <c r="C1242" s="472" t="s">
        <v>762</v>
      </c>
      <c r="D1242" s="456" t="str">
        <f>IF(Table10[[#This Row],[Current Age]]&gt;19,"Men's",IF(E1242&gt;15,"U19",IF(E1242&gt;13,"U15",IF(E1242&gt;11,"U13",IF(E1242&gt;0,"U11",0)))))</f>
        <v>U19</v>
      </c>
      <c r="E1242" s="456">
        <f>IFERROR(IF(Table10[[#This Row],[Year]]&gt;0,$E$1-Table10[[#This Row],[Year]],0),"")</f>
        <v>16</v>
      </c>
      <c r="F1242" s="456">
        <v>2009</v>
      </c>
      <c r="G1242" s="456">
        <v>8</v>
      </c>
      <c r="H1242" s="456">
        <v>31</v>
      </c>
    </row>
    <row r="1243" spans="1:8">
      <c r="A1243" s="456">
        <v>2240</v>
      </c>
      <c r="B1243" s="533" t="s">
        <v>999</v>
      </c>
      <c r="C1243" s="458" t="s">
        <v>361</v>
      </c>
      <c r="D1243" s="456">
        <f>IF(Table10[[#This Row],[Current Age]]&gt;19,"Men's",IF(E1243&gt;15,"U19",IF(E1243&gt;13,"U15",IF(E1243&gt;11,"U13",IF(E1243&gt;0,"U11",0)))))</f>
        <v>0</v>
      </c>
      <c r="E1243" s="456">
        <f>IFERROR(IF(Table10[[#This Row],[Year]]&gt;0,$E$1-Table10[[#This Row],[Year]],0),"")</f>
        <v>0</v>
      </c>
      <c r="F1243" s="456"/>
      <c r="G1243" s="456"/>
      <c r="H1243" s="456"/>
    </row>
    <row r="1244" spans="1:8">
      <c r="A1244" s="471">
        <v>2241</v>
      </c>
      <c r="B1244" s="493" t="s">
        <v>1000</v>
      </c>
      <c r="C1244" s="472" t="s">
        <v>361</v>
      </c>
      <c r="D1244" s="456">
        <f>IF(Table10[[#This Row],[Current Age]]&gt;19,"Men's",IF(E1244&gt;15,"U19",IF(E1244&gt;13,"U15",IF(E1244&gt;11,"U13",IF(E1244&gt;0,"U11",0)))))</f>
        <v>0</v>
      </c>
      <c r="E1244" s="456">
        <f>IFERROR(IF(Table10[[#This Row],[Year]]&gt;0,$E$1-Table10[[#This Row],[Year]],0),"")</f>
        <v>0</v>
      </c>
      <c r="F1244" s="456"/>
      <c r="G1244" s="456"/>
      <c r="H1244" s="456"/>
    </row>
    <row r="1245" spans="1:8">
      <c r="A1245" s="456">
        <v>2242</v>
      </c>
      <c r="B1245" s="533" t="s">
        <v>996</v>
      </c>
      <c r="C1245" s="458" t="s">
        <v>361</v>
      </c>
      <c r="D1245" s="456">
        <f>IF(Table10[[#This Row],[Current Age]]&gt;19,"Men's",IF(E1245&gt;15,"U19",IF(E1245&gt;13,"U15",IF(E1245&gt;11,"U13",IF(E1245&gt;0,"U11",0)))))</f>
        <v>0</v>
      </c>
      <c r="E1245" s="456">
        <f>IFERROR(IF(Table10[[#This Row],[Year]]&gt;0,$E$1-Table10[[#This Row],[Year]],0),"")</f>
        <v>0</v>
      </c>
      <c r="F1245" s="456"/>
      <c r="G1245" s="456"/>
      <c r="H1245" s="456"/>
    </row>
    <row r="1246" spans="1:8">
      <c r="A1246" s="471">
        <v>2243</v>
      </c>
      <c r="B1246" s="493" t="s">
        <v>984</v>
      </c>
      <c r="C1246" s="472" t="s">
        <v>361</v>
      </c>
      <c r="D1246" s="456" t="str">
        <f>IF(Table10[[#This Row],[Current Age]]&gt;19,"Men's",IF(E1246&gt;15,"U19",IF(E1246&gt;13,"U15",IF(E1246&gt;11,"U13",IF(E1246&gt;0,"U11",0)))))</f>
        <v>Men's</v>
      </c>
      <c r="E1246" s="456">
        <f>IFERROR(IF(Table10[[#This Row],[Year]]&gt;0,$E$1-Table10[[#This Row],[Year]],0),"")</f>
        <v>20</v>
      </c>
      <c r="F1246" s="456">
        <v>2005</v>
      </c>
      <c r="G1246" s="456">
        <v>7</v>
      </c>
      <c r="H1246" s="456">
        <v>14</v>
      </c>
    </row>
    <row r="1247" spans="1:8">
      <c r="A1247" s="456">
        <v>2244</v>
      </c>
      <c r="B1247" s="469" t="s">
        <v>987</v>
      </c>
      <c r="C1247" s="458" t="s">
        <v>361</v>
      </c>
      <c r="D1247" s="456" t="str">
        <f>IF(Table10[[#This Row],[Current Age]]&gt;19,"Men's",IF(E1247&gt;15,"U19",IF(E1247&gt;13,"U15",IF(E1247&gt;11,"U13",IF(E1247&gt;0,"U11",0)))))</f>
        <v>Men's</v>
      </c>
      <c r="E1247" s="456">
        <f>IFERROR(IF(Table10[[#This Row],[Year]]&gt;0,$E$1-Table10[[#This Row],[Year]],0),"")</f>
        <v>21</v>
      </c>
      <c r="F1247" s="456">
        <v>2004</v>
      </c>
      <c r="G1247" s="456">
        <v>12</v>
      </c>
      <c r="H1247" s="456">
        <v>24</v>
      </c>
    </row>
    <row r="1248" spans="1:8">
      <c r="A1248" s="471">
        <v>2245</v>
      </c>
      <c r="B1248" s="493" t="s">
        <v>988</v>
      </c>
      <c r="C1248" s="472" t="s">
        <v>361</v>
      </c>
      <c r="D1248" s="456" t="str">
        <f>IF(Table10[[#This Row],[Current Age]]&gt;19,"Men's",IF(E1248&gt;15,"U19",IF(E1248&gt;13,"U15",IF(E1248&gt;11,"U13",IF(E1248&gt;0,"U11",0)))))</f>
        <v>Men's</v>
      </c>
      <c r="E1248" s="456">
        <f>IFERROR(IF(Table10[[#This Row],[Year]]&gt;0,$E$1-Table10[[#This Row],[Year]],0),"")</f>
        <v>20</v>
      </c>
      <c r="F1248" s="456">
        <v>2005</v>
      </c>
      <c r="G1248" s="456">
        <v>3</v>
      </c>
      <c r="H1248" s="456">
        <v>28</v>
      </c>
    </row>
    <row r="1249" spans="1:8">
      <c r="A1249" s="456">
        <v>2246</v>
      </c>
      <c r="B1249" s="469" t="s">
        <v>983</v>
      </c>
      <c r="C1249" s="458" t="s">
        <v>361</v>
      </c>
      <c r="D1249" s="456" t="str">
        <f>IF(Table10[[#This Row],[Current Age]]&gt;19,"Men's",IF(E1249&gt;15,"U19",IF(E1249&gt;13,"U15",IF(E1249&gt;11,"U13",IF(E1249&gt;0,"U11",0)))))</f>
        <v>U19</v>
      </c>
      <c r="E1249" s="456">
        <f>IFERROR(IF(Table10[[#This Row],[Year]]&gt;0,$E$1-Table10[[#This Row],[Year]],0),"")</f>
        <v>17</v>
      </c>
      <c r="F1249" s="456">
        <v>2008</v>
      </c>
      <c r="G1249" s="456">
        <v>2</v>
      </c>
      <c r="H1249" s="456">
        <v>21</v>
      </c>
    </row>
    <row r="1250" spans="1:8">
      <c r="A1250" s="471">
        <v>2247</v>
      </c>
      <c r="B1250" s="493" t="s">
        <v>997</v>
      </c>
      <c r="C1250" s="472" t="s">
        <v>361</v>
      </c>
      <c r="D1250" s="456" t="str">
        <f>IF(Table10[[#This Row],[Current Age]]&gt;19,"Men's",IF(E1250&gt;15,"U19",IF(E1250&gt;13,"U15",IF(E1250&gt;11,"U13",IF(E1250&gt;0,"U11",0)))))</f>
        <v>Men's</v>
      </c>
      <c r="E1250" s="456">
        <f>IFERROR(IF(Table10[[#This Row],[Year]]&gt;0,$E$1-Table10[[#This Row],[Year]],0),"")</f>
        <v>24</v>
      </c>
      <c r="F1250" s="456">
        <v>2001</v>
      </c>
      <c r="G1250" s="456"/>
      <c r="H1250" s="456"/>
    </row>
    <row r="1251" spans="1:8">
      <c r="A1251" s="456">
        <v>2248</v>
      </c>
      <c r="B1251" s="533" t="s">
        <v>991</v>
      </c>
      <c r="C1251" s="458" t="s">
        <v>361</v>
      </c>
      <c r="D1251" s="456" t="str">
        <f>IF(Table10[[#This Row],[Current Age]]&gt;19,"Men's",IF(E1251&gt;15,"U19",IF(E1251&gt;13,"U15",IF(E1251&gt;11,"U13",IF(E1251&gt;0,"U11",0)))))</f>
        <v>Men's</v>
      </c>
      <c r="E1251" s="456">
        <f>IFERROR(IF(Table10[[#This Row],[Year]]&gt;0,$E$1-Table10[[#This Row],[Year]],0),"")</f>
        <v>24</v>
      </c>
      <c r="F1251" s="456">
        <v>2001</v>
      </c>
      <c r="G1251" s="456"/>
      <c r="H1251" s="456"/>
    </row>
    <row r="1252" spans="1:8">
      <c r="A1252" s="471">
        <v>2249</v>
      </c>
      <c r="B1252" s="493" t="s">
        <v>995</v>
      </c>
      <c r="C1252" s="472" t="s">
        <v>361</v>
      </c>
      <c r="D1252" s="456">
        <f>IF(Table10[[#This Row],[Current Age]]&gt;19,"Men's",IF(E1252&gt;15,"U19",IF(E1252&gt;13,"U15",IF(E1252&gt;11,"U13",IF(E1252&gt;0,"U11",0)))))</f>
        <v>0</v>
      </c>
      <c r="E1252" s="456">
        <f>IFERROR(IF(Table10[[#This Row],[Year]]&gt;0,$E$1-Table10[[#This Row],[Year]],0),"")</f>
        <v>0</v>
      </c>
      <c r="F1252" s="456"/>
      <c r="G1252" s="456"/>
      <c r="H1252" s="456"/>
    </row>
    <row r="1253" spans="1:8">
      <c r="A1253" s="456">
        <v>2250</v>
      </c>
      <c r="B1253" s="469" t="s">
        <v>2431</v>
      </c>
      <c r="C1253" s="456" t="s">
        <v>361</v>
      </c>
      <c r="D1253" s="456">
        <f>IF(Table10[[#This Row],[Current Age]]&gt;19,"Men's",IF(E1253&gt;15,"U19",IF(E1253&gt;13,"U15",IF(E1253&gt;11,"U13",IF(E1253&gt;0,"U11",0)))))</f>
        <v>0</v>
      </c>
      <c r="E1253" s="456">
        <f>IFERROR(IF(Table10[[#This Row],[Year]]&gt;0,$E$1-Table10[[#This Row],[Year]],0),"")</f>
        <v>0</v>
      </c>
      <c r="F1253" s="456"/>
      <c r="G1253" s="456"/>
      <c r="H1253" s="456"/>
    </row>
    <row r="1254" spans="1:8">
      <c r="A1254" s="471">
        <v>2251</v>
      </c>
      <c r="B1254" s="534" t="s">
        <v>3304</v>
      </c>
      <c r="C1254" s="472" t="s">
        <v>256</v>
      </c>
      <c r="D1254" s="456">
        <f>IF(Table10[[#This Row],[Current Age]]&gt;19,"Men's",IF(E1254&gt;15,"U19",IF(E1254&gt;13,"U15",IF(E1254&gt;11,"U13",IF(E1254&gt;0,"U11",0)))))</f>
        <v>0</v>
      </c>
      <c r="E1254" s="456">
        <f>IFERROR(IF(Table10[[#This Row],[Year]]&gt;0,$E$1-Table10[[#This Row],[Year]],0),"")</f>
        <v>0</v>
      </c>
      <c r="F1254" s="456"/>
      <c r="G1254" s="456"/>
      <c r="H1254" s="456"/>
    </row>
    <row r="1255" spans="1:8">
      <c r="A1255" s="456">
        <v>2252</v>
      </c>
      <c r="B1255" s="469" t="s">
        <v>1904</v>
      </c>
      <c r="C1255" s="456" t="s">
        <v>361</v>
      </c>
      <c r="D1255" s="456">
        <f>IF(Table10[[#This Row],[Current Age]]&gt;19,"Men's",IF(E1255&gt;15,"U19",IF(E1255&gt;13,"U15",IF(E1255&gt;11,"U13",IF(E1255&gt;0,"U11",0)))))</f>
        <v>0</v>
      </c>
      <c r="E1255" s="456">
        <f>IFERROR(IF(Table10[[#This Row],[Year]]&gt;0,$E$1-Table10[[#This Row],[Year]],0),"")</f>
        <v>0</v>
      </c>
      <c r="F1255" s="456"/>
      <c r="G1255" s="456"/>
      <c r="H1255" s="456"/>
    </row>
    <row r="1256" spans="1:8">
      <c r="A1256" s="471">
        <v>2253</v>
      </c>
      <c r="B1256" s="493" t="s">
        <v>2429</v>
      </c>
      <c r="C1256" s="472" t="s">
        <v>361</v>
      </c>
      <c r="D1256" s="456">
        <f>IF(Table10[[#This Row],[Current Age]]&gt;19,"Men's",IF(E1256&gt;15,"U19",IF(E1256&gt;13,"U15",IF(E1256&gt;11,"U13",IF(E1256&gt;0,"U11",0)))))</f>
        <v>0</v>
      </c>
      <c r="E1256" s="456">
        <f>IFERROR(IF(Table10[[#This Row],[Year]]&gt;0,$E$1-Table10[[#This Row],[Year]],0),"")</f>
        <v>0</v>
      </c>
      <c r="F1256" s="456"/>
      <c r="G1256" s="456"/>
      <c r="H1256" s="456"/>
    </row>
    <row r="1257" spans="1:8">
      <c r="A1257" s="456">
        <v>2254</v>
      </c>
      <c r="B1257" s="493" t="s">
        <v>2430</v>
      </c>
      <c r="C1257" s="472" t="s">
        <v>361</v>
      </c>
      <c r="D1257" s="456" t="str">
        <f>IF(Table10[[#This Row],[Current Age]]&gt;19,"Men's",IF(E1257&gt;15,"U19",IF(E1257&gt;13,"U15",IF(E1257&gt;11,"U13",IF(E1257&gt;0,"U11",0)))))</f>
        <v>Men's</v>
      </c>
      <c r="E1257" s="456">
        <f>IFERROR(IF(Table10[[#This Row],[Year]]&gt;0,$E$1-Table10[[#This Row],[Year]],0),"")</f>
        <v>59</v>
      </c>
      <c r="F1257" s="456">
        <v>1966</v>
      </c>
      <c r="G1257" s="456">
        <v>1</v>
      </c>
      <c r="H1257" s="456">
        <v>30</v>
      </c>
    </row>
    <row r="1258" spans="1:8">
      <c r="A1258" s="471">
        <v>2255</v>
      </c>
      <c r="B1258" s="493" t="s">
        <v>364</v>
      </c>
      <c r="C1258" s="472" t="s">
        <v>361</v>
      </c>
      <c r="D1258" s="456">
        <f>IF(Table10[[#This Row],[Current Age]]&gt;19,"Men's",IF(E1258&gt;15,"U19",IF(E1258&gt;13,"U15",IF(E1258&gt;11,"U13",IF(E1258&gt;0,"U11",0)))))</f>
        <v>0</v>
      </c>
      <c r="E1258" s="456">
        <f>IFERROR(IF(Table10[[#This Row],[Year]]&gt;0,$E$1-Table10[[#This Row],[Year]],0),"")</f>
        <v>0</v>
      </c>
      <c r="F1258" s="456"/>
      <c r="G1258" s="456"/>
      <c r="H1258" s="456"/>
    </row>
    <row r="1259" spans="1:8">
      <c r="A1259" s="456">
        <v>2256</v>
      </c>
      <c r="B1259" s="493" t="s">
        <v>365</v>
      </c>
      <c r="C1259" s="472" t="s">
        <v>244</v>
      </c>
      <c r="D1259" s="456">
        <f>IF(Table10[[#This Row],[Current Age]]&gt;19,"Men's",IF(E1259&gt;15,"U19",IF(E1259&gt;13,"U15",IF(E1259&gt;11,"U13",IF(E1259&gt;0,"U11",0)))))</f>
        <v>0</v>
      </c>
      <c r="E1259" s="456">
        <f>IFERROR(IF(Table10[[#This Row],[Year]]&gt;0,$E$1-Table10[[#This Row],[Year]],0),"")</f>
        <v>0</v>
      </c>
      <c r="F1259" s="456"/>
      <c r="G1259" s="456"/>
      <c r="H1259" s="456"/>
    </row>
    <row r="1260" spans="1:8">
      <c r="A1260" s="471">
        <v>2257</v>
      </c>
      <c r="B1260" s="493" t="s">
        <v>1905</v>
      </c>
      <c r="C1260" s="472" t="s">
        <v>361</v>
      </c>
      <c r="D1260" s="456" t="str">
        <f>IF(Table10[[#This Row],[Current Age]]&gt;19,"Men's",IF(E1260&gt;15,"U19",IF(E1260&gt;13,"U15",IF(E1260&gt;11,"U13",IF(E1260&gt;0,"U11",0)))))</f>
        <v>Men's</v>
      </c>
      <c r="E1260" s="456">
        <f>IFERROR(IF(Table10[[#This Row],[Year]]&gt;0,$E$1-Table10[[#This Row],[Year]],0),"")</f>
        <v>61</v>
      </c>
      <c r="F1260" s="456">
        <v>1964</v>
      </c>
      <c r="G1260" s="456">
        <v>3</v>
      </c>
      <c r="H1260" s="456">
        <v>8</v>
      </c>
    </row>
    <row r="1261" spans="1:8">
      <c r="A1261" s="456">
        <v>2258</v>
      </c>
      <c r="B1261" s="493" t="s">
        <v>366</v>
      </c>
      <c r="C1261" s="472"/>
      <c r="D1261" s="456">
        <f>IF(Table10[[#This Row],[Current Age]]&gt;19,"Men's",IF(E1261&gt;15,"U19",IF(E1261&gt;13,"U15",IF(E1261&gt;11,"U13",IF(E1261&gt;0,"U11",0)))))</f>
        <v>0</v>
      </c>
      <c r="E1261" s="456">
        <f>IFERROR(IF(Table10[[#This Row],[Year]]&gt;0,$E$1-Table10[[#This Row],[Year]],0),"")</f>
        <v>0</v>
      </c>
      <c r="F1261" s="456"/>
      <c r="G1261" s="456"/>
      <c r="H1261" s="456"/>
    </row>
    <row r="1262" spans="1:8">
      <c r="A1262" s="471">
        <v>2259</v>
      </c>
      <c r="B1262" s="493" t="s">
        <v>367</v>
      </c>
      <c r="C1262" s="472" t="s">
        <v>244</v>
      </c>
      <c r="D1262" s="456">
        <f>IF(Table10[[#This Row],[Current Age]]&gt;19,"Men's",IF(E1262&gt;15,"U19",IF(E1262&gt;13,"U15",IF(E1262&gt;11,"U13",IF(E1262&gt;0,"U11",0)))))</f>
        <v>0</v>
      </c>
      <c r="E1262" s="456">
        <f>IFERROR(IF(Table10[[#This Row],[Year]]&gt;0,$E$1-Table10[[#This Row],[Year]],0),"")</f>
        <v>0</v>
      </c>
      <c r="F1262" s="456"/>
      <c r="G1262" s="456"/>
      <c r="H1262" s="456"/>
    </row>
    <row r="1263" spans="1:8">
      <c r="A1263" s="456">
        <v>2260</v>
      </c>
      <c r="B1263" s="493" t="s">
        <v>368</v>
      </c>
      <c r="C1263" s="472" t="s">
        <v>361</v>
      </c>
      <c r="D1263" s="456">
        <f>IF(Table10[[#This Row],[Current Age]]&gt;19,"Men's",IF(E1263&gt;15,"U19",IF(E1263&gt;13,"U15",IF(E1263&gt;11,"U13",IF(E1263&gt;0,"U11",0)))))</f>
        <v>0</v>
      </c>
      <c r="E1263" s="456">
        <f>IFERROR(IF(Table10[[#This Row],[Year]]&gt;0,$E$1-Table10[[#This Row],[Year]],0),"")</f>
        <v>0</v>
      </c>
      <c r="F1263" s="456"/>
      <c r="G1263" s="456"/>
      <c r="H1263" s="456"/>
    </row>
    <row r="1264" spans="1:8">
      <c r="A1264" s="471">
        <v>2261</v>
      </c>
      <c r="B1264" s="493" t="s">
        <v>378</v>
      </c>
      <c r="C1264" s="472" t="s">
        <v>361</v>
      </c>
      <c r="D1264" s="456" t="str">
        <f>IF(Table10[[#This Row],[Current Age]]&gt;19,"Men's",IF(E1264&gt;15,"U19",IF(E1264&gt;13,"U15",IF(E1264&gt;11,"U13",IF(E1264&gt;0,"U11",0)))))</f>
        <v>Men's</v>
      </c>
      <c r="E1264" s="456">
        <f>IFERROR(IF(Table10[[#This Row],[Year]]&gt;0,$E$1-Table10[[#This Row],[Year]],0),"")</f>
        <v>59</v>
      </c>
      <c r="F1264" s="456">
        <v>1966</v>
      </c>
      <c r="G1264" s="456">
        <v>10</v>
      </c>
      <c r="H1264" s="456">
        <v>27</v>
      </c>
    </row>
    <row r="1265" spans="1:8">
      <c r="A1265" s="456">
        <v>2262</v>
      </c>
      <c r="B1265" s="493" t="s">
        <v>369</v>
      </c>
      <c r="C1265" s="472"/>
      <c r="D1265" s="456">
        <f>IF(Table10[[#This Row],[Current Age]]&gt;19,"Men's",IF(E1265&gt;15,"U19",IF(E1265&gt;13,"U15",IF(E1265&gt;11,"U13",IF(E1265&gt;0,"U11",0)))))</f>
        <v>0</v>
      </c>
      <c r="E1265" s="456">
        <f>IFERROR(IF(Table10[[#This Row],[Year]]&gt;0,$E$1-Table10[[#This Row],[Year]],0),"")</f>
        <v>0</v>
      </c>
      <c r="F1265" s="456"/>
      <c r="G1265" s="456"/>
      <c r="H1265" s="456"/>
    </row>
    <row r="1266" spans="1:8">
      <c r="A1266" s="471">
        <v>2263</v>
      </c>
      <c r="B1266" s="493" t="s">
        <v>1962</v>
      </c>
      <c r="C1266" s="472" t="s">
        <v>1908</v>
      </c>
      <c r="D1266" s="456">
        <f>IF(Table10[[#This Row],[Current Age]]&gt;19,"Men's",IF(E1266&gt;15,"U19",IF(E1266&gt;13,"U15",IF(E1266&gt;11,"U13",IF(E1266&gt;0,"U11",0)))))</f>
        <v>0</v>
      </c>
      <c r="E1266" s="456">
        <f>IFERROR(IF(Table10[[#This Row],[Year]]&gt;0,$E$1-Table10[[#This Row],[Year]],0),"")</f>
        <v>0</v>
      </c>
      <c r="F1266" s="456"/>
      <c r="G1266" s="456"/>
      <c r="H1266" s="456"/>
    </row>
    <row r="1267" spans="1:8">
      <c r="A1267" s="456">
        <v>2264</v>
      </c>
      <c r="B1267" s="493" t="s">
        <v>2498</v>
      </c>
      <c r="C1267" s="472" t="s">
        <v>244</v>
      </c>
      <c r="D1267" s="456" t="str">
        <f>IF(Table10[[#This Row],[Current Age]]&gt;19,"Men's",IF(E1267&gt;15,"U19",IF(E1267&gt;13,"U15",IF(E1267&gt;11,"U13",IF(E1267&gt;0,"U11",0)))))</f>
        <v>U15</v>
      </c>
      <c r="E1267" s="456">
        <f>IFERROR(IF(Table10[[#This Row],[Year]]&gt;0,$E$1-Table10[[#This Row],[Year]],0),"")</f>
        <v>14</v>
      </c>
      <c r="F1267" s="456">
        <v>2011</v>
      </c>
      <c r="G1267" s="456">
        <v>6</v>
      </c>
      <c r="H1267" s="456">
        <v>10</v>
      </c>
    </row>
    <row r="1268" spans="1:8">
      <c r="A1268" s="471">
        <v>2265</v>
      </c>
      <c r="B1268" s="493" t="s">
        <v>2432</v>
      </c>
      <c r="C1268" s="472" t="s">
        <v>361</v>
      </c>
      <c r="D1268" s="456">
        <f>IF(Table10[[#This Row],[Current Age]]&gt;19,"Men's",IF(E1268&gt;15,"U19",IF(E1268&gt;13,"U15",IF(E1268&gt;11,"U13",IF(E1268&gt;0,"U11",0)))))</f>
        <v>0</v>
      </c>
      <c r="E1268" s="456">
        <f>IFERROR(IF(Table10[[#This Row],[Year]]&gt;0,$E$1-Table10[[#This Row],[Year]],0),"")</f>
        <v>0</v>
      </c>
      <c r="F1268" s="456"/>
      <c r="G1268" s="456"/>
      <c r="H1268" s="456"/>
    </row>
    <row r="1269" spans="1:8">
      <c r="A1269" s="456">
        <v>2266</v>
      </c>
      <c r="B1269" s="493" t="s">
        <v>2433</v>
      </c>
      <c r="C1269" s="472" t="s">
        <v>361</v>
      </c>
      <c r="D1269" s="456">
        <f>IF(Table10[[#This Row],[Current Age]]&gt;19,"Men's",IF(E1269&gt;15,"U19",IF(E1269&gt;13,"U15",IF(E1269&gt;11,"U13",IF(E1269&gt;0,"U11",0)))))</f>
        <v>0</v>
      </c>
      <c r="E1269" s="456">
        <f>IFERROR(IF(Table10[[#This Row],[Year]]&gt;0,$E$1-Table10[[#This Row],[Year]],0),"")</f>
        <v>0</v>
      </c>
      <c r="F1269" s="456"/>
      <c r="G1269" s="456"/>
      <c r="H1269" s="456"/>
    </row>
    <row r="1270" spans="1:8">
      <c r="A1270" s="471">
        <v>2267</v>
      </c>
      <c r="B1270" s="493" t="s">
        <v>370</v>
      </c>
      <c r="C1270" s="472" t="s">
        <v>244</v>
      </c>
      <c r="D1270" s="456">
        <f>IF(Table10[[#This Row],[Current Age]]&gt;19,"Men's",IF(E1270&gt;15,"U19",IF(E1270&gt;13,"U15",IF(E1270&gt;11,"U13",IF(E1270&gt;0,"U11",0)))))</f>
        <v>0</v>
      </c>
      <c r="E1270" s="456">
        <f>IFERROR(IF(Table10[[#This Row],[Year]]&gt;0,$E$1-Table10[[#This Row],[Year]],0),"")</f>
        <v>0</v>
      </c>
      <c r="F1270" s="456"/>
      <c r="G1270" s="456"/>
      <c r="H1270" s="456"/>
    </row>
    <row r="1271" spans="1:8">
      <c r="A1271" s="456">
        <v>2268</v>
      </c>
      <c r="B1271" s="493" t="s">
        <v>1907</v>
      </c>
      <c r="C1271" s="472" t="s">
        <v>361</v>
      </c>
      <c r="D1271" s="456">
        <f>IF(Table10[[#This Row],[Current Age]]&gt;19,"Men's",IF(E1271&gt;15,"U19",IF(E1271&gt;13,"U15",IF(E1271&gt;11,"U13",IF(E1271&gt;0,"U11",0)))))</f>
        <v>0</v>
      </c>
      <c r="E1271" s="456">
        <f>IFERROR(IF(Table10[[#This Row],[Year]]&gt;0,$E$1-Table10[[#This Row],[Year]],0),"")</f>
        <v>0</v>
      </c>
      <c r="F1271" s="456"/>
      <c r="G1271" s="456"/>
      <c r="H1271" s="456"/>
    </row>
    <row r="1272" spans="1:8">
      <c r="A1272" s="471">
        <v>2269</v>
      </c>
      <c r="B1272" s="493" t="s">
        <v>2434</v>
      </c>
      <c r="C1272" s="472" t="s">
        <v>361</v>
      </c>
      <c r="D1272" s="456" t="str">
        <f>IF(Table10[[#This Row],[Current Age]]&gt;19,"Men's",IF(E1272&gt;15,"U19",IF(E1272&gt;13,"U15",IF(E1272&gt;11,"U13",IF(E1272&gt;0,"U11",0)))))</f>
        <v>Men's</v>
      </c>
      <c r="E1272" s="456">
        <f>IFERROR(IF(Table10[[#This Row],[Year]]&gt;0,$E$1-Table10[[#This Row],[Year]],0),"")</f>
        <v>70</v>
      </c>
      <c r="F1272" s="456">
        <v>1955</v>
      </c>
      <c r="G1272" s="456"/>
      <c r="H1272" s="456"/>
    </row>
    <row r="1273" spans="1:8">
      <c r="A1273" s="456">
        <v>2270</v>
      </c>
      <c r="B1273" s="493" t="s">
        <v>2435</v>
      </c>
      <c r="C1273" s="472" t="s">
        <v>361</v>
      </c>
      <c r="D1273" s="456">
        <f>IF(Table10[[#This Row],[Current Age]]&gt;19,"Men's",IF(E1273&gt;15,"U19",IF(E1273&gt;13,"U15",IF(E1273&gt;11,"U13",IF(E1273&gt;0,"U11",0)))))</f>
        <v>0</v>
      </c>
      <c r="E1273" s="456">
        <f>IFERROR(IF(Table10[[#This Row],[Year]]&gt;0,$E$1-Table10[[#This Row],[Year]],0),"")</f>
        <v>0</v>
      </c>
      <c r="F1273" s="456"/>
      <c r="G1273" s="456"/>
      <c r="H1273" s="456"/>
    </row>
    <row r="1274" spans="1:8">
      <c r="A1274" s="471">
        <v>2271</v>
      </c>
      <c r="B1274" s="493" t="s">
        <v>6064</v>
      </c>
      <c r="C1274" s="472" t="s">
        <v>4152</v>
      </c>
      <c r="D1274" s="456">
        <f>IF(Table10[[#This Row],[Current Age]]&gt;19,"Men's",IF(E1274&gt;15,"U19",IF(E1274&gt;13,"U15",IF(E1274&gt;11,"U13",IF(E1274&gt;0,"U11",0)))))</f>
        <v>0</v>
      </c>
      <c r="E1274" s="456">
        <f>IFERROR(IF(Table10[[#This Row],[Year]]&gt;0,$E$1-Table10[[#This Row],[Year]],0),"")</f>
        <v>0</v>
      </c>
      <c r="F1274" s="456"/>
      <c r="G1274" s="456"/>
      <c r="H1274" s="456"/>
    </row>
    <row r="1275" spans="1:8">
      <c r="A1275" s="456">
        <v>2272</v>
      </c>
      <c r="B1275" s="493" t="s">
        <v>2436</v>
      </c>
      <c r="C1275" s="472" t="s">
        <v>361</v>
      </c>
      <c r="D1275" s="456">
        <f>IF(Table10[[#This Row],[Current Age]]&gt;19,"Men's",IF(E1275&gt;15,"U19",IF(E1275&gt;13,"U15",IF(E1275&gt;11,"U13",IF(E1275&gt;0,"U11",0)))))</f>
        <v>0</v>
      </c>
      <c r="E1275" s="456">
        <f>IFERROR(IF(Table10[[#This Row],[Year]]&gt;0,$E$1-Table10[[#This Row],[Year]],0),"")</f>
        <v>0</v>
      </c>
      <c r="F1275" s="456"/>
      <c r="G1275" s="456"/>
      <c r="H1275" s="456"/>
    </row>
    <row r="1276" spans="1:8">
      <c r="A1276" s="471">
        <v>2273</v>
      </c>
      <c r="B1276" s="493" t="s">
        <v>2437</v>
      </c>
      <c r="C1276" s="472" t="s">
        <v>361</v>
      </c>
      <c r="D1276" s="456" t="str">
        <f>IF(Table10[[#This Row],[Current Age]]&gt;19,"Men's",IF(E1276&gt;15,"U19",IF(E1276&gt;13,"U15",IF(E1276&gt;11,"U13",IF(E1276&gt;0,"U11",0)))))</f>
        <v>Men's</v>
      </c>
      <c r="E1276" s="456">
        <f>IFERROR(IF(Table10[[#This Row],[Year]]&gt;0,$E$1-Table10[[#This Row],[Year]],0),"")</f>
        <v>58</v>
      </c>
      <c r="F1276" s="456">
        <v>1967</v>
      </c>
      <c r="G1276" s="456">
        <v>3</v>
      </c>
      <c r="H1276" s="456">
        <v>7</v>
      </c>
    </row>
    <row r="1277" spans="1:8">
      <c r="A1277" s="456">
        <v>2274</v>
      </c>
      <c r="B1277" s="493" t="s">
        <v>2438</v>
      </c>
      <c r="C1277" s="472" t="s">
        <v>361</v>
      </c>
      <c r="D1277" s="456" t="str">
        <f>IF(Table10[[#This Row],[Current Age]]&gt;19,"Men's",IF(E1277&gt;15,"U19",IF(E1277&gt;13,"U15",IF(E1277&gt;11,"U13",IF(E1277&gt;0,"U11",0)))))</f>
        <v>Men's</v>
      </c>
      <c r="E1277" s="456">
        <f>IFERROR(IF(Table10[[#This Row],[Year]]&gt;0,$E$1-Table10[[#This Row],[Year]],0),"")</f>
        <v>50</v>
      </c>
      <c r="F1277" s="456">
        <v>1975</v>
      </c>
      <c r="G1277" s="456">
        <v>6</v>
      </c>
      <c r="H1277" s="456">
        <v>8</v>
      </c>
    </row>
    <row r="1278" spans="1:8">
      <c r="A1278" s="471">
        <v>2275</v>
      </c>
      <c r="B1278" s="493" t="s">
        <v>2439</v>
      </c>
      <c r="C1278" s="472" t="s">
        <v>361</v>
      </c>
      <c r="D1278" s="456">
        <f>IF(Table10[[#This Row],[Current Age]]&gt;19,"Men's",IF(E1278&gt;15,"U19",IF(E1278&gt;13,"U15",IF(E1278&gt;11,"U13",IF(E1278&gt;0,"U11",0)))))</f>
        <v>0</v>
      </c>
      <c r="E1278" s="456">
        <f>IFERROR(IF(Table10[[#This Row],[Year]]&gt;0,$E$1-Table10[[#This Row],[Year]],0),"")</f>
        <v>0</v>
      </c>
      <c r="F1278" s="456"/>
      <c r="G1278" s="456"/>
      <c r="H1278" s="456"/>
    </row>
    <row r="1279" spans="1:8">
      <c r="A1279" s="456">
        <v>2276</v>
      </c>
      <c r="B1279" s="493" t="s">
        <v>2440</v>
      </c>
      <c r="C1279" s="472" t="s">
        <v>361</v>
      </c>
      <c r="D1279" s="456">
        <f>IF(Table10[[#This Row],[Current Age]]&gt;19,"Men's",IF(E1279&gt;15,"U19",IF(E1279&gt;13,"U15",IF(E1279&gt;11,"U13",IF(E1279&gt;0,"U11",0)))))</f>
        <v>0</v>
      </c>
      <c r="E1279" s="456">
        <f>IFERROR(IF(Table10[[#This Row],[Year]]&gt;0,$E$1-Table10[[#This Row],[Year]],0),"")</f>
        <v>0</v>
      </c>
      <c r="F1279" s="456"/>
      <c r="G1279" s="456"/>
      <c r="H1279" s="456"/>
    </row>
    <row r="1280" spans="1:8">
      <c r="A1280" s="471">
        <v>2277</v>
      </c>
      <c r="B1280" s="493" t="s">
        <v>1010</v>
      </c>
      <c r="C1280" s="472" t="s">
        <v>4720</v>
      </c>
      <c r="D1280" s="456">
        <f>IF(Table10[[#This Row],[Current Age]]&gt;19,"Men's",IF(E1280&gt;15,"U19",IF(E1280&gt;13,"U15",IF(E1280&gt;11,"U13",IF(E1280&gt;0,"U11",0)))))</f>
        <v>0</v>
      </c>
      <c r="E1280" s="456">
        <f>IFERROR(IF(Table10[[#This Row],[Year]]&gt;0,$E$1-Table10[[#This Row],[Year]],0),"")</f>
        <v>0</v>
      </c>
      <c r="F1280" s="456"/>
      <c r="G1280" s="456"/>
      <c r="H1280" s="456"/>
    </row>
    <row r="1281" spans="1:8">
      <c r="A1281" s="456">
        <v>2278</v>
      </c>
      <c r="B1281" s="469" t="s">
        <v>750</v>
      </c>
      <c r="C1281" s="458" t="s">
        <v>362</v>
      </c>
      <c r="D1281" s="456">
        <f>IF(Table10[[#This Row],[Current Age]]&gt;19,"Men's",IF(E1281&gt;15,"U19",IF(E1281&gt;13,"U15",IF(E1281&gt;11,"U13",IF(E1281&gt;0,"U11",0)))))</f>
        <v>0</v>
      </c>
      <c r="E1281" s="456">
        <f>IFERROR(IF(Table10[[#This Row],[Year]]&gt;0,$E$1-Table10[[#This Row],[Year]],0),"")</f>
        <v>0</v>
      </c>
      <c r="F1281" s="456"/>
      <c r="G1281" s="456"/>
      <c r="H1281" s="456"/>
    </row>
    <row r="1282" spans="1:8">
      <c r="A1282" s="471">
        <v>2279</v>
      </c>
      <c r="B1282" s="534" t="s">
        <v>982</v>
      </c>
      <c r="C1282" s="472" t="s">
        <v>361</v>
      </c>
      <c r="D1282" s="456" t="str">
        <f>IF(Table10[[#This Row],[Current Age]]&gt;19,"Men's",IF(E1282&gt;15,"U19",IF(E1282&gt;13,"U15",IF(E1282&gt;11,"U13",IF(E1282&gt;0,"U11",0)))))</f>
        <v>Men's</v>
      </c>
      <c r="E1282" s="456">
        <f>IFERROR(IF(Table10[[#This Row],[Year]]&gt;0,$E$1-Table10[[#This Row],[Year]],0),"")</f>
        <v>20</v>
      </c>
      <c r="F1282" s="456">
        <v>2005</v>
      </c>
      <c r="G1282" s="456">
        <v>8</v>
      </c>
      <c r="H1282" s="456">
        <v>24</v>
      </c>
    </row>
    <row r="1283" spans="1:8">
      <c r="A1283" s="456">
        <v>2280</v>
      </c>
      <c r="B1283" s="469" t="s">
        <v>981</v>
      </c>
      <c r="C1283" s="458" t="s">
        <v>361</v>
      </c>
      <c r="D1283" s="456" t="str">
        <f>IF(Table10[[#This Row],[Current Age]]&gt;19,"Men's",IF(E1283&gt;15,"U19",IF(E1283&gt;13,"U15",IF(E1283&gt;11,"U13",IF(E1283&gt;0,"U11",0)))))</f>
        <v>U19</v>
      </c>
      <c r="E1283" s="456">
        <f>IFERROR(IF(Table10[[#This Row],[Year]]&gt;0,$E$1-Table10[[#This Row],[Year]],0),"")</f>
        <v>18</v>
      </c>
      <c r="F1283" s="456">
        <v>2007</v>
      </c>
      <c r="G1283" s="456">
        <v>3</v>
      </c>
      <c r="H1283" s="456">
        <v>10</v>
      </c>
    </row>
    <row r="1284" spans="1:8">
      <c r="A1284" s="471">
        <v>2281</v>
      </c>
      <c r="B1284" s="493" t="s">
        <v>980</v>
      </c>
      <c r="C1284" s="472" t="s">
        <v>361</v>
      </c>
      <c r="D1284" s="456">
        <f>IF(Table10[[#This Row],[Current Age]]&gt;19,"Men's",IF(E1284&gt;15,"U19",IF(E1284&gt;13,"U15",IF(E1284&gt;11,"U13",IF(E1284&gt;0,"U11",0)))))</f>
        <v>0</v>
      </c>
      <c r="E1284" s="456">
        <f>IFERROR(IF(Table10[[#This Row],[Year]]&gt;0,$E$1-Table10[[#This Row],[Year]],0),"")</f>
        <v>0</v>
      </c>
      <c r="F1284" s="456"/>
      <c r="G1284" s="456"/>
      <c r="H1284" s="456"/>
    </row>
    <row r="1285" spans="1:8">
      <c r="A1285" s="456">
        <v>2282</v>
      </c>
      <c r="B1285" s="469" t="s">
        <v>978</v>
      </c>
      <c r="C1285" s="458" t="s">
        <v>361</v>
      </c>
      <c r="D1285" s="456" t="str">
        <f>IF(Table10[[#This Row],[Current Age]]&gt;19,"Men's",IF(E1285&gt;15,"U19",IF(E1285&gt;13,"U15",IF(E1285&gt;11,"U13",IF(E1285&gt;0,"U11",0)))))</f>
        <v>U19</v>
      </c>
      <c r="E1285" s="456">
        <f>IFERROR(IF(Table10[[#This Row],[Year]]&gt;0,$E$1-Table10[[#This Row],[Year]],0),"")</f>
        <v>18</v>
      </c>
      <c r="F1285" s="456">
        <v>2007</v>
      </c>
      <c r="G1285" s="456">
        <v>7</v>
      </c>
      <c r="H1285" s="456">
        <v>14</v>
      </c>
    </row>
    <row r="1286" spans="1:8">
      <c r="A1286" s="471">
        <v>2283</v>
      </c>
      <c r="B1286" s="493" t="s">
        <v>979</v>
      </c>
      <c r="C1286" s="472" t="s">
        <v>361</v>
      </c>
      <c r="D1286" s="456">
        <f>IF(Table10[[#This Row],[Current Age]]&gt;19,"Men's",IF(E1286&gt;15,"U19",IF(E1286&gt;13,"U15",IF(E1286&gt;11,"U13",IF(E1286&gt;0,"U11",0)))))</f>
        <v>0</v>
      </c>
      <c r="E1286" s="456">
        <f>IFERROR(IF(Table10[[#This Row],[Year]]&gt;0,$E$1-Table10[[#This Row],[Year]],0),"")</f>
        <v>0</v>
      </c>
      <c r="F1286" s="456"/>
      <c r="G1286" s="456"/>
      <c r="H1286" s="456"/>
    </row>
    <row r="1287" spans="1:8">
      <c r="A1287" s="456">
        <v>2284</v>
      </c>
      <c r="B1287" s="469" t="s">
        <v>3281</v>
      </c>
      <c r="C1287" s="458" t="s">
        <v>361</v>
      </c>
      <c r="D1287" s="456" t="str">
        <f>IF(Table10[[#This Row],[Current Age]]&gt;19,"Men's",IF(E1287&gt;15,"U19",IF(E1287&gt;13,"U15",IF(E1287&gt;11,"U13",IF(E1287&gt;0,"U11",0)))))</f>
        <v>U19</v>
      </c>
      <c r="E1287" s="456">
        <f>IFERROR(IF(Table10[[#This Row],[Year]]&gt;0,$E$1-Table10[[#This Row],[Year]],0),"")</f>
        <v>16</v>
      </c>
      <c r="F1287" s="456">
        <v>2009</v>
      </c>
      <c r="G1287" s="456">
        <v>1</v>
      </c>
      <c r="H1287" s="456">
        <v>19</v>
      </c>
    </row>
    <row r="1288" spans="1:8">
      <c r="A1288" s="471">
        <v>2285</v>
      </c>
      <c r="B1288" s="493" t="s">
        <v>968</v>
      </c>
      <c r="C1288" s="472" t="s">
        <v>361</v>
      </c>
      <c r="D1288" s="456" t="str">
        <f>IF(Table10[[#This Row],[Current Age]]&gt;19,"Men's",IF(E1288&gt;15,"U19",IF(E1288&gt;13,"U15",IF(E1288&gt;11,"U13",IF(E1288&gt;0,"U11",0)))))</f>
        <v>Men's</v>
      </c>
      <c r="E1288" s="456">
        <f>IFERROR(IF(Table10[[#This Row],[Year]]&gt;0,$E$1-Table10[[#This Row],[Year]],0),"")</f>
        <v>20</v>
      </c>
      <c r="F1288" s="456">
        <v>2005</v>
      </c>
      <c r="G1288" s="456">
        <v>5</v>
      </c>
      <c r="H1288" s="456">
        <v>3</v>
      </c>
    </row>
    <row r="1289" spans="1:8">
      <c r="A1289" s="456">
        <v>2286</v>
      </c>
      <c r="B1289" s="469" t="s">
        <v>975</v>
      </c>
      <c r="C1289" s="458" t="s">
        <v>361</v>
      </c>
      <c r="D1289" s="456" t="str">
        <f>IF(Table10[[#This Row],[Current Age]]&gt;19,"Men's",IF(E1289&gt;15,"U19",IF(E1289&gt;13,"U15",IF(E1289&gt;11,"U13",IF(E1289&gt;0,"U11",0)))))</f>
        <v>U19</v>
      </c>
      <c r="E1289" s="456">
        <f>IFERROR(IF(Table10[[#This Row],[Year]]&gt;0,$E$1-Table10[[#This Row],[Year]],0),"")</f>
        <v>17</v>
      </c>
      <c r="F1289" s="456">
        <v>2008</v>
      </c>
      <c r="G1289" s="456">
        <v>2</v>
      </c>
      <c r="H1289" s="456">
        <v>17</v>
      </c>
    </row>
    <row r="1290" spans="1:8">
      <c r="A1290" s="471">
        <v>2287</v>
      </c>
      <c r="B1290" s="493" t="s">
        <v>976</v>
      </c>
      <c r="C1290" s="472" t="s">
        <v>361</v>
      </c>
      <c r="D1290" s="456" t="str">
        <f>IF(Table10[[#This Row],[Current Age]]&gt;19,"Men's",IF(E1290&gt;15,"U19",IF(E1290&gt;13,"U15",IF(E1290&gt;11,"U13",IF(E1290&gt;0,"U11",0)))))</f>
        <v>Men's</v>
      </c>
      <c r="E1290" s="456">
        <f>IFERROR(IF(Table10[[#This Row],[Year]]&gt;0,$E$1-Table10[[#This Row],[Year]],0),"")</f>
        <v>20</v>
      </c>
      <c r="F1290" s="456">
        <v>2005</v>
      </c>
      <c r="G1290" s="456">
        <v>12</v>
      </c>
      <c r="H1290" s="456">
        <v>20</v>
      </c>
    </row>
    <row r="1291" spans="1:8">
      <c r="A1291" s="456">
        <v>2288</v>
      </c>
      <c r="B1291" s="469" t="s">
        <v>977</v>
      </c>
      <c r="C1291" s="458" t="s">
        <v>361</v>
      </c>
      <c r="D1291" s="456" t="str">
        <f>IF(Table10[[#This Row],[Current Age]]&gt;19,"Men's",IF(E1291&gt;15,"U19",IF(E1291&gt;13,"U15",IF(E1291&gt;11,"U13",IF(E1291&gt;0,"U11",0)))))</f>
        <v>U13</v>
      </c>
      <c r="E1291" s="456">
        <f>IFERROR(IF(Table10[[#This Row],[Year]]&gt;0,$E$1-Table10[[#This Row],[Year]],0),"")</f>
        <v>13</v>
      </c>
      <c r="F1291" s="456">
        <v>2012</v>
      </c>
      <c r="G1291" s="456">
        <v>1</v>
      </c>
      <c r="H1291" s="456">
        <v>6</v>
      </c>
    </row>
    <row r="1292" spans="1:8">
      <c r="A1292" s="471">
        <v>2289</v>
      </c>
      <c r="B1292" s="493" t="s">
        <v>974</v>
      </c>
      <c r="C1292" s="472" t="s">
        <v>361</v>
      </c>
      <c r="D1292" s="456" t="str">
        <f>IF(Table10[[#This Row],[Current Age]]&gt;19,"Men's",IF(E1292&gt;15,"U19",IF(E1292&gt;13,"U15",IF(E1292&gt;11,"U13",IF(E1292&gt;0,"U11",0)))))</f>
        <v>U19</v>
      </c>
      <c r="E1292" s="456">
        <f>IFERROR(IF(Table10[[#This Row],[Year]]&gt;0,$E$1-Table10[[#This Row],[Year]],0),"")</f>
        <v>17</v>
      </c>
      <c r="F1292" s="456">
        <v>2008</v>
      </c>
      <c r="G1292" s="456">
        <v>5</v>
      </c>
      <c r="H1292" s="456">
        <v>28</v>
      </c>
    </row>
    <row r="1293" spans="1:8">
      <c r="A1293" s="456">
        <v>2290</v>
      </c>
      <c r="B1293" s="469" t="s">
        <v>964</v>
      </c>
      <c r="C1293" s="458" t="s">
        <v>361</v>
      </c>
      <c r="D1293" s="456" t="str">
        <f>IF(Table10[[#This Row],[Current Age]]&gt;19,"Men's",IF(E1293&gt;15,"U19",IF(E1293&gt;13,"U15",IF(E1293&gt;11,"U13",IF(E1293&gt;0,"U11",0)))))</f>
        <v>Men's</v>
      </c>
      <c r="E1293" s="456">
        <f>IFERROR(IF(Table10[[#This Row],[Year]]&gt;0,$E$1-Table10[[#This Row],[Year]],0),"")</f>
        <v>20</v>
      </c>
      <c r="F1293" s="456">
        <v>2005</v>
      </c>
      <c r="G1293" s="456">
        <v>2</v>
      </c>
      <c r="H1293" s="456">
        <v>5</v>
      </c>
    </row>
    <row r="1294" spans="1:8">
      <c r="A1294" s="471">
        <v>2291</v>
      </c>
      <c r="B1294" s="493" t="s">
        <v>965</v>
      </c>
      <c r="C1294" s="472" t="s">
        <v>361</v>
      </c>
      <c r="D1294" s="456" t="str">
        <f>IF(Table10[[#This Row],[Current Age]]&gt;19,"Men's",IF(E1294&gt;15,"U19",IF(E1294&gt;13,"U15",IF(E1294&gt;11,"U13",IF(E1294&gt;0,"U11",0)))))</f>
        <v>Men's</v>
      </c>
      <c r="E1294" s="456">
        <f>IFERROR(IF(Table10[[#This Row],[Year]]&gt;0,$E$1-Table10[[#This Row],[Year]],0),"")</f>
        <v>20</v>
      </c>
      <c r="F1294" s="456">
        <v>2005</v>
      </c>
      <c r="G1294" s="456">
        <v>6</v>
      </c>
      <c r="H1294" s="456">
        <v>12</v>
      </c>
    </row>
    <row r="1295" spans="1:8">
      <c r="A1295" s="456">
        <v>2292</v>
      </c>
      <c r="B1295" s="469" t="s">
        <v>966</v>
      </c>
      <c r="C1295" s="458" t="s">
        <v>361</v>
      </c>
      <c r="D1295" s="456" t="str">
        <f>IF(Table10[[#This Row],[Current Age]]&gt;19,"Men's",IF(E1295&gt;15,"U19",IF(E1295&gt;13,"U15",IF(E1295&gt;11,"U13",IF(E1295&gt;0,"U11",0)))))</f>
        <v>Men's</v>
      </c>
      <c r="E1295" s="456">
        <f>IFERROR(IF(Table10[[#This Row],[Year]]&gt;0,$E$1-Table10[[#This Row],[Year]],0),"")</f>
        <v>20</v>
      </c>
      <c r="F1295" s="456">
        <v>2005</v>
      </c>
      <c r="G1295" s="456">
        <v>8</v>
      </c>
      <c r="H1295" s="456">
        <v>27</v>
      </c>
    </row>
    <row r="1296" spans="1:8">
      <c r="A1296" s="471">
        <v>2293</v>
      </c>
      <c r="B1296" s="534" t="s">
        <v>967</v>
      </c>
      <c r="C1296" s="472" t="s">
        <v>361</v>
      </c>
      <c r="D1296" s="456" t="str">
        <f>IF(Table10[[#This Row],[Current Age]]&gt;19,"Men's",IF(E1296&gt;15,"U19",IF(E1296&gt;13,"U15",IF(E1296&gt;11,"U13",IF(E1296&gt;0,"U11",0)))))</f>
        <v>U19</v>
      </c>
      <c r="E1296" s="456">
        <f>IFERROR(IF(Table10[[#This Row],[Year]]&gt;0,$E$1-Table10[[#This Row],[Year]],0),"")</f>
        <v>18</v>
      </c>
      <c r="F1296" s="456">
        <v>2007</v>
      </c>
      <c r="G1296" s="456">
        <v>10</v>
      </c>
      <c r="H1296" s="456">
        <v>9</v>
      </c>
    </row>
    <row r="1297" spans="1:8">
      <c r="A1297" s="456">
        <v>2294</v>
      </c>
      <c r="B1297" s="469" t="s">
        <v>969</v>
      </c>
      <c r="C1297" s="458" t="s">
        <v>361</v>
      </c>
      <c r="D1297" s="456" t="str">
        <f>IF(Table10[[#This Row],[Current Age]]&gt;19,"Men's",IF(E1297&gt;15,"U19",IF(E1297&gt;13,"U15",IF(E1297&gt;11,"U13",IF(E1297&gt;0,"U11",0)))))</f>
        <v>Men's</v>
      </c>
      <c r="E1297" s="456">
        <f>IFERROR(IF(Table10[[#This Row],[Year]]&gt;0,$E$1-Table10[[#This Row],[Year]],0),"")</f>
        <v>21</v>
      </c>
      <c r="F1297" s="456">
        <v>2004</v>
      </c>
      <c r="G1297" s="456">
        <v>7</v>
      </c>
      <c r="H1297" s="456">
        <v>11</v>
      </c>
    </row>
    <row r="1298" spans="1:8">
      <c r="A1298" s="471">
        <v>2295</v>
      </c>
      <c r="B1298" s="493" t="s">
        <v>970</v>
      </c>
      <c r="C1298" s="472" t="s">
        <v>361</v>
      </c>
      <c r="D1298" s="456" t="str">
        <f>IF(Table10[[#This Row],[Current Age]]&gt;19,"Men's",IF(E1298&gt;15,"U19",IF(E1298&gt;13,"U15",IF(E1298&gt;11,"U13",IF(E1298&gt;0,"U11",0)))))</f>
        <v>U19</v>
      </c>
      <c r="E1298" s="456">
        <f>IFERROR(IF(Table10[[#This Row],[Year]]&gt;0,$E$1-Table10[[#This Row],[Year]],0),"")</f>
        <v>17</v>
      </c>
      <c r="F1298" s="456">
        <v>2008</v>
      </c>
      <c r="G1298" s="456">
        <v>11</v>
      </c>
      <c r="H1298" s="456">
        <v>16</v>
      </c>
    </row>
    <row r="1299" spans="1:8">
      <c r="A1299" s="456">
        <v>2296</v>
      </c>
      <c r="B1299" s="533" t="s">
        <v>971</v>
      </c>
      <c r="C1299" s="458" t="s">
        <v>361</v>
      </c>
      <c r="D1299" s="456" t="str">
        <f>IF(Table10[[#This Row],[Current Age]]&gt;19,"Men's",IF(E1299&gt;15,"U19",IF(E1299&gt;13,"U15",IF(E1299&gt;11,"U13",IF(E1299&gt;0,"U11",0)))))</f>
        <v>U19</v>
      </c>
      <c r="E1299" s="456">
        <f>IFERROR(IF(Table10[[#This Row],[Year]]&gt;0,$E$1-Table10[[#This Row],[Year]],0),"")</f>
        <v>19</v>
      </c>
      <c r="F1299" s="456">
        <v>2006</v>
      </c>
      <c r="G1299" s="456">
        <v>8</v>
      </c>
      <c r="H1299" s="456">
        <v>10</v>
      </c>
    </row>
    <row r="1300" spans="1:8">
      <c r="A1300" s="471">
        <v>2297</v>
      </c>
      <c r="B1300" s="493" t="s">
        <v>972</v>
      </c>
      <c r="C1300" s="472" t="s">
        <v>361</v>
      </c>
      <c r="D1300" s="456">
        <f>IF(Table10[[#This Row],[Current Age]]&gt;19,"Men's",IF(E1300&gt;15,"U19",IF(E1300&gt;13,"U15",IF(E1300&gt;11,"U13",IF(E1300&gt;0,"U11",0)))))</f>
        <v>0</v>
      </c>
      <c r="E1300" s="456">
        <f>IFERROR(IF(Table10[[#This Row],[Year]]&gt;0,$E$1-Table10[[#This Row],[Year]],0),"")</f>
        <v>0</v>
      </c>
      <c r="F1300" s="456"/>
      <c r="G1300" s="456"/>
      <c r="H1300" s="456"/>
    </row>
    <row r="1301" spans="1:8">
      <c r="A1301" s="456">
        <v>2298</v>
      </c>
      <c r="B1301" s="469" t="s">
        <v>973</v>
      </c>
      <c r="C1301" s="458" t="s">
        <v>361</v>
      </c>
      <c r="D1301" s="456" t="str">
        <f>IF(Table10[[#This Row],[Current Age]]&gt;19,"Men's",IF(E1301&gt;15,"U19",IF(E1301&gt;13,"U15",IF(E1301&gt;11,"U13",IF(E1301&gt;0,"U11",0)))))</f>
        <v>Men's</v>
      </c>
      <c r="E1301" s="456">
        <f>IFERROR(IF(Table10[[#This Row],[Year]]&gt;0,$E$1-Table10[[#This Row],[Year]],0),"")</f>
        <v>20</v>
      </c>
      <c r="F1301" s="456">
        <v>2005</v>
      </c>
      <c r="G1301" s="456">
        <v>5</v>
      </c>
      <c r="H1301" s="456">
        <v>18</v>
      </c>
    </row>
    <row r="1302" spans="1:8">
      <c r="A1302" s="471">
        <v>2299</v>
      </c>
      <c r="B1302" s="493" t="s">
        <v>1963</v>
      </c>
      <c r="C1302" s="472" t="s">
        <v>649</v>
      </c>
      <c r="D1302" s="456">
        <f>IF(Table10[[#This Row],[Current Age]]&gt;19,"Men's",IF(E1302&gt;15,"U19",IF(E1302&gt;13,"U15",IF(E1302&gt;11,"U13",IF(E1302&gt;0,"U11",0)))))</f>
        <v>0</v>
      </c>
      <c r="E1302" s="456">
        <f>IFERROR(IF(Table10[[#This Row],[Year]]&gt;0,$E$1-Table10[[#This Row],[Year]],0),"")</f>
        <v>0</v>
      </c>
      <c r="F1302" s="456"/>
      <c r="G1302" s="456"/>
      <c r="H1302" s="456"/>
    </row>
    <row r="1303" spans="1:8">
      <c r="A1303" s="456">
        <v>2300</v>
      </c>
      <c r="B1303" s="469" t="s">
        <v>1964</v>
      </c>
      <c r="C1303" s="458" t="s">
        <v>649</v>
      </c>
      <c r="D1303" s="456">
        <f>IF(Table10[[#This Row],[Current Age]]&gt;19,"Men's",IF(E1303&gt;15,"U19",IF(E1303&gt;13,"U15",IF(E1303&gt;11,"U13",IF(E1303&gt;0,"U11",0)))))</f>
        <v>0</v>
      </c>
      <c r="E1303" s="456">
        <f>IFERROR(IF(Table10[[#This Row],[Year]]&gt;0,$E$1-Table10[[#This Row],[Year]],0),"")</f>
        <v>0</v>
      </c>
      <c r="F1303" s="456"/>
      <c r="G1303" s="456"/>
      <c r="H1303" s="456"/>
    </row>
    <row r="1304" spans="1:8">
      <c r="A1304" s="471">
        <v>2301</v>
      </c>
      <c r="B1304" s="493" t="s">
        <v>1965</v>
      </c>
      <c r="C1304" s="472" t="s">
        <v>361</v>
      </c>
      <c r="D1304" s="456" t="str">
        <f>IF(Table10[[#This Row],[Current Age]]&gt;19,"Men's",IF(E1304&gt;15,"U19",IF(E1304&gt;13,"U15",IF(E1304&gt;11,"U13",IF(E1304&gt;0,"U11",0)))))</f>
        <v>Men's</v>
      </c>
      <c r="E1304" s="456">
        <f>IFERROR(IF(Table10[[#This Row],[Year]]&gt;0,$E$1-Table10[[#This Row],[Year]],0),"")</f>
        <v>27</v>
      </c>
      <c r="F1304" s="456">
        <v>1998</v>
      </c>
      <c r="G1304" s="456">
        <v>3</v>
      </c>
      <c r="H1304" s="456">
        <v>16</v>
      </c>
    </row>
    <row r="1305" spans="1:8">
      <c r="A1305" s="456">
        <v>2302</v>
      </c>
      <c r="B1305" s="469" t="s">
        <v>1966</v>
      </c>
      <c r="C1305" s="458" t="s">
        <v>649</v>
      </c>
      <c r="D1305" s="456">
        <f>IF(Table10[[#This Row],[Current Age]]&gt;19,"Men's",IF(E1305&gt;15,"U19",IF(E1305&gt;13,"U15",IF(E1305&gt;11,"U13",IF(E1305&gt;0,"U11",0)))))</f>
        <v>0</v>
      </c>
      <c r="E1305" s="456">
        <f>IFERROR(IF(Table10[[#This Row],[Year]]&gt;0,$E$1-Table10[[#This Row],[Year]],0),"")</f>
        <v>0</v>
      </c>
      <c r="F1305" s="456"/>
      <c r="G1305" s="456"/>
      <c r="H1305" s="456"/>
    </row>
    <row r="1306" spans="1:8">
      <c r="A1306" s="471">
        <v>2303</v>
      </c>
      <c r="B1306" s="493" t="s">
        <v>1967</v>
      </c>
      <c r="C1306" s="472" t="s">
        <v>649</v>
      </c>
      <c r="D1306" s="456" t="str">
        <f>IF(Table10[[#This Row],[Current Age]]&gt;19,"Men's",IF(E1306&gt;15,"U19",IF(E1306&gt;13,"U15",IF(E1306&gt;11,"U13",IF(E1306&gt;0,"U11",0)))))</f>
        <v>Men's</v>
      </c>
      <c r="E1306" s="456">
        <f>IFERROR(IF(Table10[[#This Row],[Year]]&gt;0,$E$1-Table10[[#This Row],[Year]],0),"")</f>
        <v>30</v>
      </c>
      <c r="F1306" s="456">
        <v>1995</v>
      </c>
      <c r="G1306" s="456">
        <v>3</v>
      </c>
      <c r="H1306" s="456">
        <v>13</v>
      </c>
    </row>
    <row r="1307" spans="1:8">
      <c r="A1307" s="456">
        <v>2304</v>
      </c>
      <c r="B1307" s="469" t="s">
        <v>1968</v>
      </c>
      <c r="C1307" s="458" t="s">
        <v>649</v>
      </c>
      <c r="D1307" s="456">
        <f>IF(Table10[[#This Row],[Current Age]]&gt;19,"Men's",IF(E1307&gt;15,"U19",IF(E1307&gt;13,"U15",IF(E1307&gt;11,"U13",IF(E1307&gt;0,"U11",0)))))</f>
        <v>0</v>
      </c>
      <c r="E1307" s="456">
        <f>IFERROR(IF(Table10[[#This Row],[Year]]&gt;0,$E$1-Table10[[#This Row],[Year]],0),"")</f>
        <v>0</v>
      </c>
      <c r="F1307" s="456"/>
      <c r="G1307" s="456"/>
      <c r="H1307" s="456"/>
    </row>
    <row r="1308" spans="1:8">
      <c r="A1308" s="471">
        <v>2305</v>
      </c>
      <c r="B1308" s="493" t="s">
        <v>1969</v>
      </c>
      <c r="C1308" s="472" t="s">
        <v>649</v>
      </c>
      <c r="D1308" s="456">
        <f>IF(Table10[[#This Row],[Current Age]]&gt;19,"Men's",IF(E1308&gt;15,"U19",IF(E1308&gt;13,"U15",IF(E1308&gt;11,"U13",IF(E1308&gt;0,"U11",0)))))</f>
        <v>0</v>
      </c>
      <c r="E1308" s="456">
        <f>IFERROR(IF(Table10[[#This Row],[Year]]&gt;0,$E$1-Table10[[#This Row],[Year]],0),"")</f>
        <v>0</v>
      </c>
      <c r="F1308" s="456"/>
      <c r="G1308" s="456"/>
      <c r="H1308" s="456"/>
    </row>
    <row r="1309" spans="1:8">
      <c r="A1309" s="456">
        <v>2306</v>
      </c>
      <c r="B1309" s="469" t="s">
        <v>3286</v>
      </c>
      <c r="C1309" s="458" t="s">
        <v>256</v>
      </c>
      <c r="D1309" s="456">
        <f>IF(Table10[[#This Row],[Current Age]]&gt;19,"Men's",IF(E1309&gt;15,"U19",IF(E1309&gt;13,"U15",IF(E1309&gt;11,"U13",IF(E1309&gt;0,"U11",0)))))</f>
        <v>0</v>
      </c>
      <c r="E1309" s="456">
        <f>IFERROR(IF(Table10[[#This Row],[Year]]&gt;0,$E$1-Table10[[#This Row],[Year]],0),"")</f>
        <v>0</v>
      </c>
      <c r="F1309" s="456"/>
      <c r="G1309" s="456"/>
      <c r="H1309" s="456"/>
    </row>
    <row r="1310" spans="1:8">
      <c r="A1310" s="471">
        <v>2307</v>
      </c>
      <c r="B1310" s="493" t="s">
        <v>1970</v>
      </c>
      <c r="C1310" s="472" t="s">
        <v>649</v>
      </c>
      <c r="D1310" s="456">
        <f>IF(Table10[[#This Row],[Current Age]]&gt;19,"Men's",IF(E1310&gt;15,"U19",IF(E1310&gt;13,"U15",IF(E1310&gt;11,"U13",IF(E1310&gt;0,"U11",0)))))</f>
        <v>0</v>
      </c>
      <c r="E1310" s="456">
        <f>IFERROR(IF(Table10[[#This Row],[Year]]&gt;0,$E$1-Table10[[#This Row],[Year]],0),"")</f>
        <v>0</v>
      </c>
      <c r="F1310" s="456"/>
      <c r="G1310" s="456"/>
      <c r="H1310" s="456"/>
    </row>
    <row r="1311" spans="1:8">
      <c r="A1311" s="456">
        <v>2308</v>
      </c>
      <c r="B1311" s="469" t="s">
        <v>1971</v>
      </c>
      <c r="C1311" s="458" t="s">
        <v>649</v>
      </c>
      <c r="D1311" s="456">
        <f>IF(Table10[[#This Row],[Current Age]]&gt;19,"Men's",IF(E1311&gt;15,"U19",IF(E1311&gt;13,"U15",IF(E1311&gt;11,"U13",IF(E1311&gt;0,"U11",0)))))</f>
        <v>0</v>
      </c>
      <c r="E1311" s="456">
        <f>IFERROR(IF(Table10[[#This Row],[Year]]&gt;0,$E$1-Table10[[#This Row],[Year]],0),"")</f>
        <v>0</v>
      </c>
      <c r="F1311" s="456"/>
      <c r="G1311" s="456"/>
      <c r="H1311" s="456"/>
    </row>
    <row r="1312" spans="1:8">
      <c r="A1312" s="471">
        <v>2309</v>
      </c>
      <c r="B1312" s="493" t="s">
        <v>1972</v>
      </c>
      <c r="C1312" s="472" t="s">
        <v>649</v>
      </c>
      <c r="D1312" s="456">
        <f>IF(Table10[[#This Row],[Current Age]]&gt;19,"Men's",IF(E1312&gt;15,"U19",IF(E1312&gt;13,"U15",IF(E1312&gt;11,"U13",IF(E1312&gt;0,"U11",0)))))</f>
        <v>0</v>
      </c>
      <c r="E1312" s="456">
        <f>IFERROR(IF(Table10[[#This Row],[Year]]&gt;0,$E$1-Table10[[#This Row],[Year]],0),"")</f>
        <v>0</v>
      </c>
      <c r="F1312" s="456"/>
      <c r="G1312" s="456"/>
      <c r="H1312" s="456"/>
    </row>
    <row r="1313" spans="1:8">
      <c r="A1313" s="456">
        <v>2310</v>
      </c>
      <c r="B1313" s="469" t="s">
        <v>1973</v>
      </c>
      <c r="C1313" s="458" t="s">
        <v>649</v>
      </c>
      <c r="D1313" s="456">
        <f>IF(Table10[[#This Row],[Current Age]]&gt;19,"Men's",IF(E1313&gt;15,"U19",IF(E1313&gt;13,"U15",IF(E1313&gt;11,"U13",IF(E1313&gt;0,"U11",0)))))</f>
        <v>0</v>
      </c>
      <c r="E1313" s="456">
        <f>IFERROR(IF(Table10[[#This Row],[Year]]&gt;0,$E$1-Table10[[#This Row],[Year]],0),"")</f>
        <v>0</v>
      </c>
      <c r="F1313" s="456"/>
      <c r="G1313" s="456"/>
      <c r="H1313" s="456"/>
    </row>
    <row r="1314" spans="1:8">
      <c r="A1314" s="471">
        <v>2311</v>
      </c>
      <c r="B1314" s="493" t="s">
        <v>1974</v>
      </c>
      <c r="C1314" s="472" t="s">
        <v>649</v>
      </c>
      <c r="D1314" s="456">
        <f>IF(Table10[[#This Row],[Current Age]]&gt;19,"Men's",IF(E1314&gt;15,"U19",IF(E1314&gt;13,"U15",IF(E1314&gt;11,"U13",IF(E1314&gt;0,"U11",0)))))</f>
        <v>0</v>
      </c>
      <c r="E1314" s="456">
        <f>IFERROR(IF(Table10[[#This Row],[Year]]&gt;0,$E$1-Table10[[#This Row],[Year]],0),"")</f>
        <v>0</v>
      </c>
      <c r="F1314" s="456"/>
      <c r="G1314" s="456"/>
      <c r="H1314" s="456"/>
    </row>
    <row r="1315" spans="1:8">
      <c r="A1315" s="456">
        <v>2312</v>
      </c>
      <c r="B1315" s="469" t="s">
        <v>1975</v>
      </c>
      <c r="C1315" s="458" t="s">
        <v>649</v>
      </c>
      <c r="D1315" s="456">
        <f>IF(Table10[[#This Row],[Current Age]]&gt;19,"Men's",IF(E1315&gt;15,"U19",IF(E1315&gt;13,"U15",IF(E1315&gt;11,"U13",IF(E1315&gt;0,"U11",0)))))</f>
        <v>0</v>
      </c>
      <c r="E1315" s="456">
        <f>IFERROR(IF(Table10[[#This Row],[Year]]&gt;0,$E$1-Table10[[#This Row],[Year]],0),"")</f>
        <v>0</v>
      </c>
      <c r="F1315" s="456"/>
      <c r="G1315" s="456"/>
      <c r="H1315" s="456"/>
    </row>
    <row r="1316" spans="1:8">
      <c r="A1316" s="471">
        <v>2313</v>
      </c>
      <c r="B1316" s="493" t="s">
        <v>1976</v>
      </c>
      <c r="C1316" s="472" t="s">
        <v>649</v>
      </c>
      <c r="D1316" s="456">
        <f>IF(Table10[[#This Row],[Current Age]]&gt;19,"Men's",IF(E1316&gt;15,"U19",IF(E1316&gt;13,"U15",IF(E1316&gt;11,"U13",IF(E1316&gt;0,"U11",0)))))</f>
        <v>0</v>
      </c>
      <c r="E1316" s="456">
        <f>IFERROR(IF(Table10[[#This Row],[Year]]&gt;0,$E$1-Table10[[#This Row],[Year]],0),"")</f>
        <v>0</v>
      </c>
      <c r="F1316" s="456"/>
      <c r="G1316" s="456"/>
      <c r="H1316" s="456"/>
    </row>
    <row r="1317" spans="1:8">
      <c r="A1317" s="456">
        <v>2314</v>
      </c>
      <c r="B1317" s="469" t="s">
        <v>1977</v>
      </c>
      <c r="C1317" s="458" t="s">
        <v>649</v>
      </c>
      <c r="D1317" s="456">
        <f>IF(Table10[[#This Row],[Current Age]]&gt;19,"Men's",IF(E1317&gt;15,"U19",IF(E1317&gt;13,"U15",IF(E1317&gt;11,"U13",IF(E1317&gt;0,"U11",0)))))</f>
        <v>0</v>
      </c>
      <c r="E1317" s="456">
        <f>IFERROR(IF(Table10[[#This Row],[Year]]&gt;0,$E$1-Table10[[#This Row],[Year]],0),"")</f>
        <v>0</v>
      </c>
      <c r="F1317" s="456"/>
      <c r="G1317" s="456"/>
      <c r="H1317" s="456"/>
    </row>
    <row r="1318" spans="1:8">
      <c r="A1318" s="471">
        <v>2315</v>
      </c>
      <c r="B1318" s="493" t="s">
        <v>1978</v>
      </c>
      <c r="C1318" s="472" t="s">
        <v>649</v>
      </c>
      <c r="D1318" s="456">
        <f>IF(Table10[[#This Row],[Current Age]]&gt;19,"Men's",IF(E1318&gt;15,"U19",IF(E1318&gt;13,"U15",IF(E1318&gt;11,"U13",IF(E1318&gt;0,"U11",0)))))</f>
        <v>0</v>
      </c>
      <c r="E1318" s="456">
        <f>IFERROR(IF(Table10[[#This Row],[Year]]&gt;0,$E$1-Table10[[#This Row],[Year]],0),"")</f>
        <v>0</v>
      </c>
      <c r="F1318" s="456"/>
      <c r="G1318" s="456"/>
      <c r="H1318" s="456"/>
    </row>
    <row r="1319" spans="1:8">
      <c r="A1319" s="456">
        <v>2316</v>
      </c>
      <c r="B1319" s="469" t="s">
        <v>1979</v>
      </c>
      <c r="C1319" s="458" t="s">
        <v>649</v>
      </c>
      <c r="D1319" s="456">
        <f>IF(Table10[[#This Row],[Current Age]]&gt;19,"Men's",IF(E1319&gt;15,"U19",IF(E1319&gt;13,"U15",IF(E1319&gt;11,"U13",IF(E1319&gt;0,"U11",0)))))</f>
        <v>0</v>
      </c>
      <c r="E1319" s="456">
        <f>IFERROR(IF(Table10[[#This Row],[Year]]&gt;0,$E$1-Table10[[#This Row],[Year]],0),"")</f>
        <v>0</v>
      </c>
      <c r="F1319" s="456"/>
      <c r="G1319" s="456"/>
      <c r="H1319" s="456"/>
    </row>
    <row r="1320" spans="1:8">
      <c r="A1320" s="471">
        <v>2317</v>
      </c>
      <c r="B1320" s="493" t="s">
        <v>1980</v>
      </c>
      <c r="C1320" s="472" t="s">
        <v>649</v>
      </c>
      <c r="D1320" s="456">
        <f>IF(Table10[[#This Row],[Current Age]]&gt;19,"Men's",IF(E1320&gt;15,"U19",IF(E1320&gt;13,"U15",IF(E1320&gt;11,"U13",IF(E1320&gt;0,"U11",0)))))</f>
        <v>0</v>
      </c>
      <c r="E1320" s="456">
        <f>IFERROR(IF(Table10[[#This Row],[Year]]&gt;0,$E$1-Table10[[#This Row],[Year]],0),"")</f>
        <v>0</v>
      </c>
      <c r="F1320" s="456"/>
      <c r="G1320" s="456"/>
      <c r="H1320" s="456"/>
    </row>
    <row r="1321" spans="1:8">
      <c r="A1321" s="456">
        <v>2318</v>
      </c>
      <c r="B1321" s="469" t="s">
        <v>1981</v>
      </c>
      <c r="C1321" s="458" t="s">
        <v>649</v>
      </c>
      <c r="D1321" s="456">
        <f>IF(Table10[[#This Row],[Current Age]]&gt;19,"Men's",IF(E1321&gt;15,"U19",IF(E1321&gt;13,"U15",IF(E1321&gt;11,"U13",IF(E1321&gt;0,"U11",0)))))</f>
        <v>0</v>
      </c>
      <c r="E1321" s="456">
        <f>IFERROR(IF(Table10[[#This Row],[Year]]&gt;0,$E$1-Table10[[#This Row],[Year]],0),"")</f>
        <v>0</v>
      </c>
      <c r="F1321" s="456"/>
      <c r="G1321" s="456"/>
      <c r="H1321" s="456"/>
    </row>
    <row r="1322" spans="1:8">
      <c r="A1322" s="471">
        <v>2319</v>
      </c>
      <c r="B1322" s="493" t="s">
        <v>1982</v>
      </c>
      <c r="C1322" s="472" t="s">
        <v>649</v>
      </c>
      <c r="D1322" s="456">
        <f>IF(Table10[[#This Row],[Current Age]]&gt;19,"Men's",IF(E1322&gt;15,"U19",IF(E1322&gt;13,"U15",IF(E1322&gt;11,"U13",IF(E1322&gt;0,"U11",0)))))</f>
        <v>0</v>
      </c>
      <c r="E1322" s="456">
        <f>IFERROR(IF(Table10[[#This Row],[Year]]&gt;0,$E$1-Table10[[#This Row],[Year]],0),"")</f>
        <v>0</v>
      </c>
      <c r="F1322" s="456"/>
      <c r="G1322" s="456"/>
      <c r="H1322" s="456"/>
    </row>
    <row r="1323" spans="1:8">
      <c r="A1323" s="456">
        <v>2320</v>
      </c>
      <c r="B1323" s="469" t="s">
        <v>1984</v>
      </c>
      <c r="C1323" s="458" t="s">
        <v>649</v>
      </c>
      <c r="D1323" s="456">
        <f>IF(Table10[[#This Row],[Current Age]]&gt;19,"Men's",IF(E1323&gt;15,"U19",IF(E1323&gt;13,"U15",IF(E1323&gt;11,"U13",IF(E1323&gt;0,"U11",0)))))</f>
        <v>0</v>
      </c>
      <c r="E1323" s="456">
        <f>IFERROR(IF(Table10[[#This Row],[Year]]&gt;0,$E$1-Table10[[#This Row],[Year]],0),"")</f>
        <v>0</v>
      </c>
      <c r="F1323" s="456"/>
      <c r="G1323" s="456"/>
      <c r="H1323" s="456"/>
    </row>
    <row r="1324" spans="1:8">
      <c r="A1324" s="471">
        <v>2321</v>
      </c>
      <c r="B1324" s="493" t="s">
        <v>1985</v>
      </c>
      <c r="C1324" s="472" t="s">
        <v>649</v>
      </c>
      <c r="D1324" s="456">
        <f>IF(Table10[[#This Row],[Current Age]]&gt;19,"Men's",IF(E1324&gt;15,"U19",IF(E1324&gt;13,"U15",IF(E1324&gt;11,"U13",IF(E1324&gt;0,"U11",0)))))</f>
        <v>0</v>
      </c>
      <c r="E1324" s="456">
        <f>IFERROR(IF(Table10[[#This Row],[Year]]&gt;0,$E$1-Table10[[#This Row],[Year]],0),"")</f>
        <v>0</v>
      </c>
      <c r="F1324" s="456"/>
      <c r="G1324" s="456"/>
      <c r="H1324" s="456"/>
    </row>
    <row r="1325" spans="1:8">
      <c r="A1325" s="456">
        <v>2322</v>
      </c>
      <c r="B1325" s="469" t="s">
        <v>1983</v>
      </c>
      <c r="C1325" s="458" t="s">
        <v>649</v>
      </c>
      <c r="D1325" s="456">
        <f>IF(Table10[[#This Row],[Current Age]]&gt;19,"Men's",IF(E1325&gt;15,"U19",IF(E1325&gt;13,"U15",IF(E1325&gt;11,"U13",IF(E1325&gt;0,"U11",0)))))</f>
        <v>0</v>
      </c>
      <c r="E1325" s="456">
        <f>IFERROR(IF(Table10[[#This Row],[Year]]&gt;0,$E$1-Table10[[#This Row],[Year]],0),"")</f>
        <v>0</v>
      </c>
      <c r="F1325" s="456"/>
      <c r="G1325" s="456"/>
      <c r="H1325" s="456"/>
    </row>
    <row r="1326" spans="1:8">
      <c r="A1326" s="471">
        <v>2323</v>
      </c>
      <c r="B1326" s="493" t="s">
        <v>1986</v>
      </c>
      <c r="C1326" s="472" t="s">
        <v>649</v>
      </c>
      <c r="D1326" s="456">
        <f>IF(Table10[[#This Row],[Current Age]]&gt;19,"Men's",IF(E1326&gt;15,"U19",IF(E1326&gt;13,"U15",IF(E1326&gt;11,"U13",IF(E1326&gt;0,"U11",0)))))</f>
        <v>0</v>
      </c>
      <c r="E1326" s="456">
        <f>IFERROR(IF(Table10[[#This Row],[Year]]&gt;0,$E$1-Table10[[#This Row],[Year]],0),"")</f>
        <v>0</v>
      </c>
      <c r="F1326" s="456"/>
      <c r="G1326" s="456"/>
      <c r="H1326" s="456"/>
    </row>
    <row r="1327" spans="1:8">
      <c r="A1327" s="456">
        <v>2324</v>
      </c>
      <c r="B1327" s="469" t="s">
        <v>1987</v>
      </c>
      <c r="C1327" s="458" t="s">
        <v>649</v>
      </c>
      <c r="D1327" s="456">
        <f>IF(Table10[[#This Row],[Current Age]]&gt;19,"Men's",IF(E1327&gt;15,"U19",IF(E1327&gt;13,"U15",IF(E1327&gt;11,"U13",IF(E1327&gt;0,"U11",0)))))</f>
        <v>0</v>
      </c>
      <c r="E1327" s="456">
        <f>IFERROR(IF(Table10[[#This Row],[Year]]&gt;0,$E$1-Table10[[#This Row],[Year]],0),"")</f>
        <v>0</v>
      </c>
      <c r="F1327" s="456"/>
      <c r="G1327" s="456"/>
      <c r="H1327" s="456"/>
    </row>
    <row r="1328" spans="1:8">
      <c r="A1328" s="471">
        <v>2325</v>
      </c>
      <c r="B1328" s="493" t="s">
        <v>1988</v>
      </c>
      <c r="C1328" s="472" t="s">
        <v>649</v>
      </c>
      <c r="D1328" s="456">
        <f>IF(Table10[[#This Row],[Current Age]]&gt;19,"Men's",IF(E1328&gt;15,"U19",IF(E1328&gt;13,"U15",IF(E1328&gt;11,"U13",IF(E1328&gt;0,"U11",0)))))</f>
        <v>0</v>
      </c>
      <c r="E1328" s="456">
        <f>IFERROR(IF(Table10[[#This Row],[Year]]&gt;0,$E$1-Table10[[#This Row],[Year]],0),"")</f>
        <v>0</v>
      </c>
      <c r="F1328" s="456"/>
      <c r="G1328" s="456"/>
      <c r="H1328" s="456"/>
    </row>
    <row r="1329" spans="1:8">
      <c r="A1329" s="456">
        <v>2326</v>
      </c>
      <c r="B1329" s="469" t="s">
        <v>1989</v>
      </c>
      <c r="C1329" s="458" t="s">
        <v>649</v>
      </c>
      <c r="D1329" s="456">
        <f>IF(Table10[[#This Row],[Current Age]]&gt;19,"Men's",IF(E1329&gt;15,"U19",IF(E1329&gt;13,"U15",IF(E1329&gt;11,"U13",IF(E1329&gt;0,"U11",0)))))</f>
        <v>0</v>
      </c>
      <c r="E1329" s="456">
        <f>IFERROR(IF(Table10[[#This Row],[Year]]&gt;0,$E$1-Table10[[#This Row],[Year]],0),"")</f>
        <v>0</v>
      </c>
      <c r="F1329" s="456"/>
      <c r="G1329" s="456"/>
      <c r="H1329" s="456"/>
    </row>
    <row r="1330" spans="1:8">
      <c r="A1330" s="471">
        <v>2327</v>
      </c>
      <c r="B1330" s="493" t="s">
        <v>1990</v>
      </c>
      <c r="C1330" s="472" t="s">
        <v>649</v>
      </c>
      <c r="D1330" s="456">
        <f>IF(Table10[[#This Row],[Current Age]]&gt;19,"Men's",IF(E1330&gt;15,"U19",IF(E1330&gt;13,"U15",IF(E1330&gt;11,"U13",IF(E1330&gt;0,"U11",0)))))</f>
        <v>0</v>
      </c>
      <c r="E1330" s="456">
        <f>IFERROR(IF(Table10[[#This Row],[Year]]&gt;0,$E$1-Table10[[#This Row],[Year]],0),"")</f>
        <v>0</v>
      </c>
      <c r="F1330" s="456"/>
      <c r="G1330" s="456"/>
      <c r="H1330" s="456"/>
    </row>
    <row r="1331" spans="1:8">
      <c r="A1331" s="456">
        <v>2328</v>
      </c>
      <c r="B1331" s="469" t="s">
        <v>1991</v>
      </c>
      <c r="C1331" s="458" t="s">
        <v>649</v>
      </c>
      <c r="D1331" s="456">
        <f>IF(Table10[[#This Row],[Current Age]]&gt;19,"Men's",IF(E1331&gt;15,"U19",IF(E1331&gt;13,"U15",IF(E1331&gt;11,"U13",IF(E1331&gt;0,"U11",0)))))</f>
        <v>0</v>
      </c>
      <c r="E1331" s="456">
        <f>IFERROR(IF(Table10[[#This Row],[Year]]&gt;0,$E$1-Table10[[#This Row],[Year]],0),"")</f>
        <v>0</v>
      </c>
      <c r="F1331" s="456"/>
      <c r="G1331" s="456"/>
      <c r="H1331" s="456"/>
    </row>
    <row r="1332" spans="1:8">
      <c r="A1332" s="471">
        <v>2329</v>
      </c>
      <c r="B1332" s="493" t="s">
        <v>1992</v>
      </c>
      <c r="C1332" s="472" t="s">
        <v>649</v>
      </c>
      <c r="D1332" s="456">
        <f>IF(Table10[[#This Row],[Current Age]]&gt;19,"Men's",IF(E1332&gt;15,"U19",IF(E1332&gt;13,"U15",IF(E1332&gt;11,"U13",IF(E1332&gt;0,"U11",0)))))</f>
        <v>0</v>
      </c>
      <c r="E1332" s="456">
        <f>IFERROR(IF(Table10[[#This Row],[Year]]&gt;0,$E$1-Table10[[#This Row],[Year]],0),"")</f>
        <v>0</v>
      </c>
      <c r="F1332" s="456"/>
      <c r="G1332" s="456"/>
      <c r="H1332" s="456"/>
    </row>
    <row r="1333" spans="1:8">
      <c r="A1333" s="456">
        <v>2330</v>
      </c>
      <c r="B1333" s="469" t="s">
        <v>1993</v>
      </c>
      <c r="C1333" s="458" t="s">
        <v>649</v>
      </c>
      <c r="D1333" s="456">
        <f>IF(Table10[[#This Row],[Current Age]]&gt;19,"Men's",IF(E1333&gt;15,"U19",IF(E1333&gt;13,"U15",IF(E1333&gt;11,"U13",IF(E1333&gt;0,"U11",0)))))</f>
        <v>0</v>
      </c>
      <c r="E1333" s="456">
        <f>IFERROR(IF(Table10[[#This Row],[Year]]&gt;0,$E$1-Table10[[#This Row],[Year]],0),"")</f>
        <v>0</v>
      </c>
      <c r="F1333" s="456"/>
      <c r="G1333" s="456"/>
      <c r="H1333" s="456"/>
    </row>
    <row r="1334" spans="1:8">
      <c r="A1334" s="471">
        <v>2331</v>
      </c>
      <c r="B1334" s="493" t="s">
        <v>1994</v>
      </c>
      <c r="C1334" s="472" t="s">
        <v>649</v>
      </c>
      <c r="D1334" s="456">
        <f>IF(Table10[[#This Row],[Current Age]]&gt;19,"Men's",IF(E1334&gt;15,"U19",IF(E1334&gt;13,"U15",IF(E1334&gt;11,"U13",IF(E1334&gt;0,"U11",0)))))</f>
        <v>0</v>
      </c>
      <c r="E1334" s="456">
        <f>IFERROR(IF(Table10[[#This Row],[Year]]&gt;0,$E$1-Table10[[#This Row],[Year]],0),"")</f>
        <v>0</v>
      </c>
      <c r="F1334" s="456"/>
      <c r="G1334" s="456"/>
      <c r="H1334" s="456"/>
    </row>
    <row r="1335" spans="1:8">
      <c r="A1335" s="456">
        <v>2332</v>
      </c>
      <c r="B1335" s="469" t="s">
        <v>1995</v>
      </c>
      <c r="C1335" s="458" t="s">
        <v>649</v>
      </c>
      <c r="D1335" s="456">
        <f>IF(Table10[[#This Row],[Current Age]]&gt;19,"Men's",IF(E1335&gt;15,"U19",IF(E1335&gt;13,"U15",IF(E1335&gt;11,"U13",IF(E1335&gt;0,"U11",0)))))</f>
        <v>0</v>
      </c>
      <c r="E1335" s="456">
        <f>IFERROR(IF(Table10[[#This Row],[Year]]&gt;0,$E$1-Table10[[#This Row],[Year]],0),"")</f>
        <v>0</v>
      </c>
      <c r="F1335" s="456"/>
      <c r="G1335" s="456"/>
      <c r="H1335" s="456"/>
    </row>
    <row r="1336" spans="1:8">
      <c r="A1336" s="471">
        <v>2333</v>
      </c>
      <c r="B1336" s="493" t="s">
        <v>2030</v>
      </c>
      <c r="C1336" s="472" t="s">
        <v>248</v>
      </c>
      <c r="D1336" s="456">
        <f>IF(Table10[[#This Row],[Current Age]]&gt;19,"Men's",IF(E1336&gt;15,"U19",IF(E1336&gt;13,"U15",IF(E1336&gt;11,"U13",IF(E1336&gt;0,"U11",0)))))</f>
        <v>0</v>
      </c>
      <c r="E1336" s="456">
        <f>IFERROR(IF(Table10[[#This Row],[Year]]&gt;0,$E$1-Table10[[#This Row],[Year]],0),"")</f>
        <v>0</v>
      </c>
      <c r="F1336" s="456"/>
      <c r="G1336" s="456"/>
      <c r="H1336" s="456"/>
    </row>
    <row r="1337" spans="1:8">
      <c r="A1337" s="456">
        <v>2334</v>
      </c>
      <c r="B1337" s="469" t="s">
        <v>2031</v>
      </c>
      <c r="C1337" s="458" t="s">
        <v>248</v>
      </c>
      <c r="D1337" s="456">
        <f>IF(Table10[[#This Row],[Current Age]]&gt;19,"Men's",IF(E1337&gt;15,"U19",IF(E1337&gt;13,"U15",IF(E1337&gt;11,"U13",IF(E1337&gt;0,"U11",0)))))</f>
        <v>0</v>
      </c>
      <c r="E1337" s="456">
        <f>IFERROR(IF(Table10[[#This Row],[Year]]&gt;0,$E$1-Table10[[#This Row],[Year]],0),"")</f>
        <v>0</v>
      </c>
      <c r="F1337" s="456"/>
      <c r="G1337" s="456"/>
      <c r="H1337" s="456"/>
    </row>
    <row r="1338" spans="1:8">
      <c r="A1338" s="471">
        <v>2335</v>
      </c>
      <c r="B1338" s="493" t="s">
        <v>2032</v>
      </c>
      <c r="C1338" s="472" t="s">
        <v>248</v>
      </c>
      <c r="D1338" s="456">
        <f>IF(Table10[[#This Row],[Current Age]]&gt;19,"Men's",IF(E1338&gt;15,"U19",IF(E1338&gt;13,"U15",IF(E1338&gt;11,"U13",IF(E1338&gt;0,"U11",0)))))</f>
        <v>0</v>
      </c>
      <c r="E1338" s="456">
        <f>IFERROR(IF(Table10[[#This Row],[Year]]&gt;0,$E$1-Table10[[#This Row],[Year]],0),"")</f>
        <v>0</v>
      </c>
      <c r="F1338" s="456"/>
      <c r="G1338" s="456"/>
      <c r="H1338" s="456"/>
    </row>
    <row r="1339" spans="1:8">
      <c r="A1339" s="456">
        <v>2336</v>
      </c>
      <c r="B1339" s="469" t="s">
        <v>2033</v>
      </c>
      <c r="C1339" s="458" t="s">
        <v>248</v>
      </c>
      <c r="D1339" s="456">
        <f>IF(Table10[[#This Row],[Current Age]]&gt;19,"Men's",IF(E1339&gt;15,"U19",IF(E1339&gt;13,"U15",IF(E1339&gt;11,"U13",IF(E1339&gt;0,"U11",0)))))</f>
        <v>0</v>
      </c>
      <c r="E1339" s="456">
        <f>IFERROR(IF(Table10[[#This Row],[Year]]&gt;0,$E$1-Table10[[#This Row],[Year]],0),"")</f>
        <v>0</v>
      </c>
      <c r="F1339" s="456"/>
      <c r="G1339" s="456"/>
      <c r="H1339" s="456"/>
    </row>
    <row r="1340" spans="1:8">
      <c r="A1340" s="471">
        <v>2337</v>
      </c>
      <c r="B1340" s="493" t="s">
        <v>2034</v>
      </c>
      <c r="C1340" s="472" t="s">
        <v>248</v>
      </c>
      <c r="D1340" s="456">
        <f>IF(Table10[[#This Row],[Current Age]]&gt;19,"Men's",IF(E1340&gt;15,"U19",IF(E1340&gt;13,"U15",IF(E1340&gt;11,"U13",IF(E1340&gt;0,"U11",0)))))</f>
        <v>0</v>
      </c>
      <c r="E1340" s="456">
        <f>IFERROR(IF(Table10[[#This Row],[Year]]&gt;0,$E$1-Table10[[#This Row],[Year]],0),"")</f>
        <v>0</v>
      </c>
      <c r="F1340" s="456"/>
      <c r="G1340" s="456"/>
      <c r="H1340" s="456"/>
    </row>
    <row r="1341" spans="1:8">
      <c r="A1341" s="456">
        <v>2338</v>
      </c>
      <c r="B1341" s="469" t="s">
        <v>2035</v>
      </c>
      <c r="C1341" s="458" t="s">
        <v>248</v>
      </c>
      <c r="D1341" s="456">
        <f>IF(Table10[[#This Row],[Current Age]]&gt;19,"Men's",IF(E1341&gt;15,"U19",IF(E1341&gt;13,"U15",IF(E1341&gt;11,"U13",IF(E1341&gt;0,"U11",0)))))</f>
        <v>0</v>
      </c>
      <c r="E1341" s="456">
        <f>IFERROR(IF(Table10[[#This Row],[Year]]&gt;0,$E$1-Table10[[#This Row],[Year]],0),"")</f>
        <v>0</v>
      </c>
      <c r="F1341" s="456"/>
      <c r="G1341" s="456"/>
      <c r="H1341" s="456"/>
    </row>
    <row r="1342" spans="1:8">
      <c r="A1342" s="471">
        <v>2339</v>
      </c>
      <c r="B1342" s="493" t="s">
        <v>2036</v>
      </c>
      <c r="C1342" s="472" t="s">
        <v>248</v>
      </c>
      <c r="D1342" s="456">
        <f>IF(Table10[[#This Row],[Current Age]]&gt;19,"Men's",IF(E1342&gt;15,"U19",IF(E1342&gt;13,"U15",IF(E1342&gt;11,"U13",IF(E1342&gt;0,"U11",0)))))</f>
        <v>0</v>
      </c>
      <c r="E1342" s="456">
        <f>IFERROR(IF(Table10[[#This Row],[Year]]&gt;0,$E$1-Table10[[#This Row],[Year]],0),"")</f>
        <v>0</v>
      </c>
      <c r="F1342" s="456"/>
      <c r="G1342" s="456"/>
      <c r="H1342" s="456"/>
    </row>
    <row r="1343" spans="1:8">
      <c r="A1343" s="456">
        <v>2340</v>
      </c>
      <c r="B1343" s="469" t="s">
        <v>2037</v>
      </c>
      <c r="C1343" s="458" t="s">
        <v>248</v>
      </c>
      <c r="D1343" s="456">
        <f>IF(Table10[[#This Row],[Current Age]]&gt;19,"Men's",IF(E1343&gt;15,"U19",IF(E1343&gt;13,"U15",IF(E1343&gt;11,"U13",IF(E1343&gt;0,"U11",0)))))</f>
        <v>0</v>
      </c>
      <c r="E1343" s="456">
        <f>IFERROR(IF(Table10[[#This Row],[Year]]&gt;0,$E$1-Table10[[#This Row],[Year]],0),"")</f>
        <v>0</v>
      </c>
      <c r="F1343" s="456"/>
      <c r="G1343" s="456"/>
      <c r="H1343" s="456"/>
    </row>
    <row r="1344" spans="1:8">
      <c r="A1344" s="471">
        <v>2341</v>
      </c>
      <c r="B1344" s="493" t="s">
        <v>2038</v>
      </c>
      <c r="C1344" s="472" t="s">
        <v>248</v>
      </c>
      <c r="D1344" s="456">
        <f>IF(Table10[[#This Row],[Current Age]]&gt;19,"Men's",IF(E1344&gt;15,"U19",IF(E1344&gt;13,"U15",IF(E1344&gt;11,"U13",IF(E1344&gt;0,"U11",0)))))</f>
        <v>0</v>
      </c>
      <c r="E1344" s="456">
        <f>IFERROR(IF(Table10[[#This Row],[Year]]&gt;0,$E$1-Table10[[#This Row],[Year]],0),"")</f>
        <v>0</v>
      </c>
      <c r="F1344" s="456"/>
      <c r="G1344" s="456"/>
      <c r="H1344" s="456"/>
    </row>
    <row r="1345" spans="1:8">
      <c r="A1345" s="456">
        <v>2342</v>
      </c>
      <c r="B1345" s="469" t="s">
        <v>2039</v>
      </c>
      <c r="C1345" s="458" t="s">
        <v>248</v>
      </c>
      <c r="D1345" s="456">
        <f>IF(Table10[[#This Row],[Current Age]]&gt;19,"Men's",IF(E1345&gt;15,"U19",IF(E1345&gt;13,"U15",IF(E1345&gt;11,"U13",IF(E1345&gt;0,"U11",0)))))</f>
        <v>0</v>
      </c>
      <c r="E1345" s="456">
        <f>IFERROR(IF(Table10[[#This Row],[Year]]&gt;0,$E$1-Table10[[#This Row],[Year]],0),"")</f>
        <v>0</v>
      </c>
      <c r="F1345" s="456"/>
      <c r="G1345" s="456"/>
      <c r="H1345" s="456"/>
    </row>
    <row r="1346" spans="1:8">
      <c r="A1346" s="471">
        <v>2343</v>
      </c>
      <c r="B1346" s="493" t="s">
        <v>2040</v>
      </c>
      <c r="C1346" s="472" t="s">
        <v>248</v>
      </c>
      <c r="D1346" s="456">
        <f>IF(Table10[[#This Row],[Current Age]]&gt;19,"Men's",IF(E1346&gt;15,"U19",IF(E1346&gt;13,"U15",IF(E1346&gt;11,"U13",IF(E1346&gt;0,"U11",0)))))</f>
        <v>0</v>
      </c>
      <c r="E1346" s="456">
        <f>IFERROR(IF(Table10[[#This Row],[Year]]&gt;0,$E$1-Table10[[#This Row],[Year]],0),"")</f>
        <v>0</v>
      </c>
      <c r="F1346" s="456"/>
      <c r="G1346" s="456"/>
      <c r="H1346" s="456"/>
    </row>
    <row r="1347" spans="1:8">
      <c r="A1347" s="456">
        <v>2344</v>
      </c>
      <c r="B1347" s="469" t="s">
        <v>2041</v>
      </c>
      <c r="C1347" s="458" t="s">
        <v>248</v>
      </c>
      <c r="D1347" s="456">
        <f>IF(Table10[[#This Row],[Current Age]]&gt;19,"Men's",IF(E1347&gt;15,"U19",IF(E1347&gt;13,"U15",IF(E1347&gt;11,"U13",IF(E1347&gt;0,"U11",0)))))</f>
        <v>0</v>
      </c>
      <c r="E1347" s="456">
        <f>IFERROR(IF(Table10[[#This Row],[Year]]&gt;0,$E$1-Table10[[#This Row],[Year]],0),"")</f>
        <v>0</v>
      </c>
      <c r="F1347" s="456"/>
      <c r="G1347" s="456"/>
      <c r="H1347" s="456"/>
    </row>
    <row r="1348" spans="1:8">
      <c r="A1348" s="471">
        <v>2345</v>
      </c>
      <c r="B1348" s="493" t="s">
        <v>2042</v>
      </c>
      <c r="C1348" s="472" t="s">
        <v>248</v>
      </c>
      <c r="D1348" s="456">
        <f>IF(Table10[[#This Row],[Current Age]]&gt;19,"Men's",IF(E1348&gt;15,"U19",IF(E1348&gt;13,"U15",IF(E1348&gt;11,"U13",IF(E1348&gt;0,"U11",0)))))</f>
        <v>0</v>
      </c>
      <c r="E1348" s="456">
        <f>IFERROR(IF(Table10[[#This Row],[Year]]&gt;0,$E$1-Table10[[#This Row],[Year]],0),"")</f>
        <v>0</v>
      </c>
      <c r="F1348" s="456"/>
      <c r="G1348" s="456"/>
      <c r="H1348" s="456"/>
    </row>
    <row r="1349" spans="1:8">
      <c r="A1349" s="456">
        <v>2346</v>
      </c>
      <c r="B1349" s="469" t="s">
        <v>2045</v>
      </c>
      <c r="C1349" s="458" t="s">
        <v>248</v>
      </c>
      <c r="D1349" s="456">
        <f>IF(Table10[[#This Row],[Current Age]]&gt;19,"Men's",IF(E1349&gt;15,"U19",IF(E1349&gt;13,"U15",IF(E1349&gt;11,"U13",IF(E1349&gt;0,"U11",0)))))</f>
        <v>0</v>
      </c>
      <c r="E1349" s="456">
        <f>IFERROR(IF(Table10[[#This Row],[Year]]&gt;0,$E$1-Table10[[#This Row],[Year]],0),"")</f>
        <v>0</v>
      </c>
      <c r="F1349" s="456"/>
      <c r="G1349" s="456"/>
      <c r="H1349" s="456"/>
    </row>
    <row r="1350" spans="1:8">
      <c r="A1350" s="471">
        <v>2347</v>
      </c>
      <c r="B1350" s="493" t="s">
        <v>2043</v>
      </c>
      <c r="C1350" s="472" t="s">
        <v>248</v>
      </c>
      <c r="D1350" s="456">
        <f>IF(Table10[[#This Row],[Current Age]]&gt;19,"Men's",IF(E1350&gt;15,"U19",IF(E1350&gt;13,"U15",IF(E1350&gt;11,"U13",IF(E1350&gt;0,"U11",0)))))</f>
        <v>0</v>
      </c>
      <c r="E1350" s="456">
        <f>IFERROR(IF(Table10[[#This Row],[Year]]&gt;0,$E$1-Table10[[#This Row],[Year]],0),"")</f>
        <v>0</v>
      </c>
      <c r="F1350" s="456"/>
      <c r="G1350" s="456"/>
      <c r="H1350" s="456"/>
    </row>
    <row r="1351" spans="1:8">
      <c r="A1351" s="456">
        <v>2348</v>
      </c>
      <c r="B1351" s="469" t="s">
        <v>2044</v>
      </c>
      <c r="C1351" s="458" t="s">
        <v>248</v>
      </c>
      <c r="D1351" s="456">
        <f>IF(Table10[[#This Row],[Current Age]]&gt;19,"Men's",IF(E1351&gt;15,"U19",IF(E1351&gt;13,"U15",IF(E1351&gt;11,"U13",IF(E1351&gt;0,"U11",0)))))</f>
        <v>0</v>
      </c>
      <c r="E1351" s="456">
        <f>IFERROR(IF(Table10[[#This Row],[Year]]&gt;0,$E$1-Table10[[#This Row],[Year]],0),"")</f>
        <v>0</v>
      </c>
      <c r="F1351" s="456"/>
      <c r="G1351" s="456"/>
      <c r="H1351" s="456"/>
    </row>
    <row r="1352" spans="1:8">
      <c r="A1352" s="471">
        <v>2349</v>
      </c>
      <c r="B1352" s="493" t="s">
        <v>2046</v>
      </c>
      <c r="C1352" s="472" t="s">
        <v>248</v>
      </c>
      <c r="D1352" s="456">
        <f>IF(Table10[[#This Row],[Current Age]]&gt;19,"Men's",IF(E1352&gt;15,"U19",IF(E1352&gt;13,"U15",IF(E1352&gt;11,"U13",IF(E1352&gt;0,"U11",0)))))</f>
        <v>0</v>
      </c>
      <c r="E1352" s="456">
        <f>IFERROR(IF(Table10[[#This Row],[Year]]&gt;0,$E$1-Table10[[#This Row],[Year]],0),"")</f>
        <v>0</v>
      </c>
      <c r="F1352" s="456"/>
      <c r="G1352" s="456"/>
      <c r="H1352" s="456"/>
    </row>
    <row r="1353" spans="1:8">
      <c r="A1353" s="456">
        <v>2350</v>
      </c>
      <c r="B1353" s="469" t="s">
        <v>2047</v>
      </c>
      <c r="C1353" s="458" t="s">
        <v>248</v>
      </c>
      <c r="D1353" s="456">
        <f>IF(Table10[[#This Row],[Current Age]]&gt;19,"Men's",IF(E1353&gt;15,"U19",IF(E1353&gt;13,"U15",IF(E1353&gt;11,"U13",IF(E1353&gt;0,"U11",0)))))</f>
        <v>0</v>
      </c>
      <c r="E1353" s="456">
        <f>IFERROR(IF(Table10[[#This Row],[Year]]&gt;0,$E$1-Table10[[#This Row],[Year]],0),"")</f>
        <v>0</v>
      </c>
      <c r="F1353" s="456"/>
      <c r="G1353" s="456"/>
      <c r="H1353" s="456"/>
    </row>
    <row r="1354" spans="1:8">
      <c r="A1354" s="471">
        <v>2351</v>
      </c>
      <c r="B1354" s="493" t="s">
        <v>2048</v>
      </c>
      <c r="C1354" s="472" t="s">
        <v>248</v>
      </c>
      <c r="D1354" s="456">
        <f>IF(Table10[[#This Row],[Current Age]]&gt;19,"Men's",IF(E1354&gt;15,"U19",IF(E1354&gt;13,"U15",IF(E1354&gt;11,"U13",IF(E1354&gt;0,"U11",0)))))</f>
        <v>0</v>
      </c>
      <c r="E1354" s="456">
        <f>IFERROR(IF(Table10[[#This Row],[Year]]&gt;0,$E$1-Table10[[#This Row],[Year]],0),"")</f>
        <v>0</v>
      </c>
      <c r="F1354" s="456"/>
      <c r="G1354" s="456"/>
      <c r="H1354" s="456"/>
    </row>
    <row r="1355" spans="1:8">
      <c r="A1355" s="456">
        <v>2352</v>
      </c>
      <c r="B1355" s="469" t="s">
        <v>2050</v>
      </c>
      <c r="C1355" s="458" t="s">
        <v>248</v>
      </c>
      <c r="D1355" s="456">
        <f>IF(Table10[[#This Row],[Current Age]]&gt;19,"Men's",IF(E1355&gt;15,"U19",IF(E1355&gt;13,"U15",IF(E1355&gt;11,"U13",IF(E1355&gt;0,"U11",0)))))</f>
        <v>0</v>
      </c>
      <c r="E1355" s="456">
        <f>IFERROR(IF(Table10[[#This Row],[Year]]&gt;0,$E$1-Table10[[#This Row],[Year]],0),"")</f>
        <v>0</v>
      </c>
      <c r="F1355" s="456"/>
      <c r="G1355" s="456"/>
      <c r="H1355" s="456"/>
    </row>
    <row r="1356" spans="1:8">
      <c r="A1356" s="471">
        <v>2353</v>
      </c>
      <c r="B1356" s="493"/>
      <c r="C1356" s="472"/>
      <c r="D1356" s="456">
        <f>IF(Table10[[#This Row],[Current Age]]&gt;19,"Men's",IF(E1356&gt;15,"U19",IF(E1356&gt;13,"U15",IF(E1356&gt;11,"U13",IF(E1356&gt;0,"U11",0)))))</f>
        <v>0</v>
      </c>
      <c r="E1356" s="456">
        <f>IFERROR(IF(Table10[[#This Row],[Year]]&gt;0,$E$1-Table10[[#This Row],[Year]],0),"")</f>
        <v>0</v>
      </c>
      <c r="F1356" s="456"/>
      <c r="G1356" s="456"/>
      <c r="H1356" s="456"/>
    </row>
    <row r="1357" spans="1:8">
      <c r="A1357" s="456">
        <v>2354</v>
      </c>
      <c r="B1357" s="469" t="s">
        <v>2051</v>
      </c>
      <c r="C1357" s="458" t="s">
        <v>248</v>
      </c>
      <c r="D1357" s="456">
        <f>IF(Table10[[#This Row],[Current Age]]&gt;19,"Men's",IF(E1357&gt;15,"U19",IF(E1357&gt;13,"U15",IF(E1357&gt;11,"U13",IF(E1357&gt;0,"U11",0)))))</f>
        <v>0</v>
      </c>
      <c r="E1357" s="456">
        <f>IFERROR(IF(Table10[[#This Row],[Year]]&gt;0,$E$1-Table10[[#This Row],[Year]],0),"")</f>
        <v>0</v>
      </c>
      <c r="F1357" s="456"/>
      <c r="G1357" s="456"/>
      <c r="H1357" s="456"/>
    </row>
    <row r="1358" spans="1:8">
      <c r="A1358" s="471">
        <v>2355</v>
      </c>
      <c r="B1358" s="493" t="s">
        <v>2055</v>
      </c>
      <c r="C1358" s="472" t="s">
        <v>248</v>
      </c>
      <c r="D1358" s="456">
        <f>IF(Table10[[#This Row],[Current Age]]&gt;19,"Men's",IF(E1358&gt;15,"U19",IF(E1358&gt;13,"U15",IF(E1358&gt;11,"U13",IF(E1358&gt;0,"U11",0)))))</f>
        <v>0</v>
      </c>
      <c r="E1358" s="456">
        <f>IFERROR(IF(Table10[[#This Row],[Year]]&gt;0,$E$1-Table10[[#This Row],[Year]],0),"")</f>
        <v>0</v>
      </c>
      <c r="F1358" s="456"/>
      <c r="G1358" s="456"/>
      <c r="H1358" s="456"/>
    </row>
    <row r="1359" spans="1:8">
      <c r="A1359" s="456">
        <v>2356</v>
      </c>
      <c r="B1359" s="469" t="s">
        <v>2052</v>
      </c>
      <c r="C1359" s="458" t="s">
        <v>248</v>
      </c>
      <c r="D1359" s="456">
        <f>IF(Table10[[#This Row],[Current Age]]&gt;19,"Men's",IF(E1359&gt;15,"U19",IF(E1359&gt;13,"U15",IF(E1359&gt;11,"U13",IF(E1359&gt;0,"U11",0)))))</f>
        <v>0</v>
      </c>
      <c r="E1359" s="456">
        <f>IFERROR(IF(Table10[[#This Row],[Year]]&gt;0,$E$1-Table10[[#This Row],[Year]],0),"")</f>
        <v>0</v>
      </c>
      <c r="F1359" s="456"/>
      <c r="G1359" s="456"/>
      <c r="H1359" s="456"/>
    </row>
    <row r="1360" spans="1:8">
      <c r="A1360" s="471">
        <v>2357</v>
      </c>
      <c r="B1360" s="493" t="s">
        <v>2053</v>
      </c>
      <c r="C1360" s="472" t="s">
        <v>248</v>
      </c>
      <c r="D1360" s="456">
        <f>IF(Table10[[#This Row],[Current Age]]&gt;19,"Men's",IF(E1360&gt;15,"U19",IF(E1360&gt;13,"U15",IF(E1360&gt;11,"U13",IF(E1360&gt;0,"U11",0)))))</f>
        <v>0</v>
      </c>
      <c r="E1360" s="456">
        <f>IFERROR(IF(Table10[[#This Row],[Year]]&gt;0,$E$1-Table10[[#This Row],[Year]],0),"")</f>
        <v>0</v>
      </c>
      <c r="F1360" s="456"/>
      <c r="G1360" s="456"/>
      <c r="H1360" s="456"/>
    </row>
    <row r="1361" spans="1:8">
      <c r="A1361" s="456">
        <v>2358</v>
      </c>
      <c r="B1361" s="469" t="s">
        <v>2054</v>
      </c>
      <c r="C1361" s="458" t="s">
        <v>248</v>
      </c>
      <c r="D1361" s="456">
        <f>IF(Table10[[#This Row],[Current Age]]&gt;19,"Men's",IF(E1361&gt;15,"U19",IF(E1361&gt;13,"U15",IF(E1361&gt;11,"U13",IF(E1361&gt;0,"U11",0)))))</f>
        <v>0</v>
      </c>
      <c r="E1361" s="456">
        <f>IFERROR(IF(Table10[[#This Row],[Year]]&gt;0,$E$1-Table10[[#This Row],[Year]],0),"")</f>
        <v>0</v>
      </c>
      <c r="F1361" s="456"/>
      <c r="G1361" s="456"/>
      <c r="H1361" s="456"/>
    </row>
    <row r="1362" spans="1:8">
      <c r="A1362" s="471">
        <v>2359</v>
      </c>
      <c r="B1362" s="493" t="s">
        <v>2060</v>
      </c>
      <c r="C1362" s="472" t="s">
        <v>248</v>
      </c>
      <c r="D1362" s="456">
        <f>IF(Table10[[#This Row],[Current Age]]&gt;19,"Men's",IF(E1362&gt;15,"U19",IF(E1362&gt;13,"U15",IF(E1362&gt;11,"U13",IF(E1362&gt;0,"U11",0)))))</f>
        <v>0</v>
      </c>
      <c r="E1362" s="456">
        <f>IFERROR(IF(Table10[[#This Row],[Year]]&gt;0,$E$1-Table10[[#This Row],[Year]],0),"")</f>
        <v>0</v>
      </c>
      <c r="F1362" s="456"/>
      <c r="G1362" s="456"/>
      <c r="H1362" s="456"/>
    </row>
    <row r="1363" spans="1:8">
      <c r="A1363" s="456">
        <v>2360</v>
      </c>
      <c r="B1363" s="469" t="s">
        <v>2059</v>
      </c>
      <c r="C1363" s="458" t="s">
        <v>4720</v>
      </c>
      <c r="D1363" s="456">
        <f>IF(Table10[[#This Row],[Current Age]]&gt;19,"Men's",IF(E1363&gt;15,"U19",IF(E1363&gt;13,"U15",IF(E1363&gt;11,"U13",IF(E1363&gt;0,"U11",0)))))</f>
        <v>0</v>
      </c>
      <c r="E1363" s="456">
        <f>IFERROR(IF(Table10[[#This Row],[Year]]&gt;0,$E$1-Table10[[#This Row],[Year]],0),"")</f>
        <v>0</v>
      </c>
      <c r="F1363" s="456"/>
      <c r="G1363" s="456"/>
      <c r="H1363" s="456"/>
    </row>
    <row r="1364" spans="1:8">
      <c r="A1364" s="471">
        <v>2361</v>
      </c>
      <c r="B1364" s="493" t="s">
        <v>2058</v>
      </c>
      <c r="C1364" s="472" t="s">
        <v>248</v>
      </c>
      <c r="D1364" s="456">
        <f>IF(Table10[[#This Row],[Current Age]]&gt;19,"Men's",IF(E1364&gt;15,"U19",IF(E1364&gt;13,"U15",IF(E1364&gt;11,"U13",IF(E1364&gt;0,"U11",0)))))</f>
        <v>0</v>
      </c>
      <c r="E1364" s="456">
        <f>IFERROR(IF(Table10[[#This Row],[Year]]&gt;0,$E$1-Table10[[#This Row],[Year]],0),"")</f>
        <v>0</v>
      </c>
      <c r="F1364" s="456"/>
      <c r="G1364" s="456"/>
      <c r="H1364" s="456"/>
    </row>
    <row r="1365" spans="1:8">
      <c r="A1365" s="456">
        <v>2362</v>
      </c>
      <c r="B1365" s="469" t="s">
        <v>2057</v>
      </c>
      <c r="C1365" s="458" t="s">
        <v>248</v>
      </c>
      <c r="D1365" s="456">
        <f>IF(Table10[[#This Row],[Current Age]]&gt;19,"Men's",IF(E1365&gt;15,"U19",IF(E1365&gt;13,"U15",IF(E1365&gt;11,"U13",IF(E1365&gt;0,"U11",0)))))</f>
        <v>0</v>
      </c>
      <c r="E1365" s="456">
        <f>IFERROR(IF(Table10[[#This Row],[Year]]&gt;0,$E$1-Table10[[#This Row],[Year]],0),"")</f>
        <v>0</v>
      </c>
      <c r="F1365" s="456"/>
      <c r="G1365" s="456"/>
      <c r="H1365" s="456"/>
    </row>
    <row r="1366" spans="1:8">
      <c r="A1366" s="471">
        <v>2363</v>
      </c>
      <c r="B1366" s="493" t="s">
        <v>2056</v>
      </c>
      <c r="C1366" s="472" t="s">
        <v>248</v>
      </c>
      <c r="D1366" s="456">
        <f>IF(Table10[[#This Row],[Current Age]]&gt;19,"Men's",IF(E1366&gt;15,"U19",IF(E1366&gt;13,"U15",IF(E1366&gt;11,"U13",IF(E1366&gt;0,"U11",0)))))</f>
        <v>0</v>
      </c>
      <c r="E1366" s="456">
        <f>IFERROR(IF(Table10[[#This Row],[Year]]&gt;0,$E$1-Table10[[#This Row],[Year]],0),"")</f>
        <v>0</v>
      </c>
      <c r="F1366" s="456"/>
      <c r="G1366" s="456"/>
      <c r="H1366" s="456"/>
    </row>
    <row r="1367" spans="1:8">
      <c r="A1367" s="456">
        <v>2364</v>
      </c>
      <c r="B1367" s="469" t="s">
        <v>2061</v>
      </c>
      <c r="C1367" s="458" t="s">
        <v>361</v>
      </c>
      <c r="D1367" s="456">
        <f>IF(Table10[[#This Row],[Current Age]]&gt;19,"Men's",IF(E1367&gt;15,"U19",IF(E1367&gt;13,"U15",IF(E1367&gt;11,"U13",IF(E1367&gt;0,"U11",0)))))</f>
        <v>0</v>
      </c>
      <c r="E1367" s="456">
        <f>IFERROR(IF(Table10[[#This Row],[Year]]&gt;0,$E$1-Table10[[#This Row],[Year]],0),"")</f>
        <v>0</v>
      </c>
      <c r="F1367" s="456"/>
      <c r="G1367" s="456"/>
      <c r="H1367" s="456"/>
    </row>
    <row r="1368" spans="1:8">
      <c r="A1368" s="471">
        <v>2365</v>
      </c>
      <c r="B1368" s="493" t="s">
        <v>2062</v>
      </c>
      <c r="C1368" s="472" t="s">
        <v>248</v>
      </c>
      <c r="D1368" s="456">
        <f>IF(Table10[[#This Row],[Current Age]]&gt;19,"Men's",IF(E1368&gt;15,"U19",IF(E1368&gt;13,"U15",IF(E1368&gt;11,"U13",IF(E1368&gt;0,"U11",0)))))</f>
        <v>0</v>
      </c>
      <c r="E1368" s="456">
        <f>IFERROR(IF(Table10[[#This Row],[Year]]&gt;0,$E$1-Table10[[#This Row],[Year]],0),"")</f>
        <v>0</v>
      </c>
      <c r="F1368" s="456"/>
      <c r="G1368" s="456"/>
      <c r="H1368" s="456"/>
    </row>
    <row r="1369" spans="1:8">
      <c r="A1369" s="456">
        <v>2366</v>
      </c>
      <c r="B1369" s="469" t="s">
        <v>2063</v>
      </c>
      <c r="C1369" s="458" t="s">
        <v>248</v>
      </c>
      <c r="D1369" s="456">
        <f>IF(Table10[[#This Row],[Current Age]]&gt;19,"Men's",IF(E1369&gt;15,"U19",IF(E1369&gt;13,"U15",IF(E1369&gt;11,"U13",IF(E1369&gt;0,"U11",0)))))</f>
        <v>0</v>
      </c>
      <c r="E1369" s="456">
        <f>IFERROR(IF(Table10[[#This Row],[Year]]&gt;0,$E$1-Table10[[#This Row],[Year]],0),"")</f>
        <v>0</v>
      </c>
      <c r="F1369" s="456"/>
      <c r="G1369" s="456"/>
      <c r="H1369" s="456"/>
    </row>
    <row r="1370" spans="1:8">
      <c r="A1370" s="471">
        <v>2367</v>
      </c>
      <c r="B1370" s="493" t="s">
        <v>2077</v>
      </c>
      <c r="C1370" s="472" t="s">
        <v>361</v>
      </c>
      <c r="D1370" s="456" t="str">
        <f>IF(Table10[[#This Row],[Current Age]]&gt;19,"Men's",IF(E1370&gt;15,"U19",IF(E1370&gt;13,"U15",IF(E1370&gt;11,"U13",IF(E1370&gt;0,"U11",0)))))</f>
        <v>Men's</v>
      </c>
      <c r="E1370" s="456">
        <f>IFERROR(IF(Table10[[#This Row],[Year]]&gt;0,$E$1-Table10[[#This Row],[Year]],0),"")</f>
        <v>46</v>
      </c>
      <c r="F1370" s="456">
        <v>1979</v>
      </c>
      <c r="G1370" s="456">
        <v>6</v>
      </c>
      <c r="H1370" s="456">
        <v>23</v>
      </c>
    </row>
    <row r="1371" spans="1:8">
      <c r="A1371" s="456">
        <v>2368</v>
      </c>
      <c r="B1371" s="469" t="s">
        <v>2078</v>
      </c>
      <c r="C1371" s="458" t="s">
        <v>362</v>
      </c>
      <c r="D1371" s="456">
        <f>IF(Table10[[#This Row],[Current Age]]&gt;19,"Men's",IF(E1371&gt;15,"U19",IF(E1371&gt;13,"U15",IF(E1371&gt;11,"U13",IF(E1371&gt;0,"U11",0)))))</f>
        <v>0</v>
      </c>
      <c r="E1371" s="456">
        <f>IFERROR(IF(Table10[[#This Row],[Year]]&gt;0,$E$1-Table10[[#This Row],[Year]],0),"")</f>
        <v>0</v>
      </c>
      <c r="F1371" s="456"/>
      <c r="G1371" s="456"/>
      <c r="H1371" s="456"/>
    </row>
    <row r="1372" spans="1:8">
      <c r="A1372" s="471">
        <v>2369</v>
      </c>
      <c r="B1372" s="493" t="s">
        <v>2080</v>
      </c>
      <c r="C1372" s="472" t="s">
        <v>361</v>
      </c>
      <c r="D1372" s="456" t="str">
        <f>IF(Table10[[#This Row],[Current Age]]&gt;19,"Men's",IF(E1372&gt;15,"U19",IF(E1372&gt;13,"U15",IF(E1372&gt;11,"U13",IF(E1372&gt;0,"U11",0)))))</f>
        <v>Men's</v>
      </c>
      <c r="E1372" s="456">
        <f>IFERROR(IF(Table10[[#This Row],[Year]]&gt;0,$E$1-Table10[[#This Row],[Year]],0),"")</f>
        <v>68</v>
      </c>
      <c r="F1372" s="456">
        <v>1957</v>
      </c>
      <c r="G1372" s="456">
        <v>7</v>
      </c>
      <c r="H1372" s="456">
        <v>5</v>
      </c>
    </row>
    <row r="1373" spans="1:8">
      <c r="A1373" s="456">
        <v>2370</v>
      </c>
      <c r="B1373" s="469" t="s">
        <v>2081</v>
      </c>
      <c r="C1373" s="458" t="s">
        <v>361</v>
      </c>
      <c r="D1373" s="456" t="str">
        <f>IF(Table10[[#This Row],[Current Age]]&gt;19,"Men's",IF(E1373&gt;15,"U19",IF(E1373&gt;13,"U15",IF(E1373&gt;11,"U13",IF(E1373&gt;0,"U11",0)))))</f>
        <v>Men's</v>
      </c>
      <c r="E1373" s="456">
        <f>IFERROR(IF(Table10[[#This Row],[Year]]&gt;0,$E$1-Table10[[#This Row],[Year]],0),"")</f>
        <v>64</v>
      </c>
      <c r="F1373" s="456">
        <v>1961</v>
      </c>
      <c r="G1373" s="456">
        <v>3</v>
      </c>
      <c r="H1373" s="456">
        <v>21</v>
      </c>
    </row>
    <row r="1374" spans="1:8">
      <c r="A1374" s="471">
        <v>2371</v>
      </c>
      <c r="B1374" s="493" t="s">
        <v>2082</v>
      </c>
      <c r="C1374" s="472" t="s">
        <v>361</v>
      </c>
      <c r="D1374" s="456" t="str">
        <f>IF(Table10[[#This Row],[Current Age]]&gt;19,"Men's",IF(E1374&gt;15,"U19",IF(E1374&gt;13,"U15",IF(E1374&gt;11,"U13",IF(E1374&gt;0,"U11",0)))))</f>
        <v>Men's</v>
      </c>
      <c r="E1374" s="456">
        <f>IFERROR(IF(Table10[[#This Row],[Year]]&gt;0,$E$1-Table10[[#This Row],[Year]],0),"")</f>
        <v>49</v>
      </c>
      <c r="F1374" s="456">
        <v>1976</v>
      </c>
      <c r="G1374" s="456">
        <v>12</v>
      </c>
      <c r="H1374" s="456">
        <v>6</v>
      </c>
    </row>
    <row r="1375" spans="1:8">
      <c r="A1375" s="456">
        <v>2372</v>
      </c>
      <c r="B1375" s="469" t="s">
        <v>2083</v>
      </c>
      <c r="C1375" s="458" t="s">
        <v>361</v>
      </c>
      <c r="D1375" s="456" t="str">
        <f>IF(Table10[[#This Row],[Current Age]]&gt;19,"Men's",IF(E1375&gt;15,"U19",IF(E1375&gt;13,"U15",IF(E1375&gt;11,"U13",IF(E1375&gt;0,"U11",0)))))</f>
        <v>Men's</v>
      </c>
      <c r="E1375" s="456">
        <f>IFERROR(IF(Table10[[#This Row],[Year]]&gt;0,$E$1-Table10[[#This Row],[Year]],0),"")</f>
        <v>50</v>
      </c>
      <c r="F1375" s="456">
        <v>1975</v>
      </c>
      <c r="G1375" s="456">
        <v>11</v>
      </c>
      <c r="H1375" s="456">
        <v>15</v>
      </c>
    </row>
    <row r="1376" spans="1:8">
      <c r="A1376" s="471">
        <v>2373</v>
      </c>
      <c r="B1376" s="493" t="s">
        <v>2084</v>
      </c>
      <c r="C1376" s="472" t="s">
        <v>762</v>
      </c>
      <c r="D1376" s="456">
        <f>IF(Table10[[#This Row],[Current Age]]&gt;19,"Men's",IF(E1376&gt;15,"U19",IF(E1376&gt;13,"U15",IF(E1376&gt;11,"U13",IF(E1376&gt;0,"U11",0)))))</f>
        <v>0</v>
      </c>
      <c r="E1376" s="456">
        <f>IFERROR(IF(Table10[[#This Row],[Year]]&gt;0,$E$1-Table10[[#This Row],[Year]],0),"")</f>
        <v>0</v>
      </c>
      <c r="F1376" s="456"/>
      <c r="G1376" s="456"/>
      <c r="H1376" s="456"/>
    </row>
    <row r="1377" spans="1:8">
      <c r="A1377" s="456">
        <v>2374</v>
      </c>
      <c r="B1377" s="469" t="s">
        <v>2085</v>
      </c>
      <c r="C1377" s="458" t="s">
        <v>762</v>
      </c>
      <c r="D1377" s="456">
        <f>IF(Table10[[#This Row],[Current Age]]&gt;19,"Men's",IF(E1377&gt;15,"U19",IF(E1377&gt;13,"U15",IF(E1377&gt;11,"U13",IF(E1377&gt;0,"U11",0)))))</f>
        <v>0</v>
      </c>
      <c r="E1377" s="456">
        <f>IFERROR(IF(Table10[[#This Row],[Year]]&gt;0,$E$1-Table10[[#This Row],[Year]],0),"")</f>
        <v>0</v>
      </c>
      <c r="F1377" s="456"/>
      <c r="G1377" s="456"/>
      <c r="H1377" s="456"/>
    </row>
    <row r="1378" spans="1:8">
      <c r="A1378" s="471">
        <v>2375</v>
      </c>
      <c r="B1378" s="493" t="s">
        <v>2086</v>
      </c>
      <c r="C1378" s="472" t="s">
        <v>762</v>
      </c>
      <c r="D1378" s="456">
        <f>IF(Table10[[#This Row],[Current Age]]&gt;19,"Men's",IF(E1378&gt;15,"U19",IF(E1378&gt;13,"U15",IF(E1378&gt;11,"U13",IF(E1378&gt;0,"U11",0)))))</f>
        <v>0</v>
      </c>
      <c r="E1378" s="456">
        <f>IFERROR(IF(Table10[[#This Row],[Year]]&gt;0,$E$1-Table10[[#This Row],[Year]],0),"")</f>
        <v>0</v>
      </c>
      <c r="F1378" s="456"/>
      <c r="G1378" s="456"/>
      <c r="H1378" s="456"/>
    </row>
    <row r="1379" spans="1:8">
      <c r="A1379" s="456">
        <v>2376</v>
      </c>
      <c r="B1379" s="469" t="s">
        <v>2087</v>
      </c>
      <c r="C1379" s="458" t="s">
        <v>762</v>
      </c>
      <c r="D1379" s="456">
        <f>IF(Table10[[#This Row],[Current Age]]&gt;19,"Men's",IF(E1379&gt;15,"U19",IF(E1379&gt;13,"U15",IF(E1379&gt;11,"U13",IF(E1379&gt;0,"U11",0)))))</f>
        <v>0</v>
      </c>
      <c r="E1379" s="456">
        <f>IFERROR(IF(Table10[[#This Row],[Year]]&gt;0,$E$1-Table10[[#This Row],[Year]],0),"")</f>
        <v>0</v>
      </c>
      <c r="F1379" s="456"/>
      <c r="G1379" s="456"/>
      <c r="H1379" s="456"/>
    </row>
    <row r="1380" spans="1:8">
      <c r="A1380" s="471">
        <v>2377</v>
      </c>
      <c r="B1380" s="493" t="s">
        <v>2088</v>
      </c>
      <c r="C1380" s="472" t="s">
        <v>762</v>
      </c>
      <c r="D1380" s="456">
        <f>IF(Table10[[#This Row],[Current Age]]&gt;19,"Men's",IF(E1380&gt;15,"U19",IF(E1380&gt;13,"U15",IF(E1380&gt;11,"U13",IF(E1380&gt;0,"U11",0)))))</f>
        <v>0</v>
      </c>
      <c r="E1380" s="456">
        <f>IFERROR(IF(Table10[[#This Row],[Year]]&gt;0,$E$1-Table10[[#This Row],[Year]],0),"")</f>
        <v>0</v>
      </c>
      <c r="F1380" s="456"/>
      <c r="G1380" s="456"/>
      <c r="H1380" s="456"/>
    </row>
    <row r="1381" spans="1:8">
      <c r="A1381" s="456">
        <v>2378</v>
      </c>
      <c r="B1381" s="469" t="s">
        <v>2089</v>
      </c>
      <c r="C1381" s="458" t="s">
        <v>762</v>
      </c>
      <c r="D1381" s="456">
        <f>IF(Table10[[#This Row],[Current Age]]&gt;19,"Men's",IF(E1381&gt;15,"U19",IF(E1381&gt;13,"U15",IF(E1381&gt;11,"U13",IF(E1381&gt;0,"U11",0)))))</f>
        <v>0</v>
      </c>
      <c r="E1381" s="456">
        <f>IFERROR(IF(Table10[[#This Row],[Year]]&gt;0,$E$1-Table10[[#This Row],[Year]],0),"")</f>
        <v>0</v>
      </c>
      <c r="F1381" s="456"/>
      <c r="G1381" s="456"/>
      <c r="H1381" s="456"/>
    </row>
    <row r="1382" spans="1:8">
      <c r="A1382" s="471">
        <v>2379</v>
      </c>
      <c r="B1382" s="493" t="s">
        <v>2093</v>
      </c>
      <c r="C1382" s="472" t="s">
        <v>361</v>
      </c>
      <c r="D1382" s="456">
        <f>IF(Table10[[#This Row],[Current Age]]&gt;19,"Men's",IF(E1382&gt;15,"U19",IF(E1382&gt;13,"U15",IF(E1382&gt;11,"U13",IF(E1382&gt;0,"U11",0)))))</f>
        <v>0</v>
      </c>
      <c r="E1382" s="456">
        <f>IFERROR(IF(Table10[[#This Row],[Year]]&gt;0,$E$1-Table10[[#This Row],[Year]],0),"")</f>
        <v>0</v>
      </c>
      <c r="F1382" s="456"/>
      <c r="G1382" s="456"/>
      <c r="H1382" s="456"/>
    </row>
    <row r="1383" spans="1:8">
      <c r="A1383" s="456">
        <v>2380</v>
      </c>
      <c r="B1383" s="469" t="s">
        <v>2094</v>
      </c>
      <c r="C1383" s="458" t="s">
        <v>246</v>
      </c>
      <c r="D1383" s="456">
        <f>IF(Table10[[#This Row],[Current Age]]&gt;19,"Men's",IF(E1383&gt;15,"U19",IF(E1383&gt;13,"U15",IF(E1383&gt;11,"U13",IF(E1383&gt;0,"U11",0)))))</f>
        <v>0</v>
      </c>
      <c r="E1383" s="456">
        <f>IFERROR(IF(Table10[[#This Row],[Year]]&gt;0,$E$1-Table10[[#This Row],[Year]],0),"")</f>
        <v>0</v>
      </c>
      <c r="F1383" s="456"/>
      <c r="G1383" s="456"/>
      <c r="H1383" s="456"/>
    </row>
    <row r="1384" spans="1:8">
      <c r="A1384" s="471">
        <v>2381</v>
      </c>
      <c r="B1384" s="493" t="s">
        <v>2095</v>
      </c>
      <c r="C1384" s="472" t="s">
        <v>246</v>
      </c>
      <c r="D1384" s="456">
        <f>IF(Table10[[#This Row],[Current Age]]&gt;19,"Men's",IF(E1384&gt;15,"U19",IF(E1384&gt;13,"U15",IF(E1384&gt;11,"U13",IF(E1384&gt;0,"U11",0)))))</f>
        <v>0</v>
      </c>
      <c r="E1384" s="456">
        <f>IFERROR(IF(Table10[[#This Row],[Year]]&gt;0,$E$1-Table10[[#This Row],[Year]],0),"")</f>
        <v>0</v>
      </c>
      <c r="F1384" s="456"/>
      <c r="G1384" s="456"/>
      <c r="H1384" s="456"/>
    </row>
    <row r="1385" spans="1:8">
      <c r="A1385" s="456">
        <v>2382</v>
      </c>
      <c r="B1385" s="469" t="s">
        <v>2096</v>
      </c>
      <c r="C1385" s="458" t="s">
        <v>246</v>
      </c>
      <c r="D1385" s="456">
        <f>IF(Table10[[#This Row],[Current Age]]&gt;19,"Men's",IF(E1385&gt;15,"U19",IF(E1385&gt;13,"U15",IF(E1385&gt;11,"U13",IF(E1385&gt;0,"U11",0)))))</f>
        <v>0</v>
      </c>
      <c r="E1385" s="456">
        <f>IFERROR(IF(Table10[[#This Row],[Year]]&gt;0,$E$1-Table10[[#This Row],[Year]],0),"")</f>
        <v>0</v>
      </c>
      <c r="F1385" s="456"/>
      <c r="G1385" s="456"/>
      <c r="H1385" s="456"/>
    </row>
    <row r="1386" spans="1:8">
      <c r="A1386" s="471">
        <v>2383</v>
      </c>
      <c r="B1386" s="493" t="s">
        <v>2097</v>
      </c>
      <c r="C1386" s="472" t="s">
        <v>246</v>
      </c>
      <c r="D1386" s="456">
        <f>IF(Table10[[#This Row],[Current Age]]&gt;19,"Men's",IF(E1386&gt;15,"U19",IF(E1386&gt;13,"U15",IF(E1386&gt;11,"U13",IF(E1386&gt;0,"U11",0)))))</f>
        <v>0</v>
      </c>
      <c r="E1386" s="456">
        <f>IFERROR(IF(Table10[[#This Row],[Year]]&gt;0,$E$1-Table10[[#This Row],[Year]],0),"")</f>
        <v>0</v>
      </c>
      <c r="F1386" s="456"/>
      <c r="G1386" s="456"/>
      <c r="H1386" s="456"/>
    </row>
    <row r="1387" spans="1:8">
      <c r="A1387" s="456">
        <v>2384</v>
      </c>
      <c r="B1387" s="469" t="s">
        <v>2098</v>
      </c>
      <c r="C1387" s="458" t="s">
        <v>246</v>
      </c>
      <c r="D1387" s="456">
        <f>IF(Table10[[#This Row],[Current Age]]&gt;19,"Men's",IF(E1387&gt;15,"U19",IF(E1387&gt;13,"U15",IF(E1387&gt;11,"U13",IF(E1387&gt;0,"U11",0)))))</f>
        <v>0</v>
      </c>
      <c r="E1387" s="456">
        <f>IFERROR(IF(Table10[[#This Row],[Year]]&gt;0,$E$1-Table10[[#This Row],[Year]],0),"")</f>
        <v>0</v>
      </c>
      <c r="F1387" s="456"/>
      <c r="G1387" s="456"/>
      <c r="H1387" s="456"/>
    </row>
    <row r="1388" spans="1:8">
      <c r="A1388" s="471">
        <v>2385</v>
      </c>
      <c r="B1388" s="493" t="s">
        <v>2099</v>
      </c>
      <c r="C1388" s="472" t="s">
        <v>246</v>
      </c>
      <c r="D1388" s="456">
        <f>IF(Table10[[#This Row],[Current Age]]&gt;19,"Men's",IF(E1388&gt;15,"U19",IF(E1388&gt;13,"U15",IF(E1388&gt;11,"U13",IF(E1388&gt;0,"U11",0)))))</f>
        <v>0</v>
      </c>
      <c r="E1388" s="456">
        <f>IFERROR(IF(Table10[[#This Row],[Year]]&gt;0,$E$1-Table10[[#This Row],[Year]],0),"")</f>
        <v>0</v>
      </c>
      <c r="F1388" s="456"/>
      <c r="G1388" s="456"/>
      <c r="H1388" s="456"/>
    </row>
    <row r="1389" spans="1:8">
      <c r="A1389" s="456">
        <v>2386</v>
      </c>
      <c r="B1389" s="469" t="s">
        <v>2108</v>
      </c>
      <c r="C1389" s="458" t="s">
        <v>246</v>
      </c>
      <c r="D1389" s="456">
        <f>IF(Table10[[#This Row],[Current Age]]&gt;19,"Men's",IF(E1389&gt;15,"U19",IF(E1389&gt;13,"U15",IF(E1389&gt;11,"U13",IF(E1389&gt;0,"U11",0)))))</f>
        <v>0</v>
      </c>
      <c r="E1389" s="456">
        <f>IFERROR(IF(Table10[[#This Row],[Year]]&gt;0,$E$1-Table10[[#This Row],[Year]],0),"")</f>
        <v>0</v>
      </c>
      <c r="F1389" s="456"/>
      <c r="G1389" s="456"/>
      <c r="H1389" s="456"/>
    </row>
    <row r="1390" spans="1:8">
      <c r="A1390" s="471">
        <v>2387</v>
      </c>
      <c r="B1390" s="493" t="s">
        <v>2107</v>
      </c>
      <c r="C1390" s="472" t="s">
        <v>246</v>
      </c>
      <c r="D1390" s="456">
        <f>IF(Table10[[#This Row],[Current Age]]&gt;19,"Men's",IF(E1390&gt;15,"U19",IF(E1390&gt;13,"U15",IF(E1390&gt;11,"U13",IF(E1390&gt;0,"U11",0)))))</f>
        <v>0</v>
      </c>
      <c r="E1390" s="456">
        <f>IFERROR(IF(Table10[[#This Row],[Year]]&gt;0,$E$1-Table10[[#This Row],[Year]],0),"")</f>
        <v>0</v>
      </c>
      <c r="F1390" s="456"/>
      <c r="G1390" s="456"/>
      <c r="H1390" s="456"/>
    </row>
    <row r="1391" spans="1:8">
      <c r="A1391" s="456">
        <v>2388</v>
      </c>
      <c r="B1391" s="469" t="s">
        <v>2101</v>
      </c>
      <c r="C1391" s="458" t="s">
        <v>246</v>
      </c>
      <c r="D1391" s="456">
        <f>IF(Table10[[#This Row],[Current Age]]&gt;19,"Men's",IF(E1391&gt;15,"U19",IF(E1391&gt;13,"U15",IF(E1391&gt;11,"U13",IF(E1391&gt;0,"U11",0)))))</f>
        <v>0</v>
      </c>
      <c r="E1391" s="456">
        <f>IFERROR(IF(Table10[[#This Row],[Year]]&gt;0,$E$1-Table10[[#This Row],[Year]],0),"")</f>
        <v>0</v>
      </c>
      <c r="F1391" s="456"/>
      <c r="G1391" s="456"/>
      <c r="H1391" s="456"/>
    </row>
    <row r="1392" spans="1:8">
      <c r="A1392" s="471">
        <v>2389</v>
      </c>
      <c r="B1392" s="493" t="s">
        <v>2106</v>
      </c>
      <c r="C1392" s="472" t="s">
        <v>246</v>
      </c>
      <c r="D1392" s="456">
        <f>IF(Table10[[#This Row],[Current Age]]&gt;19,"Men's",IF(E1392&gt;15,"U19",IF(E1392&gt;13,"U15",IF(E1392&gt;11,"U13",IF(E1392&gt;0,"U11",0)))))</f>
        <v>0</v>
      </c>
      <c r="E1392" s="456">
        <f>IFERROR(IF(Table10[[#This Row],[Year]]&gt;0,$E$1-Table10[[#This Row],[Year]],0),"")</f>
        <v>0</v>
      </c>
      <c r="F1392" s="456"/>
      <c r="G1392" s="456"/>
      <c r="H1392" s="456"/>
    </row>
    <row r="1393" spans="1:8">
      <c r="A1393" s="456">
        <v>2390</v>
      </c>
      <c r="B1393" s="469" t="s">
        <v>2105</v>
      </c>
      <c r="C1393" s="458" t="s">
        <v>246</v>
      </c>
      <c r="D1393" s="456">
        <f>IF(Table10[[#This Row],[Current Age]]&gt;19,"Men's",IF(E1393&gt;15,"U19",IF(E1393&gt;13,"U15",IF(E1393&gt;11,"U13",IF(E1393&gt;0,"U11",0)))))</f>
        <v>0</v>
      </c>
      <c r="E1393" s="456">
        <f>IFERROR(IF(Table10[[#This Row],[Year]]&gt;0,$E$1-Table10[[#This Row],[Year]],0),"")</f>
        <v>0</v>
      </c>
      <c r="F1393" s="456"/>
      <c r="G1393" s="456"/>
      <c r="H1393" s="456"/>
    </row>
    <row r="1394" spans="1:8">
      <c r="A1394" s="471">
        <v>2391</v>
      </c>
      <c r="B1394" s="493" t="s">
        <v>2104</v>
      </c>
      <c r="C1394" s="472" t="s">
        <v>246</v>
      </c>
      <c r="D1394" s="456">
        <f>IF(Table10[[#This Row],[Current Age]]&gt;19,"Men's",IF(E1394&gt;15,"U19",IF(E1394&gt;13,"U15",IF(E1394&gt;11,"U13",IF(E1394&gt;0,"U11",0)))))</f>
        <v>0</v>
      </c>
      <c r="E1394" s="456">
        <f>IFERROR(IF(Table10[[#This Row],[Year]]&gt;0,$E$1-Table10[[#This Row],[Year]],0),"")</f>
        <v>0</v>
      </c>
      <c r="F1394" s="456"/>
      <c r="G1394" s="456"/>
      <c r="H1394" s="456"/>
    </row>
    <row r="1395" spans="1:8">
      <c r="A1395" s="456">
        <v>2392</v>
      </c>
      <c r="B1395" s="469" t="s">
        <v>2103</v>
      </c>
      <c r="C1395" s="458" t="s">
        <v>246</v>
      </c>
      <c r="D1395" s="456">
        <f>IF(Table10[[#This Row],[Current Age]]&gt;19,"Men's",IF(E1395&gt;15,"U19",IF(E1395&gt;13,"U15",IF(E1395&gt;11,"U13",IF(E1395&gt;0,"U11",0)))))</f>
        <v>0</v>
      </c>
      <c r="E1395" s="456">
        <f>IFERROR(IF(Table10[[#This Row],[Year]]&gt;0,$E$1-Table10[[#This Row],[Year]],0),"")</f>
        <v>0</v>
      </c>
      <c r="F1395" s="456"/>
      <c r="G1395" s="456"/>
      <c r="H1395" s="456"/>
    </row>
    <row r="1396" spans="1:8">
      <c r="A1396" s="471">
        <v>2393</v>
      </c>
      <c r="B1396" s="493" t="s">
        <v>2102</v>
      </c>
      <c r="C1396" s="472" t="s">
        <v>246</v>
      </c>
      <c r="D1396" s="456">
        <f>IF(Table10[[#This Row],[Current Age]]&gt;19,"Men's",IF(E1396&gt;15,"U19",IF(E1396&gt;13,"U15",IF(E1396&gt;11,"U13",IF(E1396&gt;0,"U11",0)))))</f>
        <v>0</v>
      </c>
      <c r="E1396" s="456">
        <f>IFERROR(IF(Table10[[#This Row],[Year]]&gt;0,$E$1-Table10[[#This Row],[Year]],0),"")</f>
        <v>0</v>
      </c>
      <c r="F1396" s="456"/>
      <c r="G1396" s="456"/>
      <c r="H1396" s="456"/>
    </row>
    <row r="1397" spans="1:8">
      <c r="A1397" s="456">
        <v>2394</v>
      </c>
      <c r="B1397" s="469" t="s">
        <v>2109</v>
      </c>
      <c r="C1397" s="458" t="s">
        <v>246</v>
      </c>
      <c r="D1397" s="456">
        <f>IF(Table10[[#This Row],[Current Age]]&gt;19,"Men's",IF(E1397&gt;15,"U19",IF(E1397&gt;13,"U15",IF(E1397&gt;11,"U13",IF(E1397&gt;0,"U11",0)))))</f>
        <v>0</v>
      </c>
      <c r="E1397" s="456">
        <f>IFERROR(IF(Table10[[#This Row],[Year]]&gt;0,$E$1-Table10[[#This Row],[Year]],0),"")</f>
        <v>0</v>
      </c>
      <c r="F1397" s="456"/>
      <c r="G1397" s="456"/>
      <c r="H1397" s="456"/>
    </row>
    <row r="1398" spans="1:8">
      <c r="A1398" s="471">
        <v>2395</v>
      </c>
      <c r="B1398" s="493" t="s">
        <v>2110</v>
      </c>
      <c r="C1398" s="472" t="s">
        <v>246</v>
      </c>
      <c r="D1398" s="456">
        <f>IF(Table10[[#This Row],[Current Age]]&gt;19,"Men's",IF(E1398&gt;15,"U19",IF(E1398&gt;13,"U15",IF(E1398&gt;11,"U13",IF(E1398&gt;0,"U11",0)))))</f>
        <v>0</v>
      </c>
      <c r="E1398" s="456">
        <f>IFERROR(IF(Table10[[#This Row],[Year]]&gt;0,$E$1-Table10[[#This Row],[Year]],0),"")</f>
        <v>0</v>
      </c>
      <c r="F1398" s="456"/>
      <c r="G1398" s="456"/>
      <c r="H1398" s="456"/>
    </row>
    <row r="1399" spans="1:8">
      <c r="A1399" s="456">
        <v>2396</v>
      </c>
      <c r="B1399" s="469" t="s">
        <v>2111</v>
      </c>
      <c r="C1399" s="458" t="s">
        <v>246</v>
      </c>
      <c r="D1399" s="456">
        <f>IF(Table10[[#This Row],[Current Age]]&gt;19,"Men's",IF(E1399&gt;15,"U19",IF(E1399&gt;13,"U15",IF(E1399&gt;11,"U13",IF(E1399&gt;0,"U11",0)))))</f>
        <v>0</v>
      </c>
      <c r="E1399" s="456">
        <f>IFERROR(IF(Table10[[#This Row],[Year]]&gt;0,$E$1-Table10[[#This Row],[Year]],0),"")</f>
        <v>0</v>
      </c>
      <c r="F1399" s="456"/>
      <c r="G1399" s="456"/>
      <c r="H1399" s="456"/>
    </row>
    <row r="1400" spans="1:8">
      <c r="A1400" s="471">
        <v>2397</v>
      </c>
      <c r="B1400" s="493" t="s">
        <v>2112</v>
      </c>
      <c r="C1400" s="472" t="s">
        <v>246</v>
      </c>
      <c r="D1400" s="456">
        <f>IF(Table10[[#This Row],[Current Age]]&gt;19,"Men's",IF(E1400&gt;15,"U19",IF(E1400&gt;13,"U15",IF(E1400&gt;11,"U13",IF(E1400&gt;0,"U11",0)))))</f>
        <v>0</v>
      </c>
      <c r="E1400" s="456">
        <f>IFERROR(IF(Table10[[#This Row],[Year]]&gt;0,$E$1-Table10[[#This Row],[Year]],0),"")</f>
        <v>0</v>
      </c>
      <c r="F1400" s="456"/>
      <c r="G1400" s="456"/>
      <c r="H1400" s="456"/>
    </row>
    <row r="1401" spans="1:8">
      <c r="A1401" s="456">
        <v>2398</v>
      </c>
      <c r="B1401" s="469" t="s">
        <v>2113</v>
      </c>
      <c r="C1401" s="458" t="s">
        <v>246</v>
      </c>
      <c r="D1401" s="456">
        <f>IF(Table10[[#This Row],[Current Age]]&gt;19,"Men's",IF(E1401&gt;15,"U19",IF(E1401&gt;13,"U15",IF(E1401&gt;11,"U13",IF(E1401&gt;0,"U11",0)))))</f>
        <v>0</v>
      </c>
      <c r="E1401" s="456">
        <f>IFERROR(IF(Table10[[#This Row],[Year]]&gt;0,$E$1-Table10[[#This Row],[Year]],0),"")</f>
        <v>0</v>
      </c>
      <c r="F1401" s="456"/>
      <c r="G1401" s="456"/>
      <c r="H1401" s="456"/>
    </row>
    <row r="1402" spans="1:8">
      <c r="A1402" s="471">
        <v>2399</v>
      </c>
      <c r="B1402" s="493" t="s">
        <v>2114</v>
      </c>
      <c r="C1402" s="472" t="s">
        <v>246</v>
      </c>
      <c r="D1402" s="456">
        <f>IF(Table10[[#This Row],[Current Age]]&gt;19,"Men's",IF(E1402&gt;15,"U19",IF(E1402&gt;13,"U15",IF(E1402&gt;11,"U13",IF(E1402&gt;0,"U11",0)))))</f>
        <v>0</v>
      </c>
      <c r="E1402" s="456">
        <f>IFERROR(IF(Table10[[#This Row],[Year]]&gt;0,$E$1-Table10[[#This Row],[Year]],0),"")</f>
        <v>0</v>
      </c>
      <c r="F1402" s="456"/>
      <c r="G1402" s="456"/>
      <c r="H1402" s="456"/>
    </row>
    <row r="1403" spans="1:8">
      <c r="A1403" s="456">
        <v>2400</v>
      </c>
      <c r="B1403" s="469" t="s">
        <v>2115</v>
      </c>
      <c r="C1403" s="458" t="s">
        <v>246</v>
      </c>
      <c r="D1403" s="456">
        <f>IF(Table10[[#This Row],[Current Age]]&gt;19,"Men's",IF(E1403&gt;15,"U19",IF(E1403&gt;13,"U15",IF(E1403&gt;11,"U13",IF(E1403&gt;0,"U11",0)))))</f>
        <v>0</v>
      </c>
      <c r="E1403" s="456">
        <f>IFERROR(IF(Table10[[#This Row],[Year]]&gt;0,$E$1-Table10[[#This Row],[Year]],0),"")</f>
        <v>0</v>
      </c>
      <c r="F1403" s="456"/>
      <c r="G1403" s="456"/>
      <c r="H1403" s="456"/>
    </row>
    <row r="1404" spans="1:8">
      <c r="A1404" s="471">
        <v>2401</v>
      </c>
      <c r="B1404" s="493" t="s">
        <v>2116</v>
      </c>
      <c r="C1404" s="472" t="s">
        <v>246</v>
      </c>
      <c r="D1404" s="456">
        <f>IF(Table10[[#This Row],[Current Age]]&gt;19,"Men's",IF(E1404&gt;15,"U19",IF(E1404&gt;13,"U15",IF(E1404&gt;11,"U13",IF(E1404&gt;0,"U11",0)))))</f>
        <v>0</v>
      </c>
      <c r="E1404" s="456">
        <f>IFERROR(IF(Table10[[#This Row],[Year]]&gt;0,$E$1-Table10[[#This Row],[Year]],0),"")</f>
        <v>0</v>
      </c>
      <c r="F1404" s="456"/>
      <c r="G1404" s="456"/>
      <c r="H1404" s="456"/>
    </row>
    <row r="1405" spans="1:8">
      <c r="A1405" s="456">
        <v>2402</v>
      </c>
      <c r="B1405" s="469" t="s">
        <v>2117</v>
      </c>
      <c r="C1405" s="458" t="s">
        <v>246</v>
      </c>
      <c r="D1405" s="456">
        <f>IF(Table10[[#This Row],[Current Age]]&gt;19,"Men's",IF(E1405&gt;15,"U19",IF(E1405&gt;13,"U15",IF(E1405&gt;11,"U13",IF(E1405&gt;0,"U11",0)))))</f>
        <v>0</v>
      </c>
      <c r="E1405" s="456">
        <f>IFERROR(IF(Table10[[#This Row],[Year]]&gt;0,$E$1-Table10[[#This Row],[Year]],0),"")</f>
        <v>0</v>
      </c>
      <c r="F1405" s="456"/>
      <c r="G1405" s="456"/>
      <c r="H1405" s="456"/>
    </row>
    <row r="1406" spans="1:8">
      <c r="A1406" s="471">
        <v>2403</v>
      </c>
      <c r="B1406" s="493" t="s">
        <v>2118</v>
      </c>
      <c r="C1406" s="472" t="s">
        <v>246</v>
      </c>
      <c r="D1406" s="456">
        <f>IF(Table10[[#This Row],[Current Age]]&gt;19,"Men's",IF(E1406&gt;15,"U19",IF(E1406&gt;13,"U15",IF(E1406&gt;11,"U13",IF(E1406&gt;0,"U11",0)))))</f>
        <v>0</v>
      </c>
      <c r="E1406" s="456">
        <f>IFERROR(IF(Table10[[#This Row],[Year]]&gt;0,$E$1-Table10[[#This Row],[Year]],0),"")</f>
        <v>0</v>
      </c>
      <c r="F1406" s="456"/>
      <c r="G1406" s="456"/>
      <c r="H1406" s="456"/>
    </row>
    <row r="1407" spans="1:8">
      <c r="A1407" s="456">
        <v>2404</v>
      </c>
      <c r="B1407" s="469" t="s">
        <v>2142</v>
      </c>
      <c r="C1407" s="458" t="s">
        <v>762</v>
      </c>
      <c r="D1407" s="456">
        <f>IF(Table10[[#This Row],[Current Age]]&gt;19,"Men's",IF(E1407&gt;15,"U19",IF(E1407&gt;13,"U15",IF(E1407&gt;11,"U13",IF(E1407&gt;0,"U11",0)))))</f>
        <v>0</v>
      </c>
      <c r="E1407" s="456">
        <f>IFERROR(IF(Table10[[#This Row],[Year]]&gt;0,$E$1-Table10[[#This Row],[Year]],0),"")</f>
        <v>0</v>
      </c>
      <c r="F1407" s="456"/>
      <c r="G1407" s="456"/>
      <c r="H1407" s="456"/>
    </row>
    <row r="1408" spans="1:8">
      <c r="A1408" s="471">
        <v>2405</v>
      </c>
      <c r="B1408" s="493" t="s">
        <v>2144</v>
      </c>
      <c r="C1408" s="472" t="s">
        <v>4720</v>
      </c>
      <c r="D1408" s="456">
        <f>IF(Table10[[#This Row],[Current Age]]&gt;19,"Men's",IF(E1408&gt;15,"U19",IF(E1408&gt;13,"U15",IF(E1408&gt;11,"U13",IF(E1408&gt;0,"U11",0)))))</f>
        <v>0</v>
      </c>
      <c r="E1408" s="456">
        <f>IFERROR(IF(Table10[[#This Row],[Year]]&gt;0,$E$1-Table10[[#This Row],[Year]],0),"")</f>
        <v>0</v>
      </c>
      <c r="F1408" s="456"/>
      <c r="G1408" s="456"/>
      <c r="H1408" s="456"/>
    </row>
    <row r="1409" spans="1:8">
      <c r="A1409" s="456">
        <v>2406</v>
      </c>
      <c r="B1409" s="469" t="s">
        <v>2145</v>
      </c>
      <c r="C1409" s="458" t="s">
        <v>4720</v>
      </c>
      <c r="D1409" s="456">
        <f>IF(Table10[[#This Row],[Current Age]]&gt;19,"Men's",IF(E1409&gt;15,"U19",IF(E1409&gt;13,"U15",IF(E1409&gt;11,"U13",IF(E1409&gt;0,"U11",0)))))</f>
        <v>0</v>
      </c>
      <c r="E1409" s="456">
        <f>IFERROR(IF(Table10[[#This Row],[Year]]&gt;0,$E$1-Table10[[#This Row],[Year]],0),"")</f>
        <v>0</v>
      </c>
      <c r="F1409" s="456"/>
      <c r="G1409" s="456"/>
      <c r="H1409" s="456"/>
    </row>
    <row r="1410" spans="1:8">
      <c r="A1410" s="471">
        <v>2407</v>
      </c>
      <c r="B1410" s="493" t="s">
        <v>2146</v>
      </c>
      <c r="C1410" s="472" t="s">
        <v>4720</v>
      </c>
      <c r="D1410" s="456">
        <f>IF(Table10[[#This Row],[Current Age]]&gt;19,"Men's",IF(E1410&gt;15,"U19",IF(E1410&gt;13,"U15",IF(E1410&gt;11,"U13",IF(E1410&gt;0,"U11",0)))))</f>
        <v>0</v>
      </c>
      <c r="E1410" s="456">
        <f>IFERROR(IF(Table10[[#This Row],[Year]]&gt;0,$E$1-Table10[[#This Row],[Year]],0),"")</f>
        <v>0</v>
      </c>
      <c r="F1410" s="456"/>
      <c r="G1410" s="456"/>
      <c r="H1410" s="456"/>
    </row>
    <row r="1411" spans="1:8">
      <c r="A1411" s="456">
        <v>2408</v>
      </c>
      <c r="B1411" s="469" t="s">
        <v>2147</v>
      </c>
      <c r="C1411" s="458" t="s">
        <v>4720</v>
      </c>
      <c r="D1411" s="456">
        <f>IF(Table10[[#This Row],[Current Age]]&gt;19,"Men's",IF(E1411&gt;15,"U19",IF(E1411&gt;13,"U15",IF(E1411&gt;11,"U13",IF(E1411&gt;0,"U11",0)))))</f>
        <v>0</v>
      </c>
      <c r="E1411" s="456">
        <f>IFERROR(IF(Table10[[#This Row],[Year]]&gt;0,$E$1-Table10[[#This Row],[Year]],0),"")</f>
        <v>0</v>
      </c>
      <c r="F1411" s="456"/>
      <c r="G1411" s="456"/>
      <c r="H1411" s="456"/>
    </row>
    <row r="1412" spans="1:8">
      <c r="A1412" s="471">
        <v>2409</v>
      </c>
      <c r="B1412" s="493" t="s">
        <v>2148</v>
      </c>
      <c r="C1412" s="472" t="s">
        <v>4720</v>
      </c>
      <c r="D1412" s="456">
        <f>IF(Table10[[#This Row],[Current Age]]&gt;19,"Men's",IF(E1412&gt;15,"U19",IF(E1412&gt;13,"U15",IF(E1412&gt;11,"U13",IF(E1412&gt;0,"U11",0)))))</f>
        <v>0</v>
      </c>
      <c r="E1412" s="456">
        <f>IFERROR(IF(Table10[[#This Row],[Year]]&gt;0,$E$1-Table10[[#This Row],[Year]],0),"")</f>
        <v>0</v>
      </c>
      <c r="F1412" s="456"/>
      <c r="G1412" s="456"/>
      <c r="H1412" s="456"/>
    </row>
    <row r="1413" spans="1:8">
      <c r="A1413" s="456">
        <v>2410</v>
      </c>
      <c r="B1413" s="469" t="s">
        <v>2149</v>
      </c>
      <c r="C1413" s="458" t="s">
        <v>4720</v>
      </c>
      <c r="D1413" s="456">
        <f>IF(Table10[[#This Row],[Current Age]]&gt;19,"Men's",IF(E1413&gt;15,"U19",IF(E1413&gt;13,"U15",IF(E1413&gt;11,"U13",IF(E1413&gt;0,"U11",0)))))</f>
        <v>0</v>
      </c>
      <c r="E1413" s="456">
        <f>IFERROR(IF(Table10[[#This Row],[Year]]&gt;0,$E$1-Table10[[#This Row],[Year]],0),"")</f>
        <v>0</v>
      </c>
      <c r="F1413" s="456"/>
      <c r="G1413" s="456"/>
      <c r="H1413" s="456"/>
    </row>
    <row r="1414" spans="1:8">
      <c r="A1414" s="471">
        <v>2411</v>
      </c>
      <c r="B1414" s="493" t="s">
        <v>2150</v>
      </c>
      <c r="C1414" s="472" t="s">
        <v>4720</v>
      </c>
      <c r="D1414" s="456">
        <f>IF(Table10[[#This Row],[Current Age]]&gt;19,"Men's",IF(E1414&gt;15,"U19",IF(E1414&gt;13,"U15",IF(E1414&gt;11,"U13",IF(E1414&gt;0,"U11",0)))))</f>
        <v>0</v>
      </c>
      <c r="E1414" s="456">
        <f>IFERROR(IF(Table10[[#This Row],[Year]]&gt;0,$E$1-Table10[[#This Row],[Year]],0),"")</f>
        <v>0</v>
      </c>
      <c r="F1414" s="456"/>
      <c r="G1414" s="456"/>
      <c r="H1414" s="456"/>
    </row>
    <row r="1415" spans="1:8">
      <c r="A1415" s="456">
        <v>2412</v>
      </c>
      <c r="B1415" s="469" t="s">
        <v>2151</v>
      </c>
      <c r="C1415" s="458" t="s">
        <v>4720</v>
      </c>
      <c r="D1415" s="456">
        <f>IF(Table10[[#This Row],[Current Age]]&gt;19,"Men's",IF(E1415&gt;15,"U19",IF(E1415&gt;13,"U15",IF(E1415&gt;11,"U13",IF(E1415&gt;0,"U11",0)))))</f>
        <v>0</v>
      </c>
      <c r="E1415" s="456">
        <f>IFERROR(IF(Table10[[#This Row],[Year]]&gt;0,$E$1-Table10[[#This Row],[Year]],0),"")</f>
        <v>0</v>
      </c>
      <c r="F1415" s="456"/>
      <c r="G1415" s="456"/>
      <c r="H1415" s="456"/>
    </row>
    <row r="1416" spans="1:8">
      <c r="A1416" s="471">
        <v>2413</v>
      </c>
      <c r="B1416" s="493" t="s">
        <v>2152</v>
      </c>
      <c r="C1416" s="472" t="s">
        <v>4720</v>
      </c>
      <c r="D1416" s="456">
        <f>IF(Table10[[#This Row],[Current Age]]&gt;19,"Men's",IF(E1416&gt;15,"U19",IF(E1416&gt;13,"U15",IF(E1416&gt;11,"U13",IF(E1416&gt;0,"U11",0)))))</f>
        <v>0</v>
      </c>
      <c r="E1416" s="456">
        <f>IFERROR(IF(Table10[[#This Row],[Year]]&gt;0,$E$1-Table10[[#This Row],[Year]],0),"")</f>
        <v>0</v>
      </c>
      <c r="F1416" s="456"/>
      <c r="G1416" s="456"/>
      <c r="H1416" s="456"/>
    </row>
    <row r="1417" spans="1:8">
      <c r="A1417" s="456">
        <v>2414</v>
      </c>
      <c r="B1417" s="469" t="s">
        <v>2153</v>
      </c>
      <c r="C1417" s="458" t="s">
        <v>4720</v>
      </c>
      <c r="D1417" s="456">
        <f>IF(Table10[[#This Row],[Current Age]]&gt;19,"Men's",IF(E1417&gt;15,"U19",IF(E1417&gt;13,"U15",IF(E1417&gt;11,"U13",IF(E1417&gt;0,"U11",0)))))</f>
        <v>0</v>
      </c>
      <c r="E1417" s="456">
        <f>IFERROR(IF(Table10[[#This Row],[Year]]&gt;0,$E$1-Table10[[#This Row],[Year]],0),"")</f>
        <v>0</v>
      </c>
      <c r="F1417" s="456"/>
      <c r="G1417" s="456"/>
      <c r="H1417" s="456"/>
    </row>
    <row r="1418" spans="1:8">
      <c r="A1418" s="471">
        <v>2415</v>
      </c>
      <c r="B1418" s="493" t="s">
        <v>2154</v>
      </c>
      <c r="C1418" s="472" t="s">
        <v>4720</v>
      </c>
      <c r="D1418" s="456">
        <f>IF(Table10[[#This Row],[Current Age]]&gt;19,"Men's",IF(E1418&gt;15,"U19",IF(E1418&gt;13,"U15",IF(E1418&gt;11,"U13",IF(E1418&gt;0,"U11",0)))))</f>
        <v>0</v>
      </c>
      <c r="E1418" s="456">
        <f>IFERROR(IF(Table10[[#This Row],[Year]]&gt;0,$E$1-Table10[[#This Row],[Year]],0),"")</f>
        <v>0</v>
      </c>
      <c r="F1418" s="456"/>
      <c r="G1418" s="456"/>
      <c r="H1418" s="456"/>
    </row>
    <row r="1419" spans="1:8">
      <c r="A1419" s="456">
        <v>2416</v>
      </c>
      <c r="B1419" s="469" t="s">
        <v>2155</v>
      </c>
      <c r="C1419" s="458" t="s">
        <v>4720</v>
      </c>
      <c r="D1419" s="456">
        <f>IF(Table10[[#This Row],[Current Age]]&gt;19,"Men's",IF(E1419&gt;15,"U19",IF(E1419&gt;13,"U15",IF(E1419&gt;11,"U13",IF(E1419&gt;0,"U11",0)))))</f>
        <v>0</v>
      </c>
      <c r="E1419" s="456">
        <f>IFERROR(IF(Table10[[#This Row],[Year]]&gt;0,$E$1-Table10[[#This Row],[Year]],0),"")</f>
        <v>0</v>
      </c>
      <c r="F1419" s="456"/>
      <c r="G1419" s="456"/>
      <c r="H1419" s="456"/>
    </row>
    <row r="1420" spans="1:8">
      <c r="A1420" s="471">
        <v>2417</v>
      </c>
      <c r="B1420" s="493" t="s">
        <v>2156</v>
      </c>
      <c r="C1420" s="472" t="s">
        <v>4720</v>
      </c>
      <c r="D1420" s="456">
        <f>IF(Table10[[#This Row],[Current Age]]&gt;19,"Men's",IF(E1420&gt;15,"U19",IF(E1420&gt;13,"U15",IF(E1420&gt;11,"U13",IF(E1420&gt;0,"U11",0)))))</f>
        <v>0</v>
      </c>
      <c r="E1420" s="456">
        <f>IFERROR(IF(Table10[[#This Row],[Year]]&gt;0,$E$1-Table10[[#This Row],[Year]],0),"")</f>
        <v>0</v>
      </c>
      <c r="F1420" s="456"/>
      <c r="G1420" s="456"/>
      <c r="H1420" s="456"/>
    </row>
    <row r="1421" spans="1:8">
      <c r="A1421" s="456">
        <v>2418</v>
      </c>
      <c r="B1421" s="469" t="s">
        <v>2157</v>
      </c>
      <c r="C1421" s="458" t="s">
        <v>4720</v>
      </c>
      <c r="D1421" s="456">
        <f>IF(Table10[[#This Row],[Current Age]]&gt;19,"Men's",IF(E1421&gt;15,"U19",IF(E1421&gt;13,"U15",IF(E1421&gt;11,"U13",IF(E1421&gt;0,"U11",0)))))</f>
        <v>0</v>
      </c>
      <c r="E1421" s="456">
        <f>IFERROR(IF(Table10[[#This Row],[Year]]&gt;0,$E$1-Table10[[#This Row],[Year]],0),"")</f>
        <v>0</v>
      </c>
      <c r="F1421" s="456"/>
      <c r="G1421" s="456"/>
      <c r="H1421" s="456"/>
    </row>
    <row r="1422" spans="1:8">
      <c r="A1422" s="471">
        <v>2419</v>
      </c>
      <c r="B1422" s="493" t="s">
        <v>2174</v>
      </c>
      <c r="C1422" s="472" t="s">
        <v>4552</v>
      </c>
      <c r="D1422" s="456">
        <f>IF(Table10[[#This Row],[Current Age]]&gt;19,"Men's",IF(E1422&gt;15,"U19",IF(E1422&gt;13,"U15",IF(E1422&gt;11,"U13",IF(E1422&gt;0,"U11",0)))))</f>
        <v>0</v>
      </c>
      <c r="E1422" s="456">
        <f>IFERROR(IF(Table10[[#This Row],[Year]]&gt;0,$E$1-Table10[[#This Row],[Year]],0),"")</f>
        <v>0</v>
      </c>
      <c r="F1422" s="456"/>
      <c r="G1422" s="456"/>
      <c r="H1422" s="456"/>
    </row>
    <row r="1423" spans="1:8">
      <c r="A1423" s="456">
        <v>2420</v>
      </c>
      <c r="B1423" s="469" t="s">
        <v>2175</v>
      </c>
      <c r="C1423" s="458" t="s">
        <v>4552</v>
      </c>
      <c r="D1423" s="456">
        <f>IF(Table10[[#This Row],[Current Age]]&gt;19,"Men's",IF(E1423&gt;15,"U19",IF(E1423&gt;13,"U15",IF(E1423&gt;11,"U13",IF(E1423&gt;0,"U11",0)))))</f>
        <v>0</v>
      </c>
      <c r="E1423" s="456">
        <f>IFERROR(IF(Table10[[#This Row],[Year]]&gt;0,$E$1-Table10[[#This Row],[Year]],0),"")</f>
        <v>0</v>
      </c>
      <c r="F1423" s="456"/>
      <c r="G1423" s="456"/>
      <c r="H1423" s="456"/>
    </row>
    <row r="1424" spans="1:8">
      <c r="A1424" s="471">
        <v>2421</v>
      </c>
      <c r="B1424" s="493" t="s">
        <v>2176</v>
      </c>
      <c r="C1424" s="472" t="s">
        <v>4552</v>
      </c>
      <c r="D1424" s="456">
        <f>IF(Table10[[#This Row],[Current Age]]&gt;19,"Men's",IF(E1424&gt;15,"U19",IF(E1424&gt;13,"U15",IF(E1424&gt;11,"U13",IF(E1424&gt;0,"U11",0)))))</f>
        <v>0</v>
      </c>
      <c r="E1424" s="456">
        <f>IFERROR(IF(Table10[[#This Row],[Year]]&gt;0,$E$1-Table10[[#This Row],[Year]],0),"")</f>
        <v>0</v>
      </c>
      <c r="F1424" s="456"/>
      <c r="G1424" s="456"/>
      <c r="H1424" s="456"/>
    </row>
    <row r="1425" spans="1:8">
      <c r="A1425" s="456">
        <v>2422</v>
      </c>
      <c r="B1425" s="469" t="s">
        <v>2177</v>
      </c>
      <c r="C1425" s="458" t="s">
        <v>4552</v>
      </c>
      <c r="D1425" s="456">
        <f>IF(Table10[[#This Row],[Current Age]]&gt;19,"Men's",IF(E1425&gt;15,"U19",IF(E1425&gt;13,"U15",IF(E1425&gt;11,"U13",IF(E1425&gt;0,"U11",0)))))</f>
        <v>0</v>
      </c>
      <c r="E1425" s="456">
        <f>IFERROR(IF(Table10[[#This Row],[Year]]&gt;0,$E$1-Table10[[#This Row],[Year]],0),"")</f>
        <v>0</v>
      </c>
      <c r="F1425" s="456"/>
      <c r="G1425" s="456"/>
      <c r="H1425" s="456"/>
    </row>
    <row r="1426" spans="1:8">
      <c r="A1426" s="471">
        <v>2423</v>
      </c>
      <c r="B1426" s="493" t="s">
        <v>2178</v>
      </c>
      <c r="C1426" s="472" t="s">
        <v>4552</v>
      </c>
      <c r="D1426" s="456">
        <f>IF(Table10[[#This Row],[Current Age]]&gt;19,"Men's",IF(E1426&gt;15,"U19",IF(E1426&gt;13,"U15",IF(E1426&gt;11,"U13",IF(E1426&gt;0,"U11",0)))))</f>
        <v>0</v>
      </c>
      <c r="E1426" s="456">
        <f>IFERROR(IF(Table10[[#This Row],[Year]]&gt;0,$E$1-Table10[[#This Row],[Year]],0),"")</f>
        <v>0</v>
      </c>
      <c r="F1426" s="456"/>
      <c r="G1426" s="456"/>
      <c r="H1426" s="456"/>
    </row>
    <row r="1427" spans="1:8">
      <c r="A1427" s="456">
        <v>2424</v>
      </c>
      <c r="B1427" s="469" t="s">
        <v>2179</v>
      </c>
      <c r="C1427" s="458" t="s">
        <v>4552</v>
      </c>
      <c r="D1427" s="456">
        <f>IF(Table10[[#This Row],[Current Age]]&gt;19,"Men's",IF(E1427&gt;15,"U19",IF(E1427&gt;13,"U15",IF(E1427&gt;11,"U13",IF(E1427&gt;0,"U11",0)))))</f>
        <v>0</v>
      </c>
      <c r="E1427" s="456">
        <f>IFERROR(IF(Table10[[#This Row],[Year]]&gt;0,$E$1-Table10[[#This Row],[Year]],0),"")</f>
        <v>0</v>
      </c>
      <c r="F1427" s="456"/>
      <c r="G1427" s="456"/>
      <c r="H1427" s="456"/>
    </row>
    <row r="1428" spans="1:8">
      <c r="A1428" s="471">
        <v>2425</v>
      </c>
      <c r="B1428" s="493" t="s">
        <v>2180</v>
      </c>
      <c r="C1428" s="472" t="s">
        <v>4552</v>
      </c>
      <c r="D1428" s="456">
        <f>IF(Table10[[#This Row],[Current Age]]&gt;19,"Men's",IF(E1428&gt;15,"U19",IF(E1428&gt;13,"U15",IF(E1428&gt;11,"U13",IF(E1428&gt;0,"U11",0)))))</f>
        <v>0</v>
      </c>
      <c r="E1428" s="456">
        <f>IFERROR(IF(Table10[[#This Row],[Year]]&gt;0,$E$1-Table10[[#This Row],[Year]],0),"")</f>
        <v>0</v>
      </c>
      <c r="F1428" s="456"/>
      <c r="G1428" s="456"/>
      <c r="H1428" s="456"/>
    </row>
    <row r="1429" spans="1:8">
      <c r="A1429" s="456">
        <v>2426</v>
      </c>
      <c r="B1429" s="469" t="s">
        <v>2181</v>
      </c>
      <c r="C1429" s="458" t="s">
        <v>4552</v>
      </c>
      <c r="D1429" s="456">
        <f>IF(Table10[[#This Row],[Current Age]]&gt;19,"Men's",IF(E1429&gt;15,"U19",IF(E1429&gt;13,"U15",IF(E1429&gt;11,"U13",IF(E1429&gt;0,"U11",0)))))</f>
        <v>0</v>
      </c>
      <c r="E1429" s="456">
        <f>IFERROR(IF(Table10[[#This Row],[Year]]&gt;0,$E$1-Table10[[#This Row],[Year]],0),"")</f>
        <v>0</v>
      </c>
      <c r="F1429" s="456"/>
      <c r="G1429" s="456"/>
      <c r="H1429" s="456"/>
    </row>
    <row r="1430" spans="1:8">
      <c r="A1430" s="471">
        <v>2427</v>
      </c>
      <c r="B1430" s="493" t="s">
        <v>2182</v>
      </c>
      <c r="C1430" s="472" t="s">
        <v>4552</v>
      </c>
      <c r="D1430" s="456">
        <f>IF(Table10[[#This Row],[Current Age]]&gt;19,"Men's",IF(E1430&gt;15,"U19",IF(E1430&gt;13,"U15",IF(E1430&gt;11,"U13",IF(E1430&gt;0,"U11",0)))))</f>
        <v>0</v>
      </c>
      <c r="E1430" s="456">
        <f>IFERROR(IF(Table10[[#This Row],[Year]]&gt;0,$E$1-Table10[[#This Row],[Year]],0),"")</f>
        <v>0</v>
      </c>
      <c r="F1430" s="456"/>
      <c r="G1430" s="456"/>
      <c r="H1430" s="456"/>
    </row>
    <row r="1431" spans="1:8">
      <c r="A1431" s="456">
        <v>2428</v>
      </c>
      <c r="B1431" s="469" t="s">
        <v>2183</v>
      </c>
      <c r="C1431" s="458" t="s">
        <v>4552</v>
      </c>
      <c r="D1431" s="456">
        <f>IF(Table10[[#This Row],[Current Age]]&gt;19,"Men's",IF(E1431&gt;15,"U19",IF(E1431&gt;13,"U15",IF(E1431&gt;11,"U13",IF(E1431&gt;0,"U11",0)))))</f>
        <v>0</v>
      </c>
      <c r="E1431" s="456">
        <f>IFERROR(IF(Table10[[#This Row],[Year]]&gt;0,$E$1-Table10[[#This Row],[Year]],0),"")</f>
        <v>0</v>
      </c>
      <c r="F1431" s="456"/>
      <c r="G1431" s="456"/>
      <c r="H1431" s="456"/>
    </row>
    <row r="1432" spans="1:8">
      <c r="A1432" s="471">
        <v>2429</v>
      </c>
      <c r="B1432" s="493" t="s">
        <v>2191</v>
      </c>
      <c r="C1432" s="472" t="s">
        <v>250</v>
      </c>
      <c r="D1432" s="456">
        <f>IF(Table10[[#This Row],[Current Age]]&gt;19,"Men's",IF(E1432&gt;15,"U19",IF(E1432&gt;13,"U15",IF(E1432&gt;11,"U13",IF(E1432&gt;0,"U11",0)))))</f>
        <v>0</v>
      </c>
      <c r="E1432" s="456">
        <f>IFERROR(IF(Table10[[#This Row],[Year]]&gt;0,$E$1-Table10[[#This Row],[Year]],0),"")</f>
        <v>0</v>
      </c>
      <c r="F1432" s="456"/>
      <c r="G1432" s="456"/>
      <c r="H1432" s="456"/>
    </row>
    <row r="1433" spans="1:8">
      <c r="A1433" s="456">
        <v>2430</v>
      </c>
      <c r="B1433" s="469" t="s">
        <v>2192</v>
      </c>
      <c r="C1433" s="458" t="s">
        <v>250</v>
      </c>
      <c r="D1433" s="456">
        <f>IF(Table10[[#This Row],[Current Age]]&gt;19,"Men's",IF(E1433&gt;15,"U19",IF(E1433&gt;13,"U15",IF(E1433&gt;11,"U13",IF(E1433&gt;0,"U11",0)))))</f>
        <v>0</v>
      </c>
      <c r="E1433" s="456">
        <f>IFERROR(IF(Table10[[#This Row],[Year]]&gt;0,$E$1-Table10[[#This Row],[Year]],0),"")</f>
        <v>0</v>
      </c>
      <c r="F1433" s="456"/>
      <c r="G1433" s="456"/>
      <c r="H1433" s="456"/>
    </row>
    <row r="1434" spans="1:8">
      <c r="A1434" s="471">
        <v>2431</v>
      </c>
      <c r="B1434" s="493" t="s">
        <v>2193</v>
      </c>
      <c r="C1434" s="472" t="s">
        <v>250</v>
      </c>
      <c r="D1434" s="456">
        <f>IF(Table10[[#This Row],[Current Age]]&gt;19,"Men's",IF(E1434&gt;15,"U19",IF(E1434&gt;13,"U15",IF(E1434&gt;11,"U13",IF(E1434&gt;0,"U11",0)))))</f>
        <v>0</v>
      </c>
      <c r="E1434" s="456">
        <f>IFERROR(IF(Table10[[#This Row],[Year]]&gt;0,$E$1-Table10[[#This Row],[Year]],0),"")</f>
        <v>0</v>
      </c>
      <c r="F1434" s="456"/>
      <c r="G1434" s="456"/>
      <c r="H1434" s="456"/>
    </row>
    <row r="1435" spans="1:8">
      <c r="A1435" s="456">
        <v>2432</v>
      </c>
      <c r="B1435" s="469" t="s">
        <v>2194</v>
      </c>
      <c r="C1435" s="458" t="s">
        <v>250</v>
      </c>
      <c r="D1435" s="456">
        <f>IF(Table10[[#This Row],[Current Age]]&gt;19,"Men's",IF(E1435&gt;15,"U19",IF(E1435&gt;13,"U15",IF(E1435&gt;11,"U13",IF(E1435&gt;0,"U11",0)))))</f>
        <v>0</v>
      </c>
      <c r="E1435" s="456">
        <f>IFERROR(IF(Table10[[#This Row],[Year]]&gt;0,$E$1-Table10[[#This Row],[Year]],0),"")</f>
        <v>0</v>
      </c>
      <c r="F1435" s="456"/>
      <c r="G1435" s="456"/>
      <c r="H1435" s="456"/>
    </row>
    <row r="1436" spans="1:8">
      <c r="A1436" s="471">
        <v>2433</v>
      </c>
      <c r="B1436" s="493" t="s">
        <v>2195</v>
      </c>
      <c r="C1436" s="472" t="s">
        <v>250</v>
      </c>
      <c r="D1436" s="456">
        <f>IF(Table10[[#This Row],[Current Age]]&gt;19,"Men's",IF(E1436&gt;15,"U19",IF(E1436&gt;13,"U15",IF(E1436&gt;11,"U13",IF(E1436&gt;0,"U11",0)))))</f>
        <v>0</v>
      </c>
      <c r="E1436" s="456">
        <f>IFERROR(IF(Table10[[#This Row],[Year]]&gt;0,$E$1-Table10[[#This Row],[Year]],0),"")</f>
        <v>0</v>
      </c>
      <c r="F1436" s="456"/>
      <c r="G1436" s="456"/>
      <c r="H1436" s="456"/>
    </row>
    <row r="1437" spans="1:8">
      <c r="A1437" s="456">
        <v>2434</v>
      </c>
      <c r="B1437" s="469" t="s">
        <v>2196</v>
      </c>
      <c r="C1437" s="458" t="s">
        <v>250</v>
      </c>
      <c r="D1437" s="456">
        <f>IF(Table10[[#This Row],[Current Age]]&gt;19,"Men's",IF(E1437&gt;15,"U19",IF(E1437&gt;13,"U15",IF(E1437&gt;11,"U13",IF(E1437&gt;0,"U11",0)))))</f>
        <v>0</v>
      </c>
      <c r="E1437" s="456">
        <f>IFERROR(IF(Table10[[#This Row],[Year]]&gt;0,$E$1-Table10[[#This Row],[Year]],0),"")</f>
        <v>0</v>
      </c>
      <c r="F1437" s="456"/>
      <c r="G1437" s="456"/>
      <c r="H1437" s="456"/>
    </row>
    <row r="1438" spans="1:8">
      <c r="A1438" s="471">
        <v>2435</v>
      </c>
      <c r="B1438" s="493" t="s">
        <v>2197</v>
      </c>
      <c r="C1438" s="472" t="s">
        <v>250</v>
      </c>
      <c r="D1438" s="456">
        <f>IF(Table10[[#This Row],[Current Age]]&gt;19,"Men's",IF(E1438&gt;15,"U19",IF(E1438&gt;13,"U15",IF(E1438&gt;11,"U13",IF(E1438&gt;0,"U11",0)))))</f>
        <v>0</v>
      </c>
      <c r="E1438" s="456">
        <f>IFERROR(IF(Table10[[#This Row],[Year]]&gt;0,$E$1-Table10[[#This Row],[Year]],0),"")</f>
        <v>0</v>
      </c>
      <c r="F1438" s="456"/>
      <c r="G1438" s="456"/>
      <c r="H1438" s="456"/>
    </row>
    <row r="1439" spans="1:8">
      <c r="A1439" s="456">
        <v>2436</v>
      </c>
      <c r="B1439" s="469" t="s">
        <v>2198</v>
      </c>
      <c r="C1439" s="458" t="s">
        <v>250</v>
      </c>
      <c r="D1439" s="456">
        <f>IF(Table10[[#This Row],[Current Age]]&gt;19,"Men's",IF(E1439&gt;15,"U19",IF(E1439&gt;13,"U15",IF(E1439&gt;11,"U13",IF(E1439&gt;0,"U11",0)))))</f>
        <v>0</v>
      </c>
      <c r="E1439" s="456">
        <f>IFERROR(IF(Table10[[#This Row],[Year]]&gt;0,$E$1-Table10[[#This Row],[Year]],0),"")</f>
        <v>0</v>
      </c>
      <c r="F1439" s="456"/>
      <c r="G1439" s="456"/>
      <c r="H1439" s="456"/>
    </row>
    <row r="1440" spans="1:8">
      <c r="A1440" s="471">
        <v>2437</v>
      </c>
      <c r="B1440" s="514" t="s">
        <v>2199</v>
      </c>
      <c r="C1440" s="472" t="s">
        <v>250</v>
      </c>
      <c r="D1440" s="456">
        <f>IF(Table10[[#This Row],[Current Age]]&gt;19,"Men's",IF(E1440&gt;15,"U19",IF(E1440&gt;13,"U15",IF(E1440&gt;11,"U13",IF(E1440&gt;0,"U11",0)))))</f>
        <v>0</v>
      </c>
      <c r="E1440" s="456">
        <f>IFERROR(IF(Table10[[#This Row],[Year]]&gt;0,$E$1-Table10[[#This Row],[Year]],0),"")</f>
        <v>0</v>
      </c>
      <c r="F1440" s="456"/>
      <c r="G1440" s="456"/>
      <c r="H1440" s="456"/>
    </row>
    <row r="1441" spans="1:8">
      <c r="A1441" s="456">
        <v>2438</v>
      </c>
      <c r="B1441" s="469" t="s">
        <v>2200</v>
      </c>
      <c r="C1441" s="458" t="s">
        <v>250</v>
      </c>
      <c r="D1441" s="456">
        <f>IF(Table10[[#This Row],[Current Age]]&gt;19,"Men's",IF(E1441&gt;15,"U19",IF(E1441&gt;13,"U15",IF(E1441&gt;11,"U13",IF(E1441&gt;0,"U11",0)))))</f>
        <v>0</v>
      </c>
      <c r="E1441" s="456">
        <f>IFERROR(IF(Table10[[#This Row],[Year]]&gt;0,$E$1-Table10[[#This Row],[Year]],0),"")</f>
        <v>0</v>
      </c>
      <c r="F1441" s="456"/>
      <c r="G1441" s="456"/>
      <c r="H1441" s="456"/>
    </row>
    <row r="1442" spans="1:8">
      <c r="A1442" s="471">
        <v>2439</v>
      </c>
      <c r="B1442" s="493" t="s">
        <v>2201</v>
      </c>
      <c r="C1442" s="472" t="s">
        <v>250</v>
      </c>
      <c r="D1442" s="456">
        <f>IF(Table10[[#This Row],[Current Age]]&gt;19,"Men's",IF(E1442&gt;15,"U19",IF(E1442&gt;13,"U15",IF(E1442&gt;11,"U13",IF(E1442&gt;0,"U11",0)))))</f>
        <v>0</v>
      </c>
      <c r="E1442" s="456">
        <f>IFERROR(IF(Table10[[#This Row],[Year]]&gt;0,$E$1-Table10[[#This Row],[Year]],0),"")</f>
        <v>0</v>
      </c>
      <c r="F1442" s="456"/>
      <c r="G1442" s="456"/>
      <c r="H1442" s="456"/>
    </row>
    <row r="1443" spans="1:8">
      <c r="A1443" s="456">
        <v>2440</v>
      </c>
      <c r="B1443" s="469" t="s">
        <v>2202</v>
      </c>
      <c r="C1443" s="458" t="s">
        <v>250</v>
      </c>
      <c r="D1443" s="456">
        <f>IF(Table10[[#This Row],[Current Age]]&gt;19,"Men's",IF(E1443&gt;15,"U19",IF(E1443&gt;13,"U15",IF(E1443&gt;11,"U13",IF(E1443&gt;0,"U11",0)))))</f>
        <v>0</v>
      </c>
      <c r="E1443" s="456">
        <f>IFERROR(IF(Table10[[#This Row],[Year]]&gt;0,$E$1-Table10[[#This Row],[Year]],0),"")</f>
        <v>0</v>
      </c>
      <c r="F1443" s="456"/>
      <c r="G1443" s="456"/>
      <c r="H1443" s="456"/>
    </row>
    <row r="1444" spans="1:8">
      <c r="A1444" s="471">
        <v>2441</v>
      </c>
      <c r="B1444" s="514" t="s">
        <v>2203</v>
      </c>
      <c r="C1444" s="472" t="s">
        <v>250</v>
      </c>
      <c r="D1444" s="456">
        <f>IF(Table10[[#This Row],[Current Age]]&gt;19,"Men's",IF(E1444&gt;15,"U19",IF(E1444&gt;13,"U15",IF(E1444&gt;11,"U13",IF(E1444&gt;0,"U11",0)))))</f>
        <v>0</v>
      </c>
      <c r="E1444" s="456">
        <f>IFERROR(IF(Table10[[#This Row],[Year]]&gt;0,$E$1-Table10[[#This Row],[Year]],0),"")</f>
        <v>0</v>
      </c>
      <c r="F1444" s="456"/>
      <c r="G1444" s="456"/>
      <c r="H1444" s="456"/>
    </row>
    <row r="1445" spans="1:8">
      <c r="A1445" s="456">
        <v>2442</v>
      </c>
      <c r="B1445" s="469" t="s">
        <v>2204</v>
      </c>
      <c r="C1445" s="458" t="s">
        <v>250</v>
      </c>
      <c r="D1445" s="456">
        <f>IF(Table10[[#This Row],[Current Age]]&gt;19,"Men's",IF(E1445&gt;15,"U19",IF(E1445&gt;13,"U15",IF(E1445&gt;11,"U13",IF(E1445&gt;0,"U11",0)))))</f>
        <v>0</v>
      </c>
      <c r="E1445" s="456">
        <f>IFERROR(IF(Table10[[#This Row],[Year]]&gt;0,$E$1-Table10[[#This Row],[Year]],0),"")</f>
        <v>0</v>
      </c>
      <c r="F1445" s="456"/>
      <c r="G1445" s="456"/>
      <c r="H1445" s="456"/>
    </row>
    <row r="1446" spans="1:8">
      <c r="A1446" s="471">
        <v>2443</v>
      </c>
      <c r="B1446" s="493" t="s">
        <v>2205</v>
      </c>
      <c r="C1446" s="472" t="s">
        <v>250</v>
      </c>
      <c r="D1446" s="456">
        <f>IF(Table10[[#This Row],[Current Age]]&gt;19,"Men's",IF(E1446&gt;15,"U19",IF(E1446&gt;13,"U15",IF(E1446&gt;11,"U13",IF(E1446&gt;0,"U11",0)))))</f>
        <v>0</v>
      </c>
      <c r="E1446" s="456">
        <f>IFERROR(IF(Table10[[#This Row],[Year]]&gt;0,$E$1-Table10[[#This Row],[Year]],0),"")</f>
        <v>0</v>
      </c>
      <c r="F1446" s="456"/>
      <c r="G1446" s="456"/>
      <c r="H1446" s="456"/>
    </row>
    <row r="1447" spans="1:8">
      <c r="A1447" s="456">
        <v>2444</v>
      </c>
      <c r="B1447" s="469" t="s">
        <v>2206</v>
      </c>
      <c r="C1447" s="458" t="s">
        <v>250</v>
      </c>
      <c r="D1447" s="456">
        <f>IF(Table10[[#This Row],[Current Age]]&gt;19,"Men's",IF(E1447&gt;15,"U19",IF(E1447&gt;13,"U15",IF(E1447&gt;11,"U13",IF(E1447&gt;0,"U11",0)))))</f>
        <v>0</v>
      </c>
      <c r="E1447" s="456">
        <f>IFERROR(IF(Table10[[#This Row],[Year]]&gt;0,$E$1-Table10[[#This Row],[Year]],0),"")</f>
        <v>0</v>
      </c>
      <c r="F1447" s="456"/>
      <c r="G1447" s="456"/>
      <c r="H1447" s="456"/>
    </row>
    <row r="1448" spans="1:8">
      <c r="A1448" s="471">
        <v>2445</v>
      </c>
      <c r="B1448" s="493" t="s">
        <v>2207</v>
      </c>
      <c r="C1448" s="472" t="s">
        <v>250</v>
      </c>
      <c r="D1448" s="456">
        <f>IF(Table10[[#This Row],[Current Age]]&gt;19,"Men's",IF(E1448&gt;15,"U19",IF(E1448&gt;13,"U15",IF(E1448&gt;11,"U13",IF(E1448&gt;0,"U11",0)))))</f>
        <v>0</v>
      </c>
      <c r="E1448" s="456">
        <f>IFERROR(IF(Table10[[#This Row],[Year]]&gt;0,$E$1-Table10[[#This Row],[Year]],0),"")</f>
        <v>0</v>
      </c>
      <c r="F1448" s="456"/>
      <c r="G1448" s="456"/>
      <c r="H1448" s="456"/>
    </row>
    <row r="1449" spans="1:8">
      <c r="A1449" s="456">
        <v>2446</v>
      </c>
      <c r="B1449" s="469" t="s">
        <v>2208</v>
      </c>
      <c r="C1449" s="458" t="s">
        <v>250</v>
      </c>
      <c r="D1449" s="456">
        <f>IF(Table10[[#This Row],[Current Age]]&gt;19,"Men's",IF(E1449&gt;15,"U19",IF(E1449&gt;13,"U15",IF(E1449&gt;11,"U13",IF(E1449&gt;0,"U11",0)))))</f>
        <v>0</v>
      </c>
      <c r="E1449" s="456">
        <f>IFERROR(IF(Table10[[#This Row],[Year]]&gt;0,$E$1-Table10[[#This Row],[Year]],0),"")</f>
        <v>0</v>
      </c>
      <c r="F1449" s="456"/>
      <c r="G1449" s="456"/>
      <c r="H1449" s="456"/>
    </row>
    <row r="1450" spans="1:8">
      <c r="A1450" s="471">
        <v>2447</v>
      </c>
      <c r="B1450" s="493" t="s">
        <v>2209</v>
      </c>
      <c r="C1450" s="472" t="s">
        <v>250</v>
      </c>
      <c r="D1450" s="456">
        <f>IF(Table10[[#This Row],[Current Age]]&gt;19,"Men's",IF(E1450&gt;15,"U19",IF(E1450&gt;13,"U15",IF(E1450&gt;11,"U13",IF(E1450&gt;0,"U11",0)))))</f>
        <v>0</v>
      </c>
      <c r="E1450" s="456">
        <f>IFERROR(IF(Table10[[#This Row],[Year]]&gt;0,$E$1-Table10[[#This Row],[Year]],0),"")</f>
        <v>0</v>
      </c>
      <c r="F1450" s="456"/>
      <c r="G1450" s="456"/>
      <c r="H1450" s="456"/>
    </row>
    <row r="1451" spans="1:8">
      <c r="A1451" s="456">
        <v>2448</v>
      </c>
      <c r="B1451" s="469" t="s">
        <v>2210</v>
      </c>
      <c r="C1451" s="458" t="s">
        <v>244</v>
      </c>
      <c r="D1451" s="456">
        <f>IF(Table10[[#This Row],[Current Age]]&gt;19,"Men's",IF(E1451&gt;15,"U19",IF(E1451&gt;13,"U15",IF(E1451&gt;11,"U13",IF(E1451&gt;0,"U11",0)))))</f>
        <v>0</v>
      </c>
      <c r="E1451" s="456">
        <f>IFERROR(IF(Table10[[#This Row],[Year]]&gt;0,$E$1-Table10[[#This Row],[Year]],0),"")</f>
        <v>0</v>
      </c>
      <c r="F1451" s="456"/>
      <c r="G1451" s="456"/>
      <c r="H1451" s="456"/>
    </row>
    <row r="1452" spans="1:8">
      <c r="A1452" s="471">
        <v>2449</v>
      </c>
      <c r="B1452" s="493" t="s">
        <v>2211</v>
      </c>
      <c r="C1452" s="472" t="s">
        <v>244</v>
      </c>
      <c r="D1452" s="456">
        <f>IF(Table10[[#This Row],[Current Age]]&gt;19,"Men's",IF(E1452&gt;15,"U19",IF(E1452&gt;13,"U15",IF(E1452&gt;11,"U13",IF(E1452&gt;0,"U11",0)))))</f>
        <v>0</v>
      </c>
      <c r="E1452" s="456">
        <f>IFERROR(IF(Table10[[#This Row],[Year]]&gt;0,$E$1-Table10[[#This Row],[Year]],0),"")</f>
        <v>0</v>
      </c>
      <c r="F1452" s="456"/>
      <c r="G1452" s="456"/>
      <c r="H1452" s="456"/>
    </row>
    <row r="1453" spans="1:8">
      <c r="A1453" s="456">
        <v>2450</v>
      </c>
      <c r="B1453" s="469" t="s">
        <v>2212</v>
      </c>
      <c r="C1453" s="458" t="s">
        <v>244</v>
      </c>
      <c r="D1453" s="456">
        <f>IF(Table10[[#This Row],[Current Age]]&gt;19,"Men's",IF(E1453&gt;15,"U19",IF(E1453&gt;13,"U15",IF(E1453&gt;11,"U13",IF(E1453&gt;0,"U11",0)))))</f>
        <v>0</v>
      </c>
      <c r="E1453" s="456">
        <f>IFERROR(IF(Table10[[#This Row],[Year]]&gt;0,$E$1-Table10[[#This Row],[Year]],0),"")</f>
        <v>0</v>
      </c>
      <c r="F1453" s="456"/>
      <c r="G1453" s="456"/>
      <c r="H1453" s="456"/>
    </row>
    <row r="1454" spans="1:8">
      <c r="A1454" s="471">
        <v>2451</v>
      </c>
      <c r="B1454" s="493" t="s">
        <v>2213</v>
      </c>
      <c r="C1454" s="472" t="s">
        <v>244</v>
      </c>
      <c r="D1454" s="456">
        <f>IF(Table10[[#This Row],[Current Age]]&gt;19,"Men's",IF(E1454&gt;15,"U19",IF(E1454&gt;13,"U15",IF(E1454&gt;11,"U13",IF(E1454&gt;0,"U11",0)))))</f>
        <v>0</v>
      </c>
      <c r="E1454" s="456">
        <f>IFERROR(IF(Table10[[#This Row],[Year]]&gt;0,$E$1-Table10[[#This Row],[Year]],0),"")</f>
        <v>0</v>
      </c>
      <c r="F1454" s="456"/>
      <c r="G1454" s="456"/>
      <c r="H1454" s="456"/>
    </row>
    <row r="1455" spans="1:8">
      <c r="A1455" s="456">
        <v>2452</v>
      </c>
      <c r="B1455" s="469" t="s">
        <v>2214</v>
      </c>
      <c r="C1455" s="458" t="s">
        <v>244</v>
      </c>
      <c r="D1455" s="456">
        <f>IF(Table10[[#This Row],[Current Age]]&gt;19,"Men's",IF(E1455&gt;15,"U19",IF(E1455&gt;13,"U15",IF(E1455&gt;11,"U13",IF(E1455&gt;0,"U11",0)))))</f>
        <v>0</v>
      </c>
      <c r="E1455" s="456">
        <f>IFERROR(IF(Table10[[#This Row],[Year]]&gt;0,$E$1-Table10[[#This Row],[Year]],0),"")</f>
        <v>0</v>
      </c>
      <c r="F1455" s="456"/>
      <c r="G1455" s="456"/>
      <c r="H1455" s="456"/>
    </row>
    <row r="1456" spans="1:8">
      <c r="A1456" s="471">
        <v>2453</v>
      </c>
      <c r="B1456" s="493" t="s">
        <v>2215</v>
      </c>
      <c r="C1456" s="472" t="s">
        <v>251</v>
      </c>
      <c r="D1456" s="456" t="str">
        <f>IF(Table10[[#This Row],[Current Age]]&gt;19,"Men's",IF(E1456&gt;15,"U19",IF(E1456&gt;13,"U15",IF(E1456&gt;11,"U13",IF(E1456&gt;0,"U11",0)))))</f>
        <v>Men's</v>
      </c>
      <c r="E1456" s="456">
        <f>IFERROR(IF(Table10[[#This Row],[Year]]&gt;0,$E$1-Table10[[#This Row],[Year]],0),"")</f>
        <v>39</v>
      </c>
      <c r="F1456" s="456">
        <v>1986</v>
      </c>
      <c r="G1456" s="456">
        <v>6</v>
      </c>
      <c r="H1456" s="456">
        <v>14</v>
      </c>
    </row>
    <row r="1457" spans="1:8">
      <c r="A1457" s="456">
        <v>2454</v>
      </c>
      <c r="B1457" s="469" t="s">
        <v>2216</v>
      </c>
      <c r="C1457" s="458" t="s">
        <v>250</v>
      </c>
      <c r="D1457" s="456">
        <f>IF(Table10[[#This Row],[Current Age]]&gt;19,"Men's",IF(E1457&gt;15,"U19",IF(E1457&gt;13,"U15",IF(E1457&gt;11,"U13",IF(E1457&gt;0,"U11",0)))))</f>
        <v>0</v>
      </c>
      <c r="E1457" s="456">
        <f>IFERROR(IF(Table10[[#This Row],[Year]]&gt;0,$E$1-Table10[[#This Row],[Year]],0),"")</f>
        <v>0</v>
      </c>
      <c r="F1457" s="456"/>
      <c r="G1457" s="456"/>
      <c r="H1457" s="456"/>
    </row>
    <row r="1458" spans="1:8">
      <c r="A1458" s="471">
        <v>2455</v>
      </c>
      <c r="B1458" s="493" t="s">
        <v>2218</v>
      </c>
      <c r="C1458" s="472" t="s">
        <v>362</v>
      </c>
      <c r="D1458" s="456" t="str">
        <f>IF(Table10[[#This Row],[Current Age]]&gt;19,"Men's",IF(E1458&gt;15,"U19",IF(E1458&gt;13,"U15",IF(E1458&gt;11,"U13",IF(E1458&gt;0,"U11",0)))))</f>
        <v>Men's</v>
      </c>
      <c r="E1458" s="456">
        <f>IFERROR(IF(Table10[[#This Row],[Year]]&gt;0,$E$1-Table10[[#This Row],[Year]],0),"")</f>
        <v>20</v>
      </c>
      <c r="F1458" s="456">
        <v>2005</v>
      </c>
      <c r="G1458" s="456">
        <v>3</v>
      </c>
      <c r="H1458" s="456">
        <v>25</v>
      </c>
    </row>
    <row r="1459" spans="1:8">
      <c r="A1459" s="456">
        <v>2456</v>
      </c>
      <c r="B1459" s="469" t="s">
        <v>2219</v>
      </c>
      <c r="C1459" s="458" t="s">
        <v>362</v>
      </c>
      <c r="D1459" s="456" t="str">
        <f>IF(Table10[[#This Row],[Current Age]]&gt;19,"Men's",IF(E1459&gt;15,"U19",IF(E1459&gt;13,"U15",IF(E1459&gt;11,"U13",IF(E1459&gt;0,"U11",0)))))</f>
        <v>U19</v>
      </c>
      <c r="E1459" s="456">
        <f>IFERROR(IF(Table10[[#This Row],[Year]]&gt;0,$E$1-Table10[[#This Row],[Year]],0),"")</f>
        <v>19</v>
      </c>
      <c r="F1459" s="456">
        <v>2006</v>
      </c>
      <c r="G1459" s="456">
        <v>8</v>
      </c>
      <c r="H1459" s="456">
        <v>21</v>
      </c>
    </row>
    <row r="1460" spans="1:8">
      <c r="A1460" s="471">
        <v>2457</v>
      </c>
      <c r="B1460" s="493" t="s">
        <v>2220</v>
      </c>
      <c r="C1460" s="472" t="s">
        <v>362</v>
      </c>
      <c r="D1460" s="456">
        <f>IF(Table10[[#This Row],[Current Age]]&gt;19,"Men's",IF(E1460&gt;15,"U19",IF(E1460&gt;13,"U15",IF(E1460&gt;11,"U13",IF(E1460&gt;0,"U11",0)))))</f>
        <v>0</v>
      </c>
      <c r="E1460" s="456">
        <f>IFERROR(IF(Table10[[#This Row],[Year]]&gt;0,$E$1-Table10[[#This Row],[Year]],0),"")</f>
        <v>0</v>
      </c>
      <c r="F1460" s="456"/>
      <c r="G1460" s="456"/>
      <c r="H1460" s="456"/>
    </row>
    <row r="1461" spans="1:8">
      <c r="A1461" s="456">
        <v>2458</v>
      </c>
      <c r="B1461" s="469" t="s">
        <v>2225</v>
      </c>
      <c r="C1461" s="458" t="s">
        <v>362</v>
      </c>
      <c r="D1461" s="456" t="str">
        <f>IF(Table10[[#This Row],[Current Age]]&gt;19,"Men's",IF(E1461&gt;15,"U19",IF(E1461&gt;13,"U15",IF(E1461&gt;11,"U13",IF(E1461&gt;0,"U11",0)))))</f>
        <v>Men's</v>
      </c>
      <c r="E1461" s="456">
        <f>IFERROR(IF(Table10[[#This Row],[Year]]&gt;0,$E$1-Table10[[#This Row],[Year]],0),"")</f>
        <v>21</v>
      </c>
      <c r="F1461" s="456">
        <v>2004</v>
      </c>
      <c r="G1461" s="456">
        <v>12</v>
      </c>
      <c r="H1461" s="456">
        <v>21</v>
      </c>
    </row>
    <row r="1462" spans="1:8">
      <c r="A1462" s="471">
        <v>2459</v>
      </c>
      <c r="B1462" s="493" t="s">
        <v>2226</v>
      </c>
      <c r="C1462" s="472" t="s">
        <v>362</v>
      </c>
      <c r="D1462" s="456">
        <f>IF(Table10[[#This Row],[Current Age]]&gt;19,"Men's",IF(E1462&gt;15,"U19",IF(E1462&gt;13,"U15",IF(E1462&gt;11,"U13",IF(E1462&gt;0,"U11",0)))))</f>
        <v>0</v>
      </c>
      <c r="E1462" s="456">
        <f>IFERROR(IF(Table10[[#This Row],[Year]]&gt;0,$E$1-Table10[[#This Row],[Year]],0),"")</f>
        <v>0</v>
      </c>
      <c r="F1462" s="456"/>
      <c r="G1462" s="456"/>
      <c r="H1462" s="456"/>
    </row>
    <row r="1463" spans="1:8">
      <c r="A1463" s="456">
        <v>2460</v>
      </c>
      <c r="B1463" s="469" t="s">
        <v>2231</v>
      </c>
      <c r="C1463" s="458" t="s">
        <v>1914</v>
      </c>
      <c r="D1463" s="456" t="str">
        <f>IF(Table10[[#This Row],[Current Age]]&gt;19,"Men's",IF(E1463&gt;15,"U19",IF(E1463&gt;13,"U15",IF(E1463&gt;11,"U13",IF(E1463&gt;0,"U11",0)))))</f>
        <v>Men's</v>
      </c>
      <c r="E1463" s="456">
        <f>IFERROR(IF(Table10[[#This Row],[Year]]&gt;0,$E$1-Table10[[#This Row],[Year]],0),"")</f>
        <v>23</v>
      </c>
      <c r="F1463" s="456">
        <v>2002</v>
      </c>
      <c r="G1463" s="456">
        <v>8</v>
      </c>
      <c r="H1463" s="456">
        <v>19</v>
      </c>
    </row>
    <row r="1464" spans="1:8">
      <c r="A1464" s="471">
        <v>2461</v>
      </c>
      <c r="B1464" s="493" t="s">
        <v>2230</v>
      </c>
      <c r="C1464" s="472" t="s">
        <v>1914</v>
      </c>
      <c r="D1464" s="456" t="str">
        <f>IF(Table10[[#This Row],[Current Age]]&gt;19,"Men's",IF(E1464&gt;15,"U19",IF(E1464&gt;13,"U15",IF(E1464&gt;11,"U13",IF(E1464&gt;0,"U11",0)))))</f>
        <v>Men's</v>
      </c>
      <c r="E1464" s="456">
        <f>IFERROR(IF(Table10[[#This Row],[Year]]&gt;0,$E$1-Table10[[#This Row],[Year]],0),"")</f>
        <v>23</v>
      </c>
      <c r="F1464" s="456">
        <v>2002</v>
      </c>
      <c r="G1464" s="456">
        <v>7</v>
      </c>
      <c r="H1464" s="456">
        <v>15</v>
      </c>
    </row>
    <row r="1465" spans="1:8">
      <c r="A1465" s="456">
        <v>2462</v>
      </c>
      <c r="B1465" s="469" t="s">
        <v>3003</v>
      </c>
      <c r="C1465" s="458" t="s">
        <v>1914</v>
      </c>
      <c r="D1465" s="456" t="str">
        <f>IF(Table10[[#This Row],[Current Age]]&gt;19,"Men's",IF(E1465&gt;15,"U19",IF(E1465&gt;13,"U15",IF(E1465&gt;11,"U13",IF(E1465&gt;0,"U11",0)))))</f>
        <v>Men's</v>
      </c>
      <c r="E1465" s="456">
        <f>IFERROR(IF(Table10[[#This Row],[Year]]&gt;0,$E$1-Table10[[#This Row],[Year]],0),"")</f>
        <v>21</v>
      </c>
      <c r="F1465" s="456">
        <v>2004</v>
      </c>
      <c r="G1465" s="456">
        <v>6</v>
      </c>
      <c r="H1465" s="456">
        <v>4</v>
      </c>
    </row>
    <row r="1466" spans="1:8">
      <c r="A1466" s="471">
        <v>2463</v>
      </c>
      <c r="B1466" s="493" t="s">
        <v>2233</v>
      </c>
      <c r="C1466" s="472" t="s">
        <v>1914</v>
      </c>
      <c r="D1466" s="456">
        <f>IF(Table10[[#This Row],[Current Age]]&gt;19,"Men's",IF(E1466&gt;15,"U19",IF(E1466&gt;13,"U15",IF(E1466&gt;11,"U13",IF(E1466&gt;0,"U11",0)))))</f>
        <v>0</v>
      </c>
      <c r="E1466" s="456">
        <f>IFERROR(IF(Table10[[#This Row],[Year]]&gt;0,$E$1-Table10[[#This Row],[Year]],0),"")</f>
        <v>0</v>
      </c>
      <c r="F1466" s="456"/>
      <c r="G1466" s="456"/>
      <c r="H1466" s="456"/>
    </row>
    <row r="1467" spans="1:8">
      <c r="A1467" s="456">
        <v>2464</v>
      </c>
      <c r="B1467" s="469" t="s">
        <v>2234</v>
      </c>
      <c r="C1467" s="458" t="s">
        <v>1914</v>
      </c>
      <c r="D1467" s="456">
        <f>IF(Table10[[#This Row],[Current Age]]&gt;19,"Men's",IF(E1467&gt;15,"U19",IF(E1467&gt;13,"U15",IF(E1467&gt;11,"U13",IF(E1467&gt;0,"U11",0)))))</f>
        <v>0</v>
      </c>
      <c r="E1467" s="456">
        <f>IFERROR(IF(Table10[[#This Row],[Year]]&gt;0,$E$1-Table10[[#This Row],[Year]],0),"")</f>
        <v>0</v>
      </c>
      <c r="F1467" s="456"/>
      <c r="G1467" s="456"/>
      <c r="H1467" s="456"/>
    </row>
    <row r="1468" spans="1:8">
      <c r="A1468" s="471">
        <v>2465</v>
      </c>
      <c r="B1468" s="493" t="s">
        <v>2232</v>
      </c>
      <c r="C1468" s="472" t="s">
        <v>1914</v>
      </c>
      <c r="D1468" s="456">
        <f>IF(Table10[[#This Row],[Current Age]]&gt;19,"Men's",IF(E1468&gt;15,"U19",IF(E1468&gt;13,"U15",IF(E1468&gt;11,"U13",IF(E1468&gt;0,"U11",0)))))</f>
        <v>0</v>
      </c>
      <c r="E1468" s="456">
        <f>IFERROR(IF(Table10[[#This Row],[Year]]&gt;0,$E$1-Table10[[#This Row],[Year]],0),"")</f>
        <v>0</v>
      </c>
      <c r="F1468" s="456"/>
      <c r="G1468" s="456"/>
      <c r="H1468" s="456"/>
    </row>
    <row r="1469" spans="1:8">
      <c r="A1469" s="456">
        <v>2466</v>
      </c>
      <c r="B1469" s="469" t="s">
        <v>2235</v>
      </c>
      <c r="C1469" s="458" t="s">
        <v>1914</v>
      </c>
      <c r="D1469" s="456" t="str">
        <f>IF(Table10[[#This Row],[Current Age]]&gt;19,"Men's",IF(E1469&gt;15,"U19",IF(E1469&gt;13,"U15",IF(E1469&gt;11,"U13",IF(E1469&gt;0,"U11",0)))))</f>
        <v>Men's</v>
      </c>
      <c r="E1469" s="456">
        <f>IFERROR(IF(Table10[[#This Row],[Year]]&gt;0,$E$1-Table10[[#This Row],[Year]],0),"")</f>
        <v>20</v>
      </c>
      <c r="F1469" s="456">
        <v>2005</v>
      </c>
      <c r="G1469" s="456">
        <v>8</v>
      </c>
      <c r="H1469" s="456">
        <v>26</v>
      </c>
    </row>
    <row r="1470" spans="1:8">
      <c r="A1470" s="471">
        <v>2467</v>
      </c>
      <c r="B1470" s="493" t="s">
        <v>2236</v>
      </c>
      <c r="C1470" s="472" t="s">
        <v>1914</v>
      </c>
      <c r="D1470" s="456">
        <f>IF(Table10[[#This Row],[Current Age]]&gt;19,"Men's",IF(E1470&gt;15,"U19",IF(E1470&gt;13,"U15",IF(E1470&gt;11,"U13",IF(E1470&gt;0,"U11",0)))))</f>
        <v>0</v>
      </c>
      <c r="E1470" s="456">
        <f>IFERROR(IF(Table10[[#This Row],[Year]]&gt;0,$E$1-Table10[[#This Row],[Year]],0),"")</f>
        <v>0</v>
      </c>
      <c r="F1470" s="456"/>
      <c r="G1470" s="456"/>
      <c r="H1470" s="456"/>
    </row>
    <row r="1471" spans="1:8">
      <c r="A1471" s="456">
        <v>2468</v>
      </c>
      <c r="B1471" s="469" t="s">
        <v>2237</v>
      </c>
      <c r="C1471" s="458" t="s">
        <v>1914</v>
      </c>
      <c r="D1471" s="456" t="str">
        <f>IF(Table10[[#This Row],[Current Age]]&gt;19,"Men's",IF(E1471&gt;15,"U19",IF(E1471&gt;13,"U15",IF(E1471&gt;11,"U13",IF(E1471&gt;0,"U11",0)))))</f>
        <v>Men's</v>
      </c>
      <c r="E1471" s="456">
        <f>IFERROR(IF(Table10[[#This Row],[Year]]&gt;0,$E$1-Table10[[#This Row],[Year]],0),"")</f>
        <v>21</v>
      </c>
      <c r="F1471" s="456">
        <v>2004</v>
      </c>
      <c r="G1471" s="456">
        <v>12</v>
      </c>
      <c r="H1471" s="456">
        <v>31</v>
      </c>
    </row>
    <row r="1472" spans="1:8">
      <c r="A1472" s="471">
        <v>2469</v>
      </c>
      <c r="B1472" s="493" t="s">
        <v>2238</v>
      </c>
      <c r="C1472" s="472" t="s">
        <v>1914</v>
      </c>
      <c r="D1472" s="456" t="str">
        <f>IF(Table10[[#This Row],[Current Age]]&gt;19,"Men's",IF(E1472&gt;15,"U19",IF(E1472&gt;13,"U15",IF(E1472&gt;11,"U13",IF(E1472&gt;0,"U11",0)))))</f>
        <v>U19</v>
      </c>
      <c r="E1472" s="456">
        <f>IFERROR(IF(Table10[[#This Row],[Year]]&gt;0,$E$1-Table10[[#This Row],[Year]],0),"")</f>
        <v>19</v>
      </c>
      <c r="F1472" s="456">
        <v>2006</v>
      </c>
      <c r="G1472" s="456">
        <v>1</v>
      </c>
      <c r="H1472" s="456">
        <v>28</v>
      </c>
    </row>
    <row r="1473" spans="1:8">
      <c r="A1473" s="456">
        <v>2470</v>
      </c>
      <c r="B1473" s="469" t="s">
        <v>2247</v>
      </c>
      <c r="C1473" s="458" t="s">
        <v>361</v>
      </c>
      <c r="D1473" s="456" t="str">
        <f>IF(Table10[[#This Row],[Current Age]]&gt;19,"Men's",IF(E1473&gt;15,"U19",IF(E1473&gt;13,"U15",IF(E1473&gt;11,"U13",IF(E1473&gt;0,"U11",0)))))</f>
        <v>Men's</v>
      </c>
      <c r="E1473" s="456">
        <f>IFERROR(IF(Table10[[#This Row],[Year]]&gt;0,$E$1-Table10[[#This Row],[Year]],0),"")</f>
        <v>35</v>
      </c>
      <c r="F1473" s="456">
        <v>1990</v>
      </c>
      <c r="G1473" s="456">
        <v>7</v>
      </c>
      <c r="H1473" s="456">
        <v>1</v>
      </c>
    </row>
    <row r="1474" spans="1:8">
      <c r="A1474" s="471">
        <v>2471</v>
      </c>
      <c r="B1474" s="493" t="s">
        <v>2248</v>
      </c>
      <c r="C1474" s="472" t="s">
        <v>361</v>
      </c>
      <c r="D1474" s="456" t="str">
        <f>IF(Table10[[#This Row],[Current Age]]&gt;19,"Men's",IF(E1474&gt;15,"U19",IF(E1474&gt;13,"U15",IF(E1474&gt;11,"U13",IF(E1474&gt;0,"U11",0)))))</f>
        <v>Men's</v>
      </c>
      <c r="E1474" s="456">
        <f>IFERROR(IF(Table10[[#This Row],[Year]]&gt;0,$E$1-Table10[[#This Row],[Year]],0),"")</f>
        <v>20</v>
      </c>
      <c r="F1474" s="456">
        <v>2005</v>
      </c>
      <c r="G1474" s="456">
        <v>11</v>
      </c>
      <c r="H1474" s="456">
        <v>22</v>
      </c>
    </row>
    <row r="1475" spans="1:8">
      <c r="A1475" s="456">
        <v>2472</v>
      </c>
      <c r="B1475" s="469" t="s">
        <v>2249</v>
      </c>
      <c r="C1475" s="458" t="s">
        <v>361</v>
      </c>
      <c r="D1475" s="456" t="str">
        <f>IF(Table10[[#This Row],[Current Age]]&gt;19,"Men's",IF(E1475&gt;15,"U19",IF(E1475&gt;13,"U15",IF(E1475&gt;11,"U13",IF(E1475&gt;0,"U11",0)))))</f>
        <v>Men's</v>
      </c>
      <c r="E1475" s="456">
        <f>IFERROR(IF(Table10[[#This Row],[Year]]&gt;0,$E$1-Table10[[#This Row],[Year]],0),"")</f>
        <v>23</v>
      </c>
      <c r="F1475" s="456">
        <v>2002</v>
      </c>
      <c r="G1475" s="456">
        <v>12</v>
      </c>
      <c r="H1475" s="456">
        <v>20</v>
      </c>
    </row>
    <row r="1476" spans="1:8">
      <c r="A1476" s="471">
        <v>2473</v>
      </c>
      <c r="B1476" s="493" t="s">
        <v>2250</v>
      </c>
      <c r="C1476" s="472" t="s">
        <v>361</v>
      </c>
      <c r="D1476" s="456" t="str">
        <f>IF(Table10[[#This Row],[Current Age]]&gt;19,"Men's",IF(E1476&gt;15,"U19",IF(E1476&gt;13,"U15",IF(E1476&gt;11,"U13",IF(E1476&gt;0,"U11",0)))))</f>
        <v>Men's</v>
      </c>
      <c r="E1476" s="456">
        <f>IFERROR(IF(Table10[[#This Row],[Year]]&gt;0,$E$1-Table10[[#This Row],[Year]],0),"")</f>
        <v>21</v>
      </c>
      <c r="F1476" s="456">
        <v>2004</v>
      </c>
      <c r="G1476" s="456">
        <v>6</v>
      </c>
      <c r="H1476" s="456">
        <v>10</v>
      </c>
    </row>
    <row r="1477" spans="1:8">
      <c r="A1477" s="456">
        <v>2474</v>
      </c>
      <c r="B1477" s="469" t="s">
        <v>2251</v>
      </c>
      <c r="C1477" s="458" t="s">
        <v>361</v>
      </c>
      <c r="D1477" s="456" t="str">
        <f>IF(Table10[[#This Row],[Current Age]]&gt;19,"Men's",IF(E1477&gt;15,"U19",IF(E1477&gt;13,"U15",IF(E1477&gt;11,"U13",IF(E1477&gt;0,"U11",0)))))</f>
        <v>Men's</v>
      </c>
      <c r="E1477" s="456">
        <f>IFERROR(IF(Table10[[#This Row],[Year]]&gt;0,$E$1-Table10[[#This Row],[Year]],0),"")</f>
        <v>21</v>
      </c>
      <c r="F1477" s="456">
        <v>2004</v>
      </c>
      <c r="G1477" s="456">
        <v>6</v>
      </c>
      <c r="H1477" s="456">
        <v>6</v>
      </c>
    </row>
    <row r="1478" spans="1:8">
      <c r="A1478" s="471">
        <v>2475</v>
      </c>
      <c r="B1478" s="493" t="s">
        <v>2252</v>
      </c>
      <c r="C1478" s="472" t="s">
        <v>361</v>
      </c>
      <c r="D1478" s="456" t="str">
        <f>IF(Table10[[#This Row],[Current Age]]&gt;19,"Men's",IF(E1478&gt;15,"U19",IF(E1478&gt;13,"U15",IF(E1478&gt;11,"U13",IF(E1478&gt;0,"U11",0)))))</f>
        <v>Men's</v>
      </c>
      <c r="E1478" s="456">
        <f>IFERROR(IF(Table10[[#This Row],[Year]]&gt;0,$E$1-Table10[[#This Row],[Year]],0),"")</f>
        <v>52</v>
      </c>
      <c r="F1478" s="456">
        <v>1973</v>
      </c>
      <c r="G1478" s="456">
        <v>6</v>
      </c>
      <c r="H1478" s="456">
        <v>25</v>
      </c>
    </row>
    <row r="1479" spans="1:8">
      <c r="A1479" s="456">
        <v>2476</v>
      </c>
      <c r="B1479" s="469" t="s">
        <v>2253</v>
      </c>
      <c r="C1479" s="458" t="s">
        <v>361</v>
      </c>
      <c r="D1479" s="456" t="str">
        <f>IF(Table10[[#This Row],[Current Age]]&gt;19,"Men's",IF(E1479&gt;15,"U19",IF(E1479&gt;13,"U15",IF(E1479&gt;11,"U13",IF(E1479&gt;0,"U11",0)))))</f>
        <v>Men's</v>
      </c>
      <c r="E1479" s="456">
        <f>IFERROR(IF(Table10[[#This Row],[Year]]&gt;0,$E$1-Table10[[#This Row],[Year]],0),"")</f>
        <v>45</v>
      </c>
      <c r="F1479" s="456">
        <v>1980</v>
      </c>
      <c r="G1479" s="456">
        <v>4</v>
      </c>
      <c r="H1479" s="456">
        <v>12</v>
      </c>
    </row>
    <row r="1480" spans="1:8">
      <c r="A1480" s="471">
        <v>2477</v>
      </c>
      <c r="B1480" s="493" t="s">
        <v>2254</v>
      </c>
      <c r="C1480" s="472" t="s">
        <v>361</v>
      </c>
      <c r="D1480" s="456" t="str">
        <f>IF(Table10[[#This Row],[Current Age]]&gt;19,"Men's",IF(E1480&gt;15,"U19",IF(E1480&gt;13,"U15",IF(E1480&gt;11,"U13",IF(E1480&gt;0,"U11",0)))))</f>
        <v>Men's</v>
      </c>
      <c r="E1480" s="456">
        <f>IFERROR(IF(Table10[[#This Row],[Year]]&gt;0,$E$1-Table10[[#This Row],[Year]],0),"")</f>
        <v>36</v>
      </c>
      <c r="F1480" s="456">
        <v>1989</v>
      </c>
      <c r="G1480" s="456">
        <v>6</v>
      </c>
      <c r="H1480" s="456">
        <v>9</v>
      </c>
    </row>
    <row r="1481" spans="1:8">
      <c r="A1481" s="456">
        <v>2478</v>
      </c>
      <c r="B1481" s="469" t="s">
        <v>2257</v>
      </c>
      <c r="C1481" s="458" t="s">
        <v>361</v>
      </c>
      <c r="D1481" s="456" t="str">
        <f>IF(Table10[[#This Row],[Current Age]]&gt;19,"Men's",IF(E1481&gt;15,"U19",IF(E1481&gt;13,"U15",IF(E1481&gt;11,"U13",IF(E1481&gt;0,"U11",0)))))</f>
        <v>Men's</v>
      </c>
      <c r="E1481" s="456">
        <f>IFERROR(IF(Table10[[#This Row],[Year]]&gt;0,$E$1-Table10[[#This Row],[Year]],0),"")</f>
        <v>21</v>
      </c>
      <c r="F1481" s="456">
        <v>2004</v>
      </c>
      <c r="G1481" s="456">
        <v>7</v>
      </c>
      <c r="H1481" s="456">
        <v>23</v>
      </c>
    </row>
    <row r="1482" spans="1:8">
      <c r="A1482" s="471">
        <v>2479</v>
      </c>
      <c r="B1482" s="493" t="s">
        <v>2258</v>
      </c>
      <c r="C1482" s="472" t="s">
        <v>361</v>
      </c>
      <c r="D1482" s="456">
        <f>IF(Table10[[#This Row],[Current Age]]&gt;19,"Men's",IF(E1482&gt;15,"U19",IF(E1482&gt;13,"U15",IF(E1482&gt;11,"U13",IF(E1482&gt;0,"U11",0)))))</f>
        <v>0</v>
      </c>
      <c r="E1482" s="456">
        <f>IFERROR(IF(Table10[[#This Row],[Year]]&gt;0,$E$1-Table10[[#This Row],[Year]],0),"")</f>
        <v>0</v>
      </c>
      <c r="F1482" s="456"/>
      <c r="G1482" s="456"/>
      <c r="H1482" s="456"/>
    </row>
    <row r="1483" spans="1:8">
      <c r="A1483" s="456">
        <v>2480</v>
      </c>
      <c r="B1483" s="469" t="s">
        <v>2259</v>
      </c>
      <c r="C1483" s="458" t="s">
        <v>361</v>
      </c>
      <c r="D1483" s="456" t="str">
        <f>IF(Table10[[#This Row],[Current Age]]&gt;19,"Men's",IF(E1483&gt;15,"U19",IF(E1483&gt;13,"U15",IF(E1483&gt;11,"U13",IF(E1483&gt;0,"U11",0)))))</f>
        <v>Men's</v>
      </c>
      <c r="E1483" s="456">
        <f>IFERROR(IF(Table10[[#This Row],[Year]]&gt;0,$E$1-Table10[[#This Row],[Year]],0),"")</f>
        <v>22</v>
      </c>
      <c r="F1483" s="456">
        <v>2003</v>
      </c>
      <c r="G1483" s="456">
        <v>3</v>
      </c>
      <c r="H1483" s="456">
        <v>20</v>
      </c>
    </row>
    <row r="1484" spans="1:8">
      <c r="A1484" s="471">
        <v>2481</v>
      </c>
      <c r="B1484" s="493" t="s">
        <v>2260</v>
      </c>
      <c r="C1484" s="472" t="s">
        <v>361</v>
      </c>
      <c r="D1484" s="456" t="str">
        <f>IF(Table10[[#This Row],[Current Age]]&gt;19,"Men's",IF(E1484&gt;15,"U19",IF(E1484&gt;13,"U15",IF(E1484&gt;11,"U13",IF(E1484&gt;0,"U11",0)))))</f>
        <v>Men's</v>
      </c>
      <c r="E1484" s="456">
        <f>IFERROR(IF(Table10[[#This Row],[Year]]&gt;0,$E$1-Table10[[#This Row],[Year]],0),"")</f>
        <v>22</v>
      </c>
      <c r="F1484" s="456">
        <v>2003</v>
      </c>
      <c r="G1484" s="456">
        <v>8</v>
      </c>
      <c r="H1484" s="456">
        <v>17</v>
      </c>
    </row>
    <row r="1485" spans="1:8">
      <c r="A1485" s="456">
        <v>2482</v>
      </c>
      <c r="B1485" s="469" t="s">
        <v>2262</v>
      </c>
      <c r="C1485" s="458" t="s">
        <v>361</v>
      </c>
      <c r="D1485" s="456">
        <f>IF(Table10[[#This Row],[Current Age]]&gt;19,"Men's",IF(E1485&gt;15,"U19",IF(E1485&gt;13,"U15",IF(E1485&gt;11,"U13",IF(E1485&gt;0,"U11",0)))))</f>
        <v>0</v>
      </c>
      <c r="E1485" s="456">
        <f>IFERROR(IF(Table10[[#This Row],[Year]]&gt;0,$E$1-Table10[[#This Row],[Year]],0),"")</f>
        <v>0</v>
      </c>
      <c r="F1485" s="456"/>
      <c r="G1485" s="456"/>
      <c r="H1485" s="456"/>
    </row>
    <row r="1486" spans="1:8">
      <c r="A1486" s="471">
        <v>2483</v>
      </c>
      <c r="B1486" s="493" t="s">
        <v>2263</v>
      </c>
      <c r="C1486" s="472" t="s">
        <v>361</v>
      </c>
      <c r="D1486" s="456" t="str">
        <f>IF(Table10[[#This Row],[Current Age]]&gt;19,"Men's",IF(E1486&gt;15,"U19",IF(E1486&gt;13,"U15",IF(E1486&gt;11,"U13",IF(E1486&gt;0,"U11",0)))))</f>
        <v>U19</v>
      </c>
      <c r="E1486" s="456">
        <f>IFERROR(IF(Table10[[#This Row],[Year]]&gt;0,$E$1-Table10[[#This Row],[Year]],0),"")</f>
        <v>18</v>
      </c>
      <c r="F1486" s="456">
        <v>2007</v>
      </c>
      <c r="G1486" s="456">
        <v>3</v>
      </c>
      <c r="H1486" s="456">
        <v>24</v>
      </c>
    </row>
    <row r="1487" spans="1:8">
      <c r="A1487" s="456">
        <v>2484</v>
      </c>
      <c r="B1487" s="469" t="s">
        <v>2264</v>
      </c>
      <c r="C1487" s="458" t="s">
        <v>361</v>
      </c>
      <c r="D1487" s="456" t="str">
        <f>IF(Table10[[#This Row],[Current Age]]&gt;19,"Men's",IF(E1487&gt;15,"U19",IF(E1487&gt;13,"U15",IF(E1487&gt;11,"U13",IF(E1487&gt;0,"U11",0)))))</f>
        <v>U19</v>
      </c>
      <c r="E1487" s="456">
        <f>IFERROR(IF(Table10[[#This Row],[Year]]&gt;0,$E$1-Table10[[#This Row],[Year]],0),"")</f>
        <v>16</v>
      </c>
      <c r="F1487" s="456">
        <v>2009</v>
      </c>
      <c r="G1487" s="456">
        <v>12</v>
      </c>
      <c r="H1487" s="456">
        <v>11</v>
      </c>
    </row>
    <row r="1488" spans="1:8">
      <c r="A1488" s="471">
        <v>2485</v>
      </c>
      <c r="B1488" s="493" t="s">
        <v>2265</v>
      </c>
      <c r="C1488" s="472" t="s">
        <v>361</v>
      </c>
      <c r="D1488" s="456">
        <f>IF(Table10[[#This Row],[Current Age]]&gt;19,"Men's",IF(E1488&gt;15,"U19",IF(E1488&gt;13,"U15",IF(E1488&gt;11,"U13",IF(E1488&gt;0,"U11",0)))))</f>
        <v>0</v>
      </c>
      <c r="E1488" s="456">
        <f>IFERROR(IF(Table10[[#This Row],[Year]]&gt;0,$E$1-Table10[[#This Row],[Year]],0),"")</f>
        <v>0</v>
      </c>
      <c r="F1488" s="456"/>
      <c r="G1488" s="456"/>
      <c r="H1488" s="456"/>
    </row>
    <row r="1489" spans="1:15">
      <c r="A1489" s="456">
        <v>2486</v>
      </c>
      <c r="B1489" s="469" t="s">
        <v>2266</v>
      </c>
      <c r="C1489" s="458" t="s">
        <v>361</v>
      </c>
      <c r="D1489" s="456" t="str">
        <f>IF(Table10[[#This Row],[Current Age]]&gt;19,"Men's",IF(E1489&gt;15,"U19",IF(E1489&gt;13,"U15",IF(E1489&gt;11,"U13",IF(E1489&gt;0,"U11",0)))))</f>
        <v>U15</v>
      </c>
      <c r="E1489" s="456">
        <f>IFERROR(IF(Table10[[#This Row],[Year]]&gt;0,$E$1-Table10[[#This Row],[Year]],0),"")</f>
        <v>14</v>
      </c>
      <c r="F1489" s="456">
        <v>2011</v>
      </c>
      <c r="G1489" s="456"/>
      <c r="H1489" s="456"/>
    </row>
    <row r="1490" spans="1:15">
      <c r="A1490" s="471">
        <v>2487</v>
      </c>
      <c r="B1490" s="493" t="s">
        <v>2267</v>
      </c>
      <c r="C1490" s="472" t="s">
        <v>361</v>
      </c>
      <c r="D1490" s="456" t="str">
        <f>IF(Table10[[#This Row],[Current Age]]&gt;19,"Men's",IF(E1490&gt;15,"U19",IF(E1490&gt;13,"U15",IF(E1490&gt;11,"U13",IF(E1490&gt;0,"U11",0)))))</f>
        <v>U19</v>
      </c>
      <c r="E1490" s="456">
        <f>IFERROR(IF(Table10[[#This Row],[Year]]&gt;0,$E$1-Table10[[#This Row],[Year]],0),"")</f>
        <v>16</v>
      </c>
      <c r="F1490" s="456">
        <v>2009</v>
      </c>
      <c r="G1490" s="456"/>
      <c r="H1490" s="456"/>
    </row>
    <row r="1491" spans="1:15">
      <c r="A1491" s="456">
        <v>2488</v>
      </c>
      <c r="B1491" s="469" t="s">
        <v>2268</v>
      </c>
      <c r="C1491" s="458" t="s">
        <v>361</v>
      </c>
      <c r="D1491" s="456" t="str">
        <f>IF(Table10[[#This Row],[Current Age]]&gt;19,"Men's",IF(E1491&gt;15,"U19",IF(E1491&gt;13,"U15",IF(E1491&gt;11,"U13",IF(E1491&gt;0,"U11",0)))))</f>
        <v>U19</v>
      </c>
      <c r="E1491" s="456">
        <f>IFERROR(IF(Table10[[#This Row],[Year]]&gt;0,$E$1-Table10[[#This Row],[Year]],0),"")</f>
        <v>19</v>
      </c>
      <c r="F1491" s="456">
        <v>2006</v>
      </c>
      <c r="G1491" s="456"/>
      <c r="H1491" s="456"/>
    </row>
    <row r="1492" spans="1:15">
      <c r="A1492" s="471">
        <v>2489</v>
      </c>
      <c r="B1492" s="493" t="s">
        <v>2269</v>
      </c>
      <c r="C1492" s="472" t="s">
        <v>361</v>
      </c>
      <c r="D1492" s="456" t="str">
        <f>IF(Table10[[#This Row],[Current Age]]&gt;19,"Men's",IF(E1492&gt;15,"U19",IF(E1492&gt;13,"U15",IF(E1492&gt;11,"U13",IF(E1492&gt;0,"U11",0)))))</f>
        <v>Men's</v>
      </c>
      <c r="E1492" s="456">
        <f>IFERROR(IF(Table10[[#This Row],[Year]]&gt;0,$E$1-Table10[[#This Row],[Year]],0),"")</f>
        <v>21</v>
      </c>
      <c r="F1492" s="456">
        <v>2004</v>
      </c>
      <c r="G1492" s="456"/>
      <c r="H1492" s="456"/>
    </row>
    <row r="1493" spans="1:15">
      <c r="A1493" s="456">
        <v>2490</v>
      </c>
      <c r="B1493" s="469" t="s">
        <v>2270</v>
      </c>
      <c r="C1493" s="458" t="s">
        <v>361</v>
      </c>
      <c r="D1493" s="456">
        <f>IF(Table10[[#This Row],[Current Age]]&gt;19,"Men's",IF(E1493&gt;15,"U19",IF(E1493&gt;13,"U15",IF(E1493&gt;11,"U13",IF(E1493&gt;0,"U11",0)))))</f>
        <v>0</v>
      </c>
      <c r="E1493" s="456">
        <f>IFERROR(IF(Table10[[#This Row],[Year]]&gt;0,$E$1-Table10[[#This Row],[Year]],0),"")</f>
        <v>0</v>
      </c>
      <c r="F1493" s="456"/>
      <c r="G1493" s="456"/>
      <c r="H1493" s="456"/>
      <c r="O1493" t="s">
        <v>4725</v>
      </c>
    </row>
    <row r="1494" spans="1:15">
      <c r="A1494" s="471">
        <v>2491</v>
      </c>
      <c r="B1494" s="493" t="s">
        <v>2271</v>
      </c>
      <c r="C1494" s="472" t="s">
        <v>361</v>
      </c>
      <c r="D1494" s="456" t="str">
        <f>IF(Table10[[#This Row],[Current Age]]&gt;19,"Men's",IF(E1494&gt;15,"U19",IF(E1494&gt;13,"U15",IF(E1494&gt;11,"U13",IF(E1494&gt;0,"U11",0)))))</f>
        <v>Men's</v>
      </c>
      <c r="E1494" s="456">
        <f>IFERROR(IF(Table10[[#This Row],[Year]]&gt;0,$E$1-Table10[[#This Row],[Year]],0),"")</f>
        <v>44</v>
      </c>
      <c r="F1494" s="456">
        <v>1981</v>
      </c>
      <c r="G1494" s="456"/>
      <c r="H1494" s="456"/>
    </row>
    <row r="1495" spans="1:15">
      <c r="A1495" s="456">
        <v>2492</v>
      </c>
      <c r="B1495" s="469" t="s">
        <v>2273</v>
      </c>
      <c r="C1495" s="458" t="s">
        <v>361</v>
      </c>
      <c r="D1495" s="456" t="str">
        <f>IF(Table10[[#This Row],[Current Age]]&gt;19,"Men's",IF(E1495&gt;15,"U19",IF(E1495&gt;13,"U15",IF(E1495&gt;11,"U13",IF(E1495&gt;0,"U11",0)))))</f>
        <v>Men's</v>
      </c>
      <c r="E1495" s="456">
        <f>IFERROR(IF(Table10[[#This Row],[Year]]&gt;0,$E$1-Table10[[#This Row],[Year]],0),"")</f>
        <v>40</v>
      </c>
      <c r="F1495" s="456">
        <v>1985</v>
      </c>
      <c r="G1495" s="456">
        <v>8</v>
      </c>
      <c r="H1495" s="456">
        <v>12</v>
      </c>
    </row>
    <row r="1496" spans="1:15">
      <c r="A1496" s="471">
        <v>2493</v>
      </c>
      <c r="B1496" s="493" t="s">
        <v>2274</v>
      </c>
      <c r="C1496" s="472" t="s">
        <v>361</v>
      </c>
      <c r="D1496" s="456" t="str">
        <f>IF(Table10[[#This Row],[Current Age]]&gt;19,"Men's",IF(E1496&gt;15,"U19",IF(E1496&gt;13,"U15",IF(E1496&gt;11,"U13",IF(E1496&gt;0,"U11",0)))))</f>
        <v>Men's</v>
      </c>
      <c r="E1496" s="456">
        <f>IFERROR(IF(Table10[[#This Row],[Year]]&gt;0,$E$1-Table10[[#This Row],[Year]],0),"")</f>
        <v>56</v>
      </c>
      <c r="F1496" s="456">
        <v>1969</v>
      </c>
      <c r="G1496" s="456">
        <v>12</v>
      </c>
      <c r="H1496" s="456">
        <v>1</v>
      </c>
    </row>
    <row r="1497" spans="1:15">
      <c r="A1497" s="456">
        <v>2494</v>
      </c>
      <c r="B1497" s="469" t="s">
        <v>2276</v>
      </c>
      <c r="C1497" s="458" t="s">
        <v>361</v>
      </c>
      <c r="D1497" s="456" t="str">
        <f>IF(Table10[[#This Row],[Current Age]]&gt;19,"Men's",IF(E1497&gt;15,"U19",IF(E1497&gt;13,"U15",IF(E1497&gt;11,"U13",IF(E1497&gt;0,"U11",0)))))</f>
        <v>Men's</v>
      </c>
      <c r="E1497" s="456">
        <f>IFERROR(IF(Table10[[#This Row],[Year]]&gt;0,$E$1-Table10[[#This Row],[Year]],0),"")</f>
        <v>51</v>
      </c>
      <c r="F1497" s="456">
        <v>1974</v>
      </c>
      <c r="G1497" s="456">
        <v>7</v>
      </c>
      <c r="H1497" s="456">
        <v>24</v>
      </c>
    </row>
    <row r="1498" spans="1:15">
      <c r="A1498" s="471">
        <v>2495</v>
      </c>
      <c r="B1498" s="493" t="s">
        <v>2278</v>
      </c>
      <c r="C1498" s="472" t="s">
        <v>361</v>
      </c>
      <c r="D1498" s="456" t="str">
        <f>IF(Table10[[#This Row],[Current Age]]&gt;19,"Men's",IF(E1498&gt;15,"U19",IF(E1498&gt;13,"U15",IF(E1498&gt;11,"U13",IF(E1498&gt;0,"U11",0)))))</f>
        <v>U13</v>
      </c>
      <c r="E1498" s="456">
        <f>IFERROR(IF(Table10[[#This Row],[Year]]&gt;0,$E$1-Table10[[#This Row],[Year]],0),"")</f>
        <v>13</v>
      </c>
      <c r="F1498" s="456">
        <v>2012</v>
      </c>
      <c r="G1498" s="456">
        <v>5</v>
      </c>
      <c r="H1498" s="456">
        <v>23</v>
      </c>
    </row>
    <row r="1499" spans="1:15">
      <c r="A1499" s="456">
        <v>2496</v>
      </c>
      <c r="B1499" s="469" t="s">
        <v>2279</v>
      </c>
      <c r="C1499" s="458" t="s">
        <v>361</v>
      </c>
      <c r="D1499" s="456" t="str">
        <f>IF(Table10[[#This Row],[Current Age]]&gt;19,"Men's",IF(E1499&gt;15,"U19",IF(E1499&gt;13,"U15",IF(E1499&gt;11,"U13",IF(E1499&gt;0,"U11",0)))))</f>
        <v>Men's</v>
      </c>
      <c r="E1499" s="456">
        <f>IFERROR(IF(Table10[[#This Row],[Year]]&gt;0,$E$1-Table10[[#This Row],[Year]],0),"")</f>
        <v>61</v>
      </c>
      <c r="F1499" s="456">
        <v>1964</v>
      </c>
      <c r="G1499" s="456">
        <v>6</v>
      </c>
      <c r="H1499" s="456">
        <v>3</v>
      </c>
    </row>
    <row r="1500" spans="1:15">
      <c r="A1500" s="471">
        <v>2497</v>
      </c>
      <c r="B1500" s="493" t="s">
        <v>2280</v>
      </c>
      <c r="C1500" s="472" t="s">
        <v>361</v>
      </c>
      <c r="D1500" s="456" t="str">
        <f>IF(Table10[[#This Row],[Current Age]]&gt;19,"Men's",IF(E1500&gt;15,"U19",IF(E1500&gt;13,"U15",IF(E1500&gt;11,"U13",IF(E1500&gt;0,"U11",0)))))</f>
        <v>Men's</v>
      </c>
      <c r="E1500" s="456">
        <f>IFERROR(IF(Table10[[#This Row],[Year]]&gt;0,$E$1-Table10[[#This Row],[Year]],0),"")</f>
        <v>47</v>
      </c>
      <c r="F1500" s="456">
        <v>1978</v>
      </c>
      <c r="G1500" s="456">
        <v>3</v>
      </c>
      <c r="H1500" s="456">
        <v>2</v>
      </c>
    </row>
    <row r="1501" spans="1:15">
      <c r="A1501" s="456">
        <v>2498</v>
      </c>
      <c r="B1501" s="469" t="s">
        <v>2281</v>
      </c>
      <c r="C1501" s="458" t="s">
        <v>361</v>
      </c>
      <c r="D1501" s="456" t="str">
        <f>IF(Table10[[#This Row],[Current Age]]&gt;19,"Men's",IF(E1501&gt;15,"U19",IF(E1501&gt;13,"U15",IF(E1501&gt;11,"U13",IF(E1501&gt;0,"U11",0)))))</f>
        <v>U19</v>
      </c>
      <c r="E1501" s="456">
        <f>IFERROR(IF(Table10[[#This Row],[Year]]&gt;0,$E$1-Table10[[#This Row],[Year]],0),"")</f>
        <v>17</v>
      </c>
      <c r="F1501" s="456">
        <v>2008</v>
      </c>
      <c r="G1501" s="456">
        <v>6</v>
      </c>
      <c r="H1501" s="456">
        <v>17</v>
      </c>
    </row>
    <row r="1502" spans="1:15">
      <c r="A1502" s="471">
        <v>2499</v>
      </c>
      <c r="B1502" s="493" t="s">
        <v>2282</v>
      </c>
      <c r="C1502" s="472" t="s">
        <v>361</v>
      </c>
      <c r="D1502" s="456">
        <f>IF(Table10[[#This Row],[Current Age]]&gt;19,"Men's",IF(E1502&gt;15,"U19",IF(E1502&gt;13,"U15",IF(E1502&gt;11,"U13",IF(E1502&gt;0,"U11",0)))))</f>
        <v>0</v>
      </c>
      <c r="E1502" s="456">
        <f>IFERROR(IF(Table10[[#This Row],[Year]]&gt;0,$E$1-Table10[[#This Row],[Year]],0),"")</f>
        <v>0</v>
      </c>
      <c r="F1502" s="456"/>
      <c r="G1502" s="456"/>
      <c r="H1502" s="456"/>
    </row>
    <row r="1503" spans="1:15">
      <c r="A1503" s="456">
        <v>2500</v>
      </c>
      <c r="B1503" s="469" t="s">
        <v>2283</v>
      </c>
      <c r="C1503" s="458" t="s">
        <v>361</v>
      </c>
      <c r="D1503" s="456" t="str">
        <f>IF(Table10[[#This Row],[Current Age]]&gt;19,"Men's",IF(E1503&gt;15,"U19",IF(E1503&gt;13,"U15",IF(E1503&gt;11,"U13",IF(E1503&gt;0,"U11",0)))))</f>
        <v>Men's</v>
      </c>
      <c r="E1503" s="456">
        <f>IFERROR(IF(Table10[[#This Row],[Year]]&gt;0,$E$1-Table10[[#This Row],[Year]],0),"")</f>
        <v>48</v>
      </c>
      <c r="F1503" s="456">
        <v>1977</v>
      </c>
      <c r="G1503" s="456">
        <v>12</v>
      </c>
      <c r="H1503" s="456">
        <v>11</v>
      </c>
    </row>
    <row r="1504" spans="1:15">
      <c r="A1504" s="471">
        <v>2501</v>
      </c>
      <c r="B1504" s="493" t="s">
        <v>2284</v>
      </c>
      <c r="C1504" s="472" t="s">
        <v>361</v>
      </c>
      <c r="D1504" s="456">
        <f>IF(Table10[[#This Row],[Current Age]]&gt;19,"Men's",IF(E1504&gt;15,"U19",IF(E1504&gt;13,"U15",IF(E1504&gt;11,"U13",IF(E1504&gt;0,"U11",0)))))</f>
        <v>0</v>
      </c>
      <c r="E1504" s="456">
        <f>IFERROR(IF(Table10[[#This Row],[Year]]&gt;0,$E$1-Table10[[#This Row],[Year]],0),"")</f>
        <v>0</v>
      </c>
      <c r="F1504" s="456"/>
      <c r="G1504" s="456"/>
      <c r="H1504" s="456"/>
    </row>
    <row r="1505" spans="1:8">
      <c r="A1505" s="456">
        <v>2502</v>
      </c>
      <c r="B1505" s="469" t="s">
        <v>2285</v>
      </c>
      <c r="C1505" s="458" t="s">
        <v>361</v>
      </c>
      <c r="D1505" s="456">
        <f>IF(Table10[[#This Row],[Current Age]]&gt;19,"Men's",IF(E1505&gt;15,"U19",IF(E1505&gt;13,"U15",IF(E1505&gt;11,"U13",IF(E1505&gt;0,"U11",0)))))</f>
        <v>0</v>
      </c>
      <c r="E1505" s="456">
        <f>IFERROR(IF(Table10[[#This Row],[Year]]&gt;0,$E$1-Table10[[#This Row],[Year]],0),"")</f>
        <v>0</v>
      </c>
      <c r="F1505" s="456"/>
      <c r="G1505" s="456"/>
      <c r="H1505" s="456"/>
    </row>
    <row r="1506" spans="1:8">
      <c r="A1506" s="471">
        <v>2503</v>
      </c>
      <c r="B1506" s="493" t="s">
        <v>2286</v>
      </c>
      <c r="C1506" s="472" t="s">
        <v>361</v>
      </c>
      <c r="D1506" s="456">
        <f>IF(Table10[[#This Row],[Current Age]]&gt;19,"Men's",IF(E1506&gt;15,"U19",IF(E1506&gt;13,"U15",IF(E1506&gt;11,"U13",IF(E1506&gt;0,"U11",0)))))</f>
        <v>0</v>
      </c>
      <c r="E1506" s="456">
        <f>IFERROR(IF(Table10[[#This Row],[Year]]&gt;0,$E$1-Table10[[#This Row],[Year]],0),"")</f>
        <v>0</v>
      </c>
      <c r="F1506" s="456"/>
      <c r="G1506" s="456"/>
      <c r="H1506" s="456"/>
    </row>
    <row r="1507" spans="1:8">
      <c r="A1507" s="456">
        <v>2504</v>
      </c>
      <c r="B1507" s="469" t="s">
        <v>2289</v>
      </c>
      <c r="C1507" s="458" t="s">
        <v>361</v>
      </c>
      <c r="D1507" s="456">
        <f>IF(Table10[[#This Row],[Current Age]]&gt;19,"Men's",IF(E1507&gt;15,"U19",IF(E1507&gt;13,"U15",IF(E1507&gt;11,"U13",IF(E1507&gt;0,"U11",0)))))</f>
        <v>0</v>
      </c>
      <c r="E1507" s="456">
        <f>IFERROR(IF(Table10[[#This Row],[Year]]&gt;0,$E$1-Table10[[#This Row],[Year]],0),"")</f>
        <v>0</v>
      </c>
      <c r="F1507" s="456"/>
      <c r="G1507" s="456"/>
      <c r="H1507" s="456"/>
    </row>
    <row r="1508" spans="1:8">
      <c r="A1508" s="471">
        <v>2505</v>
      </c>
      <c r="B1508" s="493" t="s">
        <v>2290</v>
      </c>
      <c r="C1508" s="472" t="s">
        <v>361</v>
      </c>
      <c r="D1508" s="456">
        <f>IF(Table10[[#This Row],[Current Age]]&gt;19,"Men's",IF(E1508&gt;15,"U19",IF(E1508&gt;13,"U15",IF(E1508&gt;11,"U13",IF(E1508&gt;0,"U11",0)))))</f>
        <v>0</v>
      </c>
      <c r="E1508" s="456">
        <f>IFERROR(IF(Table10[[#This Row],[Year]]&gt;0,$E$1-Table10[[#This Row],[Year]],0),"")</f>
        <v>0</v>
      </c>
      <c r="F1508" s="456"/>
      <c r="G1508" s="456"/>
      <c r="H1508" s="456"/>
    </row>
    <row r="1509" spans="1:8">
      <c r="A1509" s="456">
        <v>2506</v>
      </c>
      <c r="B1509" s="469" t="s">
        <v>2291</v>
      </c>
      <c r="C1509" s="458" t="s">
        <v>361</v>
      </c>
      <c r="D1509" s="456" t="str">
        <f>IF(Table10[[#This Row],[Current Age]]&gt;19,"Men's",IF(E1509&gt;15,"U19",IF(E1509&gt;13,"U15",IF(E1509&gt;11,"U13",IF(E1509&gt;0,"U11",0)))))</f>
        <v>Men's</v>
      </c>
      <c r="E1509" s="456">
        <f>IFERROR(IF(Table10[[#This Row],[Year]]&gt;0,$E$1-Table10[[#This Row],[Year]],0),"")</f>
        <v>28</v>
      </c>
      <c r="F1509" s="456">
        <v>1997</v>
      </c>
      <c r="G1509" s="456">
        <v>8</v>
      </c>
      <c r="H1509" s="456">
        <v>29</v>
      </c>
    </row>
    <row r="1510" spans="1:8">
      <c r="A1510" s="471">
        <v>2507</v>
      </c>
      <c r="B1510" s="493" t="s">
        <v>2292</v>
      </c>
      <c r="C1510" s="472" t="s">
        <v>361</v>
      </c>
      <c r="D1510" s="456" t="str">
        <f>IF(Table10[[#This Row],[Current Age]]&gt;19,"Men's",IF(E1510&gt;15,"U19",IF(E1510&gt;13,"U15",IF(E1510&gt;11,"U13",IF(E1510&gt;0,"U11",0)))))</f>
        <v>Men's</v>
      </c>
      <c r="E1510" s="456">
        <f>IFERROR(IF(Table10[[#This Row],[Year]]&gt;0,$E$1-Table10[[#This Row],[Year]],0),"")</f>
        <v>27</v>
      </c>
      <c r="F1510" s="456">
        <v>1998</v>
      </c>
      <c r="G1510" s="456">
        <v>1</v>
      </c>
      <c r="H1510" s="456">
        <v>13</v>
      </c>
    </row>
    <row r="1511" spans="1:8">
      <c r="A1511" s="456">
        <v>2508</v>
      </c>
      <c r="B1511" s="533" t="s">
        <v>3305</v>
      </c>
      <c r="C1511" s="458" t="s">
        <v>251</v>
      </c>
      <c r="D1511" s="456">
        <f>IF(Table10[[#This Row],[Current Age]]&gt;19,"Men's",IF(E1511&gt;15,"U19",IF(E1511&gt;13,"U15",IF(E1511&gt;11,"U13",IF(E1511&gt;0,"U11",0)))))</f>
        <v>0</v>
      </c>
      <c r="E1511" s="456">
        <f>IFERROR(IF(Table10[[#This Row],[Year]]&gt;0,$E$1-Table10[[#This Row],[Year]],0),"")</f>
        <v>0</v>
      </c>
      <c r="F1511" s="456"/>
      <c r="G1511" s="456"/>
      <c r="H1511" s="456"/>
    </row>
    <row r="1512" spans="1:8">
      <c r="A1512" s="471">
        <v>2509</v>
      </c>
      <c r="B1512" s="493" t="s">
        <v>2293</v>
      </c>
      <c r="C1512" s="472" t="s">
        <v>361</v>
      </c>
      <c r="D1512" s="456">
        <f>IF(Table10[[#This Row],[Current Age]]&gt;19,"Men's",IF(E1512&gt;15,"U19",IF(E1512&gt;13,"U15",IF(E1512&gt;11,"U13",IF(E1512&gt;0,"U11",0)))))</f>
        <v>0</v>
      </c>
      <c r="E1512" s="456">
        <f>IFERROR(IF(Table10[[#This Row],[Year]]&gt;0,$E$1-Table10[[#This Row],[Year]],0),"")</f>
        <v>0</v>
      </c>
      <c r="F1512" s="456"/>
      <c r="G1512" s="456"/>
      <c r="H1512" s="456"/>
    </row>
    <row r="1513" spans="1:8">
      <c r="A1513" s="456">
        <v>2510</v>
      </c>
      <c r="B1513" s="469" t="s">
        <v>2295</v>
      </c>
      <c r="C1513" s="458" t="s">
        <v>362</v>
      </c>
      <c r="D1513" s="456" t="str">
        <f>IF(Table10[[#This Row],[Current Age]]&gt;19,"Men's",IF(E1513&gt;15,"U19",IF(E1513&gt;13,"U15",IF(E1513&gt;11,"U13",IF(E1513&gt;0,"U11",0)))))</f>
        <v>Men's</v>
      </c>
      <c r="E1513" s="456">
        <f>IFERROR(IF(Table10[[#This Row],[Year]]&gt;0,$E$1-Table10[[#This Row],[Year]],0),"")</f>
        <v>45</v>
      </c>
      <c r="F1513" s="456">
        <v>1980</v>
      </c>
      <c r="G1513" s="456">
        <v>11</v>
      </c>
      <c r="H1513" s="456">
        <v>10</v>
      </c>
    </row>
    <row r="1514" spans="1:8">
      <c r="A1514" s="471">
        <v>2511</v>
      </c>
      <c r="B1514" s="493" t="s">
        <v>2296</v>
      </c>
      <c r="C1514" s="472" t="s">
        <v>362</v>
      </c>
      <c r="D1514" s="456" t="str">
        <f>IF(Table10[[#This Row],[Current Age]]&gt;19,"Men's",IF(E1514&gt;15,"U19",IF(E1514&gt;13,"U15",IF(E1514&gt;11,"U13",IF(E1514&gt;0,"U11",0)))))</f>
        <v>U19</v>
      </c>
      <c r="E1514" s="456">
        <f>IFERROR(IF(Table10[[#This Row],[Year]]&gt;0,$E$1-Table10[[#This Row],[Year]],0),"")</f>
        <v>19</v>
      </c>
      <c r="F1514" s="456">
        <v>2006</v>
      </c>
      <c r="G1514" s="456">
        <v>8</v>
      </c>
      <c r="H1514" s="456">
        <v>6</v>
      </c>
    </row>
    <row r="1515" spans="1:8">
      <c r="A1515" s="456">
        <v>2512</v>
      </c>
      <c r="B1515" s="469" t="s">
        <v>2297</v>
      </c>
      <c r="C1515" s="458" t="s">
        <v>362</v>
      </c>
      <c r="D1515" s="456" t="str">
        <f>IF(Table10[[#This Row],[Current Age]]&gt;19,"Men's",IF(E1515&gt;15,"U19",IF(E1515&gt;13,"U15",IF(E1515&gt;11,"U13",IF(E1515&gt;0,"U11",0)))))</f>
        <v>Men's</v>
      </c>
      <c r="E1515" s="456">
        <f>IFERROR(IF(Table10[[#This Row],[Year]]&gt;0,$E$1-Table10[[#This Row],[Year]],0),"")</f>
        <v>20</v>
      </c>
      <c r="F1515" s="456">
        <v>2005</v>
      </c>
      <c r="G1515" s="456">
        <v>2</v>
      </c>
      <c r="H1515" s="456">
        <v>4</v>
      </c>
    </row>
    <row r="1516" spans="1:8">
      <c r="A1516" s="471">
        <v>2513</v>
      </c>
      <c r="B1516" s="493" t="s">
        <v>2298</v>
      </c>
      <c r="C1516" s="472" t="s">
        <v>362</v>
      </c>
      <c r="D1516" s="456" t="str">
        <f>IF(Table10[[#This Row],[Current Age]]&gt;19,"Men's",IF(E1516&gt;15,"U19",IF(E1516&gt;13,"U15",IF(E1516&gt;11,"U13",IF(E1516&gt;0,"U11",0)))))</f>
        <v>U19</v>
      </c>
      <c r="E1516" s="456">
        <f>IFERROR(IF(Table10[[#This Row],[Year]]&gt;0,$E$1-Table10[[#This Row],[Year]],0),"")</f>
        <v>19</v>
      </c>
      <c r="F1516" s="456">
        <v>2006</v>
      </c>
      <c r="G1516" s="456">
        <v>7</v>
      </c>
      <c r="H1516" s="456">
        <v>26</v>
      </c>
    </row>
    <row r="1517" spans="1:8">
      <c r="A1517" s="456">
        <v>2514</v>
      </c>
      <c r="B1517" s="469" t="s">
        <v>2299</v>
      </c>
      <c r="C1517" s="458" t="s">
        <v>362</v>
      </c>
      <c r="D1517" s="456" t="str">
        <f>IF(Table10[[#This Row],[Current Age]]&gt;19,"Men's",IF(E1517&gt;15,"U19",IF(E1517&gt;13,"U15",IF(E1517&gt;11,"U13",IF(E1517&gt;0,"U11",0)))))</f>
        <v>U19</v>
      </c>
      <c r="E1517" s="456">
        <f>IFERROR(IF(Table10[[#This Row],[Year]]&gt;0,$E$1-Table10[[#This Row],[Year]],0),"")</f>
        <v>19</v>
      </c>
      <c r="F1517" s="456">
        <v>2006</v>
      </c>
      <c r="G1517" s="456">
        <v>3</v>
      </c>
      <c r="H1517" s="456">
        <v>24</v>
      </c>
    </row>
    <row r="1518" spans="1:8">
      <c r="A1518" s="471">
        <v>2515</v>
      </c>
      <c r="B1518" s="493" t="s">
        <v>2300</v>
      </c>
      <c r="C1518" s="472" t="s">
        <v>362</v>
      </c>
      <c r="D1518" s="456" t="str">
        <f>IF(Table10[[#This Row],[Current Age]]&gt;19,"Men's",IF(E1518&gt;15,"U19",IF(E1518&gt;13,"U15",IF(E1518&gt;11,"U13",IF(E1518&gt;0,"U11",0)))))</f>
        <v>Men's</v>
      </c>
      <c r="E1518" s="456">
        <f>IFERROR(IF(Table10[[#This Row],[Year]]&gt;0,$E$1-Table10[[#This Row],[Year]],0),"")</f>
        <v>53</v>
      </c>
      <c r="F1518" s="456">
        <v>1972</v>
      </c>
      <c r="G1518" s="456">
        <v>5</v>
      </c>
      <c r="H1518" s="456">
        <v>24</v>
      </c>
    </row>
    <row r="1519" spans="1:8">
      <c r="A1519" s="456">
        <v>2516</v>
      </c>
      <c r="B1519" s="469" t="s">
        <v>2301</v>
      </c>
      <c r="C1519" s="458" t="s">
        <v>362</v>
      </c>
      <c r="D1519" s="456" t="str">
        <f>IF(Table10[[#This Row],[Current Age]]&gt;19,"Men's",IF(E1519&gt;15,"U19",IF(E1519&gt;13,"U15",IF(E1519&gt;11,"U13",IF(E1519&gt;0,"U11",0)))))</f>
        <v>Men's</v>
      </c>
      <c r="E1519" s="456">
        <f>IFERROR(IF(Table10[[#This Row],[Year]]&gt;0,$E$1-Table10[[#This Row],[Year]],0),"")</f>
        <v>39</v>
      </c>
      <c r="F1519" s="456">
        <v>1986</v>
      </c>
      <c r="G1519" s="456">
        <v>7</v>
      </c>
      <c r="H1519" s="456">
        <v>26</v>
      </c>
    </row>
    <row r="1520" spans="1:8">
      <c r="A1520" s="471">
        <v>2517</v>
      </c>
      <c r="B1520" s="493" t="s">
        <v>2302</v>
      </c>
      <c r="C1520" s="472" t="s">
        <v>362</v>
      </c>
      <c r="D1520" s="456" t="str">
        <f>IF(Table10[[#This Row],[Current Age]]&gt;19,"Men's",IF(E1520&gt;15,"U19",IF(E1520&gt;13,"U15",IF(E1520&gt;11,"U13",IF(E1520&gt;0,"U11",0)))))</f>
        <v>Men's</v>
      </c>
      <c r="E1520" s="456">
        <f>IFERROR(IF(Table10[[#This Row],[Year]]&gt;0,$E$1-Table10[[#This Row],[Year]],0),"")</f>
        <v>42</v>
      </c>
      <c r="F1520" s="456">
        <v>1983</v>
      </c>
      <c r="G1520" s="456">
        <v>12</v>
      </c>
      <c r="H1520" s="456">
        <v>7</v>
      </c>
    </row>
    <row r="1521" spans="1:8">
      <c r="A1521" s="456">
        <v>2518</v>
      </c>
      <c r="B1521" s="469" t="s">
        <v>2303</v>
      </c>
      <c r="C1521" s="458" t="s">
        <v>4720</v>
      </c>
      <c r="D1521" s="456">
        <f>IF(Table10[[#This Row],[Current Age]]&gt;19,"Men's",IF(E1521&gt;15,"U19",IF(E1521&gt;13,"U15",IF(E1521&gt;11,"U13",IF(E1521&gt;0,"U11",0)))))</f>
        <v>0</v>
      </c>
      <c r="E1521" s="456">
        <f>IFERROR(IF(Table10[[#This Row],[Year]]&gt;0,$E$1-Table10[[#This Row],[Year]],0),"")</f>
        <v>0</v>
      </c>
      <c r="F1521" s="456"/>
      <c r="G1521" s="456"/>
      <c r="H1521" s="456"/>
    </row>
    <row r="1522" spans="1:8">
      <c r="A1522" s="471">
        <v>2519</v>
      </c>
      <c r="B1522" s="493" t="s">
        <v>2304</v>
      </c>
      <c r="C1522" s="472" t="s">
        <v>361</v>
      </c>
      <c r="D1522" s="456">
        <f>IF(Table10[[#This Row],[Current Age]]&gt;19,"Men's",IF(E1522&gt;15,"U19",IF(E1522&gt;13,"U15",IF(E1522&gt;11,"U13",IF(E1522&gt;0,"U11",0)))))</f>
        <v>0</v>
      </c>
      <c r="E1522" s="456">
        <f>IFERROR(IF(Table10[[#This Row],[Year]]&gt;0,$E$1-Table10[[#This Row],[Year]],0),"")</f>
        <v>0</v>
      </c>
      <c r="F1522" s="456"/>
      <c r="G1522" s="456"/>
      <c r="H1522" s="456"/>
    </row>
    <row r="1523" spans="1:8">
      <c r="A1523" s="456">
        <v>2520</v>
      </c>
      <c r="B1523" s="469" t="s">
        <v>2305</v>
      </c>
      <c r="C1523" s="458" t="s">
        <v>361</v>
      </c>
      <c r="D1523" s="456" t="str">
        <f>IF(Table10[[#This Row],[Current Age]]&gt;19,"Men's",IF(E1523&gt;15,"U19",IF(E1523&gt;13,"U15",IF(E1523&gt;11,"U13",IF(E1523&gt;0,"U11",0)))))</f>
        <v>U19</v>
      </c>
      <c r="E1523" s="456">
        <f>IFERROR(IF(Table10[[#This Row],[Year]]&gt;0,$E$1-Table10[[#This Row],[Year]],0),"")</f>
        <v>19</v>
      </c>
      <c r="F1523" s="456">
        <v>2006</v>
      </c>
      <c r="G1523" s="456">
        <v>2</v>
      </c>
      <c r="H1523" s="456">
        <v>27</v>
      </c>
    </row>
    <row r="1524" spans="1:8">
      <c r="A1524" s="471">
        <v>2521</v>
      </c>
      <c r="B1524" s="493" t="s">
        <v>2306</v>
      </c>
      <c r="C1524" s="472" t="s">
        <v>361</v>
      </c>
      <c r="D1524" s="456" t="str">
        <f>IF(Table10[[#This Row],[Current Age]]&gt;19,"Men's",IF(E1524&gt;15,"U19",IF(E1524&gt;13,"U15",IF(E1524&gt;11,"U13",IF(E1524&gt;0,"U11",0)))))</f>
        <v>Men's</v>
      </c>
      <c r="E1524" s="456">
        <f>IFERROR(IF(Table10[[#This Row],[Year]]&gt;0,$E$1-Table10[[#This Row],[Year]],0),"")</f>
        <v>22</v>
      </c>
      <c r="F1524" s="456">
        <v>2003</v>
      </c>
      <c r="G1524" s="456">
        <v>2</v>
      </c>
      <c r="H1524" s="456">
        <v>7</v>
      </c>
    </row>
    <row r="1525" spans="1:8">
      <c r="A1525" s="456">
        <v>2522</v>
      </c>
      <c r="B1525" s="469" t="s">
        <v>2313</v>
      </c>
      <c r="C1525" s="458" t="s">
        <v>248</v>
      </c>
      <c r="D1525" s="456">
        <f>IF(Table10[[#This Row],[Current Age]]&gt;19,"Men's",IF(E1525&gt;15,"U19",IF(E1525&gt;13,"U15",IF(E1525&gt;11,"U13",IF(E1525&gt;0,"U11",0)))))</f>
        <v>0</v>
      </c>
      <c r="E1525" s="456">
        <f>IFERROR(IF(Table10[[#This Row],[Year]]&gt;0,$E$1-Table10[[#This Row],[Year]],0),"")</f>
        <v>0</v>
      </c>
      <c r="F1525" s="456"/>
      <c r="G1525" s="456"/>
      <c r="H1525" s="456"/>
    </row>
    <row r="1526" spans="1:8">
      <c r="A1526" s="471">
        <v>2523</v>
      </c>
      <c r="B1526" s="493" t="s">
        <v>2312</v>
      </c>
      <c r="C1526" s="472" t="s">
        <v>248</v>
      </c>
      <c r="D1526" s="456">
        <f>IF(Table10[[#This Row],[Current Age]]&gt;19,"Men's",IF(E1526&gt;15,"U19",IF(E1526&gt;13,"U15",IF(E1526&gt;11,"U13",IF(E1526&gt;0,"U11",0)))))</f>
        <v>0</v>
      </c>
      <c r="E1526" s="456">
        <f>IFERROR(IF(Table10[[#This Row],[Year]]&gt;0,$E$1-Table10[[#This Row],[Year]],0),"")</f>
        <v>0</v>
      </c>
      <c r="F1526" s="456"/>
      <c r="G1526" s="456"/>
      <c r="H1526" s="456"/>
    </row>
    <row r="1527" spans="1:8">
      <c r="A1527" s="456">
        <v>2524</v>
      </c>
      <c r="B1527" s="469" t="s">
        <v>2311</v>
      </c>
      <c r="C1527" s="458" t="s">
        <v>248</v>
      </c>
      <c r="D1527" s="456">
        <f>IF(Table10[[#This Row],[Current Age]]&gt;19,"Men's",IF(E1527&gt;15,"U19",IF(E1527&gt;13,"U15",IF(E1527&gt;11,"U13",IF(E1527&gt;0,"U11",0)))))</f>
        <v>0</v>
      </c>
      <c r="E1527" s="456">
        <f>IFERROR(IF(Table10[[#This Row],[Year]]&gt;0,$E$1-Table10[[#This Row],[Year]],0),"")</f>
        <v>0</v>
      </c>
      <c r="F1527" s="456"/>
      <c r="G1527" s="456"/>
      <c r="H1527" s="456"/>
    </row>
    <row r="1528" spans="1:8">
      <c r="A1528" s="471">
        <v>2525</v>
      </c>
      <c r="B1528" s="493" t="s">
        <v>2310</v>
      </c>
      <c r="C1528" s="472" t="s">
        <v>248</v>
      </c>
      <c r="D1528" s="456">
        <f>IF(Table10[[#This Row],[Current Age]]&gt;19,"Men's",IF(E1528&gt;15,"U19",IF(E1528&gt;13,"U15",IF(E1528&gt;11,"U13",IF(E1528&gt;0,"U11",0)))))</f>
        <v>0</v>
      </c>
      <c r="E1528" s="456">
        <f>IFERROR(IF(Table10[[#This Row],[Year]]&gt;0,$E$1-Table10[[#This Row],[Year]],0),"")</f>
        <v>0</v>
      </c>
      <c r="F1528" s="456"/>
      <c r="G1528" s="456"/>
      <c r="H1528" s="456"/>
    </row>
    <row r="1529" spans="1:8">
      <c r="A1529" s="456">
        <v>2526</v>
      </c>
      <c r="B1529" s="469" t="s">
        <v>2309</v>
      </c>
      <c r="C1529" s="458" t="s">
        <v>248</v>
      </c>
      <c r="D1529" s="456">
        <f>IF(Table10[[#This Row],[Current Age]]&gt;19,"Men's",IF(E1529&gt;15,"U19",IF(E1529&gt;13,"U15",IF(E1529&gt;11,"U13",IF(E1529&gt;0,"U11",0)))))</f>
        <v>0</v>
      </c>
      <c r="E1529" s="456">
        <f>IFERROR(IF(Table10[[#This Row],[Year]]&gt;0,$E$1-Table10[[#This Row],[Year]],0),"")</f>
        <v>0</v>
      </c>
      <c r="F1529" s="456"/>
      <c r="G1529" s="456"/>
      <c r="H1529" s="456"/>
    </row>
    <row r="1530" spans="1:8">
      <c r="A1530" s="471">
        <v>2527</v>
      </c>
      <c r="B1530" s="493" t="s">
        <v>2308</v>
      </c>
      <c r="C1530" s="472" t="s">
        <v>248</v>
      </c>
      <c r="D1530" s="456">
        <f>IF(Table10[[#This Row],[Current Age]]&gt;19,"Men's",IF(E1530&gt;15,"U19",IF(E1530&gt;13,"U15",IF(E1530&gt;11,"U13",IF(E1530&gt;0,"U11",0)))))</f>
        <v>0</v>
      </c>
      <c r="E1530" s="456">
        <f>IFERROR(IF(Table10[[#This Row],[Year]]&gt;0,$E$1-Table10[[#This Row],[Year]],0),"")</f>
        <v>0</v>
      </c>
      <c r="F1530" s="456"/>
      <c r="G1530" s="456"/>
      <c r="H1530" s="456"/>
    </row>
    <row r="1531" spans="1:8">
      <c r="A1531" s="456">
        <v>2528</v>
      </c>
      <c r="B1531" s="493" t="s">
        <v>2315</v>
      </c>
      <c r="C1531" s="458" t="s">
        <v>248</v>
      </c>
      <c r="D1531" s="456">
        <f>IF(Table10[[#This Row],[Current Age]]&gt;19,"Men's",IF(E1531&gt;15,"U19",IF(E1531&gt;13,"U15",IF(E1531&gt;11,"U13",IF(E1531&gt;0,"U11",0)))))</f>
        <v>0</v>
      </c>
      <c r="E1531" s="456">
        <f>IFERROR(IF(Table10[[#This Row],[Year]]&gt;0,$E$1-Table10[[#This Row],[Year]],0),"")</f>
        <v>0</v>
      </c>
      <c r="F1531" s="456"/>
      <c r="G1531" s="456"/>
      <c r="H1531" s="456"/>
    </row>
    <row r="1532" spans="1:8">
      <c r="A1532" s="471">
        <v>2529</v>
      </c>
      <c r="B1532" s="493" t="s">
        <v>2316</v>
      </c>
      <c r="C1532" s="472" t="s">
        <v>248</v>
      </c>
      <c r="D1532" s="456">
        <f>IF(Table10[[#This Row],[Current Age]]&gt;19,"Men's",IF(E1532&gt;15,"U19",IF(E1532&gt;13,"U15",IF(E1532&gt;11,"U13",IF(E1532&gt;0,"U11",0)))))</f>
        <v>0</v>
      </c>
      <c r="E1532" s="456">
        <f>IFERROR(IF(Table10[[#This Row],[Year]]&gt;0,$E$1-Table10[[#This Row],[Year]],0),"")</f>
        <v>0</v>
      </c>
      <c r="F1532" s="456"/>
      <c r="G1532" s="456"/>
      <c r="H1532" s="456"/>
    </row>
    <row r="1533" spans="1:8">
      <c r="A1533" s="456">
        <v>2530</v>
      </c>
      <c r="B1533" s="469" t="s">
        <v>2314</v>
      </c>
      <c r="C1533" s="458" t="s">
        <v>248</v>
      </c>
      <c r="D1533" s="456">
        <f>IF(Table10[[#This Row],[Current Age]]&gt;19,"Men's",IF(E1533&gt;15,"U19",IF(E1533&gt;13,"U15",IF(E1533&gt;11,"U13",IF(E1533&gt;0,"U11",0)))))</f>
        <v>0</v>
      </c>
      <c r="E1533" s="456">
        <f>IFERROR(IF(Table10[[#This Row],[Year]]&gt;0,$E$1-Table10[[#This Row],[Year]],0),"")</f>
        <v>0</v>
      </c>
      <c r="F1533" s="456"/>
      <c r="G1533" s="456"/>
      <c r="H1533" s="456"/>
    </row>
    <row r="1534" spans="1:8">
      <c r="A1534" s="471">
        <v>2531</v>
      </c>
      <c r="B1534" s="493" t="s">
        <v>2328</v>
      </c>
      <c r="C1534" s="472" t="s">
        <v>4720</v>
      </c>
      <c r="D1534" s="456" t="str">
        <f>IF(Table10[[#This Row],[Current Age]]&gt;19,"Men's",IF(E1534&gt;15,"U19",IF(E1534&gt;13,"U15",IF(E1534&gt;11,"U13",IF(E1534&gt;0,"U11",0)))))</f>
        <v>Men's</v>
      </c>
      <c r="E1534" s="456">
        <f>IFERROR(IF(Table10[[#This Row],[Year]]&gt;0,$E$1-Table10[[#This Row],[Year]],0),"")</f>
        <v>30</v>
      </c>
      <c r="F1534" s="456">
        <v>1995</v>
      </c>
      <c r="G1534" s="456">
        <v>6</v>
      </c>
      <c r="H1534" s="456">
        <v>17</v>
      </c>
    </row>
    <row r="1535" spans="1:8">
      <c r="A1535" s="456">
        <v>2532</v>
      </c>
      <c r="B1535" s="469" t="s">
        <v>2330</v>
      </c>
      <c r="C1535" s="458" t="s">
        <v>361</v>
      </c>
      <c r="D1535" s="456">
        <f>IF(Table10[[#This Row],[Current Age]]&gt;19,"Men's",IF(E1535&gt;15,"U19",IF(E1535&gt;13,"U15",IF(E1535&gt;11,"U13",IF(E1535&gt;0,"U11",0)))))</f>
        <v>0</v>
      </c>
      <c r="E1535" s="456">
        <f>IFERROR(IF(Table10[[#This Row],[Year]]&gt;0,$E$1-Table10[[#This Row],[Year]],0),"")</f>
        <v>0</v>
      </c>
      <c r="F1535" s="456"/>
      <c r="G1535" s="456"/>
      <c r="H1535" s="456"/>
    </row>
    <row r="1536" spans="1:8">
      <c r="A1536" s="471">
        <v>2533</v>
      </c>
      <c r="B1536" s="493" t="s">
        <v>2331</v>
      </c>
      <c r="C1536" s="472" t="s">
        <v>248</v>
      </c>
      <c r="D1536" s="456">
        <f>IF(Table10[[#This Row],[Current Age]]&gt;19,"Men's",IF(E1536&gt;15,"U19",IF(E1536&gt;13,"U15",IF(E1536&gt;11,"U13",IF(E1536&gt;0,"U11",0)))))</f>
        <v>0</v>
      </c>
      <c r="E1536" s="456">
        <f>IFERROR(IF(Table10[[#This Row],[Year]]&gt;0,$E$1-Table10[[#This Row],[Year]],0),"")</f>
        <v>0</v>
      </c>
      <c r="F1536" s="456"/>
      <c r="G1536" s="456"/>
      <c r="H1536" s="456"/>
    </row>
    <row r="1537" spans="1:8">
      <c r="A1537" s="456">
        <v>2534</v>
      </c>
      <c r="B1537" s="469" t="s">
        <v>2332</v>
      </c>
      <c r="C1537" s="458" t="s">
        <v>248</v>
      </c>
      <c r="D1537" s="456">
        <f>IF(Table10[[#This Row],[Current Age]]&gt;19,"Men's",IF(E1537&gt;15,"U19",IF(E1537&gt;13,"U15",IF(E1537&gt;11,"U13",IF(E1537&gt;0,"U11",0)))))</f>
        <v>0</v>
      </c>
      <c r="E1537" s="456">
        <f>IFERROR(IF(Table10[[#This Row],[Year]]&gt;0,$E$1-Table10[[#This Row],[Year]],0),"")</f>
        <v>0</v>
      </c>
      <c r="F1537" s="456"/>
      <c r="G1537" s="456"/>
      <c r="H1537" s="456"/>
    </row>
    <row r="1538" spans="1:8">
      <c r="A1538" s="471">
        <v>2535</v>
      </c>
      <c r="B1538" s="493" t="s">
        <v>2333</v>
      </c>
      <c r="C1538" s="472" t="s">
        <v>248</v>
      </c>
      <c r="D1538" s="456">
        <f>IF(Table10[[#This Row],[Current Age]]&gt;19,"Men's",IF(E1538&gt;15,"U19",IF(E1538&gt;13,"U15",IF(E1538&gt;11,"U13",IF(E1538&gt;0,"U11",0)))))</f>
        <v>0</v>
      </c>
      <c r="E1538" s="456">
        <f>IFERROR(IF(Table10[[#This Row],[Year]]&gt;0,$E$1-Table10[[#This Row],[Year]],0),"")</f>
        <v>0</v>
      </c>
      <c r="F1538" s="456"/>
      <c r="G1538" s="456"/>
      <c r="H1538" s="456"/>
    </row>
    <row r="1539" spans="1:8">
      <c r="A1539" s="456">
        <v>2536</v>
      </c>
      <c r="B1539" s="469" t="s">
        <v>2334</v>
      </c>
      <c r="C1539" s="458" t="s">
        <v>248</v>
      </c>
      <c r="D1539" s="456">
        <f>IF(Table10[[#This Row],[Current Age]]&gt;19,"Men's",IF(E1539&gt;15,"U19",IF(E1539&gt;13,"U15",IF(E1539&gt;11,"U13",IF(E1539&gt;0,"U11",0)))))</f>
        <v>0</v>
      </c>
      <c r="E1539" s="456">
        <f>IFERROR(IF(Table10[[#This Row],[Year]]&gt;0,$E$1-Table10[[#This Row],[Year]],0),"")</f>
        <v>0</v>
      </c>
      <c r="F1539" s="456"/>
      <c r="G1539" s="456"/>
      <c r="H1539" s="456"/>
    </row>
    <row r="1540" spans="1:8">
      <c r="A1540" s="471">
        <v>2537</v>
      </c>
      <c r="B1540" s="493" t="s">
        <v>2335</v>
      </c>
      <c r="C1540" s="472" t="s">
        <v>248</v>
      </c>
      <c r="D1540" s="456">
        <f>IF(Table10[[#This Row],[Current Age]]&gt;19,"Men's",IF(E1540&gt;15,"U19",IF(E1540&gt;13,"U15",IF(E1540&gt;11,"U13",IF(E1540&gt;0,"U11",0)))))</f>
        <v>0</v>
      </c>
      <c r="E1540" s="456">
        <f>IFERROR(IF(Table10[[#This Row],[Year]]&gt;0,$E$1-Table10[[#This Row],[Year]],0),"")</f>
        <v>0</v>
      </c>
      <c r="F1540" s="456"/>
      <c r="G1540" s="456"/>
      <c r="H1540" s="456"/>
    </row>
    <row r="1541" spans="1:8">
      <c r="A1541" s="456">
        <v>2538</v>
      </c>
      <c r="B1541" s="469" t="s">
        <v>2336</v>
      </c>
      <c r="C1541" s="458" t="s">
        <v>248</v>
      </c>
      <c r="D1541" s="456">
        <f>IF(Table10[[#This Row],[Current Age]]&gt;19,"Men's",IF(E1541&gt;15,"U19",IF(E1541&gt;13,"U15",IF(E1541&gt;11,"U13",IF(E1541&gt;0,"U11",0)))))</f>
        <v>0</v>
      </c>
      <c r="E1541" s="456">
        <f>IFERROR(IF(Table10[[#This Row],[Year]]&gt;0,$E$1-Table10[[#This Row],[Year]],0),"")</f>
        <v>0</v>
      </c>
      <c r="F1541" s="456"/>
      <c r="G1541" s="456"/>
      <c r="H1541" s="456"/>
    </row>
    <row r="1542" spans="1:8">
      <c r="A1542" s="471">
        <v>2539</v>
      </c>
      <c r="B1542" s="493" t="s">
        <v>2337</v>
      </c>
      <c r="C1542" s="472" t="s">
        <v>248</v>
      </c>
      <c r="D1542" s="456">
        <f>IF(Table10[[#This Row],[Current Age]]&gt;19,"Men's",IF(E1542&gt;15,"U19",IF(E1542&gt;13,"U15",IF(E1542&gt;11,"U13",IF(E1542&gt;0,"U11",0)))))</f>
        <v>0</v>
      </c>
      <c r="E1542" s="456">
        <f>IFERROR(IF(Table10[[#This Row],[Year]]&gt;0,$E$1-Table10[[#This Row],[Year]],0),"")</f>
        <v>0</v>
      </c>
      <c r="F1542" s="456"/>
      <c r="G1542" s="456"/>
      <c r="H1542" s="456"/>
    </row>
    <row r="1543" spans="1:8">
      <c r="A1543" s="456">
        <v>2540</v>
      </c>
      <c r="B1543" s="469" t="s">
        <v>2338</v>
      </c>
      <c r="C1543" s="458" t="s">
        <v>248</v>
      </c>
      <c r="D1543" s="456">
        <f>IF(Table10[[#This Row],[Current Age]]&gt;19,"Men's",IF(E1543&gt;15,"U19",IF(E1543&gt;13,"U15",IF(E1543&gt;11,"U13",IF(E1543&gt;0,"U11",0)))))</f>
        <v>0</v>
      </c>
      <c r="E1543" s="456">
        <f>IFERROR(IF(Table10[[#This Row],[Year]]&gt;0,$E$1-Table10[[#This Row],[Year]],0),"")</f>
        <v>0</v>
      </c>
      <c r="F1543" s="456"/>
      <c r="G1543" s="456"/>
      <c r="H1543" s="456"/>
    </row>
    <row r="1544" spans="1:8">
      <c r="A1544" s="471">
        <v>2541</v>
      </c>
      <c r="B1544" s="493" t="s">
        <v>2339</v>
      </c>
      <c r="C1544" s="472" t="s">
        <v>248</v>
      </c>
      <c r="D1544" s="456">
        <f>IF(Table10[[#This Row],[Current Age]]&gt;19,"Men's",IF(E1544&gt;15,"U19",IF(E1544&gt;13,"U15",IF(E1544&gt;11,"U13",IF(E1544&gt;0,"U11",0)))))</f>
        <v>0</v>
      </c>
      <c r="E1544" s="456">
        <f>IFERROR(IF(Table10[[#This Row],[Year]]&gt;0,$E$1-Table10[[#This Row],[Year]],0),"")</f>
        <v>0</v>
      </c>
      <c r="F1544" s="456"/>
      <c r="G1544" s="456"/>
      <c r="H1544" s="456"/>
    </row>
    <row r="1545" spans="1:8">
      <c r="A1545" s="456">
        <v>2542</v>
      </c>
      <c r="B1545" s="469" t="s">
        <v>2340</v>
      </c>
      <c r="C1545" s="458" t="s">
        <v>249</v>
      </c>
      <c r="D1545" s="456">
        <f>IF(Table10[[#This Row],[Current Age]]&gt;19,"Men's",IF(E1545&gt;15,"U19",IF(E1545&gt;13,"U15",IF(E1545&gt;11,"U13",IF(E1545&gt;0,"U11",0)))))</f>
        <v>0</v>
      </c>
      <c r="E1545" s="456">
        <f>IFERROR(IF(Table10[[#This Row],[Year]]&gt;0,$E$1-Table10[[#This Row],[Year]],0),"")</f>
        <v>0</v>
      </c>
      <c r="F1545" s="456"/>
      <c r="G1545" s="456"/>
      <c r="H1545" s="456"/>
    </row>
    <row r="1546" spans="1:8">
      <c r="A1546" s="471">
        <v>2543</v>
      </c>
      <c r="B1546" s="493" t="s">
        <v>2341</v>
      </c>
      <c r="C1546" s="472" t="s">
        <v>248</v>
      </c>
      <c r="D1546" s="456">
        <f>IF(Table10[[#This Row],[Current Age]]&gt;19,"Men's",IF(E1546&gt;15,"U19",IF(E1546&gt;13,"U15",IF(E1546&gt;11,"U13",IF(E1546&gt;0,"U11",0)))))</f>
        <v>0</v>
      </c>
      <c r="E1546" s="456">
        <f>IFERROR(IF(Table10[[#This Row],[Year]]&gt;0,$E$1-Table10[[#This Row],[Year]],0),"")</f>
        <v>0</v>
      </c>
      <c r="F1546" s="456"/>
      <c r="G1546" s="456"/>
      <c r="H1546" s="456"/>
    </row>
    <row r="1547" spans="1:8">
      <c r="A1547" s="456">
        <v>2544</v>
      </c>
      <c r="B1547" s="469" t="s">
        <v>2342</v>
      </c>
      <c r="C1547" s="458" t="s">
        <v>248</v>
      </c>
      <c r="D1547" s="456">
        <f>IF(Table10[[#This Row],[Current Age]]&gt;19,"Men's",IF(E1547&gt;15,"U19",IF(E1547&gt;13,"U15",IF(E1547&gt;11,"U13",IF(E1547&gt;0,"U11",0)))))</f>
        <v>0</v>
      </c>
      <c r="E1547" s="456">
        <f>IFERROR(IF(Table10[[#This Row],[Year]]&gt;0,$E$1-Table10[[#This Row],[Year]],0),"")</f>
        <v>0</v>
      </c>
      <c r="F1547" s="456"/>
      <c r="G1547" s="456"/>
      <c r="H1547" s="456"/>
    </row>
    <row r="1548" spans="1:8">
      <c r="A1548" s="471">
        <v>2545</v>
      </c>
      <c r="B1548" s="493" t="s">
        <v>2343</v>
      </c>
      <c r="C1548" s="472" t="s">
        <v>248</v>
      </c>
      <c r="D1548" s="456">
        <f>IF(Table10[[#This Row],[Current Age]]&gt;19,"Men's",IF(E1548&gt;15,"U19",IF(E1548&gt;13,"U15",IF(E1548&gt;11,"U13",IF(E1548&gt;0,"U11",0)))))</f>
        <v>0</v>
      </c>
      <c r="E1548" s="456">
        <f>IFERROR(IF(Table10[[#This Row],[Year]]&gt;0,$E$1-Table10[[#This Row],[Year]],0),"")</f>
        <v>0</v>
      </c>
      <c r="F1548" s="456"/>
      <c r="G1548" s="456"/>
      <c r="H1548" s="456"/>
    </row>
    <row r="1549" spans="1:8">
      <c r="A1549" s="456">
        <v>2546</v>
      </c>
      <c r="B1549" s="469" t="s">
        <v>2344</v>
      </c>
      <c r="C1549" s="458" t="s">
        <v>248</v>
      </c>
      <c r="D1549" s="456">
        <f>IF(Table10[[#This Row],[Current Age]]&gt;19,"Men's",IF(E1549&gt;15,"U19",IF(E1549&gt;13,"U15",IF(E1549&gt;11,"U13",IF(E1549&gt;0,"U11",0)))))</f>
        <v>0</v>
      </c>
      <c r="E1549" s="456">
        <f>IFERROR(IF(Table10[[#This Row],[Year]]&gt;0,$E$1-Table10[[#This Row],[Year]],0),"")</f>
        <v>0</v>
      </c>
      <c r="F1549" s="456"/>
      <c r="G1549" s="456"/>
      <c r="H1549" s="456"/>
    </row>
    <row r="1550" spans="1:8">
      <c r="A1550" s="471">
        <v>2547</v>
      </c>
      <c r="B1550" s="493" t="s">
        <v>2345</v>
      </c>
      <c r="C1550" s="472" t="s">
        <v>248</v>
      </c>
      <c r="D1550" s="456">
        <f>IF(Table10[[#This Row],[Current Age]]&gt;19,"Men's",IF(E1550&gt;15,"U19",IF(E1550&gt;13,"U15",IF(E1550&gt;11,"U13",IF(E1550&gt;0,"U11",0)))))</f>
        <v>0</v>
      </c>
      <c r="E1550" s="456">
        <f>IFERROR(IF(Table10[[#This Row],[Year]]&gt;0,$E$1-Table10[[#This Row],[Year]],0),"")</f>
        <v>0</v>
      </c>
      <c r="F1550" s="456"/>
      <c r="G1550" s="456"/>
      <c r="H1550" s="456"/>
    </row>
    <row r="1551" spans="1:8">
      <c r="A1551" s="456">
        <v>2548</v>
      </c>
      <c r="B1551" s="469" t="s">
        <v>2346</v>
      </c>
      <c r="C1551" s="458" t="s">
        <v>248</v>
      </c>
      <c r="D1551" s="456">
        <f>IF(Table10[[#This Row],[Current Age]]&gt;19,"Men's",IF(E1551&gt;15,"U19",IF(E1551&gt;13,"U15",IF(E1551&gt;11,"U13",IF(E1551&gt;0,"U11",0)))))</f>
        <v>0</v>
      </c>
      <c r="E1551" s="456">
        <f>IFERROR(IF(Table10[[#This Row],[Year]]&gt;0,$E$1-Table10[[#This Row],[Year]],0),"")</f>
        <v>0</v>
      </c>
      <c r="F1551" s="456"/>
      <c r="G1551" s="456"/>
      <c r="H1551" s="456"/>
    </row>
    <row r="1552" spans="1:8">
      <c r="A1552" s="471">
        <v>2549</v>
      </c>
      <c r="B1552" s="493" t="s">
        <v>2347</v>
      </c>
      <c r="C1552" s="472" t="s">
        <v>248</v>
      </c>
      <c r="D1552" s="456">
        <f>IF(Table10[[#This Row],[Current Age]]&gt;19,"Men's",IF(E1552&gt;15,"U19",IF(E1552&gt;13,"U15",IF(E1552&gt;11,"U13",IF(E1552&gt;0,"U11",0)))))</f>
        <v>0</v>
      </c>
      <c r="E1552" s="456">
        <f>IFERROR(IF(Table10[[#This Row],[Year]]&gt;0,$E$1-Table10[[#This Row],[Year]],0),"")</f>
        <v>0</v>
      </c>
      <c r="F1552" s="456"/>
      <c r="G1552" s="456"/>
      <c r="H1552" s="456"/>
    </row>
    <row r="1553" spans="1:8">
      <c r="A1553" s="456">
        <v>2550</v>
      </c>
      <c r="B1553" s="469" t="s">
        <v>2356</v>
      </c>
      <c r="C1553" s="458" t="s">
        <v>248</v>
      </c>
      <c r="D1553" s="456">
        <f>IF(Table10[[#This Row],[Current Age]]&gt;19,"Men's",IF(E1553&gt;15,"U19",IF(E1553&gt;13,"U15",IF(E1553&gt;11,"U13",IF(E1553&gt;0,"U11",0)))))</f>
        <v>0</v>
      </c>
      <c r="E1553" s="456">
        <f>IFERROR(IF(Table10[[#This Row],[Year]]&gt;0,$E$1-Table10[[#This Row],[Year]],0),"")</f>
        <v>0</v>
      </c>
      <c r="F1553" s="456"/>
      <c r="G1553" s="456"/>
      <c r="H1553" s="456"/>
    </row>
    <row r="1554" spans="1:8">
      <c r="A1554" s="471">
        <v>2551</v>
      </c>
      <c r="B1554" s="493" t="s">
        <v>2357</v>
      </c>
      <c r="C1554" s="472" t="s">
        <v>248</v>
      </c>
      <c r="D1554" s="456">
        <f>IF(Table10[[#This Row],[Current Age]]&gt;19,"Men's",IF(E1554&gt;15,"U19",IF(E1554&gt;13,"U15",IF(E1554&gt;11,"U13",IF(E1554&gt;0,"U11",0)))))</f>
        <v>0</v>
      </c>
      <c r="E1554" s="456">
        <f>IFERROR(IF(Table10[[#This Row],[Year]]&gt;0,$E$1-Table10[[#This Row],[Year]],0),"")</f>
        <v>0</v>
      </c>
      <c r="F1554" s="456"/>
      <c r="G1554" s="456"/>
      <c r="H1554" s="456"/>
    </row>
    <row r="1555" spans="1:8">
      <c r="A1555" s="456">
        <v>2552</v>
      </c>
      <c r="B1555" s="469" t="s">
        <v>2358</v>
      </c>
      <c r="C1555" s="458" t="s">
        <v>248</v>
      </c>
      <c r="D1555" s="456">
        <f>IF(Table10[[#This Row],[Current Age]]&gt;19,"Men's",IF(E1555&gt;15,"U19",IF(E1555&gt;13,"U15",IF(E1555&gt;11,"U13",IF(E1555&gt;0,"U11",0)))))</f>
        <v>0</v>
      </c>
      <c r="E1555" s="456">
        <f>IFERROR(IF(Table10[[#This Row],[Year]]&gt;0,$E$1-Table10[[#This Row],[Year]],0),"")</f>
        <v>0</v>
      </c>
      <c r="F1555" s="456"/>
      <c r="G1555" s="456"/>
      <c r="H1555" s="456"/>
    </row>
    <row r="1556" spans="1:8">
      <c r="A1556" s="471">
        <v>2553</v>
      </c>
      <c r="B1556" s="493" t="s">
        <v>2359</v>
      </c>
      <c r="C1556" s="472" t="s">
        <v>248</v>
      </c>
      <c r="D1556" s="456">
        <f>IF(Table10[[#This Row],[Current Age]]&gt;19,"Men's",IF(E1556&gt;15,"U19",IF(E1556&gt;13,"U15",IF(E1556&gt;11,"U13",IF(E1556&gt;0,"U11",0)))))</f>
        <v>0</v>
      </c>
      <c r="E1556" s="456">
        <f>IFERROR(IF(Table10[[#This Row],[Year]]&gt;0,$E$1-Table10[[#This Row],[Year]],0),"")</f>
        <v>0</v>
      </c>
      <c r="F1556" s="456"/>
      <c r="G1556" s="456"/>
      <c r="H1556" s="456"/>
    </row>
    <row r="1557" spans="1:8">
      <c r="A1557" s="456">
        <v>2554</v>
      </c>
      <c r="B1557" s="469" t="s">
        <v>2360</v>
      </c>
      <c r="C1557" s="458" t="s">
        <v>248</v>
      </c>
      <c r="D1557" s="456">
        <f>IF(Table10[[#This Row],[Current Age]]&gt;19,"Men's",IF(E1557&gt;15,"U19",IF(E1557&gt;13,"U15",IF(E1557&gt;11,"U13",IF(E1557&gt;0,"U11",0)))))</f>
        <v>0</v>
      </c>
      <c r="E1557" s="456">
        <f>IFERROR(IF(Table10[[#This Row],[Year]]&gt;0,$E$1-Table10[[#This Row],[Year]],0),"")</f>
        <v>0</v>
      </c>
      <c r="F1557" s="456"/>
      <c r="G1557" s="456"/>
      <c r="H1557" s="456"/>
    </row>
    <row r="1558" spans="1:8">
      <c r="A1558" s="471">
        <v>2555</v>
      </c>
      <c r="B1558" s="493" t="s">
        <v>2361</v>
      </c>
      <c r="C1558" s="472" t="s">
        <v>3750</v>
      </c>
      <c r="D1558" s="456">
        <f>IF(Table10[[#This Row],[Current Age]]&gt;19,"Men's",IF(E1558&gt;15,"U19",IF(E1558&gt;13,"U15",IF(E1558&gt;11,"U13",IF(E1558&gt;0,"U11",0)))))</f>
        <v>0</v>
      </c>
      <c r="E1558" s="456">
        <f>IFERROR(IF(Table10[[#This Row],[Year]]&gt;0,$E$1-Table10[[#This Row],[Year]],0),"")</f>
        <v>0</v>
      </c>
      <c r="F1558" s="456"/>
      <c r="G1558" s="456"/>
      <c r="H1558" s="456"/>
    </row>
    <row r="1559" spans="1:8">
      <c r="A1559" s="456">
        <v>2556</v>
      </c>
      <c r="B1559" s="469" t="s">
        <v>2362</v>
      </c>
      <c r="C1559" s="458" t="s">
        <v>248</v>
      </c>
      <c r="D1559" s="456">
        <f>IF(Table10[[#This Row],[Current Age]]&gt;19,"Men's",IF(E1559&gt;15,"U19",IF(E1559&gt;13,"U15",IF(E1559&gt;11,"U13",IF(E1559&gt;0,"U11",0)))))</f>
        <v>0</v>
      </c>
      <c r="E1559" s="456">
        <f>IFERROR(IF(Table10[[#This Row],[Year]]&gt;0,$E$1-Table10[[#This Row],[Year]],0),"")</f>
        <v>0</v>
      </c>
      <c r="F1559" s="456"/>
      <c r="G1559" s="456"/>
      <c r="H1559" s="456"/>
    </row>
    <row r="1560" spans="1:8">
      <c r="A1560" s="471">
        <v>2557</v>
      </c>
      <c r="B1560" s="493" t="s">
        <v>2363</v>
      </c>
      <c r="C1560" s="472" t="s">
        <v>248</v>
      </c>
      <c r="D1560" s="456">
        <f>IF(Table10[[#This Row],[Current Age]]&gt;19,"Men's",IF(E1560&gt;15,"U19",IF(E1560&gt;13,"U15",IF(E1560&gt;11,"U13",IF(E1560&gt;0,"U11",0)))))</f>
        <v>0</v>
      </c>
      <c r="E1560" s="456">
        <f>IFERROR(IF(Table10[[#This Row],[Year]]&gt;0,$E$1-Table10[[#This Row],[Year]],0),"")</f>
        <v>0</v>
      </c>
      <c r="F1560" s="456"/>
      <c r="G1560" s="456"/>
      <c r="H1560" s="456"/>
    </row>
    <row r="1561" spans="1:8">
      <c r="A1561" s="456">
        <v>2558</v>
      </c>
      <c r="B1561" s="469" t="s">
        <v>2364</v>
      </c>
      <c r="C1561" s="458" t="s">
        <v>248</v>
      </c>
      <c r="D1561" s="456">
        <f>IF(Table10[[#This Row],[Current Age]]&gt;19,"Men's",IF(E1561&gt;15,"U19",IF(E1561&gt;13,"U15",IF(E1561&gt;11,"U13",IF(E1561&gt;0,"U11",0)))))</f>
        <v>0</v>
      </c>
      <c r="E1561" s="456">
        <f>IFERROR(IF(Table10[[#This Row],[Year]]&gt;0,$E$1-Table10[[#This Row],[Year]],0),"")</f>
        <v>0</v>
      </c>
      <c r="F1561" s="456"/>
      <c r="G1561" s="456"/>
      <c r="H1561" s="456"/>
    </row>
    <row r="1562" spans="1:8">
      <c r="A1562" s="471">
        <v>2559</v>
      </c>
      <c r="B1562" s="493" t="s">
        <v>2365</v>
      </c>
      <c r="C1562" s="472" t="s">
        <v>361</v>
      </c>
      <c r="D1562" s="456">
        <f>IF(Table10[[#This Row],[Current Age]]&gt;19,"Men's",IF(E1562&gt;15,"U19",IF(E1562&gt;13,"U15",IF(E1562&gt;11,"U13",IF(E1562&gt;0,"U11",0)))))</f>
        <v>0</v>
      </c>
      <c r="E1562" s="456">
        <f>IFERROR(IF(Table10[[#This Row],[Year]]&gt;0,$E$1-Table10[[#This Row],[Year]],0),"")</f>
        <v>0</v>
      </c>
      <c r="F1562" s="456"/>
      <c r="G1562" s="456"/>
      <c r="H1562" s="456"/>
    </row>
    <row r="1563" spans="1:8">
      <c r="A1563" s="456">
        <v>2560</v>
      </c>
      <c r="B1563" s="533" t="s">
        <v>3307</v>
      </c>
      <c r="C1563" s="458" t="s">
        <v>248</v>
      </c>
      <c r="D1563" s="456">
        <f>IF(Table10[[#This Row],[Current Age]]&gt;19,"Men's",IF(E1563&gt;15,"U19",IF(E1563&gt;13,"U15",IF(E1563&gt;11,"U13",IF(E1563&gt;0,"U11",0)))))</f>
        <v>0</v>
      </c>
      <c r="E1563" s="456">
        <f>IFERROR(IF(Table10[[#This Row],[Year]]&gt;0,$E$1-Table10[[#This Row],[Year]],0),"")</f>
        <v>0</v>
      </c>
      <c r="F1563" s="456"/>
      <c r="G1563" s="456"/>
      <c r="H1563" s="456"/>
    </row>
    <row r="1564" spans="1:8">
      <c r="A1564" s="471">
        <v>2561</v>
      </c>
      <c r="B1564" s="493" t="s">
        <v>2366</v>
      </c>
      <c r="C1564" s="472" t="s">
        <v>244</v>
      </c>
      <c r="D1564" s="456" t="str">
        <f>IF(Table10[[#This Row],[Current Age]]&gt;19,"Men's",IF(E1564&gt;15,"U19",IF(E1564&gt;13,"U15",IF(E1564&gt;11,"U13",IF(E1564&gt;0,"U11",0)))))</f>
        <v>U15</v>
      </c>
      <c r="E1564" s="456">
        <f>IFERROR(IF(Table10[[#This Row],[Year]]&gt;0,$E$1-Table10[[#This Row],[Year]],0),"")</f>
        <v>15</v>
      </c>
      <c r="F1564" s="456">
        <v>2010</v>
      </c>
      <c r="G1564" s="456">
        <v>3</v>
      </c>
      <c r="H1564" s="456">
        <v>3</v>
      </c>
    </row>
    <row r="1565" spans="1:8">
      <c r="A1565" s="456">
        <v>2562</v>
      </c>
      <c r="B1565" s="469" t="s">
        <v>2403</v>
      </c>
      <c r="C1565" s="458" t="s">
        <v>251</v>
      </c>
      <c r="D1565" s="456">
        <f>IF(Table10[[#This Row],[Current Age]]&gt;19,"Men's",IF(E1565&gt;15,"U19",IF(E1565&gt;13,"U15",IF(E1565&gt;11,"U13",IF(E1565&gt;0,"U11",0)))))</f>
        <v>0</v>
      </c>
      <c r="E1565" s="456">
        <f>IFERROR(IF(Table10[[#This Row],[Year]]&gt;0,$E$1-Table10[[#This Row],[Year]],0),"")</f>
        <v>0</v>
      </c>
      <c r="F1565" s="456"/>
      <c r="G1565" s="456"/>
      <c r="H1565" s="456"/>
    </row>
    <row r="1566" spans="1:8">
      <c r="A1566" s="471">
        <v>2563</v>
      </c>
      <c r="B1566" s="493" t="s">
        <v>2368</v>
      </c>
      <c r="C1566" s="472" t="s">
        <v>361</v>
      </c>
      <c r="D1566" s="456" t="str">
        <f>IF(Table10[[#This Row],[Current Age]]&gt;19,"Men's",IF(E1566&gt;15,"U19",IF(E1566&gt;13,"U15",IF(E1566&gt;11,"U13",IF(E1566&gt;0,"U11",0)))))</f>
        <v>U13</v>
      </c>
      <c r="E1566" s="456">
        <f>IFERROR(IF(Table10[[#This Row],[Year]]&gt;0,$E$1-Table10[[#This Row],[Year]],0),"")</f>
        <v>13</v>
      </c>
      <c r="F1566" s="456">
        <v>2012</v>
      </c>
      <c r="G1566" s="456">
        <v>5</v>
      </c>
      <c r="H1566" s="456">
        <v>6</v>
      </c>
    </row>
    <row r="1567" spans="1:8">
      <c r="A1567" s="456">
        <v>2564</v>
      </c>
      <c r="B1567" s="469" t="s">
        <v>2369</v>
      </c>
      <c r="C1567" s="458" t="s">
        <v>361</v>
      </c>
      <c r="D1567" s="456" t="str">
        <f>IF(Table10[[#This Row],[Current Age]]&gt;19,"Men's",IF(E1567&gt;15,"U19",IF(E1567&gt;13,"U15",IF(E1567&gt;11,"U13",IF(E1567&gt;0,"U11",0)))))</f>
        <v>U15</v>
      </c>
      <c r="E1567" s="456">
        <f>IFERROR(IF(Table10[[#This Row],[Year]]&gt;0,$E$1-Table10[[#This Row],[Year]],0),"")</f>
        <v>15</v>
      </c>
      <c r="F1567" s="456">
        <v>2010</v>
      </c>
      <c r="G1567" s="456">
        <v>11</v>
      </c>
      <c r="H1567" s="456">
        <v>4</v>
      </c>
    </row>
    <row r="1568" spans="1:8">
      <c r="A1568" s="471">
        <v>2565</v>
      </c>
      <c r="B1568" s="493" t="s">
        <v>2370</v>
      </c>
      <c r="C1568" s="472" t="s">
        <v>361</v>
      </c>
      <c r="D1568" s="456">
        <f>IF(Table10[[#This Row],[Current Age]]&gt;19,"Men's",IF(E1568&gt;15,"U19",IF(E1568&gt;13,"U15",IF(E1568&gt;11,"U13",IF(E1568&gt;0,"U11",0)))))</f>
        <v>0</v>
      </c>
      <c r="E1568" s="456">
        <f>IFERROR(IF(Table10[[#This Row],[Year]]&gt;0,$E$1-Table10[[#This Row],[Year]],0),"")</f>
        <v>0</v>
      </c>
      <c r="F1568" s="456"/>
      <c r="G1568" s="456"/>
      <c r="H1568" s="456"/>
    </row>
    <row r="1569" spans="1:8">
      <c r="A1569" s="456">
        <v>2566</v>
      </c>
      <c r="B1569" s="469" t="s">
        <v>2371</v>
      </c>
      <c r="C1569" s="458" t="s">
        <v>361</v>
      </c>
      <c r="D1569" s="456">
        <f>IF(Table10[[#This Row],[Current Age]]&gt;19,"Men's",IF(E1569&gt;15,"U19",IF(E1569&gt;13,"U15",IF(E1569&gt;11,"U13",IF(E1569&gt;0,"U11",0)))))</f>
        <v>0</v>
      </c>
      <c r="E1569" s="456">
        <f>IFERROR(IF(Table10[[#This Row],[Year]]&gt;0,$E$1-Table10[[#This Row],[Year]],0),"")</f>
        <v>0</v>
      </c>
      <c r="F1569" s="456"/>
      <c r="G1569" s="456"/>
      <c r="H1569" s="456"/>
    </row>
    <row r="1570" spans="1:8">
      <c r="A1570" s="471">
        <v>2567</v>
      </c>
      <c r="B1570" s="493" t="s">
        <v>2372</v>
      </c>
      <c r="C1570" s="472" t="s">
        <v>361</v>
      </c>
      <c r="D1570" s="456">
        <f>IF(Table10[[#This Row],[Current Age]]&gt;19,"Men's",IF(E1570&gt;15,"U19",IF(E1570&gt;13,"U15",IF(E1570&gt;11,"U13",IF(E1570&gt;0,"U11",0)))))</f>
        <v>0</v>
      </c>
      <c r="E1570" s="456">
        <f>IFERROR(IF(Table10[[#This Row],[Year]]&gt;0,$E$1-Table10[[#This Row],[Year]],0),"")</f>
        <v>0</v>
      </c>
      <c r="F1570" s="456"/>
      <c r="G1570" s="456"/>
      <c r="H1570" s="456"/>
    </row>
    <row r="1571" spans="1:8">
      <c r="A1571" s="456">
        <v>2568</v>
      </c>
      <c r="B1571" s="469" t="s">
        <v>2373</v>
      </c>
      <c r="C1571" s="458" t="s">
        <v>361</v>
      </c>
      <c r="D1571" s="456" t="str">
        <f>IF(Table10[[#This Row],[Current Age]]&gt;19,"Men's",IF(E1571&gt;15,"U19",IF(E1571&gt;13,"U15",IF(E1571&gt;11,"U13",IF(E1571&gt;0,"U11",0)))))</f>
        <v>U19</v>
      </c>
      <c r="E1571" s="456">
        <f>IFERROR(IF(Table10[[#This Row],[Year]]&gt;0,$E$1-Table10[[#This Row],[Year]],0),"")</f>
        <v>19</v>
      </c>
      <c r="F1571" s="456">
        <v>2006</v>
      </c>
      <c r="G1571" s="456">
        <v>7</v>
      </c>
      <c r="H1571" s="456">
        <v>23</v>
      </c>
    </row>
    <row r="1572" spans="1:8">
      <c r="A1572" s="471">
        <v>2569</v>
      </c>
      <c r="B1572" s="493" t="s">
        <v>2374</v>
      </c>
      <c r="C1572" s="472" t="s">
        <v>361</v>
      </c>
      <c r="D1572" s="456">
        <f>IF(Table10[[#This Row],[Current Age]]&gt;19,"Men's",IF(E1572&gt;15,"U19",IF(E1572&gt;13,"U15",IF(E1572&gt;11,"U13",IF(E1572&gt;0,"U11",0)))))</f>
        <v>0</v>
      </c>
      <c r="E1572" s="456">
        <f>IFERROR(IF(Table10[[#This Row],[Year]]&gt;0,$E$1-Table10[[#This Row],[Year]],0),"")</f>
        <v>0</v>
      </c>
      <c r="F1572" s="456"/>
      <c r="G1572" s="456"/>
      <c r="H1572" s="456"/>
    </row>
    <row r="1573" spans="1:8">
      <c r="A1573" s="456">
        <v>2570</v>
      </c>
      <c r="B1573" s="469" t="s">
        <v>2375</v>
      </c>
      <c r="C1573" s="458" t="s">
        <v>361</v>
      </c>
      <c r="D1573" s="456">
        <f>IF(Table10[[#This Row],[Current Age]]&gt;19,"Men's",IF(E1573&gt;15,"U19",IF(E1573&gt;13,"U15",IF(E1573&gt;11,"U13",IF(E1573&gt;0,"U11",0)))))</f>
        <v>0</v>
      </c>
      <c r="E1573" s="456">
        <f>IFERROR(IF(Table10[[#This Row],[Year]]&gt;0,$E$1-Table10[[#This Row],[Year]],0),"")</f>
        <v>0</v>
      </c>
      <c r="F1573" s="456"/>
      <c r="G1573" s="456"/>
      <c r="H1573" s="456"/>
    </row>
    <row r="1574" spans="1:8">
      <c r="A1574" s="471">
        <v>2571</v>
      </c>
      <c r="B1574" s="493" t="s">
        <v>2499</v>
      </c>
      <c r="C1574" s="472" t="s">
        <v>4720</v>
      </c>
      <c r="D1574" s="456">
        <f>IF(Table10[[#This Row],[Current Age]]&gt;19,"Men's",IF(E1574&gt;15,"U19",IF(E1574&gt;13,"U15",IF(E1574&gt;11,"U13",IF(E1574&gt;0,"U11",0)))))</f>
        <v>0</v>
      </c>
      <c r="E1574" s="456">
        <f>IFERROR(IF(Table10[[#This Row],[Year]]&gt;0,$E$1-Table10[[#This Row],[Year]],0),"")</f>
        <v>0</v>
      </c>
      <c r="F1574" s="456"/>
      <c r="G1574" s="456"/>
      <c r="H1574" s="456"/>
    </row>
    <row r="1575" spans="1:8">
      <c r="A1575" s="456">
        <v>2572</v>
      </c>
      <c r="B1575" s="469" t="s">
        <v>2500</v>
      </c>
      <c r="C1575" s="458"/>
      <c r="D1575" s="456">
        <f>IF(Table10[[#This Row],[Current Age]]&gt;19,"Men's",IF(E1575&gt;15,"U19",IF(E1575&gt;13,"U15",IF(E1575&gt;11,"U13",IF(E1575&gt;0,"U11",0)))))</f>
        <v>0</v>
      </c>
      <c r="E1575" s="456">
        <f>IFERROR(IF(Table10[[#This Row],[Year]]&gt;0,$E$1-Table10[[#This Row],[Year]],0),"")</f>
        <v>0</v>
      </c>
      <c r="F1575" s="456"/>
      <c r="G1575" s="456"/>
      <c r="H1575" s="456"/>
    </row>
    <row r="1576" spans="1:8">
      <c r="A1576" s="471">
        <v>2573</v>
      </c>
      <c r="B1576" s="493" t="s">
        <v>2377</v>
      </c>
      <c r="C1576" s="472" t="s">
        <v>362</v>
      </c>
      <c r="D1576" s="456">
        <f>IF(Table10[[#This Row],[Current Age]]&gt;19,"Men's",IF(E1576&gt;15,"U19",IF(E1576&gt;13,"U15",IF(E1576&gt;11,"U13",IF(E1576&gt;0,"U11",0)))))</f>
        <v>0</v>
      </c>
      <c r="E1576" s="456">
        <f>IFERROR(IF(Table10[[#This Row],[Year]]&gt;0,$E$1-Table10[[#This Row],[Year]],0),"")</f>
        <v>0</v>
      </c>
      <c r="F1576" s="456"/>
      <c r="G1576" s="456"/>
      <c r="H1576" s="456"/>
    </row>
    <row r="1577" spans="1:8">
      <c r="A1577" s="456">
        <v>2574</v>
      </c>
      <c r="B1577" s="533" t="s">
        <v>3306</v>
      </c>
      <c r="C1577" s="458" t="s">
        <v>248</v>
      </c>
      <c r="D1577" s="456">
        <f>IF(Table10[[#This Row],[Current Age]]&gt;19,"Men's",IF(E1577&gt;15,"U19",IF(E1577&gt;13,"U15",IF(E1577&gt;11,"U13",IF(E1577&gt;0,"U11",0)))))</f>
        <v>0</v>
      </c>
      <c r="E1577" s="456">
        <f>IFERROR(IF(Table10[[#This Row],[Year]]&gt;0,$E$1-Table10[[#This Row],[Year]],0),"")</f>
        <v>0</v>
      </c>
      <c r="F1577" s="456"/>
      <c r="G1577" s="456"/>
      <c r="H1577" s="456"/>
    </row>
    <row r="1578" spans="1:8">
      <c r="A1578" s="471">
        <v>2575</v>
      </c>
      <c r="B1578" s="493" t="s">
        <v>2378</v>
      </c>
      <c r="C1578" s="472" t="s">
        <v>361</v>
      </c>
      <c r="D1578" s="456">
        <f>IF(Table10[[#This Row],[Current Age]]&gt;19,"Men's",IF(E1578&gt;15,"U19",IF(E1578&gt;13,"U15",IF(E1578&gt;11,"U13",IF(E1578&gt;0,"U11",0)))))</f>
        <v>0</v>
      </c>
      <c r="E1578" s="456">
        <f>IFERROR(IF(Table10[[#This Row],[Year]]&gt;0,$E$1-Table10[[#This Row],[Year]],0),"")</f>
        <v>0</v>
      </c>
      <c r="F1578" s="456"/>
      <c r="G1578" s="456"/>
      <c r="H1578" s="456"/>
    </row>
    <row r="1579" spans="1:8">
      <c r="A1579" s="456">
        <v>2576</v>
      </c>
      <c r="B1579" s="469" t="s">
        <v>2379</v>
      </c>
      <c r="C1579" s="458" t="s">
        <v>361</v>
      </c>
      <c r="D1579" s="456">
        <f>IF(Table10[[#This Row],[Current Age]]&gt;19,"Men's",IF(E1579&gt;15,"U19",IF(E1579&gt;13,"U15",IF(E1579&gt;11,"U13",IF(E1579&gt;0,"U11",0)))))</f>
        <v>0</v>
      </c>
      <c r="E1579" s="456">
        <f>IFERROR(IF(Table10[[#This Row],[Year]]&gt;0,$E$1-Table10[[#This Row],[Year]],0),"")</f>
        <v>0</v>
      </c>
      <c r="F1579" s="456"/>
      <c r="G1579" s="456"/>
      <c r="H1579" s="456"/>
    </row>
    <row r="1580" spans="1:8">
      <c r="A1580" s="471">
        <v>2577</v>
      </c>
      <c r="B1580" s="493" t="s">
        <v>2380</v>
      </c>
      <c r="C1580" s="472" t="s">
        <v>243</v>
      </c>
      <c r="D1580" s="456">
        <f>IF(Table10[[#This Row],[Current Age]]&gt;19,"Men's",IF(E1580&gt;15,"U19",IF(E1580&gt;13,"U15",IF(E1580&gt;11,"U13",IF(E1580&gt;0,"U11",0)))))</f>
        <v>0</v>
      </c>
      <c r="E1580" s="456">
        <f>IFERROR(IF(Table10[[#This Row],[Year]]&gt;0,$E$1-Table10[[#This Row],[Year]],0),"")</f>
        <v>0</v>
      </c>
      <c r="F1580" s="456"/>
      <c r="G1580" s="456"/>
      <c r="H1580" s="456"/>
    </row>
    <row r="1581" spans="1:8">
      <c r="A1581" s="456">
        <v>2578</v>
      </c>
      <c r="B1581" s="469" t="s">
        <v>2381</v>
      </c>
      <c r="C1581" s="458" t="s">
        <v>244</v>
      </c>
      <c r="D1581" s="456">
        <f>IF(Table10[[#This Row],[Current Age]]&gt;19,"Men's",IF(E1581&gt;15,"U19",IF(E1581&gt;13,"U15",IF(E1581&gt;11,"U13",IF(E1581&gt;0,"U11",0)))))</f>
        <v>0</v>
      </c>
      <c r="E1581" s="456">
        <f>IFERROR(IF(Table10[[#This Row],[Year]]&gt;0,$E$1-Table10[[#This Row],[Year]],0),"")</f>
        <v>0</v>
      </c>
      <c r="F1581" s="456"/>
      <c r="G1581" s="456"/>
      <c r="H1581" s="456"/>
    </row>
    <row r="1582" spans="1:8">
      <c r="A1582" s="471">
        <v>2579</v>
      </c>
      <c r="B1582" s="493" t="s">
        <v>2382</v>
      </c>
      <c r="C1582" s="472" t="s">
        <v>361</v>
      </c>
      <c r="D1582" s="456">
        <f>IF(Table10[[#This Row],[Current Age]]&gt;19,"Men's",IF(E1582&gt;15,"U19",IF(E1582&gt;13,"U15",IF(E1582&gt;11,"U13",IF(E1582&gt;0,"U11",0)))))</f>
        <v>0</v>
      </c>
      <c r="E1582" s="456">
        <f>IFERROR(IF(Table10[[#This Row],[Year]]&gt;0,$E$1-Table10[[#This Row],[Year]],0),"")</f>
        <v>0</v>
      </c>
      <c r="F1582" s="456"/>
      <c r="G1582" s="456"/>
      <c r="H1582" s="456"/>
    </row>
    <row r="1583" spans="1:8">
      <c r="A1583" s="456">
        <v>2580</v>
      </c>
      <c r="B1583" s="469" t="s">
        <v>2383</v>
      </c>
      <c r="C1583" s="458" t="s">
        <v>361</v>
      </c>
      <c r="D1583" s="456">
        <f>IF(Table10[[#This Row],[Current Age]]&gt;19,"Men's",IF(E1583&gt;15,"U19",IF(E1583&gt;13,"U15",IF(E1583&gt;11,"U13",IF(E1583&gt;0,"U11",0)))))</f>
        <v>0</v>
      </c>
      <c r="E1583" s="456">
        <f>IFERROR(IF(Table10[[#This Row],[Year]]&gt;0,$E$1-Table10[[#This Row],[Year]],0),"")</f>
        <v>0</v>
      </c>
      <c r="F1583" s="456"/>
      <c r="G1583" s="456"/>
      <c r="H1583" s="456"/>
    </row>
    <row r="1584" spans="1:8">
      <c r="A1584" s="471">
        <v>2581</v>
      </c>
      <c r="B1584" s="493" t="s">
        <v>2384</v>
      </c>
      <c r="C1584" s="472" t="s">
        <v>361</v>
      </c>
      <c r="D1584" s="456" t="str">
        <f>IF(Table10[[#This Row],[Current Age]]&gt;19,"Men's",IF(E1584&gt;15,"U19",IF(E1584&gt;13,"U15",IF(E1584&gt;11,"U13",IF(E1584&gt;0,"U11",0)))))</f>
        <v>Men's</v>
      </c>
      <c r="E1584" s="456">
        <f>IFERROR(IF(Table10[[#This Row],[Year]]&gt;0,$E$1-Table10[[#This Row],[Year]],0),"")</f>
        <v>46</v>
      </c>
      <c r="F1584" s="456">
        <v>1979</v>
      </c>
      <c r="G1584" s="456"/>
      <c r="H1584" s="456"/>
    </row>
    <row r="1585" spans="1:8">
      <c r="A1585" s="456">
        <v>2582</v>
      </c>
      <c r="B1585" s="469" t="s">
        <v>2385</v>
      </c>
      <c r="C1585" s="458" t="s">
        <v>361</v>
      </c>
      <c r="D1585" s="456">
        <f>IF(Table10[[#This Row],[Current Age]]&gt;19,"Men's",IF(E1585&gt;15,"U19",IF(E1585&gt;13,"U15",IF(E1585&gt;11,"U13",IF(E1585&gt;0,"U11",0)))))</f>
        <v>0</v>
      </c>
      <c r="E1585" s="456">
        <f>IFERROR(IF(Table10[[#This Row],[Year]]&gt;0,$E$1-Table10[[#This Row],[Year]],0),"")</f>
        <v>0</v>
      </c>
      <c r="F1585" s="456"/>
      <c r="G1585" s="456"/>
      <c r="H1585" s="456"/>
    </row>
    <row r="1586" spans="1:8">
      <c r="A1586" s="471">
        <v>2583</v>
      </c>
      <c r="B1586" s="493" t="s">
        <v>2386</v>
      </c>
      <c r="C1586" s="472" t="s">
        <v>361</v>
      </c>
      <c r="D1586" s="456" t="str">
        <f>IF(Table10[[#This Row],[Current Age]]&gt;19,"Men's",IF(E1586&gt;15,"U19",IF(E1586&gt;13,"U15",IF(E1586&gt;11,"U13",IF(E1586&gt;0,"U11",0)))))</f>
        <v>Men's</v>
      </c>
      <c r="E1586" s="456">
        <f>IFERROR(IF(Table10[[#This Row],[Year]]&gt;0,$E$1-Table10[[#This Row],[Year]],0),"")</f>
        <v>39</v>
      </c>
      <c r="F1586" s="456">
        <v>1986</v>
      </c>
      <c r="G1586" s="456">
        <v>8</v>
      </c>
      <c r="H1586" s="456">
        <v>3</v>
      </c>
    </row>
    <row r="1587" spans="1:8">
      <c r="A1587" s="456">
        <v>2584</v>
      </c>
      <c r="B1587" s="469" t="s">
        <v>2404</v>
      </c>
      <c r="C1587" s="458" t="s">
        <v>762</v>
      </c>
      <c r="D1587" s="456" t="str">
        <f>IF(Table10[[#This Row],[Current Age]]&gt;19,"Men's",IF(E1587&gt;15,"U19",IF(E1587&gt;13,"U15",IF(E1587&gt;11,"U13",IF(E1587&gt;0,"U11",0)))))</f>
        <v>Men's</v>
      </c>
      <c r="E1587" s="456">
        <f>IFERROR(IF(Table10[[#This Row],[Year]]&gt;0,$E$1-Table10[[#This Row],[Year]],0),"")</f>
        <v>20</v>
      </c>
      <c r="F1587" s="456">
        <v>2005</v>
      </c>
      <c r="G1587" s="456">
        <v>22</v>
      </c>
      <c r="H1587" s="456">
        <v>22</v>
      </c>
    </row>
    <row r="1588" spans="1:8">
      <c r="A1588" s="471">
        <v>2585</v>
      </c>
      <c r="B1588" s="493" t="s">
        <v>2405</v>
      </c>
      <c r="C1588" s="472" t="s">
        <v>2406</v>
      </c>
      <c r="D1588" s="456">
        <f>IF(Table10[[#This Row],[Current Age]]&gt;19,"Men's",IF(E1588&gt;15,"U19",IF(E1588&gt;13,"U15",IF(E1588&gt;11,"U13",IF(E1588&gt;0,"U11",0)))))</f>
        <v>0</v>
      </c>
      <c r="E1588" s="456">
        <f>IFERROR(IF(Table10[[#This Row],[Year]]&gt;0,$E$1-Table10[[#This Row],[Year]],0),"")</f>
        <v>0</v>
      </c>
      <c r="F1588" s="456"/>
      <c r="G1588" s="456"/>
      <c r="H1588" s="456"/>
    </row>
    <row r="1589" spans="1:8">
      <c r="A1589" s="456">
        <v>2586</v>
      </c>
      <c r="B1589" s="469" t="s">
        <v>2407</v>
      </c>
      <c r="C1589" s="458" t="s">
        <v>255</v>
      </c>
      <c r="D1589" s="456">
        <f>IF(Table10[[#This Row],[Current Age]]&gt;19,"Men's",IF(E1589&gt;15,"U19",IF(E1589&gt;13,"U15",IF(E1589&gt;11,"U13",IF(E1589&gt;0,"U11",0)))))</f>
        <v>0</v>
      </c>
      <c r="E1589" s="456">
        <f>IFERROR(IF(Table10[[#This Row],[Year]]&gt;0,$E$1-Table10[[#This Row],[Year]],0),"")</f>
        <v>0</v>
      </c>
      <c r="F1589" s="456"/>
      <c r="G1589" s="456"/>
      <c r="H1589" s="456"/>
    </row>
    <row r="1590" spans="1:8">
      <c r="A1590" s="471">
        <v>2587</v>
      </c>
      <c r="B1590" s="493" t="s">
        <v>2408</v>
      </c>
      <c r="C1590" s="472" t="s">
        <v>248</v>
      </c>
      <c r="D1590" s="456">
        <f>IF(Table10[[#This Row],[Current Age]]&gt;19,"Men's",IF(E1590&gt;15,"U19",IF(E1590&gt;13,"U15",IF(E1590&gt;11,"U13",IF(E1590&gt;0,"U11",0)))))</f>
        <v>0</v>
      </c>
      <c r="E1590" s="456">
        <f>IFERROR(IF(Table10[[#This Row],[Year]]&gt;0,$E$1-Table10[[#This Row],[Year]],0),"")</f>
        <v>0</v>
      </c>
      <c r="F1590" s="456"/>
      <c r="G1590" s="456"/>
      <c r="H1590" s="456"/>
    </row>
    <row r="1591" spans="1:8">
      <c r="A1591" s="456">
        <v>2588</v>
      </c>
      <c r="B1591" s="469" t="s">
        <v>2409</v>
      </c>
      <c r="C1591" s="458" t="s">
        <v>253</v>
      </c>
      <c r="D1591" s="456">
        <f>IF(Table10[[#This Row],[Current Age]]&gt;19,"Men's",IF(E1591&gt;15,"U19",IF(E1591&gt;13,"U15",IF(E1591&gt;11,"U13",IF(E1591&gt;0,"U11",0)))))</f>
        <v>0</v>
      </c>
      <c r="E1591" s="456">
        <f>IFERROR(IF(Table10[[#This Row],[Year]]&gt;0,$E$1-Table10[[#This Row],[Year]],0),"")</f>
        <v>0</v>
      </c>
      <c r="F1591" s="456"/>
      <c r="G1591" s="456"/>
      <c r="H1591" s="456"/>
    </row>
    <row r="1592" spans="1:8">
      <c r="A1592" s="471">
        <v>2589</v>
      </c>
      <c r="B1592" s="493" t="s">
        <v>2410</v>
      </c>
      <c r="C1592" s="472" t="s">
        <v>253</v>
      </c>
      <c r="D1592" s="456">
        <f>IF(Table10[[#This Row],[Current Age]]&gt;19,"Men's",IF(E1592&gt;15,"U19",IF(E1592&gt;13,"U15",IF(E1592&gt;11,"U13",IF(E1592&gt;0,"U11",0)))))</f>
        <v>0</v>
      </c>
      <c r="E1592" s="456">
        <f>IFERROR(IF(Table10[[#This Row],[Year]]&gt;0,$E$1-Table10[[#This Row],[Year]],0),"")</f>
        <v>0</v>
      </c>
      <c r="F1592" s="456"/>
      <c r="G1592" s="456"/>
      <c r="H1592" s="456"/>
    </row>
    <row r="1593" spans="1:8">
      <c r="A1593" s="456">
        <v>2590</v>
      </c>
      <c r="B1593" s="469" t="s">
        <v>2411</v>
      </c>
      <c r="C1593" s="458" t="s">
        <v>4720</v>
      </c>
      <c r="D1593" s="456">
        <f>IF(Table10[[#This Row],[Current Age]]&gt;19,"Men's",IF(E1593&gt;15,"U19",IF(E1593&gt;13,"U15",IF(E1593&gt;11,"U13",IF(E1593&gt;0,"U11",0)))))</f>
        <v>0</v>
      </c>
      <c r="E1593" s="456">
        <f>IFERROR(IF(Table10[[#This Row],[Year]]&gt;0,$E$1-Table10[[#This Row],[Year]],0),"")</f>
        <v>0</v>
      </c>
      <c r="F1593" s="456"/>
      <c r="G1593" s="456"/>
      <c r="H1593" s="456"/>
    </row>
    <row r="1594" spans="1:8">
      <c r="A1594" s="471">
        <v>2591</v>
      </c>
      <c r="B1594" s="493" t="s">
        <v>2412</v>
      </c>
      <c r="C1594" s="472" t="s">
        <v>762</v>
      </c>
      <c r="D1594" s="456" t="str">
        <f>IF(Table10[[#This Row],[Current Age]]&gt;19,"Men's",IF(E1594&gt;15,"U19",IF(E1594&gt;13,"U15",IF(E1594&gt;11,"U13",IF(E1594&gt;0,"U11",0)))))</f>
        <v>Men's</v>
      </c>
      <c r="E1594" s="456">
        <f>IFERROR(IF(Table10[[#This Row],[Year]]&gt;0,$E$1-Table10[[#This Row],[Year]],0),"")</f>
        <v>22</v>
      </c>
      <c r="F1594" s="456">
        <v>2003</v>
      </c>
      <c r="G1594" s="456">
        <v>8</v>
      </c>
      <c r="H1594" s="456">
        <v>8</v>
      </c>
    </row>
    <row r="1595" spans="1:8">
      <c r="A1595" s="456">
        <v>2592</v>
      </c>
      <c r="B1595" s="469" t="s">
        <v>2413</v>
      </c>
      <c r="C1595" s="458" t="s">
        <v>243</v>
      </c>
      <c r="D1595" s="456">
        <f>IF(Table10[[#This Row],[Current Age]]&gt;19,"Men's",IF(E1595&gt;15,"U19",IF(E1595&gt;13,"U15",IF(E1595&gt;11,"U13",IF(E1595&gt;0,"U11",0)))))</f>
        <v>0</v>
      </c>
      <c r="E1595" s="456">
        <f>IFERROR(IF(Table10[[#This Row],[Year]]&gt;0,$E$1-Table10[[#This Row],[Year]],0),"")</f>
        <v>0</v>
      </c>
      <c r="F1595" s="456"/>
      <c r="G1595" s="456"/>
      <c r="H1595" s="456"/>
    </row>
    <row r="1596" spans="1:8">
      <c r="A1596" s="471">
        <v>2593</v>
      </c>
      <c r="B1596" s="493" t="s">
        <v>2414</v>
      </c>
      <c r="C1596" s="472" t="s">
        <v>243</v>
      </c>
      <c r="D1596" s="456">
        <f>IF(Table10[[#This Row],[Current Age]]&gt;19,"Men's",IF(E1596&gt;15,"U19",IF(E1596&gt;13,"U15",IF(E1596&gt;11,"U13",IF(E1596&gt;0,"U11",0)))))</f>
        <v>0</v>
      </c>
      <c r="E1596" s="456">
        <f>IFERROR(IF(Table10[[#This Row],[Year]]&gt;0,$E$1-Table10[[#This Row],[Year]],0),"")</f>
        <v>0</v>
      </c>
      <c r="F1596" s="456"/>
      <c r="G1596" s="456"/>
      <c r="H1596" s="456"/>
    </row>
    <row r="1597" spans="1:8">
      <c r="A1597" s="456">
        <v>2594</v>
      </c>
      <c r="B1597" s="469" t="s">
        <v>2415</v>
      </c>
      <c r="C1597" s="458" t="s">
        <v>243</v>
      </c>
      <c r="D1597" s="456">
        <f>IF(Table10[[#This Row],[Current Age]]&gt;19,"Men's",IF(E1597&gt;15,"U19",IF(E1597&gt;13,"U15",IF(E1597&gt;11,"U13",IF(E1597&gt;0,"U11",0)))))</f>
        <v>0</v>
      </c>
      <c r="E1597" s="456">
        <f>IFERROR(IF(Table10[[#This Row],[Year]]&gt;0,$E$1-Table10[[#This Row],[Year]],0),"")</f>
        <v>0</v>
      </c>
      <c r="F1597" s="456"/>
      <c r="G1597" s="456"/>
      <c r="H1597" s="456"/>
    </row>
    <row r="1598" spans="1:8">
      <c r="A1598" s="471">
        <v>2595</v>
      </c>
      <c r="B1598" s="493" t="s">
        <v>2416</v>
      </c>
      <c r="C1598" s="472" t="s">
        <v>4552</v>
      </c>
      <c r="D1598" s="456">
        <f>IF(Table10[[#This Row],[Current Age]]&gt;19,"Men's",IF(E1598&gt;15,"U19",IF(E1598&gt;13,"U15",IF(E1598&gt;11,"U13",IF(E1598&gt;0,"U11",0)))))</f>
        <v>0</v>
      </c>
      <c r="E1598" s="456">
        <f>IFERROR(IF(Table10[[#This Row],[Year]]&gt;0,$E$1-Table10[[#This Row],[Year]],0),"")</f>
        <v>0</v>
      </c>
      <c r="F1598" s="456"/>
      <c r="G1598" s="456"/>
      <c r="H1598" s="456"/>
    </row>
    <row r="1599" spans="1:8">
      <c r="A1599" s="456">
        <v>2596</v>
      </c>
      <c r="B1599" s="469" t="s">
        <v>2417</v>
      </c>
      <c r="C1599" s="458" t="s">
        <v>243</v>
      </c>
      <c r="D1599" s="456">
        <f>IF(Table10[[#This Row],[Current Age]]&gt;19,"Men's",IF(E1599&gt;15,"U19",IF(E1599&gt;13,"U15",IF(E1599&gt;11,"U13",IF(E1599&gt;0,"U11",0)))))</f>
        <v>0</v>
      </c>
      <c r="E1599" s="456">
        <f>IFERROR(IF(Table10[[#This Row],[Year]]&gt;0,$E$1-Table10[[#This Row],[Year]],0),"")</f>
        <v>0</v>
      </c>
      <c r="F1599" s="456"/>
      <c r="G1599" s="456"/>
      <c r="H1599" s="456"/>
    </row>
    <row r="1600" spans="1:8">
      <c r="A1600" s="471">
        <v>2597</v>
      </c>
      <c r="B1600" s="493" t="s">
        <v>2420</v>
      </c>
      <c r="C1600" s="472" t="s">
        <v>4552</v>
      </c>
      <c r="D1600" s="456">
        <f>IF(Table10[[#This Row],[Current Age]]&gt;19,"Men's",IF(E1600&gt;15,"U19",IF(E1600&gt;13,"U15",IF(E1600&gt;11,"U13",IF(E1600&gt;0,"U11",0)))))</f>
        <v>0</v>
      </c>
      <c r="E1600" s="456">
        <f>IFERROR(IF(Table10[[#This Row],[Year]]&gt;0,$E$1-Table10[[#This Row],[Year]],0),"")</f>
        <v>0</v>
      </c>
      <c r="F1600" s="456"/>
      <c r="G1600" s="456"/>
      <c r="H1600" s="456"/>
    </row>
    <row r="1601" spans="1:8">
      <c r="A1601" s="456">
        <v>2598</v>
      </c>
      <c r="B1601" s="469" t="s">
        <v>2421</v>
      </c>
      <c r="C1601" s="458" t="s">
        <v>243</v>
      </c>
      <c r="D1601" s="456">
        <f>IF(Table10[[#This Row],[Current Age]]&gt;19,"Men's",IF(E1601&gt;15,"U19",IF(E1601&gt;13,"U15",IF(E1601&gt;11,"U13",IF(E1601&gt;0,"U11",0)))))</f>
        <v>0</v>
      </c>
      <c r="E1601" s="456">
        <f>IFERROR(IF(Table10[[#This Row],[Year]]&gt;0,$E$1-Table10[[#This Row],[Year]],0),"")</f>
        <v>0</v>
      </c>
      <c r="F1601" s="456"/>
      <c r="G1601" s="456"/>
      <c r="H1601" s="456"/>
    </row>
    <row r="1602" spans="1:8">
      <c r="A1602" s="471">
        <v>2599</v>
      </c>
      <c r="B1602" s="535" t="s">
        <v>2422</v>
      </c>
      <c r="C1602" s="491" t="s">
        <v>4552</v>
      </c>
      <c r="D1602" s="456">
        <f>IF(Table10[[#This Row],[Current Age]]&gt;19,"Men's",IF(E1602&gt;15,"U19",IF(E1602&gt;13,"U15",IF(E1602&gt;11,"U13",IF(E1602&gt;0,"U11",0)))))</f>
        <v>0</v>
      </c>
      <c r="E1602" s="456">
        <f>IFERROR(IF(Table10[[#This Row],[Year]]&gt;0,$E$1-Table10[[#This Row],[Year]],0),"")</f>
        <v>0</v>
      </c>
      <c r="F1602" s="456"/>
      <c r="G1602" s="456"/>
      <c r="H1602" s="456"/>
    </row>
    <row r="1603" spans="1:8">
      <c r="A1603" s="456">
        <v>2600</v>
      </c>
      <c r="B1603" s="469" t="s">
        <v>2423</v>
      </c>
      <c r="C1603" s="492" t="s">
        <v>4552</v>
      </c>
      <c r="D1603" s="456">
        <f>IF(Table10[[#This Row],[Current Age]]&gt;19,"Men's",IF(E1603&gt;15,"U19",IF(E1603&gt;13,"U15",IF(E1603&gt;11,"U13",IF(E1603&gt;0,"U11",0)))))</f>
        <v>0</v>
      </c>
      <c r="E1603" s="456">
        <f>IFERROR(IF(Table10[[#This Row],[Year]]&gt;0,$E$1-Table10[[#This Row],[Year]],0),"")</f>
        <v>0</v>
      </c>
      <c r="F1603" s="456"/>
      <c r="G1603" s="456"/>
      <c r="H1603" s="456"/>
    </row>
    <row r="1604" spans="1:8">
      <c r="A1604" s="471">
        <v>2601</v>
      </c>
      <c r="B1604" s="493" t="s">
        <v>2424</v>
      </c>
      <c r="C1604" s="491" t="s">
        <v>4552</v>
      </c>
      <c r="D1604" s="456">
        <f>IF(Table10[[#This Row],[Current Age]]&gt;19,"Men's",IF(E1604&gt;15,"U19",IF(E1604&gt;13,"U15",IF(E1604&gt;11,"U13",IF(E1604&gt;0,"U11",0)))))</f>
        <v>0</v>
      </c>
      <c r="E1604" s="456">
        <f>IFERROR(IF(Table10[[#This Row],[Year]]&gt;0,$E$1-Table10[[#This Row],[Year]],0),"")</f>
        <v>0</v>
      </c>
      <c r="F1604" s="456"/>
      <c r="G1604" s="456"/>
      <c r="H1604" s="456"/>
    </row>
    <row r="1605" spans="1:8">
      <c r="A1605" s="456">
        <v>2602</v>
      </c>
      <c r="B1605" s="469" t="s">
        <v>2426</v>
      </c>
      <c r="C1605" s="492" t="s">
        <v>4552</v>
      </c>
      <c r="D1605" s="456" t="str">
        <f>IF(Table10[[#This Row],[Current Age]]&gt;19,"Men's",IF(E1605&gt;15,"U19",IF(E1605&gt;13,"U15",IF(E1605&gt;11,"U13",IF(E1605&gt;0,"U11",0)))))</f>
        <v>Men's</v>
      </c>
      <c r="E1605" s="456">
        <f>IFERROR(IF(Table10[[#This Row],[Year]]&gt;0,$E$1-Table10[[#This Row],[Year]],0),"")</f>
        <v>50</v>
      </c>
      <c r="F1605" s="456">
        <v>1975</v>
      </c>
      <c r="G1605" s="456">
        <v>2</v>
      </c>
      <c r="H1605" s="456">
        <v>6</v>
      </c>
    </row>
    <row r="1606" spans="1:8">
      <c r="A1606" s="471">
        <v>2603</v>
      </c>
      <c r="B1606" s="493" t="s">
        <v>2427</v>
      </c>
      <c r="C1606" s="491" t="s">
        <v>4552</v>
      </c>
      <c r="D1606" s="456" t="str">
        <f>IF(Table10[[#This Row],[Current Age]]&gt;19,"Men's",IF(E1606&gt;15,"U19",IF(E1606&gt;13,"U15",IF(E1606&gt;11,"U13",IF(E1606&gt;0,"U11",0)))))</f>
        <v>Men's</v>
      </c>
      <c r="E1606" s="456">
        <f>IFERROR(IF(Table10[[#This Row],[Year]]&gt;0,$E$1-Table10[[#This Row],[Year]],0),"")</f>
        <v>49</v>
      </c>
      <c r="F1606" s="456">
        <v>1976</v>
      </c>
      <c r="G1606" s="456">
        <v>7</v>
      </c>
      <c r="H1606" s="456">
        <v>16</v>
      </c>
    </row>
    <row r="1607" spans="1:8">
      <c r="A1607" s="456">
        <v>2604</v>
      </c>
      <c r="B1607" s="469" t="s">
        <v>2441</v>
      </c>
      <c r="C1607" s="458" t="s">
        <v>361</v>
      </c>
      <c r="D1607" s="456" t="str">
        <f>IF(Table10[[#This Row],[Current Age]]&gt;19,"Men's",IF(E1607&gt;15,"U19",IF(E1607&gt;13,"U15",IF(E1607&gt;11,"U13",IF(E1607&gt;0,"U11",0)))))</f>
        <v>U19</v>
      </c>
      <c r="E1607" s="456">
        <f>IFERROR(IF(Table10[[#This Row],[Year]]&gt;0,$E$1-Table10[[#This Row],[Year]],0),"")</f>
        <v>17</v>
      </c>
      <c r="F1607" s="456">
        <v>2008</v>
      </c>
      <c r="G1607" s="456">
        <v>12</v>
      </c>
      <c r="H1607" s="456">
        <v>6</v>
      </c>
    </row>
    <row r="1608" spans="1:8">
      <c r="A1608" s="471">
        <v>2605</v>
      </c>
      <c r="B1608" s="493" t="s">
        <v>2442</v>
      </c>
      <c r="C1608" s="472" t="s">
        <v>361</v>
      </c>
      <c r="D1608" s="456" t="str">
        <f>IF(Table10[[#This Row],[Current Age]]&gt;19,"Men's",IF(E1608&gt;15,"U19",IF(E1608&gt;13,"U15",IF(E1608&gt;11,"U13",IF(E1608&gt;0,"U11",0)))))</f>
        <v>U15</v>
      </c>
      <c r="E1608" s="456">
        <f>IFERROR(IF(Table10[[#This Row],[Year]]&gt;0,$E$1-Table10[[#This Row],[Year]],0),"")</f>
        <v>15</v>
      </c>
      <c r="F1608" s="456">
        <v>2010</v>
      </c>
      <c r="G1608" s="456">
        <v>12</v>
      </c>
      <c r="H1608" s="456">
        <v>18</v>
      </c>
    </row>
    <row r="1609" spans="1:8">
      <c r="A1609" s="456">
        <v>2606</v>
      </c>
      <c r="B1609" s="469" t="s">
        <v>2443</v>
      </c>
      <c r="C1609" s="458" t="s">
        <v>361</v>
      </c>
      <c r="D1609" s="456" t="str">
        <f>IF(Table10[[#This Row],[Current Age]]&gt;19,"Men's",IF(E1609&gt;15,"U19",IF(E1609&gt;13,"U15",IF(E1609&gt;11,"U13",IF(E1609&gt;0,"U11",0)))))</f>
        <v>U19</v>
      </c>
      <c r="E1609" s="456">
        <f>IFERROR(IF(Table10[[#This Row],[Year]]&gt;0,$E$1-Table10[[#This Row],[Year]],0),"")</f>
        <v>17</v>
      </c>
      <c r="F1609" s="456">
        <v>2008</v>
      </c>
      <c r="G1609" s="456">
        <v>8</v>
      </c>
      <c r="H1609" s="456">
        <v>23</v>
      </c>
    </row>
    <row r="1610" spans="1:8">
      <c r="A1610" s="471">
        <v>2607</v>
      </c>
      <c r="B1610" s="493" t="s">
        <v>2444</v>
      </c>
      <c r="C1610" s="472" t="s">
        <v>361</v>
      </c>
      <c r="D1610" s="456" t="str">
        <f>IF(Table10[[#This Row],[Current Age]]&gt;19,"Men's",IF(E1610&gt;15,"U19",IF(E1610&gt;13,"U15",IF(E1610&gt;11,"U13",IF(E1610&gt;0,"U11",0)))))</f>
        <v>U19</v>
      </c>
      <c r="E1610" s="456">
        <f>IFERROR(IF(Table10[[#This Row],[Year]]&gt;0,$E$1-Table10[[#This Row],[Year]],0),"")</f>
        <v>18</v>
      </c>
      <c r="F1610" s="456">
        <v>2007</v>
      </c>
      <c r="G1610" s="456">
        <v>7</v>
      </c>
      <c r="H1610" s="456">
        <v>23</v>
      </c>
    </row>
    <row r="1611" spans="1:8">
      <c r="A1611" s="456">
        <v>2608</v>
      </c>
      <c r="B1611" s="469" t="s">
        <v>2445</v>
      </c>
      <c r="C1611" s="458" t="s">
        <v>361</v>
      </c>
      <c r="D1611" s="456" t="str">
        <f>IF(Table10[[#This Row],[Current Age]]&gt;19,"Men's",IF(E1611&gt;15,"U19",IF(E1611&gt;13,"U15",IF(E1611&gt;11,"U13",IF(E1611&gt;0,"U11",0)))))</f>
        <v>U19</v>
      </c>
      <c r="E1611" s="456">
        <f>IFERROR(IF(Table10[[#This Row],[Year]]&gt;0,$E$1-Table10[[#This Row],[Year]],0),"")</f>
        <v>18</v>
      </c>
      <c r="F1611" s="456">
        <v>2007</v>
      </c>
      <c r="G1611" s="456">
        <v>7</v>
      </c>
      <c r="H1611" s="456">
        <v>23</v>
      </c>
    </row>
    <row r="1612" spans="1:8">
      <c r="A1612" s="471">
        <v>2609</v>
      </c>
      <c r="B1612" s="493" t="s">
        <v>2446</v>
      </c>
      <c r="C1612" s="472" t="s">
        <v>361</v>
      </c>
      <c r="D1612" s="456" t="str">
        <f>IF(Table10[[#This Row],[Current Age]]&gt;19,"Men's",IF(E1612&gt;15,"U19",IF(E1612&gt;13,"U15",IF(E1612&gt;11,"U13",IF(E1612&gt;0,"U11",0)))))</f>
        <v>Men's</v>
      </c>
      <c r="E1612" s="456">
        <f>IFERROR(IF(Table10[[#This Row],[Year]]&gt;0,$E$1-Table10[[#This Row],[Year]],0),"")</f>
        <v>24</v>
      </c>
      <c r="F1612" s="456">
        <v>2001</v>
      </c>
      <c r="G1612" s="456">
        <v>10</v>
      </c>
      <c r="H1612" s="456">
        <v>4</v>
      </c>
    </row>
    <row r="1613" spans="1:8">
      <c r="A1613" s="456">
        <v>2610</v>
      </c>
      <c r="B1613" s="469" t="s">
        <v>2447</v>
      </c>
      <c r="C1613" s="458" t="s">
        <v>361</v>
      </c>
      <c r="D1613" s="456" t="str">
        <f>IF(Table10[[#This Row],[Current Age]]&gt;19,"Men's",IF(E1613&gt;15,"U19",IF(E1613&gt;13,"U15",IF(E1613&gt;11,"U13",IF(E1613&gt;0,"U11",0)))))</f>
        <v>Men's</v>
      </c>
      <c r="E1613" s="456">
        <f>IFERROR(IF(Table10[[#This Row],[Year]]&gt;0,$E$1-Table10[[#This Row],[Year]],0),"")</f>
        <v>56</v>
      </c>
      <c r="F1613" s="456">
        <v>1969</v>
      </c>
      <c r="G1613" s="456"/>
      <c r="H1613" s="456"/>
    </row>
    <row r="1614" spans="1:8">
      <c r="A1614" s="471">
        <v>2611</v>
      </c>
      <c r="B1614" s="493" t="s">
        <v>2448</v>
      </c>
      <c r="C1614" s="472" t="s">
        <v>361</v>
      </c>
      <c r="D1614" s="456" t="str">
        <f>IF(Table10[[#This Row],[Current Age]]&gt;19,"Men's",IF(E1614&gt;15,"U19",IF(E1614&gt;13,"U15",IF(E1614&gt;11,"U13",IF(E1614&gt;0,"U11",0)))))</f>
        <v>Men's</v>
      </c>
      <c r="E1614" s="456">
        <f>IFERROR(IF(Table10[[#This Row],[Year]]&gt;0,$E$1-Table10[[#This Row],[Year]],0),"")</f>
        <v>47</v>
      </c>
      <c r="F1614" s="456">
        <v>1978</v>
      </c>
      <c r="G1614" s="456">
        <v>1</v>
      </c>
      <c r="H1614" s="456">
        <v>14</v>
      </c>
    </row>
    <row r="1615" spans="1:8">
      <c r="A1615" s="456">
        <v>2612</v>
      </c>
      <c r="B1615" s="469" t="s">
        <v>2449</v>
      </c>
      <c r="C1615" s="458" t="s">
        <v>361</v>
      </c>
      <c r="D1615" s="456" t="str">
        <f>IF(Table10[[#This Row],[Current Age]]&gt;19,"Men's",IF(E1615&gt;15,"U19",IF(E1615&gt;13,"U15",IF(E1615&gt;11,"U13",IF(E1615&gt;0,"U11",0)))))</f>
        <v>Men's</v>
      </c>
      <c r="E1615" s="456">
        <f>IFERROR(IF(Table10[[#This Row],[Year]]&gt;0,$E$1-Table10[[#This Row],[Year]],0),"")</f>
        <v>56</v>
      </c>
      <c r="F1615" s="456">
        <v>1969</v>
      </c>
      <c r="G1615" s="456">
        <v>2</v>
      </c>
      <c r="H1615" s="456">
        <v>20</v>
      </c>
    </row>
    <row r="1616" spans="1:8">
      <c r="A1616" s="471">
        <v>2613</v>
      </c>
      <c r="B1616" s="493" t="s">
        <v>2450</v>
      </c>
      <c r="C1616" s="472" t="s">
        <v>361</v>
      </c>
      <c r="D1616" s="456" t="str">
        <f>IF(Table10[[#This Row],[Current Age]]&gt;19,"Men's",IF(E1616&gt;15,"U19",IF(E1616&gt;13,"U15",IF(E1616&gt;11,"U13",IF(E1616&gt;0,"U11",0)))))</f>
        <v>Men's</v>
      </c>
      <c r="E1616" s="456">
        <f>IFERROR(IF(Table10[[#This Row],[Year]]&gt;0,$E$1-Table10[[#This Row],[Year]],0),"")</f>
        <v>56</v>
      </c>
      <c r="F1616" s="456">
        <v>1969</v>
      </c>
      <c r="G1616" s="456">
        <v>8</v>
      </c>
      <c r="H1616" s="456">
        <v>3</v>
      </c>
    </row>
    <row r="1617" spans="1:8">
      <c r="A1617" s="456">
        <v>2614</v>
      </c>
      <c r="B1617" s="522" t="s">
        <v>6175</v>
      </c>
      <c r="C1617" s="458" t="s">
        <v>243</v>
      </c>
      <c r="D1617" s="456" t="str">
        <f>IF(Table10[[#This Row],[Current Age]]&gt;19,"Men's",IF(E1617&gt;15,"U19",IF(E1617&gt;13,"U15",IF(E1617&gt;11,"U13",IF(E1617&gt;0,"U11",0)))))</f>
        <v>Men's</v>
      </c>
      <c r="E1617" s="456">
        <f>IFERROR(IF(Table10[[#This Row],[Year]]&gt;0,$E$1-Table10[[#This Row],[Year]],0),"")</f>
        <v>50</v>
      </c>
      <c r="F1617" s="456">
        <v>1975</v>
      </c>
      <c r="G1617" s="456">
        <v>6</v>
      </c>
      <c r="H1617" s="456">
        <v>25</v>
      </c>
    </row>
    <row r="1618" spans="1:8">
      <c r="A1618" s="471">
        <v>2615</v>
      </c>
      <c r="B1618" s="493" t="s">
        <v>2452</v>
      </c>
      <c r="C1618" s="472" t="s">
        <v>361</v>
      </c>
      <c r="D1618" s="456">
        <f>IF(Table10[[#This Row],[Current Age]]&gt;19,"Men's",IF(E1618&gt;15,"U19",IF(E1618&gt;13,"U15",IF(E1618&gt;11,"U13",IF(E1618&gt;0,"U11",0)))))</f>
        <v>0</v>
      </c>
      <c r="E1618" s="456">
        <f>IFERROR(IF(Table10[[#This Row],[Year]]&gt;0,$E$1-Table10[[#This Row],[Year]],0),"")</f>
        <v>0</v>
      </c>
      <c r="F1618" s="456"/>
      <c r="G1618" s="456"/>
      <c r="H1618" s="456"/>
    </row>
    <row r="1619" spans="1:8">
      <c r="A1619" s="456">
        <v>2616</v>
      </c>
      <c r="B1619" s="533" t="s">
        <v>3327</v>
      </c>
      <c r="C1619" s="458" t="s">
        <v>251</v>
      </c>
      <c r="D1619" s="456">
        <f>IF(Table10[[#This Row],[Current Age]]&gt;19,"Men's",IF(E1619&gt;15,"U19",IF(E1619&gt;13,"U15",IF(E1619&gt;11,"U13",IF(E1619&gt;0,"U11",0)))))</f>
        <v>0</v>
      </c>
      <c r="E1619" s="456">
        <f>IFERROR(IF(Table10[[#This Row],[Year]]&gt;0,$E$1-Table10[[#This Row],[Year]],0),"")</f>
        <v>0</v>
      </c>
      <c r="F1619" s="456"/>
      <c r="G1619" s="456"/>
      <c r="H1619" s="456"/>
    </row>
    <row r="1620" spans="1:8">
      <c r="A1620" s="471">
        <v>2617</v>
      </c>
      <c r="B1620" s="493" t="s">
        <v>2453</v>
      </c>
      <c r="C1620" s="472" t="s">
        <v>361</v>
      </c>
      <c r="D1620" s="456">
        <f>IF(Table10[[#This Row],[Current Age]]&gt;19,"Men's",IF(E1620&gt;15,"U19",IF(E1620&gt;13,"U15",IF(E1620&gt;11,"U13",IF(E1620&gt;0,"U11",0)))))</f>
        <v>0</v>
      </c>
      <c r="E1620" s="456">
        <f>IFERROR(IF(Table10[[#This Row],[Year]]&gt;0,$E$1-Table10[[#This Row],[Year]],0),"")</f>
        <v>0</v>
      </c>
      <c r="F1620" s="456"/>
      <c r="G1620" s="456"/>
      <c r="H1620" s="456"/>
    </row>
    <row r="1621" spans="1:8">
      <c r="A1621" s="456">
        <v>2618</v>
      </c>
      <c r="B1621" s="533" t="s">
        <v>3328</v>
      </c>
      <c r="C1621" s="458" t="s">
        <v>251</v>
      </c>
      <c r="D1621" s="456" t="str">
        <f>IF(Table10[[#This Row],[Current Age]]&gt;19,"Men's",IF(E1621&gt;15,"U19",IF(E1621&gt;13,"U15",IF(E1621&gt;11,"U13",IF(E1621&gt;0,"U11",0)))))</f>
        <v>Men's</v>
      </c>
      <c r="E1621" s="456">
        <f>IFERROR(IF(Table10[[#This Row],[Year]]&gt;0,$E$1-Table10[[#This Row],[Year]],0),"")</f>
        <v>47</v>
      </c>
      <c r="F1621" s="456">
        <v>1978</v>
      </c>
      <c r="G1621" s="456">
        <v>8</v>
      </c>
      <c r="H1621" s="456">
        <v>15</v>
      </c>
    </row>
    <row r="1622" spans="1:8">
      <c r="A1622" s="471">
        <v>2619</v>
      </c>
      <c r="B1622" s="493" t="s">
        <v>3329</v>
      </c>
      <c r="C1622" s="472" t="s">
        <v>251</v>
      </c>
      <c r="D1622" s="456">
        <f>IF(Table10[[#This Row],[Current Age]]&gt;19,"Men's",IF(E1622&gt;15,"U19",IF(E1622&gt;13,"U15",IF(E1622&gt;11,"U13",IF(E1622&gt;0,"U11",0)))))</f>
        <v>0</v>
      </c>
      <c r="E1622" s="456">
        <f>IFERROR(IF(Table10[[#This Row],[Year]]&gt;0,$E$1-Table10[[#This Row],[Year]],0),"")</f>
        <v>0</v>
      </c>
      <c r="F1622" s="456"/>
      <c r="G1622" s="456"/>
      <c r="H1622" s="456"/>
    </row>
    <row r="1623" spans="1:8">
      <c r="A1623" s="456">
        <v>2620</v>
      </c>
      <c r="B1623" s="533" t="s">
        <v>3330</v>
      </c>
      <c r="C1623" s="458" t="s">
        <v>251</v>
      </c>
      <c r="D1623" s="456">
        <f>IF(Table10[[#This Row],[Current Age]]&gt;19,"Men's",IF(E1623&gt;15,"U19",IF(E1623&gt;13,"U15",IF(E1623&gt;11,"U13",IF(E1623&gt;0,"U11",0)))))</f>
        <v>0</v>
      </c>
      <c r="E1623" s="456">
        <f>IFERROR(IF(Table10[[#This Row],[Year]]&gt;0,$E$1-Table10[[#This Row],[Year]],0),"")</f>
        <v>0</v>
      </c>
      <c r="F1623" s="456"/>
      <c r="G1623" s="456"/>
      <c r="H1623" s="456"/>
    </row>
    <row r="1624" spans="1:8">
      <c r="A1624" s="471">
        <v>2621</v>
      </c>
      <c r="B1624" s="493" t="s">
        <v>3331</v>
      </c>
      <c r="C1624" s="472" t="s">
        <v>3332</v>
      </c>
      <c r="D1624" s="456">
        <f>IF(Table10[[#This Row],[Current Age]]&gt;19,"Men's",IF(E1624&gt;15,"U19",IF(E1624&gt;13,"U15",IF(E1624&gt;11,"U13",IF(E1624&gt;0,"U11",0)))))</f>
        <v>0</v>
      </c>
      <c r="E1624" s="456">
        <f>IFERROR(IF(Table10[[#This Row],[Year]]&gt;0,$E$1-Table10[[#This Row],[Year]],0),"")</f>
        <v>0</v>
      </c>
      <c r="F1624" s="456"/>
      <c r="G1624" s="456"/>
      <c r="H1624" s="456"/>
    </row>
    <row r="1625" spans="1:8">
      <c r="A1625" s="456">
        <v>2622</v>
      </c>
      <c r="B1625" s="469" t="s">
        <v>2454</v>
      </c>
      <c r="C1625" s="458" t="s">
        <v>361</v>
      </c>
      <c r="D1625" s="456">
        <f>IF(Table10[[#This Row],[Current Age]]&gt;19,"Men's",IF(E1625&gt;15,"U19",IF(E1625&gt;13,"U15",IF(E1625&gt;11,"U13",IF(E1625&gt;0,"U11",0)))))</f>
        <v>0</v>
      </c>
      <c r="E1625" s="456">
        <f>IFERROR(IF(Table10[[#This Row],[Year]]&gt;0,$E$1-Table10[[#This Row],[Year]],0),"")</f>
        <v>0</v>
      </c>
      <c r="F1625" s="456"/>
      <c r="G1625" s="456"/>
      <c r="H1625" s="456"/>
    </row>
    <row r="1626" spans="1:8">
      <c r="A1626" s="471">
        <v>2623</v>
      </c>
      <c r="B1626" s="534" t="s">
        <v>3333</v>
      </c>
      <c r="C1626" s="472" t="s">
        <v>3332</v>
      </c>
      <c r="D1626" s="456">
        <f>IF(Table10[[#This Row],[Current Age]]&gt;19,"Men's",IF(E1626&gt;15,"U19",IF(E1626&gt;13,"U15",IF(E1626&gt;11,"U13",IF(E1626&gt;0,"U11",0)))))</f>
        <v>0</v>
      </c>
      <c r="E1626" s="456">
        <f>IFERROR(IF(Table10[[#This Row],[Year]]&gt;0,$E$1-Table10[[#This Row],[Year]],0),"")</f>
        <v>0</v>
      </c>
      <c r="F1626" s="456"/>
      <c r="G1626" s="456"/>
      <c r="H1626" s="456"/>
    </row>
    <row r="1627" spans="1:8">
      <c r="A1627" s="456">
        <v>2624</v>
      </c>
      <c r="B1627" s="533" t="s">
        <v>3334</v>
      </c>
      <c r="C1627" s="458" t="s">
        <v>3332</v>
      </c>
      <c r="D1627" s="456">
        <f>IF(Table10[[#This Row],[Current Age]]&gt;19,"Men's",IF(E1627&gt;15,"U19",IF(E1627&gt;13,"U15",IF(E1627&gt;11,"U13",IF(E1627&gt;0,"U11",0)))))</f>
        <v>0</v>
      </c>
      <c r="E1627" s="456">
        <f>IFERROR(IF(Table10[[#This Row],[Year]]&gt;0,$E$1-Table10[[#This Row],[Year]],0),"")</f>
        <v>0</v>
      </c>
      <c r="F1627" s="456"/>
      <c r="G1627" s="456"/>
      <c r="H1627" s="456"/>
    </row>
    <row r="1628" spans="1:8">
      <c r="A1628" s="471">
        <v>2625</v>
      </c>
      <c r="B1628" s="493" t="s">
        <v>2455</v>
      </c>
      <c r="C1628" s="472" t="s">
        <v>361</v>
      </c>
      <c r="D1628" s="456">
        <f>IF(Table10[[#This Row],[Current Age]]&gt;19,"Men's",IF(E1628&gt;15,"U19",IF(E1628&gt;13,"U15",IF(E1628&gt;11,"U13",IF(E1628&gt;0,"U11",0)))))</f>
        <v>0</v>
      </c>
      <c r="E1628" s="456">
        <f>IFERROR(IF(Table10[[#This Row],[Year]]&gt;0,$E$1-Table10[[#This Row],[Year]],0),"")</f>
        <v>0</v>
      </c>
      <c r="F1628" s="456"/>
      <c r="G1628" s="456"/>
      <c r="H1628" s="456"/>
    </row>
    <row r="1629" spans="1:8">
      <c r="A1629" s="456">
        <v>2626</v>
      </c>
      <c r="B1629" s="469" t="s">
        <v>2456</v>
      </c>
      <c r="C1629" s="458" t="s">
        <v>361</v>
      </c>
      <c r="D1629" s="456">
        <f>IF(Table10[[#This Row],[Current Age]]&gt;19,"Men's",IF(E1629&gt;15,"U19",IF(E1629&gt;13,"U15",IF(E1629&gt;11,"U13",IF(E1629&gt;0,"U11",0)))))</f>
        <v>0</v>
      </c>
      <c r="E1629" s="456">
        <f>IFERROR(IF(Table10[[#This Row],[Year]]&gt;0,$E$1-Table10[[#This Row],[Year]],0),"")</f>
        <v>0</v>
      </c>
      <c r="F1629" s="456"/>
      <c r="G1629" s="456"/>
      <c r="H1629" s="456"/>
    </row>
    <row r="1630" spans="1:8">
      <c r="A1630" s="471">
        <v>2627</v>
      </c>
      <c r="B1630" s="493" t="s">
        <v>2457</v>
      </c>
      <c r="C1630" s="472" t="s">
        <v>361</v>
      </c>
      <c r="D1630" s="456">
        <f>IF(Table10[[#This Row],[Current Age]]&gt;19,"Men's",IF(E1630&gt;15,"U19",IF(E1630&gt;13,"U15",IF(E1630&gt;11,"U13",IF(E1630&gt;0,"U11",0)))))</f>
        <v>0</v>
      </c>
      <c r="E1630" s="456">
        <f>IFERROR(IF(Table10[[#This Row],[Year]]&gt;0,$E$1-Table10[[#This Row],[Year]],0),"")</f>
        <v>0</v>
      </c>
      <c r="F1630" s="456"/>
      <c r="G1630" s="456"/>
      <c r="H1630" s="456"/>
    </row>
    <row r="1631" spans="1:8">
      <c r="A1631" s="456">
        <v>2628</v>
      </c>
      <c r="B1631" s="469" t="s">
        <v>2458</v>
      </c>
      <c r="C1631" s="458" t="s">
        <v>361</v>
      </c>
      <c r="D1631" s="456">
        <f>IF(Table10[[#This Row],[Current Age]]&gt;19,"Men's",IF(E1631&gt;15,"U19",IF(E1631&gt;13,"U15",IF(E1631&gt;11,"U13",IF(E1631&gt;0,"U11",0)))))</f>
        <v>0</v>
      </c>
      <c r="E1631" s="456">
        <f>IFERROR(IF(Table10[[#This Row],[Year]]&gt;0,$E$1-Table10[[#This Row],[Year]],0),"")</f>
        <v>0</v>
      </c>
      <c r="F1631" s="456"/>
      <c r="G1631" s="456"/>
      <c r="H1631" s="456"/>
    </row>
    <row r="1632" spans="1:8">
      <c r="A1632" s="471">
        <v>2629</v>
      </c>
      <c r="B1632" s="493" t="s">
        <v>2459</v>
      </c>
      <c r="C1632" s="472" t="s">
        <v>361</v>
      </c>
      <c r="D1632" s="456">
        <f>IF(Table10[[#This Row],[Current Age]]&gt;19,"Men's",IF(E1632&gt;15,"U19",IF(E1632&gt;13,"U15",IF(E1632&gt;11,"U13",IF(E1632&gt;0,"U11",0)))))</f>
        <v>0</v>
      </c>
      <c r="E1632" s="456">
        <f>IFERROR(IF(Table10[[#This Row],[Year]]&gt;0,$E$1-Table10[[#This Row],[Year]],0),"")</f>
        <v>0</v>
      </c>
      <c r="F1632" s="456"/>
      <c r="G1632" s="456"/>
      <c r="H1632" s="456"/>
    </row>
    <row r="1633" spans="1:8">
      <c r="A1633" s="456">
        <v>2630</v>
      </c>
      <c r="B1633" s="469" t="s">
        <v>2460</v>
      </c>
      <c r="C1633" s="458" t="s">
        <v>361</v>
      </c>
      <c r="D1633" s="456">
        <f>IF(Table10[[#This Row],[Current Age]]&gt;19,"Men's",IF(E1633&gt;15,"U19",IF(E1633&gt;13,"U15",IF(E1633&gt;11,"U13",IF(E1633&gt;0,"U11",0)))))</f>
        <v>0</v>
      </c>
      <c r="E1633" s="456">
        <f>IFERROR(IF(Table10[[#This Row],[Year]]&gt;0,$E$1-Table10[[#This Row],[Year]],0),"")</f>
        <v>0</v>
      </c>
      <c r="F1633" s="456"/>
      <c r="G1633" s="456"/>
      <c r="H1633" s="456"/>
    </row>
    <row r="1634" spans="1:8">
      <c r="A1634" s="471">
        <v>2631</v>
      </c>
      <c r="B1634" s="493" t="s">
        <v>2468</v>
      </c>
      <c r="C1634" s="472" t="s">
        <v>762</v>
      </c>
      <c r="D1634" s="456">
        <f>IF(Table10[[#This Row],[Current Age]]&gt;19,"Men's",IF(E1634&gt;15,"U19",IF(E1634&gt;13,"U15",IF(E1634&gt;11,"U13",IF(E1634&gt;0,"U11",0)))))</f>
        <v>0</v>
      </c>
      <c r="E1634" s="456">
        <f>IFERROR(IF(Table10[[#This Row],[Year]]&gt;0,$E$1-Table10[[#This Row],[Year]],0),"")</f>
        <v>0</v>
      </c>
      <c r="F1634" s="456"/>
      <c r="G1634" s="456"/>
      <c r="H1634" s="456"/>
    </row>
    <row r="1635" spans="1:8">
      <c r="A1635" s="456">
        <v>2632</v>
      </c>
      <c r="B1635" s="469" t="s">
        <v>2467</v>
      </c>
      <c r="C1635" s="458" t="s">
        <v>762</v>
      </c>
      <c r="D1635" s="456">
        <f>IF(Table10[[#This Row],[Current Age]]&gt;19,"Men's",IF(E1635&gt;15,"U19",IF(E1635&gt;13,"U15",IF(E1635&gt;11,"U13",IF(E1635&gt;0,"U11",0)))))</f>
        <v>0</v>
      </c>
      <c r="E1635" s="456">
        <f>IFERROR(IF(Table10[[#This Row],[Year]]&gt;0,$E$1-Table10[[#This Row],[Year]],0),"")</f>
        <v>0</v>
      </c>
      <c r="F1635" s="456"/>
      <c r="G1635" s="456"/>
      <c r="H1635" s="456"/>
    </row>
    <row r="1636" spans="1:8">
      <c r="A1636" s="471">
        <v>2633</v>
      </c>
      <c r="B1636" s="493" t="s">
        <v>2469</v>
      </c>
      <c r="C1636" s="472" t="s">
        <v>251</v>
      </c>
      <c r="D1636" s="456">
        <f>IF(Table10[[#This Row],[Current Age]]&gt;19,"Men's",IF(E1636&gt;15,"U19",IF(E1636&gt;13,"U15",IF(E1636&gt;11,"U13",IF(E1636&gt;0,"U11",0)))))</f>
        <v>0</v>
      </c>
      <c r="E1636" s="456">
        <f>IFERROR(IF(Table10[[#This Row],[Year]]&gt;0,$E$1-Table10[[#This Row],[Year]],0),"")</f>
        <v>0</v>
      </c>
      <c r="F1636" s="456"/>
      <c r="G1636" s="456"/>
      <c r="H1636" s="456"/>
    </row>
    <row r="1637" spans="1:8">
      <c r="A1637" s="456">
        <v>2634</v>
      </c>
      <c r="B1637" s="469" t="s">
        <v>2470</v>
      </c>
      <c r="C1637" s="458" t="s">
        <v>251</v>
      </c>
      <c r="D1637" s="456">
        <f>IF(Table10[[#This Row],[Current Age]]&gt;19,"Men's",IF(E1637&gt;15,"U19",IF(E1637&gt;13,"U15",IF(E1637&gt;11,"U13",IF(E1637&gt;0,"U11",0)))))</f>
        <v>0</v>
      </c>
      <c r="E1637" s="456">
        <f>IFERROR(IF(Table10[[#This Row],[Year]]&gt;0,$E$1-Table10[[#This Row],[Year]],0),"")</f>
        <v>0</v>
      </c>
      <c r="F1637" s="456"/>
      <c r="G1637" s="456"/>
      <c r="H1637" s="456"/>
    </row>
    <row r="1638" spans="1:8">
      <c r="A1638" s="471">
        <v>2635</v>
      </c>
      <c r="B1638" s="493" t="s">
        <v>2471</v>
      </c>
      <c r="C1638" s="472" t="s">
        <v>251</v>
      </c>
      <c r="D1638" s="456">
        <f>IF(Table10[[#This Row],[Current Age]]&gt;19,"Men's",IF(E1638&gt;15,"U19",IF(E1638&gt;13,"U15",IF(E1638&gt;11,"U13",IF(E1638&gt;0,"U11",0)))))</f>
        <v>0</v>
      </c>
      <c r="E1638" s="456">
        <f>IFERROR(IF(Table10[[#This Row],[Year]]&gt;0,$E$1-Table10[[#This Row],[Year]],0),"")</f>
        <v>0</v>
      </c>
      <c r="F1638" s="456"/>
      <c r="G1638" s="456"/>
      <c r="H1638" s="456"/>
    </row>
    <row r="1639" spans="1:8">
      <c r="A1639" s="456">
        <v>2636</v>
      </c>
      <c r="B1639" s="469" t="s">
        <v>2472</v>
      </c>
      <c r="C1639" s="458" t="s">
        <v>251</v>
      </c>
      <c r="D1639" s="456">
        <f>IF(Table10[[#This Row],[Current Age]]&gt;19,"Men's",IF(E1639&gt;15,"U19",IF(E1639&gt;13,"U15",IF(E1639&gt;11,"U13",IF(E1639&gt;0,"U11",0)))))</f>
        <v>0</v>
      </c>
      <c r="E1639" s="456">
        <f>IFERROR(IF(Table10[[#This Row],[Year]]&gt;0,$E$1-Table10[[#This Row],[Year]],0),"")</f>
        <v>0</v>
      </c>
      <c r="F1639" s="456"/>
      <c r="G1639" s="456"/>
      <c r="H1639" s="456"/>
    </row>
    <row r="1640" spans="1:8">
      <c r="A1640" s="471">
        <v>2637</v>
      </c>
      <c r="B1640" s="493" t="s">
        <v>2478</v>
      </c>
      <c r="C1640" s="472" t="s">
        <v>762</v>
      </c>
      <c r="D1640" s="456">
        <f>IF(Table10[[#This Row],[Current Age]]&gt;19,"Men's",IF(E1640&gt;15,"U19",IF(E1640&gt;13,"U15",IF(E1640&gt;11,"U13",IF(E1640&gt;0,"U11",0)))))</f>
        <v>0</v>
      </c>
      <c r="E1640" s="456">
        <f>IFERROR(IF(Table10[[#This Row],[Year]]&gt;0,$E$1-Table10[[#This Row],[Year]],0),"")</f>
        <v>0</v>
      </c>
      <c r="F1640" s="456"/>
      <c r="G1640" s="456"/>
      <c r="H1640" s="456"/>
    </row>
    <row r="1641" spans="1:8">
      <c r="A1641" s="456">
        <v>2638</v>
      </c>
      <c r="B1641" s="469" t="s">
        <v>2480</v>
      </c>
      <c r="C1641" s="458" t="s">
        <v>762</v>
      </c>
      <c r="D1641" s="456">
        <f>IF(Table10[[#This Row],[Current Age]]&gt;19,"Men's",IF(E1641&gt;15,"U19",IF(E1641&gt;13,"U15",IF(E1641&gt;11,"U13",IF(E1641&gt;0,"U11",0)))))</f>
        <v>0</v>
      </c>
      <c r="E1641" s="456">
        <f>IFERROR(IF(Table10[[#This Row],[Year]]&gt;0,$E$1-Table10[[#This Row],[Year]],0),"")</f>
        <v>0</v>
      </c>
      <c r="F1641" s="456"/>
      <c r="G1641" s="456"/>
      <c r="H1641" s="456"/>
    </row>
    <row r="1642" spans="1:8">
      <c r="A1642" s="471">
        <v>2639</v>
      </c>
      <c r="B1642" s="493" t="s">
        <v>2479</v>
      </c>
      <c r="C1642" s="472" t="s">
        <v>251</v>
      </c>
      <c r="D1642" s="456">
        <f>IF(Table10[[#This Row],[Current Age]]&gt;19,"Men's",IF(E1642&gt;15,"U19",IF(E1642&gt;13,"U15",IF(E1642&gt;11,"U13",IF(E1642&gt;0,"U11",0)))))</f>
        <v>0</v>
      </c>
      <c r="E1642" s="456">
        <f>IFERROR(IF(Table10[[#This Row],[Year]]&gt;0,$E$1-Table10[[#This Row],[Year]],0),"")</f>
        <v>0</v>
      </c>
      <c r="F1642" s="456"/>
      <c r="G1642" s="456"/>
      <c r="H1642" s="456"/>
    </row>
    <row r="1643" spans="1:8">
      <c r="A1643" s="456">
        <v>2640</v>
      </c>
      <c r="B1643" s="469" t="s">
        <v>2376</v>
      </c>
      <c r="C1643" s="458" t="s">
        <v>251</v>
      </c>
      <c r="D1643" s="456" t="str">
        <f>IF(Table10[[#This Row],[Current Age]]&gt;19,"Men's",IF(E1643&gt;15,"U19",IF(E1643&gt;13,"U15",IF(E1643&gt;11,"U13",IF(E1643&gt;0,"U11",0)))))</f>
        <v>Men's</v>
      </c>
      <c r="E1643" s="456">
        <f>IFERROR(IF(Table10[[#This Row],[Year]]&gt;0,$E$1-Table10[[#This Row],[Year]],0),"")</f>
        <v>22</v>
      </c>
      <c r="F1643" s="456">
        <v>2003</v>
      </c>
      <c r="G1643" s="456">
        <v>8</v>
      </c>
      <c r="H1643" s="456">
        <v>16</v>
      </c>
    </row>
    <row r="1644" spans="1:8">
      <c r="A1644" s="471">
        <v>2641</v>
      </c>
      <c r="B1644" s="493" t="s">
        <v>2481</v>
      </c>
      <c r="C1644" s="472" t="s">
        <v>762</v>
      </c>
      <c r="D1644" s="456">
        <f>IF(Table10[[#This Row],[Current Age]]&gt;19,"Men's",IF(E1644&gt;15,"U19",IF(E1644&gt;13,"U15",IF(E1644&gt;11,"U13",IF(E1644&gt;0,"U11",0)))))</f>
        <v>0</v>
      </c>
      <c r="E1644" s="456">
        <f>IFERROR(IF(Table10[[#This Row],[Year]]&gt;0,$E$1-Table10[[#This Row],[Year]],0),"")</f>
        <v>0</v>
      </c>
      <c r="F1644" s="456"/>
      <c r="G1644" s="456"/>
      <c r="H1644" s="456"/>
    </row>
    <row r="1645" spans="1:8">
      <c r="A1645" s="456">
        <v>2642</v>
      </c>
      <c r="B1645" s="469" t="s">
        <v>2482</v>
      </c>
      <c r="C1645" s="458" t="s">
        <v>251</v>
      </c>
      <c r="D1645" s="456">
        <f>IF(Table10[[#This Row],[Current Age]]&gt;19,"Men's",IF(E1645&gt;15,"U19",IF(E1645&gt;13,"U15",IF(E1645&gt;11,"U13",IF(E1645&gt;0,"U11",0)))))</f>
        <v>0</v>
      </c>
      <c r="E1645" s="456">
        <f>IFERROR(IF(Table10[[#This Row],[Year]]&gt;0,$E$1-Table10[[#This Row],[Year]],0),"")</f>
        <v>0</v>
      </c>
      <c r="F1645" s="456"/>
      <c r="G1645" s="456"/>
      <c r="H1645" s="456"/>
    </row>
    <row r="1646" spans="1:8">
      <c r="A1646" s="471">
        <v>2643</v>
      </c>
      <c r="B1646" s="493" t="s">
        <v>2483</v>
      </c>
      <c r="C1646" s="472" t="s">
        <v>251</v>
      </c>
      <c r="D1646" s="456">
        <f>IF(Table10[[#This Row],[Current Age]]&gt;19,"Men's",IF(E1646&gt;15,"U19",IF(E1646&gt;13,"U15",IF(E1646&gt;11,"U13",IF(E1646&gt;0,"U11",0)))))</f>
        <v>0</v>
      </c>
      <c r="E1646" s="456">
        <f>IFERROR(IF(Table10[[#This Row],[Year]]&gt;0,$E$1-Table10[[#This Row],[Year]],0),"")</f>
        <v>0</v>
      </c>
      <c r="F1646" s="456"/>
      <c r="G1646" s="456"/>
      <c r="H1646" s="456"/>
    </row>
    <row r="1647" spans="1:8">
      <c r="A1647" s="456">
        <v>2644</v>
      </c>
      <c r="B1647" s="469" t="s">
        <v>2486</v>
      </c>
      <c r="C1647" s="458" t="s">
        <v>762</v>
      </c>
      <c r="D1647" s="456" t="str">
        <f>IF(Table10[[#This Row],[Current Age]]&gt;19,"Men's",IF(E1647&gt;15,"U19",IF(E1647&gt;13,"U15",IF(E1647&gt;11,"U13",IF(E1647&gt;0,"U11",0)))))</f>
        <v>Men's</v>
      </c>
      <c r="E1647" s="456">
        <f>IFERROR(IF(Table10[[#This Row],[Year]]&gt;0,$E$1-Table10[[#This Row],[Year]],0),"")</f>
        <v>20</v>
      </c>
      <c r="F1647" s="456">
        <v>2005</v>
      </c>
      <c r="G1647" s="456">
        <v>2</v>
      </c>
      <c r="H1647" s="456">
        <v>2</v>
      </c>
    </row>
    <row r="1648" spans="1:8">
      <c r="A1648" s="471">
        <v>2645</v>
      </c>
      <c r="B1648" s="493" t="s">
        <v>2485</v>
      </c>
      <c r="C1648" s="472" t="s">
        <v>762</v>
      </c>
      <c r="D1648" s="456">
        <f>IF(Table10[[#This Row],[Current Age]]&gt;19,"Men's",IF(E1648&gt;15,"U19",IF(E1648&gt;13,"U15",IF(E1648&gt;11,"U13",IF(E1648&gt;0,"U11",0)))))</f>
        <v>0</v>
      </c>
      <c r="E1648" s="456">
        <f>IFERROR(IF(Table10[[#This Row],[Year]]&gt;0,$E$1-Table10[[#This Row],[Year]],0),"")</f>
        <v>0</v>
      </c>
      <c r="F1648" s="456"/>
      <c r="G1648" s="456"/>
      <c r="H1648" s="456"/>
    </row>
    <row r="1649" spans="1:8">
      <c r="A1649" s="456">
        <v>2646</v>
      </c>
      <c r="B1649" s="469" t="s">
        <v>2484</v>
      </c>
      <c r="C1649" s="458" t="s">
        <v>251</v>
      </c>
      <c r="D1649" s="456">
        <f>IF(Table10[[#This Row],[Current Age]]&gt;19,"Men's",IF(E1649&gt;15,"U19",IF(E1649&gt;13,"U15",IF(E1649&gt;11,"U13",IF(E1649&gt;0,"U11",0)))))</f>
        <v>0</v>
      </c>
      <c r="E1649" s="456">
        <f>IFERROR(IF(Table10[[#This Row],[Year]]&gt;0,$E$1-Table10[[#This Row],[Year]],0),"")</f>
        <v>0</v>
      </c>
      <c r="F1649" s="456"/>
      <c r="G1649" s="456"/>
      <c r="H1649" s="456"/>
    </row>
    <row r="1650" spans="1:8">
      <c r="A1650" s="471">
        <v>2647</v>
      </c>
      <c r="B1650" s="493" t="s">
        <v>2490</v>
      </c>
      <c r="C1650" s="472" t="s">
        <v>251</v>
      </c>
      <c r="D1650" s="456">
        <f>IF(Table10[[#This Row],[Current Age]]&gt;19,"Men's",IF(E1650&gt;15,"U19",IF(E1650&gt;13,"U15",IF(E1650&gt;11,"U13",IF(E1650&gt;0,"U11",0)))))</f>
        <v>0</v>
      </c>
      <c r="E1650" s="456">
        <f>IFERROR(IF(Table10[[#This Row],[Year]]&gt;0,$E$1-Table10[[#This Row],[Year]],0),"")</f>
        <v>0</v>
      </c>
      <c r="F1650" s="456"/>
      <c r="G1650" s="456"/>
      <c r="H1650" s="456"/>
    </row>
    <row r="1651" spans="1:8">
      <c r="A1651" s="456">
        <v>2648</v>
      </c>
      <c r="B1651" s="497" t="s">
        <v>2491</v>
      </c>
      <c r="C1651" s="458" t="s">
        <v>251</v>
      </c>
      <c r="D1651" s="456" t="str">
        <f>IF(Table10[[#This Row],[Current Age]]&gt;19,"Men's",IF(E1651&gt;15,"U19",IF(E1651&gt;13,"U15",IF(E1651&gt;11,"U13",IF(E1651&gt;0,"U11",0)))))</f>
        <v>Men's</v>
      </c>
      <c r="E1651" s="456">
        <f>IFERROR(IF(Table10[[#This Row],[Year]]&gt;0,$E$1-Table10[[#This Row],[Year]],0),"")</f>
        <v>39</v>
      </c>
      <c r="F1651" s="456">
        <v>1986</v>
      </c>
      <c r="G1651" s="456">
        <v>3</v>
      </c>
      <c r="H1651" s="456">
        <v>9</v>
      </c>
    </row>
    <row r="1652" spans="1:8">
      <c r="A1652" s="471">
        <v>2649</v>
      </c>
      <c r="B1652" s="493" t="s">
        <v>2492</v>
      </c>
      <c r="C1652" s="472" t="s">
        <v>251</v>
      </c>
      <c r="D1652" s="456">
        <f>IF(Table10[[#This Row],[Current Age]]&gt;19,"Men's",IF(E1652&gt;15,"U19",IF(E1652&gt;13,"U15",IF(E1652&gt;11,"U13",IF(E1652&gt;0,"U11",0)))))</f>
        <v>0</v>
      </c>
      <c r="E1652" s="456">
        <f>IFERROR(IF(Table10[[#This Row],[Year]]&gt;0,$E$1-Table10[[#This Row],[Year]],0),"")</f>
        <v>0</v>
      </c>
      <c r="F1652" s="456"/>
      <c r="G1652" s="456"/>
      <c r="H1652" s="456"/>
    </row>
    <row r="1653" spans="1:8">
      <c r="A1653" s="456">
        <v>2650</v>
      </c>
      <c r="B1653" s="469" t="s">
        <v>2493</v>
      </c>
      <c r="C1653" s="458" t="s">
        <v>251</v>
      </c>
      <c r="D1653" s="456">
        <f>IF(Table10[[#This Row],[Current Age]]&gt;19,"Men's",IF(E1653&gt;15,"U19",IF(E1653&gt;13,"U15",IF(E1653&gt;11,"U13",IF(E1653&gt;0,"U11",0)))))</f>
        <v>0</v>
      </c>
      <c r="E1653" s="456">
        <f>IFERROR(IF(Table10[[#This Row],[Year]]&gt;0,$E$1-Table10[[#This Row],[Year]],0),"")</f>
        <v>0</v>
      </c>
      <c r="F1653" s="456"/>
      <c r="G1653" s="456"/>
      <c r="H1653" s="456"/>
    </row>
    <row r="1654" spans="1:8">
      <c r="A1654" s="471">
        <v>2651</v>
      </c>
      <c r="B1654" s="493" t="s">
        <v>2494</v>
      </c>
      <c r="C1654" s="472" t="s">
        <v>246</v>
      </c>
      <c r="D1654" s="456">
        <f>IF(Table10[[#This Row],[Current Age]]&gt;19,"Men's",IF(E1654&gt;15,"U19",IF(E1654&gt;13,"U15",IF(E1654&gt;11,"U13",IF(E1654&gt;0,"U11",0)))))</f>
        <v>0</v>
      </c>
      <c r="E1654" s="456">
        <f>IFERROR(IF(Table10[[#This Row],[Year]]&gt;0,$E$1-Table10[[#This Row],[Year]],0),"")</f>
        <v>0</v>
      </c>
      <c r="F1654" s="456"/>
      <c r="G1654" s="456"/>
      <c r="H1654" s="456"/>
    </row>
    <row r="1655" spans="1:8">
      <c r="A1655" s="456">
        <v>2652</v>
      </c>
      <c r="B1655" s="469" t="s">
        <v>4382</v>
      </c>
      <c r="C1655" s="458" t="s">
        <v>4720</v>
      </c>
      <c r="D1655" s="456">
        <f>IF(Table10[[#This Row],[Current Age]]&gt;19,"Men's",IF(E1655&gt;15,"U19",IF(E1655&gt;13,"U15",IF(E1655&gt;11,"U13",IF(E1655&gt;0,"U11",0)))))</f>
        <v>0</v>
      </c>
      <c r="E1655" s="456">
        <f>IFERROR(IF(Table10[[#This Row],[Year]]&gt;0,$E$1-Table10[[#This Row],[Year]],0),"")</f>
        <v>0</v>
      </c>
      <c r="F1655" s="456"/>
      <c r="G1655" s="456"/>
      <c r="H1655" s="456"/>
    </row>
    <row r="1656" spans="1:8">
      <c r="A1656" s="471">
        <v>2653</v>
      </c>
      <c r="B1656" s="493" t="s">
        <v>2495</v>
      </c>
      <c r="C1656" s="472" t="s">
        <v>361</v>
      </c>
      <c r="D1656" s="456">
        <f>IF(Table10[[#This Row],[Current Age]]&gt;19,"Men's",IF(E1656&gt;15,"U19",IF(E1656&gt;13,"U15",IF(E1656&gt;11,"U13",IF(E1656&gt;0,"U11",0)))))</f>
        <v>0</v>
      </c>
      <c r="E1656" s="456">
        <f>IFERROR(IF(Table10[[#This Row],[Year]]&gt;0,$E$1-Table10[[#This Row],[Year]],0),"")</f>
        <v>0</v>
      </c>
      <c r="F1656" s="456"/>
      <c r="G1656" s="456"/>
      <c r="H1656" s="456"/>
    </row>
    <row r="1657" spans="1:8">
      <c r="A1657" s="456">
        <v>2654</v>
      </c>
      <c r="B1657" s="469" t="s">
        <v>2501</v>
      </c>
      <c r="C1657" s="458" t="s">
        <v>4720</v>
      </c>
      <c r="D1657" s="456" t="str">
        <f>IF(Table10[[#This Row],[Current Age]]&gt;19,"Men's",IF(E1657&gt;15,"U19",IF(E1657&gt;13,"U15",IF(E1657&gt;11,"U13",IF(E1657&gt;0,"U11",0)))))</f>
        <v>U19</v>
      </c>
      <c r="E1657" s="456">
        <f>IFERROR(IF(Table10[[#This Row],[Year]]&gt;0,$E$1-Table10[[#This Row],[Year]],0),"")</f>
        <v>17</v>
      </c>
      <c r="F1657" s="456">
        <v>2008</v>
      </c>
      <c r="G1657" s="456">
        <v>12</v>
      </c>
      <c r="H1657" s="456">
        <v>1</v>
      </c>
    </row>
    <row r="1658" spans="1:8">
      <c r="A1658" s="471">
        <v>2655</v>
      </c>
      <c r="B1658" s="493" t="s">
        <v>2502</v>
      </c>
      <c r="C1658" s="472"/>
      <c r="D1658" s="456">
        <f>IF(Table10[[#This Row],[Current Age]]&gt;19,"Men's",IF(E1658&gt;15,"U19",IF(E1658&gt;13,"U15",IF(E1658&gt;11,"U13",IF(E1658&gt;0,"U11",0)))))</f>
        <v>0</v>
      </c>
      <c r="E1658" s="456">
        <f>IFERROR(IF(Table10[[#This Row],[Year]]&gt;0,$E$1-Table10[[#This Row],[Year]],0),"")</f>
        <v>0</v>
      </c>
      <c r="F1658" s="456"/>
      <c r="G1658" s="456"/>
      <c r="H1658" s="456"/>
    </row>
    <row r="1659" spans="1:8">
      <c r="A1659" s="456">
        <v>2656</v>
      </c>
      <c r="B1659" s="469" t="s">
        <v>2503</v>
      </c>
      <c r="C1659" s="458"/>
      <c r="D1659" s="456">
        <f>IF(Table10[[#This Row],[Current Age]]&gt;19,"Men's",IF(E1659&gt;15,"U19",IF(E1659&gt;13,"U15",IF(E1659&gt;11,"U13",IF(E1659&gt;0,"U11",0)))))</f>
        <v>0</v>
      </c>
      <c r="E1659" s="456">
        <f>IFERROR(IF(Table10[[#This Row],[Year]]&gt;0,$E$1-Table10[[#This Row],[Year]],0),"")</f>
        <v>0</v>
      </c>
      <c r="F1659" s="456"/>
      <c r="G1659" s="456"/>
      <c r="H1659" s="456"/>
    </row>
    <row r="1660" spans="1:8">
      <c r="A1660" s="471">
        <v>2657</v>
      </c>
      <c r="B1660" s="493" t="s">
        <v>2504</v>
      </c>
      <c r="C1660" s="472"/>
      <c r="D1660" s="456">
        <f>IF(Table10[[#This Row],[Current Age]]&gt;19,"Men's",IF(E1660&gt;15,"U19",IF(E1660&gt;13,"U15",IF(E1660&gt;11,"U13",IF(E1660&gt;0,"U11",0)))))</f>
        <v>0</v>
      </c>
      <c r="E1660" s="456">
        <f>IFERROR(IF(Table10[[#This Row],[Year]]&gt;0,$E$1-Table10[[#This Row],[Year]],0),"")</f>
        <v>0</v>
      </c>
      <c r="F1660" s="456"/>
      <c r="G1660" s="456"/>
      <c r="H1660" s="456"/>
    </row>
    <row r="1661" spans="1:8">
      <c r="A1661" s="456">
        <v>2658</v>
      </c>
      <c r="B1661" s="469" t="s">
        <v>2505</v>
      </c>
      <c r="C1661" s="458"/>
      <c r="D1661" s="456">
        <f>IF(Table10[[#This Row],[Current Age]]&gt;19,"Men's",IF(E1661&gt;15,"U19",IF(E1661&gt;13,"U15",IF(E1661&gt;11,"U13",IF(E1661&gt;0,"U11",0)))))</f>
        <v>0</v>
      </c>
      <c r="E1661" s="456">
        <f>IFERROR(IF(Table10[[#This Row],[Year]]&gt;0,$E$1-Table10[[#This Row],[Year]],0),"")</f>
        <v>0</v>
      </c>
      <c r="F1661" s="456"/>
      <c r="G1661" s="456"/>
      <c r="H1661" s="456"/>
    </row>
    <row r="1662" spans="1:8">
      <c r="A1662" s="471">
        <v>2659</v>
      </c>
      <c r="B1662" s="493" t="s">
        <v>2506</v>
      </c>
      <c r="C1662" s="472"/>
      <c r="D1662" s="456">
        <f>IF(Table10[[#This Row],[Current Age]]&gt;19,"Men's",IF(E1662&gt;15,"U19",IF(E1662&gt;13,"U15",IF(E1662&gt;11,"U13",IF(E1662&gt;0,"U11",0)))))</f>
        <v>0</v>
      </c>
      <c r="E1662" s="456">
        <f>IFERROR(IF(Table10[[#This Row],[Year]]&gt;0,$E$1-Table10[[#This Row],[Year]],0),"")</f>
        <v>0</v>
      </c>
      <c r="F1662" s="456"/>
      <c r="G1662" s="456"/>
      <c r="H1662" s="456"/>
    </row>
    <row r="1663" spans="1:8">
      <c r="A1663" s="456">
        <v>2660</v>
      </c>
      <c r="B1663" s="469" t="s">
        <v>2507</v>
      </c>
      <c r="C1663" s="458" t="s">
        <v>4734</v>
      </c>
      <c r="D1663" s="456">
        <f>IF(Table10[[#This Row],[Current Age]]&gt;19,"Men's",IF(E1663&gt;15,"U19",IF(E1663&gt;13,"U15",IF(E1663&gt;11,"U13",IF(E1663&gt;0,"U11",0)))))</f>
        <v>0</v>
      </c>
      <c r="E1663" s="456">
        <f>IFERROR(IF(Table10[[#This Row],[Year]]&gt;0,$E$1-Table10[[#This Row],[Year]],0),"")</f>
        <v>0</v>
      </c>
      <c r="F1663" s="456"/>
      <c r="G1663" s="456"/>
      <c r="H1663" s="456"/>
    </row>
    <row r="1664" spans="1:8">
      <c r="A1664" s="471">
        <v>2661</v>
      </c>
      <c r="B1664" s="493" t="s">
        <v>2508</v>
      </c>
      <c r="C1664" s="472" t="s">
        <v>4720</v>
      </c>
      <c r="D1664" s="456">
        <f>IF(Table10[[#This Row],[Current Age]]&gt;19,"Men's",IF(E1664&gt;15,"U19",IF(E1664&gt;13,"U15",IF(E1664&gt;11,"U13",IF(E1664&gt;0,"U11",0)))))</f>
        <v>0</v>
      </c>
      <c r="E1664" s="456">
        <f>IFERROR(IF(Table10[[#This Row],[Year]]&gt;0,$E$1-Table10[[#This Row],[Year]],0),"")</f>
        <v>0</v>
      </c>
      <c r="F1664" s="456"/>
      <c r="G1664" s="456"/>
      <c r="H1664" s="456"/>
    </row>
    <row r="1665" spans="1:8">
      <c r="A1665" s="456">
        <v>2662</v>
      </c>
      <c r="B1665" s="469" t="s">
        <v>2509</v>
      </c>
      <c r="C1665" s="458" t="s">
        <v>4720</v>
      </c>
      <c r="D1665" s="456">
        <f>IF(Table10[[#This Row],[Current Age]]&gt;19,"Men's",IF(E1665&gt;15,"U19",IF(E1665&gt;13,"U15",IF(E1665&gt;11,"U13",IF(E1665&gt;0,"U11",0)))))</f>
        <v>0</v>
      </c>
      <c r="E1665" s="456">
        <f>IFERROR(IF(Table10[[#This Row],[Year]]&gt;0,$E$1-Table10[[#This Row],[Year]],0),"")</f>
        <v>0</v>
      </c>
      <c r="F1665" s="456"/>
      <c r="G1665" s="456"/>
      <c r="H1665" s="456"/>
    </row>
    <row r="1666" spans="1:8">
      <c r="A1666" s="471">
        <v>2663</v>
      </c>
      <c r="B1666" s="493" t="s">
        <v>2510</v>
      </c>
      <c r="C1666" s="472" t="s">
        <v>244</v>
      </c>
      <c r="D1666" s="456" t="str">
        <f>IF(Table10[[#This Row],[Current Age]]&gt;19,"Men's",IF(E1666&gt;15,"U19",IF(E1666&gt;13,"U15",IF(E1666&gt;11,"U13",IF(E1666&gt;0,"U11",0)))))</f>
        <v>U19</v>
      </c>
      <c r="E1666" s="456">
        <f>IFERROR(IF(Table10[[#This Row],[Year]]&gt;0,$E$1-Table10[[#This Row],[Year]],0),"")</f>
        <v>19</v>
      </c>
      <c r="F1666" s="456">
        <v>2006</v>
      </c>
      <c r="G1666" s="456">
        <v>1</v>
      </c>
      <c r="H1666" s="456">
        <v>31</v>
      </c>
    </row>
    <row r="1667" spans="1:8">
      <c r="A1667" s="456">
        <v>2664</v>
      </c>
      <c r="B1667" s="469" t="s">
        <v>2512</v>
      </c>
      <c r="C1667" s="458" t="s">
        <v>244</v>
      </c>
      <c r="D1667" s="456">
        <f>IF(Table10[[#This Row],[Current Age]]&gt;19,"Men's",IF(E1667&gt;15,"U19",IF(E1667&gt;13,"U15",IF(E1667&gt;11,"U13",IF(E1667&gt;0,"U11",0)))))</f>
        <v>0</v>
      </c>
      <c r="E1667" s="456">
        <f>IFERROR(IF(Table10[[#This Row],[Year]]&gt;0,$E$1-Table10[[#This Row],[Year]],0),"")</f>
        <v>0</v>
      </c>
      <c r="F1667" s="456"/>
      <c r="G1667" s="456"/>
      <c r="H1667" s="456"/>
    </row>
    <row r="1668" spans="1:8">
      <c r="A1668" s="471">
        <v>2665</v>
      </c>
      <c r="B1668" s="493" t="s">
        <v>2513</v>
      </c>
      <c r="C1668" s="472" t="s">
        <v>4720</v>
      </c>
      <c r="D1668" s="456">
        <f>IF(Table10[[#This Row],[Current Age]]&gt;19,"Men's",IF(E1668&gt;15,"U19",IF(E1668&gt;13,"U15",IF(E1668&gt;11,"U13",IF(E1668&gt;0,"U11",0)))))</f>
        <v>0</v>
      </c>
      <c r="E1668" s="456">
        <f>IFERROR(IF(Table10[[#This Row],[Year]]&gt;0,$E$1-Table10[[#This Row],[Year]],0),"")</f>
        <v>0</v>
      </c>
      <c r="F1668" s="456"/>
      <c r="G1668" s="456"/>
      <c r="H1668" s="456"/>
    </row>
    <row r="1669" spans="1:8">
      <c r="A1669" s="456">
        <v>2666</v>
      </c>
      <c r="B1669" s="469" t="s">
        <v>2514</v>
      </c>
      <c r="C1669" s="458" t="s">
        <v>244</v>
      </c>
      <c r="D1669" s="456">
        <f>IF(Table10[[#This Row],[Current Age]]&gt;19,"Men's",IF(E1669&gt;15,"U19",IF(E1669&gt;13,"U15",IF(E1669&gt;11,"U13",IF(E1669&gt;0,"U11",0)))))</f>
        <v>0</v>
      </c>
      <c r="E1669" s="456">
        <f>IFERROR(IF(Table10[[#This Row],[Year]]&gt;0,$E$1-Table10[[#This Row],[Year]],0),"")</f>
        <v>0</v>
      </c>
      <c r="F1669" s="456"/>
      <c r="G1669" s="456"/>
      <c r="H1669" s="456"/>
    </row>
    <row r="1670" spans="1:8">
      <c r="A1670" s="471">
        <v>2667</v>
      </c>
      <c r="B1670" s="493" t="s">
        <v>2515</v>
      </c>
      <c r="C1670" s="472" t="s">
        <v>4720</v>
      </c>
      <c r="D1670" s="456">
        <f>IF(Table10[[#This Row],[Current Age]]&gt;19,"Men's",IF(E1670&gt;15,"U19",IF(E1670&gt;13,"U15",IF(E1670&gt;11,"U13",IF(E1670&gt;0,"U11",0)))))</f>
        <v>0</v>
      </c>
      <c r="E1670" s="456">
        <f>IFERROR(IF(Table10[[#This Row],[Year]]&gt;0,$E$1-Table10[[#This Row],[Year]],0),"")</f>
        <v>0</v>
      </c>
      <c r="F1670" s="456"/>
      <c r="G1670" s="456"/>
      <c r="H1670" s="456"/>
    </row>
    <row r="1671" spans="1:8">
      <c r="A1671" s="456">
        <v>2668</v>
      </c>
      <c r="B1671" s="469" t="s">
        <v>2516</v>
      </c>
      <c r="C1671" s="458" t="s">
        <v>4720</v>
      </c>
      <c r="D1671" s="456">
        <f>IF(Table10[[#This Row],[Current Age]]&gt;19,"Men's",IF(E1671&gt;15,"U19",IF(E1671&gt;13,"U15",IF(E1671&gt;11,"U13",IF(E1671&gt;0,"U11",0)))))</f>
        <v>0</v>
      </c>
      <c r="E1671" s="456">
        <f>IFERROR(IF(Table10[[#This Row],[Year]]&gt;0,$E$1-Table10[[#This Row],[Year]],0),"")</f>
        <v>0</v>
      </c>
      <c r="F1671" s="456"/>
      <c r="G1671" s="456"/>
      <c r="H1671" s="456"/>
    </row>
    <row r="1672" spans="1:8">
      <c r="A1672" s="471">
        <v>2669</v>
      </c>
      <c r="B1672" s="493" t="s">
        <v>2517</v>
      </c>
      <c r="C1672" s="472" t="s">
        <v>4720</v>
      </c>
      <c r="D1672" s="456">
        <f>IF(Table10[[#This Row],[Current Age]]&gt;19,"Men's",IF(E1672&gt;15,"U19",IF(E1672&gt;13,"U15",IF(E1672&gt;11,"U13",IF(E1672&gt;0,"U11",0)))))</f>
        <v>0</v>
      </c>
      <c r="E1672" s="456">
        <f>IFERROR(IF(Table10[[#This Row],[Year]]&gt;0,$E$1-Table10[[#This Row],[Year]],0),"")</f>
        <v>0</v>
      </c>
      <c r="F1672" s="456"/>
      <c r="G1672" s="456"/>
      <c r="H1672" s="456"/>
    </row>
    <row r="1673" spans="1:8">
      <c r="A1673" s="456">
        <v>2670</v>
      </c>
      <c r="B1673" s="469" t="s">
        <v>2518</v>
      </c>
      <c r="C1673" s="458"/>
      <c r="D1673" s="456">
        <f>IF(Table10[[#This Row],[Current Age]]&gt;19,"Men's",IF(E1673&gt;15,"U19",IF(E1673&gt;13,"U15",IF(E1673&gt;11,"U13",IF(E1673&gt;0,"U11",0)))))</f>
        <v>0</v>
      </c>
      <c r="E1673" s="456">
        <f>IFERROR(IF(Table10[[#This Row],[Year]]&gt;0,$E$1-Table10[[#This Row],[Year]],0),"")</f>
        <v>0</v>
      </c>
      <c r="F1673" s="456"/>
      <c r="G1673" s="456"/>
      <c r="H1673" s="456"/>
    </row>
    <row r="1674" spans="1:8">
      <c r="A1674" s="471">
        <v>2671</v>
      </c>
      <c r="B1674" s="493" t="s">
        <v>2519</v>
      </c>
      <c r="C1674" s="472" t="s">
        <v>4720</v>
      </c>
      <c r="D1674" s="456">
        <f>IF(Table10[[#This Row],[Current Age]]&gt;19,"Men's",IF(E1674&gt;15,"U19",IF(E1674&gt;13,"U15",IF(E1674&gt;11,"U13",IF(E1674&gt;0,"U11",0)))))</f>
        <v>0</v>
      </c>
      <c r="E1674" s="456">
        <f>IFERROR(IF(Table10[[#This Row],[Year]]&gt;0,$E$1-Table10[[#This Row],[Year]],0),"")</f>
        <v>0</v>
      </c>
      <c r="F1674" s="456"/>
      <c r="G1674" s="456"/>
      <c r="H1674" s="456"/>
    </row>
    <row r="1675" spans="1:8">
      <c r="A1675" s="456">
        <v>2672</v>
      </c>
      <c r="B1675" s="469" t="s">
        <v>2520</v>
      </c>
      <c r="C1675" s="458" t="s">
        <v>4720</v>
      </c>
      <c r="D1675" s="456">
        <f>IF(Table10[[#This Row],[Current Age]]&gt;19,"Men's",IF(E1675&gt;15,"U19",IF(E1675&gt;13,"U15",IF(E1675&gt;11,"U13",IF(E1675&gt;0,"U11",0)))))</f>
        <v>0</v>
      </c>
      <c r="E1675" s="456">
        <f>IFERROR(IF(Table10[[#This Row],[Year]]&gt;0,$E$1-Table10[[#This Row],[Year]],0),"")</f>
        <v>0</v>
      </c>
      <c r="F1675" s="456"/>
      <c r="G1675" s="456"/>
      <c r="H1675" s="456"/>
    </row>
    <row r="1676" spans="1:8">
      <c r="A1676" s="471">
        <v>2673</v>
      </c>
      <c r="B1676" s="493" t="s">
        <v>2521</v>
      </c>
      <c r="C1676" s="472" t="s">
        <v>4720</v>
      </c>
      <c r="D1676" s="456">
        <f>IF(Table10[[#This Row],[Current Age]]&gt;19,"Men's",IF(E1676&gt;15,"U19",IF(E1676&gt;13,"U15",IF(E1676&gt;11,"U13",IF(E1676&gt;0,"U11",0)))))</f>
        <v>0</v>
      </c>
      <c r="E1676" s="456">
        <f>IFERROR(IF(Table10[[#This Row],[Year]]&gt;0,$E$1-Table10[[#This Row],[Year]],0),"")</f>
        <v>0</v>
      </c>
      <c r="F1676" s="456"/>
      <c r="G1676" s="456"/>
      <c r="H1676" s="456"/>
    </row>
    <row r="1677" spans="1:8">
      <c r="A1677" s="456">
        <v>2674</v>
      </c>
      <c r="B1677" s="469" t="s">
        <v>2522</v>
      </c>
      <c r="C1677" s="458" t="s">
        <v>4720</v>
      </c>
      <c r="D1677" s="456">
        <f>IF(Table10[[#This Row],[Current Age]]&gt;19,"Men's",IF(E1677&gt;15,"U19",IF(E1677&gt;13,"U15",IF(E1677&gt;11,"U13",IF(E1677&gt;0,"U11",0)))))</f>
        <v>0</v>
      </c>
      <c r="E1677" s="456">
        <f>IFERROR(IF(Table10[[#This Row],[Year]]&gt;0,$E$1-Table10[[#This Row],[Year]],0),"")</f>
        <v>0</v>
      </c>
      <c r="F1677" s="456"/>
      <c r="G1677" s="456"/>
      <c r="H1677" s="456"/>
    </row>
    <row r="1678" spans="1:8">
      <c r="A1678" s="471">
        <v>2675</v>
      </c>
      <c r="B1678" s="493" t="s">
        <v>2523</v>
      </c>
      <c r="C1678" s="472" t="s">
        <v>4720</v>
      </c>
      <c r="D1678" s="456">
        <f>IF(Table10[[#This Row],[Current Age]]&gt;19,"Men's",IF(E1678&gt;15,"U19",IF(E1678&gt;13,"U15",IF(E1678&gt;11,"U13",IF(E1678&gt;0,"U11",0)))))</f>
        <v>0</v>
      </c>
      <c r="E1678" s="456">
        <f>IFERROR(IF(Table10[[#This Row],[Year]]&gt;0,$E$1-Table10[[#This Row],[Year]],0),"")</f>
        <v>0</v>
      </c>
      <c r="F1678" s="456"/>
      <c r="G1678" s="456"/>
      <c r="H1678" s="456"/>
    </row>
    <row r="1679" spans="1:8">
      <c r="A1679" s="456">
        <v>2676</v>
      </c>
      <c r="B1679" s="469" t="s">
        <v>2524</v>
      </c>
      <c r="C1679" s="458" t="s">
        <v>4720</v>
      </c>
      <c r="D1679" s="456">
        <f>IF(Table10[[#This Row],[Current Age]]&gt;19,"Men's",IF(E1679&gt;15,"U19",IF(E1679&gt;13,"U15",IF(E1679&gt;11,"U13",IF(E1679&gt;0,"U11",0)))))</f>
        <v>0</v>
      </c>
      <c r="E1679" s="456">
        <f>IFERROR(IF(Table10[[#This Row],[Year]]&gt;0,$E$1-Table10[[#This Row],[Year]],0),"")</f>
        <v>0</v>
      </c>
      <c r="F1679" s="456"/>
      <c r="G1679" s="456"/>
      <c r="H1679" s="456"/>
    </row>
    <row r="1680" spans="1:8">
      <c r="A1680" s="471">
        <v>2677</v>
      </c>
      <c r="B1680" s="493" t="s">
        <v>2525</v>
      </c>
      <c r="C1680" s="472" t="s">
        <v>4720</v>
      </c>
      <c r="D1680" s="456">
        <f>IF(Table10[[#This Row],[Current Age]]&gt;19,"Men's",IF(E1680&gt;15,"U19",IF(E1680&gt;13,"U15",IF(E1680&gt;11,"U13",IF(E1680&gt;0,"U11",0)))))</f>
        <v>0</v>
      </c>
      <c r="E1680" s="456">
        <f>IFERROR(IF(Table10[[#This Row],[Year]]&gt;0,$E$1-Table10[[#This Row],[Year]],0),"")</f>
        <v>0</v>
      </c>
      <c r="F1680" s="456"/>
      <c r="G1680" s="456"/>
      <c r="H1680" s="456"/>
    </row>
    <row r="1681" spans="1:8">
      <c r="A1681" s="456">
        <v>2678</v>
      </c>
      <c r="B1681" s="469" t="s">
        <v>2526</v>
      </c>
      <c r="C1681" s="458" t="s">
        <v>4720</v>
      </c>
      <c r="D1681" s="456" t="str">
        <f>IF(Table10[[#This Row],[Current Age]]&gt;19,"Men's",IF(E1681&gt;15,"U19",IF(E1681&gt;13,"U15",IF(E1681&gt;11,"U13",IF(E1681&gt;0,"U11",0)))))</f>
        <v>Men's</v>
      </c>
      <c r="E1681" s="456">
        <f>IFERROR(IF(Table10[[#This Row],[Year]]&gt;0,$E$1-Table10[[#This Row],[Year]],0),"")</f>
        <v>20</v>
      </c>
      <c r="F1681" s="456">
        <v>2005</v>
      </c>
      <c r="G1681" s="456">
        <v>6</v>
      </c>
      <c r="H1681" s="456">
        <v>12</v>
      </c>
    </row>
    <row r="1682" spans="1:8">
      <c r="A1682" s="471">
        <v>2679</v>
      </c>
      <c r="B1682" s="493" t="s">
        <v>2527</v>
      </c>
      <c r="C1682" s="472" t="s">
        <v>4720</v>
      </c>
      <c r="D1682" s="456">
        <f>IF(Table10[[#This Row],[Current Age]]&gt;19,"Men's",IF(E1682&gt;15,"U19",IF(E1682&gt;13,"U15",IF(E1682&gt;11,"U13",IF(E1682&gt;0,"U11",0)))))</f>
        <v>0</v>
      </c>
      <c r="E1682" s="456">
        <f>IFERROR(IF(Table10[[#This Row],[Year]]&gt;0,$E$1-Table10[[#This Row],[Year]],0),"")</f>
        <v>0</v>
      </c>
      <c r="F1682" s="456"/>
      <c r="G1682" s="456"/>
      <c r="H1682" s="456"/>
    </row>
    <row r="1683" spans="1:8">
      <c r="A1683" s="456">
        <v>2680</v>
      </c>
      <c r="B1683" s="469" t="s">
        <v>2528</v>
      </c>
      <c r="C1683" s="458" t="s">
        <v>244</v>
      </c>
      <c r="D1683" s="456">
        <f>IF(Table10[[#This Row],[Current Age]]&gt;19,"Men's",IF(E1683&gt;15,"U19",IF(E1683&gt;13,"U15",IF(E1683&gt;11,"U13",IF(E1683&gt;0,"U11",0)))))</f>
        <v>0</v>
      </c>
      <c r="E1683" s="456">
        <f>IFERROR(IF(Table10[[#This Row],[Year]]&gt;0,$E$1-Table10[[#This Row],[Year]],0),"")</f>
        <v>0</v>
      </c>
      <c r="F1683" s="456"/>
      <c r="G1683" s="456"/>
      <c r="H1683" s="456"/>
    </row>
    <row r="1684" spans="1:8">
      <c r="A1684" s="471">
        <v>2681</v>
      </c>
      <c r="B1684" s="493" t="s">
        <v>2529</v>
      </c>
      <c r="C1684" s="472" t="s">
        <v>258</v>
      </c>
      <c r="D1684" s="456">
        <f>IF(Table10[[#This Row],[Current Age]]&gt;19,"Men's",IF(E1684&gt;15,"U19",IF(E1684&gt;13,"U15",IF(E1684&gt;11,"U13",IF(E1684&gt;0,"U11",0)))))</f>
        <v>0</v>
      </c>
      <c r="E1684" s="456">
        <f>IFERROR(IF(Table10[[#This Row],[Year]]&gt;0,$E$1-Table10[[#This Row],[Year]],0),"")</f>
        <v>0</v>
      </c>
      <c r="F1684" s="456"/>
      <c r="G1684" s="456"/>
      <c r="H1684" s="456"/>
    </row>
    <row r="1685" spans="1:8">
      <c r="A1685" s="456">
        <v>2682</v>
      </c>
      <c r="B1685" s="469" t="s">
        <v>2530</v>
      </c>
      <c r="C1685" s="458" t="s">
        <v>4720</v>
      </c>
      <c r="D1685" s="456">
        <f>IF(Table10[[#This Row],[Current Age]]&gt;19,"Men's",IF(E1685&gt;15,"U19",IF(E1685&gt;13,"U15",IF(E1685&gt;11,"U13",IF(E1685&gt;0,"U11",0)))))</f>
        <v>0</v>
      </c>
      <c r="E1685" s="456">
        <f>IFERROR(IF(Table10[[#This Row],[Year]]&gt;0,$E$1-Table10[[#This Row],[Year]],0),"")</f>
        <v>0</v>
      </c>
      <c r="F1685" s="456"/>
      <c r="G1685" s="456"/>
      <c r="H1685" s="456"/>
    </row>
    <row r="1686" spans="1:8">
      <c r="A1686" s="471">
        <v>2683</v>
      </c>
      <c r="B1686" s="493" t="s">
        <v>2531</v>
      </c>
      <c r="C1686" s="472" t="s">
        <v>4720</v>
      </c>
      <c r="D1686" s="456">
        <f>IF(Table10[[#This Row],[Current Age]]&gt;19,"Men's",IF(E1686&gt;15,"U19",IF(E1686&gt;13,"U15",IF(E1686&gt;11,"U13",IF(E1686&gt;0,"U11",0)))))</f>
        <v>0</v>
      </c>
      <c r="E1686" s="456">
        <f>IFERROR(IF(Table10[[#This Row],[Year]]&gt;0,$E$1-Table10[[#This Row],[Year]],0),"")</f>
        <v>0</v>
      </c>
      <c r="F1686" s="456"/>
      <c r="G1686" s="456"/>
      <c r="H1686" s="456"/>
    </row>
    <row r="1687" spans="1:8">
      <c r="A1687" s="456">
        <v>2684</v>
      </c>
      <c r="B1687" s="469" t="s">
        <v>2532</v>
      </c>
      <c r="C1687" s="458" t="s">
        <v>244</v>
      </c>
      <c r="D1687" s="456">
        <f>IF(Table10[[#This Row],[Current Age]]&gt;19,"Men's",IF(E1687&gt;15,"U19",IF(E1687&gt;13,"U15",IF(E1687&gt;11,"U13",IF(E1687&gt;0,"U11",0)))))</f>
        <v>0</v>
      </c>
      <c r="E1687" s="456">
        <f>IFERROR(IF(Table10[[#This Row],[Year]]&gt;0,$E$1-Table10[[#This Row],[Year]],0),"")</f>
        <v>0</v>
      </c>
      <c r="F1687" s="456"/>
      <c r="G1687" s="456"/>
      <c r="H1687" s="456"/>
    </row>
    <row r="1688" spans="1:8">
      <c r="A1688" s="471">
        <v>2685</v>
      </c>
      <c r="B1688" s="493" t="s">
        <v>5543</v>
      </c>
      <c r="C1688" s="472" t="s">
        <v>244</v>
      </c>
      <c r="D1688" s="456" t="str">
        <f>IF(Table10[[#This Row],[Current Age]]&gt;19,"Men's",IF(E1688&gt;15,"U19",IF(E1688&gt;13,"U15",IF(E1688&gt;11,"U13",IF(E1688&gt;0,"U11",0)))))</f>
        <v>Men's</v>
      </c>
      <c r="E1688" s="456">
        <f>IFERROR(IF(Table10[[#This Row],[Year]]&gt;0,$E$1-Table10[[#This Row],[Year]],0),"")</f>
        <v>23</v>
      </c>
      <c r="F1688" s="456">
        <v>2002</v>
      </c>
      <c r="G1688" s="456">
        <v>7</v>
      </c>
      <c r="H1688" s="456">
        <v>1</v>
      </c>
    </row>
    <row r="1689" spans="1:8">
      <c r="A1689" s="456">
        <v>2686</v>
      </c>
      <c r="B1689" s="469" t="s">
        <v>2533</v>
      </c>
      <c r="C1689" s="458" t="s">
        <v>244</v>
      </c>
      <c r="D1689" s="456">
        <f>IF(Table10[[#This Row],[Current Age]]&gt;19,"Men's",IF(E1689&gt;15,"U19",IF(E1689&gt;13,"U15",IF(E1689&gt;11,"U13",IF(E1689&gt;0,"U11",0)))))</f>
        <v>0</v>
      </c>
      <c r="E1689" s="456">
        <f>IFERROR(IF(Table10[[#This Row],[Year]]&gt;0,$E$1-Table10[[#This Row],[Year]],0),"")</f>
        <v>0</v>
      </c>
      <c r="F1689" s="456"/>
      <c r="G1689" s="456"/>
      <c r="H1689" s="456"/>
    </row>
    <row r="1690" spans="1:8">
      <c r="A1690" s="471">
        <v>2687</v>
      </c>
      <c r="B1690" s="493" t="s">
        <v>2534</v>
      </c>
      <c r="C1690" s="472" t="s">
        <v>244</v>
      </c>
      <c r="D1690" s="456" t="str">
        <f>IF(Table10[[#This Row],[Current Age]]&gt;19,"Men's",IF(E1690&gt;15,"U19",IF(E1690&gt;13,"U15",IF(E1690&gt;11,"U13",IF(E1690&gt;0,"U11",0)))))</f>
        <v>Men's</v>
      </c>
      <c r="E1690" s="456">
        <f>IFERROR(IF(Table10[[#This Row],[Year]]&gt;0,$E$1-Table10[[#This Row],[Year]],0),"")</f>
        <v>22</v>
      </c>
      <c r="F1690" s="456">
        <v>2003</v>
      </c>
      <c r="G1690" s="456">
        <v>12</v>
      </c>
      <c r="H1690" s="456">
        <v>13</v>
      </c>
    </row>
    <row r="1691" spans="1:8">
      <c r="A1691" s="456">
        <v>2688</v>
      </c>
      <c r="B1691" s="469" t="s">
        <v>2535</v>
      </c>
      <c r="C1691" s="458" t="s">
        <v>244</v>
      </c>
      <c r="D1691" s="456" t="str">
        <f>IF(Table10[[#This Row],[Current Age]]&gt;19,"Men's",IF(E1691&gt;15,"U19",IF(E1691&gt;13,"U15",IF(E1691&gt;11,"U13",IF(E1691&gt;0,"U11",0)))))</f>
        <v>Men's</v>
      </c>
      <c r="E1691" s="456">
        <f>IFERROR(IF(Table10[[#This Row],[Year]]&gt;0,$E$1-Table10[[#This Row],[Year]],0),"")</f>
        <v>22</v>
      </c>
      <c r="F1691" s="456">
        <v>2003</v>
      </c>
      <c r="G1691" s="456">
        <v>2</v>
      </c>
      <c r="H1691" s="456">
        <v>19</v>
      </c>
    </row>
    <row r="1692" spans="1:8">
      <c r="A1692" s="471">
        <v>2689</v>
      </c>
      <c r="B1692" s="493" t="s">
        <v>2536</v>
      </c>
      <c r="C1692" s="472" t="s">
        <v>244</v>
      </c>
      <c r="D1692" s="456" t="str">
        <f>IF(Table10[[#This Row],[Current Age]]&gt;19,"Men's",IF(E1692&gt;15,"U19",IF(E1692&gt;13,"U15",IF(E1692&gt;11,"U13",IF(E1692&gt;0,"U11",0)))))</f>
        <v>Men's</v>
      </c>
      <c r="E1692" s="456">
        <f>IFERROR(IF(Table10[[#This Row],[Year]]&gt;0,$E$1-Table10[[#This Row],[Year]],0),"")</f>
        <v>21</v>
      </c>
      <c r="F1692" s="456">
        <v>2004</v>
      </c>
      <c r="G1692" s="456">
        <v>6</v>
      </c>
      <c r="H1692" s="456">
        <v>10</v>
      </c>
    </row>
    <row r="1693" spans="1:8">
      <c r="A1693" s="456">
        <v>2690</v>
      </c>
      <c r="B1693" s="469" t="s">
        <v>2544</v>
      </c>
      <c r="C1693" s="458" t="s">
        <v>4720</v>
      </c>
      <c r="D1693" s="456" t="str">
        <f>IF(Table10[[#This Row],[Current Age]]&gt;19,"Men's",IF(E1693&gt;15,"U19",IF(E1693&gt;13,"U15",IF(E1693&gt;11,"U13",IF(E1693&gt;0,"U11",0)))))</f>
        <v>U19</v>
      </c>
      <c r="E1693" s="456">
        <f>IFERROR(IF(Table10[[#This Row],[Year]]&gt;0,$E$1-Table10[[#This Row],[Year]],0),"")</f>
        <v>16</v>
      </c>
      <c r="F1693" s="456">
        <v>2009</v>
      </c>
      <c r="G1693" s="456">
        <v>7</v>
      </c>
      <c r="H1693" s="456">
        <v>31</v>
      </c>
    </row>
    <row r="1694" spans="1:8">
      <c r="A1694" s="471">
        <v>2691</v>
      </c>
      <c r="B1694" s="493" t="s">
        <v>2545</v>
      </c>
      <c r="C1694" s="472" t="s">
        <v>4720</v>
      </c>
      <c r="D1694" s="456">
        <f>IF(Table10[[#This Row],[Current Age]]&gt;19,"Men's",IF(E1694&gt;15,"U19",IF(E1694&gt;13,"U15",IF(E1694&gt;11,"U13",IF(E1694&gt;0,"U11",0)))))</f>
        <v>0</v>
      </c>
      <c r="E1694" s="456">
        <f>IFERROR(IF(Table10[[#This Row],[Year]]&gt;0,$E$1-Table10[[#This Row],[Year]],0),"")</f>
        <v>0</v>
      </c>
      <c r="F1694" s="456"/>
      <c r="G1694" s="456"/>
      <c r="H1694" s="456"/>
    </row>
    <row r="1695" spans="1:8">
      <c r="A1695" s="456">
        <v>2692</v>
      </c>
      <c r="B1695" s="469" t="s">
        <v>2546</v>
      </c>
      <c r="C1695" s="458" t="s">
        <v>4720</v>
      </c>
      <c r="D1695" s="456">
        <f>IF(Table10[[#This Row],[Current Age]]&gt;19,"Men's",IF(E1695&gt;15,"U19",IF(E1695&gt;13,"U15",IF(E1695&gt;11,"U13",IF(E1695&gt;0,"U11",0)))))</f>
        <v>0</v>
      </c>
      <c r="E1695" s="456">
        <f>IFERROR(IF(Table10[[#This Row],[Year]]&gt;0,$E$1-Table10[[#This Row],[Year]],0),"")</f>
        <v>0</v>
      </c>
      <c r="F1695" s="456"/>
      <c r="G1695" s="456"/>
      <c r="H1695" s="456"/>
    </row>
    <row r="1696" spans="1:8">
      <c r="A1696" s="471">
        <v>2693</v>
      </c>
      <c r="B1696" s="493" t="s">
        <v>2547</v>
      </c>
      <c r="C1696" s="472" t="s">
        <v>4720</v>
      </c>
      <c r="D1696" s="456">
        <f>IF(Table10[[#This Row],[Current Age]]&gt;19,"Men's",IF(E1696&gt;15,"U19",IF(E1696&gt;13,"U15",IF(E1696&gt;11,"U13",IF(E1696&gt;0,"U11",0)))))</f>
        <v>0</v>
      </c>
      <c r="E1696" s="456">
        <f>IFERROR(IF(Table10[[#This Row],[Year]]&gt;0,$E$1-Table10[[#This Row],[Year]],0),"")</f>
        <v>0</v>
      </c>
      <c r="F1696" s="456"/>
      <c r="G1696" s="456"/>
      <c r="H1696" s="456"/>
    </row>
    <row r="1697" spans="1:8">
      <c r="A1697" s="456">
        <v>2694</v>
      </c>
      <c r="B1697" s="469" t="s">
        <v>2548</v>
      </c>
      <c r="C1697" s="458" t="s">
        <v>4720</v>
      </c>
      <c r="D1697" s="456" t="str">
        <f>IF(Table10[[#This Row],[Current Age]]&gt;19,"Men's",IF(E1697&gt;15,"U19",IF(E1697&gt;13,"U15",IF(E1697&gt;11,"U13",IF(E1697&gt;0,"U11",0)))))</f>
        <v>U19</v>
      </c>
      <c r="E1697" s="456">
        <f>IFERROR(IF(Table10[[#This Row],[Year]]&gt;0,$E$1-Table10[[#This Row],[Year]],0),"")</f>
        <v>18</v>
      </c>
      <c r="F1697" s="456">
        <v>2007</v>
      </c>
      <c r="G1697" s="456">
        <v>5</v>
      </c>
      <c r="H1697" s="456">
        <v>18</v>
      </c>
    </row>
    <row r="1698" spans="1:8">
      <c r="A1698" s="471">
        <v>2695</v>
      </c>
      <c r="B1698" s="493" t="s">
        <v>2549</v>
      </c>
      <c r="C1698" s="472" t="s">
        <v>244</v>
      </c>
      <c r="D1698" s="456" t="str">
        <f>IF(Table10[[#This Row],[Current Age]]&gt;19,"Men's",IF(E1698&gt;15,"U19",IF(E1698&gt;13,"U15",IF(E1698&gt;11,"U13",IF(E1698&gt;0,"U11",0)))))</f>
        <v>Men's</v>
      </c>
      <c r="E1698" s="456">
        <f>IFERROR(IF(Table10[[#This Row],[Year]]&gt;0,$E$1-Table10[[#This Row],[Year]],0),"")</f>
        <v>22</v>
      </c>
      <c r="F1698" s="456">
        <v>2003</v>
      </c>
      <c r="G1698" s="456">
        <v>3</v>
      </c>
      <c r="H1698" s="456">
        <v>20</v>
      </c>
    </row>
    <row r="1699" spans="1:8">
      <c r="A1699" s="456">
        <v>2696</v>
      </c>
      <c r="B1699" s="469" t="s">
        <v>2550</v>
      </c>
      <c r="C1699" s="458" t="s">
        <v>4720</v>
      </c>
      <c r="D1699" s="456">
        <f>IF(Table10[[#This Row],[Current Age]]&gt;19,"Men's",IF(E1699&gt;15,"U19",IF(E1699&gt;13,"U15",IF(E1699&gt;11,"U13",IF(E1699&gt;0,"U11",0)))))</f>
        <v>0</v>
      </c>
      <c r="E1699" s="456">
        <f>IFERROR(IF(Table10[[#This Row],[Year]]&gt;0,$E$1-Table10[[#This Row],[Year]],0),"")</f>
        <v>0</v>
      </c>
      <c r="F1699" s="456"/>
      <c r="G1699" s="456"/>
      <c r="H1699" s="456"/>
    </row>
    <row r="1700" spans="1:8">
      <c r="A1700" s="471">
        <v>2697</v>
      </c>
      <c r="B1700" s="493" t="s">
        <v>2551</v>
      </c>
      <c r="C1700" s="472" t="s">
        <v>4720</v>
      </c>
      <c r="D1700" s="456" t="str">
        <f>IF(Table10[[#This Row],[Current Age]]&gt;19,"Men's",IF(E1700&gt;15,"U19",IF(E1700&gt;13,"U15",IF(E1700&gt;11,"U13",IF(E1700&gt;0,"U11",0)))))</f>
        <v>Men's</v>
      </c>
      <c r="E1700" s="456">
        <f>IFERROR(IF(Table10[[#This Row],[Year]]&gt;0,$E$1-Table10[[#This Row],[Year]],0),"")</f>
        <v>22</v>
      </c>
      <c r="F1700" s="456">
        <v>2003</v>
      </c>
      <c r="G1700" s="456">
        <v>10</v>
      </c>
      <c r="H1700" s="456">
        <v>24</v>
      </c>
    </row>
    <row r="1701" spans="1:8">
      <c r="A1701" s="456">
        <v>2698</v>
      </c>
      <c r="B1701" s="469" t="s">
        <v>2552</v>
      </c>
      <c r="C1701" s="458" t="s">
        <v>4720</v>
      </c>
      <c r="D1701" s="456">
        <f>IF(Table10[[#This Row],[Current Age]]&gt;19,"Men's",IF(E1701&gt;15,"U19",IF(E1701&gt;13,"U15",IF(E1701&gt;11,"U13",IF(E1701&gt;0,"U11",0)))))</f>
        <v>0</v>
      </c>
      <c r="E1701" s="456">
        <f>IFERROR(IF(Table10[[#This Row],[Year]]&gt;0,$E$1-Table10[[#This Row],[Year]],0),"")</f>
        <v>0</v>
      </c>
      <c r="F1701" s="456"/>
      <c r="G1701" s="456"/>
      <c r="H1701" s="456"/>
    </row>
    <row r="1702" spans="1:8">
      <c r="A1702" s="471">
        <v>2699</v>
      </c>
      <c r="B1702" s="493" t="s">
        <v>2553</v>
      </c>
      <c r="C1702" s="472" t="s">
        <v>244</v>
      </c>
      <c r="D1702" s="456" t="str">
        <f>IF(Table10[[#This Row],[Current Age]]&gt;19,"Men's",IF(E1702&gt;15,"U19",IF(E1702&gt;13,"U15",IF(E1702&gt;11,"U13",IF(E1702&gt;0,"U11",0)))))</f>
        <v>Men's</v>
      </c>
      <c r="E1702" s="456">
        <f>IFERROR(IF(Table10[[#This Row],[Year]]&gt;0,$E$1-Table10[[#This Row],[Year]],0),"")</f>
        <v>23</v>
      </c>
      <c r="F1702" s="456">
        <v>2002</v>
      </c>
      <c r="G1702" s="456">
        <v>2</v>
      </c>
      <c r="H1702" s="456">
        <v>12</v>
      </c>
    </row>
    <row r="1703" spans="1:8">
      <c r="A1703" s="456">
        <v>2700</v>
      </c>
      <c r="B1703" s="513" t="s">
        <v>2554</v>
      </c>
      <c r="C1703" s="458" t="s">
        <v>4720</v>
      </c>
      <c r="D1703" s="456">
        <f>IF(Table10[[#This Row],[Current Age]]&gt;19,"Men's",IF(E1703&gt;15,"U19",IF(E1703&gt;13,"U15",IF(E1703&gt;11,"U13",IF(E1703&gt;0,"U11",0)))))</f>
        <v>0</v>
      </c>
      <c r="E1703" s="456">
        <f>IFERROR(IF(Table10[[#This Row],[Year]]&gt;0,$E$1-Table10[[#This Row],[Year]],0),"")</f>
        <v>0</v>
      </c>
      <c r="F1703" s="456"/>
      <c r="G1703" s="456"/>
      <c r="H1703" s="456"/>
    </row>
    <row r="1704" spans="1:8">
      <c r="A1704" s="471">
        <v>2701</v>
      </c>
      <c r="B1704" s="514" t="s">
        <v>2555</v>
      </c>
      <c r="C1704" s="472" t="s">
        <v>4720</v>
      </c>
      <c r="D1704" s="456">
        <f>IF(Table10[[#This Row],[Current Age]]&gt;19,"Men's",IF(E1704&gt;15,"U19",IF(E1704&gt;13,"U15",IF(E1704&gt;11,"U13",IF(E1704&gt;0,"U11",0)))))</f>
        <v>0</v>
      </c>
      <c r="E1704" s="456">
        <f>IFERROR(IF(Table10[[#This Row],[Year]]&gt;0,$E$1-Table10[[#This Row],[Year]],0),"")</f>
        <v>0</v>
      </c>
      <c r="F1704" s="456"/>
      <c r="G1704" s="456"/>
      <c r="H1704" s="456"/>
    </row>
    <row r="1705" spans="1:8">
      <c r="A1705" s="456">
        <v>2702</v>
      </c>
      <c r="B1705" s="469" t="s">
        <v>3108</v>
      </c>
      <c r="C1705" s="458" t="s">
        <v>244</v>
      </c>
      <c r="D1705" s="456" t="str">
        <f>IF(Table10[[#This Row],[Current Age]]&gt;19,"Men's",IF(E1705&gt;15,"U19",IF(E1705&gt;13,"U15",IF(E1705&gt;11,"U13",IF(E1705&gt;0,"U11",0)))))</f>
        <v>Men's</v>
      </c>
      <c r="E1705" s="456">
        <f>IFERROR(IF(Table10[[#This Row],[Year]]&gt;0,$E$1-Table10[[#This Row],[Year]],0),"")</f>
        <v>22</v>
      </c>
      <c r="F1705" s="456">
        <v>2003</v>
      </c>
      <c r="G1705" s="456">
        <v>10</v>
      </c>
      <c r="H1705" s="456">
        <v>7</v>
      </c>
    </row>
    <row r="1706" spans="1:8">
      <c r="A1706" s="471">
        <v>2703</v>
      </c>
      <c r="B1706" s="493" t="s">
        <v>2556</v>
      </c>
      <c r="C1706" s="472" t="s">
        <v>4720</v>
      </c>
      <c r="D1706" s="456">
        <f>IF(Table10[[#This Row],[Current Age]]&gt;19,"Men's",IF(E1706&gt;15,"U19",IF(E1706&gt;13,"U15",IF(E1706&gt;11,"U13",IF(E1706&gt;0,"U11",0)))))</f>
        <v>0</v>
      </c>
      <c r="E1706" s="456">
        <f>IFERROR(IF(Table10[[#This Row],[Year]]&gt;0,$E$1-Table10[[#This Row],[Year]],0),"")</f>
        <v>0</v>
      </c>
      <c r="F1706" s="456"/>
      <c r="G1706" s="456"/>
      <c r="H1706" s="456"/>
    </row>
    <row r="1707" spans="1:8">
      <c r="A1707" s="456">
        <v>2704</v>
      </c>
      <c r="B1707" s="469" t="s">
        <v>2557</v>
      </c>
      <c r="C1707" s="458" t="s">
        <v>4720</v>
      </c>
      <c r="D1707" s="456">
        <f>IF(Table10[[#This Row],[Current Age]]&gt;19,"Men's",IF(E1707&gt;15,"U19",IF(E1707&gt;13,"U15",IF(E1707&gt;11,"U13",IF(E1707&gt;0,"U11",0)))))</f>
        <v>0</v>
      </c>
      <c r="E1707" s="456">
        <f>IFERROR(IF(Table10[[#This Row],[Year]]&gt;0,$E$1-Table10[[#This Row],[Year]],0),"")</f>
        <v>0</v>
      </c>
      <c r="F1707" s="456"/>
      <c r="G1707" s="456"/>
      <c r="H1707" s="456"/>
    </row>
    <row r="1708" spans="1:8">
      <c r="A1708" s="471">
        <v>2705</v>
      </c>
      <c r="B1708" s="493" t="s">
        <v>2558</v>
      </c>
      <c r="C1708" s="472" t="s">
        <v>4720</v>
      </c>
      <c r="D1708" s="456">
        <f>IF(Table10[[#This Row],[Current Age]]&gt;19,"Men's",IF(E1708&gt;15,"U19",IF(E1708&gt;13,"U15",IF(E1708&gt;11,"U13",IF(E1708&gt;0,"U11",0)))))</f>
        <v>0</v>
      </c>
      <c r="E1708" s="456">
        <f>IFERROR(IF(Table10[[#This Row],[Year]]&gt;0,$E$1-Table10[[#This Row],[Year]],0),"")</f>
        <v>0</v>
      </c>
      <c r="F1708" s="456"/>
      <c r="G1708" s="456"/>
      <c r="H1708" s="456"/>
    </row>
    <row r="1709" spans="1:8">
      <c r="A1709" s="456">
        <v>2706</v>
      </c>
      <c r="B1709" s="469" t="s">
        <v>2559</v>
      </c>
      <c r="C1709" s="458" t="s">
        <v>4720</v>
      </c>
      <c r="D1709" s="456">
        <f>IF(Table10[[#This Row],[Current Age]]&gt;19,"Men's",IF(E1709&gt;15,"U19",IF(E1709&gt;13,"U15",IF(E1709&gt;11,"U13",IF(E1709&gt;0,"U11",0)))))</f>
        <v>0</v>
      </c>
      <c r="E1709" s="456">
        <f>IFERROR(IF(Table10[[#This Row],[Year]]&gt;0,$E$1-Table10[[#This Row],[Year]],0),"")</f>
        <v>0</v>
      </c>
      <c r="F1709" s="456"/>
      <c r="G1709" s="456"/>
      <c r="H1709" s="456"/>
    </row>
    <row r="1710" spans="1:8">
      <c r="A1710" s="471">
        <v>2707</v>
      </c>
      <c r="B1710" s="493" t="s">
        <v>2562</v>
      </c>
      <c r="C1710" s="472" t="s">
        <v>361</v>
      </c>
      <c r="D1710" s="456">
        <f>IF(Table10[[#This Row],[Current Age]]&gt;19,"Men's",IF(E1710&gt;15,"U19",IF(E1710&gt;13,"U15",IF(E1710&gt;11,"U13",IF(E1710&gt;0,"U11",0)))))</f>
        <v>0</v>
      </c>
      <c r="E1710" s="456">
        <f>IFERROR(IF(Table10[[#This Row],[Year]]&gt;0,$E$1-Table10[[#This Row],[Year]],0),"")</f>
        <v>0</v>
      </c>
      <c r="F1710" s="456"/>
      <c r="G1710" s="456"/>
      <c r="H1710" s="456"/>
    </row>
    <row r="1711" spans="1:8">
      <c r="A1711" s="456">
        <v>2708</v>
      </c>
      <c r="B1711" s="469" t="s">
        <v>2563</v>
      </c>
      <c r="C1711" s="458" t="s">
        <v>361</v>
      </c>
      <c r="D1711" s="456" t="str">
        <f>IF(Table10[[#This Row],[Current Age]]&gt;19,"Men's",IF(E1711&gt;15,"U19",IF(E1711&gt;13,"U15",IF(E1711&gt;11,"U13",IF(E1711&gt;0,"U11",0)))))</f>
        <v>U19</v>
      </c>
      <c r="E1711" s="456">
        <f>IFERROR(IF(Table10[[#This Row],[Year]]&gt;0,$E$1-Table10[[#This Row],[Year]],0),"")</f>
        <v>16</v>
      </c>
      <c r="F1711" s="456">
        <v>2009</v>
      </c>
      <c r="G1711" s="456"/>
      <c r="H1711" s="456"/>
    </row>
    <row r="1712" spans="1:8">
      <c r="A1712" s="471">
        <v>2709</v>
      </c>
      <c r="B1712" s="493" t="s">
        <v>2564</v>
      </c>
      <c r="C1712" s="472" t="s">
        <v>361</v>
      </c>
      <c r="D1712" s="456" t="str">
        <f>IF(Table10[[#This Row],[Current Age]]&gt;19,"Men's",IF(E1712&gt;15,"U19",IF(E1712&gt;13,"U15",IF(E1712&gt;11,"U13",IF(E1712&gt;0,"U11",0)))))</f>
        <v>Men's</v>
      </c>
      <c r="E1712" s="456">
        <f>IFERROR(IF(Table10[[#This Row],[Year]]&gt;0,$E$1-Table10[[#This Row],[Year]],0),"")</f>
        <v>45</v>
      </c>
      <c r="F1712" s="456">
        <v>1980</v>
      </c>
      <c r="G1712" s="456">
        <v>10</v>
      </c>
      <c r="H1712" s="456">
        <v>8</v>
      </c>
    </row>
    <row r="1713" spans="1:8">
      <c r="A1713" s="456">
        <v>2710</v>
      </c>
      <c r="B1713" s="469" t="s">
        <v>2565</v>
      </c>
      <c r="C1713" s="458" t="s">
        <v>361</v>
      </c>
      <c r="D1713" s="456">
        <f>IF(Table10[[#This Row],[Current Age]]&gt;19,"Men's",IF(E1713&gt;15,"U19",IF(E1713&gt;13,"U15",IF(E1713&gt;11,"U13",IF(E1713&gt;0,"U11",0)))))</f>
        <v>0</v>
      </c>
      <c r="E1713" s="456">
        <f>IFERROR(IF(Table10[[#This Row],[Year]]&gt;0,$E$1-Table10[[#This Row],[Year]],0),"")</f>
        <v>0</v>
      </c>
      <c r="F1713" s="456"/>
      <c r="G1713" s="456"/>
      <c r="H1713" s="456"/>
    </row>
    <row r="1714" spans="1:8">
      <c r="A1714" s="471">
        <v>2711</v>
      </c>
      <c r="B1714" s="493" t="s">
        <v>2567</v>
      </c>
      <c r="C1714" s="472" t="s">
        <v>361</v>
      </c>
      <c r="D1714" s="456">
        <f>IF(Table10[[#This Row],[Current Age]]&gt;19,"Men's",IF(E1714&gt;15,"U19",IF(E1714&gt;13,"U15",IF(E1714&gt;11,"U13",IF(E1714&gt;0,"U11",0)))))</f>
        <v>0</v>
      </c>
      <c r="E1714" s="456">
        <f>IFERROR(IF(Table10[[#This Row],[Year]]&gt;0,$E$1-Table10[[#This Row],[Year]],0),"")</f>
        <v>0</v>
      </c>
      <c r="F1714" s="456"/>
      <c r="G1714" s="456"/>
      <c r="H1714" s="456"/>
    </row>
    <row r="1715" spans="1:8">
      <c r="A1715" s="456">
        <v>2712</v>
      </c>
      <c r="B1715" s="469" t="s">
        <v>2568</v>
      </c>
      <c r="C1715" s="458" t="s">
        <v>361</v>
      </c>
      <c r="D1715" s="456">
        <f>IF(Table10[[#This Row],[Current Age]]&gt;19,"Men's",IF(E1715&gt;15,"U19",IF(E1715&gt;13,"U15",IF(E1715&gt;11,"U13",IF(E1715&gt;0,"U11",0)))))</f>
        <v>0</v>
      </c>
      <c r="E1715" s="456">
        <f>IFERROR(IF(Table10[[#This Row],[Year]]&gt;0,$E$1-Table10[[#This Row],[Year]],0),"")</f>
        <v>0</v>
      </c>
      <c r="F1715" s="456"/>
      <c r="G1715" s="456"/>
      <c r="H1715" s="456"/>
    </row>
    <row r="1716" spans="1:8">
      <c r="A1716" s="471">
        <v>2713</v>
      </c>
      <c r="B1716" s="493" t="s">
        <v>2569</v>
      </c>
      <c r="C1716" s="472" t="s">
        <v>361</v>
      </c>
      <c r="D1716" s="456">
        <f>IF(Table10[[#This Row],[Current Age]]&gt;19,"Men's",IF(E1716&gt;15,"U19",IF(E1716&gt;13,"U15",IF(E1716&gt;11,"U13",IF(E1716&gt;0,"U11",0)))))</f>
        <v>0</v>
      </c>
      <c r="E1716" s="456">
        <f>IFERROR(IF(Table10[[#This Row],[Year]]&gt;0,$E$1-Table10[[#This Row],[Year]],0),"")</f>
        <v>0</v>
      </c>
      <c r="F1716" s="456"/>
      <c r="G1716" s="456"/>
      <c r="H1716" s="456"/>
    </row>
    <row r="1717" spans="1:8">
      <c r="A1717" s="456">
        <v>2714</v>
      </c>
      <c r="B1717" s="469" t="s">
        <v>2570</v>
      </c>
      <c r="C1717" s="458" t="s">
        <v>361</v>
      </c>
      <c r="D1717" s="456">
        <f>IF(Table10[[#This Row],[Current Age]]&gt;19,"Men's",IF(E1717&gt;15,"U19",IF(E1717&gt;13,"U15",IF(E1717&gt;11,"U13",IF(E1717&gt;0,"U11",0)))))</f>
        <v>0</v>
      </c>
      <c r="E1717" s="456">
        <f>IFERROR(IF(Table10[[#This Row],[Year]]&gt;0,$E$1-Table10[[#This Row],[Year]],0),"")</f>
        <v>0</v>
      </c>
      <c r="F1717" s="456"/>
      <c r="G1717" s="456"/>
      <c r="H1717" s="456"/>
    </row>
    <row r="1718" spans="1:8">
      <c r="A1718" s="471">
        <v>2715</v>
      </c>
      <c r="B1718" s="493" t="s">
        <v>2571</v>
      </c>
      <c r="C1718" s="472" t="s">
        <v>361</v>
      </c>
      <c r="D1718" s="456">
        <f>IF(Table10[[#This Row],[Current Age]]&gt;19,"Men's",IF(E1718&gt;15,"U19",IF(E1718&gt;13,"U15",IF(E1718&gt;11,"U13",IF(E1718&gt;0,"U11",0)))))</f>
        <v>0</v>
      </c>
      <c r="E1718" s="456">
        <f>IFERROR(IF(Table10[[#This Row],[Year]]&gt;0,$E$1-Table10[[#This Row],[Year]],0),"")</f>
        <v>0</v>
      </c>
      <c r="F1718" s="456"/>
      <c r="G1718" s="456"/>
      <c r="H1718" s="456"/>
    </row>
    <row r="1719" spans="1:8">
      <c r="A1719" s="456">
        <v>2716</v>
      </c>
      <c r="B1719" s="469" t="s">
        <v>2575</v>
      </c>
      <c r="C1719" s="458" t="s">
        <v>4552</v>
      </c>
      <c r="D1719" s="456" t="str">
        <f>IF(Table10[[#This Row],[Current Age]]&gt;19,"Men's",IF(E1719&gt;15,"U19",IF(E1719&gt;13,"U15",IF(E1719&gt;11,"U13",IF(E1719&gt;0,"U11",0)))))</f>
        <v>U19</v>
      </c>
      <c r="E1719" s="456">
        <f>IFERROR(IF(Table10[[#This Row],[Year]]&gt;0,$E$1-Table10[[#This Row],[Year]],0),"")</f>
        <v>19</v>
      </c>
      <c r="F1719" s="456">
        <v>2006</v>
      </c>
      <c r="G1719" s="456">
        <v>9</v>
      </c>
      <c r="H1719" s="456">
        <v>16</v>
      </c>
    </row>
    <row r="1720" spans="1:8">
      <c r="A1720" s="471">
        <v>2717</v>
      </c>
      <c r="B1720" s="493" t="s">
        <v>2576</v>
      </c>
      <c r="C1720" s="472" t="s">
        <v>4552</v>
      </c>
      <c r="D1720" s="456">
        <f>IF(Table10[[#This Row],[Current Age]]&gt;19,"Men's",IF(E1720&gt;15,"U19",IF(E1720&gt;13,"U15",IF(E1720&gt;11,"U13",IF(E1720&gt;0,"U11",0)))))</f>
        <v>0</v>
      </c>
      <c r="E1720" s="456">
        <f>IFERROR(IF(Table10[[#This Row],[Year]]&gt;0,$E$1-Table10[[#This Row],[Year]],0),"")</f>
        <v>0</v>
      </c>
      <c r="F1720" s="456"/>
      <c r="G1720" s="456"/>
      <c r="H1720" s="456"/>
    </row>
    <row r="1721" spans="1:8">
      <c r="A1721" s="456">
        <v>2718</v>
      </c>
      <c r="B1721" s="469" t="s">
        <v>2577</v>
      </c>
      <c r="C1721" s="458" t="s">
        <v>4552</v>
      </c>
      <c r="D1721" s="456">
        <f>IF(Table10[[#This Row],[Current Age]]&gt;19,"Men's",IF(E1721&gt;15,"U19",IF(E1721&gt;13,"U15",IF(E1721&gt;11,"U13",IF(E1721&gt;0,"U11",0)))))</f>
        <v>0</v>
      </c>
      <c r="E1721" s="456">
        <f>IFERROR(IF(Table10[[#This Row],[Year]]&gt;0,$E$1-Table10[[#This Row],[Year]],0),"")</f>
        <v>0</v>
      </c>
      <c r="F1721" s="456"/>
      <c r="G1721" s="456"/>
      <c r="H1721" s="456"/>
    </row>
    <row r="1722" spans="1:8">
      <c r="A1722" s="471">
        <v>2719</v>
      </c>
      <c r="B1722" s="493" t="s">
        <v>2578</v>
      </c>
      <c r="C1722" s="472" t="s">
        <v>251</v>
      </c>
      <c r="D1722" s="456">
        <f>IF(Table10[[#This Row],[Current Age]]&gt;19,"Men's",IF(E1722&gt;15,"U19",IF(E1722&gt;13,"U15",IF(E1722&gt;11,"U13",IF(E1722&gt;0,"U11",0)))))</f>
        <v>0</v>
      </c>
      <c r="E1722" s="456">
        <f>IFERROR(IF(Table10[[#This Row],[Year]]&gt;0,$E$1-Table10[[#This Row],[Year]],0),"")</f>
        <v>0</v>
      </c>
      <c r="F1722" s="456"/>
      <c r="G1722" s="456"/>
      <c r="H1722" s="456"/>
    </row>
    <row r="1723" spans="1:8">
      <c r="A1723" s="456">
        <v>2720</v>
      </c>
      <c r="B1723" s="469" t="s">
        <v>2579</v>
      </c>
      <c r="C1723" s="458" t="s">
        <v>251</v>
      </c>
      <c r="D1723" s="456">
        <f>IF(Table10[[#This Row],[Current Age]]&gt;19,"Men's",IF(E1723&gt;15,"U19",IF(E1723&gt;13,"U15",IF(E1723&gt;11,"U13",IF(E1723&gt;0,"U11",0)))))</f>
        <v>0</v>
      </c>
      <c r="E1723" s="456">
        <f>IFERROR(IF(Table10[[#This Row],[Year]]&gt;0,$E$1-Table10[[#This Row],[Year]],0),"")</f>
        <v>0</v>
      </c>
      <c r="F1723" s="456"/>
      <c r="G1723" s="456"/>
      <c r="H1723" s="456"/>
    </row>
    <row r="1724" spans="1:8">
      <c r="A1724" s="471">
        <v>2721</v>
      </c>
      <c r="B1724" s="493" t="s">
        <v>2580</v>
      </c>
      <c r="C1724" s="472" t="s">
        <v>251</v>
      </c>
      <c r="D1724" s="456">
        <f>IF(Table10[[#This Row],[Current Age]]&gt;19,"Men's",IF(E1724&gt;15,"U19",IF(E1724&gt;13,"U15",IF(E1724&gt;11,"U13",IF(E1724&gt;0,"U11",0)))))</f>
        <v>0</v>
      </c>
      <c r="E1724" s="456">
        <f>IFERROR(IF(Table10[[#This Row],[Year]]&gt;0,$E$1-Table10[[#This Row],[Year]],0),"")</f>
        <v>0</v>
      </c>
      <c r="F1724" s="456"/>
      <c r="G1724" s="456"/>
      <c r="H1724" s="456"/>
    </row>
    <row r="1725" spans="1:8">
      <c r="A1725" s="456">
        <v>2722</v>
      </c>
      <c r="B1725" s="469" t="s">
        <v>2581</v>
      </c>
      <c r="C1725" s="458" t="s">
        <v>251</v>
      </c>
      <c r="D1725" s="456">
        <f>IF(Table10[[#This Row],[Current Age]]&gt;19,"Men's",IF(E1725&gt;15,"U19",IF(E1725&gt;13,"U15",IF(E1725&gt;11,"U13",IF(E1725&gt;0,"U11",0)))))</f>
        <v>0</v>
      </c>
      <c r="E1725" s="456">
        <f>IFERROR(IF(Table10[[#This Row],[Year]]&gt;0,$E$1-Table10[[#This Row],[Year]],0),"")</f>
        <v>0</v>
      </c>
      <c r="F1725" s="456"/>
      <c r="G1725" s="456"/>
      <c r="H1725" s="456"/>
    </row>
    <row r="1726" spans="1:8">
      <c r="A1726" s="471">
        <v>2723</v>
      </c>
      <c r="B1726" s="493" t="s">
        <v>2582</v>
      </c>
      <c r="C1726" s="472" t="s">
        <v>251</v>
      </c>
      <c r="D1726" s="456">
        <f>IF(Table10[[#This Row],[Current Age]]&gt;19,"Men's",IF(E1726&gt;15,"U19",IF(E1726&gt;13,"U15",IF(E1726&gt;11,"U13",IF(E1726&gt;0,"U11",0)))))</f>
        <v>0</v>
      </c>
      <c r="E1726" s="456">
        <f>IFERROR(IF(Table10[[#This Row],[Year]]&gt;0,$E$1-Table10[[#This Row],[Year]],0),"")</f>
        <v>0</v>
      </c>
      <c r="F1726" s="456"/>
      <c r="G1726" s="456"/>
      <c r="H1726" s="456"/>
    </row>
    <row r="1727" spans="1:8">
      <c r="A1727" s="456">
        <v>2724</v>
      </c>
      <c r="B1727" s="469" t="s">
        <v>2583</v>
      </c>
      <c r="C1727" s="458" t="s">
        <v>251</v>
      </c>
      <c r="D1727" s="456">
        <f>IF(Table10[[#This Row],[Current Age]]&gt;19,"Men's",IF(E1727&gt;15,"U19",IF(E1727&gt;13,"U15",IF(E1727&gt;11,"U13",IF(E1727&gt;0,"U11",0)))))</f>
        <v>0</v>
      </c>
      <c r="E1727" s="456">
        <f>IFERROR(IF(Table10[[#This Row],[Year]]&gt;0,$E$1-Table10[[#This Row],[Year]],0),"")</f>
        <v>0</v>
      </c>
      <c r="F1727" s="456"/>
      <c r="G1727" s="456"/>
      <c r="H1727" s="456"/>
    </row>
    <row r="1728" spans="1:8">
      <c r="A1728" s="471">
        <v>2725</v>
      </c>
      <c r="B1728" s="493" t="s">
        <v>2584</v>
      </c>
      <c r="C1728" s="472" t="s">
        <v>251</v>
      </c>
      <c r="D1728" s="456">
        <f>IF(Table10[[#This Row],[Current Age]]&gt;19,"Men's",IF(E1728&gt;15,"U19",IF(E1728&gt;13,"U15",IF(E1728&gt;11,"U13",IF(E1728&gt;0,"U11",0)))))</f>
        <v>0</v>
      </c>
      <c r="E1728" s="456">
        <f>IFERROR(IF(Table10[[#This Row],[Year]]&gt;0,$E$1-Table10[[#This Row],[Year]],0),"")</f>
        <v>0</v>
      </c>
      <c r="F1728" s="456"/>
      <c r="G1728" s="456"/>
      <c r="H1728" s="456"/>
    </row>
    <row r="1729" spans="1:8">
      <c r="A1729" s="456">
        <v>2726</v>
      </c>
      <c r="B1729" s="469" t="s">
        <v>2585</v>
      </c>
      <c r="C1729" s="458" t="s">
        <v>251</v>
      </c>
      <c r="D1729" s="456">
        <f>IF(Table10[[#This Row],[Current Age]]&gt;19,"Men's",IF(E1729&gt;15,"U19",IF(E1729&gt;13,"U15",IF(E1729&gt;11,"U13",IF(E1729&gt;0,"U11",0)))))</f>
        <v>0</v>
      </c>
      <c r="E1729" s="456">
        <f>IFERROR(IF(Table10[[#This Row],[Year]]&gt;0,$E$1-Table10[[#This Row],[Year]],0),"")</f>
        <v>0</v>
      </c>
      <c r="F1729" s="456"/>
      <c r="G1729" s="456"/>
      <c r="H1729" s="456"/>
    </row>
    <row r="1730" spans="1:8">
      <c r="A1730" s="471">
        <v>2727</v>
      </c>
      <c r="B1730" s="493" t="s">
        <v>2592</v>
      </c>
      <c r="C1730" s="472" t="s">
        <v>4720</v>
      </c>
      <c r="D1730" s="456">
        <f>IF(Table10[[#This Row],[Current Age]]&gt;19,"Men's",IF(E1730&gt;15,"U19",IF(E1730&gt;13,"U15",IF(E1730&gt;11,"U13",IF(E1730&gt;0,"U11",0)))))</f>
        <v>0</v>
      </c>
      <c r="E1730" s="456">
        <f>IFERROR(IF(Table10[[#This Row],[Year]]&gt;0,$E$1-Table10[[#This Row],[Year]],0),"")</f>
        <v>0</v>
      </c>
      <c r="F1730" s="456"/>
      <c r="G1730" s="456"/>
      <c r="H1730" s="456"/>
    </row>
    <row r="1731" spans="1:8">
      <c r="A1731" s="456">
        <v>2728</v>
      </c>
      <c r="B1731" s="469" t="s">
        <v>2593</v>
      </c>
      <c r="C1731" s="458" t="s">
        <v>4720</v>
      </c>
      <c r="D1731" s="456">
        <f>IF(Table10[[#This Row],[Current Age]]&gt;19,"Men's",IF(E1731&gt;15,"U19",IF(E1731&gt;13,"U15",IF(E1731&gt;11,"U13",IF(E1731&gt;0,"U11",0)))))</f>
        <v>0</v>
      </c>
      <c r="E1731" s="456">
        <f>IFERROR(IF(Table10[[#This Row],[Year]]&gt;0,$E$1-Table10[[#This Row],[Year]],0),"")</f>
        <v>0</v>
      </c>
      <c r="F1731" s="456"/>
      <c r="G1731" s="456"/>
      <c r="H1731" s="456"/>
    </row>
    <row r="1732" spans="1:8">
      <c r="A1732" s="471">
        <v>2729</v>
      </c>
      <c r="B1732" s="493" t="s">
        <v>2594</v>
      </c>
      <c r="C1732" s="472" t="s">
        <v>4720</v>
      </c>
      <c r="D1732" s="456">
        <f>IF(Table10[[#This Row],[Current Age]]&gt;19,"Men's",IF(E1732&gt;15,"U19",IF(E1732&gt;13,"U15",IF(E1732&gt;11,"U13",IF(E1732&gt;0,"U11",0)))))</f>
        <v>0</v>
      </c>
      <c r="E1732" s="456">
        <f>IFERROR(IF(Table10[[#This Row],[Year]]&gt;0,$E$1-Table10[[#This Row],[Year]],0),"")</f>
        <v>0</v>
      </c>
      <c r="F1732" s="456"/>
      <c r="G1732" s="456"/>
      <c r="H1732" s="456"/>
    </row>
    <row r="1733" spans="1:8">
      <c r="A1733" s="456">
        <v>2730</v>
      </c>
      <c r="B1733" s="469" t="s">
        <v>2595</v>
      </c>
      <c r="C1733" s="458" t="s">
        <v>4720</v>
      </c>
      <c r="D1733" s="456">
        <f>IF(Table10[[#This Row],[Current Age]]&gt;19,"Men's",IF(E1733&gt;15,"U19",IF(E1733&gt;13,"U15",IF(E1733&gt;11,"U13",IF(E1733&gt;0,"U11",0)))))</f>
        <v>0</v>
      </c>
      <c r="E1733" s="456">
        <f>IFERROR(IF(Table10[[#This Row],[Year]]&gt;0,$E$1-Table10[[#This Row],[Year]],0),"")</f>
        <v>0</v>
      </c>
      <c r="F1733" s="456"/>
      <c r="G1733" s="456"/>
      <c r="H1733" s="456"/>
    </row>
    <row r="1734" spans="1:8">
      <c r="A1734" s="471">
        <v>2731</v>
      </c>
      <c r="B1734" s="493" t="s">
        <v>2596</v>
      </c>
      <c r="C1734" s="472" t="s">
        <v>4720</v>
      </c>
      <c r="D1734" s="456">
        <f>IF(Table10[[#This Row],[Current Age]]&gt;19,"Men's",IF(E1734&gt;15,"U19",IF(E1734&gt;13,"U15",IF(E1734&gt;11,"U13",IF(E1734&gt;0,"U11",0)))))</f>
        <v>0</v>
      </c>
      <c r="E1734" s="456">
        <f>IFERROR(IF(Table10[[#This Row],[Year]]&gt;0,$E$1-Table10[[#This Row],[Year]],0),"")</f>
        <v>0</v>
      </c>
      <c r="F1734" s="456"/>
      <c r="G1734" s="456"/>
      <c r="H1734" s="456"/>
    </row>
    <row r="1735" spans="1:8">
      <c r="A1735" s="456">
        <v>2732</v>
      </c>
      <c r="B1735" s="469" t="s">
        <v>2597</v>
      </c>
      <c r="C1735" s="458" t="s">
        <v>4720</v>
      </c>
      <c r="D1735" s="456">
        <f>IF(Table10[[#This Row],[Current Age]]&gt;19,"Men's",IF(E1735&gt;15,"U19",IF(E1735&gt;13,"U15",IF(E1735&gt;11,"U13",IF(E1735&gt;0,"U11",0)))))</f>
        <v>0</v>
      </c>
      <c r="E1735" s="456">
        <f>IFERROR(IF(Table10[[#This Row],[Year]]&gt;0,$E$1-Table10[[#This Row],[Year]],0),"")</f>
        <v>0</v>
      </c>
      <c r="F1735" s="456"/>
      <c r="G1735" s="456"/>
      <c r="H1735" s="456"/>
    </row>
    <row r="1736" spans="1:8">
      <c r="A1736" s="471">
        <v>2733</v>
      </c>
      <c r="B1736" s="493" t="s">
        <v>2598</v>
      </c>
      <c r="C1736" s="472" t="s">
        <v>4720</v>
      </c>
      <c r="D1736" s="456">
        <f>IF(Table10[[#This Row],[Current Age]]&gt;19,"Men's",IF(E1736&gt;15,"U19",IF(E1736&gt;13,"U15",IF(E1736&gt;11,"U13",IF(E1736&gt;0,"U11",0)))))</f>
        <v>0</v>
      </c>
      <c r="E1736" s="456">
        <f>IFERROR(IF(Table10[[#This Row],[Year]]&gt;0,$E$1-Table10[[#This Row],[Year]],0),"")</f>
        <v>0</v>
      </c>
      <c r="F1736" s="456"/>
      <c r="G1736" s="456"/>
      <c r="H1736" s="456"/>
    </row>
    <row r="1737" spans="1:8">
      <c r="A1737" s="456">
        <v>2734</v>
      </c>
      <c r="B1737" s="469" t="s">
        <v>2599</v>
      </c>
      <c r="C1737" s="458" t="s">
        <v>4720</v>
      </c>
      <c r="D1737" s="456">
        <f>IF(Table10[[#This Row],[Current Age]]&gt;19,"Men's",IF(E1737&gt;15,"U19",IF(E1737&gt;13,"U15",IF(E1737&gt;11,"U13",IF(E1737&gt;0,"U11",0)))))</f>
        <v>0</v>
      </c>
      <c r="E1737" s="456">
        <f>IFERROR(IF(Table10[[#This Row],[Year]]&gt;0,$E$1-Table10[[#This Row],[Year]],0),"")</f>
        <v>0</v>
      </c>
      <c r="F1737" s="456"/>
      <c r="G1737" s="456"/>
      <c r="H1737" s="456"/>
    </row>
    <row r="1738" spans="1:8">
      <c r="A1738" s="471">
        <v>2735</v>
      </c>
      <c r="B1738" s="493" t="s">
        <v>2600</v>
      </c>
      <c r="C1738" s="472" t="s">
        <v>4720</v>
      </c>
      <c r="D1738" s="456">
        <f>IF(Table10[[#This Row],[Current Age]]&gt;19,"Men's",IF(E1738&gt;15,"U19",IF(E1738&gt;13,"U15",IF(E1738&gt;11,"U13",IF(E1738&gt;0,"U11",0)))))</f>
        <v>0</v>
      </c>
      <c r="E1738" s="456">
        <f>IFERROR(IF(Table10[[#This Row],[Year]]&gt;0,$E$1-Table10[[#This Row],[Year]],0),"")</f>
        <v>0</v>
      </c>
      <c r="F1738" s="456"/>
      <c r="G1738" s="456"/>
      <c r="H1738" s="456"/>
    </row>
    <row r="1739" spans="1:8">
      <c r="A1739" s="456">
        <v>2736</v>
      </c>
      <c r="B1739" s="469" t="s">
        <v>2601</v>
      </c>
      <c r="C1739" s="458" t="s">
        <v>4720</v>
      </c>
      <c r="D1739" s="456">
        <f>IF(Table10[[#This Row],[Current Age]]&gt;19,"Men's",IF(E1739&gt;15,"U19",IF(E1739&gt;13,"U15",IF(E1739&gt;11,"U13",IF(E1739&gt;0,"U11",0)))))</f>
        <v>0</v>
      </c>
      <c r="E1739" s="456">
        <f>IFERROR(IF(Table10[[#This Row],[Year]]&gt;0,$E$1-Table10[[#This Row],[Year]],0),"")</f>
        <v>0</v>
      </c>
      <c r="F1739" s="456"/>
      <c r="G1739" s="456"/>
      <c r="H1739" s="456"/>
    </row>
    <row r="1740" spans="1:8">
      <c r="A1740" s="471">
        <v>2737</v>
      </c>
      <c r="B1740" s="493" t="s">
        <v>2602</v>
      </c>
      <c r="C1740" s="472" t="s">
        <v>4720</v>
      </c>
      <c r="D1740" s="456">
        <f>IF(Table10[[#This Row],[Current Age]]&gt;19,"Men's",IF(E1740&gt;15,"U19",IF(E1740&gt;13,"U15",IF(E1740&gt;11,"U13",IF(E1740&gt;0,"U11",0)))))</f>
        <v>0</v>
      </c>
      <c r="E1740" s="456">
        <f>IFERROR(IF(Table10[[#This Row],[Year]]&gt;0,$E$1-Table10[[#This Row],[Year]],0),"")</f>
        <v>0</v>
      </c>
      <c r="F1740" s="456"/>
      <c r="G1740" s="456"/>
      <c r="H1740" s="456"/>
    </row>
    <row r="1741" spans="1:8">
      <c r="A1741" s="456">
        <v>2738</v>
      </c>
      <c r="B1741" s="469" t="s">
        <v>2603</v>
      </c>
      <c r="C1741" s="458" t="s">
        <v>4720</v>
      </c>
      <c r="D1741" s="456">
        <f>IF(Table10[[#This Row],[Current Age]]&gt;19,"Men's",IF(E1741&gt;15,"U19",IF(E1741&gt;13,"U15",IF(E1741&gt;11,"U13",IF(E1741&gt;0,"U11",0)))))</f>
        <v>0</v>
      </c>
      <c r="E1741" s="456">
        <f>IFERROR(IF(Table10[[#This Row],[Year]]&gt;0,$E$1-Table10[[#This Row],[Year]],0),"")</f>
        <v>0</v>
      </c>
      <c r="F1741" s="456"/>
      <c r="G1741" s="456"/>
      <c r="H1741" s="456"/>
    </row>
    <row r="1742" spans="1:8">
      <c r="A1742" s="471">
        <v>2739</v>
      </c>
      <c r="B1742" s="493" t="s">
        <v>2604</v>
      </c>
      <c r="C1742" s="472" t="s">
        <v>4720</v>
      </c>
      <c r="D1742" s="456">
        <f>IF(Table10[[#This Row],[Current Age]]&gt;19,"Men's",IF(E1742&gt;15,"U19",IF(E1742&gt;13,"U15",IF(E1742&gt;11,"U13",IF(E1742&gt;0,"U11",0)))))</f>
        <v>0</v>
      </c>
      <c r="E1742" s="456">
        <f>IFERROR(IF(Table10[[#This Row],[Year]]&gt;0,$E$1-Table10[[#This Row],[Year]],0),"")</f>
        <v>0</v>
      </c>
      <c r="F1742" s="456"/>
      <c r="G1742" s="456"/>
      <c r="H1742" s="456"/>
    </row>
    <row r="1743" spans="1:8">
      <c r="A1743" s="456">
        <v>2740</v>
      </c>
      <c r="B1743" s="469" t="s">
        <v>2605</v>
      </c>
      <c r="C1743" s="458" t="s">
        <v>4720</v>
      </c>
      <c r="D1743" s="456">
        <f>IF(Table10[[#This Row],[Current Age]]&gt;19,"Men's",IF(E1743&gt;15,"U19",IF(E1743&gt;13,"U15",IF(E1743&gt;11,"U13",IF(E1743&gt;0,"U11",0)))))</f>
        <v>0</v>
      </c>
      <c r="E1743" s="456">
        <f>IFERROR(IF(Table10[[#This Row],[Year]]&gt;0,$E$1-Table10[[#This Row],[Year]],0),"")</f>
        <v>0</v>
      </c>
      <c r="F1743" s="456"/>
      <c r="G1743" s="456"/>
      <c r="H1743" s="456"/>
    </row>
    <row r="1744" spans="1:8">
      <c r="A1744" s="471">
        <v>2741</v>
      </c>
      <c r="B1744" s="493" t="s">
        <v>6138</v>
      </c>
      <c r="C1744" s="472" t="s">
        <v>4720</v>
      </c>
      <c r="D1744" s="456" t="str">
        <f>IF(Table10[[#This Row],[Current Age]]&gt;19,"Men's",IF(E1744&gt;15,"U19",IF(E1744&gt;13,"U15",IF(E1744&gt;11,"U13",IF(E1744&gt;0,"U11",0)))))</f>
        <v>Men's</v>
      </c>
      <c r="E1744" s="456">
        <f>IFERROR(IF(Table10[[#This Row],[Year]]&gt;0,$E$1-Table10[[#This Row],[Year]],0),"")</f>
        <v>62</v>
      </c>
      <c r="F1744" s="456">
        <v>1963</v>
      </c>
      <c r="G1744" s="456">
        <v>11</v>
      </c>
      <c r="H1744" s="456">
        <v>11</v>
      </c>
    </row>
    <row r="1745" spans="1:8">
      <c r="A1745" s="456">
        <v>2742</v>
      </c>
      <c r="B1745" s="469" t="s">
        <v>2606</v>
      </c>
      <c r="C1745" s="458" t="s">
        <v>4720</v>
      </c>
      <c r="D1745" s="456">
        <f>IF(Table10[[#This Row],[Current Age]]&gt;19,"Men's",IF(E1745&gt;15,"U19",IF(E1745&gt;13,"U15",IF(E1745&gt;11,"U13",IF(E1745&gt;0,"U11",0)))))</f>
        <v>0</v>
      </c>
      <c r="E1745" s="456">
        <f>IFERROR(IF(Table10[[#This Row],[Year]]&gt;0,$E$1-Table10[[#This Row],[Year]],0),"")</f>
        <v>0</v>
      </c>
      <c r="F1745" s="456"/>
      <c r="G1745" s="456"/>
      <c r="H1745" s="456"/>
    </row>
    <row r="1746" spans="1:8">
      <c r="A1746" s="471">
        <v>2743</v>
      </c>
      <c r="B1746" s="493" t="s">
        <v>2607</v>
      </c>
      <c r="C1746" s="472" t="s">
        <v>4720</v>
      </c>
      <c r="D1746" s="456">
        <f>IF(Table10[[#This Row],[Current Age]]&gt;19,"Men's",IF(E1746&gt;15,"U19",IF(E1746&gt;13,"U15",IF(E1746&gt;11,"U13",IF(E1746&gt;0,"U11",0)))))</f>
        <v>0</v>
      </c>
      <c r="E1746" s="456">
        <f>IFERROR(IF(Table10[[#This Row],[Year]]&gt;0,$E$1-Table10[[#This Row],[Year]],0),"")</f>
        <v>0</v>
      </c>
      <c r="F1746" s="456"/>
      <c r="G1746" s="456"/>
      <c r="H1746" s="456"/>
    </row>
    <row r="1747" spans="1:8">
      <c r="A1747" s="456">
        <v>2744</v>
      </c>
      <c r="B1747" s="469" t="s">
        <v>2608</v>
      </c>
      <c r="C1747" s="458" t="s">
        <v>4720</v>
      </c>
      <c r="D1747" s="456">
        <f>IF(Table10[[#This Row],[Current Age]]&gt;19,"Men's",IF(E1747&gt;15,"U19",IF(E1747&gt;13,"U15",IF(E1747&gt;11,"U13",IF(E1747&gt;0,"U11",0)))))</f>
        <v>0</v>
      </c>
      <c r="E1747" s="456">
        <f>IFERROR(IF(Table10[[#This Row],[Year]]&gt;0,$E$1-Table10[[#This Row],[Year]],0),"")</f>
        <v>0</v>
      </c>
      <c r="F1747" s="456"/>
      <c r="G1747" s="456"/>
      <c r="H1747" s="456"/>
    </row>
    <row r="1748" spans="1:8">
      <c r="A1748" s="471">
        <v>2745</v>
      </c>
      <c r="B1748" s="493" t="s">
        <v>2609</v>
      </c>
      <c r="C1748" s="472" t="s">
        <v>4720</v>
      </c>
      <c r="D1748" s="456">
        <f>IF(Table10[[#This Row],[Current Age]]&gt;19,"Men's",IF(E1748&gt;15,"U19",IF(E1748&gt;13,"U15",IF(E1748&gt;11,"U13",IF(E1748&gt;0,"U11",0)))))</f>
        <v>0</v>
      </c>
      <c r="E1748" s="456">
        <f>IFERROR(IF(Table10[[#This Row],[Year]]&gt;0,$E$1-Table10[[#This Row],[Year]],0),"")</f>
        <v>0</v>
      </c>
      <c r="F1748" s="456"/>
      <c r="G1748" s="456"/>
      <c r="H1748" s="456"/>
    </row>
    <row r="1749" spans="1:8">
      <c r="A1749" s="456">
        <v>2746</v>
      </c>
      <c r="B1749" s="469" t="s">
        <v>2610</v>
      </c>
      <c r="C1749" s="458" t="s">
        <v>4720</v>
      </c>
      <c r="D1749" s="456">
        <f>IF(Table10[[#This Row],[Current Age]]&gt;19,"Men's",IF(E1749&gt;15,"U19",IF(E1749&gt;13,"U15",IF(E1749&gt;11,"U13",IF(E1749&gt;0,"U11",0)))))</f>
        <v>0</v>
      </c>
      <c r="E1749" s="456">
        <f>IFERROR(IF(Table10[[#This Row],[Year]]&gt;0,$E$1-Table10[[#This Row],[Year]],0),"")</f>
        <v>0</v>
      </c>
      <c r="F1749" s="456"/>
      <c r="G1749" s="456"/>
      <c r="H1749" s="456"/>
    </row>
    <row r="1750" spans="1:8">
      <c r="A1750" s="471">
        <v>2747</v>
      </c>
      <c r="B1750" s="493" t="s">
        <v>2611</v>
      </c>
      <c r="C1750" s="472" t="s">
        <v>4720</v>
      </c>
      <c r="D1750" s="456">
        <f>IF(Table10[[#This Row],[Current Age]]&gt;19,"Men's",IF(E1750&gt;15,"U19",IF(E1750&gt;13,"U15",IF(E1750&gt;11,"U13",IF(E1750&gt;0,"U11",0)))))</f>
        <v>0</v>
      </c>
      <c r="E1750" s="456">
        <f>IFERROR(IF(Table10[[#This Row],[Year]]&gt;0,$E$1-Table10[[#This Row],[Year]],0),"")</f>
        <v>0</v>
      </c>
      <c r="F1750" s="456"/>
      <c r="G1750" s="456"/>
      <c r="H1750" s="456"/>
    </row>
    <row r="1751" spans="1:8">
      <c r="A1751" s="456">
        <v>2748</v>
      </c>
      <c r="B1751" s="469" t="s">
        <v>2612</v>
      </c>
      <c r="C1751" s="458" t="s">
        <v>4720</v>
      </c>
      <c r="D1751" s="456">
        <f>IF(Table10[[#This Row],[Current Age]]&gt;19,"Men's",IF(E1751&gt;15,"U19",IF(E1751&gt;13,"U15",IF(E1751&gt;11,"U13",IF(E1751&gt;0,"U11",0)))))</f>
        <v>0</v>
      </c>
      <c r="E1751" s="456">
        <f>IFERROR(IF(Table10[[#This Row],[Year]]&gt;0,$E$1-Table10[[#This Row],[Year]],0),"")</f>
        <v>0</v>
      </c>
      <c r="F1751" s="456"/>
      <c r="G1751" s="456"/>
      <c r="H1751" s="456"/>
    </row>
    <row r="1752" spans="1:8">
      <c r="A1752" s="471">
        <v>2749</v>
      </c>
      <c r="B1752" s="493" t="s">
        <v>2613</v>
      </c>
      <c r="C1752" s="472" t="s">
        <v>4720</v>
      </c>
      <c r="D1752" s="456">
        <f>IF(Table10[[#This Row],[Current Age]]&gt;19,"Men's",IF(E1752&gt;15,"U19",IF(E1752&gt;13,"U15",IF(E1752&gt;11,"U13",IF(E1752&gt;0,"U11",0)))))</f>
        <v>0</v>
      </c>
      <c r="E1752" s="456">
        <f>IFERROR(IF(Table10[[#This Row],[Year]]&gt;0,$E$1-Table10[[#This Row],[Year]],0),"")</f>
        <v>0</v>
      </c>
      <c r="F1752" s="456"/>
      <c r="G1752" s="456"/>
      <c r="H1752" s="456"/>
    </row>
    <row r="1753" spans="1:8">
      <c r="A1753" s="456">
        <v>2750</v>
      </c>
      <c r="B1753" s="469" t="s">
        <v>2614</v>
      </c>
      <c r="C1753" s="458" t="s">
        <v>4720</v>
      </c>
      <c r="D1753" s="456">
        <f>IF(Table10[[#This Row],[Current Age]]&gt;19,"Men's",IF(E1753&gt;15,"U19",IF(E1753&gt;13,"U15",IF(E1753&gt;11,"U13",IF(E1753&gt;0,"U11",0)))))</f>
        <v>0</v>
      </c>
      <c r="E1753" s="456">
        <f>IFERROR(IF(Table10[[#This Row],[Year]]&gt;0,$E$1-Table10[[#This Row],[Year]],0),"")</f>
        <v>0</v>
      </c>
      <c r="F1753" s="456"/>
      <c r="G1753" s="456"/>
      <c r="H1753" s="456"/>
    </row>
    <row r="1754" spans="1:8">
      <c r="A1754" s="471">
        <v>2751</v>
      </c>
      <c r="B1754" s="493" t="s">
        <v>2615</v>
      </c>
      <c r="C1754" s="472" t="s">
        <v>4720</v>
      </c>
      <c r="D1754" s="456">
        <f>IF(Table10[[#This Row],[Current Age]]&gt;19,"Men's",IF(E1754&gt;15,"U19",IF(E1754&gt;13,"U15",IF(E1754&gt;11,"U13",IF(E1754&gt;0,"U11",0)))))</f>
        <v>0</v>
      </c>
      <c r="E1754" s="456">
        <f>IFERROR(IF(Table10[[#This Row],[Year]]&gt;0,$E$1-Table10[[#This Row],[Year]],0),"")</f>
        <v>0</v>
      </c>
      <c r="F1754" s="456"/>
      <c r="G1754" s="456"/>
      <c r="H1754" s="456"/>
    </row>
    <row r="1755" spans="1:8">
      <c r="A1755" s="456">
        <v>2752</v>
      </c>
      <c r="B1755" s="469" t="s">
        <v>2616</v>
      </c>
      <c r="C1755" s="458" t="s">
        <v>4720</v>
      </c>
      <c r="D1755" s="456">
        <f>IF(Table10[[#This Row],[Current Age]]&gt;19,"Men's",IF(E1755&gt;15,"U19",IF(E1755&gt;13,"U15",IF(E1755&gt;11,"U13",IF(E1755&gt;0,"U11",0)))))</f>
        <v>0</v>
      </c>
      <c r="E1755" s="456">
        <f>IFERROR(IF(Table10[[#This Row],[Year]]&gt;0,$E$1-Table10[[#This Row],[Year]],0),"")</f>
        <v>0</v>
      </c>
      <c r="F1755" s="456"/>
      <c r="G1755" s="456"/>
      <c r="H1755" s="456"/>
    </row>
    <row r="1756" spans="1:8">
      <c r="A1756" s="471">
        <v>2753</v>
      </c>
      <c r="B1756" s="493" t="s">
        <v>2617</v>
      </c>
      <c r="C1756" s="472" t="s">
        <v>4720</v>
      </c>
      <c r="D1756" s="456">
        <f>IF(Table10[[#This Row],[Current Age]]&gt;19,"Men's",IF(E1756&gt;15,"U19",IF(E1756&gt;13,"U15",IF(E1756&gt;11,"U13",IF(E1756&gt;0,"U11",0)))))</f>
        <v>0</v>
      </c>
      <c r="E1756" s="456">
        <f>IFERROR(IF(Table10[[#This Row],[Year]]&gt;0,$E$1-Table10[[#This Row],[Year]],0),"")</f>
        <v>0</v>
      </c>
      <c r="F1756" s="456"/>
      <c r="G1756" s="456"/>
      <c r="H1756" s="456"/>
    </row>
    <row r="1757" spans="1:8">
      <c r="A1757" s="456">
        <v>2754</v>
      </c>
      <c r="B1757" s="469" t="s">
        <v>2618</v>
      </c>
      <c r="C1757" s="458" t="s">
        <v>4720</v>
      </c>
      <c r="D1757" s="456">
        <f>IF(Table10[[#This Row],[Current Age]]&gt;19,"Men's",IF(E1757&gt;15,"U19",IF(E1757&gt;13,"U15",IF(E1757&gt;11,"U13",IF(E1757&gt;0,"U11",0)))))</f>
        <v>0</v>
      </c>
      <c r="E1757" s="456">
        <f>IFERROR(IF(Table10[[#This Row],[Year]]&gt;0,$E$1-Table10[[#This Row],[Year]],0),"")</f>
        <v>0</v>
      </c>
      <c r="F1757" s="456"/>
      <c r="G1757" s="456"/>
      <c r="H1757" s="456"/>
    </row>
    <row r="1758" spans="1:8">
      <c r="A1758" s="471">
        <v>2755</v>
      </c>
      <c r="B1758" s="493" t="s">
        <v>2619</v>
      </c>
      <c r="C1758" s="472" t="s">
        <v>4720</v>
      </c>
      <c r="D1758" s="456">
        <f>IF(Table10[[#This Row],[Current Age]]&gt;19,"Men's",IF(E1758&gt;15,"U19",IF(E1758&gt;13,"U15",IF(E1758&gt;11,"U13",IF(E1758&gt;0,"U11",0)))))</f>
        <v>0</v>
      </c>
      <c r="E1758" s="456">
        <f>IFERROR(IF(Table10[[#This Row],[Year]]&gt;0,$E$1-Table10[[#This Row],[Year]],0),"")</f>
        <v>0</v>
      </c>
      <c r="F1758" s="456"/>
      <c r="G1758" s="456"/>
      <c r="H1758" s="456"/>
    </row>
    <row r="1759" spans="1:8">
      <c r="A1759" s="456">
        <v>2756</v>
      </c>
      <c r="B1759" s="469" t="s">
        <v>2620</v>
      </c>
      <c r="C1759" s="458" t="s">
        <v>4720</v>
      </c>
      <c r="D1759" s="456">
        <f>IF(Table10[[#This Row],[Current Age]]&gt;19,"Men's",IF(E1759&gt;15,"U19",IF(E1759&gt;13,"U15",IF(E1759&gt;11,"U13",IF(E1759&gt;0,"U11",0)))))</f>
        <v>0</v>
      </c>
      <c r="E1759" s="456">
        <f>IFERROR(IF(Table10[[#This Row],[Year]]&gt;0,$E$1-Table10[[#This Row],[Year]],0),"")</f>
        <v>0</v>
      </c>
      <c r="F1759" s="456"/>
      <c r="G1759" s="456"/>
      <c r="H1759" s="456"/>
    </row>
    <row r="1760" spans="1:8">
      <c r="A1760" s="471">
        <v>2757</v>
      </c>
      <c r="B1760" s="493" t="s">
        <v>2621</v>
      </c>
      <c r="C1760" s="472" t="s">
        <v>4720</v>
      </c>
      <c r="D1760" s="456">
        <f>IF(Table10[[#This Row],[Current Age]]&gt;19,"Men's",IF(E1760&gt;15,"U19",IF(E1760&gt;13,"U15",IF(E1760&gt;11,"U13",IF(E1760&gt;0,"U11",0)))))</f>
        <v>0</v>
      </c>
      <c r="E1760" s="456">
        <f>IFERROR(IF(Table10[[#This Row],[Year]]&gt;0,$E$1-Table10[[#This Row],[Year]],0),"")</f>
        <v>0</v>
      </c>
      <c r="F1760" s="456"/>
      <c r="G1760" s="456"/>
      <c r="H1760" s="456"/>
    </row>
    <row r="1761" spans="1:8">
      <c r="A1761" s="456">
        <v>2758</v>
      </c>
      <c r="B1761" s="469" t="s">
        <v>2622</v>
      </c>
      <c r="C1761" s="458" t="s">
        <v>4720</v>
      </c>
      <c r="D1761" s="456">
        <f>IF(Table10[[#This Row],[Current Age]]&gt;19,"Men's",IF(E1761&gt;15,"U19",IF(E1761&gt;13,"U15",IF(E1761&gt;11,"U13",IF(E1761&gt;0,"U11",0)))))</f>
        <v>0</v>
      </c>
      <c r="E1761" s="456">
        <f>IFERROR(IF(Table10[[#This Row],[Year]]&gt;0,$E$1-Table10[[#This Row],[Year]],0),"")</f>
        <v>0</v>
      </c>
      <c r="F1761" s="456"/>
      <c r="G1761" s="456"/>
      <c r="H1761" s="456"/>
    </row>
    <row r="1762" spans="1:8">
      <c r="A1762" s="471">
        <v>2759</v>
      </c>
      <c r="B1762" s="493" t="s">
        <v>2623</v>
      </c>
      <c r="C1762" s="472" t="s">
        <v>4720</v>
      </c>
      <c r="D1762" s="456">
        <f>IF(Table10[[#This Row],[Current Age]]&gt;19,"Men's",IF(E1762&gt;15,"U19",IF(E1762&gt;13,"U15",IF(E1762&gt;11,"U13",IF(E1762&gt;0,"U11",0)))))</f>
        <v>0</v>
      </c>
      <c r="E1762" s="456">
        <f>IFERROR(IF(Table10[[#This Row],[Year]]&gt;0,$E$1-Table10[[#This Row],[Year]],0),"")</f>
        <v>0</v>
      </c>
      <c r="F1762" s="456"/>
      <c r="G1762" s="456"/>
      <c r="H1762" s="456"/>
    </row>
    <row r="1763" spans="1:8">
      <c r="A1763" s="456">
        <v>2760</v>
      </c>
      <c r="B1763" s="469" t="s">
        <v>2624</v>
      </c>
      <c r="C1763" s="458" t="s">
        <v>4720</v>
      </c>
      <c r="D1763" s="456">
        <f>IF(Table10[[#This Row],[Current Age]]&gt;19,"Men's",IF(E1763&gt;15,"U19",IF(E1763&gt;13,"U15",IF(E1763&gt;11,"U13",IF(E1763&gt;0,"U11",0)))))</f>
        <v>0</v>
      </c>
      <c r="E1763" s="456">
        <f>IFERROR(IF(Table10[[#This Row],[Year]]&gt;0,$E$1-Table10[[#This Row],[Year]],0),"")</f>
        <v>0</v>
      </c>
      <c r="F1763" s="456"/>
      <c r="G1763" s="456"/>
      <c r="H1763" s="456"/>
    </row>
    <row r="1764" spans="1:8">
      <c r="A1764" s="471">
        <v>2761</v>
      </c>
      <c r="B1764" s="493" t="s">
        <v>2625</v>
      </c>
      <c r="C1764" s="472" t="s">
        <v>4720</v>
      </c>
      <c r="D1764" s="456">
        <f>IF(Table10[[#This Row],[Current Age]]&gt;19,"Men's",IF(E1764&gt;15,"U19",IF(E1764&gt;13,"U15",IF(E1764&gt;11,"U13",IF(E1764&gt;0,"U11",0)))))</f>
        <v>0</v>
      </c>
      <c r="E1764" s="456">
        <f>IFERROR(IF(Table10[[#This Row],[Year]]&gt;0,$E$1-Table10[[#This Row],[Year]],0),"")</f>
        <v>0</v>
      </c>
      <c r="F1764" s="456"/>
      <c r="G1764" s="456"/>
      <c r="H1764" s="456"/>
    </row>
    <row r="1765" spans="1:8">
      <c r="A1765" s="456">
        <v>2762</v>
      </c>
      <c r="B1765" s="469" t="s">
        <v>2626</v>
      </c>
      <c r="C1765" s="458" t="s">
        <v>4720</v>
      </c>
      <c r="D1765" s="456">
        <f>IF(Table10[[#This Row],[Current Age]]&gt;19,"Men's",IF(E1765&gt;15,"U19",IF(E1765&gt;13,"U15",IF(E1765&gt;11,"U13",IF(E1765&gt;0,"U11",0)))))</f>
        <v>0</v>
      </c>
      <c r="E1765" s="456">
        <f>IFERROR(IF(Table10[[#This Row],[Year]]&gt;0,$E$1-Table10[[#This Row],[Year]],0),"")</f>
        <v>0</v>
      </c>
      <c r="F1765" s="456"/>
      <c r="G1765" s="456"/>
      <c r="H1765" s="456"/>
    </row>
    <row r="1766" spans="1:8">
      <c r="A1766" s="471">
        <v>2763</v>
      </c>
      <c r="B1766" s="493" t="s">
        <v>2627</v>
      </c>
      <c r="C1766" s="472" t="s">
        <v>4720</v>
      </c>
      <c r="D1766" s="456">
        <f>IF(Table10[[#This Row],[Current Age]]&gt;19,"Men's",IF(E1766&gt;15,"U19",IF(E1766&gt;13,"U15",IF(E1766&gt;11,"U13",IF(E1766&gt;0,"U11",0)))))</f>
        <v>0</v>
      </c>
      <c r="E1766" s="456">
        <f>IFERROR(IF(Table10[[#This Row],[Year]]&gt;0,$E$1-Table10[[#This Row],[Year]],0),"")</f>
        <v>0</v>
      </c>
      <c r="F1766" s="456"/>
      <c r="G1766" s="456"/>
      <c r="H1766" s="456"/>
    </row>
    <row r="1767" spans="1:8">
      <c r="A1767" s="456">
        <v>2764</v>
      </c>
      <c r="B1767" s="469" t="s">
        <v>2628</v>
      </c>
      <c r="C1767" s="458" t="s">
        <v>4720</v>
      </c>
      <c r="D1767" s="456">
        <f>IF(Table10[[#This Row],[Current Age]]&gt;19,"Men's",IF(E1767&gt;15,"U19",IF(E1767&gt;13,"U15",IF(E1767&gt;11,"U13",IF(E1767&gt;0,"U11",0)))))</f>
        <v>0</v>
      </c>
      <c r="E1767" s="456">
        <f>IFERROR(IF(Table10[[#This Row],[Year]]&gt;0,$E$1-Table10[[#This Row],[Year]],0),"")</f>
        <v>0</v>
      </c>
      <c r="F1767" s="456"/>
      <c r="G1767" s="456"/>
      <c r="H1767" s="456"/>
    </row>
    <row r="1768" spans="1:8">
      <c r="A1768" s="471">
        <v>2765</v>
      </c>
      <c r="B1768" s="493" t="s">
        <v>2629</v>
      </c>
      <c r="C1768" s="472" t="s">
        <v>4720</v>
      </c>
      <c r="D1768" s="456">
        <f>IF(Table10[[#This Row],[Current Age]]&gt;19,"Men's",IF(E1768&gt;15,"U19",IF(E1768&gt;13,"U15",IF(E1768&gt;11,"U13",IF(E1768&gt;0,"U11",0)))))</f>
        <v>0</v>
      </c>
      <c r="E1768" s="456">
        <f>IFERROR(IF(Table10[[#This Row],[Year]]&gt;0,$E$1-Table10[[#This Row],[Year]],0),"")</f>
        <v>0</v>
      </c>
      <c r="F1768" s="456"/>
      <c r="G1768" s="456"/>
      <c r="H1768" s="456"/>
    </row>
    <row r="1769" spans="1:8">
      <c r="A1769" s="456">
        <v>2766</v>
      </c>
      <c r="B1769" s="469" t="s">
        <v>2630</v>
      </c>
      <c r="C1769" s="458" t="s">
        <v>4720</v>
      </c>
      <c r="D1769" s="456">
        <f>IF(Table10[[#This Row],[Current Age]]&gt;19,"Men's",IF(E1769&gt;15,"U19",IF(E1769&gt;13,"U15",IF(E1769&gt;11,"U13",IF(E1769&gt;0,"U11",0)))))</f>
        <v>0</v>
      </c>
      <c r="E1769" s="456">
        <f>IFERROR(IF(Table10[[#This Row],[Year]]&gt;0,$E$1-Table10[[#This Row],[Year]],0),"")</f>
        <v>0</v>
      </c>
      <c r="F1769" s="456"/>
      <c r="G1769" s="456"/>
      <c r="H1769" s="456"/>
    </row>
    <row r="1770" spans="1:8">
      <c r="A1770" s="471">
        <v>2767</v>
      </c>
      <c r="B1770" s="493" t="s">
        <v>2631</v>
      </c>
      <c r="C1770" s="472" t="s">
        <v>4720</v>
      </c>
      <c r="D1770" s="456">
        <f>IF(Table10[[#This Row],[Current Age]]&gt;19,"Men's",IF(E1770&gt;15,"U19",IF(E1770&gt;13,"U15",IF(E1770&gt;11,"U13",IF(E1770&gt;0,"U11",0)))))</f>
        <v>0</v>
      </c>
      <c r="E1770" s="456">
        <f>IFERROR(IF(Table10[[#This Row],[Year]]&gt;0,$E$1-Table10[[#This Row],[Year]],0),"")</f>
        <v>0</v>
      </c>
      <c r="F1770" s="456"/>
      <c r="G1770" s="456"/>
      <c r="H1770" s="456"/>
    </row>
    <row r="1771" spans="1:8">
      <c r="A1771" s="456">
        <v>2768</v>
      </c>
      <c r="B1771" s="469" t="s">
        <v>2632</v>
      </c>
      <c r="C1771" s="458" t="s">
        <v>4720</v>
      </c>
      <c r="D1771" s="456">
        <f>IF(Table10[[#This Row],[Current Age]]&gt;19,"Men's",IF(E1771&gt;15,"U19",IF(E1771&gt;13,"U15",IF(E1771&gt;11,"U13",IF(E1771&gt;0,"U11",0)))))</f>
        <v>0</v>
      </c>
      <c r="E1771" s="456">
        <f>IFERROR(IF(Table10[[#This Row],[Year]]&gt;0,$E$1-Table10[[#This Row],[Year]],0),"")</f>
        <v>0</v>
      </c>
      <c r="F1771" s="456"/>
      <c r="G1771" s="456"/>
      <c r="H1771" s="456"/>
    </row>
    <row r="1772" spans="1:8">
      <c r="A1772" s="471">
        <v>2769</v>
      </c>
      <c r="B1772" s="493" t="s">
        <v>5248</v>
      </c>
      <c r="C1772" s="472" t="s">
        <v>4720</v>
      </c>
      <c r="D1772" s="456">
        <f>IF(Table10[[#This Row],[Current Age]]&gt;19,"Men's",IF(E1772&gt;15,"U19",IF(E1772&gt;13,"U15",IF(E1772&gt;11,"U13",IF(E1772&gt;0,"U11",0)))))</f>
        <v>0</v>
      </c>
      <c r="E1772" s="456">
        <f>IFERROR(IF(Table10[[#This Row],[Year]]&gt;0,$E$1-Table10[[#This Row],[Year]],0),"")</f>
        <v>0</v>
      </c>
      <c r="F1772" s="456"/>
      <c r="G1772" s="456"/>
      <c r="H1772" s="456"/>
    </row>
    <row r="1773" spans="1:8">
      <c r="A1773" s="456">
        <v>2770</v>
      </c>
      <c r="B1773" s="469" t="s">
        <v>2633</v>
      </c>
      <c r="C1773" s="458" t="s">
        <v>4720</v>
      </c>
      <c r="D1773" s="456">
        <f>IF(Table10[[#This Row],[Current Age]]&gt;19,"Men's",IF(E1773&gt;15,"U19",IF(E1773&gt;13,"U15",IF(E1773&gt;11,"U13",IF(E1773&gt;0,"U11",0)))))</f>
        <v>0</v>
      </c>
      <c r="E1773" s="456">
        <f>IFERROR(IF(Table10[[#This Row],[Year]]&gt;0,$E$1-Table10[[#This Row],[Year]],0),"")</f>
        <v>0</v>
      </c>
      <c r="F1773" s="456"/>
      <c r="G1773" s="456"/>
      <c r="H1773" s="456"/>
    </row>
    <row r="1774" spans="1:8">
      <c r="A1774" s="471">
        <v>2771</v>
      </c>
      <c r="B1774" s="493" t="s">
        <v>2634</v>
      </c>
      <c r="C1774" s="472" t="s">
        <v>4720</v>
      </c>
      <c r="D1774" s="456">
        <f>IF(Table10[[#This Row],[Current Age]]&gt;19,"Men's",IF(E1774&gt;15,"U19",IF(E1774&gt;13,"U15",IF(E1774&gt;11,"U13",IF(E1774&gt;0,"U11",0)))))</f>
        <v>0</v>
      </c>
      <c r="E1774" s="456">
        <f>IFERROR(IF(Table10[[#This Row],[Year]]&gt;0,$E$1-Table10[[#This Row],[Year]],0),"")</f>
        <v>0</v>
      </c>
      <c r="F1774" s="456"/>
      <c r="G1774" s="456"/>
      <c r="H1774" s="456"/>
    </row>
    <row r="1775" spans="1:8">
      <c r="A1775" s="456">
        <v>2772</v>
      </c>
      <c r="B1775" s="469" t="s">
        <v>2635</v>
      </c>
      <c r="C1775" s="458" t="s">
        <v>4720</v>
      </c>
      <c r="D1775" s="456">
        <f>IF(Table10[[#This Row],[Current Age]]&gt;19,"Men's",IF(E1775&gt;15,"U19",IF(E1775&gt;13,"U15",IF(E1775&gt;11,"U13",IF(E1775&gt;0,"U11",0)))))</f>
        <v>0</v>
      </c>
      <c r="E1775" s="456">
        <f>IFERROR(IF(Table10[[#This Row],[Year]]&gt;0,$E$1-Table10[[#This Row],[Year]],0),"")</f>
        <v>0</v>
      </c>
      <c r="F1775" s="456"/>
      <c r="G1775" s="456"/>
      <c r="H1775" s="456"/>
    </row>
    <row r="1776" spans="1:8">
      <c r="A1776" s="471">
        <v>2773</v>
      </c>
      <c r="B1776" s="493" t="s">
        <v>2636</v>
      </c>
      <c r="C1776" s="472" t="s">
        <v>4720</v>
      </c>
      <c r="D1776" s="456">
        <f>IF(Table10[[#This Row],[Current Age]]&gt;19,"Men's",IF(E1776&gt;15,"U19",IF(E1776&gt;13,"U15",IF(E1776&gt;11,"U13",IF(E1776&gt;0,"U11",0)))))</f>
        <v>0</v>
      </c>
      <c r="E1776" s="456">
        <f>IFERROR(IF(Table10[[#This Row],[Year]]&gt;0,$E$1-Table10[[#This Row],[Year]],0),"")</f>
        <v>0</v>
      </c>
      <c r="F1776" s="456"/>
      <c r="G1776" s="456"/>
      <c r="H1776" s="456"/>
    </row>
    <row r="1777" spans="1:8">
      <c r="A1777" s="456">
        <v>2774</v>
      </c>
      <c r="B1777" s="469" t="s">
        <v>2637</v>
      </c>
      <c r="C1777" s="458" t="s">
        <v>4720</v>
      </c>
      <c r="D1777" s="456">
        <f>IF(Table10[[#This Row],[Current Age]]&gt;19,"Men's",IF(E1777&gt;15,"U19",IF(E1777&gt;13,"U15",IF(E1777&gt;11,"U13",IF(E1777&gt;0,"U11",0)))))</f>
        <v>0</v>
      </c>
      <c r="E1777" s="456">
        <f>IFERROR(IF(Table10[[#This Row],[Year]]&gt;0,$E$1-Table10[[#This Row],[Year]],0),"")</f>
        <v>0</v>
      </c>
      <c r="F1777" s="456"/>
      <c r="G1777" s="456"/>
      <c r="H1777" s="456"/>
    </row>
    <row r="1778" spans="1:8">
      <c r="A1778" s="471">
        <v>2775</v>
      </c>
      <c r="B1778" s="493" t="s">
        <v>2638</v>
      </c>
      <c r="C1778" s="472" t="s">
        <v>4720</v>
      </c>
      <c r="D1778" s="456">
        <f>IF(Table10[[#This Row],[Current Age]]&gt;19,"Men's",IF(E1778&gt;15,"U19",IF(E1778&gt;13,"U15",IF(E1778&gt;11,"U13",IF(E1778&gt;0,"U11",0)))))</f>
        <v>0</v>
      </c>
      <c r="E1778" s="456">
        <f>IFERROR(IF(Table10[[#This Row],[Year]]&gt;0,$E$1-Table10[[#This Row],[Year]],0),"")</f>
        <v>0</v>
      </c>
      <c r="F1778" s="456"/>
      <c r="G1778" s="456"/>
      <c r="H1778" s="456"/>
    </row>
    <row r="1779" spans="1:8">
      <c r="A1779" s="456">
        <v>2776</v>
      </c>
      <c r="B1779" s="469" t="s">
        <v>2639</v>
      </c>
      <c r="C1779" s="458" t="s">
        <v>4720</v>
      </c>
      <c r="D1779" s="456">
        <f>IF(Table10[[#This Row],[Current Age]]&gt;19,"Men's",IF(E1779&gt;15,"U19",IF(E1779&gt;13,"U15",IF(E1779&gt;11,"U13",IF(E1779&gt;0,"U11",0)))))</f>
        <v>0</v>
      </c>
      <c r="E1779" s="456">
        <f>IFERROR(IF(Table10[[#This Row],[Year]]&gt;0,$E$1-Table10[[#This Row],[Year]],0),"")</f>
        <v>0</v>
      </c>
      <c r="F1779" s="456"/>
      <c r="G1779" s="456"/>
      <c r="H1779" s="456"/>
    </row>
    <row r="1780" spans="1:8">
      <c r="A1780" s="471">
        <v>2777</v>
      </c>
      <c r="B1780" s="493" t="s">
        <v>4635</v>
      </c>
      <c r="C1780" s="472" t="s">
        <v>244</v>
      </c>
      <c r="D1780" s="456" t="str">
        <f>IF(Table10[[#This Row],[Current Age]]&gt;19,"Men's",IF(E1780&gt;15,"U19",IF(E1780&gt;13,"U15",IF(E1780&gt;11,"U13",IF(E1780&gt;0,"U11",0)))))</f>
        <v>Men's</v>
      </c>
      <c r="E1780" s="456">
        <f>IFERROR(IF(Table10[[#This Row],[Year]]&gt;0,$E$1-Table10[[#This Row],[Year]],0),"")</f>
        <v>20</v>
      </c>
      <c r="F1780" s="456">
        <v>2005</v>
      </c>
      <c r="G1780" s="456">
        <v>9</v>
      </c>
      <c r="H1780" s="456">
        <v>9</v>
      </c>
    </row>
    <row r="1781" spans="1:8">
      <c r="A1781" s="456">
        <v>2778</v>
      </c>
      <c r="B1781" s="469" t="s">
        <v>2648</v>
      </c>
      <c r="C1781" s="458" t="s">
        <v>1914</v>
      </c>
      <c r="D1781" s="456" t="str">
        <f>IF(Table10[[#This Row],[Current Age]]&gt;19,"Men's",IF(E1781&gt;15,"U19",IF(E1781&gt;13,"U15",IF(E1781&gt;11,"U13",IF(E1781&gt;0,"U11",0)))))</f>
        <v>Men's</v>
      </c>
      <c r="E1781" s="456">
        <f>IFERROR(IF(Table10[[#This Row],[Year]]&gt;0,$E$1-Table10[[#This Row],[Year]],0),"")</f>
        <v>56</v>
      </c>
      <c r="F1781" s="456">
        <v>1969</v>
      </c>
      <c r="G1781" s="456">
        <v>5</v>
      </c>
      <c r="H1781" s="456">
        <v>3</v>
      </c>
    </row>
    <row r="1782" spans="1:8">
      <c r="A1782" s="471">
        <v>2779</v>
      </c>
      <c r="B1782" s="493" t="s">
        <v>2649</v>
      </c>
      <c r="C1782" s="472" t="s">
        <v>1914</v>
      </c>
      <c r="D1782" s="456">
        <f>IF(Table10[[#This Row],[Current Age]]&gt;19,"Men's",IF(E1782&gt;15,"U19",IF(E1782&gt;13,"U15",IF(E1782&gt;11,"U13",IF(E1782&gt;0,"U11",0)))))</f>
        <v>0</v>
      </c>
      <c r="E1782" s="456">
        <f>IFERROR(IF(Table10[[#This Row],[Year]]&gt;0,$E$1-Table10[[#This Row],[Year]],0),"")</f>
        <v>0</v>
      </c>
      <c r="F1782" s="456"/>
      <c r="G1782" s="456"/>
      <c r="H1782" s="456"/>
    </row>
    <row r="1783" spans="1:8">
      <c r="A1783" s="456">
        <v>2780</v>
      </c>
      <c r="B1783" s="469" t="s">
        <v>2650</v>
      </c>
      <c r="C1783" s="458" t="s">
        <v>1914</v>
      </c>
      <c r="D1783" s="456" t="str">
        <f>IF(Table10[[#This Row],[Current Age]]&gt;19,"Men's",IF(E1783&gt;15,"U19",IF(E1783&gt;13,"U15",IF(E1783&gt;11,"U13",IF(E1783&gt;0,"U11",0)))))</f>
        <v>Men's</v>
      </c>
      <c r="E1783" s="456">
        <f>IFERROR(IF(Table10[[#This Row],[Year]]&gt;0,$E$1-Table10[[#This Row],[Year]],0),"")</f>
        <v>23</v>
      </c>
      <c r="F1783" s="456">
        <v>2002</v>
      </c>
      <c r="G1783" s="456">
        <v>6</v>
      </c>
      <c r="H1783" s="456">
        <v>6</v>
      </c>
    </row>
    <row r="1784" spans="1:8">
      <c r="A1784" s="471">
        <v>2781</v>
      </c>
      <c r="B1784" s="493" t="s">
        <v>6029</v>
      </c>
      <c r="C1784" s="472" t="s">
        <v>6030</v>
      </c>
      <c r="D1784" s="456">
        <f>IF(Table10[[#This Row],[Current Age]]&gt;19,"Men's",IF(E1784&gt;15,"U19",IF(E1784&gt;13,"U15",IF(E1784&gt;11,"U13",IF(E1784&gt;0,"U11",0)))))</f>
        <v>0</v>
      </c>
      <c r="E1784" s="456">
        <f>IFERROR(IF(Table10[[#This Row],[Year]]&gt;0,$E$1-Table10[[#This Row],[Year]],0),"")</f>
        <v>0</v>
      </c>
      <c r="F1784" s="456"/>
      <c r="G1784" s="456"/>
      <c r="H1784" s="456"/>
    </row>
    <row r="1785" spans="1:8">
      <c r="A1785" s="456">
        <v>2782</v>
      </c>
      <c r="B1785" s="469" t="s">
        <v>2651</v>
      </c>
      <c r="C1785" s="458" t="s">
        <v>1914</v>
      </c>
      <c r="D1785" s="456" t="str">
        <f>IF(Table10[[#This Row],[Current Age]]&gt;19,"Men's",IF(E1785&gt;15,"U19",IF(E1785&gt;13,"U15",IF(E1785&gt;11,"U13",IF(E1785&gt;0,"U11",0)))))</f>
        <v>Men's</v>
      </c>
      <c r="E1785" s="456">
        <f>IFERROR(IF(Table10[[#This Row],[Year]]&gt;0,$E$1-Table10[[#This Row],[Year]],0),"")</f>
        <v>21</v>
      </c>
      <c r="F1785" s="456">
        <v>2004</v>
      </c>
      <c r="G1785" s="456">
        <v>5</v>
      </c>
      <c r="H1785" s="456">
        <v>7</v>
      </c>
    </row>
    <row r="1786" spans="1:8">
      <c r="A1786" s="471">
        <v>2783</v>
      </c>
      <c r="B1786" s="493" t="s">
        <v>2652</v>
      </c>
      <c r="C1786" s="472" t="s">
        <v>1914</v>
      </c>
      <c r="D1786" s="456">
        <f>IF(Table10[[#This Row],[Current Age]]&gt;19,"Men's",IF(E1786&gt;15,"U19",IF(E1786&gt;13,"U15",IF(E1786&gt;11,"U13",IF(E1786&gt;0,"U11",0)))))</f>
        <v>0</v>
      </c>
      <c r="E1786" s="456">
        <f>IFERROR(IF(Table10[[#This Row],[Year]]&gt;0,$E$1-Table10[[#This Row],[Year]],0),"")</f>
        <v>0</v>
      </c>
      <c r="F1786" s="456"/>
      <c r="G1786" s="456"/>
      <c r="H1786" s="456"/>
    </row>
    <row r="1787" spans="1:8">
      <c r="A1787" s="456">
        <v>2784</v>
      </c>
      <c r="B1787" s="469" t="s">
        <v>2653</v>
      </c>
      <c r="C1787" s="458" t="s">
        <v>1914</v>
      </c>
      <c r="D1787" s="456" t="str">
        <f>IF(Table10[[#This Row],[Current Age]]&gt;19,"Men's",IF(E1787&gt;15,"U19",IF(E1787&gt;13,"U15",IF(E1787&gt;11,"U13",IF(E1787&gt;0,"U11",0)))))</f>
        <v>U19</v>
      </c>
      <c r="E1787" s="456">
        <f>IFERROR(IF(Table10[[#This Row],[Year]]&gt;0,$E$1-Table10[[#This Row],[Year]],0),"")</f>
        <v>19</v>
      </c>
      <c r="F1787" s="456">
        <v>2006</v>
      </c>
      <c r="G1787" s="456">
        <v>5</v>
      </c>
      <c r="H1787" s="456">
        <v>30</v>
      </c>
    </row>
    <row r="1788" spans="1:8">
      <c r="A1788" s="471">
        <v>2785</v>
      </c>
      <c r="B1788" s="493" t="s">
        <v>2654</v>
      </c>
      <c r="C1788" s="472" t="s">
        <v>1914</v>
      </c>
      <c r="D1788" s="456" t="str">
        <f>IF(Table10[[#This Row],[Current Age]]&gt;19,"Men's",IF(E1788&gt;15,"U19",IF(E1788&gt;13,"U15",IF(E1788&gt;11,"U13",IF(E1788&gt;0,"U11",0)))))</f>
        <v>U19</v>
      </c>
      <c r="E1788" s="456">
        <f>IFERROR(IF(Table10[[#This Row],[Year]]&gt;0,$E$1-Table10[[#This Row],[Year]],0),"")</f>
        <v>19</v>
      </c>
      <c r="F1788" s="456">
        <v>2006</v>
      </c>
      <c r="G1788" s="456">
        <v>7</v>
      </c>
      <c r="H1788" s="456">
        <v>18</v>
      </c>
    </row>
    <row r="1789" spans="1:8">
      <c r="A1789" s="456">
        <v>2786</v>
      </c>
      <c r="B1789" s="469" t="s">
        <v>2655</v>
      </c>
      <c r="C1789" s="458" t="s">
        <v>1914</v>
      </c>
      <c r="D1789" s="456">
        <f>IF(Table10[[#This Row],[Current Age]]&gt;19,"Men's",IF(E1789&gt;15,"U19",IF(E1789&gt;13,"U15",IF(E1789&gt;11,"U13",IF(E1789&gt;0,"U11",0)))))</f>
        <v>0</v>
      </c>
      <c r="E1789" s="456">
        <f>IFERROR(IF(Table10[[#This Row],[Year]]&gt;0,$E$1-Table10[[#This Row],[Year]],0),"")</f>
        <v>0</v>
      </c>
      <c r="F1789" s="456"/>
      <c r="G1789" s="456"/>
      <c r="H1789" s="456"/>
    </row>
    <row r="1790" spans="1:8">
      <c r="A1790" s="471">
        <v>2787</v>
      </c>
      <c r="B1790" s="493" t="s">
        <v>2656</v>
      </c>
      <c r="C1790" s="472" t="s">
        <v>1914</v>
      </c>
      <c r="D1790" s="456">
        <f>IF(Table10[[#This Row],[Current Age]]&gt;19,"Men's",IF(E1790&gt;15,"U19",IF(E1790&gt;13,"U15",IF(E1790&gt;11,"U13",IF(E1790&gt;0,"U11",0)))))</f>
        <v>0</v>
      </c>
      <c r="E1790" s="456">
        <f>IFERROR(IF(Table10[[#This Row],[Year]]&gt;0,$E$1-Table10[[#This Row],[Year]],0),"")</f>
        <v>0</v>
      </c>
      <c r="F1790" s="456"/>
      <c r="G1790" s="456"/>
      <c r="H1790" s="456"/>
    </row>
    <row r="1791" spans="1:8">
      <c r="A1791" s="456">
        <v>2788</v>
      </c>
      <c r="B1791" s="469" t="s">
        <v>2657</v>
      </c>
      <c r="C1791" s="458" t="s">
        <v>1914</v>
      </c>
      <c r="D1791" s="456">
        <f>IF(Table10[[#This Row],[Current Age]]&gt;19,"Men's",IF(E1791&gt;15,"U19",IF(E1791&gt;13,"U15",IF(E1791&gt;11,"U13",IF(E1791&gt;0,"U11",0)))))</f>
        <v>0</v>
      </c>
      <c r="E1791" s="456">
        <f>IFERROR(IF(Table10[[#This Row],[Year]]&gt;0,$E$1-Table10[[#This Row],[Year]],0),"")</f>
        <v>0</v>
      </c>
      <c r="F1791" s="456"/>
      <c r="G1791" s="456"/>
      <c r="H1791" s="456"/>
    </row>
    <row r="1792" spans="1:8">
      <c r="A1792" s="471">
        <v>2789</v>
      </c>
      <c r="B1792" s="493" t="s">
        <v>2658</v>
      </c>
      <c r="C1792" s="472" t="s">
        <v>1914</v>
      </c>
      <c r="D1792" s="456">
        <f>IF(Table10[[#This Row],[Current Age]]&gt;19,"Men's",IF(E1792&gt;15,"U19",IF(E1792&gt;13,"U15",IF(E1792&gt;11,"U13",IF(E1792&gt;0,"U11",0)))))</f>
        <v>0</v>
      </c>
      <c r="E1792" s="456">
        <f>IFERROR(IF(Table10[[#This Row],[Year]]&gt;0,$E$1-Table10[[#This Row],[Year]],0),"")</f>
        <v>0</v>
      </c>
      <c r="F1792" s="456"/>
      <c r="G1792" s="456"/>
      <c r="H1792" s="456"/>
    </row>
    <row r="1793" spans="1:8">
      <c r="A1793" s="456">
        <v>2790</v>
      </c>
      <c r="B1793" s="469" t="s">
        <v>2659</v>
      </c>
      <c r="C1793" s="458" t="s">
        <v>1914</v>
      </c>
      <c r="D1793" s="456" t="str">
        <f>IF(Table10[[#This Row],[Current Age]]&gt;19,"Men's",IF(E1793&gt;15,"U19",IF(E1793&gt;13,"U15",IF(E1793&gt;11,"U13",IF(E1793&gt;0,"U11",0)))))</f>
        <v>Men's</v>
      </c>
      <c r="E1793" s="456">
        <f>IFERROR(IF(Table10[[#This Row],[Year]]&gt;0,$E$1-Table10[[#This Row],[Year]],0),"")</f>
        <v>23</v>
      </c>
      <c r="F1793" s="456">
        <v>2002</v>
      </c>
      <c r="G1793" s="456">
        <v>6</v>
      </c>
      <c r="H1793" s="456">
        <v>14</v>
      </c>
    </row>
    <row r="1794" spans="1:8">
      <c r="A1794" s="471">
        <v>2791</v>
      </c>
      <c r="B1794" s="493" t="s">
        <v>2660</v>
      </c>
      <c r="C1794" s="472" t="s">
        <v>1914</v>
      </c>
      <c r="D1794" s="456">
        <f>IF(Table10[[#This Row],[Current Age]]&gt;19,"Men's",IF(E1794&gt;15,"U19",IF(E1794&gt;13,"U15",IF(E1794&gt;11,"U13",IF(E1794&gt;0,"U11",0)))))</f>
        <v>0</v>
      </c>
      <c r="E1794" s="456">
        <f>IFERROR(IF(Table10[[#This Row],[Year]]&gt;0,$E$1-Table10[[#This Row],[Year]],0),"")</f>
        <v>0</v>
      </c>
      <c r="F1794" s="456"/>
      <c r="G1794" s="456"/>
      <c r="H1794" s="456"/>
    </row>
    <row r="1795" spans="1:8">
      <c r="A1795" s="456">
        <v>2792</v>
      </c>
      <c r="B1795" s="469" t="s">
        <v>2661</v>
      </c>
      <c r="C1795" s="458" t="s">
        <v>1914</v>
      </c>
      <c r="D1795" s="456">
        <f>IF(Table10[[#This Row],[Current Age]]&gt;19,"Men's",IF(E1795&gt;15,"U19",IF(E1795&gt;13,"U15",IF(E1795&gt;11,"U13",IF(E1795&gt;0,"U11",0)))))</f>
        <v>0</v>
      </c>
      <c r="E1795" s="456">
        <f>IFERROR(IF(Table10[[#This Row],[Year]]&gt;0,$E$1-Table10[[#This Row],[Year]],0),"")</f>
        <v>0</v>
      </c>
      <c r="F1795" s="456"/>
      <c r="G1795" s="456"/>
      <c r="H1795" s="456"/>
    </row>
    <row r="1796" spans="1:8">
      <c r="A1796" s="471">
        <v>2793</v>
      </c>
      <c r="B1796" s="493" t="s">
        <v>2662</v>
      </c>
      <c r="C1796" s="472" t="s">
        <v>1914</v>
      </c>
      <c r="D1796" s="456">
        <f>IF(Table10[[#This Row],[Current Age]]&gt;19,"Men's",IF(E1796&gt;15,"U19",IF(E1796&gt;13,"U15",IF(E1796&gt;11,"U13",IF(E1796&gt;0,"U11",0)))))</f>
        <v>0</v>
      </c>
      <c r="E1796" s="456">
        <f>IFERROR(IF(Table10[[#This Row],[Year]]&gt;0,$E$1-Table10[[#This Row],[Year]],0),"")</f>
        <v>0</v>
      </c>
      <c r="F1796" s="456"/>
      <c r="G1796" s="456"/>
      <c r="H1796" s="456"/>
    </row>
    <row r="1797" spans="1:8">
      <c r="A1797" s="456">
        <v>2794</v>
      </c>
      <c r="B1797" s="469" t="s">
        <v>2663</v>
      </c>
      <c r="C1797" s="458" t="s">
        <v>1914</v>
      </c>
      <c r="D1797" s="456">
        <f>IF(Table10[[#This Row],[Current Age]]&gt;19,"Men's",IF(E1797&gt;15,"U19",IF(E1797&gt;13,"U15",IF(E1797&gt;11,"U13",IF(E1797&gt;0,"U11",0)))))</f>
        <v>0</v>
      </c>
      <c r="E1797" s="456">
        <f>IFERROR(IF(Table10[[#This Row],[Year]]&gt;0,$E$1-Table10[[#This Row],[Year]],0),"")</f>
        <v>0</v>
      </c>
      <c r="F1797" s="456"/>
      <c r="G1797" s="456"/>
      <c r="H1797" s="456"/>
    </row>
    <row r="1798" spans="1:8">
      <c r="A1798" s="471">
        <v>2795</v>
      </c>
      <c r="B1798" s="493" t="s">
        <v>2664</v>
      </c>
      <c r="C1798" s="472" t="s">
        <v>1914</v>
      </c>
      <c r="D1798" s="456">
        <f>IF(Table10[[#This Row],[Current Age]]&gt;19,"Men's",IF(E1798&gt;15,"U19",IF(E1798&gt;13,"U15",IF(E1798&gt;11,"U13",IF(E1798&gt;0,"U11",0)))))</f>
        <v>0</v>
      </c>
      <c r="E1798" s="456">
        <f>IFERROR(IF(Table10[[#This Row],[Year]]&gt;0,$E$1-Table10[[#This Row],[Year]],0),"")</f>
        <v>0</v>
      </c>
      <c r="F1798" s="456"/>
      <c r="G1798" s="456"/>
      <c r="H1798" s="456"/>
    </row>
    <row r="1799" spans="1:8">
      <c r="A1799" s="456">
        <v>2796</v>
      </c>
      <c r="B1799" s="469" t="s">
        <v>2665</v>
      </c>
      <c r="C1799" s="458" t="s">
        <v>1914</v>
      </c>
      <c r="D1799" s="456">
        <f>IF(Table10[[#This Row],[Current Age]]&gt;19,"Men's",IF(E1799&gt;15,"U19",IF(E1799&gt;13,"U15",IF(E1799&gt;11,"U13",IF(E1799&gt;0,"U11",0)))))</f>
        <v>0</v>
      </c>
      <c r="E1799" s="456">
        <f>IFERROR(IF(Table10[[#This Row],[Year]]&gt;0,$E$1-Table10[[#This Row],[Year]],0),"")</f>
        <v>0</v>
      </c>
      <c r="F1799" s="456"/>
      <c r="G1799" s="456"/>
      <c r="H1799" s="456"/>
    </row>
    <row r="1800" spans="1:8">
      <c r="A1800" s="471">
        <v>2797</v>
      </c>
      <c r="B1800" s="493" t="s">
        <v>2666</v>
      </c>
      <c r="C1800" s="472" t="s">
        <v>1914</v>
      </c>
      <c r="D1800" s="456">
        <f>IF(Table10[[#This Row],[Current Age]]&gt;19,"Men's",IF(E1800&gt;15,"U19",IF(E1800&gt;13,"U15",IF(E1800&gt;11,"U13",IF(E1800&gt;0,"U11",0)))))</f>
        <v>0</v>
      </c>
      <c r="E1800" s="456">
        <f>IFERROR(IF(Table10[[#This Row],[Year]]&gt;0,$E$1-Table10[[#This Row],[Year]],0),"")</f>
        <v>0</v>
      </c>
      <c r="F1800" s="456"/>
      <c r="G1800" s="456"/>
      <c r="H1800" s="456"/>
    </row>
    <row r="1801" spans="1:8">
      <c r="A1801" s="456">
        <v>2798</v>
      </c>
      <c r="B1801" s="469" t="s">
        <v>2667</v>
      </c>
      <c r="C1801" s="458" t="s">
        <v>1914</v>
      </c>
      <c r="D1801" s="456">
        <f>IF(Table10[[#This Row],[Current Age]]&gt;19,"Men's",IF(E1801&gt;15,"U19",IF(E1801&gt;13,"U15",IF(E1801&gt;11,"U13",IF(E1801&gt;0,"U11",0)))))</f>
        <v>0</v>
      </c>
      <c r="E1801" s="456">
        <f>IFERROR(IF(Table10[[#This Row],[Year]]&gt;0,$E$1-Table10[[#This Row],[Year]],0),"")</f>
        <v>0</v>
      </c>
      <c r="F1801" s="456"/>
      <c r="G1801" s="456"/>
      <c r="H1801" s="456"/>
    </row>
    <row r="1802" spans="1:8">
      <c r="A1802" s="471">
        <v>2799</v>
      </c>
      <c r="B1802" s="493" t="s">
        <v>2668</v>
      </c>
      <c r="C1802" s="472" t="s">
        <v>1914</v>
      </c>
      <c r="D1802" s="456">
        <f>IF(Table10[[#This Row],[Current Age]]&gt;19,"Men's",IF(E1802&gt;15,"U19",IF(E1802&gt;13,"U15",IF(E1802&gt;11,"U13",IF(E1802&gt;0,"U11",0)))))</f>
        <v>0</v>
      </c>
      <c r="E1802" s="456">
        <f>IFERROR(IF(Table10[[#This Row],[Year]]&gt;0,$E$1-Table10[[#This Row],[Year]],0),"")</f>
        <v>0</v>
      </c>
      <c r="F1802" s="456"/>
      <c r="G1802" s="456"/>
      <c r="H1802" s="456"/>
    </row>
    <row r="1803" spans="1:8">
      <c r="A1803" s="456">
        <v>2800</v>
      </c>
      <c r="B1803" s="469" t="s">
        <v>2669</v>
      </c>
      <c r="C1803" s="458" t="s">
        <v>1914</v>
      </c>
      <c r="D1803" s="456">
        <f>IF(Table10[[#This Row],[Current Age]]&gt;19,"Men's",IF(E1803&gt;15,"U19",IF(E1803&gt;13,"U15",IF(E1803&gt;11,"U13",IF(E1803&gt;0,"U11",0)))))</f>
        <v>0</v>
      </c>
      <c r="E1803" s="456">
        <f>IFERROR(IF(Table10[[#This Row],[Year]]&gt;0,$E$1-Table10[[#This Row],[Year]],0),"")</f>
        <v>0</v>
      </c>
      <c r="F1803" s="456"/>
      <c r="G1803" s="456"/>
      <c r="H1803" s="456"/>
    </row>
    <row r="1804" spans="1:8">
      <c r="A1804" s="471">
        <v>2801</v>
      </c>
      <c r="B1804" s="493" t="s">
        <v>2670</v>
      </c>
      <c r="C1804" s="472" t="s">
        <v>1914</v>
      </c>
      <c r="D1804" s="456">
        <f>IF(Table10[[#This Row],[Current Age]]&gt;19,"Men's",IF(E1804&gt;15,"U19",IF(E1804&gt;13,"U15",IF(E1804&gt;11,"U13",IF(E1804&gt;0,"U11",0)))))</f>
        <v>0</v>
      </c>
      <c r="E1804" s="456">
        <f>IFERROR(IF(Table10[[#This Row],[Year]]&gt;0,$E$1-Table10[[#This Row],[Year]],0),"")</f>
        <v>0</v>
      </c>
      <c r="F1804" s="456"/>
      <c r="G1804" s="456"/>
      <c r="H1804" s="456"/>
    </row>
    <row r="1805" spans="1:8">
      <c r="A1805" s="456">
        <v>2802</v>
      </c>
      <c r="B1805" s="469" t="s">
        <v>2671</v>
      </c>
      <c r="C1805" s="458" t="s">
        <v>1914</v>
      </c>
      <c r="D1805" s="456">
        <f>IF(Table10[[#This Row],[Current Age]]&gt;19,"Men's",IF(E1805&gt;15,"U19",IF(E1805&gt;13,"U15",IF(E1805&gt;11,"U13",IF(E1805&gt;0,"U11",0)))))</f>
        <v>0</v>
      </c>
      <c r="E1805" s="456">
        <f>IFERROR(IF(Table10[[#This Row],[Year]]&gt;0,$E$1-Table10[[#This Row],[Year]],0),"")</f>
        <v>0</v>
      </c>
      <c r="F1805" s="456"/>
      <c r="G1805" s="456"/>
      <c r="H1805" s="456"/>
    </row>
    <row r="1806" spans="1:8">
      <c r="A1806" s="471">
        <v>2803</v>
      </c>
      <c r="B1806" s="493" t="s">
        <v>2672</v>
      </c>
      <c r="C1806" s="472" t="s">
        <v>1914</v>
      </c>
      <c r="D1806" s="456">
        <f>IF(Table10[[#This Row],[Current Age]]&gt;19,"Men's",IF(E1806&gt;15,"U19",IF(E1806&gt;13,"U15",IF(E1806&gt;11,"U13",IF(E1806&gt;0,"U11",0)))))</f>
        <v>0</v>
      </c>
      <c r="E1806" s="456">
        <f>IFERROR(IF(Table10[[#This Row],[Year]]&gt;0,$E$1-Table10[[#This Row],[Year]],0),"")</f>
        <v>0</v>
      </c>
      <c r="F1806" s="456"/>
      <c r="G1806" s="456"/>
      <c r="H1806" s="456"/>
    </row>
    <row r="1807" spans="1:8">
      <c r="A1807" s="456">
        <v>2804</v>
      </c>
      <c r="B1807" s="469" t="s">
        <v>2673</v>
      </c>
      <c r="C1807" s="458" t="s">
        <v>1914</v>
      </c>
      <c r="D1807" s="456">
        <f>IF(Table10[[#This Row],[Current Age]]&gt;19,"Men's",IF(E1807&gt;15,"U19",IF(E1807&gt;13,"U15",IF(E1807&gt;11,"U13",IF(E1807&gt;0,"U11",0)))))</f>
        <v>0</v>
      </c>
      <c r="E1807" s="456">
        <f>IFERROR(IF(Table10[[#This Row],[Year]]&gt;0,$E$1-Table10[[#This Row],[Year]],0),"")</f>
        <v>0</v>
      </c>
      <c r="F1807" s="456"/>
      <c r="G1807" s="456"/>
      <c r="H1807" s="456"/>
    </row>
    <row r="1808" spans="1:8">
      <c r="A1808" s="471">
        <v>2805</v>
      </c>
      <c r="B1808" s="493" t="s">
        <v>2674</v>
      </c>
      <c r="C1808" s="472" t="s">
        <v>1914</v>
      </c>
      <c r="D1808" s="456">
        <f>IF(Table10[[#This Row],[Current Age]]&gt;19,"Men's",IF(E1808&gt;15,"U19",IF(E1808&gt;13,"U15",IF(E1808&gt;11,"U13",IF(E1808&gt;0,"U11",0)))))</f>
        <v>0</v>
      </c>
      <c r="E1808" s="456">
        <f>IFERROR(IF(Table10[[#This Row],[Year]]&gt;0,$E$1-Table10[[#This Row],[Year]],0),"")</f>
        <v>0</v>
      </c>
      <c r="F1808" s="456"/>
      <c r="G1808" s="456"/>
      <c r="H1808" s="456"/>
    </row>
    <row r="1809" spans="1:8">
      <c r="A1809" s="456">
        <v>2806</v>
      </c>
      <c r="B1809" s="469" t="s">
        <v>2675</v>
      </c>
      <c r="C1809" s="458" t="s">
        <v>1914</v>
      </c>
      <c r="D1809" s="456">
        <f>IF(Table10[[#This Row],[Current Age]]&gt;19,"Men's",IF(E1809&gt;15,"U19",IF(E1809&gt;13,"U15",IF(E1809&gt;11,"U13",IF(E1809&gt;0,"U11",0)))))</f>
        <v>0</v>
      </c>
      <c r="E1809" s="456">
        <f>IFERROR(IF(Table10[[#This Row],[Year]]&gt;0,$E$1-Table10[[#This Row],[Year]],0),"")</f>
        <v>0</v>
      </c>
      <c r="F1809" s="456"/>
      <c r="G1809" s="456"/>
      <c r="H1809" s="456"/>
    </row>
    <row r="1810" spans="1:8">
      <c r="A1810" s="471">
        <v>2807</v>
      </c>
      <c r="B1810" s="493" t="s">
        <v>2676</v>
      </c>
      <c r="C1810" s="472" t="s">
        <v>1914</v>
      </c>
      <c r="D1810" s="456">
        <f>IF(Table10[[#This Row],[Current Age]]&gt;19,"Men's",IF(E1810&gt;15,"U19",IF(E1810&gt;13,"U15",IF(E1810&gt;11,"U13",IF(E1810&gt;0,"U11",0)))))</f>
        <v>0</v>
      </c>
      <c r="E1810" s="456">
        <f>IFERROR(IF(Table10[[#This Row],[Year]]&gt;0,$E$1-Table10[[#This Row],[Year]],0),"")</f>
        <v>0</v>
      </c>
      <c r="F1810" s="456"/>
      <c r="G1810" s="456"/>
      <c r="H1810" s="456"/>
    </row>
    <row r="1811" spans="1:8">
      <c r="A1811" s="456">
        <v>2808</v>
      </c>
      <c r="B1811" s="469" t="s">
        <v>2677</v>
      </c>
      <c r="C1811" s="458" t="s">
        <v>1914</v>
      </c>
      <c r="D1811" s="456">
        <f>IF(Table10[[#This Row],[Current Age]]&gt;19,"Men's",IF(E1811&gt;15,"U19",IF(E1811&gt;13,"U15",IF(E1811&gt;11,"U13",IF(E1811&gt;0,"U11",0)))))</f>
        <v>0</v>
      </c>
      <c r="E1811" s="456">
        <f>IFERROR(IF(Table10[[#This Row],[Year]]&gt;0,$E$1-Table10[[#This Row],[Year]],0),"")</f>
        <v>0</v>
      </c>
      <c r="F1811" s="456"/>
      <c r="G1811" s="456"/>
      <c r="H1811" s="456"/>
    </row>
    <row r="1812" spans="1:8">
      <c r="A1812" s="471">
        <v>2809</v>
      </c>
      <c r="B1812" s="493" t="s">
        <v>2678</v>
      </c>
      <c r="C1812" s="472" t="s">
        <v>1914</v>
      </c>
      <c r="D1812" s="456">
        <f>IF(Table10[[#This Row],[Current Age]]&gt;19,"Men's",IF(E1812&gt;15,"U19",IF(E1812&gt;13,"U15",IF(E1812&gt;11,"U13",IF(E1812&gt;0,"U11",0)))))</f>
        <v>0</v>
      </c>
      <c r="E1812" s="456">
        <f>IFERROR(IF(Table10[[#This Row],[Year]]&gt;0,$E$1-Table10[[#This Row],[Year]],0),"")</f>
        <v>0</v>
      </c>
      <c r="F1812" s="456"/>
      <c r="G1812" s="456"/>
      <c r="H1812" s="456"/>
    </row>
    <row r="1813" spans="1:8">
      <c r="A1813" s="456">
        <v>2810</v>
      </c>
      <c r="B1813" s="469" t="s">
        <v>2679</v>
      </c>
      <c r="C1813" s="458" t="s">
        <v>1914</v>
      </c>
      <c r="D1813" s="456">
        <f>IF(Table10[[#This Row],[Current Age]]&gt;19,"Men's",IF(E1813&gt;15,"U19",IF(E1813&gt;13,"U15",IF(E1813&gt;11,"U13",IF(E1813&gt;0,"U11",0)))))</f>
        <v>0</v>
      </c>
      <c r="E1813" s="456">
        <f>IFERROR(IF(Table10[[#This Row],[Year]]&gt;0,$E$1-Table10[[#This Row],[Year]],0),"")</f>
        <v>0</v>
      </c>
      <c r="F1813" s="456"/>
      <c r="G1813" s="456"/>
      <c r="H1813" s="456"/>
    </row>
    <row r="1814" spans="1:8">
      <c r="A1814" s="471">
        <v>2811</v>
      </c>
      <c r="B1814" s="493" t="s">
        <v>2680</v>
      </c>
      <c r="C1814" s="472" t="s">
        <v>1914</v>
      </c>
      <c r="D1814" s="456">
        <f>IF(Table10[[#This Row],[Current Age]]&gt;19,"Men's",IF(E1814&gt;15,"U19",IF(E1814&gt;13,"U15",IF(E1814&gt;11,"U13",IF(E1814&gt;0,"U11",0)))))</f>
        <v>0</v>
      </c>
      <c r="E1814" s="456">
        <f>IFERROR(IF(Table10[[#This Row],[Year]]&gt;0,$E$1-Table10[[#This Row],[Year]],0),"")</f>
        <v>0</v>
      </c>
      <c r="F1814" s="456"/>
      <c r="G1814" s="456"/>
      <c r="H1814" s="456"/>
    </row>
    <row r="1815" spans="1:8">
      <c r="A1815" s="456">
        <v>2812</v>
      </c>
      <c r="B1815" s="469" t="s">
        <v>2681</v>
      </c>
      <c r="C1815" s="458" t="s">
        <v>1914</v>
      </c>
      <c r="D1815" s="456">
        <f>IF(Table10[[#This Row],[Current Age]]&gt;19,"Men's",IF(E1815&gt;15,"U19",IF(E1815&gt;13,"U15",IF(E1815&gt;11,"U13",IF(E1815&gt;0,"U11",0)))))</f>
        <v>0</v>
      </c>
      <c r="E1815" s="456">
        <f>IFERROR(IF(Table10[[#This Row],[Year]]&gt;0,$E$1-Table10[[#This Row],[Year]],0),"")</f>
        <v>0</v>
      </c>
      <c r="F1815" s="456"/>
      <c r="G1815" s="456"/>
      <c r="H1815" s="456"/>
    </row>
    <row r="1816" spans="1:8">
      <c r="A1816" s="471">
        <v>2813</v>
      </c>
      <c r="B1816" s="493" t="s">
        <v>2682</v>
      </c>
      <c r="C1816" s="472" t="s">
        <v>1914</v>
      </c>
      <c r="D1816" s="456">
        <f>IF(Table10[[#This Row],[Current Age]]&gt;19,"Men's",IF(E1816&gt;15,"U19",IF(E1816&gt;13,"U15",IF(E1816&gt;11,"U13",IF(E1816&gt;0,"U11",0)))))</f>
        <v>0</v>
      </c>
      <c r="E1816" s="456">
        <f>IFERROR(IF(Table10[[#This Row],[Year]]&gt;0,$E$1-Table10[[#This Row],[Year]],0),"")</f>
        <v>0</v>
      </c>
      <c r="F1816" s="456"/>
      <c r="G1816" s="456"/>
      <c r="H1816" s="456"/>
    </row>
    <row r="1817" spans="1:8">
      <c r="A1817" s="456">
        <v>2814</v>
      </c>
      <c r="B1817" s="469" t="s">
        <v>2683</v>
      </c>
      <c r="C1817" s="458" t="s">
        <v>1914</v>
      </c>
      <c r="D1817" s="456">
        <f>IF(Table10[[#This Row],[Current Age]]&gt;19,"Men's",IF(E1817&gt;15,"U19",IF(E1817&gt;13,"U15",IF(E1817&gt;11,"U13",IF(E1817&gt;0,"U11",0)))))</f>
        <v>0</v>
      </c>
      <c r="E1817" s="456">
        <f>IFERROR(IF(Table10[[#This Row],[Year]]&gt;0,$E$1-Table10[[#This Row],[Year]],0),"")</f>
        <v>0</v>
      </c>
      <c r="F1817" s="456"/>
      <c r="G1817" s="456"/>
      <c r="H1817" s="456"/>
    </row>
    <row r="1818" spans="1:8">
      <c r="A1818" s="471">
        <v>2815</v>
      </c>
      <c r="B1818" s="493" t="s">
        <v>2684</v>
      </c>
      <c r="C1818" s="472" t="s">
        <v>1914</v>
      </c>
      <c r="D1818" s="456">
        <f>IF(Table10[[#This Row],[Current Age]]&gt;19,"Men's",IF(E1818&gt;15,"U19",IF(E1818&gt;13,"U15",IF(E1818&gt;11,"U13",IF(E1818&gt;0,"U11",0)))))</f>
        <v>0</v>
      </c>
      <c r="E1818" s="456">
        <f>IFERROR(IF(Table10[[#This Row],[Year]]&gt;0,$E$1-Table10[[#This Row],[Year]],0),"")</f>
        <v>0</v>
      </c>
      <c r="F1818" s="456"/>
      <c r="G1818" s="456"/>
      <c r="H1818" s="456"/>
    </row>
    <row r="1819" spans="1:8">
      <c r="A1819" s="456">
        <v>2816</v>
      </c>
      <c r="B1819" s="469" t="s">
        <v>2685</v>
      </c>
      <c r="C1819" s="458" t="s">
        <v>1914</v>
      </c>
      <c r="D1819" s="456">
        <f>IF(Table10[[#This Row],[Current Age]]&gt;19,"Men's",IF(E1819&gt;15,"U19",IF(E1819&gt;13,"U15",IF(E1819&gt;11,"U13",IF(E1819&gt;0,"U11",0)))))</f>
        <v>0</v>
      </c>
      <c r="E1819" s="456">
        <f>IFERROR(IF(Table10[[#This Row],[Year]]&gt;0,$E$1-Table10[[#This Row],[Year]],0),"")</f>
        <v>0</v>
      </c>
      <c r="F1819" s="456"/>
      <c r="G1819" s="456"/>
      <c r="H1819" s="456"/>
    </row>
    <row r="1820" spans="1:8">
      <c r="A1820" s="471">
        <v>2817</v>
      </c>
      <c r="B1820" s="493" t="s">
        <v>2686</v>
      </c>
      <c r="C1820" s="472" t="s">
        <v>1914</v>
      </c>
      <c r="D1820" s="456">
        <f>IF(Table10[[#This Row],[Current Age]]&gt;19,"Men's",IF(E1820&gt;15,"U19",IF(E1820&gt;13,"U15",IF(E1820&gt;11,"U13",IF(E1820&gt;0,"U11",0)))))</f>
        <v>0</v>
      </c>
      <c r="E1820" s="456">
        <f>IFERROR(IF(Table10[[#This Row],[Year]]&gt;0,$E$1-Table10[[#This Row],[Year]],0),"")</f>
        <v>0</v>
      </c>
      <c r="F1820" s="456"/>
      <c r="G1820" s="456"/>
      <c r="H1820" s="456"/>
    </row>
    <row r="1821" spans="1:8">
      <c r="A1821" s="456">
        <v>2818</v>
      </c>
      <c r="B1821" s="469" t="s">
        <v>2687</v>
      </c>
      <c r="C1821" s="458" t="s">
        <v>1914</v>
      </c>
      <c r="D1821" s="456">
        <f>IF(Table10[[#This Row],[Current Age]]&gt;19,"Men's",IF(E1821&gt;15,"U19",IF(E1821&gt;13,"U15",IF(E1821&gt;11,"U13",IF(E1821&gt;0,"U11",0)))))</f>
        <v>0</v>
      </c>
      <c r="E1821" s="456">
        <f>IFERROR(IF(Table10[[#This Row],[Year]]&gt;0,$E$1-Table10[[#This Row],[Year]],0),"")</f>
        <v>0</v>
      </c>
      <c r="F1821" s="456"/>
      <c r="G1821" s="456"/>
      <c r="H1821" s="456"/>
    </row>
    <row r="1822" spans="1:8">
      <c r="A1822" s="471">
        <v>2819</v>
      </c>
      <c r="B1822" s="493" t="s">
        <v>2688</v>
      </c>
      <c r="C1822" s="472" t="s">
        <v>1914</v>
      </c>
      <c r="D1822" s="456">
        <f>IF(Table10[[#This Row],[Current Age]]&gt;19,"Men's",IF(E1822&gt;15,"U19",IF(E1822&gt;13,"U15",IF(E1822&gt;11,"U13",IF(E1822&gt;0,"U11",0)))))</f>
        <v>0</v>
      </c>
      <c r="E1822" s="456">
        <f>IFERROR(IF(Table10[[#This Row],[Year]]&gt;0,$E$1-Table10[[#This Row],[Year]],0),"")</f>
        <v>0</v>
      </c>
      <c r="F1822" s="456"/>
      <c r="G1822" s="456"/>
      <c r="H1822" s="456"/>
    </row>
    <row r="1823" spans="1:8">
      <c r="A1823" s="456">
        <v>2820</v>
      </c>
      <c r="B1823" s="469" t="s">
        <v>2689</v>
      </c>
      <c r="C1823" s="458" t="s">
        <v>1914</v>
      </c>
      <c r="D1823" s="456">
        <f>IF(Table10[[#This Row],[Current Age]]&gt;19,"Men's",IF(E1823&gt;15,"U19",IF(E1823&gt;13,"U15",IF(E1823&gt;11,"U13",IF(E1823&gt;0,"U11",0)))))</f>
        <v>0</v>
      </c>
      <c r="E1823" s="456">
        <f>IFERROR(IF(Table10[[#This Row],[Year]]&gt;0,$E$1-Table10[[#This Row],[Year]],0),"")</f>
        <v>0</v>
      </c>
      <c r="F1823" s="456"/>
      <c r="G1823" s="456"/>
      <c r="H1823" s="456"/>
    </row>
    <row r="1824" spans="1:8">
      <c r="A1824" s="471">
        <v>2821</v>
      </c>
      <c r="B1824" s="493" t="s">
        <v>2690</v>
      </c>
      <c r="C1824" s="472" t="s">
        <v>1914</v>
      </c>
      <c r="D1824" s="456">
        <f>IF(Table10[[#This Row],[Current Age]]&gt;19,"Men's",IF(E1824&gt;15,"U19",IF(E1824&gt;13,"U15",IF(E1824&gt;11,"U13",IF(E1824&gt;0,"U11",0)))))</f>
        <v>0</v>
      </c>
      <c r="E1824" s="456">
        <f>IFERROR(IF(Table10[[#This Row],[Year]]&gt;0,$E$1-Table10[[#This Row],[Year]],0),"")</f>
        <v>0</v>
      </c>
      <c r="F1824" s="456"/>
      <c r="G1824" s="456"/>
      <c r="H1824" s="456"/>
    </row>
    <row r="1825" spans="1:8">
      <c r="A1825" s="456">
        <v>2822</v>
      </c>
      <c r="B1825" s="469" t="s">
        <v>2691</v>
      </c>
      <c r="C1825" s="458" t="s">
        <v>1914</v>
      </c>
      <c r="D1825" s="456">
        <f>IF(Table10[[#This Row],[Current Age]]&gt;19,"Men's",IF(E1825&gt;15,"U19",IF(E1825&gt;13,"U15",IF(E1825&gt;11,"U13",IF(E1825&gt;0,"U11",0)))))</f>
        <v>0</v>
      </c>
      <c r="E1825" s="456">
        <f>IFERROR(IF(Table10[[#This Row],[Year]]&gt;0,$E$1-Table10[[#This Row],[Year]],0),"")</f>
        <v>0</v>
      </c>
      <c r="F1825" s="456"/>
      <c r="G1825" s="456"/>
      <c r="H1825" s="456"/>
    </row>
    <row r="1826" spans="1:8">
      <c r="A1826" s="471">
        <v>2823</v>
      </c>
      <c r="B1826" s="493" t="s">
        <v>2692</v>
      </c>
      <c r="C1826" s="472" t="s">
        <v>1914</v>
      </c>
      <c r="D1826" s="456">
        <f>IF(Table10[[#This Row],[Current Age]]&gt;19,"Men's",IF(E1826&gt;15,"U19",IF(E1826&gt;13,"U15",IF(E1826&gt;11,"U13",IF(E1826&gt;0,"U11",0)))))</f>
        <v>0</v>
      </c>
      <c r="E1826" s="456">
        <f>IFERROR(IF(Table10[[#This Row],[Year]]&gt;0,$E$1-Table10[[#This Row],[Year]],0),"")</f>
        <v>0</v>
      </c>
      <c r="F1826" s="456"/>
      <c r="G1826" s="456"/>
      <c r="H1826" s="456"/>
    </row>
    <row r="1827" spans="1:8">
      <c r="A1827" s="456">
        <v>2824</v>
      </c>
      <c r="B1827" s="469" t="s">
        <v>2693</v>
      </c>
      <c r="C1827" s="458" t="s">
        <v>1914</v>
      </c>
      <c r="D1827" s="456">
        <f>IF(Table10[[#This Row],[Current Age]]&gt;19,"Men's",IF(E1827&gt;15,"U19",IF(E1827&gt;13,"U15",IF(E1827&gt;11,"U13",IF(E1827&gt;0,"U11",0)))))</f>
        <v>0</v>
      </c>
      <c r="E1827" s="456">
        <f>IFERROR(IF(Table10[[#This Row],[Year]]&gt;0,$E$1-Table10[[#This Row],[Year]],0),"")</f>
        <v>0</v>
      </c>
      <c r="F1827" s="456"/>
      <c r="G1827" s="456"/>
      <c r="H1827" s="456"/>
    </row>
    <row r="1828" spans="1:8">
      <c r="A1828" s="471">
        <v>2825</v>
      </c>
      <c r="B1828" s="493" t="s">
        <v>2694</v>
      </c>
      <c r="C1828" s="472" t="s">
        <v>248</v>
      </c>
      <c r="D1828" s="456">
        <f>IF(Table10[[#This Row],[Current Age]]&gt;19,"Men's",IF(E1828&gt;15,"U19",IF(E1828&gt;13,"U15",IF(E1828&gt;11,"U13",IF(E1828&gt;0,"U11",0)))))</f>
        <v>0</v>
      </c>
      <c r="E1828" s="456">
        <f>IFERROR(IF(Table10[[#This Row],[Year]]&gt;0,$E$1-Table10[[#This Row],[Year]],0),"")</f>
        <v>0</v>
      </c>
      <c r="F1828" s="456"/>
      <c r="G1828" s="456"/>
      <c r="H1828" s="456"/>
    </row>
    <row r="1829" spans="1:8">
      <c r="A1829" s="456">
        <v>2826</v>
      </c>
      <c r="B1829" s="469" t="s">
        <v>2700</v>
      </c>
      <c r="C1829" s="458" t="s">
        <v>248</v>
      </c>
      <c r="D1829" s="456">
        <f>IF(Table10[[#This Row],[Current Age]]&gt;19,"Men's",IF(E1829&gt;15,"U19",IF(E1829&gt;13,"U15",IF(E1829&gt;11,"U13",IF(E1829&gt;0,"U11",0)))))</f>
        <v>0</v>
      </c>
      <c r="E1829" s="456">
        <f>IFERROR(IF(Table10[[#This Row],[Year]]&gt;0,$E$1-Table10[[#This Row],[Year]],0),"")</f>
        <v>0</v>
      </c>
      <c r="F1829" s="456"/>
      <c r="G1829" s="456"/>
      <c r="H1829" s="456"/>
    </row>
    <row r="1830" spans="1:8">
      <c r="A1830" s="471">
        <v>2827</v>
      </c>
      <c r="B1830" s="493" t="s">
        <v>2701</v>
      </c>
      <c r="C1830" s="472" t="s">
        <v>248</v>
      </c>
      <c r="D1830" s="456">
        <f>IF(Table10[[#This Row],[Current Age]]&gt;19,"Men's",IF(E1830&gt;15,"U19",IF(E1830&gt;13,"U15",IF(E1830&gt;11,"U13",IF(E1830&gt;0,"U11",0)))))</f>
        <v>0</v>
      </c>
      <c r="E1830" s="456">
        <f>IFERROR(IF(Table10[[#This Row],[Year]]&gt;0,$E$1-Table10[[#This Row],[Year]],0),"")</f>
        <v>0</v>
      </c>
      <c r="F1830" s="456"/>
      <c r="G1830" s="456"/>
      <c r="H1830" s="456"/>
    </row>
    <row r="1831" spans="1:8">
      <c r="A1831" s="456">
        <v>2828</v>
      </c>
      <c r="B1831" s="469" t="s">
        <v>2702</v>
      </c>
      <c r="C1831" s="458" t="s">
        <v>248</v>
      </c>
      <c r="D1831" s="456">
        <f>IF(Table10[[#This Row],[Current Age]]&gt;19,"Men's",IF(E1831&gt;15,"U19",IF(E1831&gt;13,"U15",IF(E1831&gt;11,"U13",IF(E1831&gt;0,"U11",0)))))</f>
        <v>0</v>
      </c>
      <c r="E1831" s="456">
        <f>IFERROR(IF(Table10[[#This Row],[Year]]&gt;0,$E$1-Table10[[#This Row],[Year]],0),"")</f>
        <v>0</v>
      </c>
      <c r="F1831" s="456"/>
      <c r="G1831" s="456"/>
      <c r="H1831" s="456"/>
    </row>
    <row r="1832" spans="1:8">
      <c r="A1832" s="471">
        <v>2829</v>
      </c>
      <c r="B1832" s="493" t="s">
        <v>2695</v>
      </c>
      <c r="C1832" s="472" t="s">
        <v>248</v>
      </c>
      <c r="D1832" s="456">
        <f>IF(Table10[[#This Row],[Current Age]]&gt;19,"Men's",IF(E1832&gt;15,"U19",IF(E1832&gt;13,"U15",IF(E1832&gt;11,"U13",IF(E1832&gt;0,"U11",0)))))</f>
        <v>0</v>
      </c>
      <c r="E1832" s="456">
        <f>IFERROR(IF(Table10[[#This Row],[Year]]&gt;0,$E$1-Table10[[#This Row],[Year]],0),"")</f>
        <v>0</v>
      </c>
      <c r="F1832" s="456"/>
      <c r="G1832" s="456"/>
      <c r="H1832" s="456"/>
    </row>
    <row r="1833" spans="1:8">
      <c r="A1833" s="456">
        <v>2830</v>
      </c>
      <c r="B1833" s="469" t="s">
        <v>2696</v>
      </c>
      <c r="C1833" s="458" t="s">
        <v>248</v>
      </c>
      <c r="D1833" s="456">
        <f>IF(Table10[[#This Row],[Current Age]]&gt;19,"Men's",IF(E1833&gt;15,"U19",IF(E1833&gt;13,"U15",IF(E1833&gt;11,"U13",IF(E1833&gt;0,"U11",0)))))</f>
        <v>0</v>
      </c>
      <c r="E1833" s="456">
        <f>IFERROR(IF(Table10[[#This Row],[Year]]&gt;0,$E$1-Table10[[#This Row],[Year]],0),"")</f>
        <v>0</v>
      </c>
      <c r="F1833" s="456"/>
      <c r="G1833" s="456"/>
      <c r="H1833" s="456"/>
    </row>
    <row r="1834" spans="1:8">
      <c r="A1834" s="471">
        <v>2831</v>
      </c>
      <c r="B1834" s="493" t="s">
        <v>2697</v>
      </c>
      <c r="C1834" s="472" t="s">
        <v>248</v>
      </c>
      <c r="D1834" s="456">
        <f>IF(Table10[[#This Row],[Current Age]]&gt;19,"Men's",IF(E1834&gt;15,"U19",IF(E1834&gt;13,"U15",IF(E1834&gt;11,"U13",IF(E1834&gt;0,"U11",0)))))</f>
        <v>0</v>
      </c>
      <c r="E1834" s="456">
        <f>IFERROR(IF(Table10[[#This Row],[Year]]&gt;0,$E$1-Table10[[#This Row],[Year]],0),"")</f>
        <v>0</v>
      </c>
      <c r="F1834" s="456"/>
      <c r="G1834" s="456"/>
      <c r="H1834" s="456"/>
    </row>
    <row r="1835" spans="1:8">
      <c r="A1835" s="456">
        <v>2832</v>
      </c>
      <c r="B1835" s="469" t="s">
        <v>2698</v>
      </c>
      <c r="C1835" s="458" t="s">
        <v>248</v>
      </c>
      <c r="D1835" s="456">
        <f>IF(Table10[[#This Row],[Current Age]]&gt;19,"Men's",IF(E1835&gt;15,"U19",IF(E1835&gt;13,"U15",IF(E1835&gt;11,"U13",IF(E1835&gt;0,"U11",0)))))</f>
        <v>0</v>
      </c>
      <c r="E1835" s="456">
        <f>IFERROR(IF(Table10[[#This Row],[Year]]&gt;0,$E$1-Table10[[#This Row],[Year]],0),"")</f>
        <v>0</v>
      </c>
      <c r="F1835" s="456"/>
      <c r="G1835" s="456"/>
      <c r="H1835" s="456"/>
    </row>
    <row r="1836" spans="1:8">
      <c r="A1836" s="471">
        <v>2833</v>
      </c>
      <c r="B1836" s="493" t="s">
        <v>2699</v>
      </c>
      <c r="C1836" s="472" t="s">
        <v>248</v>
      </c>
      <c r="D1836" s="456">
        <f>IF(Table10[[#This Row],[Current Age]]&gt;19,"Men's",IF(E1836&gt;15,"U19",IF(E1836&gt;13,"U15",IF(E1836&gt;11,"U13",IF(E1836&gt;0,"U11",0)))))</f>
        <v>0</v>
      </c>
      <c r="E1836" s="456">
        <f>IFERROR(IF(Table10[[#This Row],[Year]]&gt;0,$E$1-Table10[[#This Row],[Year]],0),"")</f>
        <v>0</v>
      </c>
      <c r="F1836" s="456"/>
      <c r="G1836" s="456"/>
      <c r="H1836" s="456"/>
    </row>
    <row r="1837" spans="1:8">
      <c r="A1837" s="456">
        <v>2834</v>
      </c>
      <c r="B1837" s="469" t="s">
        <v>2703</v>
      </c>
      <c r="C1837" s="458" t="s">
        <v>248</v>
      </c>
      <c r="D1837" s="456">
        <f>IF(Table10[[#This Row],[Current Age]]&gt;19,"Men's",IF(E1837&gt;15,"U19",IF(E1837&gt;13,"U15",IF(E1837&gt;11,"U13",IF(E1837&gt;0,"U11",0)))))</f>
        <v>0</v>
      </c>
      <c r="E1837" s="456">
        <f>IFERROR(IF(Table10[[#This Row],[Year]]&gt;0,$E$1-Table10[[#This Row],[Year]],0),"")</f>
        <v>0</v>
      </c>
      <c r="F1837" s="456"/>
      <c r="G1837" s="456"/>
      <c r="H1837" s="456"/>
    </row>
    <row r="1838" spans="1:8">
      <c r="A1838" s="471">
        <v>2835</v>
      </c>
      <c r="B1838" s="493" t="s">
        <v>2704</v>
      </c>
      <c r="C1838" s="472" t="s">
        <v>248</v>
      </c>
      <c r="D1838" s="456">
        <f>IF(Table10[[#This Row],[Current Age]]&gt;19,"Men's",IF(E1838&gt;15,"U19",IF(E1838&gt;13,"U15",IF(E1838&gt;11,"U13",IF(E1838&gt;0,"U11",0)))))</f>
        <v>0</v>
      </c>
      <c r="E1838" s="456">
        <f>IFERROR(IF(Table10[[#This Row],[Year]]&gt;0,$E$1-Table10[[#This Row],[Year]],0),"")</f>
        <v>0</v>
      </c>
      <c r="F1838" s="456"/>
      <c r="G1838" s="456"/>
      <c r="H1838" s="456"/>
    </row>
    <row r="1839" spans="1:8">
      <c r="A1839" s="456">
        <v>2836</v>
      </c>
      <c r="B1839" s="469" t="s">
        <v>2705</v>
      </c>
      <c r="C1839" s="458" t="s">
        <v>248</v>
      </c>
      <c r="D1839" s="456">
        <f>IF(Table10[[#This Row],[Current Age]]&gt;19,"Men's",IF(E1839&gt;15,"U19",IF(E1839&gt;13,"U15",IF(E1839&gt;11,"U13",IF(E1839&gt;0,"U11",0)))))</f>
        <v>0</v>
      </c>
      <c r="E1839" s="456">
        <f>IFERROR(IF(Table10[[#This Row],[Year]]&gt;0,$E$1-Table10[[#This Row],[Year]],0),"")</f>
        <v>0</v>
      </c>
      <c r="F1839" s="456"/>
      <c r="G1839" s="456"/>
      <c r="H1839" s="456"/>
    </row>
    <row r="1840" spans="1:8">
      <c r="A1840" s="471">
        <v>2837</v>
      </c>
      <c r="B1840" s="493" t="s">
        <v>2706</v>
      </c>
      <c r="C1840" s="472" t="s">
        <v>248</v>
      </c>
      <c r="D1840" s="456">
        <f>IF(Table10[[#This Row],[Current Age]]&gt;19,"Men's",IF(E1840&gt;15,"U19",IF(E1840&gt;13,"U15",IF(E1840&gt;11,"U13",IF(E1840&gt;0,"U11",0)))))</f>
        <v>0</v>
      </c>
      <c r="E1840" s="456">
        <f>IFERROR(IF(Table10[[#This Row],[Year]]&gt;0,$E$1-Table10[[#This Row],[Year]],0),"")</f>
        <v>0</v>
      </c>
      <c r="F1840" s="456"/>
      <c r="G1840" s="456"/>
      <c r="H1840" s="456"/>
    </row>
    <row r="1841" spans="1:8">
      <c r="A1841" s="456">
        <v>2838</v>
      </c>
      <c r="B1841" s="469" t="s">
        <v>2707</v>
      </c>
      <c r="C1841" s="458" t="s">
        <v>248</v>
      </c>
      <c r="D1841" s="456">
        <f>IF(Table10[[#This Row],[Current Age]]&gt;19,"Men's",IF(E1841&gt;15,"U19",IF(E1841&gt;13,"U15",IF(E1841&gt;11,"U13",IF(E1841&gt;0,"U11",0)))))</f>
        <v>0</v>
      </c>
      <c r="E1841" s="456">
        <f>IFERROR(IF(Table10[[#This Row],[Year]]&gt;0,$E$1-Table10[[#This Row],[Year]],0),"")</f>
        <v>0</v>
      </c>
      <c r="F1841" s="456"/>
      <c r="G1841" s="456"/>
      <c r="H1841" s="456"/>
    </row>
    <row r="1842" spans="1:8">
      <c r="A1842" s="471">
        <v>2839</v>
      </c>
      <c r="B1842" s="493" t="s">
        <v>2708</v>
      </c>
      <c r="C1842" s="472" t="s">
        <v>248</v>
      </c>
      <c r="D1842" s="456">
        <f>IF(Table10[[#This Row],[Current Age]]&gt;19,"Men's",IF(E1842&gt;15,"U19",IF(E1842&gt;13,"U15",IF(E1842&gt;11,"U13",IF(E1842&gt;0,"U11",0)))))</f>
        <v>0</v>
      </c>
      <c r="E1842" s="456">
        <f>IFERROR(IF(Table10[[#This Row],[Year]]&gt;0,$E$1-Table10[[#This Row],[Year]],0),"")</f>
        <v>0</v>
      </c>
      <c r="F1842" s="456"/>
      <c r="G1842" s="456"/>
      <c r="H1842" s="456"/>
    </row>
    <row r="1843" spans="1:8">
      <c r="A1843" s="456">
        <v>2840</v>
      </c>
      <c r="B1843" s="469" t="s">
        <v>2709</v>
      </c>
      <c r="C1843" s="458" t="s">
        <v>248</v>
      </c>
      <c r="D1843" s="456">
        <f>IF(Table10[[#This Row],[Current Age]]&gt;19,"Men's",IF(E1843&gt;15,"U19",IF(E1843&gt;13,"U15",IF(E1843&gt;11,"U13",IF(E1843&gt;0,"U11",0)))))</f>
        <v>0</v>
      </c>
      <c r="E1843" s="456">
        <f>IFERROR(IF(Table10[[#This Row],[Year]]&gt;0,$E$1-Table10[[#This Row],[Year]],0),"")</f>
        <v>0</v>
      </c>
      <c r="F1843" s="456"/>
      <c r="G1843" s="456"/>
      <c r="H1843" s="456"/>
    </row>
    <row r="1844" spans="1:8">
      <c r="A1844" s="471">
        <v>2841</v>
      </c>
      <c r="B1844" s="493" t="s">
        <v>2710</v>
      </c>
      <c r="C1844" s="472" t="s">
        <v>248</v>
      </c>
      <c r="D1844" s="456">
        <f>IF(Table10[[#This Row],[Current Age]]&gt;19,"Men's",IF(E1844&gt;15,"U19",IF(E1844&gt;13,"U15",IF(E1844&gt;11,"U13",IF(E1844&gt;0,"U11",0)))))</f>
        <v>0</v>
      </c>
      <c r="E1844" s="456">
        <f>IFERROR(IF(Table10[[#This Row],[Year]]&gt;0,$E$1-Table10[[#This Row],[Year]],0),"")</f>
        <v>0</v>
      </c>
      <c r="F1844" s="456"/>
      <c r="G1844" s="456"/>
      <c r="H1844" s="456"/>
    </row>
    <row r="1845" spans="1:8">
      <c r="A1845" s="456">
        <v>2842</v>
      </c>
      <c r="B1845" s="469" t="s">
        <v>2711</v>
      </c>
      <c r="C1845" s="458" t="s">
        <v>248</v>
      </c>
      <c r="D1845" s="456">
        <f>IF(Table10[[#This Row],[Current Age]]&gt;19,"Men's",IF(E1845&gt;15,"U19",IF(E1845&gt;13,"U15",IF(E1845&gt;11,"U13",IF(E1845&gt;0,"U11",0)))))</f>
        <v>0</v>
      </c>
      <c r="E1845" s="456">
        <f>IFERROR(IF(Table10[[#This Row],[Year]]&gt;0,$E$1-Table10[[#This Row],[Year]],0),"")</f>
        <v>0</v>
      </c>
      <c r="F1845" s="456"/>
      <c r="G1845" s="456"/>
      <c r="H1845" s="456"/>
    </row>
    <row r="1846" spans="1:8">
      <c r="A1846" s="471">
        <v>2843</v>
      </c>
      <c r="B1846" s="493" t="s">
        <v>2712</v>
      </c>
      <c r="C1846" s="472" t="s">
        <v>248</v>
      </c>
      <c r="D1846" s="456">
        <f>IF(Table10[[#This Row],[Current Age]]&gt;19,"Men's",IF(E1846&gt;15,"U19",IF(E1846&gt;13,"U15",IF(E1846&gt;11,"U13",IF(E1846&gt;0,"U11",0)))))</f>
        <v>0</v>
      </c>
      <c r="E1846" s="456">
        <f>IFERROR(IF(Table10[[#This Row],[Year]]&gt;0,$E$1-Table10[[#This Row],[Year]],0),"")</f>
        <v>0</v>
      </c>
      <c r="F1846" s="456"/>
      <c r="G1846" s="456"/>
      <c r="H1846" s="456"/>
    </row>
    <row r="1847" spans="1:8">
      <c r="A1847" s="456">
        <v>2844</v>
      </c>
      <c r="B1847" s="469" t="s">
        <v>2713</v>
      </c>
      <c r="C1847" s="458" t="s">
        <v>248</v>
      </c>
      <c r="D1847" s="456">
        <f>IF(Table10[[#This Row],[Current Age]]&gt;19,"Men's",IF(E1847&gt;15,"U19",IF(E1847&gt;13,"U15",IF(E1847&gt;11,"U13",IF(E1847&gt;0,"U11",0)))))</f>
        <v>0</v>
      </c>
      <c r="E1847" s="456">
        <f>IFERROR(IF(Table10[[#This Row],[Year]]&gt;0,$E$1-Table10[[#This Row],[Year]],0),"")</f>
        <v>0</v>
      </c>
      <c r="F1847" s="456"/>
      <c r="G1847" s="456"/>
      <c r="H1847" s="456"/>
    </row>
    <row r="1848" spans="1:8">
      <c r="A1848" s="471">
        <v>2845</v>
      </c>
      <c r="B1848" s="493" t="s">
        <v>2714</v>
      </c>
      <c r="C1848" s="472" t="s">
        <v>248</v>
      </c>
      <c r="D1848" s="456">
        <f>IF(Table10[[#This Row],[Current Age]]&gt;19,"Men's",IF(E1848&gt;15,"U19",IF(E1848&gt;13,"U15",IF(E1848&gt;11,"U13",IF(E1848&gt;0,"U11",0)))))</f>
        <v>0</v>
      </c>
      <c r="E1848" s="456">
        <f>IFERROR(IF(Table10[[#This Row],[Year]]&gt;0,$E$1-Table10[[#This Row],[Year]],0),"")</f>
        <v>0</v>
      </c>
      <c r="F1848" s="456"/>
      <c r="G1848" s="456"/>
      <c r="H1848" s="456"/>
    </row>
    <row r="1849" spans="1:8">
      <c r="A1849" s="456">
        <v>2846</v>
      </c>
      <c r="B1849" s="469" t="s">
        <v>2715</v>
      </c>
      <c r="C1849" s="458" t="s">
        <v>248</v>
      </c>
      <c r="D1849" s="456">
        <f>IF(Table10[[#This Row],[Current Age]]&gt;19,"Men's",IF(E1849&gt;15,"U19",IF(E1849&gt;13,"U15",IF(E1849&gt;11,"U13",IF(E1849&gt;0,"U11",0)))))</f>
        <v>0</v>
      </c>
      <c r="E1849" s="456">
        <f>IFERROR(IF(Table10[[#This Row],[Year]]&gt;0,$E$1-Table10[[#This Row],[Year]],0),"")</f>
        <v>0</v>
      </c>
      <c r="F1849" s="456"/>
      <c r="G1849" s="456"/>
      <c r="H1849" s="456"/>
    </row>
    <row r="1850" spans="1:8">
      <c r="A1850" s="471">
        <v>2847</v>
      </c>
      <c r="B1850" s="493" t="s">
        <v>2716</v>
      </c>
      <c r="C1850" s="472" t="s">
        <v>248</v>
      </c>
      <c r="D1850" s="456">
        <f>IF(Table10[[#This Row],[Current Age]]&gt;19,"Men's",IF(E1850&gt;15,"U19",IF(E1850&gt;13,"U15",IF(E1850&gt;11,"U13",IF(E1850&gt;0,"U11",0)))))</f>
        <v>0</v>
      </c>
      <c r="E1850" s="456">
        <f>IFERROR(IF(Table10[[#This Row],[Year]]&gt;0,$E$1-Table10[[#This Row],[Year]],0),"")</f>
        <v>0</v>
      </c>
      <c r="F1850" s="456"/>
      <c r="G1850" s="456"/>
      <c r="H1850" s="456"/>
    </row>
    <row r="1851" spans="1:8">
      <c r="A1851" s="456">
        <v>2848</v>
      </c>
      <c r="B1851" s="469" t="s">
        <v>2717</v>
      </c>
      <c r="C1851" s="458" t="s">
        <v>248</v>
      </c>
      <c r="D1851" s="456">
        <f>IF(Table10[[#This Row],[Current Age]]&gt;19,"Men's",IF(E1851&gt;15,"U19",IF(E1851&gt;13,"U15",IF(E1851&gt;11,"U13",IF(E1851&gt;0,"U11",0)))))</f>
        <v>0</v>
      </c>
      <c r="E1851" s="456">
        <f>IFERROR(IF(Table10[[#This Row],[Year]]&gt;0,$E$1-Table10[[#This Row],[Year]],0),"")</f>
        <v>0</v>
      </c>
      <c r="F1851" s="456"/>
      <c r="G1851" s="456"/>
      <c r="H1851" s="456"/>
    </row>
    <row r="1852" spans="1:8">
      <c r="A1852" s="471">
        <v>2849</v>
      </c>
      <c r="B1852" s="493" t="s">
        <v>2718</v>
      </c>
      <c r="C1852" s="472" t="s">
        <v>248</v>
      </c>
      <c r="D1852" s="456">
        <f>IF(Table10[[#This Row],[Current Age]]&gt;19,"Men's",IF(E1852&gt;15,"U19",IF(E1852&gt;13,"U15",IF(E1852&gt;11,"U13",IF(E1852&gt;0,"U11",0)))))</f>
        <v>0</v>
      </c>
      <c r="E1852" s="456">
        <f>IFERROR(IF(Table10[[#This Row],[Year]]&gt;0,$E$1-Table10[[#This Row],[Year]],0),"")</f>
        <v>0</v>
      </c>
      <c r="F1852" s="456"/>
      <c r="G1852" s="456"/>
      <c r="H1852" s="456"/>
    </row>
    <row r="1853" spans="1:8">
      <c r="A1853" s="456">
        <v>2850</v>
      </c>
      <c r="B1853" s="469" t="s">
        <v>2719</v>
      </c>
      <c r="C1853" s="458" t="s">
        <v>248</v>
      </c>
      <c r="D1853" s="456">
        <f>IF(Table10[[#This Row],[Current Age]]&gt;19,"Men's",IF(E1853&gt;15,"U19",IF(E1853&gt;13,"U15",IF(E1853&gt;11,"U13",IF(E1853&gt;0,"U11",0)))))</f>
        <v>0</v>
      </c>
      <c r="E1853" s="456">
        <f>IFERROR(IF(Table10[[#This Row],[Year]]&gt;0,$E$1-Table10[[#This Row],[Year]],0),"")</f>
        <v>0</v>
      </c>
      <c r="F1853" s="456"/>
      <c r="G1853" s="456"/>
      <c r="H1853" s="456"/>
    </row>
    <row r="1854" spans="1:8">
      <c r="A1854" s="471">
        <v>2851</v>
      </c>
      <c r="B1854" s="493" t="s">
        <v>2720</v>
      </c>
      <c r="C1854" s="472" t="s">
        <v>248</v>
      </c>
      <c r="D1854" s="456">
        <f>IF(Table10[[#This Row],[Current Age]]&gt;19,"Men's",IF(E1854&gt;15,"U19",IF(E1854&gt;13,"U15",IF(E1854&gt;11,"U13",IF(E1854&gt;0,"U11",0)))))</f>
        <v>0</v>
      </c>
      <c r="E1854" s="456">
        <f>IFERROR(IF(Table10[[#This Row],[Year]]&gt;0,$E$1-Table10[[#This Row],[Year]],0),"")</f>
        <v>0</v>
      </c>
      <c r="F1854" s="456"/>
      <c r="G1854" s="456"/>
      <c r="H1854" s="456"/>
    </row>
    <row r="1855" spans="1:8">
      <c r="A1855" s="456">
        <v>2852</v>
      </c>
      <c r="B1855" s="469" t="s">
        <v>2721</v>
      </c>
      <c r="C1855" s="458" t="s">
        <v>248</v>
      </c>
      <c r="D1855" s="456">
        <f>IF(Table10[[#This Row],[Current Age]]&gt;19,"Men's",IF(E1855&gt;15,"U19",IF(E1855&gt;13,"U15",IF(E1855&gt;11,"U13",IF(E1855&gt;0,"U11",0)))))</f>
        <v>0</v>
      </c>
      <c r="E1855" s="456">
        <f>IFERROR(IF(Table10[[#This Row],[Year]]&gt;0,$E$1-Table10[[#This Row],[Year]],0),"")</f>
        <v>0</v>
      </c>
      <c r="F1855" s="456"/>
      <c r="G1855" s="456"/>
      <c r="H1855" s="456"/>
    </row>
    <row r="1856" spans="1:8">
      <c r="A1856" s="471">
        <v>2853</v>
      </c>
      <c r="B1856" s="493" t="s">
        <v>2722</v>
      </c>
      <c r="C1856" s="472" t="s">
        <v>248</v>
      </c>
      <c r="D1856" s="456">
        <f>IF(Table10[[#This Row],[Current Age]]&gt;19,"Men's",IF(E1856&gt;15,"U19",IF(E1856&gt;13,"U15",IF(E1856&gt;11,"U13",IF(E1856&gt;0,"U11",0)))))</f>
        <v>0</v>
      </c>
      <c r="E1856" s="456">
        <f>IFERROR(IF(Table10[[#This Row],[Year]]&gt;0,$E$1-Table10[[#This Row],[Year]],0),"")</f>
        <v>0</v>
      </c>
      <c r="F1856" s="456"/>
      <c r="G1856" s="456"/>
      <c r="H1856" s="456"/>
    </row>
    <row r="1857" spans="1:8">
      <c r="A1857" s="456">
        <v>2854</v>
      </c>
      <c r="B1857" s="469" t="s">
        <v>2723</v>
      </c>
      <c r="C1857" s="458" t="s">
        <v>248</v>
      </c>
      <c r="D1857" s="456">
        <f>IF(Table10[[#This Row],[Current Age]]&gt;19,"Men's",IF(E1857&gt;15,"U19",IF(E1857&gt;13,"U15",IF(E1857&gt;11,"U13",IF(E1857&gt;0,"U11",0)))))</f>
        <v>0</v>
      </c>
      <c r="E1857" s="456">
        <f>IFERROR(IF(Table10[[#This Row],[Year]]&gt;0,$E$1-Table10[[#This Row],[Year]],0),"")</f>
        <v>0</v>
      </c>
      <c r="F1857" s="456"/>
      <c r="G1857" s="456"/>
      <c r="H1857" s="456"/>
    </row>
    <row r="1858" spans="1:8">
      <c r="A1858" s="471">
        <v>2855</v>
      </c>
      <c r="B1858" s="493" t="s">
        <v>2724</v>
      </c>
      <c r="C1858" s="472" t="s">
        <v>248</v>
      </c>
      <c r="D1858" s="456">
        <f>IF(Table10[[#This Row],[Current Age]]&gt;19,"Men's",IF(E1858&gt;15,"U19",IF(E1858&gt;13,"U15",IF(E1858&gt;11,"U13",IF(E1858&gt;0,"U11",0)))))</f>
        <v>0</v>
      </c>
      <c r="E1858" s="456">
        <f>IFERROR(IF(Table10[[#This Row],[Year]]&gt;0,$E$1-Table10[[#This Row],[Year]],0),"")</f>
        <v>0</v>
      </c>
      <c r="F1858" s="456"/>
      <c r="G1858" s="456"/>
      <c r="H1858" s="456"/>
    </row>
    <row r="1859" spans="1:8">
      <c r="A1859" s="456">
        <v>2856</v>
      </c>
      <c r="B1859" s="469" t="s">
        <v>2725</v>
      </c>
      <c r="C1859" s="458" t="s">
        <v>248</v>
      </c>
      <c r="D1859" s="456">
        <f>IF(Table10[[#This Row],[Current Age]]&gt;19,"Men's",IF(E1859&gt;15,"U19",IF(E1859&gt;13,"U15",IF(E1859&gt;11,"U13",IF(E1859&gt;0,"U11",0)))))</f>
        <v>0</v>
      </c>
      <c r="E1859" s="456">
        <f>IFERROR(IF(Table10[[#This Row],[Year]]&gt;0,$E$1-Table10[[#This Row],[Year]],0),"")</f>
        <v>0</v>
      </c>
      <c r="F1859" s="456"/>
      <c r="G1859" s="456"/>
      <c r="H1859" s="456"/>
    </row>
    <row r="1860" spans="1:8">
      <c r="A1860" s="471">
        <v>2857</v>
      </c>
      <c r="B1860" s="493" t="s">
        <v>2726</v>
      </c>
      <c r="C1860" s="472" t="s">
        <v>248</v>
      </c>
      <c r="D1860" s="456">
        <f>IF(Table10[[#This Row],[Current Age]]&gt;19,"Men's",IF(E1860&gt;15,"U19",IF(E1860&gt;13,"U15",IF(E1860&gt;11,"U13",IF(E1860&gt;0,"U11",0)))))</f>
        <v>0</v>
      </c>
      <c r="E1860" s="456">
        <f>IFERROR(IF(Table10[[#This Row],[Year]]&gt;0,$E$1-Table10[[#This Row],[Year]],0),"")</f>
        <v>0</v>
      </c>
      <c r="F1860" s="456"/>
      <c r="G1860" s="456"/>
      <c r="H1860" s="456"/>
    </row>
    <row r="1861" spans="1:8">
      <c r="A1861" s="456">
        <v>2858</v>
      </c>
      <c r="B1861" s="469" t="s">
        <v>2727</v>
      </c>
      <c r="C1861" s="458" t="s">
        <v>248</v>
      </c>
      <c r="D1861" s="456">
        <f>IF(Table10[[#This Row],[Current Age]]&gt;19,"Men's",IF(E1861&gt;15,"U19",IF(E1861&gt;13,"U15",IF(E1861&gt;11,"U13",IF(E1861&gt;0,"U11",0)))))</f>
        <v>0</v>
      </c>
      <c r="E1861" s="456">
        <f>IFERROR(IF(Table10[[#This Row],[Year]]&gt;0,$E$1-Table10[[#This Row],[Year]],0),"")</f>
        <v>0</v>
      </c>
      <c r="F1861" s="456"/>
      <c r="G1861" s="456"/>
      <c r="H1861" s="456"/>
    </row>
    <row r="1862" spans="1:8">
      <c r="A1862" s="471">
        <v>2859</v>
      </c>
      <c r="B1862" s="493" t="s">
        <v>2728</v>
      </c>
      <c r="C1862" s="472" t="s">
        <v>248</v>
      </c>
      <c r="D1862" s="456">
        <f>IF(Table10[[#This Row],[Current Age]]&gt;19,"Men's",IF(E1862&gt;15,"U19",IF(E1862&gt;13,"U15",IF(E1862&gt;11,"U13",IF(E1862&gt;0,"U11",0)))))</f>
        <v>0</v>
      </c>
      <c r="E1862" s="456">
        <f>IFERROR(IF(Table10[[#This Row],[Year]]&gt;0,$E$1-Table10[[#This Row],[Year]],0),"")</f>
        <v>0</v>
      </c>
      <c r="F1862" s="456"/>
      <c r="G1862" s="456"/>
      <c r="H1862" s="456"/>
    </row>
    <row r="1863" spans="1:8">
      <c r="A1863" s="456">
        <v>2860</v>
      </c>
      <c r="B1863" s="469" t="s">
        <v>2729</v>
      </c>
      <c r="C1863" s="458" t="s">
        <v>248</v>
      </c>
      <c r="D1863" s="456">
        <f>IF(Table10[[#This Row],[Current Age]]&gt;19,"Men's",IF(E1863&gt;15,"U19",IF(E1863&gt;13,"U15",IF(E1863&gt;11,"U13",IF(E1863&gt;0,"U11",0)))))</f>
        <v>0</v>
      </c>
      <c r="E1863" s="456">
        <f>IFERROR(IF(Table10[[#This Row],[Year]]&gt;0,$E$1-Table10[[#This Row],[Year]],0),"")</f>
        <v>0</v>
      </c>
      <c r="F1863" s="456"/>
      <c r="G1863" s="456"/>
      <c r="H1863" s="456"/>
    </row>
    <row r="1864" spans="1:8">
      <c r="A1864" s="471">
        <v>2861</v>
      </c>
      <c r="B1864" s="493" t="s">
        <v>2730</v>
      </c>
      <c r="C1864" s="472" t="s">
        <v>248</v>
      </c>
      <c r="D1864" s="456">
        <f>IF(Table10[[#This Row],[Current Age]]&gt;19,"Men's",IF(E1864&gt;15,"U19",IF(E1864&gt;13,"U15",IF(E1864&gt;11,"U13",IF(E1864&gt;0,"U11",0)))))</f>
        <v>0</v>
      </c>
      <c r="E1864" s="456">
        <f>IFERROR(IF(Table10[[#This Row],[Year]]&gt;0,$E$1-Table10[[#This Row],[Year]],0),"")</f>
        <v>0</v>
      </c>
      <c r="F1864" s="456"/>
      <c r="G1864" s="456"/>
      <c r="H1864" s="456"/>
    </row>
    <row r="1865" spans="1:8">
      <c r="A1865" s="456">
        <v>2862</v>
      </c>
      <c r="B1865" s="469" t="s">
        <v>2731</v>
      </c>
      <c r="C1865" s="458" t="s">
        <v>248</v>
      </c>
      <c r="D1865" s="456">
        <f>IF(Table10[[#This Row],[Current Age]]&gt;19,"Men's",IF(E1865&gt;15,"U19",IF(E1865&gt;13,"U15",IF(E1865&gt;11,"U13",IF(E1865&gt;0,"U11",0)))))</f>
        <v>0</v>
      </c>
      <c r="E1865" s="456">
        <f>IFERROR(IF(Table10[[#This Row],[Year]]&gt;0,$E$1-Table10[[#This Row],[Year]],0),"")</f>
        <v>0</v>
      </c>
      <c r="F1865" s="456"/>
      <c r="G1865" s="456"/>
      <c r="H1865" s="456"/>
    </row>
    <row r="1866" spans="1:8">
      <c r="A1866" s="471">
        <v>2863</v>
      </c>
      <c r="B1866" s="493" t="s">
        <v>2732</v>
      </c>
      <c r="C1866" s="472" t="s">
        <v>248</v>
      </c>
      <c r="D1866" s="456">
        <f>IF(Table10[[#This Row],[Current Age]]&gt;19,"Men's",IF(E1866&gt;15,"U19",IF(E1866&gt;13,"U15",IF(E1866&gt;11,"U13",IF(E1866&gt;0,"U11",0)))))</f>
        <v>0</v>
      </c>
      <c r="E1866" s="456">
        <f>IFERROR(IF(Table10[[#This Row],[Year]]&gt;0,$E$1-Table10[[#This Row],[Year]],0),"")</f>
        <v>0</v>
      </c>
      <c r="F1866" s="456"/>
      <c r="G1866" s="456"/>
      <c r="H1866" s="456"/>
    </row>
    <row r="1867" spans="1:8">
      <c r="A1867" s="456">
        <v>2864</v>
      </c>
      <c r="B1867" s="469" t="s">
        <v>2733</v>
      </c>
      <c r="C1867" s="458" t="s">
        <v>248</v>
      </c>
      <c r="D1867" s="456">
        <f>IF(Table10[[#This Row],[Current Age]]&gt;19,"Men's",IF(E1867&gt;15,"U19",IF(E1867&gt;13,"U15",IF(E1867&gt;11,"U13",IF(E1867&gt;0,"U11",0)))))</f>
        <v>0</v>
      </c>
      <c r="E1867" s="456">
        <f>IFERROR(IF(Table10[[#This Row],[Year]]&gt;0,$E$1-Table10[[#This Row],[Year]],0),"")</f>
        <v>0</v>
      </c>
      <c r="F1867" s="456"/>
      <c r="G1867" s="456"/>
      <c r="H1867" s="456"/>
    </row>
    <row r="1868" spans="1:8">
      <c r="A1868" s="471">
        <v>2865</v>
      </c>
      <c r="B1868" s="493" t="s">
        <v>2734</v>
      </c>
      <c r="C1868" s="472" t="s">
        <v>248</v>
      </c>
      <c r="D1868" s="456">
        <f>IF(Table10[[#This Row],[Current Age]]&gt;19,"Men's",IF(E1868&gt;15,"U19",IF(E1868&gt;13,"U15",IF(E1868&gt;11,"U13",IF(E1868&gt;0,"U11",0)))))</f>
        <v>0</v>
      </c>
      <c r="E1868" s="456">
        <f>IFERROR(IF(Table10[[#This Row],[Year]]&gt;0,$E$1-Table10[[#This Row],[Year]],0),"")</f>
        <v>0</v>
      </c>
      <c r="F1868" s="456"/>
      <c r="G1868" s="456"/>
      <c r="H1868" s="456"/>
    </row>
    <row r="1869" spans="1:8">
      <c r="A1869" s="456">
        <v>2866</v>
      </c>
      <c r="B1869" s="469" t="s">
        <v>2735</v>
      </c>
      <c r="C1869" s="458" t="s">
        <v>248</v>
      </c>
      <c r="D1869" s="456">
        <f>IF(Table10[[#This Row],[Current Age]]&gt;19,"Men's",IF(E1869&gt;15,"U19",IF(E1869&gt;13,"U15",IF(E1869&gt;11,"U13",IF(E1869&gt;0,"U11",0)))))</f>
        <v>0</v>
      </c>
      <c r="E1869" s="456">
        <f>IFERROR(IF(Table10[[#This Row],[Year]]&gt;0,$E$1-Table10[[#This Row],[Year]],0),"")</f>
        <v>0</v>
      </c>
      <c r="F1869" s="456"/>
      <c r="G1869" s="456"/>
      <c r="H1869" s="456"/>
    </row>
    <row r="1870" spans="1:8">
      <c r="A1870" s="471">
        <v>2867</v>
      </c>
      <c r="B1870" s="493" t="s">
        <v>2736</v>
      </c>
      <c r="C1870" s="472" t="s">
        <v>248</v>
      </c>
      <c r="D1870" s="456">
        <f>IF(Table10[[#This Row],[Current Age]]&gt;19,"Men's",IF(E1870&gt;15,"U19",IF(E1870&gt;13,"U15",IF(E1870&gt;11,"U13",IF(E1870&gt;0,"U11",0)))))</f>
        <v>0</v>
      </c>
      <c r="E1870" s="456">
        <f>IFERROR(IF(Table10[[#This Row],[Year]]&gt;0,$E$1-Table10[[#This Row],[Year]],0),"")</f>
        <v>0</v>
      </c>
      <c r="F1870" s="456"/>
      <c r="G1870" s="456"/>
      <c r="H1870" s="456"/>
    </row>
    <row r="1871" spans="1:8">
      <c r="A1871" s="456">
        <v>2868</v>
      </c>
      <c r="B1871" s="469" t="s">
        <v>2737</v>
      </c>
      <c r="C1871" s="458" t="s">
        <v>248</v>
      </c>
      <c r="D1871" s="456">
        <f>IF(Table10[[#This Row],[Current Age]]&gt;19,"Men's",IF(E1871&gt;15,"U19",IF(E1871&gt;13,"U15",IF(E1871&gt;11,"U13",IF(E1871&gt;0,"U11",0)))))</f>
        <v>0</v>
      </c>
      <c r="E1871" s="456">
        <f>IFERROR(IF(Table10[[#This Row],[Year]]&gt;0,$E$1-Table10[[#This Row],[Year]],0),"")</f>
        <v>0</v>
      </c>
      <c r="F1871" s="456"/>
      <c r="G1871" s="456"/>
      <c r="H1871" s="456"/>
    </row>
    <row r="1872" spans="1:8">
      <c r="A1872" s="471">
        <v>2869</v>
      </c>
      <c r="B1872" s="493" t="s">
        <v>2738</v>
      </c>
      <c r="C1872" s="472" t="s">
        <v>248</v>
      </c>
      <c r="D1872" s="456">
        <f>IF(Table10[[#This Row],[Current Age]]&gt;19,"Men's",IF(E1872&gt;15,"U19",IF(E1872&gt;13,"U15",IF(E1872&gt;11,"U13",IF(E1872&gt;0,"U11",0)))))</f>
        <v>0</v>
      </c>
      <c r="E1872" s="456">
        <f>IFERROR(IF(Table10[[#This Row],[Year]]&gt;0,$E$1-Table10[[#This Row],[Year]],0),"")</f>
        <v>0</v>
      </c>
      <c r="F1872" s="456"/>
      <c r="G1872" s="456"/>
      <c r="H1872" s="456"/>
    </row>
    <row r="1873" spans="1:8">
      <c r="A1873" s="456">
        <v>2870</v>
      </c>
      <c r="B1873" s="469" t="s">
        <v>2739</v>
      </c>
      <c r="C1873" s="458" t="s">
        <v>248</v>
      </c>
      <c r="D1873" s="456">
        <f>IF(Table10[[#This Row],[Current Age]]&gt;19,"Men's",IF(E1873&gt;15,"U19",IF(E1873&gt;13,"U15",IF(E1873&gt;11,"U13",IF(E1873&gt;0,"U11",0)))))</f>
        <v>0</v>
      </c>
      <c r="E1873" s="456">
        <f>IFERROR(IF(Table10[[#This Row],[Year]]&gt;0,$E$1-Table10[[#This Row],[Year]],0),"")</f>
        <v>0</v>
      </c>
      <c r="F1873" s="456"/>
      <c r="G1873" s="456"/>
      <c r="H1873" s="456"/>
    </row>
    <row r="1874" spans="1:8">
      <c r="A1874" s="471">
        <v>2871</v>
      </c>
      <c r="B1874" s="493" t="s">
        <v>2740</v>
      </c>
      <c r="C1874" s="472" t="s">
        <v>248</v>
      </c>
      <c r="D1874" s="456">
        <f>IF(Table10[[#This Row],[Current Age]]&gt;19,"Men's",IF(E1874&gt;15,"U19",IF(E1874&gt;13,"U15",IF(E1874&gt;11,"U13",IF(E1874&gt;0,"U11",0)))))</f>
        <v>0</v>
      </c>
      <c r="E1874" s="456">
        <f>IFERROR(IF(Table10[[#This Row],[Year]]&gt;0,$E$1-Table10[[#This Row],[Year]],0),"")</f>
        <v>0</v>
      </c>
      <c r="F1874" s="456"/>
      <c r="G1874" s="456"/>
      <c r="H1874" s="456"/>
    </row>
    <row r="1875" spans="1:8">
      <c r="A1875" s="456">
        <v>2872</v>
      </c>
      <c r="B1875" s="469" t="s">
        <v>2741</v>
      </c>
      <c r="C1875" s="458" t="s">
        <v>248</v>
      </c>
      <c r="D1875" s="456">
        <f>IF(Table10[[#This Row],[Current Age]]&gt;19,"Men's",IF(E1875&gt;15,"U19",IF(E1875&gt;13,"U15",IF(E1875&gt;11,"U13",IF(E1875&gt;0,"U11",0)))))</f>
        <v>0</v>
      </c>
      <c r="E1875" s="456">
        <f>IFERROR(IF(Table10[[#This Row],[Year]]&gt;0,$E$1-Table10[[#This Row],[Year]],0),"")</f>
        <v>0</v>
      </c>
      <c r="F1875" s="456"/>
      <c r="G1875" s="456"/>
      <c r="H1875" s="456"/>
    </row>
    <row r="1876" spans="1:8">
      <c r="A1876" s="471">
        <v>2873</v>
      </c>
      <c r="B1876" s="493" t="s">
        <v>2742</v>
      </c>
      <c r="C1876" s="472" t="s">
        <v>248</v>
      </c>
      <c r="D1876" s="456">
        <f>IF(Table10[[#This Row],[Current Age]]&gt;19,"Men's",IF(E1876&gt;15,"U19",IF(E1876&gt;13,"U15",IF(E1876&gt;11,"U13",IF(E1876&gt;0,"U11",0)))))</f>
        <v>0</v>
      </c>
      <c r="E1876" s="456">
        <f>IFERROR(IF(Table10[[#This Row],[Year]]&gt;0,$E$1-Table10[[#This Row],[Year]],0),"")</f>
        <v>0</v>
      </c>
      <c r="F1876" s="456"/>
      <c r="G1876" s="456"/>
      <c r="H1876" s="456"/>
    </row>
    <row r="1877" spans="1:8">
      <c r="A1877" s="456">
        <v>2874</v>
      </c>
      <c r="B1877" s="469" t="s">
        <v>2743</v>
      </c>
      <c r="C1877" s="458" t="s">
        <v>248</v>
      </c>
      <c r="D1877" s="456">
        <f>IF(Table10[[#This Row],[Current Age]]&gt;19,"Men's",IF(E1877&gt;15,"U19",IF(E1877&gt;13,"U15",IF(E1877&gt;11,"U13",IF(E1877&gt;0,"U11",0)))))</f>
        <v>0</v>
      </c>
      <c r="E1877" s="456">
        <f>IFERROR(IF(Table10[[#This Row],[Year]]&gt;0,$E$1-Table10[[#This Row],[Year]],0),"")</f>
        <v>0</v>
      </c>
      <c r="F1877" s="456"/>
      <c r="G1877" s="456"/>
      <c r="H1877" s="456"/>
    </row>
    <row r="1878" spans="1:8">
      <c r="A1878" s="471">
        <v>2875</v>
      </c>
      <c r="B1878" s="493" t="s">
        <v>2744</v>
      </c>
      <c r="C1878" s="472" t="s">
        <v>248</v>
      </c>
      <c r="D1878" s="456">
        <f>IF(Table10[[#This Row],[Current Age]]&gt;19,"Men's",IF(E1878&gt;15,"U19",IF(E1878&gt;13,"U15",IF(E1878&gt;11,"U13",IF(E1878&gt;0,"U11",0)))))</f>
        <v>0</v>
      </c>
      <c r="E1878" s="456">
        <f>IFERROR(IF(Table10[[#This Row],[Year]]&gt;0,$E$1-Table10[[#This Row],[Year]],0),"")</f>
        <v>0</v>
      </c>
      <c r="F1878" s="456"/>
      <c r="G1878" s="456"/>
      <c r="H1878" s="456"/>
    </row>
    <row r="1879" spans="1:8">
      <c r="A1879" s="456">
        <v>2876</v>
      </c>
      <c r="B1879" s="469" t="s">
        <v>2745</v>
      </c>
      <c r="C1879" s="458" t="s">
        <v>248</v>
      </c>
      <c r="D1879" s="456">
        <f>IF(Table10[[#This Row],[Current Age]]&gt;19,"Men's",IF(E1879&gt;15,"U19",IF(E1879&gt;13,"U15",IF(E1879&gt;11,"U13",IF(E1879&gt;0,"U11",0)))))</f>
        <v>0</v>
      </c>
      <c r="E1879" s="456">
        <f>IFERROR(IF(Table10[[#This Row],[Year]]&gt;0,$E$1-Table10[[#This Row],[Year]],0),"")</f>
        <v>0</v>
      </c>
      <c r="F1879" s="456"/>
      <c r="G1879" s="456"/>
      <c r="H1879" s="456"/>
    </row>
    <row r="1880" spans="1:8">
      <c r="A1880" s="471">
        <v>2877</v>
      </c>
      <c r="B1880" s="493" t="s">
        <v>2746</v>
      </c>
      <c r="C1880" s="472" t="s">
        <v>248</v>
      </c>
      <c r="D1880" s="456">
        <f>IF(Table10[[#This Row],[Current Age]]&gt;19,"Men's",IF(E1880&gt;15,"U19",IF(E1880&gt;13,"U15",IF(E1880&gt;11,"U13",IF(E1880&gt;0,"U11",0)))))</f>
        <v>0</v>
      </c>
      <c r="E1880" s="456">
        <f>IFERROR(IF(Table10[[#This Row],[Year]]&gt;0,$E$1-Table10[[#This Row],[Year]],0),"")</f>
        <v>0</v>
      </c>
      <c r="F1880" s="456"/>
      <c r="G1880" s="456"/>
      <c r="H1880" s="456"/>
    </row>
    <row r="1881" spans="1:8">
      <c r="A1881" s="456">
        <v>2878</v>
      </c>
      <c r="B1881" s="469" t="s">
        <v>2805</v>
      </c>
      <c r="C1881" s="458" t="s">
        <v>244</v>
      </c>
      <c r="D1881" s="456">
        <f>IF(Table10[[#This Row],[Current Age]]&gt;19,"Men's",IF(E1881&gt;15,"U19",IF(E1881&gt;13,"U15",IF(E1881&gt;11,"U13",IF(E1881&gt;0,"U11",0)))))</f>
        <v>0</v>
      </c>
      <c r="E1881" s="456">
        <f>IFERROR(IF(Table10[[#This Row],[Year]]&gt;0,$E$1-Table10[[#This Row],[Year]],0),"")</f>
        <v>0</v>
      </c>
      <c r="F1881" s="456"/>
      <c r="G1881" s="456"/>
      <c r="H1881" s="456"/>
    </row>
    <row r="1882" spans="1:8">
      <c r="A1882" s="471">
        <v>2879</v>
      </c>
      <c r="B1882" s="493" t="s">
        <v>2806</v>
      </c>
      <c r="C1882" s="472" t="s">
        <v>244</v>
      </c>
      <c r="D1882" s="456">
        <f>IF(Table10[[#This Row],[Current Age]]&gt;19,"Men's",IF(E1882&gt;15,"U19",IF(E1882&gt;13,"U15",IF(E1882&gt;11,"U13",IF(E1882&gt;0,"U11",0)))))</f>
        <v>0</v>
      </c>
      <c r="E1882" s="456">
        <f>IFERROR(IF(Table10[[#This Row],[Year]]&gt;0,$E$1-Table10[[#This Row],[Year]],0),"")</f>
        <v>0</v>
      </c>
      <c r="F1882" s="456"/>
      <c r="G1882" s="456"/>
      <c r="H1882" s="456"/>
    </row>
    <row r="1883" spans="1:8">
      <c r="A1883" s="456">
        <v>2880</v>
      </c>
      <c r="B1883" s="469" t="s">
        <v>2807</v>
      </c>
      <c r="C1883" s="458" t="s">
        <v>244</v>
      </c>
      <c r="D1883" s="456">
        <f>IF(Table10[[#This Row],[Current Age]]&gt;19,"Men's",IF(E1883&gt;15,"U19",IF(E1883&gt;13,"U15",IF(E1883&gt;11,"U13",IF(E1883&gt;0,"U11",0)))))</f>
        <v>0</v>
      </c>
      <c r="E1883" s="456">
        <f>IFERROR(IF(Table10[[#This Row],[Year]]&gt;0,$E$1-Table10[[#This Row],[Year]],0),"")</f>
        <v>0</v>
      </c>
      <c r="F1883" s="456"/>
      <c r="G1883" s="456"/>
      <c r="H1883" s="456"/>
    </row>
    <row r="1884" spans="1:8">
      <c r="A1884" s="471">
        <v>2881</v>
      </c>
      <c r="B1884" s="493" t="s">
        <v>2808</v>
      </c>
      <c r="C1884" s="472" t="s">
        <v>244</v>
      </c>
      <c r="D1884" s="456">
        <f>IF(Table10[[#This Row],[Current Age]]&gt;19,"Men's",IF(E1884&gt;15,"U19",IF(E1884&gt;13,"U15",IF(E1884&gt;11,"U13",IF(E1884&gt;0,"U11",0)))))</f>
        <v>0</v>
      </c>
      <c r="E1884" s="456">
        <f>IFERROR(IF(Table10[[#This Row],[Year]]&gt;0,$E$1-Table10[[#This Row],[Year]],0),"")</f>
        <v>0</v>
      </c>
      <c r="F1884" s="456"/>
      <c r="G1884" s="456"/>
      <c r="H1884" s="456"/>
    </row>
    <row r="1885" spans="1:8">
      <c r="A1885" s="456">
        <v>2882</v>
      </c>
      <c r="B1885" s="469" t="s">
        <v>2809</v>
      </c>
      <c r="C1885" s="458" t="s">
        <v>244</v>
      </c>
      <c r="D1885" s="456">
        <f>IF(Table10[[#This Row],[Current Age]]&gt;19,"Men's",IF(E1885&gt;15,"U19",IF(E1885&gt;13,"U15",IF(E1885&gt;11,"U13",IF(E1885&gt;0,"U11",0)))))</f>
        <v>0</v>
      </c>
      <c r="E1885" s="456">
        <f>IFERROR(IF(Table10[[#This Row],[Year]]&gt;0,$E$1-Table10[[#This Row],[Year]],0),"")</f>
        <v>0</v>
      </c>
      <c r="F1885" s="456"/>
      <c r="G1885" s="456"/>
      <c r="H1885" s="456"/>
    </row>
    <row r="1886" spans="1:8">
      <c r="A1886" s="471">
        <v>2883</v>
      </c>
      <c r="B1886" s="493" t="s">
        <v>2810</v>
      </c>
      <c r="C1886" s="472" t="s">
        <v>244</v>
      </c>
      <c r="D1886" s="456">
        <f>IF(Table10[[#This Row],[Current Age]]&gt;19,"Men's",IF(E1886&gt;15,"U19",IF(E1886&gt;13,"U15",IF(E1886&gt;11,"U13",IF(E1886&gt;0,"U11",0)))))</f>
        <v>0</v>
      </c>
      <c r="E1886" s="456">
        <f>IFERROR(IF(Table10[[#This Row],[Year]]&gt;0,$E$1-Table10[[#This Row],[Year]],0),"")</f>
        <v>0</v>
      </c>
      <c r="F1886" s="456"/>
      <c r="G1886" s="456"/>
      <c r="H1886" s="456"/>
    </row>
    <row r="1887" spans="1:8">
      <c r="A1887" s="456">
        <v>2884</v>
      </c>
      <c r="B1887" s="469" t="s">
        <v>2811</v>
      </c>
      <c r="C1887" s="458" t="s">
        <v>244</v>
      </c>
      <c r="D1887" s="456">
        <f>IF(Table10[[#This Row],[Current Age]]&gt;19,"Men's",IF(E1887&gt;15,"U19",IF(E1887&gt;13,"U15",IF(E1887&gt;11,"U13",IF(E1887&gt;0,"U11",0)))))</f>
        <v>0</v>
      </c>
      <c r="E1887" s="456">
        <f>IFERROR(IF(Table10[[#This Row],[Year]]&gt;0,$E$1-Table10[[#This Row],[Year]],0),"")</f>
        <v>0</v>
      </c>
      <c r="F1887" s="456"/>
      <c r="G1887" s="456"/>
      <c r="H1887" s="456"/>
    </row>
    <row r="1888" spans="1:8">
      <c r="A1888" s="471">
        <v>2885</v>
      </c>
      <c r="B1888" s="493" t="s">
        <v>2812</v>
      </c>
      <c r="C1888" s="472" t="s">
        <v>244</v>
      </c>
      <c r="D1888" s="456">
        <f>IF(Table10[[#This Row],[Current Age]]&gt;19,"Men's",IF(E1888&gt;15,"U19",IF(E1888&gt;13,"U15",IF(E1888&gt;11,"U13",IF(E1888&gt;0,"U11",0)))))</f>
        <v>0</v>
      </c>
      <c r="E1888" s="456">
        <f>IFERROR(IF(Table10[[#This Row],[Year]]&gt;0,$E$1-Table10[[#This Row],[Year]],0),"")</f>
        <v>0</v>
      </c>
      <c r="F1888" s="456"/>
      <c r="G1888" s="456"/>
      <c r="H1888" s="456"/>
    </row>
    <row r="1889" spans="1:8">
      <c r="A1889" s="456">
        <v>2886</v>
      </c>
      <c r="B1889" s="469" t="s">
        <v>2813</v>
      </c>
      <c r="C1889" s="458" t="s">
        <v>244</v>
      </c>
      <c r="D1889" s="456">
        <f>IF(Table10[[#This Row],[Current Age]]&gt;19,"Men's",IF(E1889&gt;15,"U19",IF(E1889&gt;13,"U15",IF(E1889&gt;11,"U13",IF(E1889&gt;0,"U11",0)))))</f>
        <v>0</v>
      </c>
      <c r="E1889" s="456">
        <f>IFERROR(IF(Table10[[#This Row],[Year]]&gt;0,$E$1-Table10[[#This Row],[Year]],0),"")</f>
        <v>0</v>
      </c>
      <c r="F1889" s="456"/>
      <c r="G1889" s="456"/>
      <c r="H1889" s="456"/>
    </row>
    <row r="1890" spans="1:8">
      <c r="A1890" s="471">
        <v>2887</v>
      </c>
      <c r="B1890" s="493" t="s">
        <v>2814</v>
      </c>
      <c r="C1890" s="472" t="s">
        <v>244</v>
      </c>
      <c r="D1890" s="456">
        <f>IF(Table10[[#This Row],[Current Age]]&gt;19,"Men's",IF(E1890&gt;15,"U19",IF(E1890&gt;13,"U15",IF(E1890&gt;11,"U13",IF(E1890&gt;0,"U11",0)))))</f>
        <v>0</v>
      </c>
      <c r="E1890" s="456">
        <f>IFERROR(IF(Table10[[#This Row],[Year]]&gt;0,$E$1-Table10[[#This Row],[Year]],0),"")</f>
        <v>0</v>
      </c>
      <c r="F1890" s="456"/>
      <c r="G1890" s="456"/>
      <c r="H1890" s="456"/>
    </row>
    <row r="1891" spans="1:8">
      <c r="A1891" s="456">
        <v>2888</v>
      </c>
      <c r="B1891" s="469" t="s">
        <v>2815</v>
      </c>
      <c r="C1891" s="458" t="s">
        <v>244</v>
      </c>
      <c r="D1891" s="456">
        <f>IF(Table10[[#This Row],[Current Age]]&gt;19,"Men's",IF(E1891&gt;15,"U19",IF(E1891&gt;13,"U15",IF(E1891&gt;11,"U13",IF(E1891&gt;0,"U11",0)))))</f>
        <v>0</v>
      </c>
      <c r="E1891" s="456">
        <f>IFERROR(IF(Table10[[#This Row],[Year]]&gt;0,$E$1-Table10[[#This Row],[Year]],0),"")</f>
        <v>0</v>
      </c>
      <c r="F1891" s="456"/>
      <c r="G1891" s="456"/>
      <c r="H1891" s="456"/>
    </row>
    <row r="1892" spans="1:8">
      <c r="A1892" s="471">
        <v>2889</v>
      </c>
      <c r="B1892" s="493" t="s">
        <v>2816</v>
      </c>
      <c r="C1892" s="472" t="s">
        <v>244</v>
      </c>
      <c r="D1892" s="456">
        <f>IF(Table10[[#This Row],[Current Age]]&gt;19,"Men's",IF(E1892&gt;15,"U19",IF(E1892&gt;13,"U15",IF(E1892&gt;11,"U13",IF(E1892&gt;0,"U11",0)))))</f>
        <v>0</v>
      </c>
      <c r="E1892" s="456">
        <f>IFERROR(IF(Table10[[#This Row],[Year]]&gt;0,$E$1-Table10[[#This Row],[Year]],0),"")</f>
        <v>0</v>
      </c>
      <c r="F1892" s="456"/>
      <c r="G1892" s="456"/>
      <c r="H1892" s="456"/>
    </row>
    <row r="1893" spans="1:8">
      <c r="A1893" s="456">
        <v>2890</v>
      </c>
      <c r="B1893" s="469" t="s">
        <v>2817</v>
      </c>
      <c r="C1893" s="458" t="s">
        <v>244</v>
      </c>
      <c r="D1893" s="456">
        <f>IF(Table10[[#This Row],[Current Age]]&gt;19,"Men's",IF(E1893&gt;15,"U19",IF(E1893&gt;13,"U15",IF(E1893&gt;11,"U13",IF(E1893&gt;0,"U11",0)))))</f>
        <v>0</v>
      </c>
      <c r="E1893" s="456">
        <f>IFERROR(IF(Table10[[#This Row],[Year]]&gt;0,$E$1-Table10[[#This Row],[Year]],0),"")</f>
        <v>0</v>
      </c>
      <c r="F1893" s="456"/>
      <c r="G1893" s="456"/>
      <c r="H1893" s="456"/>
    </row>
    <row r="1894" spans="1:8">
      <c r="A1894" s="471">
        <v>2891</v>
      </c>
      <c r="B1894" s="493" t="s">
        <v>2818</v>
      </c>
      <c r="C1894" s="472" t="s">
        <v>244</v>
      </c>
      <c r="D1894" s="456">
        <f>IF(Table10[[#This Row],[Current Age]]&gt;19,"Men's",IF(E1894&gt;15,"U19",IF(E1894&gt;13,"U15",IF(E1894&gt;11,"U13",IF(E1894&gt;0,"U11",0)))))</f>
        <v>0</v>
      </c>
      <c r="E1894" s="456">
        <f>IFERROR(IF(Table10[[#This Row],[Year]]&gt;0,$E$1-Table10[[#This Row],[Year]],0),"")</f>
        <v>0</v>
      </c>
      <c r="F1894" s="456"/>
      <c r="G1894" s="456"/>
      <c r="H1894" s="456"/>
    </row>
    <row r="1895" spans="1:8">
      <c r="A1895" s="456">
        <v>2892</v>
      </c>
      <c r="B1895" s="469" t="s">
        <v>2819</v>
      </c>
      <c r="C1895" s="458" t="s">
        <v>244</v>
      </c>
      <c r="D1895" s="456">
        <f>IF(Table10[[#This Row],[Current Age]]&gt;19,"Men's",IF(E1895&gt;15,"U19",IF(E1895&gt;13,"U15",IF(E1895&gt;11,"U13",IF(E1895&gt;0,"U11",0)))))</f>
        <v>0</v>
      </c>
      <c r="E1895" s="456">
        <f>IFERROR(IF(Table10[[#This Row],[Year]]&gt;0,$E$1-Table10[[#This Row],[Year]],0),"")</f>
        <v>0</v>
      </c>
      <c r="F1895" s="456"/>
      <c r="G1895" s="456"/>
      <c r="H1895" s="456"/>
    </row>
    <row r="1896" spans="1:8">
      <c r="A1896" s="471">
        <v>2893</v>
      </c>
      <c r="B1896" s="493" t="s">
        <v>2820</v>
      </c>
      <c r="C1896" s="472" t="s">
        <v>244</v>
      </c>
      <c r="D1896" s="456">
        <f>IF(Table10[[#This Row],[Current Age]]&gt;19,"Men's",IF(E1896&gt;15,"U19",IF(E1896&gt;13,"U15",IF(E1896&gt;11,"U13",IF(E1896&gt;0,"U11",0)))))</f>
        <v>0</v>
      </c>
      <c r="E1896" s="456">
        <f>IFERROR(IF(Table10[[#This Row],[Year]]&gt;0,$E$1-Table10[[#This Row],[Year]],0),"")</f>
        <v>0</v>
      </c>
      <c r="F1896" s="456"/>
      <c r="G1896" s="456"/>
      <c r="H1896" s="456"/>
    </row>
    <row r="1897" spans="1:8">
      <c r="A1897" s="456">
        <v>2894</v>
      </c>
      <c r="B1897" s="469" t="s">
        <v>2821</v>
      </c>
      <c r="C1897" s="458" t="s">
        <v>244</v>
      </c>
      <c r="D1897" s="456">
        <f>IF(Table10[[#This Row],[Current Age]]&gt;19,"Men's",IF(E1897&gt;15,"U19",IF(E1897&gt;13,"U15",IF(E1897&gt;11,"U13",IF(E1897&gt;0,"U11",0)))))</f>
        <v>0</v>
      </c>
      <c r="E1897" s="456">
        <f>IFERROR(IF(Table10[[#This Row],[Year]]&gt;0,$E$1-Table10[[#This Row],[Year]],0),"")</f>
        <v>0</v>
      </c>
      <c r="F1897" s="456"/>
      <c r="G1897" s="456"/>
      <c r="H1897" s="456"/>
    </row>
    <row r="1898" spans="1:8">
      <c r="A1898" s="471">
        <v>2895</v>
      </c>
      <c r="B1898" s="493" t="s">
        <v>2822</v>
      </c>
      <c r="C1898" s="472" t="s">
        <v>244</v>
      </c>
      <c r="D1898" s="456">
        <f>IF(Table10[[#This Row],[Current Age]]&gt;19,"Men's",IF(E1898&gt;15,"U19",IF(E1898&gt;13,"U15",IF(E1898&gt;11,"U13",IF(E1898&gt;0,"U11",0)))))</f>
        <v>0</v>
      </c>
      <c r="E1898" s="456">
        <f>IFERROR(IF(Table10[[#This Row],[Year]]&gt;0,$E$1-Table10[[#This Row],[Year]],0),"")</f>
        <v>0</v>
      </c>
      <c r="F1898" s="456"/>
      <c r="G1898" s="456"/>
      <c r="H1898" s="456"/>
    </row>
    <row r="1899" spans="1:8">
      <c r="A1899" s="456">
        <v>2896</v>
      </c>
      <c r="B1899" s="469" t="s">
        <v>2823</v>
      </c>
      <c r="C1899" s="458" t="s">
        <v>244</v>
      </c>
      <c r="D1899" s="456">
        <f>IF(Table10[[#This Row],[Current Age]]&gt;19,"Men's",IF(E1899&gt;15,"U19",IF(E1899&gt;13,"U15",IF(E1899&gt;11,"U13",IF(E1899&gt;0,"U11",0)))))</f>
        <v>0</v>
      </c>
      <c r="E1899" s="456">
        <f>IFERROR(IF(Table10[[#This Row],[Year]]&gt;0,$E$1-Table10[[#This Row],[Year]],0),"")</f>
        <v>0</v>
      </c>
      <c r="F1899" s="456"/>
      <c r="G1899" s="456"/>
      <c r="H1899" s="456"/>
    </row>
    <row r="1900" spans="1:8">
      <c r="A1900" s="471">
        <v>2897</v>
      </c>
      <c r="B1900" s="493" t="s">
        <v>2824</v>
      </c>
      <c r="C1900" s="472" t="s">
        <v>244</v>
      </c>
      <c r="D1900" s="456">
        <f>IF(Table10[[#This Row],[Current Age]]&gt;19,"Men's",IF(E1900&gt;15,"U19",IF(E1900&gt;13,"U15",IF(E1900&gt;11,"U13",IF(E1900&gt;0,"U11",0)))))</f>
        <v>0</v>
      </c>
      <c r="E1900" s="456">
        <f>IFERROR(IF(Table10[[#This Row],[Year]]&gt;0,$E$1-Table10[[#This Row],[Year]],0),"")</f>
        <v>0</v>
      </c>
      <c r="F1900" s="456"/>
      <c r="G1900" s="456"/>
      <c r="H1900" s="456"/>
    </row>
    <row r="1901" spans="1:8">
      <c r="A1901" s="456">
        <v>2898</v>
      </c>
      <c r="B1901" s="469" t="s">
        <v>2825</v>
      </c>
      <c r="C1901" s="458" t="s">
        <v>244</v>
      </c>
      <c r="D1901" s="456">
        <f>IF(Table10[[#This Row],[Current Age]]&gt;19,"Men's",IF(E1901&gt;15,"U19",IF(E1901&gt;13,"U15",IF(E1901&gt;11,"U13",IF(E1901&gt;0,"U11",0)))))</f>
        <v>0</v>
      </c>
      <c r="E1901" s="456">
        <f>IFERROR(IF(Table10[[#This Row],[Year]]&gt;0,$E$1-Table10[[#This Row],[Year]],0),"")</f>
        <v>0</v>
      </c>
      <c r="F1901" s="456"/>
      <c r="G1901" s="456"/>
      <c r="H1901" s="456"/>
    </row>
    <row r="1902" spans="1:8">
      <c r="A1902" s="471">
        <v>2899</v>
      </c>
      <c r="B1902" s="493" t="s">
        <v>2826</v>
      </c>
      <c r="C1902" s="472" t="s">
        <v>244</v>
      </c>
      <c r="D1902" s="456">
        <f>IF(Table10[[#This Row],[Current Age]]&gt;19,"Men's",IF(E1902&gt;15,"U19",IF(E1902&gt;13,"U15",IF(E1902&gt;11,"U13",IF(E1902&gt;0,"U11",0)))))</f>
        <v>0</v>
      </c>
      <c r="E1902" s="456">
        <f>IFERROR(IF(Table10[[#This Row],[Year]]&gt;0,$E$1-Table10[[#This Row],[Year]],0),"")</f>
        <v>0</v>
      </c>
      <c r="F1902" s="456"/>
      <c r="G1902" s="456"/>
      <c r="H1902" s="456"/>
    </row>
    <row r="1903" spans="1:8">
      <c r="A1903" s="456">
        <v>2900</v>
      </c>
      <c r="B1903" s="469" t="s">
        <v>2827</v>
      </c>
      <c r="C1903" s="458" t="s">
        <v>244</v>
      </c>
      <c r="D1903" s="456">
        <f>IF(Table10[[#This Row],[Current Age]]&gt;19,"Men's",IF(E1903&gt;15,"U19",IF(E1903&gt;13,"U15",IF(E1903&gt;11,"U13",IF(E1903&gt;0,"U11",0)))))</f>
        <v>0</v>
      </c>
      <c r="E1903" s="456">
        <f>IFERROR(IF(Table10[[#This Row],[Year]]&gt;0,$E$1-Table10[[#This Row],[Year]],0),"")</f>
        <v>0</v>
      </c>
      <c r="F1903" s="456"/>
      <c r="G1903" s="456"/>
      <c r="H1903" s="456"/>
    </row>
    <row r="1904" spans="1:8">
      <c r="A1904" s="471">
        <v>2901</v>
      </c>
      <c r="B1904" s="493" t="s">
        <v>2828</v>
      </c>
      <c r="C1904" s="472" t="s">
        <v>244</v>
      </c>
      <c r="D1904" s="456">
        <f>IF(Table10[[#This Row],[Current Age]]&gt;19,"Men's",IF(E1904&gt;15,"U19",IF(E1904&gt;13,"U15",IF(E1904&gt;11,"U13",IF(E1904&gt;0,"U11",0)))))</f>
        <v>0</v>
      </c>
      <c r="E1904" s="456">
        <f>IFERROR(IF(Table10[[#This Row],[Year]]&gt;0,$E$1-Table10[[#This Row],[Year]],0),"")</f>
        <v>0</v>
      </c>
      <c r="F1904" s="456"/>
      <c r="G1904" s="456"/>
      <c r="H1904" s="456"/>
    </row>
    <row r="1905" spans="1:8">
      <c r="A1905" s="456">
        <v>2902</v>
      </c>
      <c r="B1905" s="469" t="s">
        <v>2829</v>
      </c>
      <c r="C1905" s="458" t="s">
        <v>244</v>
      </c>
      <c r="D1905" s="456">
        <f>IF(Table10[[#This Row],[Current Age]]&gt;19,"Men's",IF(E1905&gt;15,"U19",IF(E1905&gt;13,"U15",IF(E1905&gt;11,"U13",IF(E1905&gt;0,"U11",0)))))</f>
        <v>0</v>
      </c>
      <c r="E1905" s="456">
        <f>IFERROR(IF(Table10[[#This Row],[Year]]&gt;0,$E$1-Table10[[#This Row],[Year]],0),"")</f>
        <v>0</v>
      </c>
      <c r="F1905" s="456"/>
      <c r="G1905" s="456"/>
      <c r="H1905" s="456"/>
    </row>
    <row r="1906" spans="1:8">
      <c r="A1906" s="471">
        <v>2903</v>
      </c>
      <c r="B1906" s="493" t="s">
        <v>2830</v>
      </c>
      <c r="C1906" s="472" t="s">
        <v>244</v>
      </c>
      <c r="D1906" s="456">
        <f>IF(Table10[[#This Row],[Current Age]]&gt;19,"Men's",IF(E1906&gt;15,"U19",IF(E1906&gt;13,"U15",IF(E1906&gt;11,"U13",IF(E1906&gt;0,"U11",0)))))</f>
        <v>0</v>
      </c>
      <c r="E1906" s="456">
        <f>IFERROR(IF(Table10[[#This Row],[Year]]&gt;0,$E$1-Table10[[#This Row],[Year]],0),"")</f>
        <v>0</v>
      </c>
      <c r="F1906" s="456"/>
      <c r="G1906" s="456"/>
      <c r="H1906" s="456"/>
    </row>
    <row r="1907" spans="1:8">
      <c r="A1907" s="456">
        <v>2904</v>
      </c>
      <c r="B1907" s="469" t="s">
        <v>2831</v>
      </c>
      <c r="C1907" s="458" t="s">
        <v>244</v>
      </c>
      <c r="D1907" s="456">
        <f>IF(Table10[[#This Row],[Current Age]]&gt;19,"Men's",IF(E1907&gt;15,"U19",IF(E1907&gt;13,"U15",IF(E1907&gt;11,"U13",IF(E1907&gt;0,"U11",0)))))</f>
        <v>0</v>
      </c>
      <c r="E1907" s="456">
        <f>IFERROR(IF(Table10[[#This Row],[Year]]&gt;0,$E$1-Table10[[#This Row],[Year]],0),"")</f>
        <v>0</v>
      </c>
      <c r="F1907" s="456"/>
      <c r="G1907" s="456"/>
      <c r="H1907" s="456"/>
    </row>
    <row r="1908" spans="1:8">
      <c r="A1908" s="471">
        <v>2905</v>
      </c>
      <c r="B1908" s="493" t="s">
        <v>2832</v>
      </c>
      <c r="C1908" s="472" t="s">
        <v>244</v>
      </c>
      <c r="D1908" s="456">
        <f>IF(Table10[[#This Row],[Current Age]]&gt;19,"Men's",IF(E1908&gt;15,"U19",IF(E1908&gt;13,"U15",IF(E1908&gt;11,"U13",IF(E1908&gt;0,"U11",0)))))</f>
        <v>0</v>
      </c>
      <c r="E1908" s="456">
        <f>IFERROR(IF(Table10[[#This Row],[Year]]&gt;0,$E$1-Table10[[#This Row],[Year]],0),"")</f>
        <v>0</v>
      </c>
      <c r="F1908" s="456"/>
      <c r="G1908" s="456"/>
      <c r="H1908" s="456"/>
    </row>
    <row r="1909" spans="1:8">
      <c r="A1909" s="456">
        <v>2906</v>
      </c>
      <c r="B1909" s="469" t="s">
        <v>2833</v>
      </c>
      <c r="C1909" s="458" t="s">
        <v>244</v>
      </c>
      <c r="D1909" s="456">
        <f>IF(Table10[[#This Row],[Current Age]]&gt;19,"Men's",IF(E1909&gt;15,"U19",IF(E1909&gt;13,"U15",IF(E1909&gt;11,"U13",IF(E1909&gt;0,"U11",0)))))</f>
        <v>0</v>
      </c>
      <c r="E1909" s="456">
        <f>IFERROR(IF(Table10[[#This Row],[Year]]&gt;0,$E$1-Table10[[#This Row],[Year]],0),"")</f>
        <v>0</v>
      </c>
      <c r="F1909" s="456"/>
      <c r="G1909" s="456"/>
      <c r="H1909" s="456"/>
    </row>
    <row r="1910" spans="1:8">
      <c r="A1910" s="471">
        <v>2907</v>
      </c>
      <c r="B1910" s="493" t="s">
        <v>2834</v>
      </c>
      <c r="C1910" s="472" t="s">
        <v>244</v>
      </c>
      <c r="D1910" s="456">
        <f>IF(Table10[[#This Row],[Current Age]]&gt;19,"Men's",IF(E1910&gt;15,"U19",IF(E1910&gt;13,"U15",IF(E1910&gt;11,"U13",IF(E1910&gt;0,"U11",0)))))</f>
        <v>0</v>
      </c>
      <c r="E1910" s="456">
        <f>IFERROR(IF(Table10[[#This Row],[Year]]&gt;0,$E$1-Table10[[#This Row],[Year]],0),"")</f>
        <v>0</v>
      </c>
      <c r="F1910" s="456"/>
      <c r="G1910" s="456"/>
      <c r="H1910" s="456"/>
    </row>
    <row r="1911" spans="1:8">
      <c r="A1911" s="456">
        <v>2908</v>
      </c>
      <c r="B1911" s="469" t="s">
        <v>2835</v>
      </c>
      <c r="C1911" s="458" t="s">
        <v>244</v>
      </c>
      <c r="D1911" s="456">
        <f>IF(Table10[[#This Row],[Current Age]]&gt;19,"Men's",IF(E1911&gt;15,"U19",IF(E1911&gt;13,"U15",IF(E1911&gt;11,"U13",IF(E1911&gt;0,"U11",0)))))</f>
        <v>0</v>
      </c>
      <c r="E1911" s="456">
        <f>IFERROR(IF(Table10[[#This Row],[Year]]&gt;0,$E$1-Table10[[#This Row],[Year]],0),"")</f>
        <v>0</v>
      </c>
      <c r="F1911" s="456"/>
      <c r="G1911" s="456"/>
      <c r="H1911" s="456"/>
    </row>
    <row r="1912" spans="1:8">
      <c r="A1912" s="471">
        <v>2909</v>
      </c>
      <c r="B1912" s="493" t="s">
        <v>2836</v>
      </c>
      <c r="C1912" s="472" t="s">
        <v>244</v>
      </c>
      <c r="D1912" s="456">
        <f>IF(Table10[[#This Row],[Current Age]]&gt;19,"Men's",IF(E1912&gt;15,"U19",IF(E1912&gt;13,"U15",IF(E1912&gt;11,"U13",IF(E1912&gt;0,"U11",0)))))</f>
        <v>0</v>
      </c>
      <c r="E1912" s="456">
        <f>IFERROR(IF(Table10[[#This Row],[Year]]&gt;0,$E$1-Table10[[#This Row],[Year]],0),"")</f>
        <v>0</v>
      </c>
      <c r="F1912" s="456"/>
      <c r="G1912" s="456"/>
      <c r="H1912" s="456"/>
    </row>
    <row r="1913" spans="1:8">
      <c r="A1913" s="456">
        <v>2910</v>
      </c>
      <c r="B1913" s="469" t="s">
        <v>2837</v>
      </c>
      <c r="C1913" s="458" t="s">
        <v>244</v>
      </c>
      <c r="D1913" s="456">
        <f>IF(Table10[[#This Row],[Current Age]]&gt;19,"Men's",IF(E1913&gt;15,"U19",IF(E1913&gt;13,"U15",IF(E1913&gt;11,"U13",IF(E1913&gt;0,"U11",0)))))</f>
        <v>0</v>
      </c>
      <c r="E1913" s="456">
        <f>IFERROR(IF(Table10[[#This Row],[Year]]&gt;0,$E$1-Table10[[#This Row],[Year]],0),"")</f>
        <v>0</v>
      </c>
      <c r="F1913" s="456"/>
      <c r="G1913" s="456"/>
      <c r="H1913" s="456"/>
    </row>
    <row r="1914" spans="1:8">
      <c r="A1914" s="471">
        <v>2911</v>
      </c>
      <c r="B1914" s="493" t="s">
        <v>2838</v>
      </c>
      <c r="C1914" s="472" t="s">
        <v>244</v>
      </c>
      <c r="D1914" s="456">
        <f>IF(Table10[[#This Row],[Current Age]]&gt;19,"Men's",IF(E1914&gt;15,"U19",IF(E1914&gt;13,"U15",IF(E1914&gt;11,"U13",IF(E1914&gt;0,"U11",0)))))</f>
        <v>0</v>
      </c>
      <c r="E1914" s="456">
        <f>IFERROR(IF(Table10[[#This Row],[Year]]&gt;0,$E$1-Table10[[#This Row],[Year]],0),"")</f>
        <v>0</v>
      </c>
      <c r="F1914" s="456"/>
      <c r="G1914" s="456"/>
      <c r="H1914" s="456"/>
    </row>
    <row r="1915" spans="1:8">
      <c r="A1915" s="456">
        <v>2912</v>
      </c>
      <c r="B1915" s="469" t="s">
        <v>2839</v>
      </c>
      <c r="C1915" s="458" t="s">
        <v>244</v>
      </c>
      <c r="D1915" s="456">
        <f>IF(Table10[[#This Row],[Current Age]]&gt;19,"Men's",IF(E1915&gt;15,"U19",IF(E1915&gt;13,"U15",IF(E1915&gt;11,"U13",IF(E1915&gt;0,"U11",0)))))</f>
        <v>0</v>
      </c>
      <c r="E1915" s="456">
        <f>IFERROR(IF(Table10[[#This Row],[Year]]&gt;0,$E$1-Table10[[#This Row],[Year]],0),"")</f>
        <v>0</v>
      </c>
      <c r="F1915" s="456"/>
      <c r="G1915" s="456"/>
      <c r="H1915" s="456"/>
    </row>
    <row r="1916" spans="1:8">
      <c r="A1916" s="471">
        <v>2913</v>
      </c>
      <c r="B1916" s="493" t="s">
        <v>2840</v>
      </c>
      <c r="C1916" s="472" t="s">
        <v>244</v>
      </c>
      <c r="D1916" s="456">
        <f>IF(Table10[[#This Row],[Current Age]]&gt;19,"Men's",IF(E1916&gt;15,"U19",IF(E1916&gt;13,"U15",IF(E1916&gt;11,"U13",IF(E1916&gt;0,"U11",0)))))</f>
        <v>0</v>
      </c>
      <c r="E1916" s="456">
        <f>IFERROR(IF(Table10[[#This Row],[Year]]&gt;0,$E$1-Table10[[#This Row],[Year]],0),"")</f>
        <v>0</v>
      </c>
      <c r="F1916" s="456"/>
      <c r="G1916" s="456"/>
      <c r="H1916" s="456"/>
    </row>
    <row r="1917" spans="1:8">
      <c r="A1917" s="456">
        <v>2914</v>
      </c>
      <c r="B1917" s="469" t="s">
        <v>2841</v>
      </c>
      <c r="C1917" s="458" t="s">
        <v>244</v>
      </c>
      <c r="D1917" s="456">
        <f>IF(Table10[[#This Row],[Current Age]]&gt;19,"Men's",IF(E1917&gt;15,"U19",IF(E1917&gt;13,"U15",IF(E1917&gt;11,"U13",IF(E1917&gt;0,"U11",0)))))</f>
        <v>0</v>
      </c>
      <c r="E1917" s="456">
        <f>IFERROR(IF(Table10[[#This Row],[Year]]&gt;0,$E$1-Table10[[#This Row],[Year]],0),"")</f>
        <v>0</v>
      </c>
      <c r="F1917" s="456"/>
      <c r="G1917" s="456"/>
      <c r="H1917" s="456"/>
    </row>
    <row r="1918" spans="1:8">
      <c r="A1918" s="471">
        <v>2915</v>
      </c>
      <c r="B1918" s="493" t="s">
        <v>2842</v>
      </c>
      <c r="C1918" s="472" t="s">
        <v>244</v>
      </c>
      <c r="D1918" s="456">
        <f>IF(Table10[[#This Row],[Current Age]]&gt;19,"Men's",IF(E1918&gt;15,"U19",IF(E1918&gt;13,"U15",IF(E1918&gt;11,"U13",IF(E1918&gt;0,"U11",0)))))</f>
        <v>0</v>
      </c>
      <c r="E1918" s="456">
        <f>IFERROR(IF(Table10[[#This Row],[Year]]&gt;0,$E$1-Table10[[#This Row],[Year]],0),"")</f>
        <v>0</v>
      </c>
      <c r="F1918" s="456"/>
      <c r="G1918" s="456"/>
      <c r="H1918" s="456"/>
    </row>
    <row r="1919" spans="1:8">
      <c r="A1919" s="456">
        <v>2916</v>
      </c>
      <c r="B1919" s="469" t="s">
        <v>2843</v>
      </c>
      <c r="C1919" s="458" t="s">
        <v>244</v>
      </c>
      <c r="D1919" s="456">
        <f>IF(Table10[[#This Row],[Current Age]]&gt;19,"Men's",IF(E1919&gt;15,"U19",IF(E1919&gt;13,"U15",IF(E1919&gt;11,"U13",IF(E1919&gt;0,"U11",0)))))</f>
        <v>0</v>
      </c>
      <c r="E1919" s="456">
        <f>IFERROR(IF(Table10[[#This Row],[Year]]&gt;0,$E$1-Table10[[#This Row],[Year]],0),"")</f>
        <v>0</v>
      </c>
      <c r="F1919" s="456"/>
      <c r="G1919" s="456"/>
      <c r="H1919" s="456"/>
    </row>
    <row r="1920" spans="1:8">
      <c r="A1920" s="471">
        <v>2917</v>
      </c>
      <c r="B1920" s="493" t="s">
        <v>3575</v>
      </c>
      <c r="C1920" s="472" t="s">
        <v>244</v>
      </c>
      <c r="D1920" s="456">
        <f>IF(Table10[[#This Row],[Current Age]]&gt;19,"Men's",IF(E1920&gt;15,"U19",IF(E1920&gt;13,"U15",IF(E1920&gt;11,"U13",IF(E1920&gt;0,"U11",0)))))</f>
        <v>0</v>
      </c>
      <c r="E1920" s="456">
        <f>IFERROR(IF(Table10[[#This Row],[Year]]&gt;0,$E$1-Table10[[#This Row],[Year]],0),"")</f>
        <v>0</v>
      </c>
      <c r="F1920" s="456"/>
      <c r="G1920" s="456"/>
      <c r="H1920" s="456"/>
    </row>
    <row r="1921" spans="1:8">
      <c r="A1921" s="456">
        <v>2918</v>
      </c>
      <c r="B1921" s="469" t="s">
        <v>2953</v>
      </c>
      <c r="C1921" s="458" t="s">
        <v>244</v>
      </c>
      <c r="D1921" s="456">
        <f>IF(Table10[[#This Row],[Current Age]]&gt;19,"Men's",IF(E1921&gt;15,"U19",IF(E1921&gt;13,"U15",IF(E1921&gt;11,"U13",IF(E1921&gt;0,"U11",0)))))</f>
        <v>0</v>
      </c>
      <c r="E1921" s="456">
        <f>IFERROR(IF(Table10[[#This Row],[Year]]&gt;0,$E$1-Table10[[#This Row],[Year]],0),"")</f>
        <v>0</v>
      </c>
      <c r="F1921" s="456"/>
      <c r="G1921" s="456"/>
      <c r="H1921" s="456"/>
    </row>
    <row r="1922" spans="1:8">
      <c r="A1922" s="471">
        <v>2919</v>
      </c>
      <c r="B1922" s="493" t="s">
        <v>2844</v>
      </c>
      <c r="C1922" s="472" t="s">
        <v>244</v>
      </c>
      <c r="D1922" s="456">
        <f>IF(Table10[[#This Row],[Current Age]]&gt;19,"Men's",IF(E1922&gt;15,"U19",IF(E1922&gt;13,"U15",IF(E1922&gt;11,"U13",IF(E1922&gt;0,"U11",0)))))</f>
        <v>0</v>
      </c>
      <c r="E1922" s="456">
        <f>IFERROR(IF(Table10[[#This Row],[Year]]&gt;0,$E$1-Table10[[#This Row],[Year]],0),"")</f>
        <v>0</v>
      </c>
      <c r="F1922" s="456"/>
      <c r="G1922" s="456"/>
      <c r="H1922" s="456"/>
    </row>
    <row r="1923" spans="1:8">
      <c r="A1923" s="456">
        <v>2920</v>
      </c>
      <c r="B1923" s="469" t="s">
        <v>2845</v>
      </c>
      <c r="C1923" s="458" t="s">
        <v>244</v>
      </c>
      <c r="D1923" s="456">
        <f>IF(Table10[[#This Row],[Current Age]]&gt;19,"Men's",IF(E1923&gt;15,"U19",IF(E1923&gt;13,"U15",IF(E1923&gt;11,"U13",IF(E1923&gt;0,"U11",0)))))</f>
        <v>0</v>
      </c>
      <c r="E1923" s="456">
        <f>IFERROR(IF(Table10[[#This Row],[Year]]&gt;0,$E$1-Table10[[#This Row],[Year]],0),"")</f>
        <v>0</v>
      </c>
      <c r="F1923" s="456"/>
      <c r="G1923" s="456"/>
      <c r="H1923" s="456"/>
    </row>
    <row r="1924" spans="1:8">
      <c r="A1924" s="471">
        <v>2921</v>
      </c>
      <c r="B1924" s="493" t="s">
        <v>2846</v>
      </c>
      <c r="C1924" s="472" t="s">
        <v>244</v>
      </c>
      <c r="D1924" s="456">
        <f>IF(Table10[[#This Row],[Current Age]]&gt;19,"Men's",IF(E1924&gt;15,"U19",IF(E1924&gt;13,"U15",IF(E1924&gt;11,"U13",IF(E1924&gt;0,"U11",0)))))</f>
        <v>0</v>
      </c>
      <c r="E1924" s="456">
        <f>IFERROR(IF(Table10[[#This Row],[Year]]&gt;0,$E$1-Table10[[#This Row],[Year]],0),"")</f>
        <v>0</v>
      </c>
      <c r="F1924" s="456"/>
      <c r="G1924" s="456"/>
      <c r="H1924" s="456"/>
    </row>
    <row r="1925" spans="1:8">
      <c r="A1925" s="456">
        <v>2922</v>
      </c>
      <c r="B1925" s="469" t="s">
        <v>2847</v>
      </c>
      <c r="C1925" s="458" t="s">
        <v>244</v>
      </c>
      <c r="D1925" s="456">
        <f>IF(Table10[[#This Row],[Current Age]]&gt;19,"Men's",IF(E1925&gt;15,"U19",IF(E1925&gt;13,"U15",IF(E1925&gt;11,"U13",IF(E1925&gt;0,"U11",0)))))</f>
        <v>0</v>
      </c>
      <c r="E1925" s="456">
        <f>IFERROR(IF(Table10[[#This Row],[Year]]&gt;0,$E$1-Table10[[#This Row],[Year]],0),"")</f>
        <v>0</v>
      </c>
      <c r="F1925" s="456"/>
      <c r="G1925" s="456"/>
      <c r="H1925" s="456"/>
    </row>
    <row r="1926" spans="1:8">
      <c r="A1926" s="471">
        <v>2923</v>
      </c>
      <c r="B1926" s="493" t="s">
        <v>2848</v>
      </c>
      <c r="C1926" s="472" t="s">
        <v>244</v>
      </c>
      <c r="D1926" s="456">
        <f>IF(Table10[[#This Row],[Current Age]]&gt;19,"Men's",IF(E1926&gt;15,"U19",IF(E1926&gt;13,"U15",IF(E1926&gt;11,"U13",IF(E1926&gt;0,"U11",0)))))</f>
        <v>0</v>
      </c>
      <c r="E1926" s="456">
        <f>IFERROR(IF(Table10[[#This Row],[Year]]&gt;0,$E$1-Table10[[#This Row],[Year]],0),"")</f>
        <v>0</v>
      </c>
      <c r="F1926" s="456"/>
      <c r="G1926" s="456"/>
      <c r="H1926" s="456"/>
    </row>
    <row r="1927" spans="1:8">
      <c r="A1927" s="456">
        <v>2924</v>
      </c>
      <c r="B1927" s="469" t="s">
        <v>2849</v>
      </c>
      <c r="C1927" s="458" t="s">
        <v>244</v>
      </c>
      <c r="D1927" s="456">
        <f>IF(Table10[[#This Row],[Current Age]]&gt;19,"Men's",IF(E1927&gt;15,"U19",IF(E1927&gt;13,"U15",IF(E1927&gt;11,"U13",IF(E1927&gt;0,"U11",0)))))</f>
        <v>0</v>
      </c>
      <c r="E1927" s="456">
        <f>IFERROR(IF(Table10[[#This Row],[Year]]&gt;0,$E$1-Table10[[#This Row],[Year]],0),"")</f>
        <v>0</v>
      </c>
      <c r="F1927" s="456"/>
      <c r="G1927" s="456"/>
      <c r="H1927" s="456"/>
    </row>
    <row r="1928" spans="1:8">
      <c r="A1928" s="471">
        <v>2925</v>
      </c>
      <c r="B1928" s="493" t="s">
        <v>2850</v>
      </c>
      <c r="C1928" s="472" t="s">
        <v>244</v>
      </c>
      <c r="D1928" s="456">
        <f>IF(Table10[[#This Row],[Current Age]]&gt;19,"Men's",IF(E1928&gt;15,"U19",IF(E1928&gt;13,"U15",IF(E1928&gt;11,"U13",IF(E1928&gt;0,"U11",0)))))</f>
        <v>0</v>
      </c>
      <c r="E1928" s="456">
        <f>IFERROR(IF(Table10[[#This Row],[Year]]&gt;0,$E$1-Table10[[#This Row],[Year]],0),"")</f>
        <v>0</v>
      </c>
      <c r="F1928" s="456"/>
      <c r="G1928" s="456"/>
      <c r="H1928" s="456"/>
    </row>
    <row r="1929" spans="1:8">
      <c r="A1929" s="456">
        <v>2926</v>
      </c>
      <c r="B1929" s="469" t="s">
        <v>2851</v>
      </c>
      <c r="C1929" s="458" t="s">
        <v>244</v>
      </c>
      <c r="D1929" s="456">
        <f>IF(Table10[[#This Row],[Current Age]]&gt;19,"Men's",IF(E1929&gt;15,"U19",IF(E1929&gt;13,"U15",IF(E1929&gt;11,"U13",IF(E1929&gt;0,"U11",0)))))</f>
        <v>0</v>
      </c>
      <c r="E1929" s="456">
        <f>IFERROR(IF(Table10[[#This Row],[Year]]&gt;0,$E$1-Table10[[#This Row],[Year]],0),"")</f>
        <v>0</v>
      </c>
      <c r="F1929" s="456"/>
      <c r="G1929" s="456"/>
      <c r="H1929" s="456"/>
    </row>
    <row r="1930" spans="1:8">
      <c r="A1930" s="471">
        <v>2927</v>
      </c>
      <c r="B1930" s="493" t="s">
        <v>2852</v>
      </c>
      <c r="C1930" s="472" t="s">
        <v>244</v>
      </c>
      <c r="D1930" s="456">
        <f>IF(Table10[[#This Row],[Current Age]]&gt;19,"Men's",IF(E1930&gt;15,"U19",IF(E1930&gt;13,"U15",IF(E1930&gt;11,"U13",IF(E1930&gt;0,"U11",0)))))</f>
        <v>0</v>
      </c>
      <c r="E1930" s="456">
        <f>IFERROR(IF(Table10[[#This Row],[Year]]&gt;0,$E$1-Table10[[#This Row],[Year]],0),"")</f>
        <v>0</v>
      </c>
      <c r="F1930" s="456"/>
      <c r="G1930" s="456"/>
      <c r="H1930" s="456"/>
    </row>
    <row r="1931" spans="1:8">
      <c r="A1931" s="456">
        <v>2928</v>
      </c>
      <c r="B1931" s="469" t="s">
        <v>2853</v>
      </c>
      <c r="C1931" s="458" t="s">
        <v>244</v>
      </c>
      <c r="D1931" s="456">
        <f>IF(Table10[[#This Row],[Current Age]]&gt;19,"Men's",IF(E1931&gt;15,"U19",IF(E1931&gt;13,"U15",IF(E1931&gt;11,"U13",IF(E1931&gt;0,"U11",0)))))</f>
        <v>0</v>
      </c>
      <c r="E1931" s="456">
        <f>IFERROR(IF(Table10[[#This Row],[Year]]&gt;0,$E$1-Table10[[#This Row],[Year]],0),"")</f>
        <v>0</v>
      </c>
      <c r="F1931" s="456"/>
      <c r="G1931" s="456"/>
      <c r="H1931" s="456"/>
    </row>
    <row r="1932" spans="1:8">
      <c r="A1932" s="471">
        <v>2929</v>
      </c>
      <c r="B1932" s="493" t="s">
        <v>3131</v>
      </c>
      <c r="C1932" s="472" t="s">
        <v>2857</v>
      </c>
      <c r="D1932" s="456">
        <f>IF(Table10[[#This Row],[Current Age]]&gt;19,"Men's",IF(E1932&gt;15,"U19",IF(E1932&gt;13,"U15",IF(E1932&gt;11,"U13",IF(E1932&gt;0,"U11",0)))))</f>
        <v>0</v>
      </c>
      <c r="E1932" s="456">
        <f>IFERROR(IF(Table10[[#This Row],[Year]]&gt;0,$E$1-Table10[[#This Row],[Year]],0),"")</f>
        <v>0</v>
      </c>
      <c r="F1932" s="456"/>
      <c r="G1932" s="456"/>
      <c r="H1932" s="456"/>
    </row>
    <row r="1933" spans="1:8">
      <c r="A1933" s="456">
        <v>2930</v>
      </c>
      <c r="B1933" s="469" t="s">
        <v>2858</v>
      </c>
      <c r="C1933" s="458" t="s">
        <v>2857</v>
      </c>
      <c r="D1933" s="456">
        <f>IF(Table10[[#This Row],[Current Age]]&gt;19,"Men's",IF(E1933&gt;15,"U19",IF(E1933&gt;13,"U15",IF(E1933&gt;11,"U13",IF(E1933&gt;0,"U11",0)))))</f>
        <v>0</v>
      </c>
      <c r="E1933" s="456">
        <f>IFERROR(IF(Table10[[#This Row],[Year]]&gt;0,$E$1-Table10[[#This Row],[Year]],0),"")</f>
        <v>0</v>
      </c>
      <c r="F1933" s="456"/>
      <c r="G1933" s="456"/>
      <c r="H1933" s="456"/>
    </row>
    <row r="1934" spans="1:8">
      <c r="A1934" s="471">
        <v>2931</v>
      </c>
      <c r="B1934" s="493" t="s">
        <v>2859</v>
      </c>
      <c r="C1934" s="472" t="s">
        <v>2857</v>
      </c>
      <c r="D1934" s="456">
        <f>IF(Table10[[#This Row],[Current Age]]&gt;19,"Men's",IF(E1934&gt;15,"U19",IF(E1934&gt;13,"U15",IF(E1934&gt;11,"U13",IF(E1934&gt;0,"U11",0)))))</f>
        <v>0</v>
      </c>
      <c r="E1934" s="456">
        <f>IFERROR(IF(Table10[[#This Row],[Year]]&gt;0,$E$1-Table10[[#This Row],[Year]],0),"")</f>
        <v>0</v>
      </c>
      <c r="F1934" s="456"/>
      <c r="G1934" s="456"/>
      <c r="H1934" s="456"/>
    </row>
    <row r="1935" spans="1:8">
      <c r="A1935" s="456">
        <v>2932</v>
      </c>
      <c r="B1935" s="469" t="s">
        <v>2860</v>
      </c>
      <c r="C1935" s="458" t="s">
        <v>2857</v>
      </c>
      <c r="D1935" s="456">
        <f>IF(Table10[[#This Row],[Current Age]]&gt;19,"Men's",IF(E1935&gt;15,"U19",IF(E1935&gt;13,"U15",IF(E1935&gt;11,"U13",IF(E1935&gt;0,"U11",0)))))</f>
        <v>0</v>
      </c>
      <c r="E1935" s="456">
        <f>IFERROR(IF(Table10[[#This Row],[Year]]&gt;0,$E$1-Table10[[#This Row],[Year]],0),"")</f>
        <v>0</v>
      </c>
      <c r="F1935" s="456"/>
      <c r="G1935" s="456"/>
      <c r="H1935" s="456"/>
    </row>
    <row r="1936" spans="1:8">
      <c r="A1936" s="471">
        <v>2933</v>
      </c>
      <c r="B1936" s="493" t="s">
        <v>4236</v>
      </c>
      <c r="C1936" s="472" t="s">
        <v>361</v>
      </c>
      <c r="D1936" s="456">
        <f>IF(Table10[[#This Row],[Current Age]]&gt;19,"Men's",IF(E1936&gt;15,"U19",IF(E1936&gt;13,"U15",IF(E1936&gt;11,"U13",IF(E1936&gt;0,"U11",0)))))</f>
        <v>0</v>
      </c>
      <c r="E1936" s="456">
        <f>IFERROR(IF(Table10[[#This Row],[Year]]&gt;0,$E$1-Table10[[#This Row],[Year]],0),"")</f>
        <v>0</v>
      </c>
      <c r="F1936" s="456"/>
      <c r="G1936" s="456"/>
      <c r="H1936" s="456"/>
    </row>
    <row r="1937" spans="1:8">
      <c r="A1937" s="456">
        <v>2934</v>
      </c>
      <c r="B1937" s="469" t="s">
        <v>2862</v>
      </c>
      <c r="C1937" s="458" t="s">
        <v>2857</v>
      </c>
      <c r="D1937" s="456">
        <f>IF(Table10[[#This Row],[Current Age]]&gt;19,"Men's",IF(E1937&gt;15,"U19",IF(E1937&gt;13,"U15",IF(E1937&gt;11,"U13",IF(E1937&gt;0,"U11",0)))))</f>
        <v>0</v>
      </c>
      <c r="E1937" s="456">
        <f>IFERROR(IF(Table10[[#This Row],[Year]]&gt;0,$E$1-Table10[[#This Row],[Year]],0),"")</f>
        <v>0</v>
      </c>
      <c r="F1937" s="456"/>
      <c r="G1937" s="456"/>
      <c r="H1937" s="456"/>
    </row>
    <row r="1938" spans="1:8">
      <c r="A1938" s="471">
        <v>2935</v>
      </c>
      <c r="B1938" s="493" t="s">
        <v>2863</v>
      </c>
      <c r="C1938" s="472" t="s">
        <v>2857</v>
      </c>
      <c r="D1938" s="456">
        <f>IF(Table10[[#This Row],[Current Age]]&gt;19,"Men's",IF(E1938&gt;15,"U19",IF(E1938&gt;13,"U15",IF(E1938&gt;11,"U13",IF(E1938&gt;0,"U11",0)))))</f>
        <v>0</v>
      </c>
      <c r="E1938" s="456">
        <f>IFERROR(IF(Table10[[#This Row],[Year]]&gt;0,$E$1-Table10[[#This Row],[Year]],0),"")</f>
        <v>0</v>
      </c>
      <c r="F1938" s="456"/>
      <c r="G1938" s="456"/>
      <c r="H1938" s="456"/>
    </row>
    <row r="1939" spans="1:8">
      <c r="A1939" s="456">
        <v>2936</v>
      </c>
      <c r="B1939" s="469" t="s">
        <v>2864</v>
      </c>
      <c r="C1939" s="458" t="s">
        <v>2857</v>
      </c>
      <c r="D1939" s="456">
        <f>IF(Table10[[#This Row],[Current Age]]&gt;19,"Men's",IF(E1939&gt;15,"U19",IF(E1939&gt;13,"U15",IF(E1939&gt;11,"U13",IF(E1939&gt;0,"U11",0)))))</f>
        <v>0</v>
      </c>
      <c r="E1939" s="456">
        <f>IFERROR(IF(Table10[[#This Row],[Year]]&gt;0,$E$1-Table10[[#This Row],[Year]],0),"")</f>
        <v>0</v>
      </c>
      <c r="F1939" s="456"/>
      <c r="G1939" s="456"/>
      <c r="H1939" s="456"/>
    </row>
    <row r="1940" spans="1:8">
      <c r="A1940" s="471">
        <v>2937</v>
      </c>
      <c r="B1940" s="493"/>
      <c r="C1940" s="472"/>
      <c r="D1940" s="456">
        <f>IF(Table10[[#This Row],[Current Age]]&gt;19,"Men's",IF(E1940&gt;15,"U19",IF(E1940&gt;13,"U15",IF(E1940&gt;11,"U13",IF(E1940&gt;0,"U11",0)))))</f>
        <v>0</v>
      </c>
      <c r="E1940" s="456">
        <f>IFERROR(IF(Table10[[#This Row],[Year]]&gt;0,$E$1-Table10[[#This Row],[Year]],0),"")</f>
        <v>0</v>
      </c>
      <c r="F1940" s="456"/>
      <c r="G1940" s="456"/>
      <c r="H1940" s="456"/>
    </row>
    <row r="1941" spans="1:8">
      <c r="A1941" s="456">
        <v>2938</v>
      </c>
      <c r="B1941" s="469" t="s">
        <v>2865</v>
      </c>
      <c r="C1941" s="458" t="s">
        <v>2857</v>
      </c>
      <c r="D1941" s="456">
        <f>IF(Table10[[#This Row],[Current Age]]&gt;19,"Men's",IF(E1941&gt;15,"U19",IF(E1941&gt;13,"U15",IF(E1941&gt;11,"U13",IF(E1941&gt;0,"U11",0)))))</f>
        <v>0</v>
      </c>
      <c r="E1941" s="456">
        <f>IFERROR(IF(Table10[[#This Row],[Year]]&gt;0,$E$1-Table10[[#This Row],[Year]],0),"")</f>
        <v>0</v>
      </c>
      <c r="F1941" s="456"/>
      <c r="G1941" s="456"/>
      <c r="H1941" s="456"/>
    </row>
    <row r="1942" spans="1:8">
      <c r="A1942" s="471">
        <v>2939</v>
      </c>
      <c r="B1942" s="493" t="s">
        <v>3170</v>
      </c>
      <c r="C1942" s="472" t="s">
        <v>361</v>
      </c>
      <c r="D1942" s="456">
        <f>IF(Table10[[#This Row],[Current Age]]&gt;19,"Men's",IF(E1942&gt;15,"U19",IF(E1942&gt;13,"U15",IF(E1942&gt;11,"U13",IF(E1942&gt;0,"U11",0)))))</f>
        <v>0</v>
      </c>
      <c r="E1942" s="456">
        <f>IFERROR(IF(Table10[[#This Row],[Year]]&gt;0,$E$1-Table10[[#This Row],[Year]],0),"")</f>
        <v>0</v>
      </c>
      <c r="F1942" s="456"/>
      <c r="G1942" s="456"/>
      <c r="H1942" s="456"/>
    </row>
    <row r="1943" spans="1:8">
      <c r="A1943" s="456">
        <v>2940</v>
      </c>
      <c r="B1943" s="469" t="s">
        <v>2867</v>
      </c>
      <c r="C1943" s="458" t="s">
        <v>2857</v>
      </c>
      <c r="D1943" s="456">
        <f>IF(Table10[[#This Row],[Current Age]]&gt;19,"Men's",IF(E1943&gt;15,"U19",IF(E1943&gt;13,"U15",IF(E1943&gt;11,"U13",IF(E1943&gt;0,"U11",0)))))</f>
        <v>0</v>
      </c>
      <c r="E1943" s="456">
        <f>IFERROR(IF(Table10[[#This Row],[Year]]&gt;0,$E$1-Table10[[#This Row],[Year]],0),"")</f>
        <v>0</v>
      </c>
      <c r="F1943" s="456"/>
      <c r="G1943" s="456"/>
      <c r="H1943" s="456"/>
    </row>
    <row r="1944" spans="1:8">
      <c r="A1944" s="471">
        <v>2941</v>
      </c>
      <c r="B1944" s="493" t="s">
        <v>3171</v>
      </c>
      <c r="C1944" s="472" t="s">
        <v>361</v>
      </c>
      <c r="D1944" s="456">
        <f>IF(Table10[[#This Row],[Current Age]]&gt;19,"Men's",IF(E1944&gt;15,"U19",IF(E1944&gt;13,"U15",IF(E1944&gt;11,"U13",IF(E1944&gt;0,"U11",0)))))</f>
        <v>0</v>
      </c>
      <c r="E1944" s="456">
        <f>IFERROR(IF(Table10[[#This Row],[Year]]&gt;0,$E$1-Table10[[#This Row],[Year]],0),"")</f>
        <v>0</v>
      </c>
      <c r="F1944" s="456"/>
      <c r="G1944" s="456"/>
      <c r="H1944" s="456"/>
    </row>
    <row r="1945" spans="1:8">
      <c r="A1945" s="456">
        <v>2942</v>
      </c>
      <c r="B1945" s="469" t="s">
        <v>2869</v>
      </c>
      <c r="C1945" s="458" t="s">
        <v>2857</v>
      </c>
      <c r="D1945" s="456">
        <f>IF(Table10[[#This Row],[Current Age]]&gt;19,"Men's",IF(E1945&gt;15,"U19",IF(E1945&gt;13,"U15",IF(E1945&gt;11,"U13",IF(E1945&gt;0,"U11",0)))))</f>
        <v>0</v>
      </c>
      <c r="E1945" s="456">
        <f>IFERROR(IF(Table10[[#This Row],[Year]]&gt;0,$E$1-Table10[[#This Row],[Year]],0),"")</f>
        <v>0</v>
      </c>
      <c r="F1945" s="456"/>
      <c r="G1945" s="456"/>
      <c r="H1945" s="456"/>
    </row>
    <row r="1946" spans="1:8">
      <c r="A1946" s="471">
        <v>2943</v>
      </c>
      <c r="B1946" s="493" t="s">
        <v>2870</v>
      </c>
      <c r="C1946" s="472" t="s">
        <v>244</v>
      </c>
      <c r="D1946" s="456">
        <f>IF(Table10[[#This Row],[Current Age]]&gt;19,"Men's",IF(E1946&gt;15,"U19",IF(E1946&gt;13,"U15",IF(E1946&gt;11,"U13",IF(E1946&gt;0,"U11",0)))))</f>
        <v>0</v>
      </c>
      <c r="E1946" s="456">
        <f>IFERROR(IF(Table10[[#This Row],[Year]]&gt;0,$E$1-Table10[[#This Row],[Year]],0),"")</f>
        <v>0</v>
      </c>
      <c r="F1946" s="456"/>
      <c r="G1946" s="456"/>
      <c r="H1946" s="456"/>
    </row>
    <row r="1947" spans="1:8">
      <c r="A1947" s="456">
        <v>2944</v>
      </c>
      <c r="B1947" s="469" t="s">
        <v>4718</v>
      </c>
      <c r="C1947" s="458" t="s">
        <v>362</v>
      </c>
      <c r="D1947" s="456" t="str">
        <f>IF(Table10[[#This Row],[Current Age]]&gt;19,"Men's",IF(E1947&gt;15,"U19",IF(E1947&gt;13,"U15",IF(E1947&gt;11,"U13",IF(E1947&gt;0,"U11",0)))))</f>
        <v>U19</v>
      </c>
      <c r="E1947" s="456">
        <f>IFERROR(IF(Table10[[#This Row],[Year]]&gt;0,$E$1-Table10[[#This Row],[Year]],0),"")</f>
        <v>19</v>
      </c>
      <c r="F1947" s="456">
        <v>2006</v>
      </c>
      <c r="G1947" s="456">
        <v>4</v>
      </c>
      <c r="H1947" s="456">
        <v>24</v>
      </c>
    </row>
    <row r="1948" spans="1:8">
      <c r="A1948" s="471">
        <v>2945</v>
      </c>
      <c r="B1948" s="493" t="s">
        <v>2875</v>
      </c>
      <c r="C1948" s="472" t="s">
        <v>362</v>
      </c>
      <c r="D1948" s="456" t="str">
        <f>IF(Table10[[#This Row],[Current Age]]&gt;19,"Men's",IF(E1948&gt;15,"U19",IF(E1948&gt;13,"U15",IF(E1948&gt;11,"U13",IF(E1948&gt;0,"U11",0)))))</f>
        <v>U19</v>
      </c>
      <c r="E1948" s="456">
        <f>IFERROR(IF(Table10[[#This Row],[Year]]&gt;0,$E$1-Table10[[#This Row],[Year]],0),"")</f>
        <v>19</v>
      </c>
      <c r="F1948" s="456">
        <v>2006</v>
      </c>
      <c r="G1948" s="456">
        <v>5</v>
      </c>
      <c r="H1948" s="456">
        <v>23</v>
      </c>
    </row>
    <row r="1949" spans="1:8">
      <c r="A1949" s="456">
        <v>2946</v>
      </c>
      <c r="B1949" s="469" t="s">
        <v>2876</v>
      </c>
      <c r="C1949" s="458" t="s">
        <v>362</v>
      </c>
      <c r="D1949" s="456" t="str">
        <f>IF(Table10[[#This Row],[Current Age]]&gt;19,"Men's",IF(E1949&gt;15,"U19",IF(E1949&gt;13,"U15",IF(E1949&gt;11,"U13",IF(E1949&gt;0,"U11",0)))))</f>
        <v>Men's</v>
      </c>
      <c r="E1949" s="456">
        <f>IFERROR(IF(Table10[[#This Row],[Year]]&gt;0,$E$1-Table10[[#This Row],[Year]],0),"")</f>
        <v>20</v>
      </c>
      <c r="F1949" s="456">
        <v>2005</v>
      </c>
      <c r="G1949" s="456">
        <v>3</v>
      </c>
      <c r="H1949" s="456">
        <v>1</v>
      </c>
    </row>
    <row r="1950" spans="1:8">
      <c r="A1950" s="471">
        <v>2947</v>
      </c>
      <c r="B1950" s="493" t="s">
        <v>3127</v>
      </c>
      <c r="C1950" s="472" t="s">
        <v>362</v>
      </c>
      <c r="D1950" s="456" t="str">
        <f>IF(Table10[[#This Row],[Current Age]]&gt;19,"Men's",IF(E1950&gt;15,"U19",IF(E1950&gt;13,"U15",IF(E1950&gt;11,"U13",IF(E1950&gt;0,"U11",0)))))</f>
        <v>Men's</v>
      </c>
      <c r="E1950" s="456">
        <f>IFERROR(IF(Table10[[#This Row],[Year]]&gt;0,$E$1-Table10[[#This Row],[Year]],0),"")</f>
        <v>21</v>
      </c>
      <c r="F1950" s="456">
        <v>2004</v>
      </c>
      <c r="G1950" s="456">
        <v>11</v>
      </c>
      <c r="H1950" s="456">
        <v>18</v>
      </c>
    </row>
    <row r="1951" spans="1:8">
      <c r="A1951" s="456">
        <v>2948</v>
      </c>
      <c r="B1951" s="469" t="s">
        <v>2877</v>
      </c>
      <c r="C1951" s="458" t="s">
        <v>362</v>
      </c>
      <c r="D1951" s="456" t="str">
        <f>IF(Table10[[#This Row],[Current Age]]&gt;19,"Men's",IF(E1951&gt;15,"U19",IF(E1951&gt;13,"U15",IF(E1951&gt;11,"U13",IF(E1951&gt;0,"U11",0)))))</f>
        <v>Men's</v>
      </c>
      <c r="E1951" s="456">
        <f>IFERROR(IF(Table10[[#This Row],[Year]]&gt;0,$E$1-Table10[[#This Row],[Year]],0),"")</f>
        <v>22</v>
      </c>
      <c r="F1951" s="456">
        <v>2003</v>
      </c>
      <c r="G1951" s="456">
        <v>12</v>
      </c>
      <c r="H1951" s="456">
        <v>1</v>
      </c>
    </row>
    <row r="1952" spans="1:8">
      <c r="A1952" s="471">
        <v>2949</v>
      </c>
      <c r="B1952" s="493" t="s">
        <v>2878</v>
      </c>
      <c r="C1952" s="472" t="s">
        <v>362</v>
      </c>
      <c r="D1952" s="456" t="str">
        <f>IF(Table10[[#This Row],[Current Age]]&gt;19,"Men's",IF(E1952&gt;15,"U19",IF(E1952&gt;13,"U15",IF(E1952&gt;11,"U13",IF(E1952&gt;0,"U11",0)))))</f>
        <v>Men's</v>
      </c>
      <c r="E1952" s="456">
        <f>IFERROR(IF(Table10[[#This Row],[Year]]&gt;0,$E$1-Table10[[#This Row],[Year]],0),"")</f>
        <v>23</v>
      </c>
      <c r="F1952" s="456">
        <v>2002</v>
      </c>
      <c r="G1952" s="456">
        <v>5</v>
      </c>
      <c r="H1952" s="456">
        <v>9</v>
      </c>
    </row>
    <row r="1953" spans="1:8">
      <c r="A1953" s="456">
        <v>2950</v>
      </c>
      <c r="B1953" s="469" t="s">
        <v>2879</v>
      </c>
      <c r="C1953" s="458" t="s">
        <v>362</v>
      </c>
      <c r="D1953" s="456" t="str">
        <f>IF(Table10[[#This Row],[Current Age]]&gt;19,"Men's",IF(E1953&gt;15,"U19",IF(E1953&gt;13,"U15",IF(E1953&gt;11,"U13",IF(E1953&gt;0,"U11",0)))))</f>
        <v>Men's</v>
      </c>
      <c r="E1953" s="456">
        <f>IFERROR(IF(Table10[[#This Row],[Year]]&gt;0,$E$1-Table10[[#This Row],[Year]],0),"")</f>
        <v>23</v>
      </c>
      <c r="F1953" s="456">
        <v>2002</v>
      </c>
      <c r="G1953" s="456">
        <v>1</v>
      </c>
      <c r="H1953" s="456">
        <v>18</v>
      </c>
    </row>
    <row r="1954" spans="1:8">
      <c r="A1954" s="471">
        <v>2951</v>
      </c>
      <c r="B1954" s="493" t="s">
        <v>2880</v>
      </c>
      <c r="C1954" s="472" t="s">
        <v>362</v>
      </c>
      <c r="D1954" s="456">
        <f>IF(Table10[[#This Row],[Current Age]]&gt;19,"Men's",IF(E1954&gt;15,"U19",IF(E1954&gt;13,"U15",IF(E1954&gt;11,"U13",IF(E1954&gt;0,"U11",0)))))</f>
        <v>0</v>
      </c>
      <c r="E1954" s="456">
        <f>IFERROR(IF(Table10[[#This Row],[Year]]&gt;0,$E$1-Table10[[#This Row],[Year]],0),"")</f>
        <v>0</v>
      </c>
      <c r="F1954" s="456"/>
      <c r="G1954" s="456"/>
      <c r="H1954" s="456"/>
    </row>
    <row r="1955" spans="1:8">
      <c r="A1955" s="456">
        <v>2952</v>
      </c>
      <c r="B1955" s="469" t="s">
        <v>2881</v>
      </c>
      <c r="C1955" s="458" t="s">
        <v>362</v>
      </c>
      <c r="D1955" s="456">
        <f>IF(Table10[[#This Row],[Current Age]]&gt;19,"Men's",IF(E1955&gt;15,"U19",IF(E1955&gt;13,"U15",IF(E1955&gt;11,"U13",IF(E1955&gt;0,"U11",0)))))</f>
        <v>0</v>
      </c>
      <c r="E1955" s="456">
        <f>IFERROR(IF(Table10[[#This Row],[Year]]&gt;0,$E$1-Table10[[#This Row],[Year]],0),"")</f>
        <v>0</v>
      </c>
      <c r="F1955" s="456"/>
      <c r="G1955" s="456"/>
      <c r="H1955" s="456"/>
    </row>
    <row r="1956" spans="1:8">
      <c r="A1956" s="471">
        <v>2953</v>
      </c>
      <c r="B1956" s="493" t="s">
        <v>2882</v>
      </c>
      <c r="C1956" s="472" t="s">
        <v>362</v>
      </c>
      <c r="D1956" s="456">
        <f>IF(Table10[[#This Row],[Current Age]]&gt;19,"Men's",IF(E1956&gt;15,"U19",IF(E1956&gt;13,"U15",IF(E1956&gt;11,"U13",IF(E1956&gt;0,"U11",0)))))</f>
        <v>0</v>
      </c>
      <c r="E1956" s="456">
        <f>IFERROR(IF(Table10[[#This Row],[Year]]&gt;0,$E$1-Table10[[#This Row],[Year]],0),"")</f>
        <v>0</v>
      </c>
      <c r="F1956" s="456"/>
      <c r="G1956" s="456"/>
      <c r="H1956" s="456"/>
    </row>
    <row r="1957" spans="1:8">
      <c r="A1957" s="456">
        <v>2954</v>
      </c>
      <c r="B1957" s="469" t="s">
        <v>2883</v>
      </c>
      <c r="C1957" s="458" t="s">
        <v>362</v>
      </c>
      <c r="D1957" s="456">
        <f>IF(Table10[[#This Row],[Current Age]]&gt;19,"Men's",IF(E1957&gt;15,"U19",IF(E1957&gt;13,"U15",IF(E1957&gt;11,"U13",IF(E1957&gt;0,"U11",0)))))</f>
        <v>0</v>
      </c>
      <c r="E1957" s="456">
        <f>IFERROR(IF(Table10[[#This Row],[Year]]&gt;0,$E$1-Table10[[#This Row],[Year]],0),"")</f>
        <v>0</v>
      </c>
      <c r="F1957" s="456"/>
      <c r="G1957" s="456"/>
      <c r="H1957" s="456"/>
    </row>
    <row r="1958" spans="1:8">
      <c r="A1958" s="471">
        <v>2955</v>
      </c>
      <c r="B1958" s="493" t="s">
        <v>4679</v>
      </c>
      <c r="C1958" s="472" t="s">
        <v>251</v>
      </c>
      <c r="D1958" s="456" t="str">
        <f>IF(Table10[[#This Row],[Current Age]]&gt;19,"Men's",IF(E1958&gt;15,"U19",IF(E1958&gt;13,"U15",IF(E1958&gt;11,"U13",IF(E1958&gt;0,"U11",0)))))</f>
        <v>U15</v>
      </c>
      <c r="E1958" s="456">
        <f>IFERROR(IF(Table10[[#This Row],[Year]]&gt;0,$E$1-Table10[[#This Row],[Year]],0),"")</f>
        <v>14</v>
      </c>
      <c r="F1958" s="456">
        <v>2011</v>
      </c>
      <c r="G1958" s="456">
        <v>6</v>
      </c>
      <c r="H1958" s="456">
        <v>28</v>
      </c>
    </row>
    <row r="1959" spans="1:8">
      <c r="A1959" s="456">
        <v>2956</v>
      </c>
      <c r="B1959" s="469" t="s">
        <v>3291</v>
      </c>
      <c r="C1959" s="458" t="s">
        <v>250</v>
      </c>
      <c r="D1959" s="456">
        <f>IF(Table10[[#This Row],[Current Age]]&gt;19,"Men's",IF(E1959&gt;15,"U19",IF(E1959&gt;13,"U15",IF(E1959&gt;11,"U13",IF(E1959&gt;0,"U11",0)))))</f>
        <v>0</v>
      </c>
      <c r="E1959" s="456">
        <f>IFERROR(IF(Table10[[#This Row],[Year]]&gt;0,$E$1-Table10[[#This Row],[Year]],0),"")</f>
        <v>0</v>
      </c>
      <c r="F1959" s="456"/>
      <c r="G1959" s="456"/>
      <c r="H1959" s="456"/>
    </row>
    <row r="1960" spans="1:8">
      <c r="A1960" s="471">
        <v>2957</v>
      </c>
      <c r="B1960" s="493" t="s">
        <v>2885</v>
      </c>
      <c r="C1960" s="472" t="s">
        <v>250</v>
      </c>
      <c r="D1960" s="456">
        <f>IF(Table10[[#This Row],[Current Age]]&gt;19,"Men's",IF(E1960&gt;15,"U19",IF(E1960&gt;13,"U15",IF(E1960&gt;11,"U13",IF(E1960&gt;0,"U11",0)))))</f>
        <v>0</v>
      </c>
      <c r="E1960" s="456">
        <f>IFERROR(IF(Table10[[#This Row],[Year]]&gt;0,$E$1-Table10[[#This Row],[Year]],0),"")</f>
        <v>0</v>
      </c>
      <c r="F1960" s="456"/>
      <c r="G1960" s="456"/>
      <c r="H1960" s="456"/>
    </row>
    <row r="1961" spans="1:8">
      <c r="A1961" s="456">
        <v>2958</v>
      </c>
      <c r="B1961" s="469" t="s">
        <v>2886</v>
      </c>
      <c r="C1961" s="458" t="s">
        <v>250</v>
      </c>
      <c r="D1961" s="456">
        <f>IF(Table10[[#This Row],[Current Age]]&gt;19,"Men's",IF(E1961&gt;15,"U19",IF(E1961&gt;13,"U15",IF(E1961&gt;11,"U13",IF(E1961&gt;0,"U11",0)))))</f>
        <v>0</v>
      </c>
      <c r="E1961" s="456">
        <f>IFERROR(IF(Table10[[#This Row],[Year]]&gt;0,$E$1-Table10[[#This Row],[Year]],0),"")</f>
        <v>0</v>
      </c>
      <c r="F1961" s="456"/>
      <c r="G1961" s="456"/>
      <c r="H1961" s="456"/>
    </row>
    <row r="1962" spans="1:8">
      <c r="A1962" s="471">
        <v>2959</v>
      </c>
      <c r="B1962" s="493" t="s">
        <v>2887</v>
      </c>
      <c r="C1962" s="472" t="s">
        <v>250</v>
      </c>
      <c r="D1962" s="456">
        <f>IF(Table10[[#This Row],[Current Age]]&gt;19,"Men's",IF(E1962&gt;15,"U19",IF(E1962&gt;13,"U15",IF(E1962&gt;11,"U13",IF(E1962&gt;0,"U11",0)))))</f>
        <v>0</v>
      </c>
      <c r="E1962" s="456">
        <f>IFERROR(IF(Table10[[#This Row],[Year]]&gt;0,$E$1-Table10[[#This Row],[Year]],0),"")</f>
        <v>0</v>
      </c>
      <c r="F1962" s="456"/>
      <c r="G1962" s="456"/>
      <c r="H1962" s="456"/>
    </row>
    <row r="1963" spans="1:8">
      <c r="A1963" s="456">
        <v>2960</v>
      </c>
      <c r="B1963" s="469" t="s">
        <v>2897</v>
      </c>
      <c r="C1963" s="458" t="s">
        <v>762</v>
      </c>
      <c r="D1963" s="456">
        <f>IF(Table10[[#This Row],[Current Age]]&gt;19,"Men's",IF(E1963&gt;15,"U19",IF(E1963&gt;13,"U15",IF(E1963&gt;11,"U13",IF(E1963&gt;0,"U11",0)))))</f>
        <v>0</v>
      </c>
      <c r="E1963" s="456">
        <f>IFERROR(IF(Table10[[#This Row],[Year]]&gt;0,$E$1-Table10[[#This Row],[Year]],0),"")</f>
        <v>0</v>
      </c>
      <c r="F1963" s="456"/>
      <c r="G1963" s="456"/>
      <c r="H1963" s="456"/>
    </row>
    <row r="1964" spans="1:8">
      <c r="A1964" s="471">
        <v>2961</v>
      </c>
      <c r="B1964" s="493" t="s">
        <v>2898</v>
      </c>
      <c r="C1964" s="472" t="s">
        <v>762</v>
      </c>
      <c r="D1964" s="456">
        <f>IF(Table10[[#This Row],[Current Age]]&gt;19,"Men's",IF(E1964&gt;15,"U19",IF(E1964&gt;13,"U15",IF(E1964&gt;11,"U13",IF(E1964&gt;0,"U11",0)))))</f>
        <v>0</v>
      </c>
      <c r="E1964" s="456">
        <f>IFERROR(IF(Table10[[#This Row],[Year]]&gt;0,$E$1-Table10[[#This Row],[Year]],0),"")</f>
        <v>0</v>
      </c>
      <c r="F1964" s="456"/>
      <c r="G1964" s="456"/>
      <c r="H1964" s="456"/>
    </row>
    <row r="1965" spans="1:8">
      <c r="A1965" s="456">
        <v>2962</v>
      </c>
      <c r="B1965" s="469" t="s">
        <v>2899</v>
      </c>
      <c r="C1965" s="458" t="s">
        <v>251</v>
      </c>
      <c r="D1965" s="456">
        <f>IF(Table10[[#This Row],[Current Age]]&gt;19,"Men's",IF(E1965&gt;15,"U19",IF(E1965&gt;13,"U15",IF(E1965&gt;11,"U13",IF(E1965&gt;0,"U11",0)))))</f>
        <v>0</v>
      </c>
      <c r="E1965" s="456">
        <f>IFERROR(IF(Table10[[#This Row],[Year]]&gt;0,$E$1-Table10[[#This Row],[Year]],0),"")</f>
        <v>0</v>
      </c>
      <c r="F1965" s="456"/>
      <c r="G1965" s="456"/>
      <c r="H1965" s="456"/>
    </row>
    <row r="1966" spans="1:8">
      <c r="A1966" s="471">
        <v>2963</v>
      </c>
      <c r="B1966" s="493" t="s">
        <v>2900</v>
      </c>
      <c r="C1966" s="472" t="s">
        <v>251</v>
      </c>
      <c r="D1966" s="456">
        <f>IF(Table10[[#This Row],[Current Age]]&gt;19,"Men's",IF(E1966&gt;15,"U19",IF(E1966&gt;13,"U15",IF(E1966&gt;11,"U13",IF(E1966&gt;0,"U11",0)))))</f>
        <v>0</v>
      </c>
      <c r="E1966" s="456">
        <f>IFERROR(IF(Table10[[#This Row],[Year]]&gt;0,$E$1-Table10[[#This Row],[Year]],0),"")</f>
        <v>0</v>
      </c>
      <c r="F1966" s="456"/>
      <c r="G1966" s="456"/>
      <c r="H1966" s="456"/>
    </row>
    <row r="1967" spans="1:8">
      <c r="A1967" s="456">
        <v>2964</v>
      </c>
      <c r="B1967" s="469" t="s">
        <v>2901</v>
      </c>
      <c r="C1967" s="458" t="s">
        <v>762</v>
      </c>
      <c r="D1967" s="456">
        <f>IF(Table10[[#This Row],[Current Age]]&gt;19,"Men's",IF(E1967&gt;15,"U19",IF(E1967&gt;13,"U15",IF(E1967&gt;11,"U13",IF(E1967&gt;0,"U11",0)))))</f>
        <v>0</v>
      </c>
      <c r="E1967" s="456">
        <f>IFERROR(IF(Table10[[#This Row],[Year]]&gt;0,$E$1-Table10[[#This Row],[Year]],0),"")</f>
        <v>0</v>
      </c>
      <c r="F1967" s="456"/>
      <c r="G1967" s="456"/>
      <c r="H1967" s="456"/>
    </row>
    <row r="1968" spans="1:8">
      <c r="A1968" s="471">
        <v>2965</v>
      </c>
      <c r="B1968" s="493" t="s">
        <v>2902</v>
      </c>
      <c r="C1968" s="472" t="s">
        <v>762</v>
      </c>
      <c r="D1968" s="456">
        <f>IF(Table10[[#This Row],[Current Age]]&gt;19,"Men's",IF(E1968&gt;15,"U19",IF(E1968&gt;13,"U15",IF(E1968&gt;11,"U13",IF(E1968&gt;0,"U11",0)))))</f>
        <v>0</v>
      </c>
      <c r="E1968" s="456">
        <f>IFERROR(IF(Table10[[#This Row],[Year]]&gt;0,$E$1-Table10[[#This Row],[Year]],0),"")</f>
        <v>0</v>
      </c>
      <c r="F1968" s="456"/>
      <c r="G1968" s="456"/>
      <c r="H1968" s="456"/>
    </row>
    <row r="1969" spans="1:8">
      <c r="A1969" s="456">
        <v>2966</v>
      </c>
      <c r="B1969" s="469" t="s">
        <v>2903</v>
      </c>
      <c r="C1969" s="458" t="s">
        <v>762</v>
      </c>
      <c r="D1969" s="456">
        <f>IF(Table10[[#This Row],[Current Age]]&gt;19,"Men's",IF(E1969&gt;15,"U19",IF(E1969&gt;13,"U15",IF(E1969&gt;11,"U13",IF(E1969&gt;0,"U11",0)))))</f>
        <v>0</v>
      </c>
      <c r="E1969" s="456">
        <f>IFERROR(IF(Table10[[#This Row],[Year]]&gt;0,$E$1-Table10[[#This Row],[Year]],0),"")</f>
        <v>0</v>
      </c>
      <c r="F1969" s="456"/>
      <c r="G1969" s="456"/>
      <c r="H1969" s="456"/>
    </row>
    <row r="1970" spans="1:8">
      <c r="A1970" s="471">
        <v>2967</v>
      </c>
      <c r="B1970" s="493" t="s">
        <v>2904</v>
      </c>
      <c r="C1970" s="472" t="s">
        <v>762</v>
      </c>
      <c r="D1970" s="456">
        <f>IF(Table10[[#This Row],[Current Age]]&gt;19,"Men's",IF(E1970&gt;15,"U19",IF(E1970&gt;13,"U15",IF(E1970&gt;11,"U13",IF(E1970&gt;0,"U11",0)))))</f>
        <v>0</v>
      </c>
      <c r="E1970" s="456">
        <f>IFERROR(IF(Table10[[#This Row],[Year]]&gt;0,$E$1-Table10[[#This Row],[Year]],0),"")</f>
        <v>0</v>
      </c>
      <c r="F1970" s="456"/>
      <c r="G1970" s="456"/>
      <c r="H1970" s="456"/>
    </row>
    <row r="1971" spans="1:8">
      <c r="A1971" s="456">
        <v>2968</v>
      </c>
      <c r="B1971" s="469" t="s">
        <v>2905</v>
      </c>
      <c r="C1971" s="458" t="s">
        <v>762</v>
      </c>
      <c r="D1971" s="456">
        <f>IF(Table10[[#This Row],[Current Age]]&gt;19,"Men's",IF(E1971&gt;15,"U19",IF(E1971&gt;13,"U15",IF(E1971&gt;11,"U13",IF(E1971&gt;0,"U11",0)))))</f>
        <v>0</v>
      </c>
      <c r="E1971" s="456">
        <f>IFERROR(IF(Table10[[#This Row],[Year]]&gt;0,$E$1-Table10[[#This Row],[Year]],0),"")</f>
        <v>0</v>
      </c>
      <c r="F1971" s="456"/>
      <c r="G1971" s="456"/>
      <c r="H1971" s="456"/>
    </row>
    <row r="1972" spans="1:8">
      <c r="A1972" s="471">
        <v>2969</v>
      </c>
      <c r="B1972" s="493" t="s">
        <v>2906</v>
      </c>
      <c r="C1972" s="472" t="s">
        <v>762</v>
      </c>
      <c r="D1972" s="456">
        <f>IF(Table10[[#This Row],[Current Age]]&gt;19,"Men's",IF(E1972&gt;15,"U19",IF(E1972&gt;13,"U15",IF(E1972&gt;11,"U13",IF(E1972&gt;0,"U11",0)))))</f>
        <v>0</v>
      </c>
      <c r="E1972" s="456">
        <f>IFERROR(IF(Table10[[#This Row],[Year]]&gt;0,$E$1-Table10[[#This Row],[Year]],0),"")</f>
        <v>0</v>
      </c>
      <c r="F1972" s="456"/>
      <c r="G1972" s="456"/>
      <c r="H1972" s="456"/>
    </row>
    <row r="1973" spans="1:8">
      <c r="A1973" s="456">
        <v>2970</v>
      </c>
      <c r="B1973" s="469" t="s">
        <v>2907</v>
      </c>
      <c r="C1973" s="458" t="s">
        <v>762</v>
      </c>
      <c r="D1973" s="456">
        <f>IF(Table10[[#This Row],[Current Age]]&gt;19,"Men's",IF(E1973&gt;15,"U19",IF(E1973&gt;13,"U15",IF(E1973&gt;11,"U13",IF(E1973&gt;0,"U11",0)))))</f>
        <v>0</v>
      </c>
      <c r="E1973" s="456">
        <f>IFERROR(IF(Table10[[#This Row],[Year]]&gt;0,$E$1-Table10[[#This Row],[Year]],0),"")</f>
        <v>0</v>
      </c>
      <c r="F1973" s="456"/>
      <c r="G1973" s="456"/>
      <c r="H1973" s="456"/>
    </row>
    <row r="1974" spans="1:8">
      <c r="A1974" s="471">
        <v>2971</v>
      </c>
      <c r="B1974" s="493" t="s">
        <v>2915</v>
      </c>
      <c r="C1974" s="472" t="s">
        <v>762</v>
      </c>
      <c r="D1974" s="456">
        <f>IF(Table10[[#This Row],[Current Age]]&gt;19,"Men's",IF(E1974&gt;15,"U19",IF(E1974&gt;13,"U15",IF(E1974&gt;11,"U13",IF(E1974&gt;0,"U11",0)))))</f>
        <v>0</v>
      </c>
      <c r="E1974" s="456">
        <f>IFERROR(IF(Table10[[#This Row],[Year]]&gt;0,$E$1-Table10[[#This Row],[Year]],0),"")</f>
        <v>0</v>
      </c>
      <c r="F1974" s="456"/>
      <c r="G1974" s="456"/>
      <c r="H1974" s="456"/>
    </row>
    <row r="1975" spans="1:8">
      <c r="A1975" s="456">
        <v>2972</v>
      </c>
      <c r="B1975" s="469" t="s">
        <v>2916</v>
      </c>
      <c r="C1975" s="458" t="s">
        <v>762</v>
      </c>
      <c r="D1975" s="456">
        <f>IF(Table10[[#This Row],[Current Age]]&gt;19,"Men's",IF(E1975&gt;15,"U19",IF(E1975&gt;13,"U15",IF(E1975&gt;11,"U13",IF(E1975&gt;0,"U11",0)))))</f>
        <v>0</v>
      </c>
      <c r="E1975" s="456">
        <f>IFERROR(IF(Table10[[#This Row],[Year]]&gt;0,$E$1-Table10[[#This Row],[Year]],0),"")</f>
        <v>0</v>
      </c>
      <c r="F1975" s="456"/>
      <c r="G1975" s="456"/>
      <c r="H1975" s="456"/>
    </row>
    <row r="1976" spans="1:8">
      <c r="A1976" s="471">
        <v>2973</v>
      </c>
      <c r="B1976" s="493" t="s">
        <v>2917</v>
      </c>
      <c r="C1976" s="472" t="s">
        <v>762</v>
      </c>
      <c r="D1976" s="456" t="str">
        <f>IF(Table10[[#This Row],[Current Age]]&gt;19,"Men's",IF(E1976&gt;15,"U19",IF(E1976&gt;13,"U15",IF(E1976&gt;11,"U13",IF(E1976&gt;0,"U11",0)))))</f>
        <v>Men's</v>
      </c>
      <c r="E1976" s="456">
        <f>IFERROR(IF(Table10[[#This Row],[Year]]&gt;0,$E$1-Table10[[#This Row],[Year]],0),"")</f>
        <v>21</v>
      </c>
      <c r="F1976" s="456">
        <v>2004</v>
      </c>
      <c r="G1976" s="456">
        <v>4</v>
      </c>
      <c r="H1976" s="456">
        <v>4</v>
      </c>
    </row>
    <row r="1977" spans="1:8">
      <c r="A1977" s="456">
        <v>2974</v>
      </c>
      <c r="B1977" s="469" t="s">
        <v>2918</v>
      </c>
      <c r="C1977" s="458" t="s">
        <v>762</v>
      </c>
      <c r="D1977" s="456">
        <f>IF(Table10[[#This Row],[Current Age]]&gt;19,"Men's",IF(E1977&gt;15,"U19",IF(E1977&gt;13,"U15",IF(E1977&gt;11,"U13",IF(E1977&gt;0,"U11",0)))))</f>
        <v>0</v>
      </c>
      <c r="E1977" s="456">
        <f>IFERROR(IF(Table10[[#This Row],[Year]]&gt;0,$E$1-Table10[[#This Row],[Year]],0),"")</f>
        <v>0</v>
      </c>
      <c r="F1977" s="456"/>
      <c r="G1977" s="456"/>
      <c r="H1977" s="456"/>
    </row>
    <row r="1978" spans="1:8">
      <c r="A1978" s="471">
        <v>2975</v>
      </c>
      <c r="B1978" s="493" t="s">
        <v>2919</v>
      </c>
      <c r="C1978" s="472" t="s">
        <v>762</v>
      </c>
      <c r="D1978" s="456">
        <f>IF(Table10[[#This Row],[Current Age]]&gt;19,"Men's",IF(E1978&gt;15,"U19",IF(E1978&gt;13,"U15",IF(E1978&gt;11,"U13",IF(E1978&gt;0,"U11",0)))))</f>
        <v>0</v>
      </c>
      <c r="E1978" s="456">
        <f>IFERROR(IF(Table10[[#This Row],[Year]]&gt;0,$E$1-Table10[[#This Row],[Year]],0),"")</f>
        <v>0</v>
      </c>
      <c r="F1978" s="456"/>
      <c r="G1978" s="456"/>
      <c r="H1978" s="456"/>
    </row>
    <row r="1979" spans="1:8">
      <c r="A1979" s="456">
        <v>2976</v>
      </c>
      <c r="B1979" s="469" t="s">
        <v>2920</v>
      </c>
      <c r="C1979" s="458" t="s">
        <v>762</v>
      </c>
      <c r="D1979" s="456">
        <f>IF(Table10[[#This Row],[Current Age]]&gt;19,"Men's",IF(E1979&gt;15,"U19",IF(E1979&gt;13,"U15",IF(E1979&gt;11,"U13",IF(E1979&gt;0,"U11",0)))))</f>
        <v>0</v>
      </c>
      <c r="E1979" s="456">
        <f>IFERROR(IF(Table10[[#This Row],[Year]]&gt;0,$E$1-Table10[[#This Row],[Year]],0),"")</f>
        <v>0</v>
      </c>
      <c r="F1979" s="456"/>
      <c r="G1979" s="456"/>
      <c r="H1979" s="456"/>
    </row>
    <row r="1980" spans="1:8">
      <c r="A1980" s="471">
        <v>2977</v>
      </c>
      <c r="B1980" s="493" t="s">
        <v>2921</v>
      </c>
      <c r="C1980" s="472" t="s">
        <v>762</v>
      </c>
      <c r="D1980" s="456">
        <f>IF(Table10[[#This Row],[Current Age]]&gt;19,"Men's",IF(E1980&gt;15,"U19",IF(E1980&gt;13,"U15",IF(E1980&gt;11,"U13",IF(E1980&gt;0,"U11",0)))))</f>
        <v>0</v>
      </c>
      <c r="E1980" s="456">
        <f>IFERROR(IF(Table10[[#This Row],[Year]]&gt;0,$E$1-Table10[[#This Row],[Year]],0),"")</f>
        <v>0</v>
      </c>
      <c r="F1980" s="456"/>
      <c r="G1980" s="456"/>
      <c r="H1980" s="456"/>
    </row>
    <row r="1981" spans="1:8">
      <c r="A1981" s="456">
        <v>2978</v>
      </c>
      <c r="B1981" s="469" t="s">
        <v>2922</v>
      </c>
      <c r="C1981" s="458" t="s">
        <v>251</v>
      </c>
      <c r="D1981" s="456">
        <f>IF(Table10[[#This Row],[Current Age]]&gt;19,"Men's",IF(E1981&gt;15,"U19",IF(E1981&gt;13,"U15",IF(E1981&gt;11,"U13",IF(E1981&gt;0,"U11",0)))))</f>
        <v>0</v>
      </c>
      <c r="E1981" s="456">
        <f>IFERROR(IF(Table10[[#This Row],[Year]]&gt;0,$E$1-Table10[[#This Row],[Year]],0),"")</f>
        <v>0</v>
      </c>
      <c r="F1981" s="456"/>
      <c r="G1981" s="456"/>
      <c r="H1981" s="456"/>
    </row>
    <row r="1982" spans="1:8">
      <c r="A1982" s="471">
        <v>2979</v>
      </c>
      <c r="B1982" s="493" t="s">
        <v>2923</v>
      </c>
      <c r="C1982" s="472" t="s">
        <v>762</v>
      </c>
      <c r="D1982" s="456">
        <f>IF(Table10[[#This Row],[Current Age]]&gt;19,"Men's",IF(E1982&gt;15,"U19",IF(E1982&gt;13,"U15",IF(E1982&gt;11,"U13",IF(E1982&gt;0,"U11",0)))))</f>
        <v>0</v>
      </c>
      <c r="E1982" s="456">
        <f>IFERROR(IF(Table10[[#This Row],[Year]]&gt;0,$E$1-Table10[[#This Row],[Year]],0),"")</f>
        <v>0</v>
      </c>
      <c r="F1982" s="456"/>
      <c r="G1982" s="456"/>
      <c r="H1982" s="456"/>
    </row>
    <row r="1983" spans="1:8">
      <c r="A1983" s="456">
        <v>2980</v>
      </c>
      <c r="B1983" s="469" t="s">
        <v>2924</v>
      </c>
      <c r="C1983" s="458" t="s">
        <v>762</v>
      </c>
      <c r="D1983" s="456">
        <f>IF(Table10[[#This Row],[Current Age]]&gt;19,"Men's",IF(E1983&gt;15,"U19",IF(E1983&gt;13,"U15",IF(E1983&gt;11,"U13",IF(E1983&gt;0,"U11",0)))))</f>
        <v>0</v>
      </c>
      <c r="E1983" s="456">
        <f>IFERROR(IF(Table10[[#This Row],[Year]]&gt;0,$E$1-Table10[[#This Row],[Year]],0),"")</f>
        <v>0</v>
      </c>
      <c r="F1983" s="456"/>
      <c r="G1983" s="456"/>
      <c r="H1983" s="456"/>
    </row>
    <row r="1984" spans="1:8">
      <c r="A1984" s="471">
        <v>2981</v>
      </c>
      <c r="B1984" s="493" t="s">
        <v>2925</v>
      </c>
      <c r="C1984" s="472" t="s">
        <v>762</v>
      </c>
      <c r="D1984" s="456">
        <f>IF(Table10[[#This Row],[Current Age]]&gt;19,"Men's",IF(E1984&gt;15,"U19",IF(E1984&gt;13,"U15",IF(E1984&gt;11,"U13",IF(E1984&gt;0,"U11",0)))))</f>
        <v>0</v>
      </c>
      <c r="E1984" s="456">
        <f>IFERROR(IF(Table10[[#This Row],[Year]]&gt;0,$E$1-Table10[[#This Row],[Year]],0),"")</f>
        <v>0</v>
      </c>
      <c r="F1984" s="456"/>
      <c r="G1984" s="456"/>
      <c r="H1984" s="456"/>
    </row>
    <row r="1985" spans="1:8">
      <c r="A1985" s="456">
        <v>2982</v>
      </c>
      <c r="B1985" s="469" t="s">
        <v>2926</v>
      </c>
      <c r="C1985" s="458" t="s">
        <v>251</v>
      </c>
      <c r="D1985" s="456">
        <f>IF(Table10[[#This Row],[Current Age]]&gt;19,"Men's",IF(E1985&gt;15,"U19",IF(E1985&gt;13,"U15",IF(E1985&gt;11,"U13",IF(E1985&gt;0,"U11",0)))))</f>
        <v>0</v>
      </c>
      <c r="E1985" s="456">
        <f>IFERROR(IF(Table10[[#This Row],[Year]]&gt;0,$E$1-Table10[[#This Row],[Year]],0),"")</f>
        <v>0</v>
      </c>
      <c r="F1985" s="456"/>
      <c r="G1985" s="456"/>
      <c r="H1985" s="456"/>
    </row>
    <row r="1986" spans="1:8">
      <c r="A1986" s="471">
        <v>2983</v>
      </c>
      <c r="B1986" s="493" t="s">
        <v>2927</v>
      </c>
      <c r="C1986" s="472" t="s">
        <v>762</v>
      </c>
      <c r="D1986" s="456">
        <f>IF(Table10[[#This Row],[Current Age]]&gt;19,"Men's",IF(E1986&gt;15,"U19",IF(E1986&gt;13,"U15",IF(E1986&gt;11,"U13",IF(E1986&gt;0,"U11",0)))))</f>
        <v>0</v>
      </c>
      <c r="E1986" s="456">
        <f>IFERROR(IF(Table10[[#This Row],[Year]]&gt;0,$E$1-Table10[[#This Row],[Year]],0),"")</f>
        <v>0</v>
      </c>
      <c r="F1986" s="456"/>
      <c r="G1986" s="456"/>
      <c r="H1986" s="456"/>
    </row>
    <row r="1987" spans="1:8">
      <c r="A1987" s="456">
        <v>2984</v>
      </c>
      <c r="B1987" s="469" t="s">
        <v>2928</v>
      </c>
      <c r="C1987" s="458" t="s">
        <v>762</v>
      </c>
      <c r="D1987" s="456">
        <f>IF(Table10[[#This Row],[Current Age]]&gt;19,"Men's",IF(E1987&gt;15,"U19",IF(E1987&gt;13,"U15",IF(E1987&gt;11,"U13",IF(E1987&gt;0,"U11",0)))))</f>
        <v>0</v>
      </c>
      <c r="E1987" s="456">
        <f>IFERROR(IF(Table10[[#This Row],[Year]]&gt;0,$E$1-Table10[[#This Row],[Year]],0),"")</f>
        <v>0</v>
      </c>
      <c r="F1987" s="456"/>
      <c r="G1987" s="456"/>
      <c r="H1987" s="456"/>
    </row>
    <row r="1988" spans="1:8">
      <c r="A1988" s="471">
        <v>2985</v>
      </c>
      <c r="B1988" s="493" t="s">
        <v>2929</v>
      </c>
      <c r="C1988" s="472" t="s">
        <v>762</v>
      </c>
      <c r="D1988" s="456">
        <f>IF(Table10[[#This Row],[Current Age]]&gt;19,"Men's",IF(E1988&gt;15,"U19",IF(E1988&gt;13,"U15",IF(E1988&gt;11,"U13",IF(E1988&gt;0,"U11",0)))))</f>
        <v>0</v>
      </c>
      <c r="E1988" s="456">
        <f>IFERROR(IF(Table10[[#This Row],[Year]]&gt;0,$E$1-Table10[[#This Row],[Year]],0),"")</f>
        <v>0</v>
      </c>
      <c r="F1988" s="456"/>
      <c r="G1988" s="456"/>
      <c r="H1988" s="456"/>
    </row>
    <row r="1989" spans="1:8">
      <c r="A1989" s="456">
        <v>2986</v>
      </c>
      <c r="B1989" s="469" t="s">
        <v>2930</v>
      </c>
      <c r="C1989" s="458" t="s">
        <v>762</v>
      </c>
      <c r="D1989" s="456">
        <f>IF(Table10[[#This Row],[Current Age]]&gt;19,"Men's",IF(E1989&gt;15,"U19",IF(E1989&gt;13,"U15",IF(E1989&gt;11,"U13",IF(E1989&gt;0,"U11",0)))))</f>
        <v>0</v>
      </c>
      <c r="E1989" s="456">
        <f>IFERROR(IF(Table10[[#This Row],[Year]]&gt;0,$E$1-Table10[[#This Row],[Year]],0),"")</f>
        <v>0</v>
      </c>
      <c r="F1989" s="456"/>
      <c r="G1989" s="456"/>
      <c r="H1989" s="456"/>
    </row>
    <row r="1990" spans="1:8">
      <c r="A1990" s="471">
        <v>2987</v>
      </c>
      <c r="B1990" s="493" t="s">
        <v>2931</v>
      </c>
      <c r="C1990" s="472" t="s">
        <v>762</v>
      </c>
      <c r="D1990" s="456">
        <f>IF(Table10[[#This Row],[Current Age]]&gt;19,"Men's",IF(E1990&gt;15,"U19",IF(E1990&gt;13,"U15",IF(E1990&gt;11,"U13",IF(E1990&gt;0,"U11",0)))))</f>
        <v>0</v>
      </c>
      <c r="E1990" s="456">
        <f>IFERROR(IF(Table10[[#This Row],[Year]]&gt;0,$E$1-Table10[[#This Row],[Year]],0),"")</f>
        <v>0</v>
      </c>
      <c r="F1990" s="456"/>
      <c r="G1990" s="456"/>
      <c r="H1990" s="456"/>
    </row>
    <row r="1991" spans="1:8">
      <c r="A1991" s="456">
        <v>2988</v>
      </c>
      <c r="B1991" s="469" t="s">
        <v>2932</v>
      </c>
      <c r="C1991" s="458" t="s">
        <v>762</v>
      </c>
      <c r="D1991" s="456">
        <f>IF(Table10[[#This Row],[Current Age]]&gt;19,"Men's",IF(E1991&gt;15,"U19",IF(E1991&gt;13,"U15",IF(E1991&gt;11,"U13",IF(E1991&gt;0,"U11",0)))))</f>
        <v>0</v>
      </c>
      <c r="E1991" s="456">
        <f>IFERROR(IF(Table10[[#This Row],[Year]]&gt;0,$E$1-Table10[[#This Row],[Year]],0),"")</f>
        <v>0</v>
      </c>
      <c r="F1991" s="456"/>
      <c r="G1991" s="456"/>
      <c r="H1991" s="456"/>
    </row>
    <row r="1992" spans="1:8">
      <c r="A1992" s="471">
        <v>2989</v>
      </c>
      <c r="B1992" s="493" t="s">
        <v>2933</v>
      </c>
      <c r="C1992" s="472" t="s">
        <v>762</v>
      </c>
      <c r="D1992" s="456">
        <f>IF(Table10[[#This Row],[Current Age]]&gt;19,"Men's",IF(E1992&gt;15,"U19",IF(E1992&gt;13,"U15",IF(E1992&gt;11,"U13",IF(E1992&gt;0,"U11",0)))))</f>
        <v>0</v>
      </c>
      <c r="E1992" s="456">
        <f>IFERROR(IF(Table10[[#This Row],[Year]]&gt;0,$E$1-Table10[[#This Row],[Year]],0),"")</f>
        <v>0</v>
      </c>
      <c r="F1992" s="456"/>
      <c r="G1992" s="456"/>
      <c r="H1992" s="456"/>
    </row>
    <row r="1993" spans="1:8">
      <c r="A1993" s="456">
        <v>2990</v>
      </c>
      <c r="B1993" s="469" t="s">
        <v>2934</v>
      </c>
      <c r="C1993" s="458" t="s">
        <v>762</v>
      </c>
      <c r="D1993" s="456">
        <f>IF(Table10[[#This Row],[Current Age]]&gt;19,"Men's",IF(E1993&gt;15,"U19",IF(E1993&gt;13,"U15",IF(E1993&gt;11,"U13",IF(E1993&gt;0,"U11",0)))))</f>
        <v>0</v>
      </c>
      <c r="E1993" s="456">
        <f>IFERROR(IF(Table10[[#This Row],[Year]]&gt;0,$E$1-Table10[[#This Row],[Year]],0),"")</f>
        <v>0</v>
      </c>
      <c r="F1993" s="456"/>
      <c r="G1993" s="456"/>
      <c r="H1993" s="456"/>
    </row>
    <row r="1994" spans="1:8">
      <c r="A1994" s="471">
        <v>2991</v>
      </c>
      <c r="B1994" s="493" t="s">
        <v>2936</v>
      </c>
      <c r="C1994" s="472" t="s">
        <v>762</v>
      </c>
      <c r="D1994" s="456">
        <f>IF(Table10[[#This Row],[Current Age]]&gt;19,"Men's",IF(E1994&gt;15,"U19",IF(E1994&gt;13,"U15",IF(E1994&gt;11,"U13",IF(E1994&gt;0,"U11",0)))))</f>
        <v>0</v>
      </c>
      <c r="E1994" s="456">
        <f>IFERROR(IF(Table10[[#This Row],[Year]]&gt;0,$E$1-Table10[[#This Row],[Year]],0),"")</f>
        <v>0</v>
      </c>
      <c r="F1994" s="456"/>
      <c r="G1994" s="456"/>
      <c r="H1994" s="456"/>
    </row>
    <row r="1995" spans="1:8">
      <c r="A1995" s="456">
        <v>2992</v>
      </c>
      <c r="B1995" s="469" t="s">
        <v>2935</v>
      </c>
      <c r="C1995" s="458" t="s">
        <v>251</v>
      </c>
      <c r="D1995" s="456">
        <f>IF(Table10[[#This Row],[Current Age]]&gt;19,"Men's",IF(E1995&gt;15,"U19",IF(E1995&gt;13,"U15",IF(E1995&gt;11,"U13",IF(E1995&gt;0,"U11",0)))))</f>
        <v>0</v>
      </c>
      <c r="E1995" s="456">
        <f>IFERROR(IF(Table10[[#This Row],[Year]]&gt;0,$E$1-Table10[[#This Row],[Year]],0),"")</f>
        <v>0</v>
      </c>
      <c r="F1995" s="456"/>
      <c r="G1995" s="456"/>
      <c r="H1995" s="456"/>
    </row>
    <row r="1996" spans="1:8">
      <c r="A1996" s="471">
        <v>2993</v>
      </c>
      <c r="B1996" s="493" t="s">
        <v>2937</v>
      </c>
      <c r="C1996" s="472" t="s">
        <v>762</v>
      </c>
      <c r="D1996" s="456">
        <f>IF(Table10[[#This Row],[Current Age]]&gt;19,"Men's",IF(E1996&gt;15,"U19",IF(E1996&gt;13,"U15",IF(E1996&gt;11,"U13",IF(E1996&gt;0,"U11",0)))))</f>
        <v>0</v>
      </c>
      <c r="E1996" s="456">
        <f>IFERROR(IF(Table10[[#This Row],[Year]]&gt;0,$E$1-Table10[[#This Row],[Year]],0),"")</f>
        <v>0</v>
      </c>
      <c r="F1996" s="456"/>
      <c r="G1996" s="456"/>
      <c r="H1996" s="456"/>
    </row>
    <row r="1997" spans="1:8">
      <c r="A1997" s="456">
        <v>2994</v>
      </c>
      <c r="B1997" s="469" t="s">
        <v>2950</v>
      </c>
      <c r="C1997" s="458" t="s">
        <v>244</v>
      </c>
      <c r="D1997" s="456">
        <f>IF(Table10[[#This Row],[Current Age]]&gt;19,"Men's",IF(E1997&gt;15,"U19",IF(E1997&gt;13,"U15",IF(E1997&gt;11,"U13",IF(E1997&gt;0,"U11",0)))))</f>
        <v>0</v>
      </c>
      <c r="E1997" s="456">
        <f>IFERROR(IF(Table10[[#This Row],[Year]]&gt;0,$E$1-Table10[[#This Row],[Year]],0),"")</f>
        <v>0</v>
      </c>
      <c r="F1997" s="456"/>
      <c r="G1997" s="456"/>
      <c r="H1997" s="456"/>
    </row>
    <row r="1998" spans="1:8">
      <c r="A1998" s="471">
        <v>2995</v>
      </c>
      <c r="B1998" s="493" t="s">
        <v>2951</v>
      </c>
      <c r="C1998" s="472" t="s">
        <v>244</v>
      </c>
      <c r="D1998" s="456">
        <f>IF(Table10[[#This Row],[Current Age]]&gt;19,"Men's",IF(E1998&gt;15,"U19",IF(E1998&gt;13,"U15",IF(E1998&gt;11,"U13",IF(E1998&gt;0,"U11",0)))))</f>
        <v>0</v>
      </c>
      <c r="E1998" s="456">
        <f>IFERROR(IF(Table10[[#This Row],[Year]]&gt;0,$E$1-Table10[[#This Row],[Year]],0),"")</f>
        <v>0</v>
      </c>
      <c r="F1998" s="456"/>
      <c r="G1998" s="456"/>
      <c r="H1998" s="456"/>
    </row>
    <row r="1999" spans="1:8">
      <c r="A1999" s="456">
        <v>2996</v>
      </c>
      <c r="B1999" s="469" t="s">
        <v>2952</v>
      </c>
      <c r="C1999" s="458" t="s">
        <v>244</v>
      </c>
      <c r="D1999" s="456">
        <f>IF(Table10[[#This Row],[Current Age]]&gt;19,"Men's",IF(E1999&gt;15,"U19",IF(E1999&gt;13,"U15",IF(E1999&gt;11,"U13",IF(E1999&gt;0,"U11",0)))))</f>
        <v>0</v>
      </c>
      <c r="E1999" s="456">
        <f>IFERROR(IF(Table10[[#This Row],[Year]]&gt;0,$E$1-Table10[[#This Row],[Year]],0),"")</f>
        <v>0</v>
      </c>
      <c r="F1999" s="456"/>
      <c r="G1999" s="456"/>
      <c r="H1999" s="456"/>
    </row>
    <row r="2000" spans="1:8">
      <c r="A2000" s="471">
        <v>2997</v>
      </c>
      <c r="B2000" s="493" t="s">
        <v>2954</v>
      </c>
      <c r="C2000" s="472" t="s">
        <v>361</v>
      </c>
      <c r="D2000" s="456">
        <f>IF(Table10[[#This Row],[Current Age]]&gt;19,"Men's",IF(E2000&gt;15,"U19",IF(E2000&gt;13,"U15",IF(E2000&gt;11,"U13",IF(E2000&gt;0,"U11",0)))))</f>
        <v>0</v>
      </c>
      <c r="E2000" s="456">
        <f>IFERROR(IF(Table10[[#This Row],[Year]]&gt;0,$E$1-Table10[[#This Row],[Year]],0),"")</f>
        <v>0</v>
      </c>
      <c r="F2000" s="456"/>
      <c r="G2000" s="456"/>
      <c r="H2000" s="456"/>
    </row>
    <row r="2001" spans="1:8">
      <c r="A2001" s="456">
        <v>2998</v>
      </c>
      <c r="B2001" s="469" t="s">
        <v>2955</v>
      </c>
      <c r="C2001" s="458" t="s">
        <v>361</v>
      </c>
      <c r="D2001" s="456" t="str">
        <f>IF(Table10[[#This Row],[Current Age]]&gt;19,"Men's",IF(E2001&gt;15,"U19",IF(E2001&gt;13,"U15",IF(E2001&gt;11,"U13",IF(E2001&gt;0,"U11",0)))))</f>
        <v>Men's</v>
      </c>
      <c r="E2001" s="456">
        <f>IFERROR(IF(Table10[[#This Row],[Year]]&gt;0,$E$1-Table10[[#This Row],[Year]],0),"")</f>
        <v>40</v>
      </c>
      <c r="F2001" s="456">
        <v>1985</v>
      </c>
      <c r="G2001" s="456"/>
      <c r="H2001" s="456"/>
    </row>
    <row r="2002" spans="1:8">
      <c r="A2002" s="471">
        <v>2999</v>
      </c>
      <c r="B2002" s="493" t="s">
        <v>2956</v>
      </c>
      <c r="C2002" s="472" t="s">
        <v>361</v>
      </c>
      <c r="D2002" s="456">
        <f>IF(Table10[[#This Row],[Current Age]]&gt;19,"Men's",IF(E2002&gt;15,"U19",IF(E2002&gt;13,"U15",IF(E2002&gt;11,"U13",IF(E2002&gt;0,"U11",0)))))</f>
        <v>0</v>
      </c>
      <c r="E2002" s="456">
        <f>IFERROR(IF(Table10[[#This Row],[Year]]&gt;0,$E$1-Table10[[#This Row],[Year]],0),"")</f>
        <v>0</v>
      </c>
      <c r="F2002" s="456"/>
      <c r="G2002" s="456"/>
      <c r="H2002" s="456"/>
    </row>
    <row r="2003" spans="1:8">
      <c r="A2003" s="456">
        <v>3000</v>
      </c>
      <c r="B2003" s="469" t="s">
        <v>2804</v>
      </c>
      <c r="C2003" s="458" t="s">
        <v>361</v>
      </c>
      <c r="D2003" s="456">
        <f>IF(Table10[[#This Row],[Current Age]]&gt;19,"Men's",IF(E2003&gt;15,"U19",IF(E2003&gt;13,"U15",IF(E2003&gt;11,"U13",IF(E2003&gt;0,"U11",0)))))</f>
        <v>0</v>
      </c>
      <c r="E2003" s="456">
        <f>IFERROR(IF(Table10[[#This Row],[Year]]&gt;0,$E$1-Table10[[#This Row],[Year]],0),"")</f>
        <v>0</v>
      </c>
      <c r="F2003" s="456"/>
      <c r="G2003" s="456"/>
      <c r="H2003" s="456"/>
    </row>
    <row r="2004" spans="1:8">
      <c r="A2004" s="471">
        <v>3001</v>
      </c>
      <c r="B2004" s="493" t="s">
        <v>2957</v>
      </c>
      <c r="C2004" s="472" t="s">
        <v>361</v>
      </c>
      <c r="D2004" s="456">
        <f>IF(Table10[[#This Row],[Current Age]]&gt;19,"Men's",IF(E2004&gt;15,"U19",IF(E2004&gt;13,"U15",IF(E2004&gt;11,"U13",IF(E2004&gt;0,"U11",0)))))</f>
        <v>0</v>
      </c>
      <c r="E2004" s="456">
        <f>IFERROR(IF(Table10[[#This Row],[Year]]&gt;0,$E$1-Table10[[#This Row],[Year]],0),"")</f>
        <v>0</v>
      </c>
      <c r="F2004" s="456"/>
      <c r="G2004" s="456"/>
      <c r="H2004" s="456"/>
    </row>
    <row r="2005" spans="1:8">
      <c r="A2005" s="456">
        <v>3002</v>
      </c>
      <c r="B2005" s="469" t="s">
        <v>2958</v>
      </c>
      <c r="C2005" s="458" t="s">
        <v>361</v>
      </c>
      <c r="D2005" s="456">
        <f>IF(Table10[[#This Row],[Current Age]]&gt;19,"Men's",IF(E2005&gt;15,"U19",IF(E2005&gt;13,"U15",IF(E2005&gt;11,"U13",IF(E2005&gt;0,"U11",0)))))</f>
        <v>0</v>
      </c>
      <c r="E2005" s="456">
        <f>IFERROR(IF(Table10[[#This Row],[Year]]&gt;0,$E$1-Table10[[#This Row],[Year]],0),"")</f>
        <v>0</v>
      </c>
      <c r="F2005" s="456"/>
      <c r="G2005" s="456"/>
      <c r="H2005" s="456"/>
    </row>
    <row r="2006" spans="1:8">
      <c r="A2006" s="471">
        <v>3003</v>
      </c>
      <c r="B2006" s="493" t="s">
        <v>2959</v>
      </c>
      <c r="C2006" s="472" t="s">
        <v>361</v>
      </c>
      <c r="D2006" s="456">
        <f>IF(Table10[[#This Row],[Current Age]]&gt;19,"Men's",IF(E2006&gt;15,"U19",IF(E2006&gt;13,"U15",IF(E2006&gt;11,"U13",IF(E2006&gt;0,"U11",0)))))</f>
        <v>0</v>
      </c>
      <c r="E2006" s="456">
        <f>IFERROR(IF(Table10[[#This Row],[Year]]&gt;0,$E$1-Table10[[#This Row],[Year]],0),"")</f>
        <v>0</v>
      </c>
      <c r="F2006" s="456"/>
      <c r="G2006" s="456"/>
      <c r="H2006" s="456"/>
    </row>
    <row r="2007" spans="1:8">
      <c r="A2007" s="456">
        <v>3004</v>
      </c>
      <c r="B2007" s="469" t="s">
        <v>2960</v>
      </c>
      <c r="C2007" s="458" t="s">
        <v>361</v>
      </c>
      <c r="D2007" s="456">
        <f>IF(Table10[[#This Row],[Current Age]]&gt;19,"Men's",IF(E2007&gt;15,"U19",IF(E2007&gt;13,"U15",IF(E2007&gt;11,"U13",IF(E2007&gt;0,"U11",0)))))</f>
        <v>0</v>
      </c>
      <c r="E2007" s="456">
        <f>IFERROR(IF(Table10[[#This Row],[Year]]&gt;0,$E$1-Table10[[#This Row],[Year]],0),"")</f>
        <v>0</v>
      </c>
      <c r="F2007" s="456"/>
      <c r="G2007" s="456"/>
      <c r="H2007" s="456"/>
    </row>
    <row r="2008" spans="1:8">
      <c r="A2008" s="471">
        <v>3005</v>
      </c>
      <c r="B2008" s="493" t="s">
        <v>2967</v>
      </c>
      <c r="C2008" s="472" t="s">
        <v>244</v>
      </c>
      <c r="D2008" s="456">
        <f>IF(Table10[[#This Row],[Current Age]]&gt;19,"Men's",IF(E2008&gt;15,"U19",IF(E2008&gt;13,"U15",IF(E2008&gt;11,"U13",IF(E2008&gt;0,"U11",0)))))</f>
        <v>0</v>
      </c>
      <c r="E2008" s="456">
        <f>IFERROR(IF(Table10[[#This Row],[Year]]&gt;0,$E$1-Table10[[#This Row],[Year]],0),"")</f>
        <v>0</v>
      </c>
      <c r="F2008" s="456"/>
      <c r="G2008" s="456"/>
      <c r="H2008" s="456"/>
    </row>
    <row r="2009" spans="1:8">
      <c r="A2009" s="456">
        <v>3006</v>
      </c>
      <c r="B2009" s="469" t="s">
        <v>2968</v>
      </c>
      <c r="C2009" s="458" t="s">
        <v>244</v>
      </c>
      <c r="D2009" s="456">
        <f>IF(Table10[[#This Row],[Current Age]]&gt;19,"Men's",IF(E2009&gt;15,"U19",IF(E2009&gt;13,"U15",IF(E2009&gt;11,"U13",IF(E2009&gt;0,"U11",0)))))</f>
        <v>0</v>
      </c>
      <c r="E2009" s="456">
        <f>IFERROR(IF(Table10[[#This Row],[Year]]&gt;0,$E$1-Table10[[#This Row],[Year]],0),"")</f>
        <v>0</v>
      </c>
      <c r="F2009" s="456"/>
      <c r="G2009" s="456"/>
      <c r="H2009" s="456"/>
    </row>
    <row r="2010" spans="1:8">
      <c r="A2010" s="471">
        <v>3007</v>
      </c>
      <c r="B2010" s="493" t="s">
        <v>2969</v>
      </c>
      <c r="C2010" s="472" t="s">
        <v>244</v>
      </c>
      <c r="D2010" s="456">
        <f>IF(Table10[[#This Row],[Current Age]]&gt;19,"Men's",IF(E2010&gt;15,"U19",IF(E2010&gt;13,"U15",IF(E2010&gt;11,"U13",IF(E2010&gt;0,"U11",0)))))</f>
        <v>0</v>
      </c>
      <c r="E2010" s="456">
        <f>IFERROR(IF(Table10[[#This Row],[Year]]&gt;0,$E$1-Table10[[#This Row],[Year]],0),"")</f>
        <v>0</v>
      </c>
      <c r="F2010" s="456"/>
      <c r="G2010" s="456"/>
      <c r="H2010" s="456"/>
    </row>
    <row r="2011" spans="1:8">
      <c r="A2011" s="456">
        <v>3008</v>
      </c>
      <c r="B2011" s="469" t="s">
        <v>2970</v>
      </c>
      <c r="C2011" s="458" t="s">
        <v>244</v>
      </c>
      <c r="D2011" s="456">
        <f>IF(Table10[[#This Row],[Current Age]]&gt;19,"Men's",IF(E2011&gt;15,"U19",IF(E2011&gt;13,"U15",IF(E2011&gt;11,"U13",IF(E2011&gt;0,"U11",0)))))</f>
        <v>0</v>
      </c>
      <c r="E2011" s="456">
        <f>IFERROR(IF(Table10[[#This Row],[Year]]&gt;0,$E$1-Table10[[#This Row],[Year]],0),"")</f>
        <v>0</v>
      </c>
      <c r="F2011" s="456"/>
      <c r="G2011" s="456"/>
      <c r="H2011" s="456"/>
    </row>
    <row r="2012" spans="1:8">
      <c r="A2012" s="471">
        <v>3009</v>
      </c>
      <c r="B2012" s="493" t="s">
        <v>2971</v>
      </c>
      <c r="C2012" s="472" t="s">
        <v>244</v>
      </c>
      <c r="D2012" s="456">
        <f>IF(Table10[[#This Row],[Current Age]]&gt;19,"Men's",IF(E2012&gt;15,"U19",IF(E2012&gt;13,"U15",IF(E2012&gt;11,"U13",IF(E2012&gt;0,"U11",0)))))</f>
        <v>0</v>
      </c>
      <c r="E2012" s="456">
        <f>IFERROR(IF(Table10[[#This Row],[Year]]&gt;0,$E$1-Table10[[#This Row],[Year]],0),"")</f>
        <v>0</v>
      </c>
      <c r="F2012" s="456"/>
      <c r="G2012" s="456"/>
      <c r="H2012" s="456"/>
    </row>
    <row r="2013" spans="1:8">
      <c r="A2013" s="456">
        <v>3010</v>
      </c>
      <c r="B2013" s="469" t="s">
        <v>2972</v>
      </c>
      <c r="C2013" s="458" t="s">
        <v>244</v>
      </c>
      <c r="D2013" s="456">
        <f>IF(Table10[[#This Row],[Current Age]]&gt;19,"Men's",IF(E2013&gt;15,"U19",IF(E2013&gt;13,"U15",IF(E2013&gt;11,"U13",IF(E2013&gt;0,"U11",0)))))</f>
        <v>0</v>
      </c>
      <c r="E2013" s="456">
        <f>IFERROR(IF(Table10[[#This Row],[Year]]&gt;0,$E$1-Table10[[#This Row],[Year]],0),"")</f>
        <v>0</v>
      </c>
      <c r="F2013" s="456"/>
      <c r="G2013" s="456"/>
      <c r="H2013" s="456"/>
    </row>
    <row r="2014" spans="1:8">
      <c r="A2014" s="471">
        <v>3011</v>
      </c>
      <c r="B2014" s="493" t="s">
        <v>2973</v>
      </c>
      <c r="C2014" s="472" t="s">
        <v>4720</v>
      </c>
      <c r="D2014" s="456">
        <f>IF(Table10[[#This Row],[Current Age]]&gt;19,"Men's",IF(E2014&gt;15,"U19",IF(E2014&gt;13,"U15",IF(E2014&gt;11,"U13",IF(E2014&gt;0,"U11",0)))))</f>
        <v>0</v>
      </c>
      <c r="E2014" s="456">
        <f>IFERROR(IF(Table10[[#This Row],[Year]]&gt;0,$E$1-Table10[[#This Row],[Year]],0),"")</f>
        <v>0</v>
      </c>
      <c r="F2014" s="456"/>
      <c r="G2014" s="456"/>
      <c r="H2014" s="456"/>
    </row>
    <row r="2015" spans="1:8">
      <c r="A2015" s="456">
        <v>3012</v>
      </c>
      <c r="B2015" s="469" t="s">
        <v>2974</v>
      </c>
      <c r="C2015" s="458" t="s">
        <v>244</v>
      </c>
      <c r="D2015" s="456">
        <f>IF(Table10[[#This Row],[Current Age]]&gt;19,"Men's",IF(E2015&gt;15,"U19",IF(E2015&gt;13,"U15",IF(E2015&gt;11,"U13",IF(E2015&gt;0,"U11",0)))))</f>
        <v>0</v>
      </c>
      <c r="E2015" s="456">
        <f>IFERROR(IF(Table10[[#This Row],[Year]]&gt;0,$E$1-Table10[[#This Row],[Year]],0),"")</f>
        <v>0</v>
      </c>
      <c r="F2015" s="456"/>
      <c r="G2015" s="456"/>
      <c r="H2015" s="456"/>
    </row>
    <row r="2016" spans="1:8">
      <c r="A2016" s="471">
        <v>3013</v>
      </c>
      <c r="B2016" s="493" t="s">
        <v>2975</v>
      </c>
      <c r="C2016" s="472" t="s">
        <v>244</v>
      </c>
      <c r="D2016" s="456">
        <f>IF(Table10[[#This Row],[Current Age]]&gt;19,"Men's",IF(E2016&gt;15,"U19",IF(E2016&gt;13,"U15",IF(E2016&gt;11,"U13",IF(E2016&gt;0,"U11",0)))))</f>
        <v>0</v>
      </c>
      <c r="E2016" s="456">
        <f>IFERROR(IF(Table10[[#This Row],[Year]]&gt;0,$E$1-Table10[[#This Row],[Year]],0),"")</f>
        <v>0</v>
      </c>
      <c r="F2016" s="456"/>
      <c r="G2016" s="456"/>
      <c r="H2016" s="456"/>
    </row>
    <row r="2017" spans="1:8">
      <c r="A2017" s="456">
        <v>3014</v>
      </c>
      <c r="B2017" s="469" t="s">
        <v>2976</v>
      </c>
      <c r="C2017" s="458" t="s">
        <v>244</v>
      </c>
      <c r="D2017" s="456">
        <f>IF(Table10[[#This Row],[Current Age]]&gt;19,"Men's",IF(E2017&gt;15,"U19",IF(E2017&gt;13,"U15",IF(E2017&gt;11,"U13",IF(E2017&gt;0,"U11",0)))))</f>
        <v>0</v>
      </c>
      <c r="E2017" s="456">
        <f>IFERROR(IF(Table10[[#This Row],[Year]]&gt;0,$E$1-Table10[[#This Row],[Year]],0),"")</f>
        <v>0</v>
      </c>
      <c r="F2017" s="456"/>
      <c r="G2017" s="456"/>
      <c r="H2017" s="456"/>
    </row>
    <row r="2018" spans="1:8">
      <c r="A2018" s="471">
        <v>3015</v>
      </c>
      <c r="B2018" s="493" t="s">
        <v>2977</v>
      </c>
      <c r="C2018" s="472" t="s">
        <v>244</v>
      </c>
      <c r="D2018" s="456">
        <f>IF(Table10[[#This Row],[Current Age]]&gt;19,"Men's",IF(E2018&gt;15,"U19",IF(E2018&gt;13,"U15",IF(E2018&gt;11,"U13",IF(E2018&gt;0,"U11",0)))))</f>
        <v>0</v>
      </c>
      <c r="E2018" s="456">
        <f>IFERROR(IF(Table10[[#This Row],[Year]]&gt;0,$E$1-Table10[[#This Row],[Year]],0),"")</f>
        <v>0</v>
      </c>
      <c r="F2018" s="456"/>
      <c r="G2018" s="456"/>
      <c r="H2018" s="456"/>
    </row>
    <row r="2019" spans="1:8">
      <c r="A2019" s="456">
        <v>3016</v>
      </c>
      <c r="B2019" s="469" t="s">
        <v>2978</v>
      </c>
      <c r="C2019" s="458" t="s">
        <v>244</v>
      </c>
      <c r="D2019" s="456">
        <f>IF(Table10[[#This Row],[Current Age]]&gt;19,"Men's",IF(E2019&gt;15,"U19",IF(E2019&gt;13,"U15",IF(E2019&gt;11,"U13",IF(E2019&gt;0,"U11",0)))))</f>
        <v>0</v>
      </c>
      <c r="E2019" s="456">
        <f>IFERROR(IF(Table10[[#This Row],[Year]]&gt;0,$E$1-Table10[[#This Row],[Year]],0),"")</f>
        <v>0</v>
      </c>
      <c r="F2019" s="456"/>
      <c r="G2019" s="456"/>
      <c r="H2019" s="456"/>
    </row>
    <row r="2020" spans="1:8">
      <c r="A2020" s="471">
        <v>3017</v>
      </c>
      <c r="B2020" s="493" t="s">
        <v>2979</v>
      </c>
      <c r="C2020" s="472" t="s">
        <v>244</v>
      </c>
      <c r="D2020" s="456">
        <f>IF(Table10[[#This Row],[Current Age]]&gt;19,"Men's",IF(E2020&gt;15,"U19",IF(E2020&gt;13,"U15",IF(E2020&gt;11,"U13",IF(E2020&gt;0,"U11",0)))))</f>
        <v>0</v>
      </c>
      <c r="E2020" s="456">
        <f>IFERROR(IF(Table10[[#This Row],[Year]]&gt;0,$E$1-Table10[[#This Row],[Year]],0),"")</f>
        <v>0</v>
      </c>
      <c r="F2020" s="456"/>
      <c r="G2020" s="456"/>
      <c r="H2020" s="456"/>
    </row>
    <row r="2021" spans="1:8">
      <c r="A2021" s="456">
        <v>3018</v>
      </c>
      <c r="B2021" s="469" t="s">
        <v>2980</v>
      </c>
      <c r="C2021" s="458" t="s">
        <v>244</v>
      </c>
      <c r="D2021" s="456">
        <f>IF(Table10[[#This Row],[Current Age]]&gt;19,"Men's",IF(E2021&gt;15,"U19",IF(E2021&gt;13,"U15",IF(E2021&gt;11,"U13",IF(E2021&gt;0,"U11",0)))))</f>
        <v>0</v>
      </c>
      <c r="E2021" s="456">
        <f>IFERROR(IF(Table10[[#This Row],[Year]]&gt;0,$E$1-Table10[[#This Row],[Year]],0),"")</f>
        <v>0</v>
      </c>
      <c r="F2021" s="456"/>
      <c r="G2021" s="456"/>
      <c r="H2021" s="456"/>
    </row>
    <row r="2022" spans="1:8">
      <c r="A2022" s="471">
        <v>3019</v>
      </c>
      <c r="B2022" s="493" t="s">
        <v>2981</v>
      </c>
      <c r="C2022" s="472" t="s">
        <v>244</v>
      </c>
      <c r="D2022" s="456">
        <f>IF(Table10[[#This Row],[Current Age]]&gt;19,"Men's",IF(E2022&gt;15,"U19",IF(E2022&gt;13,"U15",IF(E2022&gt;11,"U13",IF(E2022&gt;0,"U11",0)))))</f>
        <v>0</v>
      </c>
      <c r="E2022" s="456">
        <f>IFERROR(IF(Table10[[#This Row],[Year]]&gt;0,$E$1-Table10[[#This Row],[Year]],0),"")</f>
        <v>0</v>
      </c>
      <c r="F2022" s="456"/>
      <c r="G2022" s="456"/>
      <c r="H2022" s="456"/>
    </row>
    <row r="2023" spans="1:8">
      <c r="A2023" s="456">
        <v>3020</v>
      </c>
      <c r="B2023" s="469" t="s">
        <v>2982</v>
      </c>
      <c r="C2023" s="458" t="s">
        <v>244</v>
      </c>
      <c r="D2023" s="456">
        <f>IF(Table10[[#This Row],[Current Age]]&gt;19,"Men's",IF(E2023&gt;15,"U19",IF(E2023&gt;13,"U15",IF(E2023&gt;11,"U13",IF(E2023&gt;0,"U11",0)))))</f>
        <v>0</v>
      </c>
      <c r="E2023" s="456">
        <f>IFERROR(IF(Table10[[#This Row],[Year]]&gt;0,$E$1-Table10[[#This Row],[Year]],0),"")</f>
        <v>0</v>
      </c>
      <c r="F2023" s="456"/>
      <c r="G2023" s="456"/>
      <c r="H2023" s="456"/>
    </row>
    <row r="2024" spans="1:8">
      <c r="A2024" s="471">
        <v>3021</v>
      </c>
      <c r="B2024" s="493" t="s">
        <v>2983</v>
      </c>
      <c r="C2024" s="472" t="s">
        <v>244</v>
      </c>
      <c r="D2024" s="456">
        <f>IF(Table10[[#This Row],[Current Age]]&gt;19,"Men's",IF(E2024&gt;15,"U19",IF(E2024&gt;13,"U15",IF(E2024&gt;11,"U13",IF(E2024&gt;0,"U11",0)))))</f>
        <v>0</v>
      </c>
      <c r="E2024" s="456">
        <f>IFERROR(IF(Table10[[#This Row],[Year]]&gt;0,$E$1-Table10[[#This Row],[Year]],0),"")</f>
        <v>0</v>
      </c>
      <c r="F2024" s="456"/>
      <c r="G2024" s="456"/>
      <c r="H2024" s="456"/>
    </row>
    <row r="2025" spans="1:8">
      <c r="A2025" s="456">
        <v>3022</v>
      </c>
      <c r="B2025" s="469" t="s">
        <v>2984</v>
      </c>
      <c r="C2025" s="458" t="s">
        <v>244</v>
      </c>
      <c r="D2025" s="456">
        <f>IF(Table10[[#This Row],[Current Age]]&gt;19,"Men's",IF(E2025&gt;15,"U19",IF(E2025&gt;13,"U15",IF(E2025&gt;11,"U13",IF(E2025&gt;0,"U11",0)))))</f>
        <v>0</v>
      </c>
      <c r="E2025" s="456">
        <f>IFERROR(IF(Table10[[#This Row],[Year]]&gt;0,$E$1-Table10[[#This Row],[Year]],0),"")</f>
        <v>0</v>
      </c>
      <c r="F2025" s="456"/>
      <c r="G2025" s="456"/>
      <c r="H2025" s="456"/>
    </row>
    <row r="2026" spans="1:8">
      <c r="A2026" s="471">
        <v>3023</v>
      </c>
      <c r="B2026" s="493" t="s">
        <v>2985</v>
      </c>
      <c r="C2026" s="472"/>
      <c r="D2026" s="456">
        <f>IF(Table10[[#This Row],[Current Age]]&gt;19,"Men's",IF(E2026&gt;15,"U19",IF(E2026&gt;13,"U15",IF(E2026&gt;11,"U13",IF(E2026&gt;0,"U11",0)))))</f>
        <v>0</v>
      </c>
      <c r="E2026" s="456">
        <f>IFERROR(IF(Table10[[#This Row],[Year]]&gt;0,$E$1-Table10[[#This Row],[Year]],0),"")</f>
        <v>0</v>
      </c>
      <c r="F2026" s="456"/>
      <c r="G2026" s="456"/>
      <c r="H2026" s="456"/>
    </row>
    <row r="2027" spans="1:8">
      <c r="A2027" s="456">
        <v>3024</v>
      </c>
      <c r="B2027" s="469" t="s">
        <v>2986</v>
      </c>
      <c r="C2027" s="458"/>
      <c r="D2027" s="456">
        <f>IF(Table10[[#This Row],[Current Age]]&gt;19,"Men's",IF(E2027&gt;15,"U19",IF(E2027&gt;13,"U15",IF(E2027&gt;11,"U13",IF(E2027&gt;0,"U11",0)))))</f>
        <v>0</v>
      </c>
      <c r="E2027" s="456">
        <f>IFERROR(IF(Table10[[#This Row],[Year]]&gt;0,$E$1-Table10[[#This Row],[Year]],0),"")</f>
        <v>0</v>
      </c>
      <c r="F2027" s="456"/>
      <c r="G2027" s="456"/>
      <c r="H2027" s="456"/>
    </row>
    <row r="2028" spans="1:8">
      <c r="A2028" s="471">
        <v>3025</v>
      </c>
      <c r="B2028" s="493" t="s">
        <v>2987</v>
      </c>
      <c r="C2028" s="472"/>
      <c r="D2028" s="456">
        <f>IF(Table10[[#This Row],[Current Age]]&gt;19,"Men's",IF(E2028&gt;15,"U19",IF(E2028&gt;13,"U15",IF(E2028&gt;11,"U13",IF(E2028&gt;0,"U11",0)))))</f>
        <v>0</v>
      </c>
      <c r="E2028" s="456">
        <f>IFERROR(IF(Table10[[#This Row],[Year]]&gt;0,$E$1-Table10[[#This Row],[Year]],0),"")</f>
        <v>0</v>
      </c>
      <c r="F2028" s="456"/>
      <c r="G2028" s="456"/>
      <c r="H2028" s="456"/>
    </row>
    <row r="2029" spans="1:8">
      <c r="A2029" s="456">
        <v>3026</v>
      </c>
      <c r="B2029" s="469" t="s">
        <v>2994</v>
      </c>
      <c r="C2029" s="458" t="s">
        <v>250</v>
      </c>
      <c r="D2029" s="456">
        <f>IF(Table10[[#This Row],[Current Age]]&gt;19,"Men's",IF(E2029&gt;15,"U19",IF(E2029&gt;13,"U15",IF(E2029&gt;11,"U13",IF(E2029&gt;0,"U11",0)))))</f>
        <v>0</v>
      </c>
      <c r="E2029" s="456">
        <f>IFERROR(IF(Table10[[#This Row],[Year]]&gt;0,$E$1-Table10[[#This Row],[Year]],0),"")</f>
        <v>0</v>
      </c>
      <c r="F2029" s="456"/>
      <c r="G2029" s="456"/>
      <c r="H2029" s="456"/>
    </row>
    <row r="2030" spans="1:8">
      <c r="A2030" s="471">
        <v>3027</v>
      </c>
      <c r="B2030" s="493" t="s">
        <v>2995</v>
      </c>
      <c r="C2030" s="472" t="s">
        <v>250</v>
      </c>
      <c r="D2030" s="456">
        <f>IF(Table10[[#This Row],[Current Age]]&gt;19,"Men's",IF(E2030&gt;15,"U19",IF(E2030&gt;13,"U15",IF(E2030&gt;11,"U13",IF(E2030&gt;0,"U11",0)))))</f>
        <v>0</v>
      </c>
      <c r="E2030" s="456">
        <f>IFERROR(IF(Table10[[#This Row],[Year]]&gt;0,$E$1-Table10[[#This Row],[Year]],0),"")</f>
        <v>0</v>
      </c>
      <c r="F2030" s="456"/>
      <c r="G2030" s="456"/>
      <c r="H2030" s="456"/>
    </row>
    <row r="2031" spans="1:8">
      <c r="A2031" s="456">
        <v>3028</v>
      </c>
      <c r="B2031" s="469" t="s">
        <v>2996</v>
      </c>
      <c r="C2031" s="458" t="s">
        <v>250</v>
      </c>
      <c r="D2031" s="456">
        <f>IF(Table10[[#This Row],[Current Age]]&gt;19,"Men's",IF(E2031&gt;15,"U19",IF(E2031&gt;13,"U15",IF(E2031&gt;11,"U13",IF(E2031&gt;0,"U11",0)))))</f>
        <v>0</v>
      </c>
      <c r="E2031" s="456">
        <f>IFERROR(IF(Table10[[#This Row],[Year]]&gt;0,$E$1-Table10[[#This Row],[Year]],0),"")</f>
        <v>0</v>
      </c>
      <c r="F2031" s="456"/>
      <c r="G2031" s="456"/>
      <c r="H2031" s="456"/>
    </row>
    <row r="2032" spans="1:8">
      <c r="A2032" s="471">
        <v>3029</v>
      </c>
      <c r="B2032" s="493" t="s">
        <v>2997</v>
      </c>
      <c r="C2032" s="472" t="s">
        <v>250</v>
      </c>
      <c r="D2032" s="456">
        <f>IF(Table10[[#This Row],[Current Age]]&gt;19,"Men's",IF(E2032&gt;15,"U19",IF(E2032&gt;13,"U15",IF(E2032&gt;11,"U13",IF(E2032&gt;0,"U11",0)))))</f>
        <v>0</v>
      </c>
      <c r="E2032" s="456">
        <f>IFERROR(IF(Table10[[#This Row],[Year]]&gt;0,$E$1-Table10[[#This Row],[Year]],0),"")</f>
        <v>0</v>
      </c>
      <c r="F2032" s="456"/>
      <c r="G2032" s="456"/>
      <c r="H2032" s="456"/>
    </row>
    <row r="2033" spans="1:8">
      <c r="A2033" s="456">
        <v>3030</v>
      </c>
      <c r="B2033" s="469" t="s">
        <v>2998</v>
      </c>
      <c r="C2033" s="458" t="s">
        <v>250</v>
      </c>
      <c r="D2033" s="456">
        <f>IF(Table10[[#This Row],[Current Age]]&gt;19,"Men's",IF(E2033&gt;15,"U19",IF(E2033&gt;13,"U15",IF(E2033&gt;11,"U13",IF(E2033&gt;0,"U11",0)))))</f>
        <v>0</v>
      </c>
      <c r="E2033" s="456">
        <f>IFERROR(IF(Table10[[#This Row],[Year]]&gt;0,$E$1-Table10[[#This Row],[Year]],0),"")</f>
        <v>0</v>
      </c>
      <c r="F2033" s="456"/>
      <c r="G2033" s="456"/>
      <c r="H2033" s="456"/>
    </row>
    <row r="2034" spans="1:8">
      <c r="A2034" s="471">
        <v>3031</v>
      </c>
      <c r="B2034" s="493" t="s">
        <v>2999</v>
      </c>
      <c r="C2034" s="472" t="s">
        <v>250</v>
      </c>
      <c r="D2034" s="456">
        <f>IF(Table10[[#This Row],[Current Age]]&gt;19,"Men's",IF(E2034&gt;15,"U19",IF(E2034&gt;13,"U15",IF(E2034&gt;11,"U13",IF(E2034&gt;0,"U11",0)))))</f>
        <v>0</v>
      </c>
      <c r="E2034" s="456">
        <f>IFERROR(IF(Table10[[#This Row],[Year]]&gt;0,$E$1-Table10[[#This Row],[Year]],0),"")</f>
        <v>0</v>
      </c>
      <c r="F2034" s="456"/>
      <c r="G2034" s="456"/>
      <c r="H2034" s="456"/>
    </row>
    <row r="2035" spans="1:8">
      <c r="A2035" s="456">
        <v>3032</v>
      </c>
      <c r="B2035" s="469" t="s">
        <v>3000</v>
      </c>
      <c r="C2035" s="458" t="s">
        <v>762</v>
      </c>
      <c r="D2035" s="456">
        <f>IF(Table10[[#This Row],[Current Age]]&gt;19,"Men's",IF(E2035&gt;15,"U19",IF(E2035&gt;13,"U15",IF(E2035&gt;11,"U13",IF(E2035&gt;0,"U11",0)))))</f>
        <v>0</v>
      </c>
      <c r="E2035" s="456">
        <f>IFERROR(IF(Table10[[#This Row],[Year]]&gt;0,$E$1-Table10[[#This Row],[Year]],0),"")</f>
        <v>0</v>
      </c>
      <c r="F2035" s="456"/>
      <c r="G2035" s="456"/>
      <c r="H2035" s="456"/>
    </row>
    <row r="2036" spans="1:8">
      <c r="A2036" s="471">
        <v>3033</v>
      </c>
      <c r="B2036" s="493" t="s">
        <v>3001</v>
      </c>
      <c r="C2036" s="472" t="s">
        <v>361</v>
      </c>
      <c r="D2036" s="456">
        <f>IF(Table10[[#This Row],[Current Age]]&gt;19,"Men's",IF(E2036&gt;15,"U19",IF(E2036&gt;13,"U15",IF(E2036&gt;11,"U13",IF(E2036&gt;0,"U11",0)))))</f>
        <v>0</v>
      </c>
      <c r="E2036" s="456">
        <f>IFERROR(IF(Table10[[#This Row],[Year]]&gt;0,$E$1-Table10[[#This Row],[Year]],0),"")</f>
        <v>0</v>
      </c>
      <c r="F2036" s="456"/>
      <c r="G2036" s="456"/>
      <c r="H2036" s="456"/>
    </row>
    <row r="2037" spans="1:8">
      <c r="A2037" s="456">
        <v>3034</v>
      </c>
      <c r="B2037" s="469" t="s">
        <v>3002</v>
      </c>
      <c r="C2037" s="458" t="s">
        <v>361</v>
      </c>
      <c r="D2037" s="456">
        <f>IF(Table10[[#This Row],[Current Age]]&gt;19,"Men's",IF(E2037&gt;15,"U19",IF(E2037&gt;13,"U15",IF(E2037&gt;11,"U13",IF(E2037&gt;0,"U11",0)))))</f>
        <v>0</v>
      </c>
      <c r="E2037" s="456">
        <f>IFERROR(IF(Table10[[#This Row],[Year]]&gt;0,$E$1-Table10[[#This Row],[Year]],0),"")</f>
        <v>0</v>
      </c>
      <c r="F2037" s="456"/>
      <c r="G2037" s="456"/>
      <c r="H2037" s="456"/>
    </row>
    <row r="2038" spans="1:8">
      <c r="A2038" s="471">
        <v>3035</v>
      </c>
      <c r="B2038" s="493" t="s">
        <v>3004</v>
      </c>
      <c r="C2038" s="472" t="s">
        <v>361</v>
      </c>
      <c r="D2038" s="456">
        <f>IF(Table10[[#This Row],[Current Age]]&gt;19,"Men's",IF(E2038&gt;15,"U19",IF(E2038&gt;13,"U15",IF(E2038&gt;11,"U13",IF(E2038&gt;0,"U11",0)))))</f>
        <v>0</v>
      </c>
      <c r="E2038" s="456">
        <f>IFERROR(IF(Table10[[#This Row],[Year]]&gt;0,$E$1-Table10[[#This Row],[Year]],0),"")</f>
        <v>0</v>
      </c>
      <c r="F2038" s="456"/>
      <c r="G2038" s="456"/>
      <c r="H2038" s="456"/>
    </row>
    <row r="2039" spans="1:8">
      <c r="A2039" s="456">
        <v>3036</v>
      </c>
      <c r="B2039" s="469" t="s">
        <v>3005</v>
      </c>
      <c r="C2039" s="458" t="s">
        <v>361</v>
      </c>
      <c r="D2039" s="456">
        <f>IF(Table10[[#This Row],[Current Age]]&gt;19,"Men's",IF(E2039&gt;15,"U19",IF(E2039&gt;13,"U15",IF(E2039&gt;11,"U13",IF(E2039&gt;0,"U11",0)))))</f>
        <v>0</v>
      </c>
      <c r="E2039" s="456">
        <f>IFERROR(IF(Table10[[#This Row],[Year]]&gt;0,$E$1-Table10[[#This Row],[Year]],0),"")</f>
        <v>0</v>
      </c>
      <c r="F2039" s="456"/>
      <c r="G2039" s="456"/>
      <c r="H2039" s="456"/>
    </row>
    <row r="2040" spans="1:8">
      <c r="A2040" s="471">
        <v>3037</v>
      </c>
      <c r="B2040" s="493" t="s">
        <v>3006</v>
      </c>
      <c r="C2040" s="472" t="s">
        <v>361</v>
      </c>
      <c r="D2040" s="456">
        <f>IF(Table10[[#This Row],[Current Age]]&gt;19,"Men's",IF(E2040&gt;15,"U19",IF(E2040&gt;13,"U15",IF(E2040&gt;11,"U13",IF(E2040&gt;0,"U11",0)))))</f>
        <v>0</v>
      </c>
      <c r="E2040" s="456">
        <f>IFERROR(IF(Table10[[#This Row],[Year]]&gt;0,$E$1-Table10[[#This Row],[Year]],0),"")</f>
        <v>0</v>
      </c>
      <c r="F2040" s="456"/>
      <c r="G2040" s="456"/>
      <c r="H2040" s="456"/>
    </row>
    <row r="2041" spans="1:8">
      <c r="A2041" s="456">
        <v>3038</v>
      </c>
      <c r="B2041" s="469" t="s">
        <v>3007</v>
      </c>
      <c r="C2041" s="458" t="s">
        <v>361</v>
      </c>
      <c r="D2041" s="456">
        <f>IF(Table10[[#This Row],[Current Age]]&gt;19,"Men's",IF(E2041&gt;15,"U19",IF(E2041&gt;13,"U15",IF(E2041&gt;11,"U13",IF(E2041&gt;0,"U11",0)))))</f>
        <v>0</v>
      </c>
      <c r="E2041" s="456">
        <f>IFERROR(IF(Table10[[#This Row],[Year]]&gt;0,$E$1-Table10[[#This Row],[Year]],0),"")</f>
        <v>0</v>
      </c>
      <c r="F2041" s="456"/>
      <c r="G2041" s="456"/>
      <c r="H2041" s="456"/>
    </row>
    <row r="2042" spans="1:8">
      <c r="A2042" s="471">
        <v>3039</v>
      </c>
      <c r="B2042" s="493" t="s">
        <v>3008</v>
      </c>
      <c r="C2042" s="472" t="s">
        <v>361</v>
      </c>
      <c r="D2042" s="456">
        <f>IF(Table10[[#This Row],[Current Age]]&gt;19,"Men's",IF(E2042&gt;15,"U19",IF(E2042&gt;13,"U15",IF(E2042&gt;11,"U13",IF(E2042&gt;0,"U11",0)))))</f>
        <v>0</v>
      </c>
      <c r="E2042" s="456">
        <f>IFERROR(IF(Table10[[#This Row],[Year]]&gt;0,$E$1-Table10[[#This Row],[Year]],0),"")</f>
        <v>0</v>
      </c>
      <c r="F2042" s="456"/>
      <c r="G2042" s="456"/>
      <c r="H2042" s="456"/>
    </row>
    <row r="2043" spans="1:8">
      <c r="A2043" s="456">
        <v>3040</v>
      </c>
      <c r="B2043" s="469" t="s">
        <v>3009</v>
      </c>
      <c r="C2043" s="458" t="s">
        <v>249</v>
      </c>
      <c r="D2043" s="456">
        <f>IF(Table10[[#This Row],[Current Age]]&gt;19,"Men's",IF(E2043&gt;15,"U19",IF(E2043&gt;13,"U15",IF(E2043&gt;11,"U13",IF(E2043&gt;0,"U11",0)))))</f>
        <v>0</v>
      </c>
      <c r="E2043" s="456">
        <f>IFERROR(IF(Table10[[#This Row],[Year]]&gt;0,$E$1-Table10[[#This Row],[Year]],0),"")</f>
        <v>0</v>
      </c>
      <c r="F2043" s="456"/>
      <c r="G2043" s="456"/>
      <c r="H2043" s="456"/>
    </row>
    <row r="2044" spans="1:8">
      <c r="A2044" s="471">
        <v>3041</v>
      </c>
      <c r="B2044" s="493" t="s">
        <v>3010</v>
      </c>
      <c r="C2044" s="472" t="s">
        <v>361</v>
      </c>
      <c r="D2044" s="456">
        <f>IF(Table10[[#This Row],[Current Age]]&gt;19,"Men's",IF(E2044&gt;15,"U19",IF(E2044&gt;13,"U15",IF(E2044&gt;11,"U13",IF(E2044&gt;0,"U11",0)))))</f>
        <v>0</v>
      </c>
      <c r="E2044" s="456">
        <f>IFERROR(IF(Table10[[#This Row],[Year]]&gt;0,$E$1-Table10[[#This Row],[Year]],0),"")</f>
        <v>0</v>
      </c>
      <c r="F2044" s="456"/>
      <c r="G2044" s="456"/>
      <c r="H2044" s="456"/>
    </row>
    <row r="2045" spans="1:8">
      <c r="A2045" s="646">
        <v>3042</v>
      </c>
      <c r="B2045" s="495" t="s">
        <v>6069</v>
      </c>
      <c r="C2045" s="470" t="s">
        <v>250</v>
      </c>
      <c r="D2045" s="456">
        <f>IF(Table10[[#This Row],[Current Age]]&gt;19,"Men's",IF(E2045&gt;15,"U19",IF(E2045&gt;13,"U15",IF(E2045&gt;11,"U13",IF(E2045&gt;0,"U11",0)))))</f>
        <v>0</v>
      </c>
      <c r="E2045" s="456">
        <f>IFERROR(IF(Table10[[#This Row],[Year]]&gt;0,$E$1-Table10[[#This Row],[Year]],0),"")</f>
        <v>0</v>
      </c>
      <c r="F2045" s="456"/>
      <c r="G2045" s="456"/>
      <c r="H2045" s="456"/>
    </row>
    <row r="2046" spans="1:8">
      <c r="A2046" s="456">
        <v>3043</v>
      </c>
      <c r="B2046" s="469" t="s">
        <v>3011</v>
      </c>
      <c r="C2046" s="458" t="s">
        <v>361</v>
      </c>
      <c r="D2046" s="456" t="str">
        <f>IF(Table10[[#This Row],[Current Age]]&gt;19,"Men's",IF(E2046&gt;15,"U19",IF(E2046&gt;13,"U15",IF(E2046&gt;11,"U13",IF(E2046&gt;0,"U11",0)))))</f>
        <v>U15</v>
      </c>
      <c r="E2046" s="456">
        <f>IFERROR(IF(Table10[[#This Row],[Year]]&gt;0,$E$1-Table10[[#This Row],[Year]],0),"")</f>
        <v>15</v>
      </c>
      <c r="F2046" s="456">
        <v>2010</v>
      </c>
      <c r="G2046" s="456"/>
      <c r="H2046" s="456"/>
    </row>
    <row r="2047" spans="1:8">
      <c r="A2047" s="471">
        <v>3044</v>
      </c>
      <c r="B2047" s="493" t="s">
        <v>3012</v>
      </c>
      <c r="C2047" s="472" t="s">
        <v>361</v>
      </c>
      <c r="D2047" s="456" t="str">
        <f>IF(Table10[[#This Row],[Current Age]]&gt;19,"Men's",IF(E2047&gt;15,"U19",IF(E2047&gt;13,"U15",IF(E2047&gt;11,"U13",IF(E2047&gt;0,"U11",0)))))</f>
        <v>U15</v>
      </c>
      <c r="E2047" s="456">
        <f>IFERROR(IF(Table10[[#This Row],[Year]]&gt;0,$E$1-Table10[[#This Row],[Year]],0),"")</f>
        <v>14</v>
      </c>
      <c r="F2047" s="456">
        <v>2011</v>
      </c>
      <c r="G2047" s="456"/>
      <c r="H2047" s="456"/>
    </row>
    <row r="2048" spans="1:8">
      <c r="A2048" s="456">
        <v>3045</v>
      </c>
      <c r="B2048" s="469" t="s">
        <v>3013</v>
      </c>
      <c r="C2048" s="458" t="s">
        <v>361</v>
      </c>
      <c r="D2048" s="456" t="str">
        <f>IF(Table10[[#This Row],[Current Age]]&gt;19,"Men's",IF(E2048&gt;15,"U19",IF(E2048&gt;13,"U15",IF(E2048&gt;11,"U13",IF(E2048&gt;0,"U11",0)))))</f>
        <v>U19</v>
      </c>
      <c r="E2048" s="456">
        <f>IFERROR(IF(Table10[[#This Row],[Year]]&gt;0,$E$1-Table10[[#This Row],[Year]],0),"")</f>
        <v>17</v>
      </c>
      <c r="F2048" s="456">
        <v>2008</v>
      </c>
      <c r="G2048" s="456"/>
      <c r="H2048" s="456"/>
    </row>
    <row r="2049" spans="1:8">
      <c r="A2049" s="471">
        <v>3046</v>
      </c>
      <c r="B2049" s="493" t="s">
        <v>3014</v>
      </c>
      <c r="C2049" s="472" t="s">
        <v>361</v>
      </c>
      <c r="D2049" s="456">
        <f>IF(Table10[[#This Row],[Current Age]]&gt;19,"Men's",IF(E2049&gt;15,"U19",IF(E2049&gt;13,"U15",IF(E2049&gt;11,"U13",IF(E2049&gt;0,"U11",0)))))</f>
        <v>0</v>
      </c>
      <c r="E2049" s="456">
        <f>IFERROR(IF(Table10[[#This Row],[Year]]&gt;0,$E$1-Table10[[#This Row],[Year]],0),"")</f>
        <v>0</v>
      </c>
      <c r="F2049" s="456"/>
      <c r="G2049" s="456"/>
      <c r="H2049" s="456"/>
    </row>
    <row r="2050" spans="1:8">
      <c r="A2050" s="456">
        <v>3047</v>
      </c>
      <c r="B2050" s="469" t="s">
        <v>3015</v>
      </c>
      <c r="C2050" s="458" t="s">
        <v>361</v>
      </c>
      <c r="D2050" s="456">
        <f>IF(Table10[[#This Row],[Current Age]]&gt;19,"Men's",IF(E2050&gt;15,"U19",IF(E2050&gt;13,"U15",IF(E2050&gt;11,"U13",IF(E2050&gt;0,"U11",0)))))</f>
        <v>0</v>
      </c>
      <c r="E2050" s="456">
        <f>IFERROR(IF(Table10[[#This Row],[Year]]&gt;0,$E$1-Table10[[#This Row],[Year]],0),"")</f>
        <v>0</v>
      </c>
      <c r="F2050" s="456"/>
      <c r="G2050" s="456"/>
      <c r="H2050" s="456"/>
    </row>
    <row r="2051" spans="1:8">
      <c r="A2051" s="471">
        <v>3048</v>
      </c>
      <c r="B2051" s="493" t="s">
        <v>3016</v>
      </c>
      <c r="C2051" s="472" t="s">
        <v>361</v>
      </c>
      <c r="D2051" s="456">
        <f>IF(Table10[[#This Row],[Current Age]]&gt;19,"Men's",IF(E2051&gt;15,"U19",IF(E2051&gt;13,"U15",IF(E2051&gt;11,"U13",IF(E2051&gt;0,"U11",0)))))</f>
        <v>0</v>
      </c>
      <c r="E2051" s="456">
        <f>IFERROR(IF(Table10[[#This Row],[Year]]&gt;0,$E$1-Table10[[#This Row],[Year]],0),"")</f>
        <v>0</v>
      </c>
      <c r="F2051" s="456"/>
      <c r="G2051" s="456"/>
      <c r="H2051" s="456"/>
    </row>
    <row r="2052" spans="1:8">
      <c r="A2052" s="456">
        <v>3049</v>
      </c>
      <c r="B2052" s="469" t="s">
        <v>3017</v>
      </c>
      <c r="C2052" s="458" t="s">
        <v>361</v>
      </c>
      <c r="D2052" s="456">
        <f>IF(Table10[[#This Row],[Current Age]]&gt;19,"Men's",IF(E2052&gt;15,"U19",IF(E2052&gt;13,"U15",IF(E2052&gt;11,"U13",IF(E2052&gt;0,"U11",0)))))</f>
        <v>0</v>
      </c>
      <c r="E2052" s="456">
        <f>IFERROR(IF(Table10[[#This Row],[Year]]&gt;0,$E$1-Table10[[#This Row],[Year]],0),"")</f>
        <v>0</v>
      </c>
      <c r="F2052" s="456"/>
      <c r="G2052" s="456"/>
      <c r="H2052" s="456"/>
    </row>
    <row r="2053" spans="1:8">
      <c r="A2053" s="471">
        <v>3050</v>
      </c>
      <c r="B2053" s="493" t="s">
        <v>3024</v>
      </c>
      <c r="C2053" s="472" t="s">
        <v>361</v>
      </c>
      <c r="D2053" s="456">
        <f>IF(Table10[[#This Row],[Current Age]]&gt;19,"Men's",IF(E2053&gt;15,"U19",IF(E2053&gt;13,"U15",IF(E2053&gt;11,"U13",IF(E2053&gt;0,"U11",0)))))</f>
        <v>0</v>
      </c>
      <c r="E2053" s="456">
        <f>IFERROR(IF(Table10[[#This Row],[Year]]&gt;0,$E$1-Table10[[#This Row],[Year]],0),"")</f>
        <v>0</v>
      </c>
      <c r="F2053" s="456"/>
      <c r="G2053" s="456"/>
      <c r="H2053" s="456"/>
    </row>
    <row r="2054" spans="1:8">
      <c r="A2054" s="456">
        <v>3051</v>
      </c>
      <c r="B2054" s="469" t="s">
        <v>3890</v>
      </c>
      <c r="C2054" s="458" t="s">
        <v>361</v>
      </c>
      <c r="D2054" s="456">
        <f>IF(Table10[[#This Row],[Current Age]]&gt;19,"Men's",IF(E2054&gt;15,"U19",IF(E2054&gt;13,"U15",IF(E2054&gt;11,"U13",IF(E2054&gt;0,"U11",0)))))</f>
        <v>0</v>
      </c>
      <c r="E2054" s="456">
        <f>IFERROR(IF(Table10[[#This Row],[Year]]&gt;0,$E$1-Table10[[#This Row],[Year]],0),"")</f>
        <v>0</v>
      </c>
      <c r="F2054" s="456"/>
      <c r="G2054" s="456"/>
      <c r="H2054" s="456"/>
    </row>
    <row r="2055" spans="1:8">
      <c r="A2055" s="471">
        <v>3052</v>
      </c>
      <c r="B2055" s="493" t="s">
        <v>3029</v>
      </c>
      <c r="C2055" s="472" t="s">
        <v>4552</v>
      </c>
      <c r="D2055" s="456">
        <f>IF(Table10[[#This Row],[Current Age]]&gt;19,"Men's",IF(E2055&gt;15,"U19",IF(E2055&gt;13,"U15",IF(E2055&gt;11,"U13",IF(E2055&gt;0,"U11",0)))))</f>
        <v>0</v>
      </c>
      <c r="E2055" s="456">
        <f>IFERROR(IF(Table10[[#This Row],[Year]]&gt;0,$E$1-Table10[[#This Row],[Year]],0),"")</f>
        <v>0</v>
      </c>
      <c r="F2055" s="456"/>
      <c r="G2055" s="456"/>
      <c r="H2055" s="456"/>
    </row>
    <row r="2056" spans="1:8">
      <c r="A2056" s="456">
        <v>3053</v>
      </c>
      <c r="B2056" s="469" t="s">
        <v>3030</v>
      </c>
      <c r="C2056" s="458" t="s">
        <v>4552</v>
      </c>
      <c r="D2056" s="456">
        <f>IF(Table10[[#This Row],[Current Age]]&gt;19,"Men's",IF(E2056&gt;15,"U19",IF(E2056&gt;13,"U15",IF(E2056&gt;11,"U13",IF(E2056&gt;0,"U11",0)))))</f>
        <v>0</v>
      </c>
      <c r="E2056" s="456">
        <f>IFERROR(IF(Table10[[#This Row],[Year]]&gt;0,$E$1-Table10[[#This Row],[Year]],0),"")</f>
        <v>0</v>
      </c>
      <c r="F2056" s="456"/>
      <c r="G2056" s="456"/>
      <c r="H2056" s="456"/>
    </row>
    <row r="2057" spans="1:8">
      <c r="A2057" s="471">
        <v>3054</v>
      </c>
      <c r="B2057" s="493" t="s">
        <v>3031</v>
      </c>
      <c r="C2057" s="472" t="s">
        <v>2857</v>
      </c>
      <c r="D2057" s="456">
        <f>IF(Table10[[#This Row],[Current Age]]&gt;19,"Men's",IF(E2057&gt;15,"U19",IF(E2057&gt;13,"U15",IF(E2057&gt;11,"U13",IF(E2057&gt;0,"U11",0)))))</f>
        <v>0</v>
      </c>
      <c r="E2057" s="456">
        <f>IFERROR(IF(Table10[[#This Row],[Year]]&gt;0,$E$1-Table10[[#This Row],[Year]],0),"")</f>
        <v>0</v>
      </c>
      <c r="F2057" s="456"/>
      <c r="G2057" s="456"/>
      <c r="H2057" s="456"/>
    </row>
    <row r="2058" spans="1:8">
      <c r="A2058" s="456">
        <v>3055</v>
      </c>
      <c r="B2058" s="469" t="s">
        <v>3032</v>
      </c>
      <c r="C2058" s="458" t="s">
        <v>4552</v>
      </c>
      <c r="D2058" s="456">
        <f>IF(Table10[[#This Row],[Current Age]]&gt;19,"Men's",IF(E2058&gt;15,"U19",IF(E2058&gt;13,"U15",IF(E2058&gt;11,"U13",IF(E2058&gt;0,"U11",0)))))</f>
        <v>0</v>
      </c>
      <c r="E2058" s="456">
        <f>IFERROR(IF(Table10[[#This Row],[Year]]&gt;0,$E$1-Table10[[#This Row],[Year]],0),"")</f>
        <v>0</v>
      </c>
      <c r="F2058" s="456"/>
      <c r="G2058" s="456"/>
      <c r="H2058" s="456"/>
    </row>
    <row r="2059" spans="1:8">
      <c r="A2059" s="471">
        <v>3056</v>
      </c>
      <c r="B2059" s="493" t="s">
        <v>3036</v>
      </c>
      <c r="C2059" s="472" t="s">
        <v>4552</v>
      </c>
      <c r="D2059" s="456">
        <f>IF(Table10[[#This Row],[Current Age]]&gt;19,"Men's",IF(E2059&gt;15,"U19",IF(E2059&gt;13,"U15",IF(E2059&gt;11,"U13",IF(E2059&gt;0,"U11",0)))))</f>
        <v>0</v>
      </c>
      <c r="E2059" s="456">
        <f>IFERROR(IF(Table10[[#This Row],[Year]]&gt;0,$E$1-Table10[[#This Row],[Year]],0),"")</f>
        <v>0</v>
      </c>
      <c r="F2059" s="456"/>
      <c r="G2059" s="456"/>
      <c r="H2059" s="456"/>
    </row>
    <row r="2060" spans="1:8">
      <c r="A2060" s="456">
        <v>3057</v>
      </c>
      <c r="B2060" s="469" t="s">
        <v>3035</v>
      </c>
      <c r="C2060" s="458" t="s">
        <v>2857</v>
      </c>
      <c r="D2060" s="456">
        <f>IF(Table10[[#This Row],[Current Age]]&gt;19,"Men's",IF(E2060&gt;15,"U19",IF(E2060&gt;13,"U15",IF(E2060&gt;11,"U13",IF(E2060&gt;0,"U11",0)))))</f>
        <v>0</v>
      </c>
      <c r="E2060" s="456">
        <f>IFERROR(IF(Table10[[#This Row],[Year]]&gt;0,$E$1-Table10[[#This Row],[Year]],0),"")</f>
        <v>0</v>
      </c>
      <c r="F2060" s="456"/>
      <c r="G2060" s="456"/>
      <c r="H2060" s="456"/>
    </row>
    <row r="2061" spans="1:8">
      <c r="A2061" s="471">
        <v>3058</v>
      </c>
      <c r="B2061" s="493" t="s">
        <v>3034</v>
      </c>
      <c r="C2061" s="472" t="s">
        <v>4552</v>
      </c>
      <c r="D2061" s="456">
        <f>IF(Table10[[#This Row],[Current Age]]&gt;19,"Men's",IF(E2061&gt;15,"U19",IF(E2061&gt;13,"U15",IF(E2061&gt;11,"U13",IF(E2061&gt;0,"U11",0)))))</f>
        <v>0</v>
      </c>
      <c r="E2061" s="456">
        <f>IFERROR(IF(Table10[[#This Row],[Year]]&gt;0,$E$1-Table10[[#This Row],[Year]],0),"")</f>
        <v>0</v>
      </c>
      <c r="F2061" s="456"/>
      <c r="G2061" s="456"/>
      <c r="H2061" s="456"/>
    </row>
    <row r="2062" spans="1:8">
      <c r="A2062" s="456">
        <v>3059</v>
      </c>
      <c r="B2062" s="469" t="s">
        <v>3033</v>
      </c>
      <c r="C2062" s="458" t="s">
        <v>4552</v>
      </c>
      <c r="D2062" s="456">
        <f>IF(Table10[[#This Row],[Current Age]]&gt;19,"Men's",IF(E2062&gt;15,"U19",IF(E2062&gt;13,"U15",IF(E2062&gt;11,"U13",IF(E2062&gt;0,"U11",0)))))</f>
        <v>0</v>
      </c>
      <c r="E2062" s="456">
        <f>IFERROR(IF(Table10[[#This Row],[Year]]&gt;0,$E$1-Table10[[#This Row],[Year]],0),"")</f>
        <v>0</v>
      </c>
      <c r="F2062" s="456"/>
      <c r="G2062" s="456"/>
      <c r="H2062" s="456"/>
    </row>
    <row r="2063" spans="1:8">
      <c r="A2063" s="471">
        <v>3060</v>
      </c>
      <c r="B2063" s="493" t="s">
        <v>3037</v>
      </c>
      <c r="C2063" s="472" t="s">
        <v>1908</v>
      </c>
      <c r="D2063" s="456">
        <f>IF(Table10[[#This Row],[Current Age]]&gt;19,"Men's",IF(E2063&gt;15,"U19",IF(E2063&gt;13,"U15",IF(E2063&gt;11,"U13",IF(E2063&gt;0,"U11",0)))))</f>
        <v>0</v>
      </c>
      <c r="E2063" s="456">
        <f>IFERROR(IF(Table10[[#This Row],[Year]]&gt;0,$E$1-Table10[[#This Row],[Year]],0),"")</f>
        <v>0</v>
      </c>
      <c r="F2063" s="456"/>
      <c r="G2063" s="456"/>
      <c r="H2063" s="456"/>
    </row>
    <row r="2064" spans="1:8">
      <c r="A2064" s="456">
        <v>3061</v>
      </c>
      <c r="B2064" s="469" t="s">
        <v>3045</v>
      </c>
      <c r="C2064" s="458" t="s">
        <v>762</v>
      </c>
      <c r="D2064" s="456">
        <f>IF(Table10[[#This Row],[Current Age]]&gt;19,"Men's",IF(E2064&gt;15,"U19",IF(E2064&gt;13,"U15",IF(E2064&gt;11,"U13",IF(E2064&gt;0,"U11",0)))))</f>
        <v>0</v>
      </c>
      <c r="E2064" s="456">
        <f>IFERROR(IF(Table10[[#This Row],[Year]]&gt;0,$E$1-Table10[[#This Row],[Year]],0),"")</f>
        <v>0</v>
      </c>
      <c r="F2064" s="456"/>
      <c r="G2064" s="456"/>
      <c r="H2064" s="456"/>
    </row>
    <row r="2065" spans="1:8">
      <c r="A2065" s="471">
        <v>3062</v>
      </c>
      <c r="B2065" s="493" t="s">
        <v>3046</v>
      </c>
      <c r="C2065" s="472" t="s">
        <v>251</v>
      </c>
      <c r="D2065" s="456">
        <f>IF(Table10[[#This Row],[Current Age]]&gt;19,"Men's",IF(E2065&gt;15,"U19",IF(E2065&gt;13,"U15",IF(E2065&gt;11,"U13",IF(E2065&gt;0,"U11",0)))))</f>
        <v>0</v>
      </c>
      <c r="E2065" s="456">
        <f>IFERROR(IF(Table10[[#This Row],[Year]]&gt;0,$E$1-Table10[[#This Row],[Year]],0),"")</f>
        <v>0</v>
      </c>
      <c r="F2065" s="456"/>
      <c r="G2065" s="456"/>
      <c r="H2065" s="456"/>
    </row>
    <row r="2066" spans="1:8">
      <c r="A2066" s="456">
        <v>3063</v>
      </c>
      <c r="B2066" s="469" t="s">
        <v>3047</v>
      </c>
      <c r="C2066" s="458" t="s">
        <v>251</v>
      </c>
      <c r="D2066" s="456" t="str">
        <f>IF(Table10[[#This Row],[Current Age]]&gt;19,"Men's",IF(E2066&gt;15,"U19",IF(E2066&gt;13,"U15",IF(E2066&gt;11,"U13",IF(E2066&gt;0,"U11",0)))))</f>
        <v>U19</v>
      </c>
      <c r="E2066" s="456">
        <f>IFERROR(IF(Table10[[#This Row],[Year]]&gt;0,$E$1-Table10[[#This Row],[Year]],0),"")</f>
        <v>18</v>
      </c>
      <c r="F2066" s="456">
        <v>2007</v>
      </c>
      <c r="G2066" s="456">
        <v>8</v>
      </c>
      <c r="H2066" s="456">
        <v>20</v>
      </c>
    </row>
    <row r="2067" spans="1:8">
      <c r="A2067" s="471">
        <v>3064</v>
      </c>
      <c r="B2067" s="493" t="s">
        <v>3048</v>
      </c>
      <c r="C2067" s="472" t="s">
        <v>762</v>
      </c>
      <c r="D2067" s="456">
        <f>IF(Table10[[#This Row],[Current Age]]&gt;19,"Men's",IF(E2067&gt;15,"U19",IF(E2067&gt;13,"U15",IF(E2067&gt;11,"U13",IF(E2067&gt;0,"U11",0)))))</f>
        <v>0</v>
      </c>
      <c r="E2067" s="456">
        <f>IFERROR(IF(Table10[[#This Row],[Year]]&gt;0,$E$1-Table10[[#This Row],[Year]],0),"")</f>
        <v>0</v>
      </c>
      <c r="F2067" s="456"/>
      <c r="G2067" s="456"/>
      <c r="H2067" s="456"/>
    </row>
    <row r="2068" spans="1:8">
      <c r="A2068" s="456">
        <v>3065</v>
      </c>
      <c r="B2068" s="469" t="s">
        <v>3049</v>
      </c>
      <c r="C2068" s="458" t="s">
        <v>762</v>
      </c>
      <c r="D2068" s="456">
        <f>IF(Table10[[#This Row],[Current Age]]&gt;19,"Men's",IF(E2068&gt;15,"U19",IF(E2068&gt;13,"U15",IF(E2068&gt;11,"U13",IF(E2068&gt;0,"U11",0)))))</f>
        <v>0</v>
      </c>
      <c r="E2068" s="456">
        <f>IFERROR(IF(Table10[[#This Row],[Year]]&gt;0,$E$1-Table10[[#This Row],[Year]],0),"")</f>
        <v>0</v>
      </c>
      <c r="F2068" s="456"/>
      <c r="G2068" s="456"/>
      <c r="H2068" s="456"/>
    </row>
    <row r="2069" spans="1:8">
      <c r="A2069" s="471">
        <v>3066</v>
      </c>
      <c r="B2069" s="493" t="s">
        <v>3050</v>
      </c>
      <c r="C2069" s="472" t="s">
        <v>251</v>
      </c>
      <c r="D2069" s="456" t="str">
        <f>IF(Table10[[#This Row],[Current Age]]&gt;19,"Men's",IF(E2069&gt;15,"U19",IF(E2069&gt;13,"U15",IF(E2069&gt;11,"U13",IF(E2069&gt;0,"U11",0)))))</f>
        <v>U19</v>
      </c>
      <c r="E2069" s="456">
        <f>IFERROR(IF(Table10[[#This Row],[Year]]&gt;0,$E$1-Table10[[#This Row],[Year]],0),"")</f>
        <v>16</v>
      </c>
      <c r="F2069" s="456">
        <v>2009</v>
      </c>
      <c r="G2069" s="456">
        <v>10</v>
      </c>
      <c r="H2069" s="456">
        <v>27</v>
      </c>
    </row>
    <row r="2070" spans="1:8">
      <c r="A2070" s="456">
        <v>3067</v>
      </c>
      <c r="B2070" s="469" t="s">
        <v>3051</v>
      </c>
      <c r="C2070" s="458" t="s">
        <v>251</v>
      </c>
      <c r="D2070" s="456">
        <f>IF(Table10[[#This Row],[Current Age]]&gt;19,"Men's",IF(E2070&gt;15,"U19",IF(E2070&gt;13,"U15",IF(E2070&gt;11,"U13",IF(E2070&gt;0,"U11",0)))))</f>
        <v>0</v>
      </c>
      <c r="E2070" s="456">
        <f>IFERROR(IF(Table10[[#This Row],[Year]]&gt;0,$E$1-Table10[[#This Row],[Year]],0),"")</f>
        <v>0</v>
      </c>
      <c r="F2070" s="456"/>
      <c r="G2070" s="456"/>
      <c r="H2070" s="456"/>
    </row>
    <row r="2071" spans="1:8">
      <c r="A2071" s="471">
        <v>3068</v>
      </c>
      <c r="B2071" s="493" t="s">
        <v>3052</v>
      </c>
      <c r="C2071" s="472" t="s">
        <v>251</v>
      </c>
      <c r="D2071" s="456">
        <f>IF(Table10[[#This Row],[Current Age]]&gt;19,"Men's",IF(E2071&gt;15,"U19",IF(E2071&gt;13,"U15",IF(E2071&gt;11,"U13",IF(E2071&gt;0,"U11",0)))))</f>
        <v>0</v>
      </c>
      <c r="E2071" s="456">
        <f>IFERROR(IF(Table10[[#This Row],[Year]]&gt;0,$E$1-Table10[[#This Row],[Year]],0),"")</f>
        <v>0</v>
      </c>
      <c r="F2071" s="456"/>
      <c r="G2071" s="456"/>
      <c r="H2071" s="456"/>
    </row>
    <row r="2072" spans="1:8">
      <c r="A2072" s="456">
        <v>3069</v>
      </c>
      <c r="B2072" s="469" t="s">
        <v>3053</v>
      </c>
      <c r="C2072" s="458" t="s">
        <v>251</v>
      </c>
      <c r="D2072" s="456">
        <f>IF(Table10[[#This Row],[Current Age]]&gt;19,"Men's",IF(E2072&gt;15,"U19",IF(E2072&gt;13,"U15",IF(E2072&gt;11,"U13",IF(E2072&gt;0,"U11",0)))))</f>
        <v>0</v>
      </c>
      <c r="E2072" s="456">
        <f>IFERROR(IF(Table10[[#This Row],[Year]]&gt;0,$E$1-Table10[[#This Row],[Year]],0),"")</f>
        <v>0</v>
      </c>
      <c r="F2072" s="456"/>
      <c r="G2072" s="456"/>
      <c r="H2072" s="456"/>
    </row>
    <row r="2073" spans="1:8">
      <c r="A2073" s="471">
        <v>3070</v>
      </c>
      <c r="B2073" s="493" t="s">
        <v>3058</v>
      </c>
      <c r="C2073" s="472" t="s">
        <v>4720</v>
      </c>
      <c r="D2073" s="456">
        <f>IF(Table10[[#This Row],[Current Age]]&gt;19,"Men's",IF(E2073&gt;15,"U19",IF(E2073&gt;13,"U15",IF(E2073&gt;11,"U13",IF(E2073&gt;0,"U11",0)))))</f>
        <v>0</v>
      </c>
      <c r="E2073" s="456">
        <f>IFERROR(IF(Table10[[#This Row],[Year]]&gt;0,$E$1-Table10[[#This Row],[Year]],0),"")</f>
        <v>0</v>
      </c>
      <c r="F2073" s="456"/>
      <c r="G2073" s="456"/>
      <c r="H2073" s="456"/>
    </row>
    <row r="2074" spans="1:8">
      <c r="A2074" s="456">
        <v>3071</v>
      </c>
      <c r="B2074" s="469" t="s">
        <v>3059</v>
      </c>
      <c r="C2074" s="458" t="s">
        <v>4720</v>
      </c>
      <c r="D2074" s="456">
        <f>IF(Table10[[#This Row],[Current Age]]&gt;19,"Men's",IF(E2074&gt;15,"U19",IF(E2074&gt;13,"U15",IF(E2074&gt;11,"U13",IF(E2074&gt;0,"U11",0)))))</f>
        <v>0</v>
      </c>
      <c r="E2074" s="456">
        <f>IFERROR(IF(Table10[[#This Row],[Year]]&gt;0,$E$1-Table10[[#This Row],[Year]],0),"")</f>
        <v>0</v>
      </c>
      <c r="F2074" s="456"/>
      <c r="G2074" s="456"/>
      <c r="H2074" s="456"/>
    </row>
    <row r="2075" spans="1:8">
      <c r="A2075" s="471">
        <v>3072</v>
      </c>
      <c r="B2075" s="493" t="s">
        <v>3060</v>
      </c>
      <c r="C2075" s="472" t="s">
        <v>251</v>
      </c>
      <c r="D2075" s="456">
        <f>IF(Table10[[#This Row],[Current Age]]&gt;19,"Men's",IF(E2075&gt;15,"U19",IF(E2075&gt;13,"U15",IF(E2075&gt;11,"U13",IF(E2075&gt;0,"U11",0)))))</f>
        <v>0</v>
      </c>
      <c r="E2075" s="456">
        <f>IFERROR(IF(Table10[[#This Row],[Year]]&gt;0,$E$1-Table10[[#This Row],[Year]],0),"")</f>
        <v>0</v>
      </c>
      <c r="F2075" s="456"/>
      <c r="G2075" s="456"/>
      <c r="H2075" s="456"/>
    </row>
    <row r="2076" spans="1:8">
      <c r="A2076" s="456">
        <v>3073</v>
      </c>
      <c r="B2076" s="469" t="s">
        <v>3061</v>
      </c>
      <c r="C2076" s="458" t="s">
        <v>251</v>
      </c>
      <c r="D2076" s="456">
        <f>IF(Table10[[#This Row],[Current Age]]&gt;19,"Men's",IF(E2076&gt;15,"U19",IF(E2076&gt;13,"U15",IF(E2076&gt;11,"U13",IF(E2076&gt;0,"U11",0)))))</f>
        <v>0</v>
      </c>
      <c r="E2076" s="456">
        <f>IFERROR(IF(Table10[[#This Row],[Year]]&gt;0,$E$1-Table10[[#This Row],[Year]],0),"")</f>
        <v>0</v>
      </c>
      <c r="F2076" s="456"/>
      <c r="G2076" s="456"/>
      <c r="H2076" s="456"/>
    </row>
    <row r="2077" spans="1:8">
      <c r="A2077" s="471">
        <v>3074</v>
      </c>
      <c r="B2077" s="493" t="s">
        <v>3062</v>
      </c>
      <c r="C2077" s="472" t="s">
        <v>251</v>
      </c>
      <c r="D2077" s="456">
        <f>IF(Table10[[#This Row],[Current Age]]&gt;19,"Men's",IF(E2077&gt;15,"U19",IF(E2077&gt;13,"U15",IF(E2077&gt;11,"U13",IF(E2077&gt;0,"U11",0)))))</f>
        <v>0</v>
      </c>
      <c r="E2077" s="456">
        <f>IFERROR(IF(Table10[[#This Row],[Year]]&gt;0,$E$1-Table10[[#This Row],[Year]],0),"")</f>
        <v>0</v>
      </c>
      <c r="F2077" s="456"/>
      <c r="G2077" s="456"/>
      <c r="H2077" s="456"/>
    </row>
    <row r="2078" spans="1:8">
      <c r="A2078" s="456">
        <v>3075</v>
      </c>
      <c r="B2078" s="469" t="s">
        <v>3063</v>
      </c>
      <c r="C2078" s="458" t="s">
        <v>251</v>
      </c>
      <c r="D2078" s="456">
        <f>IF(Table10[[#This Row],[Current Age]]&gt;19,"Men's",IF(E2078&gt;15,"U19",IF(E2078&gt;13,"U15",IF(E2078&gt;11,"U13",IF(E2078&gt;0,"U11",0)))))</f>
        <v>0</v>
      </c>
      <c r="E2078" s="456">
        <f>IFERROR(IF(Table10[[#This Row],[Year]]&gt;0,$E$1-Table10[[#This Row],[Year]],0),"")</f>
        <v>0</v>
      </c>
      <c r="F2078" s="456"/>
      <c r="G2078" s="456"/>
      <c r="H2078" s="456"/>
    </row>
    <row r="2079" spans="1:8">
      <c r="A2079" s="471">
        <v>3076</v>
      </c>
      <c r="B2079" s="493" t="s">
        <v>3064</v>
      </c>
      <c r="C2079" s="472" t="s">
        <v>251</v>
      </c>
      <c r="D2079" s="456">
        <f>IF(Table10[[#This Row],[Current Age]]&gt;19,"Men's",IF(E2079&gt;15,"U19",IF(E2079&gt;13,"U15",IF(E2079&gt;11,"U13",IF(E2079&gt;0,"U11",0)))))</f>
        <v>0</v>
      </c>
      <c r="E2079" s="456">
        <f>IFERROR(IF(Table10[[#This Row],[Year]]&gt;0,$E$1-Table10[[#This Row],[Year]],0),"")</f>
        <v>0</v>
      </c>
      <c r="F2079" s="456"/>
      <c r="G2079" s="456"/>
      <c r="H2079" s="456"/>
    </row>
    <row r="2080" spans="1:8">
      <c r="A2080" s="456">
        <v>3077</v>
      </c>
      <c r="B2080" s="469" t="s">
        <v>3065</v>
      </c>
      <c r="C2080" s="458" t="s">
        <v>251</v>
      </c>
      <c r="D2080" s="456">
        <f>IF(Table10[[#This Row],[Current Age]]&gt;19,"Men's",IF(E2080&gt;15,"U19",IF(E2080&gt;13,"U15",IF(E2080&gt;11,"U13",IF(E2080&gt;0,"U11",0)))))</f>
        <v>0</v>
      </c>
      <c r="E2080" s="456">
        <f>IFERROR(IF(Table10[[#This Row],[Year]]&gt;0,$E$1-Table10[[#This Row],[Year]],0),"")</f>
        <v>0</v>
      </c>
      <c r="F2080" s="456"/>
      <c r="G2080" s="456"/>
      <c r="H2080" s="456"/>
    </row>
    <row r="2081" spans="1:8">
      <c r="A2081" s="471">
        <v>3078</v>
      </c>
      <c r="B2081" s="493" t="s">
        <v>3069</v>
      </c>
      <c r="C2081" s="472" t="s">
        <v>251</v>
      </c>
      <c r="D2081" s="456">
        <f>IF(Table10[[#This Row],[Current Age]]&gt;19,"Men's",IF(E2081&gt;15,"U19",IF(E2081&gt;13,"U15",IF(E2081&gt;11,"U13",IF(E2081&gt;0,"U11",0)))))</f>
        <v>0</v>
      </c>
      <c r="E2081" s="456">
        <f>IFERROR(IF(Table10[[#This Row],[Year]]&gt;0,$E$1-Table10[[#This Row],[Year]],0),"")</f>
        <v>0</v>
      </c>
      <c r="F2081" s="456"/>
      <c r="G2081" s="456"/>
      <c r="H2081" s="456"/>
    </row>
    <row r="2082" spans="1:8">
      <c r="A2082" s="456">
        <v>3079</v>
      </c>
      <c r="B2082" s="469" t="s">
        <v>3070</v>
      </c>
      <c r="C2082" s="458" t="s">
        <v>251</v>
      </c>
      <c r="D2082" s="456">
        <f>IF(Table10[[#This Row],[Current Age]]&gt;19,"Men's",IF(E2082&gt;15,"U19",IF(E2082&gt;13,"U15",IF(E2082&gt;11,"U13",IF(E2082&gt;0,"U11",0)))))</f>
        <v>0</v>
      </c>
      <c r="E2082" s="456">
        <f>IFERROR(IF(Table10[[#This Row],[Year]]&gt;0,$E$1-Table10[[#This Row],[Year]],0),"")</f>
        <v>0</v>
      </c>
      <c r="F2082" s="456"/>
      <c r="G2082" s="456"/>
      <c r="H2082" s="456"/>
    </row>
    <row r="2083" spans="1:8">
      <c r="A2083" s="471">
        <v>3080</v>
      </c>
      <c r="B2083" s="493" t="s">
        <v>3072</v>
      </c>
      <c r="C2083" s="472" t="s">
        <v>251</v>
      </c>
      <c r="D2083" s="456">
        <f>IF(Table10[[#This Row],[Current Age]]&gt;19,"Men's",IF(E2083&gt;15,"U19",IF(E2083&gt;13,"U15",IF(E2083&gt;11,"U13",IF(E2083&gt;0,"U11",0)))))</f>
        <v>0</v>
      </c>
      <c r="E2083" s="456">
        <f>IFERROR(IF(Table10[[#This Row],[Year]]&gt;0,$E$1-Table10[[#This Row],[Year]],0),"")</f>
        <v>0</v>
      </c>
      <c r="F2083" s="456"/>
      <c r="G2083" s="456"/>
      <c r="H2083" s="456"/>
    </row>
    <row r="2084" spans="1:8">
      <c r="A2084" s="456">
        <v>3081</v>
      </c>
      <c r="B2084" s="469" t="s">
        <v>3073</v>
      </c>
      <c r="C2084" s="458" t="s">
        <v>251</v>
      </c>
      <c r="D2084" s="456">
        <f>IF(Table10[[#This Row],[Current Age]]&gt;19,"Men's",IF(E2084&gt;15,"U19",IF(E2084&gt;13,"U15",IF(E2084&gt;11,"U13",IF(E2084&gt;0,"U11",0)))))</f>
        <v>0</v>
      </c>
      <c r="E2084" s="456">
        <f>IFERROR(IF(Table10[[#This Row],[Year]]&gt;0,$E$1-Table10[[#This Row],[Year]],0),"")</f>
        <v>0</v>
      </c>
      <c r="F2084" s="456"/>
      <c r="G2084" s="456"/>
      <c r="H2084" s="456"/>
    </row>
    <row r="2085" spans="1:8">
      <c r="A2085" s="471">
        <v>3082</v>
      </c>
      <c r="B2085" s="493" t="s">
        <v>3074</v>
      </c>
      <c r="C2085" s="472" t="s">
        <v>251</v>
      </c>
      <c r="D2085" s="456">
        <f>IF(Table10[[#This Row],[Current Age]]&gt;19,"Men's",IF(E2085&gt;15,"U19",IF(E2085&gt;13,"U15",IF(E2085&gt;11,"U13",IF(E2085&gt;0,"U11",0)))))</f>
        <v>0</v>
      </c>
      <c r="E2085" s="456">
        <f>IFERROR(IF(Table10[[#This Row],[Year]]&gt;0,$E$1-Table10[[#This Row],[Year]],0),"")</f>
        <v>0</v>
      </c>
      <c r="F2085" s="456"/>
      <c r="G2085" s="456"/>
      <c r="H2085" s="456"/>
    </row>
    <row r="2086" spans="1:8">
      <c r="A2086" s="456">
        <v>3083</v>
      </c>
      <c r="B2086" s="469" t="s">
        <v>3075</v>
      </c>
      <c r="C2086" s="458" t="s">
        <v>251</v>
      </c>
      <c r="D2086" s="456">
        <f>IF(Table10[[#This Row],[Current Age]]&gt;19,"Men's",IF(E2086&gt;15,"U19",IF(E2086&gt;13,"U15",IF(E2086&gt;11,"U13",IF(E2086&gt;0,"U11",0)))))</f>
        <v>0</v>
      </c>
      <c r="E2086" s="456">
        <f>IFERROR(IF(Table10[[#This Row],[Year]]&gt;0,$E$1-Table10[[#This Row],[Year]],0),"")</f>
        <v>0</v>
      </c>
      <c r="F2086" s="456"/>
      <c r="G2086" s="456"/>
      <c r="H2086" s="456"/>
    </row>
    <row r="2087" spans="1:8">
      <c r="A2087" s="471">
        <v>3084</v>
      </c>
      <c r="B2087" s="493" t="s">
        <v>3077</v>
      </c>
      <c r="C2087" s="472" t="s">
        <v>4552</v>
      </c>
      <c r="D2087" s="456">
        <f>IF(Table10[[#This Row],[Current Age]]&gt;19,"Men's",IF(E2087&gt;15,"U19",IF(E2087&gt;13,"U15",IF(E2087&gt;11,"U13",IF(E2087&gt;0,"U11",0)))))</f>
        <v>0</v>
      </c>
      <c r="E2087" s="456">
        <f>IFERROR(IF(Table10[[#This Row],[Year]]&gt;0,$E$1-Table10[[#This Row],[Year]],0),"")</f>
        <v>0</v>
      </c>
      <c r="F2087" s="456"/>
      <c r="G2087" s="456"/>
      <c r="H2087" s="456"/>
    </row>
    <row r="2088" spans="1:8">
      <c r="A2088" s="456">
        <v>3085</v>
      </c>
      <c r="B2088" s="469" t="s">
        <v>3078</v>
      </c>
      <c r="C2088" s="458" t="s">
        <v>4552</v>
      </c>
      <c r="D2088" s="456">
        <f>IF(Table10[[#This Row],[Current Age]]&gt;19,"Men's",IF(E2088&gt;15,"U19",IF(E2088&gt;13,"U15",IF(E2088&gt;11,"U13",IF(E2088&gt;0,"U11",0)))))</f>
        <v>0</v>
      </c>
      <c r="E2088" s="456">
        <f>IFERROR(IF(Table10[[#This Row],[Year]]&gt;0,$E$1-Table10[[#This Row],[Year]],0),"")</f>
        <v>0</v>
      </c>
      <c r="F2088" s="456"/>
      <c r="G2088" s="456"/>
      <c r="H2088" s="456"/>
    </row>
    <row r="2089" spans="1:8">
      <c r="A2089" s="471">
        <v>3086</v>
      </c>
      <c r="B2089" s="493" t="s">
        <v>3079</v>
      </c>
      <c r="C2089" s="472" t="s">
        <v>4552</v>
      </c>
      <c r="D2089" s="456">
        <f>IF(Table10[[#This Row],[Current Age]]&gt;19,"Men's",IF(E2089&gt;15,"U19",IF(E2089&gt;13,"U15",IF(E2089&gt;11,"U13",IF(E2089&gt;0,"U11",0)))))</f>
        <v>0</v>
      </c>
      <c r="E2089" s="456">
        <f>IFERROR(IF(Table10[[#This Row],[Year]]&gt;0,$E$1-Table10[[#This Row],[Year]],0),"")</f>
        <v>0</v>
      </c>
      <c r="F2089" s="456"/>
      <c r="G2089" s="456"/>
      <c r="H2089" s="456"/>
    </row>
    <row r="2090" spans="1:8">
      <c r="A2090" s="456">
        <v>3087</v>
      </c>
      <c r="B2090" s="469" t="s">
        <v>3080</v>
      </c>
      <c r="C2090" s="458" t="s">
        <v>4552</v>
      </c>
      <c r="D2090" s="456">
        <f>IF(Table10[[#This Row],[Current Age]]&gt;19,"Men's",IF(E2090&gt;15,"U19",IF(E2090&gt;13,"U15",IF(E2090&gt;11,"U13",IF(E2090&gt;0,"U11",0)))))</f>
        <v>0</v>
      </c>
      <c r="E2090" s="456">
        <f>IFERROR(IF(Table10[[#This Row],[Year]]&gt;0,$E$1-Table10[[#This Row],[Year]],0),"")</f>
        <v>0</v>
      </c>
      <c r="F2090" s="456"/>
      <c r="G2090" s="456"/>
      <c r="H2090" s="456"/>
    </row>
    <row r="2091" spans="1:8">
      <c r="A2091" s="471">
        <v>3088</v>
      </c>
      <c r="B2091" s="493" t="s">
        <v>3081</v>
      </c>
      <c r="C2091" s="472" t="s">
        <v>2857</v>
      </c>
      <c r="D2091" s="456">
        <f>IF(Table10[[#This Row],[Current Age]]&gt;19,"Men's",IF(E2091&gt;15,"U19",IF(E2091&gt;13,"U15",IF(E2091&gt;11,"U13",IF(E2091&gt;0,"U11",0)))))</f>
        <v>0</v>
      </c>
      <c r="E2091" s="456">
        <f>IFERROR(IF(Table10[[#This Row],[Year]]&gt;0,$E$1-Table10[[#This Row],[Year]],0),"")</f>
        <v>0</v>
      </c>
      <c r="F2091" s="456"/>
      <c r="G2091" s="456"/>
      <c r="H2091" s="456"/>
    </row>
    <row r="2092" spans="1:8">
      <c r="A2092" s="456">
        <v>3089</v>
      </c>
      <c r="B2092" s="469" t="s">
        <v>3082</v>
      </c>
      <c r="C2092" s="458" t="s">
        <v>4552</v>
      </c>
      <c r="D2092" s="456">
        <f>IF(Table10[[#This Row],[Current Age]]&gt;19,"Men's",IF(E2092&gt;15,"U19",IF(E2092&gt;13,"U15",IF(E2092&gt;11,"U13",IF(E2092&gt;0,"U11",0)))))</f>
        <v>0</v>
      </c>
      <c r="E2092" s="456">
        <f>IFERROR(IF(Table10[[#This Row],[Year]]&gt;0,$E$1-Table10[[#This Row],[Year]],0),"")</f>
        <v>0</v>
      </c>
      <c r="F2092" s="456"/>
      <c r="G2092" s="456"/>
      <c r="H2092" s="456"/>
    </row>
    <row r="2093" spans="1:8">
      <c r="A2093" s="471">
        <v>3090</v>
      </c>
      <c r="B2093" s="493" t="s">
        <v>3083</v>
      </c>
      <c r="C2093" s="472" t="s">
        <v>4552</v>
      </c>
      <c r="D2093" s="456">
        <f>IF(Table10[[#This Row],[Current Age]]&gt;19,"Men's",IF(E2093&gt;15,"U19",IF(E2093&gt;13,"U15",IF(E2093&gt;11,"U13",IF(E2093&gt;0,"U11",0)))))</f>
        <v>0</v>
      </c>
      <c r="E2093" s="456">
        <f>IFERROR(IF(Table10[[#This Row],[Year]]&gt;0,$E$1-Table10[[#This Row],[Year]],0),"")</f>
        <v>0</v>
      </c>
      <c r="F2093" s="456"/>
      <c r="G2093" s="456"/>
      <c r="H2093" s="456"/>
    </row>
    <row r="2094" spans="1:8">
      <c r="A2094" s="456">
        <v>3091</v>
      </c>
      <c r="B2094" s="469" t="s">
        <v>3084</v>
      </c>
      <c r="C2094" s="458" t="s">
        <v>4552</v>
      </c>
      <c r="D2094" s="456">
        <f>IF(Table10[[#This Row],[Current Age]]&gt;19,"Men's",IF(E2094&gt;15,"U19",IF(E2094&gt;13,"U15",IF(E2094&gt;11,"U13",IF(E2094&gt;0,"U11",0)))))</f>
        <v>0</v>
      </c>
      <c r="E2094" s="456">
        <f>IFERROR(IF(Table10[[#This Row],[Year]]&gt;0,$E$1-Table10[[#This Row],[Year]],0),"")</f>
        <v>0</v>
      </c>
      <c r="F2094" s="456"/>
      <c r="G2094" s="456"/>
      <c r="H2094" s="456"/>
    </row>
    <row r="2095" spans="1:8">
      <c r="A2095" s="471">
        <v>3092</v>
      </c>
      <c r="B2095" s="493" t="s">
        <v>3094</v>
      </c>
      <c r="C2095" s="472" t="s">
        <v>244</v>
      </c>
      <c r="D2095" s="456">
        <f>IF(Table10[[#This Row],[Current Age]]&gt;19,"Men's",IF(E2095&gt;15,"U19",IF(E2095&gt;13,"U15",IF(E2095&gt;11,"U13",IF(E2095&gt;0,"U11",0)))))</f>
        <v>0</v>
      </c>
      <c r="E2095" s="456">
        <f>IFERROR(IF(Table10[[#This Row],[Year]]&gt;0,$E$1-Table10[[#This Row],[Year]],0),"")</f>
        <v>0</v>
      </c>
      <c r="F2095" s="456"/>
      <c r="G2095" s="456"/>
      <c r="H2095" s="456"/>
    </row>
    <row r="2096" spans="1:8">
      <c r="A2096" s="456">
        <v>3093</v>
      </c>
      <c r="B2096" s="469" t="s">
        <v>3095</v>
      </c>
      <c r="C2096" s="458" t="s">
        <v>762</v>
      </c>
      <c r="D2096" s="456" t="str">
        <f>IF(Table10[[#This Row],[Current Age]]&gt;19,"Men's",IF(E2096&gt;15,"U19",IF(E2096&gt;13,"U15",IF(E2096&gt;11,"U13",IF(E2096&gt;0,"U11",0)))))</f>
        <v>U19</v>
      </c>
      <c r="E2096" s="456">
        <f>IFERROR(IF(Table10[[#This Row],[Year]]&gt;0,$E$1-Table10[[#This Row],[Year]],0),"")</f>
        <v>19</v>
      </c>
      <c r="F2096" s="456">
        <v>2006</v>
      </c>
      <c r="G2096" s="456">
        <v>6</v>
      </c>
      <c r="H2096" s="456">
        <v>6</v>
      </c>
    </row>
    <row r="2097" spans="1:8">
      <c r="A2097" s="471">
        <v>3094</v>
      </c>
      <c r="B2097" s="493" t="s">
        <v>3096</v>
      </c>
      <c r="C2097" s="472" t="s">
        <v>762</v>
      </c>
      <c r="D2097" s="456" t="str">
        <f>IF(Table10[[#This Row],[Current Age]]&gt;19,"Men's",IF(E2097&gt;15,"U19",IF(E2097&gt;13,"U15",IF(E2097&gt;11,"U13",IF(E2097&gt;0,"U11",0)))))</f>
        <v>U19</v>
      </c>
      <c r="E2097" s="456">
        <f>IFERROR(IF(Table10[[#This Row],[Year]]&gt;0,$E$1-Table10[[#This Row],[Year]],0),"")</f>
        <v>18</v>
      </c>
      <c r="F2097" s="456">
        <v>2007</v>
      </c>
      <c r="G2097" s="456">
        <v>22</v>
      </c>
      <c r="H2097" s="456">
        <v>22</v>
      </c>
    </row>
    <row r="2098" spans="1:8">
      <c r="A2098" s="456">
        <v>3095</v>
      </c>
      <c r="B2098" s="469" t="s">
        <v>3097</v>
      </c>
      <c r="C2098" s="458" t="s">
        <v>762</v>
      </c>
      <c r="D2098" s="456" t="str">
        <f>IF(Table10[[#This Row],[Current Age]]&gt;19,"Men's",IF(E2098&gt;15,"U19",IF(E2098&gt;13,"U15",IF(E2098&gt;11,"U13",IF(E2098&gt;0,"U11",0)))))</f>
        <v>U19</v>
      </c>
      <c r="E2098" s="456">
        <f>IFERROR(IF(Table10[[#This Row],[Year]]&gt;0,$E$1-Table10[[#This Row],[Year]],0),"")</f>
        <v>18</v>
      </c>
      <c r="F2098" s="456">
        <v>2007</v>
      </c>
      <c r="G2098" s="456">
        <v>2</v>
      </c>
      <c r="H2098" s="456">
        <v>2</v>
      </c>
    </row>
    <row r="2099" spans="1:8">
      <c r="A2099" s="471">
        <v>3096</v>
      </c>
      <c r="B2099" s="493" t="s">
        <v>3098</v>
      </c>
      <c r="C2099" s="472" t="s">
        <v>762</v>
      </c>
      <c r="D2099" s="456" t="str">
        <f>IF(Table10[[#This Row],[Current Age]]&gt;19,"Men's",IF(E2099&gt;15,"U19",IF(E2099&gt;13,"U15",IF(E2099&gt;11,"U13",IF(E2099&gt;0,"U11",0)))))</f>
        <v>Men's</v>
      </c>
      <c r="E2099" s="456">
        <f>IFERROR(IF(Table10[[#This Row],[Year]]&gt;0,$E$1-Table10[[#This Row],[Year]],0),"")</f>
        <v>23</v>
      </c>
      <c r="F2099" s="456">
        <v>2002</v>
      </c>
      <c r="G2099" s="456">
        <v>14</v>
      </c>
      <c r="H2099" s="456">
        <v>14</v>
      </c>
    </row>
    <row r="2100" spans="1:8">
      <c r="A2100" s="456">
        <v>3097</v>
      </c>
      <c r="B2100" s="469" t="s">
        <v>3099</v>
      </c>
      <c r="C2100" s="458" t="s">
        <v>762</v>
      </c>
      <c r="D2100" s="456">
        <f>IF(Table10[[#This Row],[Current Age]]&gt;19,"Men's",IF(E2100&gt;15,"U19",IF(E2100&gt;13,"U15",IF(E2100&gt;11,"U13",IF(E2100&gt;0,"U11",0)))))</f>
        <v>0</v>
      </c>
      <c r="E2100" s="456">
        <f>IFERROR(IF(Table10[[#This Row],[Year]]&gt;0,$E$1-Table10[[#This Row],[Year]],0),"")</f>
        <v>0</v>
      </c>
      <c r="F2100" s="456"/>
      <c r="G2100" s="456"/>
      <c r="H2100" s="456"/>
    </row>
    <row r="2101" spans="1:8">
      <c r="A2101" s="471">
        <v>3098</v>
      </c>
      <c r="B2101" s="493" t="s">
        <v>3103</v>
      </c>
      <c r="C2101" s="472" t="s">
        <v>243</v>
      </c>
      <c r="D2101" s="456">
        <f>IF(Table10[[#This Row],[Current Age]]&gt;19,"Men's",IF(E2101&gt;15,"U19",IF(E2101&gt;13,"U15",IF(E2101&gt;11,"U13",IF(E2101&gt;0,"U11",0)))))</f>
        <v>0</v>
      </c>
      <c r="E2101" s="456">
        <f>IFERROR(IF(Table10[[#This Row],[Year]]&gt;0,$E$1-Table10[[#This Row],[Year]],0),"")</f>
        <v>0</v>
      </c>
      <c r="F2101" s="456"/>
      <c r="G2101" s="456"/>
      <c r="H2101" s="456"/>
    </row>
    <row r="2102" spans="1:8">
      <c r="A2102" s="456">
        <v>3099</v>
      </c>
      <c r="B2102" s="469" t="s">
        <v>3107</v>
      </c>
      <c r="C2102" s="458" t="s">
        <v>362</v>
      </c>
      <c r="D2102" s="456">
        <f>IF(Table10[[#This Row],[Current Age]]&gt;19,"Men's",IF(E2102&gt;15,"U19",IF(E2102&gt;13,"U15",IF(E2102&gt;11,"U13",IF(E2102&gt;0,"U11",0)))))</f>
        <v>0</v>
      </c>
      <c r="E2102" s="456">
        <f>IFERROR(IF(Table10[[#This Row],[Year]]&gt;0,$E$1-Table10[[#This Row],[Year]],0),"")</f>
        <v>0</v>
      </c>
      <c r="F2102" s="456"/>
      <c r="G2102" s="456"/>
      <c r="H2102" s="456"/>
    </row>
    <row r="2103" spans="1:8">
      <c r="A2103" s="471">
        <v>3100</v>
      </c>
      <c r="B2103" s="493" t="s">
        <v>3112</v>
      </c>
      <c r="C2103" s="472" t="s">
        <v>361</v>
      </c>
      <c r="D2103" s="456">
        <f>IF(Table10[[#This Row],[Current Age]]&gt;19,"Men's",IF(E2103&gt;15,"U19",IF(E2103&gt;13,"U15",IF(E2103&gt;11,"U13",IF(E2103&gt;0,"U11",0)))))</f>
        <v>0</v>
      </c>
      <c r="E2103" s="456">
        <f>IFERROR(IF(Table10[[#This Row],[Year]]&gt;0,$E$1-Table10[[#This Row],[Year]],0),"")</f>
        <v>0</v>
      </c>
      <c r="F2103" s="456"/>
      <c r="G2103" s="456"/>
      <c r="H2103" s="456"/>
    </row>
    <row r="2104" spans="1:8">
      <c r="A2104" s="456">
        <v>3101</v>
      </c>
      <c r="B2104" s="469" t="s">
        <v>3120</v>
      </c>
      <c r="C2104" s="458" t="s">
        <v>256</v>
      </c>
      <c r="D2104" s="456">
        <f>IF(Table10[[#This Row],[Current Age]]&gt;19,"Men's",IF(E2104&gt;15,"U19",IF(E2104&gt;13,"U15",IF(E2104&gt;11,"U13",IF(E2104&gt;0,"U11",0)))))</f>
        <v>0</v>
      </c>
      <c r="E2104" s="456">
        <f>IFERROR(IF(Table10[[#This Row],[Year]]&gt;0,$E$1-Table10[[#This Row],[Year]],0),"")</f>
        <v>0</v>
      </c>
      <c r="F2104" s="456"/>
      <c r="G2104" s="456"/>
      <c r="H2104" s="456"/>
    </row>
    <row r="2105" spans="1:8">
      <c r="A2105" s="471">
        <v>3102</v>
      </c>
      <c r="B2105" s="493" t="s">
        <v>3121</v>
      </c>
      <c r="C2105" s="472" t="s">
        <v>256</v>
      </c>
      <c r="D2105" s="456">
        <f>IF(Table10[[#This Row],[Current Age]]&gt;19,"Men's",IF(E2105&gt;15,"U19",IF(E2105&gt;13,"U15",IF(E2105&gt;11,"U13",IF(E2105&gt;0,"U11",0)))))</f>
        <v>0</v>
      </c>
      <c r="E2105" s="456">
        <f>IFERROR(IF(Table10[[#This Row],[Year]]&gt;0,$E$1-Table10[[#This Row],[Year]],0),"")</f>
        <v>0</v>
      </c>
      <c r="F2105" s="456"/>
      <c r="G2105" s="456"/>
      <c r="H2105" s="456"/>
    </row>
    <row r="2106" spans="1:8">
      <c r="A2106" s="456">
        <v>3103</v>
      </c>
      <c r="B2106" s="469" t="s">
        <v>3122</v>
      </c>
      <c r="C2106" s="458" t="s">
        <v>256</v>
      </c>
      <c r="D2106" s="456">
        <f>IF(Table10[[#This Row],[Current Age]]&gt;19,"Men's",IF(E2106&gt;15,"U19",IF(E2106&gt;13,"U15",IF(E2106&gt;11,"U13",IF(E2106&gt;0,"U11",0)))))</f>
        <v>0</v>
      </c>
      <c r="E2106" s="456">
        <f>IFERROR(IF(Table10[[#This Row],[Year]]&gt;0,$E$1-Table10[[#This Row],[Year]],0),"")</f>
        <v>0</v>
      </c>
      <c r="F2106" s="456"/>
      <c r="G2106" s="456"/>
      <c r="H2106" s="456"/>
    </row>
    <row r="2107" spans="1:8">
      <c r="A2107" s="471">
        <v>3104</v>
      </c>
      <c r="B2107" s="493" t="s">
        <v>3123</v>
      </c>
      <c r="C2107" s="472" t="s">
        <v>256</v>
      </c>
      <c r="D2107" s="456">
        <f>IF(Table10[[#This Row],[Current Age]]&gt;19,"Men's",IF(E2107&gt;15,"U19",IF(E2107&gt;13,"U15",IF(E2107&gt;11,"U13",IF(E2107&gt;0,"U11",0)))))</f>
        <v>0</v>
      </c>
      <c r="E2107" s="456">
        <f>IFERROR(IF(Table10[[#This Row],[Year]]&gt;0,$E$1-Table10[[#This Row],[Year]],0),"")</f>
        <v>0</v>
      </c>
      <c r="F2107" s="456"/>
      <c r="G2107" s="456"/>
      <c r="H2107" s="456"/>
    </row>
    <row r="2108" spans="1:8">
      <c r="A2108" s="456">
        <v>3105</v>
      </c>
      <c r="B2108" s="469" t="s">
        <v>3124</v>
      </c>
      <c r="C2108" s="458" t="s">
        <v>256</v>
      </c>
      <c r="D2108" s="456">
        <f>IF(Table10[[#This Row],[Current Age]]&gt;19,"Men's",IF(E2108&gt;15,"U19",IF(E2108&gt;13,"U15",IF(E2108&gt;11,"U13",IF(E2108&gt;0,"U11",0)))))</f>
        <v>0</v>
      </c>
      <c r="E2108" s="456">
        <f>IFERROR(IF(Table10[[#This Row],[Year]]&gt;0,$E$1-Table10[[#This Row],[Year]],0),"")</f>
        <v>0</v>
      </c>
      <c r="F2108" s="456"/>
      <c r="G2108" s="456"/>
      <c r="H2108" s="456"/>
    </row>
    <row r="2109" spans="1:8">
      <c r="A2109" s="471">
        <v>3106</v>
      </c>
      <c r="B2109" s="493" t="s">
        <v>3125</v>
      </c>
      <c r="C2109" s="472" t="s">
        <v>256</v>
      </c>
      <c r="D2109" s="456">
        <f>IF(Table10[[#This Row],[Current Age]]&gt;19,"Men's",IF(E2109&gt;15,"U19",IF(E2109&gt;13,"U15",IF(E2109&gt;11,"U13",IF(E2109&gt;0,"U11",0)))))</f>
        <v>0</v>
      </c>
      <c r="E2109" s="456">
        <f>IFERROR(IF(Table10[[#This Row],[Year]]&gt;0,$E$1-Table10[[#This Row],[Year]],0),"")</f>
        <v>0</v>
      </c>
      <c r="F2109" s="456"/>
      <c r="G2109" s="456"/>
      <c r="H2109" s="456"/>
    </row>
    <row r="2110" spans="1:8">
      <c r="A2110" s="456">
        <v>3107</v>
      </c>
      <c r="B2110" s="469" t="s">
        <v>3126</v>
      </c>
      <c r="C2110" s="458" t="s">
        <v>256</v>
      </c>
      <c r="D2110" s="456">
        <f>IF(Table10[[#This Row],[Current Age]]&gt;19,"Men's",IF(E2110&gt;15,"U19",IF(E2110&gt;13,"U15",IF(E2110&gt;11,"U13",IF(E2110&gt;0,"U11",0)))))</f>
        <v>0</v>
      </c>
      <c r="E2110" s="456">
        <f>IFERROR(IF(Table10[[#This Row],[Year]]&gt;0,$E$1-Table10[[#This Row],[Year]],0),"")</f>
        <v>0</v>
      </c>
      <c r="F2110" s="456"/>
      <c r="G2110" s="456"/>
      <c r="H2110" s="456"/>
    </row>
    <row r="2111" spans="1:8">
      <c r="A2111" s="471">
        <v>3108</v>
      </c>
      <c r="B2111" s="493" t="s">
        <v>3133</v>
      </c>
      <c r="C2111" s="472" t="s">
        <v>4552</v>
      </c>
      <c r="D2111" s="456" t="str">
        <f>IF(Table10[[#This Row],[Current Age]]&gt;19,"Men's",IF(E2111&gt;15,"U19",IF(E2111&gt;13,"U15",IF(E2111&gt;11,"U13",IF(E2111&gt;0,"U11",0)))))</f>
        <v>Men's</v>
      </c>
      <c r="E2111" s="456">
        <f>IFERROR(IF(Table10[[#This Row],[Year]]&gt;0,$E$1-Table10[[#This Row],[Year]],0),"")</f>
        <v>21</v>
      </c>
      <c r="F2111" s="456">
        <v>2004</v>
      </c>
      <c r="G2111" s="456">
        <v>1</v>
      </c>
      <c r="H2111" s="456">
        <v>4</v>
      </c>
    </row>
    <row r="2112" spans="1:8">
      <c r="A2112" s="456">
        <v>3109</v>
      </c>
      <c r="B2112" s="469" t="s">
        <v>3138</v>
      </c>
      <c r="C2112" s="458" t="s">
        <v>252</v>
      </c>
      <c r="D2112" s="456">
        <f>IF(Table10[[#This Row],[Current Age]]&gt;19,"Men's",IF(E2112&gt;15,"U19",IF(E2112&gt;13,"U15",IF(E2112&gt;11,"U13",IF(E2112&gt;0,"U11",0)))))</f>
        <v>0</v>
      </c>
      <c r="E2112" s="456">
        <f>IFERROR(IF(Table10[[#This Row],[Year]]&gt;0,$E$1-Table10[[#This Row],[Year]],0),"")</f>
        <v>0</v>
      </c>
      <c r="F2112" s="456"/>
      <c r="G2112" s="456"/>
      <c r="H2112" s="456"/>
    </row>
    <row r="2113" spans="1:8">
      <c r="A2113" s="471">
        <v>3110</v>
      </c>
      <c r="B2113" s="493" t="s">
        <v>3139</v>
      </c>
      <c r="C2113" s="472" t="s">
        <v>252</v>
      </c>
      <c r="D2113" s="456">
        <f>IF(Table10[[#This Row],[Current Age]]&gt;19,"Men's",IF(E2113&gt;15,"U19",IF(E2113&gt;13,"U15",IF(E2113&gt;11,"U13",IF(E2113&gt;0,"U11",0)))))</f>
        <v>0</v>
      </c>
      <c r="E2113" s="456">
        <f>IFERROR(IF(Table10[[#This Row],[Year]]&gt;0,$E$1-Table10[[#This Row],[Year]],0),"")</f>
        <v>0</v>
      </c>
      <c r="F2113" s="456"/>
      <c r="G2113" s="456"/>
      <c r="H2113" s="456"/>
    </row>
    <row r="2114" spans="1:8">
      <c r="A2114" s="456">
        <v>3111</v>
      </c>
      <c r="B2114" s="469" t="s">
        <v>3140</v>
      </c>
      <c r="C2114" s="458" t="s">
        <v>252</v>
      </c>
      <c r="D2114" s="456">
        <f>IF(Table10[[#This Row],[Current Age]]&gt;19,"Men's",IF(E2114&gt;15,"U19",IF(E2114&gt;13,"U15",IF(E2114&gt;11,"U13",IF(E2114&gt;0,"U11",0)))))</f>
        <v>0</v>
      </c>
      <c r="E2114" s="456">
        <f>IFERROR(IF(Table10[[#This Row],[Year]]&gt;0,$E$1-Table10[[#This Row],[Year]],0),"")</f>
        <v>0</v>
      </c>
      <c r="F2114" s="456"/>
      <c r="G2114" s="456"/>
      <c r="H2114" s="456"/>
    </row>
    <row r="2115" spans="1:8">
      <c r="A2115" s="471">
        <v>3112</v>
      </c>
      <c r="B2115" s="493" t="s">
        <v>3141</v>
      </c>
      <c r="C2115" s="472" t="s">
        <v>252</v>
      </c>
      <c r="D2115" s="456">
        <f>IF(Table10[[#This Row],[Current Age]]&gt;19,"Men's",IF(E2115&gt;15,"U19",IF(E2115&gt;13,"U15",IF(E2115&gt;11,"U13",IF(E2115&gt;0,"U11",0)))))</f>
        <v>0</v>
      </c>
      <c r="E2115" s="456">
        <f>IFERROR(IF(Table10[[#This Row],[Year]]&gt;0,$E$1-Table10[[#This Row],[Year]],0),"")</f>
        <v>0</v>
      </c>
      <c r="F2115" s="456"/>
      <c r="G2115" s="456"/>
      <c r="H2115" s="456"/>
    </row>
    <row r="2116" spans="1:8">
      <c r="A2116" s="456">
        <v>3113</v>
      </c>
      <c r="B2116" s="469" t="s">
        <v>3142</v>
      </c>
      <c r="C2116" s="458" t="s">
        <v>252</v>
      </c>
      <c r="D2116" s="456">
        <f>IF(Table10[[#This Row],[Current Age]]&gt;19,"Men's",IF(E2116&gt;15,"U19",IF(E2116&gt;13,"U15",IF(E2116&gt;11,"U13",IF(E2116&gt;0,"U11",0)))))</f>
        <v>0</v>
      </c>
      <c r="E2116" s="456">
        <f>IFERROR(IF(Table10[[#This Row],[Year]]&gt;0,$E$1-Table10[[#This Row],[Year]],0),"")</f>
        <v>0</v>
      </c>
      <c r="F2116" s="456"/>
      <c r="G2116" s="456"/>
      <c r="H2116" s="456"/>
    </row>
    <row r="2117" spans="1:8">
      <c r="A2117" s="471">
        <v>3114</v>
      </c>
      <c r="B2117" s="493" t="s">
        <v>3143</v>
      </c>
      <c r="C2117" s="472" t="s">
        <v>252</v>
      </c>
      <c r="D2117" s="456">
        <f>IF(Table10[[#This Row],[Current Age]]&gt;19,"Men's",IF(E2117&gt;15,"U19",IF(E2117&gt;13,"U15",IF(E2117&gt;11,"U13",IF(E2117&gt;0,"U11",0)))))</f>
        <v>0</v>
      </c>
      <c r="E2117" s="456">
        <f>IFERROR(IF(Table10[[#This Row],[Year]]&gt;0,$E$1-Table10[[#This Row],[Year]],0),"")</f>
        <v>0</v>
      </c>
      <c r="F2117" s="456"/>
      <c r="G2117" s="456"/>
      <c r="H2117" s="456"/>
    </row>
    <row r="2118" spans="1:8">
      <c r="A2118" s="456">
        <v>3115</v>
      </c>
      <c r="B2118" s="469" t="s">
        <v>3155</v>
      </c>
      <c r="C2118" s="458" t="s">
        <v>628</v>
      </c>
      <c r="D2118" s="456">
        <f>IF(Table10[[#This Row],[Current Age]]&gt;19,"Men's",IF(E2118&gt;15,"U19",IF(E2118&gt;13,"U15",IF(E2118&gt;11,"U13",IF(E2118&gt;0,"U11",0)))))</f>
        <v>0</v>
      </c>
      <c r="E2118" s="456">
        <f>IFERROR(IF(Table10[[#This Row],[Year]]&gt;0,$E$1-Table10[[#This Row],[Year]],0),"")</f>
        <v>0</v>
      </c>
      <c r="F2118" s="456"/>
      <c r="G2118" s="456"/>
      <c r="H2118" s="456"/>
    </row>
    <row r="2119" spans="1:8">
      <c r="A2119" s="471">
        <v>3116</v>
      </c>
      <c r="B2119" s="493" t="s">
        <v>3156</v>
      </c>
      <c r="C2119" s="472" t="s">
        <v>628</v>
      </c>
      <c r="D2119" s="456">
        <f>IF(Table10[[#This Row],[Current Age]]&gt;19,"Men's",IF(E2119&gt;15,"U19",IF(E2119&gt;13,"U15",IF(E2119&gt;11,"U13",IF(E2119&gt;0,"U11",0)))))</f>
        <v>0</v>
      </c>
      <c r="E2119" s="456">
        <f>IFERROR(IF(Table10[[#This Row],[Year]]&gt;0,$E$1-Table10[[#This Row],[Year]],0),"")</f>
        <v>0</v>
      </c>
      <c r="F2119" s="456"/>
      <c r="G2119" s="456"/>
      <c r="H2119" s="456"/>
    </row>
    <row r="2120" spans="1:8">
      <c r="A2120" s="456">
        <v>3117</v>
      </c>
      <c r="B2120" s="469" t="s">
        <v>3157</v>
      </c>
      <c r="C2120" s="458" t="s">
        <v>628</v>
      </c>
      <c r="D2120" s="456">
        <f>IF(Table10[[#This Row],[Current Age]]&gt;19,"Men's",IF(E2120&gt;15,"U19",IF(E2120&gt;13,"U15",IF(E2120&gt;11,"U13",IF(E2120&gt;0,"U11",0)))))</f>
        <v>0</v>
      </c>
      <c r="E2120" s="456">
        <f>IFERROR(IF(Table10[[#This Row],[Year]]&gt;0,$E$1-Table10[[#This Row],[Year]],0),"")</f>
        <v>0</v>
      </c>
      <c r="F2120" s="456"/>
      <c r="G2120" s="456"/>
      <c r="H2120" s="456"/>
    </row>
    <row r="2121" spans="1:8">
      <c r="A2121" s="471">
        <v>3118</v>
      </c>
      <c r="B2121" s="493" t="s">
        <v>3163</v>
      </c>
      <c r="C2121" s="472" t="s">
        <v>249</v>
      </c>
      <c r="D2121" s="456" t="str">
        <f>IF(Table10[[#This Row],[Current Age]]&gt;19,"Men's",IF(E2121&gt;15,"U19",IF(E2121&gt;13,"U15",IF(E2121&gt;11,"U13",IF(E2121&gt;0,"U11",0)))))</f>
        <v>U19</v>
      </c>
      <c r="E2121" s="456">
        <f>IFERROR(IF(Table10[[#This Row],[Year]]&gt;0,$E$1-Table10[[#This Row],[Year]],0),"")</f>
        <v>19</v>
      </c>
      <c r="F2121" s="456">
        <v>2006</v>
      </c>
      <c r="G2121" s="456">
        <v>5</v>
      </c>
      <c r="H2121" s="456">
        <v>3</v>
      </c>
    </row>
    <row r="2122" spans="1:8">
      <c r="A2122" s="456">
        <v>3119</v>
      </c>
      <c r="B2122" s="469" t="s">
        <v>3164</v>
      </c>
      <c r="C2122" s="458" t="s">
        <v>249</v>
      </c>
      <c r="D2122" s="456" t="str">
        <f>IF(Table10[[#This Row],[Current Age]]&gt;19,"Men's",IF(E2122&gt;15,"U19",IF(E2122&gt;13,"U15",IF(E2122&gt;11,"U13",IF(E2122&gt;0,"U11",0)))))</f>
        <v>U19</v>
      </c>
      <c r="E2122" s="456">
        <f>IFERROR(IF(Table10[[#This Row],[Year]]&gt;0,$E$1-Table10[[#This Row],[Year]],0),"")</f>
        <v>18</v>
      </c>
      <c r="F2122" s="456">
        <v>2007</v>
      </c>
      <c r="G2122" s="456">
        <v>10</v>
      </c>
      <c r="H2122" s="456">
        <v>10</v>
      </c>
    </row>
    <row r="2123" spans="1:8">
      <c r="A2123" s="471">
        <v>3120</v>
      </c>
      <c r="B2123" s="493" t="s">
        <v>3165</v>
      </c>
      <c r="C2123" s="472" t="s">
        <v>249</v>
      </c>
      <c r="D2123" s="456" t="str">
        <f>IF(Table10[[#This Row],[Current Age]]&gt;19,"Men's",IF(E2123&gt;15,"U19",IF(E2123&gt;13,"U15",IF(E2123&gt;11,"U13",IF(E2123&gt;0,"U11",0)))))</f>
        <v>Men's</v>
      </c>
      <c r="E2123" s="456">
        <f>IFERROR(IF(Table10[[#This Row],[Year]]&gt;0,$E$1-Table10[[#This Row],[Year]],0),"")</f>
        <v>21</v>
      </c>
      <c r="F2123" s="456">
        <v>2004</v>
      </c>
      <c r="G2123" s="456">
        <v>5</v>
      </c>
      <c r="H2123" s="456">
        <v>25</v>
      </c>
    </row>
    <row r="2124" spans="1:8">
      <c r="A2124" s="456">
        <v>3121</v>
      </c>
      <c r="B2124" s="469" t="s">
        <v>3166</v>
      </c>
      <c r="C2124" s="458" t="s">
        <v>249</v>
      </c>
      <c r="D2124" s="456" t="str">
        <f>IF(Table10[[#This Row],[Current Age]]&gt;19,"Men's",IF(E2124&gt;15,"U19",IF(E2124&gt;13,"U15",IF(E2124&gt;11,"U13",IF(E2124&gt;0,"U11",0)))))</f>
        <v>Men's</v>
      </c>
      <c r="E2124" s="456">
        <f>IFERROR(IF(Table10[[#This Row],[Year]]&gt;0,$E$1-Table10[[#This Row],[Year]],0),"")</f>
        <v>20</v>
      </c>
      <c r="F2124" s="456">
        <v>2005</v>
      </c>
      <c r="G2124" s="456">
        <v>5</v>
      </c>
      <c r="H2124" s="456">
        <v>5</v>
      </c>
    </row>
    <row r="2125" spans="1:8">
      <c r="A2125" s="471">
        <v>3122</v>
      </c>
      <c r="B2125" s="493" t="s">
        <v>3167</v>
      </c>
      <c r="C2125" s="472" t="s">
        <v>249</v>
      </c>
      <c r="D2125" s="456">
        <f>IF(Table10[[#This Row],[Current Age]]&gt;19,"Men's",IF(E2125&gt;15,"U19",IF(E2125&gt;13,"U15",IF(E2125&gt;11,"U13",IF(E2125&gt;0,"U11",0)))))</f>
        <v>0</v>
      </c>
      <c r="E2125" s="456">
        <f>IFERROR(IF(Table10[[#This Row],[Year]]&gt;0,$E$1-Table10[[#This Row],[Year]],0),"")</f>
        <v>0</v>
      </c>
      <c r="F2125" s="456"/>
      <c r="G2125" s="456"/>
      <c r="H2125" s="456"/>
    </row>
    <row r="2126" spans="1:8">
      <c r="A2126" s="456">
        <v>3123</v>
      </c>
      <c r="B2126" s="469" t="s">
        <v>3168</v>
      </c>
      <c r="C2126" s="458" t="s">
        <v>249</v>
      </c>
      <c r="D2126" s="456" t="str">
        <f>IF(Table10[[#This Row],[Current Age]]&gt;19,"Men's",IF(E2126&gt;15,"U19",IF(E2126&gt;13,"U15",IF(E2126&gt;11,"U13",IF(E2126&gt;0,"U11",0)))))</f>
        <v>Men's</v>
      </c>
      <c r="E2126" s="456">
        <f>IFERROR(IF(Table10[[#This Row],[Year]]&gt;0,$E$1-Table10[[#This Row],[Year]],0),"")</f>
        <v>20</v>
      </c>
      <c r="F2126" s="456">
        <v>2005</v>
      </c>
      <c r="G2126" s="456">
        <v>9</v>
      </c>
      <c r="H2126" s="456">
        <v>6</v>
      </c>
    </row>
    <row r="2127" spans="1:8">
      <c r="A2127" s="471">
        <v>3124</v>
      </c>
      <c r="B2127" s="493" t="s">
        <v>3169</v>
      </c>
      <c r="C2127" s="472" t="s">
        <v>249</v>
      </c>
      <c r="D2127" s="456" t="str">
        <f>IF(Table10[[#This Row],[Current Age]]&gt;19,"Men's",IF(E2127&gt;15,"U19",IF(E2127&gt;13,"U15",IF(E2127&gt;11,"U13",IF(E2127&gt;0,"U11",0)))))</f>
        <v>Men's</v>
      </c>
      <c r="E2127" s="456">
        <f>IFERROR(IF(Table10[[#This Row],[Year]]&gt;0,$E$1-Table10[[#This Row],[Year]],0),"")</f>
        <v>47</v>
      </c>
      <c r="F2127" s="456">
        <v>1978</v>
      </c>
      <c r="G2127" s="456">
        <v>12</v>
      </c>
      <c r="H2127" s="456">
        <v>22</v>
      </c>
    </row>
    <row r="2128" spans="1:8">
      <c r="A2128" s="456">
        <v>3125</v>
      </c>
      <c r="B2128" s="469" t="s">
        <v>847</v>
      </c>
      <c r="C2128" s="458" t="s">
        <v>250</v>
      </c>
      <c r="D2128" s="456">
        <f>IF(Table10[[#This Row],[Current Age]]&gt;19,"Men's",IF(E2128&gt;15,"U19",IF(E2128&gt;13,"U15",IF(E2128&gt;11,"U13",IF(E2128&gt;0,"U11",0)))))</f>
        <v>0</v>
      </c>
      <c r="E2128" s="456">
        <f>IFERROR(IF(Table10[[#This Row],[Year]]&gt;0,$E$1-Table10[[#This Row],[Year]],0),"")</f>
        <v>0</v>
      </c>
      <c r="F2128" s="456"/>
      <c r="G2128" s="456"/>
      <c r="H2128" s="456"/>
    </row>
    <row r="2129" spans="1:8">
      <c r="A2129" s="471">
        <v>3126</v>
      </c>
      <c r="B2129" s="493" t="s">
        <v>3172</v>
      </c>
      <c r="C2129" s="472" t="s">
        <v>361</v>
      </c>
      <c r="D2129" s="456">
        <f>IF(Table10[[#This Row],[Current Age]]&gt;19,"Men's",IF(E2129&gt;15,"U19",IF(E2129&gt;13,"U15",IF(E2129&gt;11,"U13",IF(E2129&gt;0,"U11",0)))))</f>
        <v>0</v>
      </c>
      <c r="E2129" s="456">
        <f>IFERROR(IF(Table10[[#This Row],[Year]]&gt;0,$E$1-Table10[[#This Row],[Year]],0),"")</f>
        <v>0</v>
      </c>
      <c r="F2129" s="456"/>
      <c r="G2129" s="456"/>
      <c r="H2129" s="456"/>
    </row>
    <row r="2130" spans="1:8">
      <c r="A2130" s="456">
        <v>3127</v>
      </c>
      <c r="B2130" s="469" t="s">
        <v>3173</v>
      </c>
      <c r="C2130" s="458" t="s">
        <v>361</v>
      </c>
      <c r="D2130" s="456">
        <f>IF(Table10[[#This Row],[Current Age]]&gt;19,"Men's",IF(E2130&gt;15,"U19",IF(E2130&gt;13,"U15",IF(E2130&gt;11,"U13",IF(E2130&gt;0,"U11",0)))))</f>
        <v>0</v>
      </c>
      <c r="E2130" s="456">
        <f>IFERROR(IF(Table10[[#This Row],[Year]]&gt;0,$E$1-Table10[[#This Row],[Year]],0),"")</f>
        <v>0</v>
      </c>
      <c r="F2130" s="456"/>
      <c r="G2130" s="456"/>
      <c r="H2130" s="456"/>
    </row>
    <row r="2131" spans="1:8">
      <c r="A2131" s="471">
        <v>3128</v>
      </c>
      <c r="B2131" s="493" t="s">
        <v>3174</v>
      </c>
      <c r="C2131" s="472" t="s">
        <v>361</v>
      </c>
      <c r="D2131" s="456">
        <f>IF(Table10[[#This Row],[Current Age]]&gt;19,"Men's",IF(E2131&gt;15,"U19",IF(E2131&gt;13,"U15",IF(E2131&gt;11,"U13",IF(E2131&gt;0,"U11",0)))))</f>
        <v>0</v>
      </c>
      <c r="E2131" s="456">
        <f>IFERROR(IF(Table10[[#This Row],[Year]]&gt;0,$E$1-Table10[[#This Row],[Year]],0),"")</f>
        <v>0</v>
      </c>
      <c r="F2131" s="456"/>
      <c r="G2131" s="456"/>
      <c r="H2131" s="456"/>
    </row>
    <row r="2132" spans="1:8">
      <c r="A2132" s="456">
        <v>3129</v>
      </c>
      <c r="B2132" s="469" t="s">
        <v>3175</v>
      </c>
      <c r="C2132" s="458" t="s">
        <v>361</v>
      </c>
      <c r="D2132" s="456">
        <f>IF(Table10[[#This Row],[Current Age]]&gt;19,"Men's",IF(E2132&gt;15,"U19",IF(E2132&gt;13,"U15",IF(E2132&gt;11,"U13",IF(E2132&gt;0,"U11",0)))))</f>
        <v>0</v>
      </c>
      <c r="E2132" s="456">
        <f>IFERROR(IF(Table10[[#This Row],[Year]]&gt;0,$E$1-Table10[[#This Row],[Year]],0),"")</f>
        <v>0</v>
      </c>
      <c r="F2132" s="456"/>
      <c r="G2132" s="456"/>
      <c r="H2132" s="456"/>
    </row>
    <row r="2133" spans="1:8">
      <c r="A2133" s="471">
        <v>3130</v>
      </c>
      <c r="B2133" s="493" t="s">
        <v>3178</v>
      </c>
      <c r="C2133" s="472" t="s">
        <v>361</v>
      </c>
      <c r="D2133" s="456">
        <f>IF(Table10[[#This Row],[Current Age]]&gt;19,"Men's",IF(E2133&gt;15,"U19",IF(E2133&gt;13,"U15",IF(E2133&gt;11,"U13",IF(E2133&gt;0,"U11",0)))))</f>
        <v>0</v>
      </c>
      <c r="E2133" s="456">
        <f>IFERROR(IF(Table10[[#This Row],[Year]]&gt;0,$E$1-Table10[[#This Row],[Year]],0),"")</f>
        <v>0</v>
      </c>
      <c r="F2133" s="456"/>
      <c r="G2133" s="456"/>
      <c r="H2133" s="456"/>
    </row>
    <row r="2134" spans="1:8">
      <c r="A2134" s="456">
        <v>3131</v>
      </c>
      <c r="B2134" s="469" t="s">
        <v>3179</v>
      </c>
      <c r="C2134" s="458" t="s">
        <v>361</v>
      </c>
      <c r="D2134" s="456">
        <f>IF(Table10[[#This Row],[Current Age]]&gt;19,"Men's",IF(E2134&gt;15,"U19",IF(E2134&gt;13,"U15",IF(E2134&gt;11,"U13",IF(E2134&gt;0,"U11",0)))))</f>
        <v>0</v>
      </c>
      <c r="E2134" s="456">
        <f>IFERROR(IF(Table10[[#This Row],[Year]]&gt;0,$E$1-Table10[[#This Row],[Year]],0),"")</f>
        <v>0</v>
      </c>
      <c r="F2134" s="456"/>
      <c r="G2134" s="456"/>
      <c r="H2134" s="456"/>
    </row>
    <row r="2135" spans="1:8">
      <c r="A2135" s="471">
        <v>3132</v>
      </c>
      <c r="B2135" s="493" t="s">
        <v>3180</v>
      </c>
      <c r="C2135" s="472" t="s">
        <v>361</v>
      </c>
      <c r="D2135" s="456">
        <f>IF(Table10[[#This Row],[Current Age]]&gt;19,"Men's",IF(E2135&gt;15,"U19",IF(E2135&gt;13,"U15",IF(E2135&gt;11,"U13",IF(E2135&gt;0,"U11",0)))))</f>
        <v>0</v>
      </c>
      <c r="E2135" s="456">
        <f>IFERROR(IF(Table10[[#This Row],[Year]]&gt;0,$E$1-Table10[[#This Row],[Year]],0),"")</f>
        <v>0</v>
      </c>
      <c r="F2135" s="456"/>
      <c r="G2135" s="456"/>
      <c r="H2135" s="456"/>
    </row>
    <row r="2136" spans="1:8">
      <c r="A2136" s="456">
        <v>3133</v>
      </c>
      <c r="B2136" s="469" t="s">
        <v>3183</v>
      </c>
      <c r="C2136" s="458" t="s">
        <v>362</v>
      </c>
      <c r="D2136" s="456">
        <f>IF(Table10[[#This Row],[Current Age]]&gt;19,"Men's",IF(E2136&gt;15,"U19",IF(E2136&gt;13,"U15",IF(E2136&gt;11,"U13",IF(E2136&gt;0,"U11",0)))))</f>
        <v>0</v>
      </c>
      <c r="E2136" s="456">
        <f>IFERROR(IF(Table10[[#This Row],[Year]]&gt;0,$E$1-Table10[[#This Row],[Year]],0),"")</f>
        <v>0</v>
      </c>
      <c r="F2136" s="456"/>
      <c r="G2136" s="456"/>
      <c r="H2136" s="456"/>
    </row>
    <row r="2137" spans="1:8">
      <c r="A2137" s="471">
        <v>3134</v>
      </c>
      <c r="B2137" s="493" t="s">
        <v>3184</v>
      </c>
      <c r="C2137" s="472" t="s">
        <v>362</v>
      </c>
      <c r="D2137" s="456">
        <f>IF(Table10[[#This Row],[Current Age]]&gt;19,"Men's",IF(E2137&gt;15,"U19",IF(E2137&gt;13,"U15",IF(E2137&gt;11,"U13",IF(E2137&gt;0,"U11",0)))))</f>
        <v>0</v>
      </c>
      <c r="E2137" s="456">
        <f>IFERROR(IF(Table10[[#This Row],[Year]]&gt;0,$E$1-Table10[[#This Row],[Year]],0),"")</f>
        <v>0</v>
      </c>
      <c r="F2137" s="456"/>
      <c r="G2137" s="456"/>
      <c r="H2137" s="456"/>
    </row>
    <row r="2138" spans="1:8">
      <c r="A2138" s="456">
        <v>3135</v>
      </c>
      <c r="B2138" s="469" t="s">
        <v>3185</v>
      </c>
      <c r="C2138" s="458" t="s">
        <v>362</v>
      </c>
      <c r="D2138" s="456">
        <f>IF(Table10[[#This Row],[Current Age]]&gt;19,"Men's",IF(E2138&gt;15,"U19",IF(E2138&gt;13,"U15",IF(E2138&gt;11,"U13",IF(E2138&gt;0,"U11",0)))))</f>
        <v>0</v>
      </c>
      <c r="E2138" s="456">
        <f>IFERROR(IF(Table10[[#This Row],[Year]]&gt;0,$E$1-Table10[[#This Row],[Year]],0),"")</f>
        <v>0</v>
      </c>
      <c r="F2138" s="456"/>
      <c r="G2138" s="456"/>
      <c r="H2138" s="456"/>
    </row>
    <row r="2139" spans="1:8">
      <c r="A2139" s="471">
        <v>3136</v>
      </c>
      <c r="B2139" s="493" t="s">
        <v>3186</v>
      </c>
      <c r="C2139" s="472" t="s">
        <v>361</v>
      </c>
      <c r="D2139" s="456" t="str">
        <f>IF(Table10[[#This Row],[Current Age]]&gt;19,"Men's",IF(E2139&gt;15,"U19",IF(E2139&gt;13,"U15",IF(E2139&gt;11,"U13",IF(E2139&gt;0,"U11",0)))))</f>
        <v>U19</v>
      </c>
      <c r="E2139" s="456">
        <f>IFERROR(IF(Table10[[#This Row],[Year]]&gt;0,$E$1-Table10[[#This Row],[Year]],0),"")</f>
        <v>18</v>
      </c>
      <c r="F2139" s="456">
        <v>2007</v>
      </c>
      <c r="G2139" s="456">
        <v>3</v>
      </c>
      <c r="H2139" s="456">
        <v>30</v>
      </c>
    </row>
    <row r="2140" spans="1:8">
      <c r="A2140" s="456">
        <v>3137</v>
      </c>
      <c r="B2140" s="469" t="s">
        <v>3187</v>
      </c>
      <c r="C2140" s="458" t="s">
        <v>361</v>
      </c>
      <c r="D2140" s="456" t="str">
        <f>IF(Table10[[#This Row],[Current Age]]&gt;19,"Men's",IF(E2140&gt;15,"U19",IF(E2140&gt;13,"U15",IF(E2140&gt;11,"U13",IF(E2140&gt;0,"U11",0)))))</f>
        <v>U19</v>
      </c>
      <c r="E2140" s="456">
        <f>IFERROR(IF(Table10[[#This Row],[Year]]&gt;0,$E$1-Table10[[#This Row],[Year]],0),"")</f>
        <v>19</v>
      </c>
      <c r="F2140" s="456">
        <v>2006</v>
      </c>
      <c r="G2140" s="456">
        <v>7</v>
      </c>
      <c r="H2140" s="456">
        <v>11</v>
      </c>
    </row>
    <row r="2141" spans="1:8">
      <c r="A2141" s="471">
        <v>3138</v>
      </c>
      <c r="B2141" s="493" t="s">
        <v>3188</v>
      </c>
      <c r="C2141" s="472" t="s">
        <v>361</v>
      </c>
      <c r="D2141" s="456" t="str">
        <f>IF(Table10[[#This Row],[Current Age]]&gt;19,"Men's",IF(E2141&gt;15,"U19",IF(E2141&gt;13,"U15",IF(E2141&gt;11,"U13",IF(E2141&gt;0,"U11",0)))))</f>
        <v>U19</v>
      </c>
      <c r="E2141" s="456">
        <f>IFERROR(IF(Table10[[#This Row],[Year]]&gt;0,$E$1-Table10[[#This Row],[Year]],0),"")</f>
        <v>19</v>
      </c>
      <c r="F2141" s="456">
        <v>2006</v>
      </c>
      <c r="G2141" s="456">
        <v>4</v>
      </c>
      <c r="H2141" s="456">
        <v>4</v>
      </c>
    </row>
    <row r="2142" spans="1:8">
      <c r="A2142" s="456">
        <v>3139</v>
      </c>
      <c r="B2142" s="469" t="s">
        <v>3189</v>
      </c>
      <c r="C2142" s="458" t="s">
        <v>361</v>
      </c>
      <c r="D2142" s="456" t="str">
        <f>IF(Table10[[#This Row],[Current Age]]&gt;19,"Men's",IF(E2142&gt;15,"U19",IF(E2142&gt;13,"U15",IF(E2142&gt;11,"U13",IF(E2142&gt;0,"U11",0)))))</f>
        <v>U19</v>
      </c>
      <c r="E2142" s="456">
        <f>IFERROR(IF(Table10[[#This Row],[Year]]&gt;0,$E$1-Table10[[#This Row],[Year]],0),"")</f>
        <v>19</v>
      </c>
      <c r="F2142" s="456">
        <v>2006</v>
      </c>
      <c r="G2142" s="456">
        <v>9</v>
      </c>
      <c r="H2142" s="456">
        <v>11</v>
      </c>
    </row>
    <row r="2143" spans="1:8">
      <c r="A2143" s="471">
        <v>3140</v>
      </c>
      <c r="B2143" s="493" t="s">
        <v>3190</v>
      </c>
      <c r="C2143" s="472" t="s">
        <v>361</v>
      </c>
      <c r="D2143" s="456">
        <f>IF(Table10[[#This Row],[Current Age]]&gt;19,"Men's",IF(E2143&gt;15,"U19",IF(E2143&gt;13,"U15",IF(E2143&gt;11,"U13",IF(E2143&gt;0,"U11",0)))))</f>
        <v>0</v>
      </c>
      <c r="E2143" s="456">
        <f>IFERROR(IF(Table10[[#This Row],[Year]]&gt;0,$E$1-Table10[[#This Row],[Year]],0),"")</f>
        <v>0</v>
      </c>
      <c r="F2143" s="456"/>
      <c r="G2143" s="456"/>
      <c r="H2143" s="456"/>
    </row>
    <row r="2144" spans="1:8">
      <c r="A2144" s="456">
        <v>3141</v>
      </c>
      <c r="B2144" s="469" t="s">
        <v>3191</v>
      </c>
      <c r="C2144" s="458" t="s">
        <v>361</v>
      </c>
      <c r="D2144" s="456">
        <f>IF(Table10[[#This Row],[Current Age]]&gt;19,"Men's",IF(E2144&gt;15,"U19",IF(E2144&gt;13,"U15",IF(E2144&gt;11,"U13",IF(E2144&gt;0,"U11",0)))))</f>
        <v>0</v>
      </c>
      <c r="E2144" s="456">
        <f>IFERROR(IF(Table10[[#This Row],[Year]]&gt;0,$E$1-Table10[[#This Row],[Year]],0),"")</f>
        <v>0</v>
      </c>
      <c r="F2144" s="456"/>
      <c r="G2144" s="456"/>
      <c r="H2144" s="456"/>
    </row>
    <row r="2145" spans="1:8">
      <c r="A2145" s="471">
        <v>3142</v>
      </c>
      <c r="B2145" s="493" t="s">
        <v>3192</v>
      </c>
      <c r="C2145" s="472" t="s">
        <v>361</v>
      </c>
      <c r="D2145" s="456">
        <f>IF(Table10[[#This Row],[Current Age]]&gt;19,"Men's",IF(E2145&gt;15,"U19",IF(E2145&gt;13,"U15",IF(E2145&gt;11,"U13",IF(E2145&gt;0,"U11",0)))))</f>
        <v>0</v>
      </c>
      <c r="E2145" s="456">
        <f>IFERROR(IF(Table10[[#This Row],[Year]]&gt;0,$E$1-Table10[[#This Row],[Year]],0),"")</f>
        <v>0</v>
      </c>
      <c r="F2145" s="456"/>
      <c r="G2145" s="456"/>
      <c r="H2145" s="456"/>
    </row>
    <row r="2146" spans="1:8">
      <c r="A2146" s="456">
        <v>3143</v>
      </c>
      <c r="B2146" s="469" t="s">
        <v>3193</v>
      </c>
      <c r="C2146" s="458" t="s">
        <v>361</v>
      </c>
      <c r="D2146" s="456">
        <f>IF(Table10[[#This Row],[Current Age]]&gt;19,"Men's",IF(E2146&gt;15,"U19",IF(E2146&gt;13,"U15",IF(E2146&gt;11,"U13",IF(E2146&gt;0,"U11",0)))))</f>
        <v>0</v>
      </c>
      <c r="E2146" s="456">
        <f>IFERROR(IF(Table10[[#This Row],[Year]]&gt;0,$E$1-Table10[[#This Row],[Year]],0),"")</f>
        <v>0</v>
      </c>
      <c r="F2146" s="456"/>
      <c r="G2146" s="456"/>
      <c r="H2146" s="456"/>
    </row>
    <row r="2147" spans="1:8">
      <c r="A2147" s="471">
        <v>3144</v>
      </c>
      <c r="B2147" s="493" t="s">
        <v>3194</v>
      </c>
      <c r="C2147" s="472" t="s">
        <v>361</v>
      </c>
      <c r="D2147" s="456" t="str">
        <f>IF(Table10[[#This Row],[Current Age]]&gt;19,"Men's",IF(E2147&gt;15,"U19",IF(E2147&gt;13,"U15",IF(E2147&gt;11,"U13",IF(E2147&gt;0,"U11",0)))))</f>
        <v>Men's</v>
      </c>
      <c r="E2147" s="456">
        <f>IFERROR(IF(Table10[[#This Row],[Year]]&gt;0,$E$1-Table10[[#This Row],[Year]],0),"")</f>
        <v>48</v>
      </c>
      <c r="F2147" s="456">
        <v>1977</v>
      </c>
      <c r="G2147" s="456">
        <v>9</v>
      </c>
      <c r="H2147" s="456">
        <v>11</v>
      </c>
    </row>
    <row r="2148" spans="1:8">
      <c r="A2148" s="456">
        <v>3145</v>
      </c>
      <c r="B2148" s="469" t="s">
        <v>3195</v>
      </c>
      <c r="C2148" s="458" t="s">
        <v>361</v>
      </c>
      <c r="D2148" s="456">
        <f>IF(Table10[[#This Row],[Current Age]]&gt;19,"Men's",IF(E2148&gt;15,"U19",IF(E2148&gt;13,"U15",IF(E2148&gt;11,"U13",IF(E2148&gt;0,"U11",0)))))</f>
        <v>0</v>
      </c>
      <c r="E2148" s="456">
        <f>IFERROR(IF(Table10[[#This Row],[Year]]&gt;0,$E$1-Table10[[#This Row],[Year]],0),"")</f>
        <v>0</v>
      </c>
      <c r="F2148" s="456"/>
      <c r="G2148" s="456"/>
      <c r="H2148" s="456"/>
    </row>
    <row r="2149" spans="1:8">
      <c r="A2149" s="471">
        <v>3146</v>
      </c>
      <c r="B2149" s="493" t="s">
        <v>3196</v>
      </c>
      <c r="C2149" s="472" t="s">
        <v>361</v>
      </c>
      <c r="D2149" s="456">
        <f>IF(Table10[[#This Row],[Current Age]]&gt;19,"Men's",IF(E2149&gt;15,"U19",IF(E2149&gt;13,"U15",IF(E2149&gt;11,"U13",IF(E2149&gt;0,"U11",0)))))</f>
        <v>0</v>
      </c>
      <c r="E2149" s="456">
        <f>IFERROR(IF(Table10[[#This Row],[Year]]&gt;0,$E$1-Table10[[#This Row],[Year]],0),"")</f>
        <v>0</v>
      </c>
      <c r="F2149" s="456"/>
      <c r="G2149" s="456"/>
      <c r="H2149" s="456"/>
    </row>
    <row r="2150" spans="1:8">
      <c r="A2150" s="456">
        <v>3147</v>
      </c>
      <c r="B2150" s="469" t="s">
        <v>3197</v>
      </c>
      <c r="C2150" s="458" t="s">
        <v>361</v>
      </c>
      <c r="D2150" s="456">
        <f>IF(Table10[[#This Row],[Current Age]]&gt;19,"Men's",IF(E2150&gt;15,"U19",IF(E2150&gt;13,"U15",IF(E2150&gt;11,"U13",IF(E2150&gt;0,"U11",0)))))</f>
        <v>0</v>
      </c>
      <c r="E2150" s="456">
        <f>IFERROR(IF(Table10[[#This Row],[Year]]&gt;0,$E$1-Table10[[#This Row],[Year]],0),"")</f>
        <v>0</v>
      </c>
      <c r="F2150" s="456"/>
      <c r="G2150" s="456"/>
      <c r="H2150" s="456"/>
    </row>
    <row r="2151" spans="1:8">
      <c r="A2151" s="471">
        <v>3148</v>
      </c>
      <c r="B2151" s="493" t="s">
        <v>3198</v>
      </c>
      <c r="C2151" s="472" t="s">
        <v>250</v>
      </c>
      <c r="D2151" s="456">
        <f>IF(Table10[[#This Row],[Current Age]]&gt;19,"Men's",IF(E2151&gt;15,"U19",IF(E2151&gt;13,"U15",IF(E2151&gt;11,"U13",IF(E2151&gt;0,"U11",0)))))</f>
        <v>0</v>
      </c>
      <c r="E2151" s="456">
        <f>IFERROR(IF(Table10[[#This Row],[Year]]&gt;0,$E$1-Table10[[#This Row],[Year]],0),"")</f>
        <v>0</v>
      </c>
      <c r="F2151" s="456"/>
      <c r="G2151" s="456"/>
      <c r="H2151" s="456"/>
    </row>
    <row r="2152" spans="1:8">
      <c r="A2152" s="456">
        <v>3149</v>
      </c>
      <c r="B2152" s="469" t="s">
        <v>3199</v>
      </c>
      <c r="C2152" s="458" t="s">
        <v>250</v>
      </c>
      <c r="D2152" s="456">
        <f>IF(Table10[[#This Row],[Current Age]]&gt;19,"Men's",IF(E2152&gt;15,"U19",IF(E2152&gt;13,"U15",IF(E2152&gt;11,"U13",IF(E2152&gt;0,"U11",0)))))</f>
        <v>0</v>
      </c>
      <c r="E2152" s="456">
        <f>IFERROR(IF(Table10[[#This Row],[Year]]&gt;0,$E$1-Table10[[#This Row],[Year]],0),"")</f>
        <v>0</v>
      </c>
      <c r="F2152" s="456"/>
      <c r="G2152" s="456"/>
      <c r="H2152" s="456"/>
    </row>
    <row r="2153" spans="1:8">
      <c r="A2153" s="471">
        <v>3150</v>
      </c>
      <c r="B2153" s="493" t="s">
        <v>3200</v>
      </c>
      <c r="C2153" s="472" t="s">
        <v>3201</v>
      </c>
      <c r="D2153" s="456">
        <f>IF(Table10[[#This Row],[Current Age]]&gt;19,"Men's",IF(E2153&gt;15,"U19",IF(E2153&gt;13,"U15",IF(E2153&gt;11,"U13",IF(E2153&gt;0,"U11",0)))))</f>
        <v>0</v>
      </c>
      <c r="E2153" s="456">
        <f>IFERROR(IF(Table10[[#This Row],[Year]]&gt;0,$E$1-Table10[[#This Row],[Year]],0),"")</f>
        <v>0</v>
      </c>
      <c r="F2153" s="456"/>
      <c r="G2153" s="456"/>
      <c r="H2153" s="456"/>
    </row>
    <row r="2154" spans="1:8">
      <c r="A2154" s="456">
        <v>3151</v>
      </c>
      <c r="B2154" s="469" t="s">
        <v>3202</v>
      </c>
      <c r="C2154" s="458" t="s">
        <v>3201</v>
      </c>
      <c r="D2154" s="456">
        <f>IF(Table10[[#This Row],[Current Age]]&gt;19,"Men's",IF(E2154&gt;15,"U19",IF(E2154&gt;13,"U15",IF(E2154&gt;11,"U13",IF(E2154&gt;0,"U11",0)))))</f>
        <v>0</v>
      </c>
      <c r="E2154" s="456">
        <f>IFERROR(IF(Table10[[#This Row],[Year]]&gt;0,$E$1-Table10[[#This Row],[Year]],0),"")</f>
        <v>0</v>
      </c>
      <c r="F2154" s="456"/>
      <c r="G2154" s="456"/>
      <c r="H2154" s="456"/>
    </row>
    <row r="2155" spans="1:8">
      <c r="A2155" s="471">
        <v>3152</v>
      </c>
      <c r="B2155" s="493" t="s">
        <v>6072</v>
      </c>
      <c r="C2155" s="472" t="s">
        <v>252</v>
      </c>
      <c r="D2155" s="456" t="str">
        <f>IF(Table10[[#This Row],[Current Age]]&gt;19,"Men's",IF(E2155&gt;15,"U19",IF(E2155&gt;13,"U15",IF(E2155&gt;11,"U13",IF(E2155&gt;0,"U11",0)))))</f>
        <v>U19</v>
      </c>
      <c r="E2155" s="456">
        <f>IFERROR(IF(Table10[[#This Row],[Year]]&gt;0,$E$1-Table10[[#This Row],[Year]],0),"")</f>
        <v>16</v>
      </c>
      <c r="F2155" s="456">
        <v>2009</v>
      </c>
      <c r="G2155" s="456">
        <v>1</v>
      </c>
      <c r="H2155" s="456">
        <v>12</v>
      </c>
    </row>
    <row r="2156" spans="1:8">
      <c r="A2156" s="456">
        <v>3153</v>
      </c>
      <c r="B2156" s="469" t="s">
        <v>3203</v>
      </c>
      <c r="C2156" s="458" t="s">
        <v>3204</v>
      </c>
      <c r="D2156" s="456">
        <f>IF(Table10[[#This Row],[Current Age]]&gt;19,"Men's",IF(E2156&gt;15,"U19",IF(E2156&gt;13,"U15",IF(E2156&gt;11,"U13",IF(E2156&gt;0,"U11",0)))))</f>
        <v>0</v>
      </c>
      <c r="E2156" s="456">
        <f>IFERROR(IF(Table10[[#This Row],[Year]]&gt;0,$E$1-Table10[[#This Row],[Year]],0),"")</f>
        <v>0</v>
      </c>
      <c r="F2156" s="456"/>
      <c r="G2156" s="456"/>
      <c r="H2156" s="456"/>
    </row>
    <row r="2157" spans="1:8">
      <c r="A2157" s="471">
        <v>3154</v>
      </c>
      <c r="B2157" s="493" t="s">
        <v>3205</v>
      </c>
      <c r="C2157" s="472" t="s">
        <v>3290</v>
      </c>
      <c r="D2157" s="456">
        <f>IF(Table10[[#This Row],[Current Age]]&gt;19,"Men's",IF(E2157&gt;15,"U19",IF(E2157&gt;13,"U15",IF(E2157&gt;11,"U13",IF(E2157&gt;0,"U11",0)))))</f>
        <v>0</v>
      </c>
      <c r="E2157" s="456">
        <f>IFERROR(IF(Table10[[#This Row],[Year]]&gt;0,$E$1-Table10[[#This Row],[Year]],0),"")</f>
        <v>0</v>
      </c>
      <c r="F2157" s="456"/>
      <c r="G2157" s="456"/>
      <c r="H2157" s="456"/>
    </row>
    <row r="2158" spans="1:8">
      <c r="A2158" s="456">
        <v>3155</v>
      </c>
      <c r="B2158" s="469" t="s">
        <v>3206</v>
      </c>
      <c r="C2158" s="458" t="s">
        <v>3290</v>
      </c>
      <c r="D2158" s="456">
        <f>IF(Table10[[#This Row],[Current Age]]&gt;19,"Men's",IF(E2158&gt;15,"U19",IF(E2158&gt;13,"U15",IF(E2158&gt;11,"U13",IF(E2158&gt;0,"U11",0)))))</f>
        <v>0</v>
      </c>
      <c r="E2158" s="456">
        <f>IFERROR(IF(Table10[[#This Row],[Year]]&gt;0,$E$1-Table10[[#This Row],[Year]],0),"")</f>
        <v>0</v>
      </c>
      <c r="F2158" s="456"/>
      <c r="G2158" s="456"/>
      <c r="H2158" s="456"/>
    </row>
    <row r="2159" spans="1:8">
      <c r="A2159" s="471">
        <v>3156</v>
      </c>
      <c r="B2159" s="493" t="s">
        <v>3207</v>
      </c>
      <c r="C2159" s="472" t="s">
        <v>3290</v>
      </c>
      <c r="D2159" s="456">
        <f>IF(Table10[[#This Row],[Current Age]]&gt;19,"Men's",IF(E2159&gt;15,"U19",IF(E2159&gt;13,"U15",IF(E2159&gt;11,"U13",IF(E2159&gt;0,"U11",0)))))</f>
        <v>0</v>
      </c>
      <c r="E2159" s="456">
        <f>IFERROR(IF(Table10[[#This Row],[Year]]&gt;0,$E$1-Table10[[#This Row],[Year]],0),"")</f>
        <v>0</v>
      </c>
      <c r="F2159" s="456"/>
      <c r="G2159" s="456"/>
      <c r="H2159" s="456"/>
    </row>
    <row r="2160" spans="1:8">
      <c r="A2160" s="456">
        <v>3157</v>
      </c>
      <c r="B2160" s="469" t="s">
        <v>3208</v>
      </c>
      <c r="C2160" s="458" t="s">
        <v>3290</v>
      </c>
      <c r="D2160" s="456">
        <f>IF(Table10[[#This Row],[Current Age]]&gt;19,"Men's",IF(E2160&gt;15,"U19",IF(E2160&gt;13,"U15",IF(E2160&gt;11,"U13",IF(E2160&gt;0,"U11",0)))))</f>
        <v>0</v>
      </c>
      <c r="E2160" s="456">
        <f>IFERROR(IF(Table10[[#This Row],[Year]]&gt;0,$E$1-Table10[[#This Row],[Year]],0),"")</f>
        <v>0</v>
      </c>
      <c r="F2160" s="456"/>
      <c r="G2160" s="456"/>
      <c r="H2160" s="456"/>
    </row>
    <row r="2161" spans="1:8">
      <c r="A2161" s="471">
        <v>3158</v>
      </c>
      <c r="B2161" s="493" t="s">
        <v>3209</v>
      </c>
      <c r="C2161" s="472" t="s">
        <v>3290</v>
      </c>
      <c r="D2161" s="456">
        <f>IF(Table10[[#This Row],[Current Age]]&gt;19,"Men's",IF(E2161&gt;15,"U19",IF(E2161&gt;13,"U15",IF(E2161&gt;11,"U13",IF(E2161&gt;0,"U11",0)))))</f>
        <v>0</v>
      </c>
      <c r="E2161" s="456">
        <f>IFERROR(IF(Table10[[#This Row],[Year]]&gt;0,$E$1-Table10[[#This Row],[Year]],0),"")</f>
        <v>0</v>
      </c>
      <c r="F2161" s="456"/>
      <c r="G2161" s="456"/>
      <c r="H2161" s="456"/>
    </row>
    <row r="2162" spans="1:8">
      <c r="A2162" s="456">
        <v>3159</v>
      </c>
      <c r="B2162" s="469" t="s">
        <v>3210</v>
      </c>
      <c r="C2162" s="458" t="s">
        <v>3290</v>
      </c>
      <c r="D2162" s="456">
        <f>IF(Table10[[#This Row],[Current Age]]&gt;19,"Men's",IF(E2162&gt;15,"U19",IF(E2162&gt;13,"U15",IF(E2162&gt;11,"U13",IF(E2162&gt;0,"U11",0)))))</f>
        <v>0</v>
      </c>
      <c r="E2162" s="456">
        <f>IFERROR(IF(Table10[[#This Row],[Year]]&gt;0,$E$1-Table10[[#This Row],[Year]],0),"")</f>
        <v>0</v>
      </c>
      <c r="F2162" s="456"/>
      <c r="G2162" s="456"/>
      <c r="H2162" s="456"/>
    </row>
    <row r="2163" spans="1:8">
      <c r="A2163" s="471">
        <v>3160</v>
      </c>
      <c r="B2163" s="493" t="s">
        <v>3211</v>
      </c>
      <c r="C2163" s="472" t="s">
        <v>3290</v>
      </c>
      <c r="D2163" s="456">
        <f>IF(Table10[[#This Row],[Current Age]]&gt;19,"Men's",IF(E2163&gt;15,"U19",IF(E2163&gt;13,"U15",IF(E2163&gt;11,"U13",IF(E2163&gt;0,"U11",0)))))</f>
        <v>0</v>
      </c>
      <c r="E2163" s="456">
        <f>IFERROR(IF(Table10[[#This Row],[Year]]&gt;0,$E$1-Table10[[#This Row],[Year]],0),"")</f>
        <v>0</v>
      </c>
      <c r="F2163" s="456"/>
      <c r="G2163" s="456"/>
      <c r="H2163" s="456"/>
    </row>
    <row r="2164" spans="1:8">
      <c r="A2164" s="456">
        <v>3161</v>
      </c>
      <c r="B2164" s="469" t="s">
        <v>3212</v>
      </c>
      <c r="C2164" s="458" t="s">
        <v>3213</v>
      </c>
      <c r="D2164" s="456">
        <f>IF(Table10[[#This Row],[Current Age]]&gt;19,"Men's",IF(E2164&gt;15,"U19",IF(E2164&gt;13,"U15",IF(E2164&gt;11,"U13",IF(E2164&gt;0,"U11",0)))))</f>
        <v>0</v>
      </c>
      <c r="E2164" s="456">
        <f>IFERROR(IF(Table10[[#This Row],[Year]]&gt;0,$E$1-Table10[[#This Row],[Year]],0),"")</f>
        <v>0</v>
      </c>
      <c r="F2164" s="456"/>
      <c r="G2164" s="456"/>
      <c r="H2164" s="456"/>
    </row>
    <row r="2165" spans="1:8">
      <c r="A2165" s="471">
        <v>3162</v>
      </c>
      <c r="B2165" s="493" t="s">
        <v>3214</v>
      </c>
      <c r="C2165" s="472" t="s">
        <v>3213</v>
      </c>
      <c r="D2165" s="456">
        <f>IF(Table10[[#This Row],[Current Age]]&gt;19,"Men's",IF(E2165&gt;15,"U19",IF(E2165&gt;13,"U15",IF(E2165&gt;11,"U13",IF(E2165&gt;0,"U11",0)))))</f>
        <v>0</v>
      </c>
      <c r="E2165" s="456">
        <f>IFERROR(IF(Table10[[#This Row],[Year]]&gt;0,$E$1-Table10[[#This Row],[Year]],0),"")</f>
        <v>0</v>
      </c>
      <c r="F2165" s="456"/>
      <c r="G2165" s="456"/>
      <c r="H2165" s="456"/>
    </row>
    <row r="2166" spans="1:8">
      <c r="A2166" s="456">
        <v>3163</v>
      </c>
      <c r="B2166" s="469" t="s">
        <v>3215</v>
      </c>
      <c r="C2166" s="458" t="s">
        <v>3213</v>
      </c>
      <c r="D2166" s="456">
        <f>IF(Table10[[#This Row],[Current Age]]&gt;19,"Men's",IF(E2166&gt;15,"U19",IF(E2166&gt;13,"U15",IF(E2166&gt;11,"U13",IF(E2166&gt;0,"U11",0)))))</f>
        <v>0</v>
      </c>
      <c r="E2166" s="456">
        <f>IFERROR(IF(Table10[[#This Row],[Year]]&gt;0,$E$1-Table10[[#This Row],[Year]],0),"")</f>
        <v>0</v>
      </c>
      <c r="F2166" s="456"/>
      <c r="G2166" s="456"/>
      <c r="H2166" s="456"/>
    </row>
    <row r="2167" spans="1:8">
      <c r="A2167" s="471">
        <v>3164</v>
      </c>
      <c r="B2167" s="493" t="s">
        <v>3216</v>
      </c>
      <c r="C2167" s="472" t="s">
        <v>3213</v>
      </c>
      <c r="D2167" s="456">
        <f>IF(Table10[[#This Row],[Current Age]]&gt;19,"Men's",IF(E2167&gt;15,"U19",IF(E2167&gt;13,"U15",IF(E2167&gt;11,"U13",IF(E2167&gt;0,"U11",0)))))</f>
        <v>0</v>
      </c>
      <c r="E2167" s="456">
        <f>IFERROR(IF(Table10[[#This Row],[Year]]&gt;0,$E$1-Table10[[#This Row],[Year]],0),"")</f>
        <v>0</v>
      </c>
      <c r="F2167" s="456"/>
      <c r="G2167" s="456"/>
      <c r="H2167" s="456"/>
    </row>
    <row r="2168" spans="1:8">
      <c r="A2168" s="456">
        <v>3165</v>
      </c>
      <c r="B2168" s="469" t="s">
        <v>3217</v>
      </c>
      <c r="C2168" s="458" t="s">
        <v>3213</v>
      </c>
      <c r="D2168" s="456">
        <f>IF(Table10[[#This Row],[Current Age]]&gt;19,"Men's",IF(E2168&gt;15,"U19",IF(E2168&gt;13,"U15",IF(E2168&gt;11,"U13",IF(E2168&gt;0,"U11",0)))))</f>
        <v>0</v>
      </c>
      <c r="E2168" s="456">
        <f>IFERROR(IF(Table10[[#This Row],[Year]]&gt;0,$E$1-Table10[[#This Row],[Year]],0),"")</f>
        <v>0</v>
      </c>
      <c r="F2168" s="456"/>
      <c r="G2168" s="456"/>
      <c r="H2168" s="456"/>
    </row>
    <row r="2169" spans="1:8">
      <c r="A2169" s="471">
        <v>3166</v>
      </c>
      <c r="B2169" s="493" t="s">
        <v>3218</v>
      </c>
      <c r="C2169" s="472" t="s">
        <v>3213</v>
      </c>
      <c r="D2169" s="456">
        <f>IF(Table10[[#This Row],[Current Age]]&gt;19,"Men's",IF(E2169&gt;15,"U19",IF(E2169&gt;13,"U15",IF(E2169&gt;11,"U13",IF(E2169&gt;0,"U11",0)))))</f>
        <v>0</v>
      </c>
      <c r="E2169" s="456">
        <f>IFERROR(IF(Table10[[#This Row],[Year]]&gt;0,$E$1-Table10[[#This Row],[Year]],0),"")</f>
        <v>0</v>
      </c>
      <c r="F2169" s="456"/>
      <c r="G2169" s="456"/>
      <c r="H2169" s="456"/>
    </row>
    <row r="2170" spans="1:8">
      <c r="A2170" s="456">
        <v>3167</v>
      </c>
      <c r="B2170" s="469" t="s">
        <v>3219</v>
      </c>
      <c r="C2170" s="458" t="s">
        <v>3213</v>
      </c>
      <c r="D2170" s="456">
        <f>IF(Table10[[#This Row],[Current Age]]&gt;19,"Men's",IF(E2170&gt;15,"U19",IF(E2170&gt;13,"U15",IF(E2170&gt;11,"U13",IF(E2170&gt;0,"U11",0)))))</f>
        <v>0</v>
      </c>
      <c r="E2170" s="456">
        <f>IFERROR(IF(Table10[[#This Row],[Year]]&gt;0,$E$1-Table10[[#This Row],[Year]],0),"")</f>
        <v>0</v>
      </c>
      <c r="F2170" s="456"/>
      <c r="G2170" s="456"/>
      <c r="H2170" s="456"/>
    </row>
    <row r="2171" spans="1:8">
      <c r="A2171" s="471">
        <v>3168</v>
      </c>
      <c r="B2171" s="493" t="s">
        <v>3220</v>
      </c>
      <c r="C2171" s="472" t="s">
        <v>3750</v>
      </c>
      <c r="D2171" s="456">
        <f>IF(Table10[[#This Row],[Current Age]]&gt;19,"Men's",IF(E2171&gt;15,"U19",IF(E2171&gt;13,"U15",IF(E2171&gt;11,"U13",IF(E2171&gt;0,"U11",0)))))</f>
        <v>0</v>
      </c>
      <c r="E2171" s="456">
        <f>IFERROR(IF(Table10[[#This Row],[Year]]&gt;0,$E$1-Table10[[#This Row],[Year]],0),"")</f>
        <v>0</v>
      </c>
      <c r="F2171" s="456"/>
      <c r="G2171" s="456"/>
      <c r="H2171" s="456"/>
    </row>
    <row r="2172" spans="1:8">
      <c r="A2172" s="456">
        <v>3169</v>
      </c>
      <c r="B2172" s="469" t="s">
        <v>3221</v>
      </c>
      <c r="C2172" s="458" t="s">
        <v>3213</v>
      </c>
      <c r="D2172" s="456">
        <f>IF(Table10[[#This Row],[Current Age]]&gt;19,"Men's",IF(E2172&gt;15,"U19",IF(E2172&gt;13,"U15",IF(E2172&gt;11,"U13",IF(E2172&gt;0,"U11",0)))))</f>
        <v>0</v>
      </c>
      <c r="E2172" s="456">
        <f>IFERROR(IF(Table10[[#This Row],[Year]]&gt;0,$E$1-Table10[[#This Row],[Year]],0),"")</f>
        <v>0</v>
      </c>
      <c r="F2172" s="456"/>
      <c r="G2172" s="456"/>
      <c r="H2172" s="456"/>
    </row>
    <row r="2173" spans="1:8">
      <c r="A2173" s="471">
        <v>3170</v>
      </c>
      <c r="B2173" s="493" t="s">
        <v>3222</v>
      </c>
      <c r="C2173" s="472" t="s">
        <v>3213</v>
      </c>
      <c r="D2173" s="456">
        <f>IF(Table10[[#This Row],[Current Age]]&gt;19,"Men's",IF(E2173&gt;15,"U19",IF(E2173&gt;13,"U15",IF(E2173&gt;11,"U13",IF(E2173&gt;0,"U11",0)))))</f>
        <v>0</v>
      </c>
      <c r="E2173" s="456">
        <f>IFERROR(IF(Table10[[#This Row],[Year]]&gt;0,$E$1-Table10[[#This Row],[Year]],0),"")</f>
        <v>0</v>
      </c>
      <c r="F2173" s="456"/>
      <c r="G2173" s="456"/>
      <c r="H2173" s="456"/>
    </row>
    <row r="2174" spans="1:8">
      <c r="A2174" s="456">
        <v>3171</v>
      </c>
      <c r="B2174" s="469" t="s">
        <v>3223</v>
      </c>
      <c r="C2174" s="458" t="s">
        <v>3213</v>
      </c>
      <c r="D2174" s="456">
        <f>IF(Table10[[#This Row],[Current Age]]&gt;19,"Men's",IF(E2174&gt;15,"U19",IF(E2174&gt;13,"U15",IF(E2174&gt;11,"U13",IF(E2174&gt;0,"U11",0)))))</f>
        <v>0</v>
      </c>
      <c r="E2174" s="456">
        <f>IFERROR(IF(Table10[[#This Row],[Year]]&gt;0,$E$1-Table10[[#This Row],[Year]],0),"")</f>
        <v>0</v>
      </c>
      <c r="F2174" s="456"/>
      <c r="G2174" s="456"/>
      <c r="H2174" s="456"/>
    </row>
    <row r="2175" spans="1:8">
      <c r="A2175" s="471">
        <v>3172</v>
      </c>
      <c r="B2175" s="493" t="s">
        <v>3224</v>
      </c>
      <c r="C2175" s="472" t="s">
        <v>3213</v>
      </c>
      <c r="D2175" s="456">
        <f>IF(Table10[[#This Row],[Current Age]]&gt;19,"Men's",IF(E2175&gt;15,"U19",IF(E2175&gt;13,"U15",IF(E2175&gt;11,"U13",IF(E2175&gt;0,"U11",0)))))</f>
        <v>0</v>
      </c>
      <c r="E2175" s="456">
        <f>IFERROR(IF(Table10[[#This Row],[Year]]&gt;0,$E$1-Table10[[#This Row],[Year]],0),"")</f>
        <v>0</v>
      </c>
      <c r="F2175" s="456"/>
      <c r="G2175" s="456"/>
      <c r="H2175" s="456"/>
    </row>
    <row r="2176" spans="1:8">
      <c r="A2176" s="456">
        <v>3173</v>
      </c>
      <c r="B2176" s="469" t="s">
        <v>3225</v>
      </c>
      <c r="C2176" s="458" t="s">
        <v>762</v>
      </c>
      <c r="D2176" s="456">
        <f>IF(Table10[[#This Row],[Current Age]]&gt;19,"Men's",IF(E2176&gt;15,"U19",IF(E2176&gt;13,"U15",IF(E2176&gt;11,"U13",IF(E2176&gt;0,"U11",0)))))</f>
        <v>0</v>
      </c>
      <c r="E2176" s="456">
        <f>IFERROR(IF(Table10[[#This Row],[Year]]&gt;0,$E$1-Table10[[#This Row],[Year]],0),"")</f>
        <v>0</v>
      </c>
      <c r="F2176" s="456"/>
      <c r="G2176" s="456"/>
      <c r="H2176" s="456"/>
    </row>
    <row r="2177" spans="1:8">
      <c r="A2177" s="471">
        <v>3174</v>
      </c>
      <c r="B2177" s="493" t="s">
        <v>3226</v>
      </c>
      <c r="C2177" s="472" t="s">
        <v>3213</v>
      </c>
      <c r="D2177" s="456">
        <f>IF(Table10[[#This Row],[Current Age]]&gt;19,"Men's",IF(E2177&gt;15,"U19",IF(E2177&gt;13,"U15",IF(E2177&gt;11,"U13",IF(E2177&gt;0,"U11",0)))))</f>
        <v>0</v>
      </c>
      <c r="E2177" s="456">
        <f>IFERROR(IF(Table10[[#This Row],[Year]]&gt;0,$E$1-Table10[[#This Row],[Year]],0),"")</f>
        <v>0</v>
      </c>
      <c r="F2177" s="456"/>
      <c r="G2177" s="456"/>
      <c r="H2177" s="456"/>
    </row>
    <row r="2178" spans="1:8">
      <c r="A2178" s="456">
        <v>3175</v>
      </c>
      <c r="B2178" s="469" t="s">
        <v>3227</v>
      </c>
      <c r="C2178" s="458" t="s">
        <v>3213</v>
      </c>
      <c r="D2178" s="456">
        <f>IF(Table10[[#This Row],[Current Age]]&gt;19,"Men's",IF(E2178&gt;15,"U19",IF(E2178&gt;13,"U15",IF(E2178&gt;11,"U13",IF(E2178&gt;0,"U11",0)))))</f>
        <v>0</v>
      </c>
      <c r="E2178" s="456">
        <f>IFERROR(IF(Table10[[#This Row],[Year]]&gt;0,$E$1-Table10[[#This Row],[Year]],0),"")</f>
        <v>0</v>
      </c>
      <c r="F2178" s="456"/>
      <c r="G2178" s="456"/>
      <c r="H2178" s="456"/>
    </row>
    <row r="2179" spans="1:8">
      <c r="A2179" s="471">
        <v>3176</v>
      </c>
      <c r="B2179" s="493" t="s">
        <v>3228</v>
      </c>
      <c r="C2179" s="472" t="s">
        <v>3213</v>
      </c>
      <c r="D2179" s="456">
        <f>IF(Table10[[#This Row],[Current Age]]&gt;19,"Men's",IF(E2179&gt;15,"U19",IF(E2179&gt;13,"U15",IF(E2179&gt;11,"U13",IF(E2179&gt;0,"U11",0)))))</f>
        <v>0</v>
      </c>
      <c r="E2179" s="456">
        <f>IFERROR(IF(Table10[[#This Row],[Year]]&gt;0,$E$1-Table10[[#This Row],[Year]],0),"")</f>
        <v>0</v>
      </c>
      <c r="F2179" s="456"/>
      <c r="G2179" s="456"/>
      <c r="H2179" s="456"/>
    </row>
    <row r="2180" spans="1:8">
      <c r="A2180" s="456">
        <v>3177</v>
      </c>
      <c r="B2180" s="469" t="s">
        <v>3229</v>
      </c>
      <c r="C2180" s="458" t="s">
        <v>3213</v>
      </c>
      <c r="D2180" s="456">
        <f>IF(Table10[[#This Row],[Current Age]]&gt;19,"Men's",IF(E2180&gt;15,"U19",IF(E2180&gt;13,"U15",IF(E2180&gt;11,"U13",IF(E2180&gt;0,"U11",0)))))</f>
        <v>0</v>
      </c>
      <c r="E2180" s="456">
        <f>IFERROR(IF(Table10[[#This Row],[Year]]&gt;0,$E$1-Table10[[#This Row],[Year]],0),"")</f>
        <v>0</v>
      </c>
      <c r="F2180" s="456"/>
      <c r="G2180" s="456"/>
      <c r="H2180" s="456"/>
    </row>
    <row r="2181" spans="1:8">
      <c r="A2181" s="471">
        <v>3178</v>
      </c>
      <c r="B2181" s="493" t="s">
        <v>5803</v>
      </c>
      <c r="C2181" s="472" t="s">
        <v>244</v>
      </c>
      <c r="D2181" s="456">
        <f>IF(Table10[[#This Row],[Current Age]]&gt;19,"Men's",IF(E2181&gt;15,"U19",IF(E2181&gt;13,"U15",IF(E2181&gt;11,"U13",IF(E2181&gt;0,"U11",0)))))</f>
        <v>0</v>
      </c>
      <c r="E2181" s="456">
        <f>IFERROR(IF(Table10[[#This Row],[Year]]&gt;0,$E$1-Table10[[#This Row],[Year]],0),"")</f>
        <v>0</v>
      </c>
      <c r="F2181" s="456"/>
      <c r="G2181" s="456"/>
      <c r="H2181" s="456"/>
    </row>
    <row r="2182" spans="1:8">
      <c r="A2182" s="456">
        <v>3179</v>
      </c>
      <c r="B2182" s="469" t="s">
        <v>3252</v>
      </c>
      <c r="C2182" s="458" t="s">
        <v>244</v>
      </c>
      <c r="D2182" s="456">
        <f>IF(Table10[[#This Row],[Current Age]]&gt;19,"Men's",IF(E2182&gt;15,"U19",IF(E2182&gt;13,"U15",IF(E2182&gt;11,"U13",IF(E2182&gt;0,"U11",0)))))</f>
        <v>0</v>
      </c>
      <c r="E2182" s="456">
        <f>IFERROR(IF(Table10[[#This Row],[Year]]&gt;0,$E$1-Table10[[#This Row],[Year]],0),"")</f>
        <v>0</v>
      </c>
      <c r="F2182" s="456"/>
      <c r="G2182" s="456"/>
      <c r="H2182" s="456"/>
    </row>
    <row r="2183" spans="1:8">
      <c r="A2183" s="471">
        <v>3180</v>
      </c>
      <c r="B2183" s="493" t="s">
        <v>3253</v>
      </c>
      <c r="C2183" s="472" t="s">
        <v>244</v>
      </c>
      <c r="D2183" s="456">
        <f>IF(Table10[[#This Row],[Current Age]]&gt;19,"Men's",IF(E2183&gt;15,"U19",IF(E2183&gt;13,"U15",IF(E2183&gt;11,"U13",IF(E2183&gt;0,"U11",0)))))</f>
        <v>0</v>
      </c>
      <c r="E2183" s="456">
        <f>IFERROR(IF(Table10[[#This Row],[Year]]&gt;0,$E$1-Table10[[#This Row],[Year]],0),"")</f>
        <v>0</v>
      </c>
      <c r="F2183" s="456"/>
      <c r="G2183" s="456"/>
      <c r="H2183" s="456"/>
    </row>
    <row r="2184" spans="1:8">
      <c r="A2184" s="456">
        <v>3181</v>
      </c>
      <c r="B2184" s="469" t="s">
        <v>3254</v>
      </c>
      <c r="C2184" s="458" t="s">
        <v>244</v>
      </c>
      <c r="D2184" s="456">
        <f>IF(Table10[[#This Row],[Current Age]]&gt;19,"Men's",IF(E2184&gt;15,"U19",IF(E2184&gt;13,"U15",IF(E2184&gt;11,"U13",IF(E2184&gt;0,"U11",0)))))</f>
        <v>0</v>
      </c>
      <c r="E2184" s="456">
        <f>IFERROR(IF(Table10[[#This Row],[Year]]&gt;0,$E$1-Table10[[#This Row],[Year]],0),"")</f>
        <v>0</v>
      </c>
      <c r="F2184" s="456"/>
      <c r="G2184" s="456"/>
      <c r="H2184" s="456"/>
    </row>
    <row r="2185" spans="1:8">
      <c r="A2185" s="471">
        <v>3182</v>
      </c>
      <c r="B2185" s="493" t="s">
        <v>3255</v>
      </c>
      <c r="C2185" s="472" t="s">
        <v>244</v>
      </c>
      <c r="D2185" s="456">
        <f>IF(Table10[[#This Row],[Current Age]]&gt;19,"Men's",IF(E2185&gt;15,"U19",IF(E2185&gt;13,"U15",IF(E2185&gt;11,"U13",IF(E2185&gt;0,"U11",0)))))</f>
        <v>0</v>
      </c>
      <c r="E2185" s="456">
        <f>IFERROR(IF(Table10[[#This Row],[Year]]&gt;0,$E$1-Table10[[#This Row],[Year]],0),"")</f>
        <v>0</v>
      </c>
      <c r="F2185" s="456"/>
      <c r="G2185" s="456"/>
      <c r="H2185" s="456"/>
    </row>
    <row r="2186" spans="1:8">
      <c r="A2186" s="456">
        <v>3183</v>
      </c>
      <c r="B2186" s="469" t="s">
        <v>3256</v>
      </c>
      <c r="C2186" s="458" t="s">
        <v>244</v>
      </c>
      <c r="D2186" s="456">
        <f>IF(Table10[[#This Row],[Current Age]]&gt;19,"Men's",IF(E2186&gt;15,"U19",IF(E2186&gt;13,"U15",IF(E2186&gt;11,"U13",IF(E2186&gt;0,"U11",0)))))</f>
        <v>0</v>
      </c>
      <c r="E2186" s="456">
        <f>IFERROR(IF(Table10[[#This Row],[Year]]&gt;0,$E$1-Table10[[#This Row],[Year]],0),"")</f>
        <v>0</v>
      </c>
      <c r="F2186" s="456"/>
      <c r="G2186" s="456"/>
      <c r="H2186" s="456"/>
    </row>
    <row r="2187" spans="1:8">
      <c r="A2187" s="471">
        <v>3184</v>
      </c>
      <c r="B2187" s="493" t="s">
        <v>3257</v>
      </c>
      <c r="C2187" s="472" t="s">
        <v>244</v>
      </c>
      <c r="D2187" s="456">
        <f>IF(Table10[[#This Row],[Current Age]]&gt;19,"Men's",IF(E2187&gt;15,"U19",IF(E2187&gt;13,"U15",IF(E2187&gt;11,"U13",IF(E2187&gt;0,"U11",0)))))</f>
        <v>0</v>
      </c>
      <c r="E2187" s="456">
        <f>IFERROR(IF(Table10[[#This Row],[Year]]&gt;0,$E$1-Table10[[#This Row],[Year]],0),"")</f>
        <v>0</v>
      </c>
      <c r="F2187" s="456"/>
      <c r="G2187" s="456"/>
      <c r="H2187" s="456"/>
    </row>
    <row r="2188" spans="1:8">
      <c r="A2188" s="456">
        <v>3185</v>
      </c>
      <c r="B2188" s="469" t="s">
        <v>3258</v>
      </c>
      <c r="C2188" s="458" t="s">
        <v>244</v>
      </c>
      <c r="D2188" s="456">
        <f>IF(Table10[[#This Row],[Current Age]]&gt;19,"Men's",IF(E2188&gt;15,"U19",IF(E2188&gt;13,"U15",IF(E2188&gt;11,"U13",IF(E2188&gt;0,"U11",0)))))</f>
        <v>0</v>
      </c>
      <c r="E2188" s="456">
        <f>IFERROR(IF(Table10[[#This Row],[Year]]&gt;0,$E$1-Table10[[#This Row],[Year]],0),"")</f>
        <v>0</v>
      </c>
      <c r="F2188" s="456"/>
      <c r="G2188" s="456"/>
      <c r="H2188" s="456"/>
    </row>
    <row r="2189" spans="1:8">
      <c r="A2189" s="471">
        <v>3186</v>
      </c>
      <c r="B2189" s="493" t="s">
        <v>3259</v>
      </c>
      <c r="C2189" s="472" t="s">
        <v>244</v>
      </c>
      <c r="D2189" s="456">
        <f>IF(Table10[[#This Row],[Current Age]]&gt;19,"Men's",IF(E2189&gt;15,"U19",IF(E2189&gt;13,"U15",IF(E2189&gt;11,"U13",IF(E2189&gt;0,"U11",0)))))</f>
        <v>0</v>
      </c>
      <c r="E2189" s="456">
        <f>IFERROR(IF(Table10[[#This Row],[Year]]&gt;0,$E$1-Table10[[#This Row],[Year]],0),"")</f>
        <v>0</v>
      </c>
      <c r="F2189" s="456"/>
      <c r="G2189" s="456"/>
      <c r="H2189" s="456"/>
    </row>
    <row r="2190" spans="1:8">
      <c r="A2190" s="456">
        <v>3187</v>
      </c>
      <c r="B2190" s="469" t="s">
        <v>3260</v>
      </c>
      <c r="C2190" s="458" t="s">
        <v>244</v>
      </c>
      <c r="D2190" s="456">
        <f>IF(Table10[[#This Row],[Current Age]]&gt;19,"Men's",IF(E2190&gt;15,"U19",IF(E2190&gt;13,"U15",IF(E2190&gt;11,"U13",IF(E2190&gt;0,"U11",0)))))</f>
        <v>0</v>
      </c>
      <c r="E2190" s="456">
        <f>IFERROR(IF(Table10[[#This Row],[Year]]&gt;0,$E$1-Table10[[#This Row],[Year]],0),"")</f>
        <v>0</v>
      </c>
      <c r="F2190" s="456"/>
      <c r="G2190" s="456"/>
      <c r="H2190" s="456"/>
    </row>
    <row r="2191" spans="1:8">
      <c r="A2191" s="471">
        <v>3188</v>
      </c>
      <c r="B2191" s="493" t="s">
        <v>3261</v>
      </c>
      <c r="C2191" s="472" t="s">
        <v>244</v>
      </c>
      <c r="D2191" s="456">
        <f>IF(Table10[[#This Row],[Current Age]]&gt;19,"Men's",IF(E2191&gt;15,"U19",IF(E2191&gt;13,"U15",IF(E2191&gt;11,"U13",IF(E2191&gt;0,"U11",0)))))</f>
        <v>0</v>
      </c>
      <c r="E2191" s="456">
        <f>IFERROR(IF(Table10[[#This Row],[Year]]&gt;0,$E$1-Table10[[#This Row],[Year]],0),"")</f>
        <v>0</v>
      </c>
      <c r="F2191" s="456"/>
      <c r="G2191" s="456"/>
      <c r="H2191" s="456"/>
    </row>
    <row r="2192" spans="1:8">
      <c r="A2192" s="456">
        <v>3189</v>
      </c>
      <c r="B2192" s="469" t="s">
        <v>3262</v>
      </c>
      <c r="C2192" s="458" t="s">
        <v>244</v>
      </c>
      <c r="D2192" s="456">
        <f>IF(Table10[[#This Row],[Current Age]]&gt;19,"Men's",IF(E2192&gt;15,"U19",IF(E2192&gt;13,"U15",IF(E2192&gt;11,"U13",IF(E2192&gt;0,"U11",0)))))</f>
        <v>0</v>
      </c>
      <c r="E2192" s="456">
        <f>IFERROR(IF(Table10[[#This Row],[Year]]&gt;0,$E$1-Table10[[#This Row],[Year]],0),"")</f>
        <v>0</v>
      </c>
      <c r="F2192" s="456"/>
      <c r="G2192" s="456"/>
      <c r="H2192" s="456"/>
    </row>
    <row r="2193" spans="1:8">
      <c r="A2193" s="471">
        <v>3190</v>
      </c>
      <c r="B2193" s="493" t="s">
        <v>3263</v>
      </c>
      <c r="C2193" s="472" t="s">
        <v>244</v>
      </c>
      <c r="D2193" s="456">
        <f>IF(Table10[[#This Row],[Current Age]]&gt;19,"Men's",IF(E2193&gt;15,"U19",IF(E2193&gt;13,"U15",IF(E2193&gt;11,"U13",IF(E2193&gt;0,"U11",0)))))</f>
        <v>0</v>
      </c>
      <c r="E2193" s="456">
        <f>IFERROR(IF(Table10[[#This Row],[Year]]&gt;0,$E$1-Table10[[#This Row],[Year]],0),"")</f>
        <v>0</v>
      </c>
      <c r="F2193" s="456"/>
      <c r="G2193" s="456"/>
      <c r="H2193" s="456"/>
    </row>
    <row r="2194" spans="1:8">
      <c r="A2194" s="456">
        <v>3191</v>
      </c>
      <c r="B2194" s="469" t="s">
        <v>3264</v>
      </c>
      <c r="C2194" s="458" t="s">
        <v>244</v>
      </c>
      <c r="D2194" s="456">
        <f>IF(Table10[[#This Row],[Current Age]]&gt;19,"Men's",IF(E2194&gt;15,"U19",IF(E2194&gt;13,"U15",IF(E2194&gt;11,"U13",IF(E2194&gt;0,"U11",0)))))</f>
        <v>0</v>
      </c>
      <c r="E2194" s="456">
        <f>IFERROR(IF(Table10[[#This Row],[Year]]&gt;0,$E$1-Table10[[#This Row],[Year]],0),"")</f>
        <v>0</v>
      </c>
      <c r="F2194" s="456"/>
      <c r="G2194" s="456"/>
      <c r="H2194" s="456"/>
    </row>
    <row r="2195" spans="1:8">
      <c r="A2195" s="471">
        <v>3192</v>
      </c>
      <c r="B2195" s="493" t="s">
        <v>3265</v>
      </c>
      <c r="C2195" s="472" t="s">
        <v>244</v>
      </c>
      <c r="D2195" s="456">
        <f>IF(Table10[[#This Row],[Current Age]]&gt;19,"Men's",IF(E2195&gt;15,"U19",IF(E2195&gt;13,"U15",IF(E2195&gt;11,"U13",IF(E2195&gt;0,"U11",0)))))</f>
        <v>0</v>
      </c>
      <c r="E2195" s="456">
        <f>IFERROR(IF(Table10[[#This Row],[Year]]&gt;0,$E$1-Table10[[#This Row],[Year]],0),"")</f>
        <v>0</v>
      </c>
      <c r="F2195" s="456"/>
      <c r="G2195" s="456"/>
      <c r="H2195" s="456"/>
    </row>
    <row r="2196" spans="1:8">
      <c r="A2196" s="456">
        <v>3193</v>
      </c>
      <c r="B2196" s="469" t="s">
        <v>3266</v>
      </c>
      <c r="C2196" s="458" t="s">
        <v>244</v>
      </c>
      <c r="D2196" s="456">
        <f>IF(Table10[[#This Row],[Current Age]]&gt;19,"Men's",IF(E2196&gt;15,"U19",IF(E2196&gt;13,"U15",IF(E2196&gt;11,"U13",IF(E2196&gt;0,"U11",0)))))</f>
        <v>0</v>
      </c>
      <c r="E2196" s="456">
        <f>IFERROR(IF(Table10[[#This Row],[Year]]&gt;0,$E$1-Table10[[#This Row],[Year]],0),"")</f>
        <v>0</v>
      </c>
      <c r="F2196" s="456"/>
      <c r="G2196" s="456"/>
      <c r="H2196" s="456"/>
    </row>
    <row r="2197" spans="1:8">
      <c r="A2197" s="471">
        <v>3194</v>
      </c>
      <c r="B2197" s="493" t="s">
        <v>3335</v>
      </c>
      <c r="C2197" s="472" t="s">
        <v>762</v>
      </c>
      <c r="D2197" s="456">
        <f>IF(Table10[[#This Row],[Current Age]]&gt;19,"Men's",IF(E2197&gt;15,"U19",IF(E2197&gt;13,"U15",IF(E2197&gt;11,"U13",IF(E2197&gt;0,"U11",0)))))</f>
        <v>0</v>
      </c>
      <c r="E2197" s="456">
        <f>IFERROR(IF(Table10[[#This Row],[Year]]&gt;0,$E$1-Table10[[#This Row],[Year]],0),"")</f>
        <v>0</v>
      </c>
      <c r="F2197" s="456"/>
      <c r="G2197" s="456"/>
      <c r="H2197" s="456"/>
    </row>
    <row r="2198" spans="1:8">
      <c r="A2198" s="456">
        <v>3195</v>
      </c>
      <c r="B2198" s="469" t="s">
        <v>3336</v>
      </c>
      <c r="C2198" s="458" t="s">
        <v>762</v>
      </c>
      <c r="D2198" s="456">
        <f>IF(Table10[[#This Row],[Current Age]]&gt;19,"Men's",IF(E2198&gt;15,"U19",IF(E2198&gt;13,"U15",IF(E2198&gt;11,"U13",IF(E2198&gt;0,"U11",0)))))</f>
        <v>0</v>
      </c>
      <c r="E2198" s="456">
        <f>IFERROR(IF(Table10[[#This Row],[Year]]&gt;0,$E$1-Table10[[#This Row],[Year]],0),"")</f>
        <v>0</v>
      </c>
      <c r="F2198" s="456"/>
      <c r="G2198" s="456"/>
      <c r="H2198" s="456"/>
    </row>
    <row r="2199" spans="1:8">
      <c r="A2199" s="471">
        <v>3196</v>
      </c>
      <c r="B2199" s="493" t="s">
        <v>3337</v>
      </c>
      <c r="C2199" s="472" t="s">
        <v>762</v>
      </c>
      <c r="D2199" s="456">
        <f>IF(Table10[[#This Row],[Current Age]]&gt;19,"Men's",IF(E2199&gt;15,"U19",IF(E2199&gt;13,"U15",IF(E2199&gt;11,"U13",IF(E2199&gt;0,"U11",0)))))</f>
        <v>0</v>
      </c>
      <c r="E2199" s="456">
        <f>IFERROR(IF(Table10[[#This Row],[Year]]&gt;0,$E$1-Table10[[#This Row],[Year]],0),"")</f>
        <v>0</v>
      </c>
      <c r="F2199" s="456"/>
      <c r="G2199" s="456"/>
      <c r="H2199" s="456"/>
    </row>
    <row r="2200" spans="1:8">
      <c r="A2200" s="456">
        <v>3197</v>
      </c>
      <c r="B2200" s="469" t="s">
        <v>3342</v>
      </c>
      <c r="C2200" s="458" t="s">
        <v>251</v>
      </c>
      <c r="D2200" s="456">
        <f>IF(Table10[[#This Row],[Current Age]]&gt;19,"Men's",IF(E2200&gt;15,"U19",IF(E2200&gt;13,"U15",IF(E2200&gt;11,"U13",IF(E2200&gt;0,"U11",0)))))</f>
        <v>0</v>
      </c>
      <c r="E2200" s="456">
        <f>IFERROR(IF(Table10[[#This Row],[Year]]&gt;0,$E$1-Table10[[#This Row],[Year]],0),"")</f>
        <v>0</v>
      </c>
      <c r="F2200" s="456"/>
      <c r="G2200" s="456"/>
      <c r="H2200" s="456"/>
    </row>
    <row r="2201" spans="1:8">
      <c r="A2201" s="471">
        <v>3198</v>
      </c>
      <c r="B2201" s="493" t="s">
        <v>3343</v>
      </c>
      <c r="C2201" s="472" t="s">
        <v>251</v>
      </c>
      <c r="D2201" s="456">
        <f>IF(Table10[[#This Row],[Current Age]]&gt;19,"Men's",IF(E2201&gt;15,"U19",IF(E2201&gt;13,"U15",IF(E2201&gt;11,"U13",IF(E2201&gt;0,"U11",0)))))</f>
        <v>0</v>
      </c>
      <c r="E2201" s="456">
        <f>IFERROR(IF(Table10[[#This Row],[Year]]&gt;0,$E$1-Table10[[#This Row],[Year]],0),"")</f>
        <v>0</v>
      </c>
      <c r="F2201" s="456"/>
      <c r="G2201" s="456"/>
      <c r="H2201" s="456"/>
    </row>
    <row r="2202" spans="1:8">
      <c r="A2202" s="456">
        <v>3199</v>
      </c>
      <c r="B2202" s="469" t="s">
        <v>3344</v>
      </c>
      <c r="C2202" s="458" t="s">
        <v>250</v>
      </c>
      <c r="D2202" s="456">
        <f>IF(Table10[[#This Row],[Current Age]]&gt;19,"Men's",IF(E2202&gt;15,"U19",IF(E2202&gt;13,"U15",IF(E2202&gt;11,"U13",IF(E2202&gt;0,"U11",0)))))</f>
        <v>0</v>
      </c>
      <c r="E2202" s="456">
        <f>IFERROR(IF(Table10[[#This Row],[Year]]&gt;0,$E$1-Table10[[#This Row],[Year]],0),"")</f>
        <v>0</v>
      </c>
      <c r="F2202" s="456"/>
      <c r="G2202" s="456"/>
      <c r="H2202" s="456"/>
    </row>
    <row r="2203" spans="1:8">
      <c r="A2203" s="471">
        <v>3200</v>
      </c>
      <c r="B2203" s="493" t="s">
        <v>3345</v>
      </c>
      <c r="C2203" s="472" t="s">
        <v>250</v>
      </c>
      <c r="D2203" s="456">
        <f>IF(Table10[[#This Row],[Current Age]]&gt;19,"Men's",IF(E2203&gt;15,"U19",IF(E2203&gt;13,"U15",IF(E2203&gt;11,"U13",IF(E2203&gt;0,"U11",0)))))</f>
        <v>0</v>
      </c>
      <c r="E2203" s="456">
        <f>IFERROR(IF(Table10[[#This Row],[Year]]&gt;0,$E$1-Table10[[#This Row],[Year]],0),"")</f>
        <v>0</v>
      </c>
      <c r="F2203" s="456"/>
      <c r="G2203" s="456"/>
      <c r="H2203" s="456"/>
    </row>
    <row r="2204" spans="1:8">
      <c r="A2204" s="456">
        <v>3201</v>
      </c>
      <c r="B2204" s="469" t="s">
        <v>3349</v>
      </c>
      <c r="C2204" s="458" t="s">
        <v>248</v>
      </c>
      <c r="D2204" s="456">
        <f>IF(Table10[[#This Row],[Current Age]]&gt;19,"Men's",IF(E2204&gt;15,"U19",IF(E2204&gt;13,"U15",IF(E2204&gt;11,"U13",IF(E2204&gt;0,"U11",0)))))</f>
        <v>0</v>
      </c>
      <c r="E2204" s="456">
        <f>IFERROR(IF(Table10[[#This Row],[Year]]&gt;0,$E$1-Table10[[#This Row],[Year]],0),"")</f>
        <v>0</v>
      </c>
      <c r="F2204" s="456"/>
      <c r="G2204" s="456"/>
      <c r="H2204" s="456"/>
    </row>
    <row r="2205" spans="1:8">
      <c r="A2205" s="471">
        <v>3202</v>
      </c>
      <c r="B2205" s="493" t="s">
        <v>3350</v>
      </c>
      <c r="C2205" s="472" t="s">
        <v>248</v>
      </c>
      <c r="D2205" s="456">
        <f>IF(Table10[[#This Row],[Current Age]]&gt;19,"Men's",IF(E2205&gt;15,"U19",IF(E2205&gt;13,"U15",IF(E2205&gt;11,"U13",IF(E2205&gt;0,"U11",0)))))</f>
        <v>0</v>
      </c>
      <c r="E2205" s="456">
        <f>IFERROR(IF(Table10[[#This Row],[Year]]&gt;0,$E$1-Table10[[#This Row],[Year]],0),"")</f>
        <v>0</v>
      </c>
      <c r="F2205" s="456"/>
      <c r="G2205" s="456"/>
      <c r="H2205" s="456"/>
    </row>
    <row r="2206" spans="1:8">
      <c r="A2206" s="456">
        <v>3203</v>
      </c>
      <c r="B2206" s="469" t="s">
        <v>3351</v>
      </c>
      <c r="C2206" s="458" t="s">
        <v>251</v>
      </c>
      <c r="D2206" s="456" t="str">
        <f>IF(Table10[[#This Row],[Current Age]]&gt;19,"Men's",IF(E2206&gt;15,"U19",IF(E2206&gt;13,"U15",IF(E2206&gt;11,"U13",IF(E2206&gt;0,"U11",0)))))</f>
        <v>Men's</v>
      </c>
      <c r="E2206" s="456">
        <f>IFERROR(IF(Table10[[#This Row],[Year]]&gt;0,$E$1-Table10[[#This Row],[Year]],0),"")</f>
        <v>76</v>
      </c>
      <c r="F2206" s="456">
        <v>1949</v>
      </c>
      <c r="G2206" s="456">
        <v>10</v>
      </c>
      <c r="H2206" s="456">
        <v>13</v>
      </c>
    </row>
    <row r="2207" spans="1:8">
      <c r="A2207" s="471">
        <v>3204</v>
      </c>
      <c r="B2207" s="493" t="s">
        <v>3352</v>
      </c>
      <c r="C2207" s="472" t="s">
        <v>251</v>
      </c>
      <c r="D2207" s="456">
        <f>IF(Table10[[#This Row],[Current Age]]&gt;19,"Men's",IF(E2207&gt;15,"U19",IF(E2207&gt;13,"U15",IF(E2207&gt;11,"U13",IF(E2207&gt;0,"U11",0)))))</f>
        <v>0</v>
      </c>
      <c r="E2207" s="456">
        <f>IFERROR(IF(Table10[[#This Row],[Year]]&gt;0,$E$1-Table10[[#This Row],[Year]],0),"")</f>
        <v>0</v>
      </c>
      <c r="F2207" s="456"/>
      <c r="G2207" s="456"/>
      <c r="H2207" s="456"/>
    </row>
    <row r="2208" spans="1:8">
      <c r="A2208" s="456">
        <v>3205</v>
      </c>
      <c r="B2208" s="469" t="s">
        <v>3353</v>
      </c>
      <c r="C2208" s="458" t="s">
        <v>256</v>
      </c>
      <c r="D2208" s="456">
        <f>IF(Table10[[#This Row],[Current Age]]&gt;19,"Men's",IF(E2208&gt;15,"U19",IF(E2208&gt;13,"U15",IF(E2208&gt;11,"U13",IF(E2208&gt;0,"U11",0)))))</f>
        <v>0</v>
      </c>
      <c r="E2208" s="456">
        <f>IFERROR(IF(Table10[[#This Row],[Year]]&gt;0,$E$1-Table10[[#This Row],[Year]],0),"")</f>
        <v>0</v>
      </c>
      <c r="F2208" s="456"/>
      <c r="G2208" s="456"/>
      <c r="H2208" s="456"/>
    </row>
    <row r="2209" spans="1:8">
      <c r="A2209" s="471">
        <v>3206</v>
      </c>
      <c r="B2209" s="493" t="s">
        <v>3354</v>
      </c>
      <c r="C2209" s="472" t="s">
        <v>256</v>
      </c>
      <c r="D2209" s="456">
        <f>IF(Table10[[#This Row],[Current Age]]&gt;19,"Men's",IF(E2209&gt;15,"U19",IF(E2209&gt;13,"U15",IF(E2209&gt;11,"U13",IF(E2209&gt;0,"U11",0)))))</f>
        <v>0</v>
      </c>
      <c r="E2209" s="456">
        <f>IFERROR(IF(Table10[[#This Row],[Year]]&gt;0,$E$1-Table10[[#This Row],[Year]],0),"")</f>
        <v>0</v>
      </c>
      <c r="F2209" s="456"/>
      <c r="G2209" s="456"/>
      <c r="H2209" s="456"/>
    </row>
    <row r="2210" spans="1:8">
      <c r="A2210" s="456">
        <v>3207</v>
      </c>
      <c r="B2210" s="469" t="s">
        <v>3355</v>
      </c>
      <c r="C2210" s="458" t="s">
        <v>762</v>
      </c>
      <c r="D2210" s="456">
        <f>IF(Table10[[#This Row],[Current Age]]&gt;19,"Men's",IF(E2210&gt;15,"U19",IF(E2210&gt;13,"U15",IF(E2210&gt;11,"U13",IF(E2210&gt;0,"U11",0)))))</f>
        <v>0</v>
      </c>
      <c r="E2210" s="456">
        <f>IFERROR(IF(Table10[[#This Row],[Year]]&gt;0,$E$1-Table10[[#This Row],[Year]],0),"")</f>
        <v>0</v>
      </c>
      <c r="F2210" s="456"/>
      <c r="G2210" s="456"/>
      <c r="H2210" s="456"/>
    </row>
    <row r="2211" spans="1:8">
      <c r="A2211" s="471">
        <v>3208</v>
      </c>
      <c r="B2211" s="493" t="s">
        <v>3356</v>
      </c>
      <c r="C2211" s="472" t="s">
        <v>762</v>
      </c>
      <c r="D2211" s="456">
        <f>IF(Table10[[#This Row],[Current Age]]&gt;19,"Men's",IF(E2211&gt;15,"U19",IF(E2211&gt;13,"U15",IF(E2211&gt;11,"U13",IF(E2211&gt;0,"U11",0)))))</f>
        <v>0</v>
      </c>
      <c r="E2211" s="456">
        <f>IFERROR(IF(Table10[[#This Row],[Year]]&gt;0,$E$1-Table10[[#This Row],[Year]],0),"")</f>
        <v>0</v>
      </c>
      <c r="F2211" s="456"/>
      <c r="G2211" s="456"/>
      <c r="H2211" s="456"/>
    </row>
    <row r="2212" spans="1:8">
      <c r="A2212" s="456">
        <v>3209</v>
      </c>
      <c r="B2212" s="469" t="s">
        <v>3357</v>
      </c>
      <c r="C2212" s="458" t="s">
        <v>762</v>
      </c>
      <c r="D2212" s="456">
        <f>IF(Table10[[#This Row],[Current Age]]&gt;19,"Men's",IF(E2212&gt;15,"U19",IF(E2212&gt;13,"U15",IF(E2212&gt;11,"U13",IF(E2212&gt;0,"U11",0)))))</f>
        <v>0</v>
      </c>
      <c r="E2212" s="456">
        <f>IFERROR(IF(Table10[[#This Row],[Year]]&gt;0,$E$1-Table10[[#This Row],[Year]],0),"")</f>
        <v>0</v>
      </c>
      <c r="F2212" s="456"/>
      <c r="G2212" s="456"/>
      <c r="H2212" s="456"/>
    </row>
    <row r="2213" spans="1:8">
      <c r="A2213" s="471">
        <v>3210</v>
      </c>
      <c r="B2213" s="493" t="s">
        <v>3358</v>
      </c>
      <c r="C2213" s="472" t="s">
        <v>3287</v>
      </c>
      <c r="D2213" s="456">
        <f>IF(Table10[[#This Row],[Current Age]]&gt;19,"Men's",IF(E2213&gt;15,"U19",IF(E2213&gt;13,"U15",IF(E2213&gt;11,"U13",IF(E2213&gt;0,"U11",0)))))</f>
        <v>0</v>
      </c>
      <c r="E2213" s="456">
        <f>IFERROR(IF(Table10[[#This Row],[Year]]&gt;0,$E$1-Table10[[#This Row],[Year]],0),"")</f>
        <v>0</v>
      </c>
      <c r="F2213" s="456"/>
      <c r="G2213" s="456"/>
      <c r="H2213" s="456"/>
    </row>
    <row r="2214" spans="1:8">
      <c r="A2214" s="456">
        <v>3211</v>
      </c>
      <c r="B2214" s="469" t="s">
        <v>3359</v>
      </c>
      <c r="C2214" s="458" t="s">
        <v>3287</v>
      </c>
      <c r="D2214" s="456">
        <f>IF(Table10[[#This Row],[Current Age]]&gt;19,"Men's",IF(E2214&gt;15,"U19",IF(E2214&gt;13,"U15",IF(E2214&gt;11,"U13",IF(E2214&gt;0,"U11",0)))))</f>
        <v>0</v>
      </c>
      <c r="E2214" s="456">
        <f>IFERROR(IF(Table10[[#This Row],[Year]]&gt;0,$E$1-Table10[[#This Row],[Year]],0),"")</f>
        <v>0</v>
      </c>
      <c r="F2214" s="456"/>
      <c r="G2214" s="456"/>
      <c r="H2214" s="456"/>
    </row>
    <row r="2215" spans="1:8">
      <c r="A2215" s="471">
        <v>3212</v>
      </c>
      <c r="B2215" s="493" t="s">
        <v>3360</v>
      </c>
      <c r="C2215" s="472" t="s">
        <v>252</v>
      </c>
      <c r="D2215" s="456">
        <f>IF(Table10[[#This Row],[Current Age]]&gt;19,"Men's",IF(E2215&gt;15,"U19",IF(E2215&gt;13,"U15",IF(E2215&gt;11,"U13",IF(E2215&gt;0,"U11",0)))))</f>
        <v>0</v>
      </c>
      <c r="E2215" s="456">
        <f>IFERROR(IF(Table10[[#This Row],[Year]]&gt;0,$E$1-Table10[[#This Row],[Year]],0),"")</f>
        <v>0</v>
      </c>
      <c r="F2215" s="456"/>
      <c r="G2215" s="456"/>
      <c r="H2215" s="456"/>
    </row>
    <row r="2216" spans="1:8">
      <c r="A2216" s="456">
        <v>3213</v>
      </c>
      <c r="B2216" s="469" t="s">
        <v>3361</v>
      </c>
      <c r="C2216" s="458" t="s">
        <v>3363</v>
      </c>
      <c r="D2216" s="456">
        <f>IF(Table10[[#This Row],[Current Age]]&gt;19,"Men's",IF(E2216&gt;15,"U19",IF(E2216&gt;13,"U15",IF(E2216&gt;11,"U13",IF(E2216&gt;0,"U11",0)))))</f>
        <v>0</v>
      </c>
      <c r="E2216" s="456">
        <f>IFERROR(IF(Table10[[#This Row],[Year]]&gt;0,$E$1-Table10[[#This Row],[Year]],0),"")</f>
        <v>0</v>
      </c>
      <c r="F2216" s="456"/>
      <c r="G2216" s="456"/>
      <c r="H2216" s="456"/>
    </row>
    <row r="2217" spans="1:8">
      <c r="A2217" s="471">
        <v>3214</v>
      </c>
      <c r="B2217" s="493" t="s">
        <v>3362</v>
      </c>
      <c r="C2217" s="472" t="s">
        <v>4552</v>
      </c>
      <c r="D2217" s="456">
        <f>IF(Table10[[#This Row],[Current Age]]&gt;19,"Men's",IF(E2217&gt;15,"U19",IF(E2217&gt;13,"U15",IF(E2217&gt;11,"U13",IF(E2217&gt;0,"U11",0)))))</f>
        <v>0</v>
      </c>
      <c r="E2217" s="456">
        <f>IFERROR(IF(Table10[[#This Row],[Year]]&gt;0,$E$1-Table10[[#This Row],[Year]],0),"")</f>
        <v>0</v>
      </c>
      <c r="F2217" s="456"/>
      <c r="G2217" s="456"/>
      <c r="H2217" s="456"/>
    </row>
    <row r="2218" spans="1:8">
      <c r="A2218" s="456">
        <v>3215</v>
      </c>
      <c r="B2218" s="469" t="s">
        <v>3364</v>
      </c>
      <c r="C2218" s="458" t="s">
        <v>4552</v>
      </c>
      <c r="D2218" s="456">
        <f>IF(Table10[[#This Row],[Current Age]]&gt;19,"Men's",IF(E2218&gt;15,"U19",IF(E2218&gt;13,"U15",IF(E2218&gt;11,"U13",IF(E2218&gt;0,"U11",0)))))</f>
        <v>0</v>
      </c>
      <c r="E2218" s="456">
        <f>IFERROR(IF(Table10[[#This Row],[Year]]&gt;0,$E$1-Table10[[#This Row],[Year]],0),"")</f>
        <v>0</v>
      </c>
      <c r="F2218" s="456"/>
      <c r="G2218" s="456"/>
      <c r="H2218" s="456"/>
    </row>
    <row r="2219" spans="1:8">
      <c r="A2219" s="471">
        <v>3216</v>
      </c>
      <c r="B2219" s="493" t="s">
        <v>5817</v>
      </c>
      <c r="C2219" s="472" t="s">
        <v>4720</v>
      </c>
      <c r="D2219" s="456" t="str">
        <f>IF(Table10[[#This Row],[Current Age]]&gt;19,"Men's",IF(E2219&gt;15,"U19",IF(E2219&gt;13,"U15",IF(E2219&gt;11,"U13",IF(E2219&gt;0,"U11",0)))))</f>
        <v>U15</v>
      </c>
      <c r="E2219" s="456">
        <f>IFERROR(IF(Table10[[#This Row],[Year]]&gt;0,$E$1-Table10[[#This Row],[Year]],0),"")</f>
        <v>14</v>
      </c>
      <c r="F2219" s="456">
        <v>2011</v>
      </c>
      <c r="G2219" s="456">
        <v>6</v>
      </c>
      <c r="H2219" s="456">
        <v>27</v>
      </c>
    </row>
    <row r="2220" spans="1:8">
      <c r="A2220" s="456">
        <v>3217</v>
      </c>
      <c r="B2220" s="469" t="s">
        <v>3365</v>
      </c>
      <c r="C2220" s="458" t="s">
        <v>3290</v>
      </c>
      <c r="D2220" s="456">
        <f>IF(Table10[[#This Row],[Current Age]]&gt;19,"Men's",IF(E2220&gt;15,"U19",IF(E2220&gt;13,"U15",IF(E2220&gt;11,"U13",IF(E2220&gt;0,"U11",0)))))</f>
        <v>0</v>
      </c>
      <c r="E2220" s="456">
        <f>IFERROR(IF(Table10[[#This Row],[Year]]&gt;0,$E$1-Table10[[#This Row],[Year]],0),"")</f>
        <v>0</v>
      </c>
      <c r="F2220" s="456"/>
      <c r="G2220" s="456"/>
      <c r="H2220" s="456"/>
    </row>
    <row r="2221" spans="1:8">
      <c r="A2221" s="471">
        <v>3218</v>
      </c>
      <c r="B2221" s="493" t="s">
        <v>3366</v>
      </c>
      <c r="C2221" s="472" t="s">
        <v>250</v>
      </c>
      <c r="D2221" s="456">
        <f>IF(Table10[[#This Row],[Current Age]]&gt;19,"Men's",IF(E2221&gt;15,"U19",IF(E2221&gt;13,"U15",IF(E2221&gt;11,"U13",IF(E2221&gt;0,"U11",0)))))</f>
        <v>0</v>
      </c>
      <c r="E2221" s="456">
        <f>IFERROR(IF(Table10[[#This Row],[Year]]&gt;0,$E$1-Table10[[#This Row],[Year]],0),"")</f>
        <v>0</v>
      </c>
      <c r="F2221" s="456"/>
      <c r="G2221" s="456"/>
      <c r="H2221" s="456"/>
    </row>
    <row r="2222" spans="1:8">
      <c r="A2222" s="456">
        <v>3219</v>
      </c>
      <c r="B2222" s="469" t="s">
        <v>3367</v>
      </c>
      <c r="C2222" s="458" t="s">
        <v>250</v>
      </c>
      <c r="D2222" s="456">
        <f>IF(Table10[[#This Row],[Current Age]]&gt;19,"Men's",IF(E2222&gt;15,"U19",IF(E2222&gt;13,"U15",IF(E2222&gt;11,"U13",IF(E2222&gt;0,"U11",0)))))</f>
        <v>0</v>
      </c>
      <c r="E2222" s="456">
        <f>IFERROR(IF(Table10[[#This Row],[Year]]&gt;0,$E$1-Table10[[#This Row],[Year]],0),"")</f>
        <v>0</v>
      </c>
      <c r="F2222" s="456"/>
      <c r="G2222" s="456"/>
      <c r="H2222" s="456"/>
    </row>
    <row r="2223" spans="1:8">
      <c r="A2223" s="471">
        <v>3220</v>
      </c>
      <c r="B2223" s="493" t="s">
        <v>3378</v>
      </c>
      <c r="C2223" s="472" t="s">
        <v>361</v>
      </c>
      <c r="D2223" s="456">
        <f>IF(Table10[[#This Row],[Current Age]]&gt;19,"Men's",IF(E2223&gt;15,"U19",IF(E2223&gt;13,"U15",IF(E2223&gt;11,"U13",IF(E2223&gt;0,"U11",0)))))</f>
        <v>0</v>
      </c>
      <c r="E2223" s="456">
        <f>IFERROR(IF(Table10[[#This Row],[Year]]&gt;0,$E$1-Table10[[#This Row],[Year]],0),"")</f>
        <v>0</v>
      </c>
      <c r="F2223" s="456"/>
      <c r="G2223" s="456"/>
      <c r="H2223" s="456"/>
    </row>
    <row r="2224" spans="1:8">
      <c r="A2224" s="456">
        <v>3221</v>
      </c>
      <c r="B2224" s="469" t="s">
        <v>3379</v>
      </c>
      <c r="C2224" s="458" t="s">
        <v>361</v>
      </c>
      <c r="D2224" s="456">
        <f>IF(Table10[[#This Row],[Current Age]]&gt;19,"Men's",IF(E2224&gt;15,"U19",IF(E2224&gt;13,"U15",IF(E2224&gt;11,"U13",IF(E2224&gt;0,"U11",0)))))</f>
        <v>0</v>
      </c>
      <c r="E2224" s="456">
        <f>IFERROR(IF(Table10[[#This Row],[Year]]&gt;0,$E$1-Table10[[#This Row],[Year]],0),"")</f>
        <v>0</v>
      </c>
      <c r="F2224" s="456"/>
      <c r="G2224" s="456"/>
      <c r="H2224" s="456"/>
    </row>
    <row r="2225" spans="1:8">
      <c r="A2225" s="471">
        <v>3222</v>
      </c>
      <c r="B2225" s="493" t="s">
        <v>3380</v>
      </c>
      <c r="C2225" s="472" t="s">
        <v>361</v>
      </c>
      <c r="D2225" s="456">
        <f>IF(Table10[[#This Row],[Current Age]]&gt;19,"Men's",IF(E2225&gt;15,"U19",IF(E2225&gt;13,"U15",IF(E2225&gt;11,"U13",IF(E2225&gt;0,"U11",0)))))</f>
        <v>0</v>
      </c>
      <c r="E2225" s="456">
        <f>IFERROR(IF(Table10[[#This Row],[Year]]&gt;0,$E$1-Table10[[#This Row],[Year]],0),"")</f>
        <v>0</v>
      </c>
      <c r="F2225" s="456"/>
      <c r="G2225" s="456"/>
      <c r="H2225" s="456"/>
    </row>
    <row r="2226" spans="1:8">
      <c r="A2226" s="456">
        <v>3223</v>
      </c>
      <c r="B2226" s="469" t="s">
        <v>3381</v>
      </c>
      <c r="C2226" s="458" t="s">
        <v>361</v>
      </c>
      <c r="D2226" s="456">
        <f>IF(Table10[[#This Row],[Current Age]]&gt;19,"Men's",IF(E2226&gt;15,"U19",IF(E2226&gt;13,"U15",IF(E2226&gt;11,"U13",IF(E2226&gt;0,"U11",0)))))</f>
        <v>0</v>
      </c>
      <c r="E2226" s="456">
        <f>IFERROR(IF(Table10[[#This Row],[Year]]&gt;0,$E$1-Table10[[#This Row],[Year]],0),"")</f>
        <v>0</v>
      </c>
      <c r="F2226" s="456"/>
      <c r="G2226" s="456"/>
      <c r="H2226" s="456"/>
    </row>
    <row r="2227" spans="1:8">
      <c r="A2227" s="471">
        <v>3224</v>
      </c>
      <c r="B2227" s="493" t="s">
        <v>3382</v>
      </c>
      <c r="C2227" s="472" t="s">
        <v>361</v>
      </c>
      <c r="D2227" s="456">
        <f>IF(Table10[[#This Row],[Current Age]]&gt;19,"Men's",IF(E2227&gt;15,"U19",IF(E2227&gt;13,"U15",IF(E2227&gt;11,"U13",IF(E2227&gt;0,"U11",0)))))</f>
        <v>0</v>
      </c>
      <c r="E2227" s="456">
        <f>IFERROR(IF(Table10[[#This Row],[Year]]&gt;0,$E$1-Table10[[#This Row],[Year]],0),"")</f>
        <v>0</v>
      </c>
      <c r="F2227" s="456"/>
      <c r="G2227" s="456"/>
      <c r="H2227" s="456"/>
    </row>
    <row r="2228" spans="1:8">
      <c r="A2228" s="456">
        <v>3225</v>
      </c>
      <c r="B2228" s="469" t="s">
        <v>3383</v>
      </c>
      <c r="C2228" s="458" t="s">
        <v>361</v>
      </c>
      <c r="D2228" s="456">
        <f>IF(Table10[[#This Row],[Current Age]]&gt;19,"Men's",IF(E2228&gt;15,"U19",IF(E2228&gt;13,"U15",IF(E2228&gt;11,"U13",IF(E2228&gt;0,"U11",0)))))</f>
        <v>0</v>
      </c>
      <c r="E2228" s="456">
        <f>IFERROR(IF(Table10[[#This Row],[Year]]&gt;0,$E$1-Table10[[#This Row],[Year]],0),"")</f>
        <v>0</v>
      </c>
      <c r="F2228" s="456"/>
      <c r="G2228" s="456"/>
      <c r="H2228" s="456"/>
    </row>
    <row r="2229" spans="1:8">
      <c r="A2229" s="471">
        <v>3226</v>
      </c>
      <c r="B2229" s="493" t="s">
        <v>3384</v>
      </c>
      <c r="C2229" s="472" t="s">
        <v>361</v>
      </c>
      <c r="D2229" s="456">
        <f>IF(Table10[[#This Row],[Current Age]]&gt;19,"Men's",IF(E2229&gt;15,"U19",IF(E2229&gt;13,"U15",IF(E2229&gt;11,"U13",IF(E2229&gt;0,"U11",0)))))</f>
        <v>0</v>
      </c>
      <c r="E2229" s="456">
        <f>IFERROR(IF(Table10[[#This Row],[Year]]&gt;0,$E$1-Table10[[#This Row],[Year]],0),"")</f>
        <v>0</v>
      </c>
      <c r="F2229" s="456"/>
      <c r="G2229" s="456"/>
      <c r="H2229" s="456"/>
    </row>
    <row r="2230" spans="1:8">
      <c r="A2230" s="456">
        <v>3227</v>
      </c>
      <c r="B2230" s="469" t="s">
        <v>3385</v>
      </c>
      <c r="C2230" s="458" t="s">
        <v>361</v>
      </c>
      <c r="D2230" s="456">
        <f>IF(Table10[[#This Row],[Current Age]]&gt;19,"Men's",IF(E2230&gt;15,"U19",IF(E2230&gt;13,"U15",IF(E2230&gt;11,"U13",IF(E2230&gt;0,"U11",0)))))</f>
        <v>0</v>
      </c>
      <c r="E2230" s="456">
        <f>IFERROR(IF(Table10[[#This Row],[Year]]&gt;0,$E$1-Table10[[#This Row],[Year]],0),"")</f>
        <v>0</v>
      </c>
      <c r="F2230" s="456"/>
      <c r="G2230" s="456"/>
      <c r="H2230" s="456"/>
    </row>
    <row r="2231" spans="1:8">
      <c r="A2231" s="471">
        <v>3228</v>
      </c>
      <c r="B2231" s="493" t="s">
        <v>3386</v>
      </c>
      <c r="C2231" s="472" t="s">
        <v>361</v>
      </c>
      <c r="D2231" s="456">
        <f>IF(Table10[[#This Row],[Current Age]]&gt;19,"Men's",IF(E2231&gt;15,"U19",IF(E2231&gt;13,"U15",IF(E2231&gt;11,"U13",IF(E2231&gt;0,"U11",0)))))</f>
        <v>0</v>
      </c>
      <c r="E2231" s="456">
        <f>IFERROR(IF(Table10[[#This Row],[Year]]&gt;0,$E$1-Table10[[#This Row],[Year]],0),"")</f>
        <v>0</v>
      </c>
      <c r="F2231" s="456"/>
      <c r="G2231" s="456"/>
      <c r="H2231" s="456"/>
    </row>
    <row r="2232" spans="1:8">
      <c r="A2232" s="456">
        <v>3229</v>
      </c>
      <c r="B2232" s="469" t="s">
        <v>3387</v>
      </c>
      <c r="C2232" s="458" t="s">
        <v>361</v>
      </c>
      <c r="D2232" s="456">
        <f>IF(Table10[[#This Row],[Current Age]]&gt;19,"Men's",IF(E2232&gt;15,"U19",IF(E2232&gt;13,"U15",IF(E2232&gt;11,"U13",IF(E2232&gt;0,"U11",0)))))</f>
        <v>0</v>
      </c>
      <c r="E2232" s="456">
        <f>IFERROR(IF(Table10[[#This Row],[Year]]&gt;0,$E$1-Table10[[#This Row],[Year]],0),"")</f>
        <v>0</v>
      </c>
      <c r="F2232" s="456"/>
      <c r="G2232" s="456"/>
      <c r="H2232" s="456"/>
    </row>
    <row r="2233" spans="1:8">
      <c r="A2233" s="471">
        <v>3230</v>
      </c>
      <c r="B2233" s="493" t="s">
        <v>3388</v>
      </c>
      <c r="C2233" s="472" t="s">
        <v>361</v>
      </c>
      <c r="D2233" s="456">
        <f>IF(Table10[[#This Row],[Current Age]]&gt;19,"Men's",IF(E2233&gt;15,"U19",IF(E2233&gt;13,"U15",IF(E2233&gt;11,"U13",IF(E2233&gt;0,"U11",0)))))</f>
        <v>0</v>
      </c>
      <c r="E2233" s="456">
        <f>IFERROR(IF(Table10[[#This Row],[Year]]&gt;0,$E$1-Table10[[#This Row],[Year]],0),"")</f>
        <v>0</v>
      </c>
      <c r="F2233" s="456"/>
      <c r="G2233" s="456"/>
      <c r="H2233" s="456"/>
    </row>
    <row r="2234" spans="1:8">
      <c r="A2234" s="456">
        <v>3231</v>
      </c>
      <c r="B2234" s="469" t="s">
        <v>3389</v>
      </c>
      <c r="C2234" s="458" t="s">
        <v>361</v>
      </c>
      <c r="D2234" s="456">
        <f>IF(Table10[[#This Row],[Current Age]]&gt;19,"Men's",IF(E2234&gt;15,"U19",IF(E2234&gt;13,"U15",IF(E2234&gt;11,"U13",IF(E2234&gt;0,"U11",0)))))</f>
        <v>0</v>
      </c>
      <c r="E2234" s="456">
        <f>IFERROR(IF(Table10[[#This Row],[Year]]&gt;0,$E$1-Table10[[#This Row],[Year]],0),"")</f>
        <v>0</v>
      </c>
      <c r="F2234" s="456"/>
      <c r="G2234" s="456"/>
      <c r="H2234" s="456"/>
    </row>
    <row r="2235" spans="1:8">
      <c r="A2235" s="471">
        <v>3232</v>
      </c>
      <c r="B2235" s="493" t="s">
        <v>4204</v>
      </c>
      <c r="C2235" s="472" t="s">
        <v>4152</v>
      </c>
      <c r="D2235" s="456">
        <f>IF(Table10[[#This Row],[Current Age]]&gt;19,"Men's",IF(E2235&gt;15,"U19",IF(E2235&gt;13,"U15",IF(E2235&gt;11,"U13",IF(E2235&gt;0,"U11",0)))))</f>
        <v>0</v>
      </c>
      <c r="E2235" s="456">
        <f>IFERROR(IF(Table10[[#This Row],[Year]]&gt;0,$E$1-Table10[[#This Row],[Year]],0),"")</f>
        <v>0</v>
      </c>
      <c r="F2235" s="456"/>
      <c r="G2235" s="456"/>
      <c r="H2235" s="456"/>
    </row>
    <row r="2236" spans="1:8">
      <c r="A2236" s="456">
        <v>3233</v>
      </c>
      <c r="B2236" s="469" t="s">
        <v>4208</v>
      </c>
      <c r="C2236" s="458" t="s">
        <v>4552</v>
      </c>
      <c r="D2236" s="456">
        <f>IF(Table10[[#This Row],[Current Age]]&gt;19,"Men's",IF(E2236&gt;15,"U19",IF(E2236&gt;13,"U15",IF(E2236&gt;11,"U13",IF(E2236&gt;0,"U11",0)))))</f>
        <v>0</v>
      </c>
      <c r="E2236" s="456">
        <f>IFERROR(IF(Table10[[#This Row],[Year]]&gt;0,$E$1-Table10[[#This Row],[Year]],0),"")</f>
        <v>0</v>
      </c>
      <c r="F2236" s="456"/>
      <c r="G2236" s="456"/>
      <c r="H2236" s="456"/>
    </row>
    <row r="2237" spans="1:8">
      <c r="A2237" s="471">
        <v>3234</v>
      </c>
      <c r="B2237" s="493" t="s">
        <v>3390</v>
      </c>
      <c r="C2237" s="472" t="s">
        <v>361</v>
      </c>
      <c r="D2237" s="456">
        <f>IF(Table10[[#This Row],[Current Age]]&gt;19,"Men's",IF(E2237&gt;15,"U19",IF(E2237&gt;13,"U15",IF(E2237&gt;11,"U13",IF(E2237&gt;0,"U11",0)))))</f>
        <v>0</v>
      </c>
      <c r="E2237" s="456">
        <f>IFERROR(IF(Table10[[#This Row],[Year]]&gt;0,$E$1-Table10[[#This Row],[Year]],0),"")</f>
        <v>0</v>
      </c>
      <c r="F2237" s="456"/>
      <c r="G2237" s="456"/>
      <c r="H2237" s="456"/>
    </row>
    <row r="2238" spans="1:8">
      <c r="A2238" s="456">
        <v>3235</v>
      </c>
      <c r="B2238" s="469" t="s">
        <v>3391</v>
      </c>
      <c r="C2238" s="458" t="s">
        <v>361</v>
      </c>
      <c r="D2238" s="456">
        <f>IF(Table10[[#This Row],[Current Age]]&gt;19,"Men's",IF(E2238&gt;15,"U19",IF(E2238&gt;13,"U15",IF(E2238&gt;11,"U13",IF(E2238&gt;0,"U11",0)))))</f>
        <v>0</v>
      </c>
      <c r="E2238" s="456">
        <f>IFERROR(IF(Table10[[#This Row],[Year]]&gt;0,$E$1-Table10[[#This Row],[Year]],0),"")</f>
        <v>0</v>
      </c>
      <c r="F2238" s="456"/>
      <c r="G2238" s="456"/>
      <c r="H2238" s="456"/>
    </row>
    <row r="2239" spans="1:8">
      <c r="A2239" s="471">
        <v>3236</v>
      </c>
      <c r="B2239" s="493" t="s">
        <v>3392</v>
      </c>
      <c r="C2239" s="472" t="s">
        <v>361</v>
      </c>
      <c r="D2239" s="456">
        <f>IF(Table10[[#This Row],[Current Age]]&gt;19,"Men's",IF(E2239&gt;15,"U19",IF(E2239&gt;13,"U15",IF(E2239&gt;11,"U13",IF(E2239&gt;0,"U11",0)))))</f>
        <v>0</v>
      </c>
      <c r="E2239" s="456">
        <f>IFERROR(IF(Table10[[#This Row],[Year]]&gt;0,$E$1-Table10[[#This Row],[Year]],0),"")</f>
        <v>0</v>
      </c>
      <c r="F2239" s="456"/>
      <c r="G2239" s="456"/>
      <c r="H2239" s="456"/>
    </row>
    <row r="2240" spans="1:8">
      <c r="A2240" s="456">
        <v>3237</v>
      </c>
      <c r="B2240" s="469" t="s">
        <v>3393</v>
      </c>
      <c r="C2240" s="458" t="s">
        <v>361</v>
      </c>
      <c r="D2240" s="456">
        <f>IF(Table10[[#This Row],[Current Age]]&gt;19,"Men's",IF(E2240&gt;15,"U19",IF(E2240&gt;13,"U15",IF(E2240&gt;11,"U13",IF(E2240&gt;0,"U11",0)))))</f>
        <v>0</v>
      </c>
      <c r="E2240" s="456">
        <f>IFERROR(IF(Table10[[#This Row],[Year]]&gt;0,$E$1-Table10[[#This Row],[Year]],0),"")</f>
        <v>0</v>
      </c>
      <c r="F2240" s="456"/>
      <c r="G2240" s="456"/>
      <c r="H2240" s="456"/>
    </row>
    <row r="2241" spans="1:8">
      <c r="A2241" s="471">
        <v>3238</v>
      </c>
      <c r="B2241" s="493" t="s">
        <v>3394</v>
      </c>
      <c r="C2241" s="472" t="s">
        <v>361</v>
      </c>
      <c r="D2241" s="456">
        <f>IF(Table10[[#This Row],[Current Age]]&gt;19,"Men's",IF(E2241&gt;15,"U19",IF(E2241&gt;13,"U15",IF(E2241&gt;11,"U13",IF(E2241&gt;0,"U11",0)))))</f>
        <v>0</v>
      </c>
      <c r="E2241" s="456">
        <f>IFERROR(IF(Table10[[#This Row],[Year]]&gt;0,$E$1-Table10[[#This Row],[Year]],0),"")</f>
        <v>0</v>
      </c>
      <c r="F2241" s="456"/>
      <c r="G2241" s="456"/>
      <c r="H2241" s="456"/>
    </row>
    <row r="2242" spans="1:8">
      <c r="A2242" s="456">
        <v>3239</v>
      </c>
      <c r="B2242" s="469" t="s">
        <v>3395</v>
      </c>
      <c r="C2242" s="458" t="s">
        <v>361</v>
      </c>
      <c r="D2242" s="456">
        <f>IF(Table10[[#This Row],[Current Age]]&gt;19,"Men's",IF(E2242&gt;15,"U19",IF(E2242&gt;13,"U15",IF(E2242&gt;11,"U13",IF(E2242&gt;0,"U11",0)))))</f>
        <v>0</v>
      </c>
      <c r="E2242" s="456">
        <f>IFERROR(IF(Table10[[#This Row],[Year]]&gt;0,$E$1-Table10[[#This Row],[Year]],0),"")</f>
        <v>0</v>
      </c>
      <c r="F2242" s="456"/>
      <c r="G2242" s="456"/>
      <c r="H2242" s="456"/>
    </row>
    <row r="2243" spans="1:8">
      <c r="A2243" s="471">
        <v>3240</v>
      </c>
      <c r="B2243" s="493" t="s">
        <v>3396</v>
      </c>
      <c r="C2243" s="472" t="s">
        <v>361</v>
      </c>
      <c r="D2243" s="456">
        <f>IF(Table10[[#This Row],[Current Age]]&gt;19,"Men's",IF(E2243&gt;15,"U19",IF(E2243&gt;13,"U15",IF(E2243&gt;11,"U13",IF(E2243&gt;0,"U11",0)))))</f>
        <v>0</v>
      </c>
      <c r="E2243" s="456">
        <f>IFERROR(IF(Table10[[#This Row],[Year]]&gt;0,$E$1-Table10[[#This Row],[Year]],0),"")</f>
        <v>0</v>
      </c>
      <c r="F2243" s="456"/>
      <c r="G2243" s="456"/>
      <c r="H2243" s="456"/>
    </row>
    <row r="2244" spans="1:8">
      <c r="A2244" s="456">
        <v>3241</v>
      </c>
      <c r="B2244" s="469" t="s">
        <v>3397</v>
      </c>
      <c r="C2244" s="458" t="s">
        <v>361</v>
      </c>
      <c r="D2244" s="456">
        <f>IF(Table10[[#This Row],[Current Age]]&gt;19,"Men's",IF(E2244&gt;15,"U19",IF(E2244&gt;13,"U15",IF(E2244&gt;11,"U13",IF(E2244&gt;0,"U11",0)))))</f>
        <v>0</v>
      </c>
      <c r="E2244" s="456">
        <f>IFERROR(IF(Table10[[#This Row],[Year]]&gt;0,$E$1-Table10[[#This Row],[Year]],0),"")</f>
        <v>0</v>
      </c>
      <c r="F2244" s="456"/>
      <c r="G2244" s="456"/>
      <c r="H2244" s="456"/>
    </row>
    <row r="2245" spans="1:8">
      <c r="A2245" s="471">
        <v>3242</v>
      </c>
      <c r="B2245" s="493" t="s">
        <v>3398</v>
      </c>
      <c r="C2245" s="472" t="s">
        <v>249</v>
      </c>
      <c r="D2245" s="456">
        <f>IF(Table10[[#This Row],[Current Age]]&gt;19,"Men's",IF(E2245&gt;15,"U19",IF(E2245&gt;13,"U15",IF(E2245&gt;11,"U13",IF(E2245&gt;0,"U11",0)))))</f>
        <v>0</v>
      </c>
      <c r="E2245" s="456">
        <f>IFERROR(IF(Table10[[#This Row],[Year]]&gt;0,$E$1-Table10[[#This Row],[Year]],0),"")</f>
        <v>0</v>
      </c>
      <c r="F2245" s="456"/>
      <c r="G2245" s="456"/>
      <c r="H2245" s="456"/>
    </row>
    <row r="2246" spans="1:8">
      <c r="A2246" s="456">
        <v>3243</v>
      </c>
      <c r="B2246" s="469" t="s">
        <v>3399</v>
      </c>
      <c r="C2246" s="458" t="s">
        <v>249</v>
      </c>
      <c r="D2246" s="456" t="str">
        <f>IF(Table10[[#This Row],[Current Age]]&gt;19,"Men's",IF(E2246&gt;15,"U19",IF(E2246&gt;13,"U15",IF(E2246&gt;11,"U13",IF(E2246&gt;0,"U11",0)))))</f>
        <v>U19</v>
      </c>
      <c r="E2246" s="456">
        <f>IFERROR(IF(Table10[[#This Row],[Year]]&gt;0,$E$1-Table10[[#This Row],[Year]],0),"")</f>
        <v>17</v>
      </c>
      <c r="F2246" s="456">
        <v>2008</v>
      </c>
      <c r="G2246" s="456">
        <v>1</v>
      </c>
      <c r="H2246" s="456">
        <v>30</v>
      </c>
    </row>
    <row r="2247" spans="1:8">
      <c r="A2247" s="471">
        <v>3244</v>
      </c>
      <c r="B2247" s="493" t="s">
        <v>3400</v>
      </c>
      <c r="C2247" s="472" t="s">
        <v>361</v>
      </c>
      <c r="D2247" s="456">
        <f>IF(Table10[[#This Row],[Current Age]]&gt;19,"Men's",IF(E2247&gt;15,"U19",IF(E2247&gt;13,"U15",IF(E2247&gt;11,"U13",IF(E2247&gt;0,"U11",0)))))</f>
        <v>0</v>
      </c>
      <c r="E2247" s="456">
        <f>IFERROR(IF(Table10[[#This Row],[Year]]&gt;0,$E$1-Table10[[#This Row],[Year]],0),"")</f>
        <v>0</v>
      </c>
      <c r="F2247" s="456"/>
      <c r="G2247" s="456"/>
      <c r="H2247" s="456"/>
    </row>
    <row r="2248" spans="1:8">
      <c r="A2248" s="456">
        <v>3245</v>
      </c>
      <c r="B2248" s="469" t="s">
        <v>3401</v>
      </c>
      <c r="C2248" s="458" t="s">
        <v>361</v>
      </c>
      <c r="D2248" s="456">
        <f>IF(Table10[[#This Row],[Current Age]]&gt;19,"Men's",IF(E2248&gt;15,"U19",IF(E2248&gt;13,"U15",IF(E2248&gt;11,"U13",IF(E2248&gt;0,"U11",0)))))</f>
        <v>0</v>
      </c>
      <c r="E2248" s="456">
        <f>IFERROR(IF(Table10[[#This Row],[Year]]&gt;0,$E$1-Table10[[#This Row],[Year]],0),"")</f>
        <v>0</v>
      </c>
      <c r="F2248" s="456"/>
      <c r="G2248" s="456"/>
      <c r="H2248" s="456"/>
    </row>
    <row r="2249" spans="1:8">
      <c r="A2249" s="471">
        <v>3246</v>
      </c>
      <c r="B2249" s="493" t="s">
        <v>3402</v>
      </c>
      <c r="C2249" s="472" t="s">
        <v>361</v>
      </c>
      <c r="D2249" s="456">
        <f>IF(Table10[[#This Row],[Current Age]]&gt;19,"Men's",IF(E2249&gt;15,"U19",IF(E2249&gt;13,"U15",IF(E2249&gt;11,"U13",IF(E2249&gt;0,"U11",0)))))</f>
        <v>0</v>
      </c>
      <c r="E2249" s="456">
        <f>IFERROR(IF(Table10[[#This Row],[Year]]&gt;0,$E$1-Table10[[#This Row],[Year]],0),"")</f>
        <v>0</v>
      </c>
      <c r="F2249" s="456"/>
      <c r="G2249" s="456"/>
      <c r="H2249" s="456"/>
    </row>
    <row r="2250" spans="1:8">
      <c r="A2250" s="456">
        <v>3247</v>
      </c>
      <c r="B2250" s="469" t="s">
        <v>3403</v>
      </c>
      <c r="C2250" s="458" t="s">
        <v>361</v>
      </c>
      <c r="D2250" s="456">
        <f>IF(Table10[[#This Row],[Current Age]]&gt;19,"Men's",IF(E2250&gt;15,"U19",IF(E2250&gt;13,"U15",IF(E2250&gt;11,"U13",IF(E2250&gt;0,"U11",0)))))</f>
        <v>0</v>
      </c>
      <c r="E2250" s="456">
        <f>IFERROR(IF(Table10[[#This Row],[Year]]&gt;0,$E$1-Table10[[#This Row],[Year]],0),"")</f>
        <v>0</v>
      </c>
      <c r="F2250" s="456"/>
      <c r="G2250" s="456"/>
      <c r="H2250" s="456"/>
    </row>
    <row r="2251" spans="1:8">
      <c r="A2251" s="471">
        <v>3248</v>
      </c>
      <c r="B2251" s="493" t="s">
        <v>3404</v>
      </c>
      <c r="C2251" s="472" t="s">
        <v>361</v>
      </c>
      <c r="D2251" s="456">
        <f>IF(Table10[[#This Row],[Current Age]]&gt;19,"Men's",IF(E2251&gt;15,"U19",IF(E2251&gt;13,"U15",IF(E2251&gt;11,"U13",IF(E2251&gt;0,"U11",0)))))</f>
        <v>0</v>
      </c>
      <c r="E2251" s="456">
        <f>IFERROR(IF(Table10[[#This Row],[Year]]&gt;0,$E$1-Table10[[#This Row],[Year]],0),"")</f>
        <v>0</v>
      </c>
      <c r="F2251" s="456"/>
      <c r="G2251" s="456"/>
      <c r="H2251" s="456"/>
    </row>
    <row r="2252" spans="1:8">
      <c r="A2252" s="456">
        <v>3249</v>
      </c>
      <c r="B2252" s="469" t="s">
        <v>3405</v>
      </c>
      <c r="C2252" s="458" t="s">
        <v>361</v>
      </c>
      <c r="D2252" s="456">
        <f>IF(Table10[[#This Row],[Current Age]]&gt;19,"Men's",IF(E2252&gt;15,"U19",IF(E2252&gt;13,"U15",IF(E2252&gt;11,"U13",IF(E2252&gt;0,"U11",0)))))</f>
        <v>0</v>
      </c>
      <c r="E2252" s="456">
        <f>IFERROR(IF(Table10[[#This Row],[Year]]&gt;0,$E$1-Table10[[#This Row],[Year]],0),"")</f>
        <v>0</v>
      </c>
      <c r="F2252" s="456"/>
      <c r="G2252" s="456"/>
      <c r="H2252" s="456"/>
    </row>
    <row r="2253" spans="1:8">
      <c r="A2253" s="471">
        <v>3250</v>
      </c>
      <c r="B2253" s="493" t="s">
        <v>3406</v>
      </c>
      <c r="C2253" s="472" t="s">
        <v>361</v>
      </c>
      <c r="D2253" s="456" t="str">
        <f>IF(Table10[[#This Row],[Current Age]]&gt;19,"Men's",IF(E2253&gt;15,"U19",IF(E2253&gt;13,"U15",IF(E2253&gt;11,"U13",IF(E2253&gt;0,"U11",0)))))</f>
        <v>U15</v>
      </c>
      <c r="E2253" s="456">
        <f>IFERROR(IF(Table10[[#This Row],[Year]]&gt;0,$E$1-Table10[[#This Row],[Year]],0),"")</f>
        <v>15</v>
      </c>
      <c r="F2253" s="456">
        <v>2010</v>
      </c>
      <c r="G2253" s="456"/>
      <c r="H2253" s="456"/>
    </row>
    <row r="2254" spans="1:8">
      <c r="A2254" s="456">
        <v>3251</v>
      </c>
      <c r="B2254" s="469" t="s">
        <v>3407</v>
      </c>
      <c r="C2254" s="458" t="s">
        <v>361</v>
      </c>
      <c r="D2254" s="456">
        <f>IF(Table10[[#This Row],[Current Age]]&gt;19,"Men's",IF(E2254&gt;15,"U19",IF(E2254&gt;13,"U15",IF(E2254&gt;11,"U13",IF(E2254&gt;0,"U11",0)))))</f>
        <v>0</v>
      </c>
      <c r="E2254" s="456">
        <f>IFERROR(IF(Table10[[#This Row],[Year]]&gt;0,$E$1-Table10[[#This Row],[Year]],0),"")</f>
        <v>0</v>
      </c>
      <c r="F2254" s="456"/>
      <c r="G2254" s="456"/>
      <c r="H2254" s="456"/>
    </row>
    <row r="2255" spans="1:8">
      <c r="A2255" s="471">
        <v>3252</v>
      </c>
      <c r="B2255" s="493" t="s">
        <v>3408</v>
      </c>
      <c r="C2255" s="472" t="s">
        <v>361</v>
      </c>
      <c r="D2255" s="456">
        <f>IF(Table10[[#This Row],[Current Age]]&gt;19,"Men's",IF(E2255&gt;15,"U19",IF(E2255&gt;13,"U15",IF(E2255&gt;11,"U13",IF(E2255&gt;0,"U11",0)))))</f>
        <v>0</v>
      </c>
      <c r="E2255" s="456">
        <f>IFERROR(IF(Table10[[#This Row],[Year]]&gt;0,$E$1-Table10[[#This Row],[Year]],0),"")</f>
        <v>0</v>
      </c>
      <c r="F2255" s="456"/>
      <c r="G2255" s="456"/>
      <c r="H2255" s="456"/>
    </row>
    <row r="2256" spans="1:8">
      <c r="A2256" s="456">
        <v>3253</v>
      </c>
      <c r="B2256" s="469" t="s">
        <v>3409</v>
      </c>
      <c r="C2256" s="458" t="s">
        <v>361</v>
      </c>
      <c r="D2256" s="456">
        <f>IF(Table10[[#This Row],[Current Age]]&gt;19,"Men's",IF(E2256&gt;15,"U19",IF(E2256&gt;13,"U15",IF(E2256&gt;11,"U13",IF(E2256&gt;0,"U11",0)))))</f>
        <v>0</v>
      </c>
      <c r="E2256" s="456">
        <f>IFERROR(IF(Table10[[#This Row],[Year]]&gt;0,$E$1-Table10[[#This Row],[Year]],0),"")</f>
        <v>0</v>
      </c>
      <c r="F2256" s="456"/>
      <c r="G2256" s="456"/>
      <c r="H2256" s="456"/>
    </row>
    <row r="2257" spans="1:8">
      <c r="A2257" s="471">
        <v>3254</v>
      </c>
      <c r="B2257" s="493" t="s">
        <v>3410</v>
      </c>
      <c r="C2257" s="472" t="s">
        <v>361</v>
      </c>
      <c r="D2257" s="456">
        <f>IF(Table10[[#This Row],[Current Age]]&gt;19,"Men's",IF(E2257&gt;15,"U19",IF(E2257&gt;13,"U15",IF(E2257&gt;11,"U13",IF(E2257&gt;0,"U11",0)))))</f>
        <v>0</v>
      </c>
      <c r="E2257" s="456">
        <f>IFERROR(IF(Table10[[#This Row],[Year]]&gt;0,$E$1-Table10[[#This Row],[Year]],0),"")</f>
        <v>0</v>
      </c>
      <c r="F2257" s="456"/>
      <c r="G2257" s="456"/>
      <c r="H2257" s="456"/>
    </row>
    <row r="2258" spans="1:8">
      <c r="A2258" s="456">
        <v>3255</v>
      </c>
      <c r="B2258" s="469" t="s">
        <v>3411</v>
      </c>
      <c r="C2258" s="458" t="s">
        <v>1914</v>
      </c>
      <c r="D2258" s="456">
        <f>IF(Table10[[#This Row],[Current Age]]&gt;19,"Men's",IF(E2258&gt;15,"U19",IF(E2258&gt;13,"U15",IF(E2258&gt;11,"U13",IF(E2258&gt;0,"U11",0)))))</f>
        <v>0</v>
      </c>
      <c r="E2258" s="456">
        <f>IFERROR(IF(Table10[[#This Row],[Year]]&gt;0,$E$1-Table10[[#This Row],[Year]],0),"")</f>
        <v>0</v>
      </c>
      <c r="F2258" s="456"/>
      <c r="G2258" s="456"/>
      <c r="H2258" s="456"/>
    </row>
    <row r="2259" spans="1:8">
      <c r="A2259" s="471">
        <v>3256</v>
      </c>
      <c r="B2259" s="493" t="s">
        <v>3412</v>
      </c>
      <c r="C2259" s="472" t="s">
        <v>1914</v>
      </c>
      <c r="D2259" s="456" t="str">
        <f>IF(Table10[[#This Row],[Current Age]]&gt;19,"Men's",IF(E2259&gt;15,"U19",IF(E2259&gt;13,"U15",IF(E2259&gt;11,"U13",IF(E2259&gt;0,"U11",0)))))</f>
        <v>U15</v>
      </c>
      <c r="E2259" s="456">
        <f>IFERROR(IF(Table10[[#This Row],[Year]]&gt;0,$E$1-Table10[[#This Row],[Year]],0),"")</f>
        <v>15</v>
      </c>
      <c r="F2259" s="456">
        <v>2010</v>
      </c>
      <c r="G2259" s="456">
        <v>8</v>
      </c>
      <c r="H2259" s="456">
        <v>9</v>
      </c>
    </row>
    <row r="2260" spans="1:8">
      <c r="A2260" s="456">
        <v>3257</v>
      </c>
      <c r="B2260" s="469" t="s">
        <v>3413</v>
      </c>
      <c r="C2260" s="458" t="s">
        <v>1914</v>
      </c>
      <c r="D2260" s="456" t="str">
        <f>IF(Table10[[#This Row],[Current Age]]&gt;19,"Men's",IF(E2260&gt;15,"U19",IF(E2260&gt;13,"U15",IF(E2260&gt;11,"U13",IF(E2260&gt;0,"U11",0)))))</f>
        <v>U19</v>
      </c>
      <c r="E2260" s="456">
        <f>IFERROR(IF(Table10[[#This Row],[Year]]&gt;0,$E$1-Table10[[#This Row],[Year]],0),"")</f>
        <v>16</v>
      </c>
      <c r="F2260" s="456">
        <v>2009</v>
      </c>
      <c r="G2260" s="456">
        <v>5</v>
      </c>
      <c r="H2260" s="456">
        <v>26</v>
      </c>
    </row>
    <row r="2261" spans="1:8">
      <c r="A2261" s="471">
        <v>3258</v>
      </c>
      <c r="B2261" s="493" t="s">
        <v>3414</v>
      </c>
      <c r="C2261" s="472" t="s">
        <v>361</v>
      </c>
      <c r="D2261" s="456">
        <f>IF(Table10[[#This Row],[Current Age]]&gt;19,"Men's",IF(E2261&gt;15,"U19",IF(E2261&gt;13,"U15",IF(E2261&gt;11,"U13",IF(E2261&gt;0,"U11",0)))))</f>
        <v>0</v>
      </c>
      <c r="E2261" s="456">
        <f>IFERROR(IF(Table10[[#This Row],[Year]]&gt;0,$E$1-Table10[[#This Row],[Year]],0),"")</f>
        <v>0</v>
      </c>
      <c r="F2261" s="456"/>
      <c r="G2261" s="456"/>
      <c r="H2261" s="456"/>
    </row>
    <row r="2262" spans="1:8">
      <c r="A2262" s="456">
        <v>3259</v>
      </c>
      <c r="B2262" s="469" t="s">
        <v>3415</v>
      </c>
      <c r="C2262" s="458" t="s">
        <v>361</v>
      </c>
      <c r="D2262" s="456">
        <f>IF(Table10[[#This Row],[Current Age]]&gt;19,"Men's",IF(E2262&gt;15,"U19",IF(E2262&gt;13,"U15",IF(E2262&gt;11,"U13",IF(E2262&gt;0,"U11",0)))))</f>
        <v>0</v>
      </c>
      <c r="E2262" s="456">
        <f>IFERROR(IF(Table10[[#This Row],[Year]]&gt;0,$E$1-Table10[[#This Row],[Year]],0),"")</f>
        <v>0</v>
      </c>
      <c r="F2262" s="456"/>
      <c r="G2262" s="456"/>
      <c r="H2262" s="456"/>
    </row>
    <row r="2263" spans="1:8">
      <c r="A2263" s="471">
        <v>3260</v>
      </c>
      <c r="B2263" s="493" t="s">
        <v>3416</v>
      </c>
      <c r="C2263" s="472" t="s">
        <v>361</v>
      </c>
      <c r="D2263" s="456">
        <f>IF(Table10[[#This Row],[Current Age]]&gt;19,"Men's",IF(E2263&gt;15,"U19",IF(E2263&gt;13,"U15",IF(E2263&gt;11,"U13",IF(E2263&gt;0,"U11",0)))))</f>
        <v>0</v>
      </c>
      <c r="E2263" s="456">
        <f>IFERROR(IF(Table10[[#This Row],[Year]]&gt;0,$E$1-Table10[[#This Row],[Year]],0),"")</f>
        <v>0</v>
      </c>
      <c r="F2263" s="456"/>
      <c r="G2263" s="456"/>
      <c r="H2263" s="456"/>
    </row>
    <row r="2264" spans="1:8">
      <c r="A2264" s="456">
        <v>3261</v>
      </c>
      <c r="B2264" s="469" t="s">
        <v>3417</v>
      </c>
      <c r="C2264" s="458" t="s">
        <v>361</v>
      </c>
      <c r="D2264" s="456">
        <f>IF(Table10[[#This Row],[Current Age]]&gt;19,"Men's",IF(E2264&gt;15,"U19",IF(E2264&gt;13,"U15",IF(E2264&gt;11,"U13",IF(E2264&gt;0,"U11",0)))))</f>
        <v>0</v>
      </c>
      <c r="E2264" s="456">
        <f>IFERROR(IF(Table10[[#This Row],[Year]]&gt;0,$E$1-Table10[[#This Row],[Year]],0),"")</f>
        <v>0</v>
      </c>
      <c r="F2264" s="456"/>
      <c r="G2264" s="456"/>
      <c r="H2264" s="456"/>
    </row>
    <row r="2265" spans="1:8">
      <c r="A2265" s="471">
        <v>3262</v>
      </c>
      <c r="B2265" s="493" t="s">
        <v>3418</v>
      </c>
      <c r="C2265" s="472" t="s">
        <v>361</v>
      </c>
      <c r="D2265" s="456">
        <f>IF(Table10[[#This Row],[Current Age]]&gt;19,"Men's",IF(E2265&gt;15,"U19",IF(E2265&gt;13,"U15",IF(E2265&gt;11,"U13",IF(E2265&gt;0,"U11",0)))))</f>
        <v>0</v>
      </c>
      <c r="E2265" s="456">
        <f>IFERROR(IF(Table10[[#This Row],[Year]]&gt;0,$E$1-Table10[[#This Row],[Year]],0),"")</f>
        <v>0</v>
      </c>
      <c r="F2265" s="456"/>
      <c r="G2265" s="456"/>
      <c r="H2265" s="456"/>
    </row>
    <row r="2266" spans="1:8">
      <c r="A2266" s="456">
        <v>3263</v>
      </c>
      <c r="B2266" s="469" t="s">
        <v>3419</v>
      </c>
      <c r="C2266" s="458" t="s">
        <v>361</v>
      </c>
      <c r="D2266" s="456">
        <f>IF(Table10[[#This Row],[Current Age]]&gt;19,"Men's",IF(E2266&gt;15,"U19",IF(E2266&gt;13,"U15",IF(E2266&gt;11,"U13",IF(E2266&gt;0,"U11",0)))))</f>
        <v>0</v>
      </c>
      <c r="E2266" s="456">
        <f>IFERROR(IF(Table10[[#This Row],[Year]]&gt;0,$E$1-Table10[[#This Row],[Year]],0),"")</f>
        <v>0</v>
      </c>
      <c r="F2266" s="456"/>
      <c r="G2266" s="456"/>
      <c r="H2266" s="456"/>
    </row>
    <row r="2267" spans="1:8">
      <c r="A2267" s="471">
        <v>3264</v>
      </c>
      <c r="B2267" s="493" t="s">
        <v>3459</v>
      </c>
      <c r="C2267" s="472" t="s">
        <v>4720</v>
      </c>
      <c r="D2267" s="456">
        <f>IF(Table10[[#This Row],[Current Age]]&gt;19,"Men's",IF(E2267&gt;15,"U19",IF(E2267&gt;13,"U15",IF(E2267&gt;11,"U13",IF(E2267&gt;0,"U11",0)))))</f>
        <v>0</v>
      </c>
      <c r="E2267" s="456">
        <f>IFERROR(IF(Table10[[#This Row],[Year]]&gt;0,$E$1-Table10[[#This Row],[Year]],0),"")</f>
        <v>0</v>
      </c>
      <c r="F2267" s="456"/>
      <c r="G2267" s="456"/>
      <c r="H2267" s="456"/>
    </row>
    <row r="2268" spans="1:8">
      <c r="A2268" s="456">
        <v>3265</v>
      </c>
      <c r="B2268" s="469" t="s">
        <v>3900</v>
      </c>
      <c r="C2268" s="458" t="s">
        <v>361</v>
      </c>
      <c r="D2268" s="456">
        <f>IF(Table10[[#This Row],[Current Age]]&gt;19,"Men's",IF(E2268&gt;15,"U19",IF(E2268&gt;13,"U15",IF(E2268&gt;11,"U13",IF(E2268&gt;0,"U11",0)))))</f>
        <v>0</v>
      </c>
      <c r="E2268" s="456">
        <f>IFERROR(IF(Table10[[#This Row],[Year]]&gt;0,$E$1-Table10[[#This Row],[Year]],0),"")</f>
        <v>0</v>
      </c>
      <c r="F2268" s="456"/>
      <c r="G2268" s="456"/>
      <c r="H2268" s="456"/>
    </row>
    <row r="2269" spans="1:8">
      <c r="A2269" s="471">
        <v>3266</v>
      </c>
      <c r="B2269" s="493" t="s">
        <v>3420</v>
      </c>
      <c r="C2269" s="472" t="s">
        <v>361</v>
      </c>
      <c r="D2269" s="456">
        <f>IF(Table10[[#This Row],[Current Age]]&gt;19,"Men's",IF(E2269&gt;15,"U19",IF(E2269&gt;13,"U15",IF(E2269&gt;11,"U13",IF(E2269&gt;0,"U11",0)))))</f>
        <v>0</v>
      </c>
      <c r="E2269" s="456">
        <f>IFERROR(IF(Table10[[#This Row],[Year]]&gt;0,$E$1-Table10[[#This Row],[Year]],0),"")</f>
        <v>0</v>
      </c>
      <c r="F2269" s="456"/>
      <c r="G2269" s="456"/>
      <c r="H2269" s="456"/>
    </row>
    <row r="2270" spans="1:8">
      <c r="A2270" s="456">
        <v>3267</v>
      </c>
      <c r="B2270" s="469" t="s">
        <v>3421</v>
      </c>
      <c r="C2270" s="458" t="s">
        <v>361</v>
      </c>
      <c r="D2270" s="456">
        <f>IF(Table10[[#This Row],[Current Age]]&gt;19,"Men's",IF(E2270&gt;15,"U19",IF(E2270&gt;13,"U15",IF(E2270&gt;11,"U13",IF(E2270&gt;0,"U11",0)))))</f>
        <v>0</v>
      </c>
      <c r="E2270" s="456">
        <f>IFERROR(IF(Table10[[#This Row],[Year]]&gt;0,$E$1-Table10[[#This Row],[Year]],0),"")</f>
        <v>0</v>
      </c>
      <c r="F2270" s="456"/>
      <c r="G2270" s="456"/>
      <c r="H2270" s="456"/>
    </row>
    <row r="2271" spans="1:8">
      <c r="A2271" s="471">
        <v>3268</v>
      </c>
      <c r="B2271" s="493" t="s">
        <v>3460</v>
      </c>
      <c r="C2271" s="472" t="s">
        <v>4720</v>
      </c>
      <c r="D2271" s="456">
        <f>IF(Table10[[#This Row],[Current Age]]&gt;19,"Men's",IF(E2271&gt;15,"U19",IF(E2271&gt;13,"U15",IF(E2271&gt;11,"U13",IF(E2271&gt;0,"U11",0)))))</f>
        <v>0</v>
      </c>
      <c r="E2271" s="456">
        <f>IFERROR(IF(Table10[[#This Row],[Year]]&gt;0,$E$1-Table10[[#This Row],[Year]],0),"")</f>
        <v>0</v>
      </c>
      <c r="F2271" s="456"/>
      <c r="G2271" s="456"/>
      <c r="H2271" s="456"/>
    </row>
    <row r="2272" spans="1:8">
      <c r="A2272" s="456">
        <v>3269</v>
      </c>
      <c r="B2272" s="469" t="s">
        <v>3422</v>
      </c>
      <c r="C2272" s="458" t="s">
        <v>361</v>
      </c>
      <c r="D2272" s="456">
        <f>IF(Table10[[#This Row],[Current Age]]&gt;19,"Men's",IF(E2272&gt;15,"U19",IF(E2272&gt;13,"U15",IF(E2272&gt;11,"U13",IF(E2272&gt;0,"U11",0)))))</f>
        <v>0</v>
      </c>
      <c r="E2272" s="456">
        <f>IFERROR(IF(Table10[[#This Row],[Year]]&gt;0,$E$1-Table10[[#This Row],[Year]],0),"")</f>
        <v>0</v>
      </c>
      <c r="F2272" s="456"/>
      <c r="G2272" s="456"/>
      <c r="H2272" s="456"/>
    </row>
    <row r="2273" spans="1:8">
      <c r="A2273" s="471">
        <v>3270</v>
      </c>
      <c r="B2273" s="493" t="s">
        <v>3423</v>
      </c>
      <c r="C2273" s="472" t="s">
        <v>361</v>
      </c>
      <c r="D2273" s="456">
        <f>IF(Table10[[#This Row],[Current Age]]&gt;19,"Men's",IF(E2273&gt;15,"U19",IF(E2273&gt;13,"U15",IF(E2273&gt;11,"U13",IF(E2273&gt;0,"U11",0)))))</f>
        <v>0</v>
      </c>
      <c r="E2273" s="456">
        <f>IFERROR(IF(Table10[[#This Row],[Year]]&gt;0,$E$1-Table10[[#This Row],[Year]],0),"")</f>
        <v>0</v>
      </c>
      <c r="F2273" s="456"/>
      <c r="G2273" s="456"/>
      <c r="H2273" s="456"/>
    </row>
    <row r="2274" spans="1:8">
      <c r="A2274" s="456">
        <v>3271</v>
      </c>
      <c r="B2274" s="469" t="s">
        <v>3424</v>
      </c>
      <c r="C2274" s="458" t="s">
        <v>361</v>
      </c>
      <c r="D2274" s="456">
        <f>IF(Table10[[#This Row],[Current Age]]&gt;19,"Men's",IF(E2274&gt;15,"U19",IF(E2274&gt;13,"U15",IF(E2274&gt;11,"U13",IF(E2274&gt;0,"U11",0)))))</f>
        <v>0</v>
      </c>
      <c r="E2274" s="456">
        <f>IFERROR(IF(Table10[[#This Row],[Year]]&gt;0,$E$1-Table10[[#This Row],[Year]],0),"")</f>
        <v>0</v>
      </c>
      <c r="F2274" s="456"/>
      <c r="G2274" s="456"/>
      <c r="H2274" s="456"/>
    </row>
    <row r="2275" spans="1:8">
      <c r="A2275" s="471">
        <v>3272</v>
      </c>
      <c r="B2275" s="493" t="s">
        <v>3461</v>
      </c>
      <c r="C2275" s="472" t="s">
        <v>4720</v>
      </c>
      <c r="D2275" s="456">
        <f>IF(Table10[[#This Row],[Current Age]]&gt;19,"Men's",IF(E2275&gt;15,"U19",IF(E2275&gt;13,"U15",IF(E2275&gt;11,"U13",IF(E2275&gt;0,"U11",0)))))</f>
        <v>0</v>
      </c>
      <c r="E2275" s="456">
        <f>IFERROR(IF(Table10[[#This Row],[Year]]&gt;0,$E$1-Table10[[#This Row],[Year]],0),"")</f>
        <v>0</v>
      </c>
      <c r="F2275" s="456"/>
      <c r="G2275" s="456"/>
      <c r="H2275" s="456"/>
    </row>
    <row r="2276" spans="1:8">
      <c r="A2276" s="456">
        <v>3273</v>
      </c>
      <c r="B2276" s="469" t="s">
        <v>3425</v>
      </c>
      <c r="C2276" s="458" t="s">
        <v>361</v>
      </c>
      <c r="D2276" s="456">
        <f>IF(Table10[[#This Row],[Current Age]]&gt;19,"Men's",IF(E2276&gt;15,"U19",IF(E2276&gt;13,"U15",IF(E2276&gt;11,"U13",IF(E2276&gt;0,"U11",0)))))</f>
        <v>0</v>
      </c>
      <c r="E2276" s="456">
        <f>IFERROR(IF(Table10[[#This Row],[Year]]&gt;0,$E$1-Table10[[#This Row],[Year]],0),"")</f>
        <v>0</v>
      </c>
      <c r="F2276" s="456"/>
      <c r="G2276" s="456"/>
      <c r="H2276" s="456"/>
    </row>
    <row r="2277" spans="1:8">
      <c r="A2277" s="471">
        <v>3274</v>
      </c>
      <c r="B2277" s="493" t="s">
        <v>3426</v>
      </c>
      <c r="C2277" s="472" t="s">
        <v>361</v>
      </c>
      <c r="D2277" s="456">
        <f>IF(Table10[[#This Row],[Current Age]]&gt;19,"Men's",IF(E2277&gt;15,"U19",IF(E2277&gt;13,"U15",IF(E2277&gt;11,"U13",IF(E2277&gt;0,"U11",0)))))</f>
        <v>0</v>
      </c>
      <c r="E2277" s="456">
        <f>IFERROR(IF(Table10[[#This Row],[Year]]&gt;0,$E$1-Table10[[#This Row],[Year]],0),"")</f>
        <v>0</v>
      </c>
      <c r="F2277" s="456"/>
      <c r="G2277" s="456"/>
      <c r="H2277" s="456"/>
    </row>
    <row r="2278" spans="1:8">
      <c r="A2278" s="456">
        <v>3275</v>
      </c>
      <c r="B2278" s="469" t="s">
        <v>2451</v>
      </c>
      <c r="C2278" s="458" t="s">
        <v>361</v>
      </c>
      <c r="D2278" s="456">
        <f>IF(Table10[[#This Row],[Current Age]]&gt;19,"Men's",IF(E2278&gt;15,"U19",IF(E2278&gt;13,"U15",IF(E2278&gt;11,"U13",IF(E2278&gt;0,"U11",0)))))</f>
        <v>0</v>
      </c>
      <c r="E2278" s="456">
        <f>IFERROR(IF(Table10[[#This Row],[Year]]&gt;0,$E$1-Table10[[#This Row],[Year]],0),"")</f>
        <v>0</v>
      </c>
      <c r="F2278" s="456"/>
      <c r="G2278" s="456"/>
      <c r="H2278" s="456"/>
    </row>
    <row r="2279" spans="1:8">
      <c r="A2279" s="471">
        <v>3276</v>
      </c>
      <c r="B2279" s="493" t="s">
        <v>3427</v>
      </c>
      <c r="C2279" s="472" t="s">
        <v>361</v>
      </c>
      <c r="D2279" s="456">
        <f>IF(Table10[[#This Row],[Current Age]]&gt;19,"Men's",IF(E2279&gt;15,"U19",IF(E2279&gt;13,"U15",IF(E2279&gt;11,"U13",IF(E2279&gt;0,"U11",0)))))</f>
        <v>0</v>
      </c>
      <c r="E2279" s="456">
        <f>IFERROR(IF(Table10[[#This Row],[Year]]&gt;0,$E$1-Table10[[#This Row],[Year]],0),"")</f>
        <v>0</v>
      </c>
      <c r="F2279" s="456"/>
      <c r="G2279" s="456"/>
      <c r="H2279" s="456"/>
    </row>
    <row r="2280" spans="1:8">
      <c r="A2280" s="456">
        <v>3277</v>
      </c>
      <c r="B2280" s="469" t="s">
        <v>3428</v>
      </c>
      <c r="C2280" s="458" t="s">
        <v>361</v>
      </c>
      <c r="D2280" s="456">
        <f>IF(Table10[[#This Row],[Current Age]]&gt;19,"Men's",IF(E2280&gt;15,"U19",IF(E2280&gt;13,"U15",IF(E2280&gt;11,"U13",IF(E2280&gt;0,"U11",0)))))</f>
        <v>0</v>
      </c>
      <c r="E2280" s="456">
        <f>IFERROR(IF(Table10[[#This Row],[Year]]&gt;0,$E$1-Table10[[#This Row],[Year]],0),"")</f>
        <v>0</v>
      </c>
      <c r="F2280" s="456"/>
      <c r="G2280" s="456"/>
      <c r="H2280" s="456"/>
    </row>
    <row r="2281" spans="1:8">
      <c r="A2281" s="471">
        <v>3278</v>
      </c>
      <c r="B2281" s="493" t="s">
        <v>3429</v>
      </c>
      <c r="C2281" s="472" t="s">
        <v>361</v>
      </c>
      <c r="D2281" s="456">
        <f>IF(Table10[[#This Row],[Current Age]]&gt;19,"Men's",IF(E2281&gt;15,"U19",IF(E2281&gt;13,"U15",IF(E2281&gt;11,"U13",IF(E2281&gt;0,"U11",0)))))</f>
        <v>0</v>
      </c>
      <c r="E2281" s="456">
        <f>IFERROR(IF(Table10[[#This Row],[Year]]&gt;0,$E$1-Table10[[#This Row],[Year]],0),"")</f>
        <v>0</v>
      </c>
      <c r="F2281" s="456"/>
      <c r="G2281" s="456"/>
      <c r="H2281" s="456"/>
    </row>
    <row r="2282" spans="1:8">
      <c r="A2282" s="456">
        <v>3279</v>
      </c>
      <c r="B2282" s="469" t="s">
        <v>3430</v>
      </c>
      <c r="C2282" s="458" t="s">
        <v>361</v>
      </c>
      <c r="D2282" s="456">
        <f>IF(Table10[[#This Row],[Current Age]]&gt;19,"Men's",IF(E2282&gt;15,"U19",IF(E2282&gt;13,"U15",IF(E2282&gt;11,"U13",IF(E2282&gt;0,"U11",0)))))</f>
        <v>0</v>
      </c>
      <c r="E2282" s="456">
        <f>IFERROR(IF(Table10[[#This Row],[Year]]&gt;0,$E$1-Table10[[#This Row],[Year]],0),"")</f>
        <v>0</v>
      </c>
      <c r="F2282" s="456"/>
      <c r="G2282" s="456"/>
      <c r="H2282" s="456"/>
    </row>
    <row r="2283" spans="1:8">
      <c r="A2283" s="471">
        <v>3280</v>
      </c>
      <c r="B2283" s="493" t="s">
        <v>3431</v>
      </c>
      <c r="C2283" s="472" t="s">
        <v>361</v>
      </c>
      <c r="D2283" s="456">
        <f>IF(Table10[[#This Row],[Current Age]]&gt;19,"Men's",IF(E2283&gt;15,"U19",IF(E2283&gt;13,"U15",IF(E2283&gt;11,"U13",IF(E2283&gt;0,"U11",0)))))</f>
        <v>0</v>
      </c>
      <c r="E2283" s="456">
        <f>IFERROR(IF(Table10[[#This Row],[Year]]&gt;0,$E$1-Table10[[#This Row],[Year]],0),"")</f>
        <v>0</v>
      </c>
      <c r="F2283" s="456"/>
      <c r="G2283" s="456"/>
      <c r="H2283" s="456"/>
    </row>
    <row r="2284" spans="1:8">
      <c r="A2284" s="456">
        <v>3281</v>
      </c>
      <c r="B2284" s="469" t="s">
        <v>3432</v>
      </c>
      <c r="C2284" s="458" t="s">
        <v>361</v>
      </c>
      <c r="D2284" s="456">
        <f>IF(Table10[[#This Row],[Current Age]]&gt;19,"Men's",IF(E2284&gt;15,"U19",IF(E2284&gt;13,"U15",IF(E2284&gt;11,"U13",IF(E2284&gt;0,"U11",0)))))</f>
        <v>0</v>
      </c>
      <c r="E2284" s="456">
        <f>IFERROR(IF(Table10[[#This Row],[Year]]&gt;0,$E$1-Table10[[#This Row],[Year]],0),"")</f>
        <v>0</v>
      </c>
      <c r="F2284" s="456"/>
      <c r="G2284" s="456"/>
      <c r="H2284" s="456"/>
    </row>
    <row r="2285" spans="1:8">
      <c r="A2285" s="471">
        <v>3282</v>
      </c>
      <c r="B2285" s="493" t="s">
        <v>3433</v>
      </c>
      <c r="C2285" s="472" t="s">
        <v>361</v>
      </c>
      <c r="D2285" s="456">
        <f>IF(Table10[[#This Row],[Current Age]]&gt;19,"Men's",IF(E2285&gt;15,"U19",IF(E2285&gt;13,"U15",IF(E2285&gt;11,"U13",IF(E2285&gt;0,"U11",0)))))</f>
        <v>0</v>
      </c>
      <c r="E2285" s="456">
        <f>IFERROR(IF(Table10[[#This Row],[Year]]&gt;0,$E$1-Table10[[#This Row],[Year]],0),"")</f>
        <v>0</v>
      </c>
      <c r="F2285" s="456"/>
      <c r="G2285" s="456"/>
      <c r="H2285" s="456"/>
    </row>
    <row r="2286" spans="1:8">
      <c r="A2286" s="456">
        <v>3283</v>
      </c>
      <c r="B2286" s="469" t="s">
        <v>3434</v>
      </c>
      <c r="C2286" s="458" t="s">
        <v>361</v>
      </c>
      <c r="D2286" s="456">
        <f>IF(Table10[[#This Row],[Current Age]]&gt;19,"Men's",IF(E2286&gt;15,"U19",IF(E2286&gt;13,"U15",IF(E2286&gt;11,"U13",IF(E2286&gt;0,"U11",0)))))</f>
        <v>0</v>
      </c>
      <c r="E2286" s="456">
        <f>IFERROR(IF(Table10[[#This Row],[Year]]&gt;0,$E$1-Table10[[#This Row],[Year]],0),"")</f>
        <v>0</v>
      </c>
      <c r="F2286" s="456"/>
      <c r="G2286" s="456"/>
      <c r="H2286" s="456"/>
    </row>
    <row r="2287" spans="1:8">
      <c r="A2287" s="471">
        <v>3284</v>
      </c>
      <c r="B2287" s="493" t="s">
        <v>3435</v>
      </c>
      <c r="C2287" s="472" t="s">
        <v>251</v>
      </c>
      <c r="D2287" s="456">
        <f>IF(Table10[[#This Row],[Current Age]]&gt;19,"Men's",IF(E2287&gt;15,"U19",IF(E2287&gt;13,"U15",IF(E2287&gt;11,"U13",IF(E2287&gt;0,"U11",0)))))</f>
        <v>0</v>
      </c>
      <c r="E2287" s="456">
        <f>IFERROR(IF(Table10[[#This Row],[Year]]&gt;0,$E$1-Table10[[#This Row],[Year]],0),"")</f>
        <v>0</v>
      </c>
      <c r="F2287" s="456"/>
      <c r="G2287" s="456"/>
      <c r="H2287" s="456"/>
    </row>
    <row r="2288" spans="1:8">
      <c r="A2288" s="456">
        <v>3285</v>
      </c>
      <c r="B2288" s="469" t="s">
        <v>3436</v>
      </c>
      <c r="C2288" s="458" t="s">
        <v>361</v>
      </c>
      <c r="D2288" s="456">
        <f>IF(Table10[[#This Row],[Current Age]]&gt;19,"Men's",IF(E2288&gt;15,"U19",IF(E2288&gt;13,"U15",IF(E2288&gt;11,"U13",IF(E2288&gt;0,"U11",0)))))</f>
        <v>0</v>
      </c>
      <c r="E2288" s="456">
        <f>IFERROR(IF(Table10[[#This Row],[Year]]&gt;0,$E$1-Table10[[#This Row],[Year]],0),"")</f>
        <v>0</v>
      </c>
      <c r="F2288" s="456"/>
      <c r="G2288" s="456"/>
      <c r="H2288" s="456"/>
    </row>
    <row r="2289" spans="1:8">
      <c r="A2289" s="471">
        <v>3286</v>
      </c>
      <c r="B2289" s="493" t="s">
        <v>3437</v>
      </c>
      <c r="C2289" s="472" t="s">
        <v>361</v>
      </c>
      <c r="D2289" s="456">
        <f>IF(Table10[[#This Row],[Current Age]]&gt;19,"Men's",IF(E2289&gt;15,"U19",IF(E2289&gt;13,"U15",IF(E2289&gt;11,"U13",IF(E2289&gt;0,"U11",0)))))</f>
        <v>0</v>
      </c>
      <c r="E2289" s="456">
        <f>IFERROR(IF(Table10[[#This Row],[Year]]&gt;0,$E$1-Table10[[#This Row],[Year]],0),"")</f>
        <v>0</v>
      </c>
      <c r="F2289" s="456"/>
      <c r="G2289" s="456"/>
      <c r="H2289" s="456"/>
    </row>
    <row r="2290" spans="1:8">
      <c r="A2290" s="456">
        <v>3287</v>
      </c>
      <c r="B2290" s="469" t="s">
        <v>3438</v>
      </c>
      <c r="C2290" s="458" t="s">
        <v>361</v>
      </c>
      <c r="D2290" s="456">
        <f>IF(Table10[[#This Row],[Current Age]]&gt;19,"Men's",IF(E2290&gt;15,"U19",IF(E2290&gt;13,"U15",IF(E2290&gt;11,"U13",IF(E2290&gt;0,"U11",0)))))</f>
        <v>0</v>
      </c>
      <c r="E2290" s="456">
        <f>IFERROR(IF(Table10[[#This Row],[Year]]&gt;0,$E$1-Table10[[#This Row],[Year]],0),"")</f>
        <v>0</v>
      </c>
      <c r="F2290" s="456"/>
      <c r="G2290" s="456"/>
      <c r="H2290" s="456"/>
    </row>
    <row r="2291" spans="1:8">
      <c r="A2291" s="471">
        <v>3288</v>
      </c>
      <c r="B2291" s="493" t="s">
        <v>3439</v>
      </c>
      <c r="C2291" s="472" t="s">
        <v>361</v>
      </c>
      <c r="D2291" s="456">
        <f>IF(Table10[[#This Row],[Current Age]]&gt;19,"Men's",IF(E2291&gt;15,"U19",IF(E2291&gt;13,"U15",IF(E2291&gt;11,"U13",IF(E2291&gt;0,"U11",0)))))</f>
        <v>0</v>
      </c>
      <c r="E2291" s="456">
        <f>IFERROR(IF(Table10[[#This Row],[Year]]&gt;0,$E$1-Table10[[#This Row],[Year]],0),"")</f>
        <v>0</v>
      </c>
      <c r="F2291" s="456"/>
      <c r="G2291" s="456"/>
      <c r="H2291" s="456"/>
    </row>
    <row r="2292" spans="1:8">
      <c r="A2292" s="456">
        <v>3289</v>
      </c>
      <c r="B2292" s="469" t="s">
        <v>3440</v>
      </c>
      <c r="C2292" s="458" t="s">
        <v>361</v>
      </c>
      <c r="D2292" s="456">
        <f>IF(Table10[[#This Row],[Current Age]]&gt;19,"Men's",IF(E2292&gt;15,"U19",IF(E2292&gt;13,"U15",IF(E2292&gt;11,"U13",IF(E2292&gt;0,"U11",0)))))</f>
        <v>0</v>
      </c>
      <c r="E2292" s="456">
        <f>IFERROR(IF(Table10[[#This Row],[Year]]&gt;0,$E$1-Table10[[#This Row],[Year]],0),"")</f>
        <v>0</v>
      </c>
      <c r="F2292" s="456"/>
      <c r="G2292" s="456"/>
      <c r="H2292" s="456"/>
    </row>
    <row r="2293" spans="1:8">
      <c r="A2293" s="471">
        <v>3290</v>
      </c>
      <c r="B2293" s="493" t="s">
        <v>3462</v>
      </c>
      <c r="C2293" s="472" t="s">
        <v>4720</v>
      </c>
      <c r="D2293" s="456">
        <f>IF(Table10[[#This Row],[Current Age]]&gt;19,"Men's",IF(E2293&gt;15,"U19",IF(E2293&gt;13,"U15",IF(E2293&gt;11,"U13",IF(E2293&gt;0,"U11",0)))))</f>
        <v>0</v>
      </c>
      <c r="E2293" s="456">
        <f>IFERROR(IF(Table10[[#This Row],[Year]]&gt;0,$E$1-Table10[[#This Row],[Year]],0),"")</f>
        <v>0</v>
      </c>
      <c r="F2293" s="456"/>
      <c r="G2293" s="456"/>
      <c r="H2293" s="456"/>
    </row>
    <row r="2294" spans="1:8">
      <c r="A2294" s="456">
        <v>3291</v>
      </c>
      <c r="B2294" s="469" t="s">
        <v>213</v>
      </c>
      <c r="C2294" s="458" t="s">
        <v>4720</v>
      </c>
      <c r="D2294" s="456">
        <f>IF(Table10[[#This Row],[Current Age]]&gt;19,"Men's",IF(E2294&gt;15,"U19",IF(E2294&gt;13,"U15",IF(E2294&gt;11,"U13",IF(E2294&gt;0,"U11",0)))))</f>
        <v>0</v>
      </c>
      <c r="E2294" s="456">
        <f>IFERROR(IF(Table10[[#This Row],[Year]]&gt;0,$E$1-Table10[[#This Row],[Year]],0),"")</f>
        <v>0</v>
      </c>
      <c r="F2294" s="456"/>
      <c r="G2294" s="456"/>
      <c r="H2294" s="456"/>
    </row>
    <row r="2295" spans="1:8">
      <c r="A2295" s="471">
        <v>3292</v>
      </c>
      <c r="B2295" s="493" t="s">
        <v>3463</v>
      </c>
      <c r="C2295" s="472" t="s">
        <v>4720</v>
      </c>
      <c r="D2295" s="456">
        <f>IF(Table10[[#This Row],[Current Age]]&gt;19,"Men's",IF(E2295&gt;15,"U19",IF(E2295&gt;13,"U15",IF(E2295&gt;11,"U13",IF(E2295&gt;0,"U11",0)))))</f>
        <v>0</v>
      </c>
      <c r="E2295" s="456">
        <f>IFERROR(IF(Table10[[#This Row],[Year]]&gt;0,$E$1-Table10[[#This Row],[Year]],0),"")</f>
        <v>0</v>
      </c>
      <c r="F2295" s="456"/>
      <c r="G2295" s="456"/>
      <c r="H2295" s="456"/>
    </row>
    <row r="2296" spans="1:8">
      <c r="A2296" s="456">
        <v>3293</v>
      </c>
      <c r="B2296" s="469" t="s">
        <v>3464</v>
      </c>
      <c r="C2296" s="458" t="s">
        <v>4720</v>
      </c>
      <c r="D2296" s="456">
        <f>IF(Table10[[#This Row],[Current Age]]&gt;19,"Men's",IF(E2296&gt;15,"U19",IF(E2296&gt;13,"U15",IF(E2296&gt;11,"U13",IF(E2296&gt;0,"U11",0)))))</f>
        <v>0</v>
      </c>
      <c r="E2296" s="456">
        <f>IFERROR(IF(Table10[[#This Row],[Year]]&gt;0,$E$1-Table10[[#This Row],[Year]],0),"")</f>
        <v>0</v>
      </c>
      <c r="F2296" s="456"/>
      <c r="G2296" s="456"/>
      <c r="H2296" s="456"/>
    </row>
    <row r="2297" spans="1:8">
      <c r="A2297" s="471">
        <v>3294</v>
      </c>
      <c r="B2297" s="493" t="s">
        <v>3465</v>
      </c>
      <c r="C2297" s="472" t="s">
        <v>244</v>
      </c>
      <c r="D2297" s="456">
        <f>IF(Table10[[#This Row],[Current Age]]&gt;19,"Men's",IF(E2297&gt;15,"U19",IF(E2297&gt;13,"U15",IF(E2297&gt;11,"U13",IF(E2297&gt;0,"U11",0)))))</f>
        <v>0</v>
      </c>
      <c r="E2297" s="456">
        <f>IFERROR(IF(Table10[[#This Row],[Year]]&gt;0,$E$1-Table10[[#This Row],[Year]],0),"")</f>
        <v>0</v>
      </c>
      <c r="F2297" s="456"/>
      <c r="G2297" s="456"/>
      <c r="H2297" s="456"/>
    </row>
    <row r="2298" spans="1:8">
      <c r="A2298" s="456">
        <v>3295</v>
      </c>
      <c r="B2298" s="469" t="s">
        <v>3466</v>
      </c>
      <c r="C2298" s="458" t="s">
        <v>4720</v>
      </c>
      <c r="D2298" s="456">
        <f>IF(Table10[[#This Row],[Current Age]]&gt;19,"Men's",IF(E2298&gt;15,"U19",IF(E2298&gt;13,"U15",IF(E2298&gt;11,"U13",IF(E2298&gt;0,"U11",0)))))</f>
        <v>0</v>
      </c>
      <c r="E2298" s="456">
        <f>IFERROR(IF(Table10[[#This Row],[Year]]&gt;0,$E$1-Table10[[#This Row],[Year]],0),"")</f>
        <v>0</v>
      </c>
      <c r="F2298" s="456"/>
      <c r="G2298" s="456"/>
      <c r="H2298" s="456"/>
    </row>
    <row r="2299" spans="1:8">
      <c r="A2299" s="471">
        <v>3296</v>
      </c>
      <c r="B2299" s="493" t="s">
        <v>3467</v>
      </c>
      <c r="C2299" s="472" t="s">
        <v>244</v>
      </c>
      <c r="D2299" s="456">
        <f>IF(Table10[[#This Row],[Current Age]]&gt;19,"Men's",IF(E2299&gt;15,"U19",IF(E2299&gt;13,"U15",IF(E2299&gt;11,"U13",IF(E2299&gt;0,"U11",0)))))</f>
        <v>0</v>
      </c>
      <c r="E2299" s="456">
        <f>IFERROR(IF(Table10[[#This Row],[Year]]&gt;0,$E$1-Table10[[#This Row],[Year]],0),"")</f>
        <v>0</v>
      </c>
      <c r="F2299" s="456"/>
      <c r="G2299" s="456"/>
      <c r="H2299" s="456"/>
    </row>
    <row r="2300" spans="1:8">
      <c r="A2300" s="456">
        <v>3297</v>
      </c>
      <c r="B2300" s="469" t="s">
        <v>3468</v>
      </c>
      <c r="C2300" s="458" t="s">
        <v>250</v>
      </c>
      <c r="D2300" s="456">
        <f>IF(Table10[[#This Row],[Current Age]]&gt;19,"Men's",IF(E2300&gt;15,"U19",IF(E2300&gt;13,"U15",IF(E2300&gt;11,"U13",IF(E2300&gt;0,"U11",0)))))</f>
        <v>0</v>
      </c>
      <c r="E2300" s="456">
        <f>IFERROR(IF(Table10[[#This Row],[Year]]&gt;0,$E$1-Table10[[#This Row],[Year]],0),"")</f>
        <v>0</v>
      </c>
      <c r="F2300" s="456"/>
      <c r="G2300" s="456"/>
      <c r="H2300" s="456"/>
    </row>
    <row r="2301" spans="1:8">
      <c r="A2301" s="471">
        <v>3298</v>
      </c>
      <c r="B2301" s="493" t="s">
        <v>3469</v>
      </c>
      <c r="C2301" s="472" t="s">
        <v>4720</v>
      </c>
      <c r="D2301" s="456">
        <f>IF(Table10[[#This Row],[Current Age]]&gt;19,"Men's",IF(E2301&gt;15,"U19",IF(E2301&gt;13,"U15",IF(E2301&gt;11,"U13",IF(E2301&gt;0,"U11",0)))))</f>
        <v>0</v>
      </c>
      <c r="E2301" s="456">
        <f>IFERROR(IF(Table10[[#This Row],[Year]]&gt;0,$E$1-Table10[[#This Row],[Year]],0),"")</f>
        <v>0</v>
      </c>
      <c r="F2301" s="456"/>
      <c r="G2301" s="456"/>
      <c r="H2301" s="456"/>
    </row>
    <row r="2302" spans="1:8">
      <c r="A2302" s="456">
        <v>3299</v>
      </c>
      <c r="B2302" s="469" t="s">
        <v>3470</v>
      </c>
      <c r="C2302" s="458" t="s">
        <v>4720</v>
      </c>
      <c r="D2302" s="456">
        <f>IF(Table10[[#This Row],[Current Age]]&gt;19,"Men's",IF(E2302&gt;15,"U19",IF(E2302&gt;13,"U15",IF(E2302&gt;11,"U13",IF(E2302&gt;0,"U11",0)))))</f>
        <v>0</v>
      </c>
      <c r="E2302" s="456">
        <f>IFERROR(IF(Table10[[#This Row],[Year]]&gt;0,$E$1-Table10[[#This Row],[Year]],0),"")</f>
        <v>0</v>
      </c>
      <c r="F2302" s="456"/>
      <c r="G2302" s="456"/>
      <c r="H2302" s="456"/>
    </row>
    <row r="2303" spans="1:8">
      <c r="A2303" s="471">
        <v>3300</v>
      </c>
      <c r="B2303" s="493" t="s">
        <v>3471</v>
      </c>
      <c r="C2303" s="472" t="s">
        <v>4720</v>
      </c>
      <c r="D2303" s="456">
        <f>IF(Table10[[#This Row],[Current Age]]&gt;19,"Men's",IF(E2303&gt;15,"U19",IF(E2303&gt;13,"U15",IF(E2303&gt;11,"U13",IF(E2303&gt;0,"U11",0)))))</f>
        <v>0</v>
      </c>
      <c r="E2303" s="456">
        <f>IFERROR(IF(Table10[[#This Row],[Year]]&gt;0,$E$1-Table10[[#This Row],[Year]],0),"")</f>
        <v>0</v>
      </c>
      <c r="F2303" s="456"/>
      <c r="G2303" s="456"/>
      <c r="H2303" s="456"/>
    </row>
    <row r="2304" spans="1:8">
      <c r="A2304" s="456">
        <v>3301</v>
      </c>
      <c r="B2304" s="531" t="s">
        <v>3480</v>
      </c>
      <c r="C2304" s="458" t="s">
        <v>4720</v>
      </c>
      <c r="D2304" s="456" t="str">
        <f>IF(Table10[[#This Row],[Current Age]]&gt;19,"Men's",IF(E2304&gt;15,"U19",IF(E2304&gt;13,"U15",IF(E2304&gt;11,"U13",IF(E2304&gt;0,"U11",0)))))</f>
        <v>U15</v>
      </c>
      <c r="E2304" s="456">
        <f>IFERROR(IF(Table10[[#This Row],[Year]]&gt;0,$E$1-Table10[[#This Row],[Year]],0),"")</f>
        <v>14</v>
      </c>
      <c r="F2304" s="456">
        <v>2011</v>
      </c>
      <c r="G2304" s="456">
        <v>8</v>
      </c>
      <c r="H2304" s="456">
        <v>20</v>
      </c>
    </row>
    <row r="2305" spans="1:8">
      <c r="A2305" s="471">
        <v>3302</v>
      </c>
      <c r="B2305" s="493" t="s">
        <v>3481</v>
      </c>
      <c r="C2305" s="472" t="s">
        <v>4720</v>
      </c>
      <c r="D2305" s="456" t="str">
        <f>IF(Table10[[#This Row],[Current Age]]&gt;19,"Men's",IF(E2305&gt;15,"U19",IF(E2305&gt;13,"U15",IF(E2305&gt;11,"U13",IF(E2305&gt;0,"U11",0)))))</f>
        <v>U19</v>
      </c>
      <c r="E2305" s="456">
        <f>IFERROR(IF(Table10[[#This Row],[Year]]&gt;0,$E$1-Table10[[#This Row],[Year]],0),"")</f>
        <v>19</v>
      </c>
      <c r="F2305" s="456">
        <v>2006</v>
      </c>
      <c r="G2305" s="456">
        <v>2</v>
      </c>
      <c r="H2305" s="456">
        <v>21</v>
      </c>
    </row>
    <row r="2306" spans="1:8">
      <c r="A2306" s="456">
        <v>3303</v>
      </c>
      <c r="B2306" s="469" t="s">
        <v>3482</v>
      </c>
      <c r="C2306" s="458" t="s">
        <v>4720</v>
      </c>
      <c r="D2306" s="456">
        <f>IF(Table10[[#This Row],[Current Age]]&gt;19,"Men's",IF(E2306&gt;15,"U19",IF(E2306&gt;13,"U15",IF(E2306&gt;11,"U13",IF(E2306&gt;0,"U11",0)))))</f>
        <v>0</v>
      </c>
      <c r="E2306" s="456">
        <f>IFERROR(IF(Table10[[#This Row],[Year]]&gt;0,$E$1-Table10[[#This Row],[Year]],0),"")</f>
        <v>0</v>
      </c>
      <c r="F2306" s="456"/>
      <c r="G2306" s="456"/>
      <c r="H2306" s="456"/>
    </row>
    <row r="2307" spans="1:8">
      <c r="A2307" s="471">
        <v>3304</v>
      </c>
      <c r="B2307" s="493" t="s">
        <v>3483</v>
      </c>
      <c r="C2307" s="472" t="s">
        <v>4720</v>
      </c>
      <c r="D2307" s="456">
        <f>IF(Table10[[#This Row],[Current Age]]&gt;19,"Men's",IF(E2307&gt;15,"U19",IF(E2307&gt;13,"U15",IF(E2307&gt;11,"U13",IF(E2307&gt;0,"U11",0)))))</f>
        <v>0</v>
      </c>
      <c r="E2307" s="456">
        <f>IFERROR(IF(Table10[[#This Row],[Year]]&gt;0,$E$1-Table10[[#This Row],[Year]],0),"")</f>
        <v>0</v>
      </c>
      <c r="F2307" s="456"/>
      <c r="G2307" s="456"/>
      <c r="H2307" s="456"/>
    </row>
    <row r="2308" spans="1:8">
      <c r="A2308" s="456">
        <v>3305</v>
      </c>
      <c r="B2308" s="469" t="s">
        <v>3484</v>
      </c>
      <c r="C2308" s="458" t="s">
        <v>4720</v>
      </c>
      <c r="D2308" s="456">
        <f>IF(Table10[[#This Row],[Current Age]]&gt;19,"Men's",IF(E2308&gt;15,"U19",IF(E2308&gt;13,"U15",IF(E2308&gt;11,"U13",IF(E2308&gt;0,"U11",0)))))</f>
        <v>0</v>
      </c>
      <c r="E2308" s="456">
        <f>IFERROR(IF(Table10[[#This Row],[Year]]&gt;0,$E$1-Table10[[#This Row],[Year]],0),"")</f>
        <v>0</v>
      </c>
      <c r="F2308" s="456"/>
      <c r="G2308" s="456"/>
      <c r="H2308" s="456"/>
    </row>
    <row r="2309" spans="1:8">
      <c r="A2309" s="471">
        <v>3306</v>
      </c>
      <c r="B2309" s="493" t="s">
        <v>3485</v>
      </c>
      <c r="C2309" s="472" t="s">
        <v>4720</v>
      </c>
      <c r="D2309" s="456">
        <f>IF(Table10[[#This Row],[Current Age]]&gt;19,"Men's",IF(E2309&gt;15,"U19",IF(E2309&gt;13,"U15",IF(E2309&gt;11,"U13",IF(E2309&gt;0,"U11",0)))))</f>
        <v>0</v>
      </c>
      <c r="E2309" s="456">
        <f>IFERROR(IF(Table10[[#This Row],[Year]]&gt;0,$E$1-Table10[[#This Row],[Year]],0),"")</f>
        <v>0</v>
      </c>
      <c r="F2309" s="456"/>
      <c r="G2309" s="456"/>
      <c r="H2309" s="456"/>
    </row>
    <row r="2310" spans="1:8">
      <c r="A2310" s="456">
        <v>3307</v>
      </c>
      <c r="B2310" s="469" t="s">
        <v>3486</v>
      </c>
      <c r="C2310" s="458" t="s">
        <v>4720</v>
      </c>
      <c r="D2310" s="456">
        <f>IF(Table10[[#This Row],[Current Age]]&gt;19,"Men's",IF(E2310&gt;15,"U19",IF(E2310&gt;13,"U15",IF(E2310&gt;11,"U13",IF(E2310&gt;0,"U11",0)))))</f>
        <v>0</v>
      </c>
      <c r="E2310" s="456">
        <f>IFERROR(IF(Table10[[#This Row],[Year]]&gt;0,$E$1-Table10[[#This Row],[Year]],0),"")</f>
        <v>0</v>
      </c>
      <c r="F2310" s="456"/>
      <c r="G2310" s="456"/>
      <c r="H2310" s="456"/>
    </row>
    <row r="2311" spans="1:8">
      <c r="A2311" s="471">
        <v>3308</v>
      </c>
      <c r="B2311" s="493" t="s">
        <v>3487</v>
      </c>
      <c r="C2311" s="472" t="s">
        <v>4720</v>
      </c>
      <c r="D2311" s="456">
        <f>IF(Table10[[#This Row],[Current Age]]&gt;19,"Men's",IF(E2311&gt;15,"U19",IF(E2311&gt;13,"U15",IF(E2311&gt;11,"U13",IF(E2311&gt;0,"U11",0)))))</f>
        <v>0</v>
      </c>
      <c r="E2311" s="456">
        <f>IFERROR(IF(Table10[[#This Row],[Year]]&gt;0,$E$1-Table10[[#This Row],[Year]],0),"")</f>
        <v>0</v>
      </c>
      <c r="F2311" s="456"/>
      <c r="G2311" s="456"/>
      <c r="H2311" s="456"/>
    </row>
    <row r="2312" spans="1:8">
      <c r="A2312" s="456">
        <v>3309</v>
      </c>
      <c r="B2312" s="469" t="s">
        <v>3488</v>
      </c>
      <c r="C2312" s="458" t="s">
        <v>4720</v>
      </c>
      <c r="D2312" s="456">
        <f>IF(Table10[[#This Row],[Current Age]]&gt;19,"Men's",IF(E2312&gt;15,"U19",IF(E2312&gt;13,"U15",IF(E2312&gt;11,"U13",IF(E2312&gt;0,"U11",0)))))</f>
        <v>0</v>
      </c>
      <c r="E2312" s="456">
        <f>IFERROR(IF(Table10[[#This Row],[Year]]&gt;0,$E$1-Table10[[#This Row],[Year]],0),"")</f>
        <v>0</v>
      </c>
      <c r="F2312" s="456"/>
      <c r="G2312" s="456"/>
      <c r="H2312" s="456"/>
    </row>
    <row r="2313" spans="1:8">
      <c r="A2313" s="471">
        <v>3310</v>
      </c>
      <c r="B2313" s="493" t="s">
        <v>3496</v>
      </c>
      <c r="C2313" s="472" t="s">
        <v>4720</v>
      </c>
      <c r="D2313" s="456">
        <f>IF(Table10[[#This Row],[Current Age]]&gt;19,"Men's",IF(E2313&gt;15,"U19",IF(E2313&gt;13,"U15",IF(E2313&gt;11,"U13",IF(E2313&gt;0,"U11",0)))))</f>
        <v>0</v>
      </c>
      <c r="E2313" s="456">
        <f>IFERROR(IF(Table10[[#This Row],[Year]]&gt;0,$E$1-Table10[[#This Row],[Year]],0),"")</f>
        <v>0</v>
      </c>
      <c r="F2313" s="456"/>
      <c r="G2313" s="456"/>
      <c r="H2313" s="456"/>
    </row>
    <row r="2314" spans="1:8">
      <c r="A2314" s="456">
        <v>3311</v>
      </c>
      <c r="B2314" s="469" t="s">
        <v>3489</v>
      </c>
      <c r="C2314" s="458" t="s">
        <v>4720</v>
      </c>
      <c r="D2314" s="456">
        <f>IF(Table10[[#This Row],[Current Age]]&gt;19,"Men's",IF(E2314&gt;15,"U19",IF(E2314&gt;13,"U15",IF(E2314&gt;11,"U13",IF(E2314&gt;0,"U11",0)))))</f>
        <v>0</v>
      </c>
      <c r="E2314" s="456">
        <f>IFERROR(IF(Table10[[#This Row],[Year]]&gt;0,$E$1-Table10[[#This Row],[Year]],0),"")</f>
        <v>0</v>
      </c>
      <c r="F2314" s="456"/>
      <c r="G2314" s="456"/>
      <c r="H2314" s="456"/>
    </row>
    <row r="2315" spans="1:8">
      <c r="A2315" s="471">
        <v>3312</v>
      </c>
      <c r="B2315" s="493" t="s">
        <v>3492</v>
      </c>
      <c r="C2315" s="472" t="s">
        <v>4720</v>
      </c>
      <c r="D2315" s="456">
        <f>IF(Table10[[#This Row],[Current Age]]&gt;19,"Men's",IF(E2315&gt;15,"U19",IF(E2315&gt;13,"U15",IF(E2315&gt;11,"U13",IF(E2315&gt;0,"U11",0)))))</f>
        <v>0</v>
      </c>
      <c r="E2315" s="456">
        <f>IFERROR(IF(Table10[[#This Row],[Year]]&gt;0,$E$1-Table10[[#This Row],[Year]],0),"")</f>
        <v>0</v>
      </c>
      <c r="F2315" s="456"/>
      <c r="G2315" s="456"/>
      <c r="H2315" s="456"/>
    </row>
    <row r="2316" spans="1:8">
      <c r="A2316" s="456">
        <v>3313</v>
      </c>
      <c r="B2316" s="469" t="s">
        <v>3493</v>
      </c>
      <c r="C2316" s="458" t="s">
        <v>4720</v>
      </c>
      <c r="D2316" s="456">
        <f>IF(Table10[[#This Row],[Current Age]]&gt;19,"Men's",IF(E2316&gt;15,"U19",IF(E2316&gt;13,"U15",IF(E2316&gt;11,"U13",IF(E2316&gt;0,"U11",0)))))</f>
        <v>0</v>
      </c>
      <c r="E2316" s="456">
        <f>IFERROR(IF(Table10[[#This Row],[Year]]&gt;0,$E$1-Table10[[#This Row],[Year]],0),"")</f>
        <v>0</v>
      </c>
      <c r="F2316" s="456"/>
      <c r="G2316" s="456"/>
      <c r="H2316" s="456"/>
    </row>
    <row r="2317" spans="1:8">
      <c r="A2317" s="471">
        <v>3314</v>
      </c>
      <c r="B2317" s="493" t="s">
        <v>3494</v>
      </c>
      <c r="C2317" s="472" t="s">
        <v>4720</v>
      </c>
      <c r="D2317" s="456">
        <f>IF(Table10[[#This Row],[Current Age]]&gt;19,"Men's",IF(E2317&gt;15,"U19",IF(E2317&gt;13,"U15",IF(E2317&gt;11,"U13",IF(E2317&gt;0,"U11",0)))))</f>
        <v>0</v>
      </c>
      <c r="E2317" s="456">
        <f>IFERROR(IF(Table10[[#This Row],[Year]]&gt;0,$E$1-Table10[[#This Row],[Year]],0),"")</f>
        <v>0</v>
      </c>
      <c r="F2317" s="456"/>
      <c r="G2317" s="456"/>
      <c r="H2317" s="456"/>
    </row>
    <row r="2318" spans="1:8">
      <c r="A2318" s="456">
        <v>3315</v>
      </c>
      <c r="B2318" s="469" t="s">
        <v>3495</v>
      </c>
      <c r="C2318" s="458" t="s">
        <v>4720</v>
      </c>
      <c r="D2318" s="456">
        <f>IF(Table10[[#This Row],[Current Age]]&gt;19,"Men's",IF(E2318&gt;15,"U19",IF(E2318&gt;13,"U15",IF(E2318&gt;11,"U13",IF(E2318&gt;0,"U11",0)))))</f>
        <v>0</v>
      </c>
      <c r="E2318" s="456">
        <f>IFERROR(IF(Table10[[#This Row],[Year]]&gt;0,$E$1-Table10[[#This Row],[Year]],0),"")</f>
        <v>0</v>
      </c>
      <c r="F2318" s="456"/>
      <c r="G2318" s="456"/>
      <c r="H2318" s="456"/>
    </row>
    <row r="2319" spans="1:8">
      <c r="A2319" s="471">
        <v>3316</v>
      </c>
      <c r="B2319" s="493" t="s">
        <v>3497</v>
      </c>
      <c r="C2319" s="472" t="s">
        <v>243</v>
      </c>
      <c r="D2319" s="456">
        <f>IF(Table10[[#This Row],[Current Age]]&gt;19,"Men's",IF(E2319&gt;15,"U19",IF(E2319&gt;13,"U15",IF(E2319&gt;11,"U13",IF(E2319&gt;0,"U11",0)))))</f>
        <v>0</v>
      </c>
      <c r="E2319" s="456">
        <f>IFERROR(IF(Table10[[#This Row],[Year]]&gt;0,$E$1-Table10[[#This Row],[Year]],0),"")</f>
        <v>0</v>
      </c>
      <c r="F2319" s="456"/>
      <c r="G2319" s="456"/>
      <c r="H2319" s="456"/>
    </row>
    <row r="2320" spans="1:8">
      <c r="A2320" s="456">
        <v>3317</v>
      </c>
      <c r="B2320" s="469" t="s">
        <v>3499</v>
      </c>
      <c r="C2320" s="458" t="s">
        <v>243</v>
      </c>
      <c r="D2320" s="456">
        <f>IF(Table10[[#This Row],[Current Age]]&gt;19,"Men's",IF(E2320&gt;15,"U19",IF(E2320&gt;13,"U15",IF(E2320&gt;11,"U13",IF(E2320&gt;0,"U11",0)))))</f>
        <v>0</v>
      </c>
      <c r="E2320" s="456">
        <f>IFERROR(IF(Table10[[#This Row],[Year]]&gt;0,$E$1-Table10[[#This Row],[Year]],0),"")</f>
        <v>0</v>
      </c>
      <c r="F2320" s="456"/>
      <c r="G2320" s="456"/>
      <c r="H2320" s="456"/>
    </row>
    <row r="2321" spans="1:8">
      <c r="A2321" s="471">
        <v>3318</v>
      </c>
      <c r="B2321" s="493" t="s">
        <v>3500</v>
      </c>
      <c r="C2321" s="472" t="s">
        <v>243</v>
      </c>
      <c r="D2321" s="456">
        <f>IF(Table10[[#This Row],[Current Age]]&gt;19,"Men's",IF(E2321&gt;15,"U19",IF(E2321&gt;13,"U15",IF(E2321&gt;11,"U13",IF(E2321&gt;0,"U11",0)))))</f>
        <v>0</v>
      </c>
      <c r="E2321" s="456">
        <f>IFERROR(IF(Table10[[#This Row],[Year]]&gt;0,$E$1-Table10[[#This Row],[Year]],0),"")</f>
        <v>0</v>
      </c>
      <c r="F2321" s="456"/>
      <c r="G2321" s="456"/>
      <c r="H2321" s="456"/>
    </row>
    <row r="2322" spans="1:8">
      <c r="A2322" s="456">
        <v>3319</v>
      </c>
      <c r="B2322" s="469" t="s">
        <v>3503</v>
      </c>
      <c r="C2322" s="458" t="s">
        <v>361</v>
      </c>
      <c r="D2322" s="456">
        <f>IF(Table10[[#This Row],[Current Age]]&gt;19,"Men's",IF(E2322&gt;15,"U19",IF(E2322&gt;13,"U15",IF(E2322&gt;11,"U13",IF(E2322&gt;0,"U11",0)))))</f>
        <v>0</v>
      </c>
      <c r="E2322" s="456">
        <f>IFERROR(IF(Table10[[#This Row],[Year]]&gt;0,$E$1-Table10[[#This Row],[Year]],0),"")</f>
        <v>0</v>
      </c>
      <c r="F2322" s="456"/>
      <c r="G2322" s="456"/>
      <c r="H2322" s="456"/>
    </row>
    <row r="2323" spans="1:8">
      <c r="A2323" s="471">
        <v>3320</v>
      </c>
      <c r="B2323" s="493" t="s">
        <v>3504</v>
      </c>
      <c r="C2323" s="472" t="s">
        <v>361</v>
      </c>
      <c r="D2323" s="456">
        <f>IF(Table10[[#This Row],[Current Age]]&gt;19,"Men's",IF(E2323&gt;15,"U19",IF(E2323&gt;13,"U15",IF(E2323&gt;11,"U13",IF(E2323&gt;0,"U11",0)))))</f>
        <v>0</v>
      </c>
      <c r="E2323" s="456">
        <f>IFERROR(IF(Table10[[#This Row],[Year]]&gt;0,$E$1-Table10[[#This Row],[Year]],0),"")</f>
        <v>0</v>
      </c>
      <c r="F2323" s="456"/>
      <c r="G2323" s="456"/>
      <c r="H2323" s="456"/>
    </row>
    <row r="2324" spans="1:8">
      <c r="A2324" s="456">
        <v>3321</v>
      </c>
      <c r="B2324" s="469" t="s">
        <v>3505</v>
      </c>
      <c r="C2324" s="458" t="s">
        <v>361</v>
      </c>
      <c r="D2324" s="456" t="str">
        <f>IF(Table10[[#This Row],[Current Age]]&gt;19,"Men's",IF(E2324&gt;15,"U19",IF(E2324&gt;13,"U15",IF(E2324&gt;11,"U13",IF(E2324&gt;0,"U11",0)))))</f>
        <v>U15</v>
      </c>
      <c r="E2324" s="456">
        <f>IFERROR(IF(Table10[[#This Row],[Year]]&gt;0,$E$1-Table10[[#This Row],[Year]],0),"")</f>
        <v>14</v>
      </c>
      <c r="F2324" s="456">
        <v>2011</v>
      </c>
      <c r="G2324" s="456"/>
      <c r="H2324" s="456"/>
    </row>
    <row r="2325" spans="1:8">
      <c r="A2325" s="471">
        <v>3322</v>
      </c>
      <c r="B2325" s="493" t="s">
        <v>3506</v>
      </c>
      <c r="C2325" s="472" t="s">
        <v>361</v>
      </c>
      <c r="D2325" s="456" t="str">
        <f>IF(Table10[[#This Row],[Current Age]]&gt;19,"Men's",IF(E2325&gt;15,"U19",IF(E2325&gt;13,"U15",IF(E2325&gt;11,"U13",IF(E2325&gt;0,"U11",0)))))</f>
        <v>U19</v>
      </c>
      <c r="E2325" s="456">
        <f>IFERROR(IF(Table10[[#This Row],[Year]]&gt;0,$E$1-Table10[[#This Row],[Year]],0),"")</f>
        <v>16</v>
      </c>
      <c r="F2325" s="456">
        <v>2009</v>
      </c>
      <c r="G2325" s="456"/>
      <c r="H2325" s="456"/>
    </row>
    <row r="2326" spans="1:8">
      <c r="A2326" s="456">
        <v>3323</v>
      </c>
      <c r="B2326" s="469" t="s">
        <v>3507</v>
      </c>
      <c r="C2326" s="458" t="s">
        <v>361</v>
      </c>
      <c r="D2326" s="456">
        <f>IF(Table10[[#This Row],[Current Age]]&gt;19,"Men's",IF(E2326&gt;15,"U19",IF(E2326&gt;13,"U15",IF(E2326&gt;11,"U13",IF(E2326&gt;0,"U11",0)))))</f>
        <v>0</v>
      </c>
      <c r="E2326" s="456">
        <f>IFERROR(IF(Table10[[#This Row],[Year]]&gt;0,$E$1-Table10[[#This Row],[Year]],0),"")</f>
        <v>0</v>
      </c>
      <c r="F2326" s="456"/>
      <c r="G2326" s="456"/>
      <c r="H2326" s="456"/>
    </row>
    <row r="2327" spans="1:8">
      <c r="A2327" s="471">
        <v>3324</v>
      </c>
      <c r="B2327" s="493" t="s">
        <v>3508</v>
      </c>
      <c r="C2327" s="472" t="s">
        <v>361</v>
      </c>
      <c r="D2327" s="456">
        <f>IF(Table10[[#This Row],[Current Age]]&gt;19,"Men's",IF(E2327&gt;15,"U19",IF(E2327&gt;13,"U15",IF(E2327&gt;11,"U13",IF(E2327&gt;0,"U11",0)))))</f>
        <v>0</v>
      </c>
      <c r="E2327" s="456">
        <f>IFERROR(IF(Table10[[#This Row],[Year]]&gt;0,$E$1-Table10[[#This Row],[Year]],0),"")</f>
        <v>0</v>
      </c>
      <c r="F2327" s="456"/>
      <c r="G2327" s="456"/>
      <c r="H2327" s="456"/>
    </row>
    <row r="2328" spans="1:8">
      <c r="A2328" s="456">
        <v>3325</v>
      </c>
      <c r="B2328" s="469" t="s">
        <v>3509</v>
      </c>
      <c r="C2328" s="458" t="s">
        <v>361</v>
      </c>
      <c r="D2328" s="456" t="str">
        <f>IF(Table10[[#This Row],[Current Age]]&gt;19,"Men's",IF(E2328&gt;15,"U19",IF(E2328&gt;13,"U15",IF(E2328&gt;11,"U13",IF(E2328&gt;0,"U11",0)))))</f>
        <v>U15</v>
      </c>
      <c r="E2328" s="456">
        <f>IFERROR(IF(Table10[[#This Row],[Year]]&gt;0,$E$1-Table10[[#This Row],[Year]],0),"")</f>
        <v>14</v>
      </c>
      <c r="F2328" s="456">
        <v>2011</v>
      </c>
      <c r="G2328" s="456"/>
      <c r="H2328" s="456"/>
    </row>
    <row r="2329" spans="1:8">
      <c r="A2329" s="471">
        <v>3326</v>
      </c>
      <c r="B2329" s="493" t="s">
        <v>3510</v>
      </c>
      <c r="C2329" s="472" t="s">
        <v>361</v>
      </c>
      <c r="D2329" s="456" t="str">
        <f>IF(Table10[[#This Row],[Current Age]]&gt;19,"Men's",IF(E2329&gt;15,"U19",IF(E2329&gt;13,"U15",IF(E2329&gt;11,"U13",IF(E2329&gt;0,"U11",0)))))</f>
        <v>U13</v>
      </c>
      <c r="E2329" s="456">
        <f>IFERROR(IF(Table10[[#This Row],[Year]]&gt;0,$E$1-Table10[[#This Row],[Year]],0),"")</f>
        <v>12</v>
      </c>
      <c r="F2329" s="456">
        <v>2013</v>
      </c>
      <c r="G2329" s="456"/>
      <c r="H2329" s="456"/>
    </row>
    <row r="2330" spans="1:8">
      <c r="A2330" s="456">
        <v>3327</v>
      </c>
      <c r="B2330" s="469" t="s">
        <v>3511</v>
      </c>
      <c r="C2330" s="458" t="s">
        <v>361</v>
      </c>
      <c r="D2330" s="456">
        <f>IF(Table10[[#This Row],[Current Age]]&gt;19,"Men's",IF(E2330&gt;15,"U19",IF(E2330&gt;13,"U15",IF(E2330&gt;11,"U13",IF(E2330&gt;0,"U11",0)))))</f>
        <v>0</v>
      </c>
      <c r="E2330" s="456">
        <f>IFERROR(IF(Table10[[#This Row],[Year]]&gt;0,$E$1-Table10[[#This Row],[Year]],0),"")</f>
        <v>0</v>
      </c>
      <c r="F2330" s="456"/>
      <c r="G2330" s="456"/>
      <c r="H2330" s="456"/>
    </row>
    <row r="2331" spans="1:8">
      <c r="A2331" s="471">
        <v>3328</v>
      </c>
      <c r="B2331" s="493" t="s">
        <v>3512</v>
      </c>
      <c r="C2331" s="472" t="s">
        <v>361</v>
      </c>
      <c r="D2331" s="456">
        <f>IF(Table10[[#This Row],[Current Age]]&gt;19,"Men's",IF(E2331&gt;15,"U19",IF(E2331&gt;13,"U15",IF(E2331&gt;11,"U13",IF(E2331&gt;0,"U11",0)))))</f>
        <v>0</v>
      </c>
      <c r="E2331" s="456">
        <f>IFERROR(IF(Table10[[#This Row],[Year]]&gt;0,$E$1-Table10[[#This Row],[Year]],0),"")</f>
        <v>0</v>
      </c>
      <c r="F2331" s="456"/>
      <c r="G2331" s="456"/>
      <c r="H2331" s="456"/>
    </row>
    <row r="2332" spans="1:8">
      <c r="A2332" s="456">
        <v>3329</v>
      </c>
      <c r="B2332" s="469" t="s">
        <v>3513</v>
      </c>
      <c r="C2332" s="458" t="s">
        <v>361</v>
      </c>
      <c r="D2332" s="456" t="str">
        <f>IF(Table10[[#This Row],[Current Age]]&gt;19,"Men's",IF(E2332&gt;15,"U19",IF(E2332&gt;13,"U15",IF(E2332&gt;11,"U13",IF(E2332&gt;0,"U11",0)))))</f>
        <v>U19</v>
      </c>
      <c r="E2332" s="456">
        <f>IFERROR(IF(Table10[[#This Row],[Year]]&gt;0,$E$1-Table10[[#This Row],[Year]],0),"")</f>
        <v>16</v>
      </c>
      <c r="F2332" s="456">
        <v>2009</v>
      </c>
      <c r="G2332" s="456"/>
      <c r="H2332" s="456"/>
    </row>
    <row r="2333" spans="1:8">
      <c r="A2333" s="471">
        <v>3330</v>
      </c>
      <c r="B2333" s="493" t="s">
        <v>3514</v>
      </c>
      <c r="C2333" s="472" t="s">
        <v>361</v>
      </c>
      <c r="D2333" s="456">
        <f>IF(Table10[[#This Row],[Current Age]]&gt;19,"Men's",IF(E2333&gt;15,"U19",IF(E2333&gt;13,"U15",IF(E2333&gt;11,"U13",IF(E2333&gt;0,"U11",0)))))</f>
        <v>0</v>
      </c>
      <c r="E2333" s="456">
        <f>IFERROR(IF(Table10[[#This Row],[Year]]&gt;0,$E$1-Table10[[#This Row],[Year]],0),"")</f>
        <v>0</v>
      </c>
      <c r="F2333" s="456"/>
      <c r="G2333" s="456"/>
      <c r="H2333" s="456"/>
    </row>
    <row r="2334" spans="1:8">
      <c r="A2334" s="456">
        <v>3331</v>
      </c>
      <c r="B2334" s="469" t="s">
        <v>3515</v>
      </c>
      <c r="C2334" s="458" t="s">
        <v>361</v>
      </c>
      <c r="D2334" s="456">
        <f>IF(Table10[[#This Row],[Current Age]]&gt;19,"Men's",IF(E2334&gt;15,"U19",IF(E2334&gt;13,"U15",IF(E2334&gt;11,"U13",IF(E2334&gt;0,"U11",0)))))</f>
        <v>0</v>
      </c>
      <c r="E2334" s="456">
        <f>IFERROR(IF(Table10[[#This Row],[Year]]&gt;0,$E$1-Table10[[#This Row],[Year]],0),"")</f>
        <v>0</v>
      </c>
      <c r="F2334" s="456"/>
      <c r="G2334" s="456"/>
      <c r="H2334" s="456"/>
    </row>
    <row r="2335" spans="1:8">
      <c r="A2335" s="471">
        <v>3332</v>
      </c>
      <c r="B2335" s="493" t="s">
        <v>3516</v>
      </c>
      <c r="C2335" s="472" t="s">
        <v>361</v>
      </c>
      <c r="D2335" s="456">
        <f>IF(Table10[[#This Row],[Current Age]]&gt;19,"Men's",IF(E2335&gt;15,"U19",IF(E2335&gt;13,"U15",IF(E2335&gt;11,"U13",IF(E2335&gt;0,"U11",0)))))</f>
        <v>0</v>
      </c>
      <c r="E2335" s="456">
        <f>IFERROR(IF(Table10[[#This Row],[Year]]&gt;0,$E$1-Table10[[#This Row],[Year]],0),"")</f>
        <v>0</v>
      </c>
      <c r="F2335" s="456"/>
      <c r="G2335" s="456"/>
      <c r="H2335" s="456"/>
    </row>
    <row r="2336" spans="1:8">
      <c r="A2336" s="456">
        <v>3333</v>
      </c>
      <c r="B2336" s="469" t="s">
        <v>3517</v>
      </c>
      <c r="C2336" s="458" t="s">
        <v>361</v>
      </c>
      <c r="D2336" s="456">
        <f>IF(Table10[[#This Row],[Current Age]]&gt;19,"Men's",IF(E2336&gt;15,"U19",IF(E2336&gt;13,"U15",IF(E2336&gt;11,"U13",IF(E2336&gt;0,"U11",0)))))</f>
        <v>0</v>
      </c>
      <c r="E2336" s="456">
        <f>IFERROR(IF(Table10[[#This Row],[Year]]&gt;0,$E$1-Table10[[#This Row],[Year]],0),"")</f>
        <v>0</v>
      </c>
      <c r="F2336" s="456"/>
      <c r="G2336" s="456"/>
      <c r="H2336" s="456"/>
    </row>
    <row r="2337" spans="1:8">
      <c r="A2337" s="471">
        <v>3334</v>
      </c>
      <c r="B2337" s="493" t="s">
        <v>3518</v>
      </c>
      <c r="C2337" s="472" t="s">
        <v>361</v>
      </c>
      <c r="D2337" s="456">
        <f>IF(Table10[[#This Row],[Current Age]]&gt;19,"Men's",IF(E2337&gt;15,"U19",IF(E2337&gt;13,"U15",IF(E2337&gt;11,"U13",IF(E2337&gt;0,"U11",0)))))</f>
        <v>0</v>
      </c>
      <c r="E2337" s="456">
        <f>IFERROR(IF(Table10[[#This Row],[Year]]&gt;0,$E$1-Table10[[#This Row],[Year]],0),"")</f>
        <v>0</v>
      </c>
      <c r="F2337" s="456"/>
      <c r="G2337" s="456"/>
      <c r="H2337" s="456"/>
    </row>
    <row r="2338" spans="1:8">
      <c r="A2338" s="456">
        <v>3335</v>
      </c>
      <c r="B2338" s="469" t="s">
        <v>3519</v>
      </c>
      <c r="C2338" s="458" t="s">
        <v>361</v>
      </c>
      <c r="D2338" s="456">
        <f>IF(Table10[[#This Row],[Current Age]]&gt;19,"Men's",IF(E2338&gt;15,"U19",IF(E2338&gt;13,"U15",IF(E2338&gt;11,"U13",IF(E2338&gt;0,"U11",0)))))</f>
        <v>0</v>
      </c>
      <c r="E2338" s="456">
        <f>IFERROR(IF(Table10[[#This Row],[Year]]&gt;0,$E$1-Table10[[#This Row],[Year]],0),"")</f>
        <v>0</v>
      </c>
      <c r="F2338" s="456"/>
      <c r="G2338" s="456"/>
      <c r="H2338" s="456"/>
    </row>
    <row r="2339" spans="1:8">
      <c r="A2339" s="471">
        <v>3336</v>
      </c>
      <c r="B2339" s="493" t="s">
        <v>3520</v>
      </c>
      <c r="C2339" s="472" t="s">
        <v>361</v>
      </c>
      <c r="D2339" s="456">
        <f>IF(Table10[[#This Row],[Current Age]]&gt;19,"Men's",IF(E2339&gt;15,"U19",IF(E2339&gt;13,"U15",IF(E2339&gt;11,"U13",IF(E2339&gt;0,"U11",0)))))</f>
        <v>0</v>
      </c>
      <c r="E2339" s="456">
        <f>IFERROR(IF(Table10[[#This Row],[Year]]&gt;0,$E$1-Table10[[#This Row],[Year]],0),"")</f>
        <v>0</v>
      </c>
      <c r="F2339" s="456"/>
      <c r="G2339" s="456"/>
      <c r="H2339" s="456"/>
    </row>
    <row r="2340" spans="1:8">
      <c r="A2340" s="456">
        <v>3337</v>
      </c>
      <c r="B2340" s="469" t="s">
        <v>3521</v>
      </c>
      <c r="C2340" s="458" t="s">
        <v>361</v>
      </c>
      <c r="D2340" s="456">
        <f>IF(Table10[[#This Row],[Current Age]]&gt;19,"Men's",IF(E2340&gt;15,"U19",IF(E2340&gt;13,"U15",IF(E2340&gt;11,"U13",IF(E2340&gt;0,"U11",0)))))</f>
        <v>0</v>
      </c>
      <c r="E2340" s="456">
        <f>IFERROR(IF(Table10[[#This Row],[Year]]&gt;0,$E$1-Table10[[#This Row],[Year]],0),"")</f>
        <v>0</v>
      </c>
      <c r="F2340" s="456"/>
      <c r="G2340" s="456"/>
      <c r="H2340" s="456"/>
    </row>
    <row r="2341" spans="1:8">
      <c r="A2341" s="471">
        <v>3338</v>
      </c>
      <c r="B2341" s="493" t="s">
        <v>3522</v>
      </c>
      <c r="C2341" s="472" t="s">
        <v>361</v>
      </c>
      <c r="D2341" s="456">
        <f>IF(Table10[[#This Row],[Current Age]]&gt;19,"Men's",IF(E2341&gt;15,"U19",IF(E2341&gt;13,"U15",IF(E2341&gt;11,"U13",IF(E2341&gt;0,"U11",0)))))</f>
        <v>0</v>
      </c>
      <c r="E2341" s="456">
        <f>IFERROR(IF(Table10[[#This Row],[Year]]&gt;0,$E$1-Table10[[#This Row],[Year]],0),"")</f>
        <v>0</v>
      </c>
      <c r="F2341" s="456"/>
      <c r="G2341" s="456"/>
      <c r="H2341" s="456"/>
    </row>
    <row r="2342" spans="1:8">
      <c r="A2342" s="456">
        <v>3339</v>
      </c>
      <c r="B2342" s="469" t="s">
        <v>3523</v>
      </c>
      <c r="C2342" s="458" t="s">
        <v>361</v>
      </c>
      <c r="D2342" s="456">
        <f>IF(Table10[[#This Row],[Current Age]]&gt;19,"Men's",IF(E2342&gt;15,"U19",IF(E2342&gt;13,"U15",IF(E2342&gt;11,"U13",IF(E2342&gt;0,"U11",0)))))</f>
        <v>0</v>
      </c>
      <c r="E2342" s="456">
        <f>IFERROR(IF(Table10[[#This Row],[Year]]&gt;0,$E$1-Table10[[#This Row],[Year]],0),"")</f>
        <v>0</v>
      </c>
      <c r="F2342" s="456"/>
      <c r="G2342" s="456"/>
      <c r="H2342" s="456"/>
    </row>
    <row r="2343" spans="1:8">
      <c r="A2343" s="471">
        <v>3340</v>
      </c>
      <c r="B2343" s="493" t="s">
        <v>3524</v>
      </c>
      <c r="C2343" s="472" t="s">
        <v>361</v>
      </c>
      <c r="D2343" s="456">
        <f>IF(Table10[[#This Row],[Current Age]]&gt;19,"Men's",IF(E2343&gt;15,"U19",IF(E2343&gt;13,"U15",IF(E2343&gt;11,"U13",IF(E2343&gt;0,"U11",0)))))</f>
        <v>0</v>
      </c>
      <c r="E2343" s="456">
        <f>IFERROR(IF(Table10[[#This Row],[Year]]&gt;0,$E$1-Table10[[#This Row],[Year]],0),"")</f>
        <v>0</v>
      </c>
      <c r="F2343" s="456"/>
      <c r="G2343" s="456"/>
      <c r="H2343" s="456"/>
    </row>
    <row r="2344" spans="1:8">
      <c r="A2344" s="456">
        <v>3341</v>
      </c>
      <c r="B2344" s="469" t="s">
        <v>3525</v>
      </c>
      <c r="C2344" s="458" t="s">
        <v>361</v>
      </c>
      <c r="D2344" s="456">
        <f>IF(Table10[[#This Row],[Current Age]]&gt;19,"Men's",IF(E2344&gt;15,"U19",IF(E2344&gt;13,"U15",IF(E2344&gt;11,"U13",IF(E2344&gt;0,"U11",0)))))</f>
        <v>0</v>
      </c>
      <c r="E2344" s="456">
        <f>IFERROR(IF(Table10[[#This Row],[Year]]&gt;0,$E$1-Table10[[#This Row],[Year]],0),"")</f>
        <v>0</v>
      </c>
      <c r="F2344" s="456"/>
      <c r="G2344" s="456"/>
      <c r="H2344" s="456"/>
    </row>
    <row r="2345" spans="1:8">
      <c r="A2345" s="471">
        <v>3342</v>
      </c>
      <c r="B2345" s="493" t="s">
        <v>3526</v>
      </c>
      <c r="C2345" s="472" t="s">
        <v>361</v>
      </c>
      <c r="D2345" s="456">
        <f>IF(Table10[[#This Row],[Current Age]]&gt;19,"Men's",IF(E2345&gt;15,"U19",IF(E2345&gt;13,"U15",IF(E2345&gt;11,"U13",IF(E2345&gt;0,"U11",0)))))</f>
        <v>0</v>
      </c>
      <c r="E2345" s="456">
        <f>IFERROR(IF(Table10[[#This Row],[Year]]&gt;0,$E$1-Table10[[#This Row],[Year]],0),"")</f>
        <v>0</v>
      </c>
      <c r="F2345" s="456"/>
      <c r="G2345" s="456"/>
      <c r="H2345" s="456"/>
    </row>
    <row r="2346" spans="1:8">
      <c r="A2346" s="456">
        <v>3343</v>
      </c>
      <c r="B2346" s="469" t="s">
        <v>3527</v>
      </c>
      <c r="C2346" s="458" t="s">
        <v>361</v>
      </c>
      <c r="D2346" s="456">
        <f>IF(Table10[[#This Row],[Current Age]]&gt;19,"Men's",IF(E2346&gt;15,"U19",IF(E2346&gt;13,"U15",IF(E2346&gt;11,"U13",IF(E2346&gt;0,"U11",0)))))</f>
        <v>0</v>
      </c>
      <c r="E2346" s="456">
        <f>IFERROR(IF(Table10[[#This Row],[Year]]&gt;0,$E$1-Table10[[#This Row],[Year]],0),"")</f>
        <v>0</v>
      </c>
      <c r="F2346" s="456"/>
      <c r="G2346" s="456"/>
      <c r="H2346" s="456"/>
    </row>
    <row r="2347" spans="1:8">
      <c r="A2347" s="471">
        <v>3344</v>
      </c>
      <c r="B2347" s="493" t="s">
        <v>3528</v>
      </c>
      <c r="C2347" s="472" t="s">
        <v>361</v>
      </c>
      <c r="D2347" s="456">
        <f>IF(Table10[[#This Row],[Current Age]]&gt;19,"Men's",IF(E2347&gt;15,"U19",IF(E2347&gt;13,"U15",IF(E2347&gt;11,"U13",IF(E2347&gt;0,"U11",0)))))</f>
        <v>0</v>
      </c>
      <c r="E2347" s="456">
        <f>IFERROR(IF(Table10[[#This Row],[Year]]&gt;0,$E$1-Table10[[#This Row],[Year]],0),"")</f>
        <v>0</v>
      </c>
      <c r="F2347" s="456"/>
      <c r="G2347" s="456"/>
      <c r="H2347" s="456"/>
    </row>
    <row r="2348" spans="1:8">
      <c r="A2348" s="456">
        <v>3345</v>
      </c>
      <c r="B2348" s="469" t="s">
        <v>3529</v>
      </c>
      <c r="C2348" s="458" t="s">
        <v>361</v>
      </c>
      <c r="D2348" s="456">
        <f>IF(Table10[[#This Row],[Current Age]]&gt;19,"Men's",IF(E2348&gt;15,"U19",IF(E2348&gt;13,"U15",IF(E2348&gt;11,"U13",IF(E2348&gt;0,"U11",0)))))</f>
        <v>0</v>
      </c>
      <c r="E2348" s="456">
        <f>IFERROR(IF(Table10[[#This Row],[Year]]&gt;0,$E$1-Table10[[#This Row],[Year]],0),"")</f>
        <v>0</v>
      </c>
      <c r="F2348" s="456"/>
      <c r="G2348" s="456"/>
      <c r="H2348" s="456"/>
    </row>
    <row r="2349" spans="1:8">
      <c r="A2349" s="471">
        <v>3346</v>
      </c>
      <c r="B2349" s="493" t="s">
        <v>3530</v>
      </c>
      <c r="C2349" s="472" t="s">
        <v>361</v>
      </c>
      <c r="D2349" s="456">
        <f>IF(Table10[[#This Row],[Current Age]]&gt;19,"Men's",IF(E2349&gt;15,"U19",IF(E2349&gt;13,"U15",IF(E2349&gt;11,"U13",IF(E2349&gt;0,"U11",0)))))</f>
        <v>0</v>
      </c>
      <c r="E2349" s="456">
        <f>IFERROR(IF(Table10[[#This Row],[Year]]&gt;0,$E$1-Table10[[#This Row],[Year]],0),"")</f>
        <v>0</v>
      </c>
      <c r="F2349" s="456"/>
      <c r="G2349" s="456"/>
      <c r="H2349" s="456"/>
    </row>
    <row r="2350" spans="1:8">
      <c r="A2350" s="456">
        <v>3347</v>
      </c>
      <c r="B2350" s="469" t="s">
        <v>3531</v>
      </c>
      <c r="C2350" s="458" t="s">
        <v>361</v>
      </c>
      <c r="D2350" s="456">
        <f>IF(Table10[[#This Row],[Current Age]]&gt;19,"Men's",IF(E2350&gt;15,"U19",IF(E2350&gt;13,"U15",IF(E2350&gt;11,"U13",IF(E2350&gt;0,"U11",0)))))</f>
        <v>0</v>
      </c>
      <c r="E2350" s="456">
        <f>IFERROR(IF(Table10[[#This Row],[Year]]&gt;0,$E$1-Table10[[#This Row],[Year]],0),"")</f>
        <v>0</v>
      </c>
      <c r="F2350" s="456"/>
      <c r="G2350" s="456"/>
      <c r="H2350" s="456"/>
    </row>
    <row r="2351" spans="1:8">
      <c r="A2351" s="471">
        <v>3348</v>
      </c>
      <c r="B2351" s="493" t="s">
        <v>3532</v>
      </c>
      <c r="C2351" s="472" t="s">
        <v>361</v>
      </c>
      <c r="D2351" s="456">
        <f>IF(Table10[[#This Row],[Current Age]]&gt;19,"Men's",IF(E2351&gt;15,"U19",IF(E2351&gt;13,"U15",IF(E2351&gt;11,"U13",IF(E2351&gt;0,"U11",0)))))</f>
        <v>0</v>
      </c>
      <c r="E2351" s="456">
        <f>IFERROR(IF(Table10[[#This Row],[Year]]&gt;0,$E$1-Table10[[#This Row],[Year]],0),"")</f>
        <v>0</v>
      </c>
      <c r="F2351" s="456"/>
      <c r="G2351" s="456"/>
      <c r="H2351" s="456"/>
    </row>
    <row r="2352" spans="1:8">
      <c r="A2352" s="456">
        <v>3349</v>
      </c>
      <c r="B2352" s="469" t="s">
        <v>3533</v>
      </c>
      <c r="C2352" s="458" t="s">
        <v>361</v>
      </c>
      <c r="D2352" s="456">
        <f>IF(Table10[[#This Row],[Current Age]]&gt;19,"Men's",IF(E2352&gt;15,"U19",IF(E2352&gt;13,"U15",IF(E2352&gt;11,"U13",IF(E2352&gt;0,"U11",0)))))</f>
        <v>0</v>
      </c>
      <c r="E2352" s="456">
        <f>IFERROR(IF(Table10[[#This Row],[Year]]&gt;0,$E$1-Table10[[#This Row],[Year]],0),"")</f>
        <v>0</v>
      </c>
      <c r="F2352" s="456"/>
      <c r="G2352" s="456"/>
      <c r="H2352" s="456"/>
    </row>
    <row r="2353" spans="1:8">
      <c r="A2353" s="471">
        <v>3350</v>
      </c>
      <c r="B2353" s="493" t="s">
        <v>3534</v>
      </c>
      <c r="C2353" s="472" t="s">
        <v>361</v>
      </c>
      <c r="D2353" s="456">
        <f>IF(Table10[[#This Row],[Current Age]]&gt;19,"Men's",IF(E2353&gt;15,"U19",IF(E2353&gt;13,"U15",IF(E2353&gt;11,"U13",IF(E2353&gt;0,"U11",0)))))</f>
        <v>0</v>
      </c>
      <c r="E2353" s="456">
        <f>IFERROR(IF(Table10[[#This Row],[Year]]&gt;0,$E$1-Table10[[#This Row],[Year]],0),"")</f>
        <v>0</v>
      </c>
      <c r="F2353" s="456"/>
      <c r="G2353" s="456"/>
      <c r="H2353" s="456"/>
    </row>
    <row r="2354" spans="1:8">
      <c r="A2354" s="456">
        <v>3351</v>
      </c>
      <c r="B2354" s="469" t="s">
        <v>3535</v>
      </c>
      <c r="C2354" s="458" t="s">
        <v>361</v>
      </c>
      <c r="D2354" s="456">
        <f>IF(Table10[[#This Row],[Current Age]]&gt;19,"Men's",IF(E2354&gt;15,"U19",IF(E2354&gt;13,"U15",IF(E2354&gt;11,"U13",IF(E2354&gt;0,"U11",0)))))</f>
        <v>0</v>
      </c>
      <c r="E2354" s="456">
        <f>IFERROR(IF(Table10[[#This Row],[Year]]&gt;0,$E$1-Table10[[#This Row],[Year]],0),"")</f>
        <v>0</v>
      </c>
      <c r="F2354" s="456"/>
      <c r="G2354" s="456"/>
      <c r="H2354" s="456"/>
    </row>
    <row r="2355" spans="1:8">
      <c r="A2355" s="471">
        <v>3352</v>
      </c>
      <c r="B2355" s="493" t="s">
        <v>3536</v>
      </c>
      <c r="C2355" s="472" t="s">
        <v>361</v>
      </c>
      <c r="D2355" s="456">
        <f>IF(Table10[[#This Row],[Current Age]]&gt;19,"Men's",IF(E2355&gt;15,"U19",IF(E2355&gt;13,"U15",IF(E2355&gt;11,"U13",IF(E2355&gt;0,"U11",0)))))</f>
        <v>0</v>
      </c>
      <c r="E2355" s="456">
        <f>IFERROR(IF(Table10[[#This Row],[Year]]&gt;0,$E$1-Table10[[#This Row],[Year]],0),"")</f>
        <v>0</v>
      </c>
      <c r="F2355" s="456"/>
      <c r="G2355" s="456"/>
      <c r="H2355" s="456"/>
    </row>
    <row r="2356" spans="1:8">
      <c r="A2356" s="456">
        <v>3353</v>
      </c>
      <c r="B2356" s="469" t="s">
        <v>3537</v>
      </c>
      <c r="C2356" s="458" t="s">
        <v>361</v>
      </c>
      <c r="D2356" s="456">
        <f>IF(Table10[[#This Row],[Current Age]]&gt;19,"Men's",IF(E2356&gt;15,"U19",IF(E2356&gt;13,"U15",IF(E2356&gt;11,"U13",IF(E2356&gt;0,"U11",0)))))</f>
        <v>0</v>
      </c>
      <c r="E2356" s="456">
        <f>IFERROR(IF(Table10[[#This Row],[Year]]&gt;0,$E$1-Table10[[#This Row],[Year]],0),"")</f>
        <v>0</v>
      </c>
      <c r="F2356" s="456"/>
      <c r="G2356" s="456"/>
      <c r="H2356" s="456"/>
    </row>
    <row r="2357" spans="1:8">
      <c r="A2357" s="471">
        <v>3354</v>
      </c>
      <c r="B2357" s="493" t="s">
        <v>3538</v>
      </c>
      <c r="C2357" s="472" t="s">
        <v>361</v>
      </c>
      <c r="D2357" s="456">
        <f>IF(Table10[[#This Row],[Current Age]]&gt;19,"Men's",IF(E2357&gt;15,"U19",IF(E2357&gt;13,"U15",IF(E2357&gt;11,"U13",IF(E2357&gt;0,"U11",0)))))</f>
        <v>0</v>
      </c>
      <c r="E2357" s="456">
        <f>IFERROR(IF(Table10[[#This Row],[Year]]&gt;0,$E$1-Table10[[#This Row],[Year]],0),"")</f>
        <v>0</v>
      </c>
      <c r="F2357" s="456"/>
      <c r="G2357" s="456"/>
      <c r="H2357" s="456"/>
    </row>
    <row r="2358" spans="1:8">
      <c r="A2358" s="456">
        <v>3355</v>
      </c>
      <c r="B2358" s="469" t="s">
        <v>3558</v>
      </c>
      <c r="C2358" s="458" t="s">
        <v>1914</v>
      </c>
      <c r="D2358" s="456">
        <f>IF(Table10[[#This Row],[Current Age]]&gt;19,"Men's",IF(E2358&gt;15,"U19",IF(E2358&gt;13,"U15",IF(E2358&gt;11,"U13",IF(E2358&gt;0,"U11",0)))))</f>
        <v>0</v>
      </c>
      <c r="E2358" s="456">
        <f>IFERROR(IF(Table10[[#This Row],[Year]]&gt;0,$E$1-Table10[[#This Row],[Year]],0),"")</f>
        <v>0</v>
      </c>
      <c r="F2358" s="456"/>
      <c r="G2358" s="456"/>
      <c r="H2358" s="456"/>
    </row>
    <row r="2359" spans="1:8">
      <c r="A2359" s="471">
        <v>3356</v>
      </c>
      <c r="B2359" s="493" t="s">
        <v>3559</v>
      </c>
      <c r="C2359" s="472" t="s">
        <v>361</v>
      </c>
      <c r="D2359" s="456">
        <f>IF(Table10[[#This Row],[Current Age]]&gt;19,"Men's",IF(E2359&gt;15,"U19",IF(E2359&gt;13,"U15",IF(E2359&gt;11,"U13",IF(E2359&gt;0,"U11",0)))))</f>
        <v>0</v>
      </c>
      <c r="E2359" s="456">
        <f>IFERROR(IF(Table10[[#This Row],[Year]]&gt;0,$E$1-Table10[[#This Row],[Year]],0),"")</f>
        <v>0</v>
      </c>
      <c r="F2359" s="456"/>
      <c r="G2359" s="456"/>
      <c r="H2359" s="456"/>
    </row>
    <row r="2360" spans="1:8">
      <c r="A2360" s="456">
        <v>3357</v>
      </c>
      <c r="B2360" s="469" t="s">
        <v>3560</v>
      </c>
      <c r="C2360" s="458" t="s">
        <v>361</v>
      </c>
      <c r="D2360" s="456">
        <f>IF(Table10[[#This Row],[Current Age]]&gt;19,"Men's",IF(E2360&gt;15,"U19",IF(E2360&gt;13,"U15",IF(E2360&gt;11,"U13",IF(E2360&gt;0,"U11",0)))))</f>
        <v>0</v>
      </c>
      <c r="E2360" s="456">
        <f>IFERROR(IF(Table10[[#This Row],[Year]]&gt;0,$E$1-Table10[[#This Row],[Year]],0),"")</f>
        <v>0</v>
      </c>
      <c r="F2360" s="456"/>
      <c r="G2360" s="456"/>
      <c r="H2360" s="456"/>
    </row>
    <row r="2361" spans="1:8">
      <c r="A2361" s="471">
        <v>3358</v>
      </c>
      <c r="B2361" s="493" t="s">
        <v>3561</v>
      </c>
      <c r="C2361" s="472" t="s">
        <v>1914</v>
      </c>
      <c r="D2361" s="456" t="str">
        <f>IF(Table10[[#This Row],[Current Age]]&gt;19,"Men's",IF(E2361&gt;15,"U19",IF(E2361&gt;13,"U15",IF(E2361&gt;11,"U13",IF(E2361&gt;0,"U11",0)))))</f>
        <v>U19</v>
      </c>
      <c r="E2361" s="456">
        <f>IFERROR(IF(Table10[[#This Row],[Year]]&gt;0,$E$1-Table10[[#This Row],[Year]],0),"")</f>
        <v>16</v>
      </c>
      <c r="F2361" s="456">
        <v>2009</v>
      </c>
      <c r="G2361" s="456"/>
      <c r="H2361" s="456"/>
    </row>
    <row r="2362" spans="1:8">
      <c r="A2362" s="456">
        <v>3359</v>
      </c>
      <c r="B2362" s="469" t="s">
        <v>3562</v>
      </c>
      <c r="C2362" s="458" t="s">
        <v>1914</v>
      </c>
      <c r="D2362" s="456" t="str">
        <f>IF(Table10[[#This Row],[Current Age]]&gt;19,"Men's",IF(E2362&gt;15,"U19",IF(E2362&gt;13,"U15",IF(E2362&gt;11,"U13",IF(E2362&gt;0,"U11",0)))))</f>
        <v>U15</v>
      </c>
      <c r="E2362" s="456">
        <f>IFERROR(IF(Table10[[#This Row],[Year]]&gt;0,$E$1-Table10[[#This Row],[Year]],0),"")</f>
        <v>14</v>
      </c>
      <c r="F2362" s="456">
        <v>2011</v>
      </c>
      <c r="G2362" s="456">
        <v>3</v>
      </c>
      <c r="H2362" s="456">
        <v>30</v>
      </c>
    </row>
    <row r="2363" spans="1:8">
      <c r="A2363" s="471">
        <v>3360</v>
      </c>
      <c r="B2363" s="493" t="s">
        <v>3563</v>
      </c>
      <c r="C2363" s="472" t="s">
        <v>361</v>
      </c>
      <c r="D2363" s="456">
        <f>IF(Table10[[#This Row],[Current Age]]&gt;19,"Men's",IF(E2363&gt;15,"U19",IF(E2363&gt;13,"U15",IF(E2363&gt;11,"U13",IF(E2363&gt;0,"U11",0)))))</f>
        <v>0</v>
      </c>
      <c r="E2363" s="456">
        <f>IFERROR(IF(Table10[[#This Row],[Year]]&gt;0,$E$1-Table10[[#This Row],[Year]],0),"")</f>
        <v>0</v>
      </c>
      <c r="F2363" s="456"/>
      <c r="G2363" s="456"/>
      <c r="H2363" s="456"/>
    </row>
    <row r="2364" spans="1:8">
      <c r="A2364" s="456">
        <v>3361</v>
      </c>
      <c r="B2364" s="469" t="s">
        <v>3564</v>
      </c>
      <c r="C2364" s="458" t="s">
        <v>361</v>
      </c>
      <c r="D2364" s="456">
        <f>IF(Table10[[#This Row],[Current Age]]&gt;19,"Men's",IF(E2364&gt;15,"U19",IF(E2364&gt;13,"U15",IF(E2364&gt;11,"U13",IF(E2364&gt;0,"U11",0)))))</f>
        <v>0</v>
      </c>
      <c r="E2364" s="456">
        <f>IFERROR(IF(Table10[[#This Row],[Year]]&gt;0,$E$1-Table10[[#This Row],[Year]],0),"")</f>
        <v>0</v>
      </c>
      <c r="F2364" s="456"/>
      <c r="G2364" s="456"/>
      <c r="H2364" s="456"/>
    </row>
    <row r="2365" spans="1:8">
      <c r="A2365" s="471">
        <v>3362</v>
      </c>
      <c r="B2365" s="493" t="s">
        <v>3565</v>
      </c>
      <c r="C2365" s="472" t="s">
        <v>1914</v>
      </c>
      <c r="D2365" s="456">
        <f>IF(Table10[[#This Row],[Current Age]]&gt;19,"Men's",IF(E2365&gt;15,"U19",IF(E2365&gt;13,"U15",IF(E2365&gt;11,"U13",IF(E2365&gt;0,"U11",0)))))</f>
        <v>0</v>
      </c>
      <c r="E2365" s="456">
        <f>IFERROR(IF(Table10[[#This Row],[Year]]&gt;0,$E$1-Table10[[#This Row],[Year]],0),"")</f>
        <v>0</v>
      </c>
      <c r="F2365" s="456"/>
      <c r="G2365" s="456"/>
      <c r="H2365" s="456"/>
    </row>
    <row r="2366" spans="1:8">
      <c r="A2366" s="456">
        <v>3363</v>
      </c>
      <c r="B2366" s="469" t="s">
        <v>3566</v>
      </c>
      <c r="C2366" s="458" t="s">
        <v>361</v>
      </c>
      <c r="D2366" s="456">
        <f>IF(Table10[[#This Row],[Current Age]]&gt;19,"Men's",IF(E2366&gt;15,"U19",IF(E2366&gt;13,"U15",IF(E2366&gt;11,"U13",IF(E2366&gt;0,"U11",0)))))</f>
        <v>0</v>
      </c>
      <c r="E2366" s="456">
        <f>IFERROR(IF(Table10[[#This Row],[Year]]&gt;0,$E$1-Table10[[#This Row],[Year]],0),"")</f>
        <v>0</v>
      </c>
      <c r="F2366" s="456"/>
      <c r="G2366" s="456"/>
      <c r="H2366" s="456"/>
    </row>
    <row r="2367" spans="1:8">
      <c r="A2367" s="471">
        <v>3364</v>
      </c>
      <c r="B2367" s="493" t="s">
        <v>3568</v>
      </c>
      <c r="C2367" s="472" t="s">
        <v>361</v>
      </c>
      <c r="D2367" s="456">
        <f>IF(Table10[[#This Row],[Current Age]]&gt;19,"Men's",IF(E2367&gt;15,"U19",IF(E2367&gt;13,"U15",IF(E2367&gt;11,"U13",IF(E2367&gt;0,"U11",0)))))</f>
        <v>0</v>
      </c>
      <c r="E2367" s="456">
        <f>IFERROR(IF(Table10[[#This Row],[Year]]&gt;0,$E$1-Table10[[#This Row],[Year]],0),"")</f>
        <v>0</v>
      </c>
      <c r="F2367" s="456"/>
      <c r="G2367" s="456"/>
      <c r="H2367" s="456"/>
    </row>
    <row r="2368" spans="1:8">
      <c r="A2368" s="456">
        <v>3365</v>
      </c>
      <c r="B2368" s="469" t="s">
        <v>3567</v>
      </c>
      <c r="C2368" s="458" t="s">
        <v>361</v>
      </c>
      <c r="D2368" s="456">
        <f>IF(Table10[[#This Row],[Current Age]]&gt;19,"Men's",IF(E2368&gt;15,"U19",IF(E2368&gt;13,"U15",IF(E2368&gt;11,"U13",IF(E2368&gt;0,"U11",0)))))</f>
        <v>0</v>
      </c>
      <c r="E2368" s="456">
        <f>IFERROR(IF(Table10[[#This Row],[Year]]&gt;0,$E$1-Table10[[#This Row],[Year]],0),"")</f>
        <v>0</v>
      </c>
      <c r="F2368" s="456"/>
      <c r="G2368" s="456"/>
      <c r="H2368" s="456"/>
    </row>
    <row r="2369" spans="1:8">
      <c r="A2369" s="471">
        <v>3366</v>
      </c>
      <c r="B2369" s="493" t="s">
        <v>3569</v>
      </c>
      <c r="C2369" s="472" t="s">
        <v>361</v>
      </c>
      <c r="D2369" s="456">
        <f>IF(Table10[[#This Row],[Current Age]]&gt;19,"Men's",IF(E2369&gt;15,"U19",IF(E2369&gt;13,"U15",IF(E2369&gt;11,"U13",IF(E2369&gt;0,"U11",0)))))</f>
        <v>0</v>
      </c>
      <c r="E2369" s="456">
        <f>IFERROR(IF(Table10[[#This Row],[Year]]&gt;0,$E$1-Table10[[#This Row],[Year]],0),"")</f>
        <v>0</v>
      </c>
      <c r="F2369" s="456"/>
      <c r="G2369" s="456"/>
      <c r="H2369" s="456"/>
    </row>
    <row r="2370" spans="1:8">
      <c r="A2370" s="456">
        <v>3367</v>
      </c>
      <c r="B2370" s="469" t="s">
        <v>3570</v>
      </c>
      <c r="C2370" s="458" t="s">
        <v>361</v>
      </c>
      <c r="D2370" s="456">
        <f>IF(Table10[[#This Row],[Current Age]]&gt;19,"Men's",IF(E2370&gt;15,"U19",IF(E2370&gt;13,"U15",IF(E2370&gt;11,"U13",IF(E2370&gt;0,"U11",0)))))</f>
        <v>0</v>
      </c>
      <c r="E2370" s="456">
        <f>IFERROR(IF(Table10[[#This Row],[Year]]&gt;0,$E$1-Table10[[#This Row],[Year]],0),"")</f>
        <v>0</v>
      </c>
      <c r="F2370" s="456"/>
      <c r="G2370" s="456"/>
      <c r="H2370" s="456"/>
    </row>
    <row r="2371" spans="1:8">
      <c r="A2371" s="471">
        <v>3368</v>
      </c>
      <c r="B2371" s="493" t="s">
        <v>3573</v>
      </c>
      <c r="C2371" s="472" t="s">
        <v>361</v>
      </c>
      <c r="D2371" s="456">
        <f>IF(Table10[[#This Row],[Current Age]]&gt;19,"Men's",IF(E2371&gt;15,"U19",IF(E2371&gt;13,"U15",IF(E2371&gt;11,"U13",IF(E2371&gt;0,"U11",0)))))</f>
        <v>0</v>
      </c>
      <c r="E2371" s="456">
        <f>IFERROR(IF(Table10[[#This Row],[Year]]&gt;0,$E$1-Table10[[#This Row],[Year]],0),"")</f>
        <v>0</v>
      </c>
      <c r="F2371" s="456"/>
      <c r="G2371" s="456"/>
      <c r="H2371" s="456"/>
    </row>
    <row r="2372" spans="1:8">
      <c r="A2372" s="456">
        <v>3369</v>
      </c>
      <c r="B2372" s="469" t="s">
        <v>3572</v>
      </c>
      <c r="C2372" s="458" t="s">
        <v>361</v>
      </c>
      <c r="D2372" s="456">
        <f>IF(Table10[[#This Row],[Current Age]]&gt;19,"Men's",IF(E2372&gt;15,"U19",IF(E2372&gt;13,"U15",IF(E2372&gt;11,"U13",IF(E2372&gt;0,"U11",0)))))</f>
        <v>0</v>
      </c>
      <c r="E2372" s="456">
        <f>IFERROR(IF(Table10[[#This Row],[Year]]&gt;0,$E$1-Table10[[#This Row],[Year]],0),"")</f>
        <v>0</v>
      </c>
      <c r="F2372" s="456"/>
      <c r="G2372" s="456"/>
      <c r="H2372" s="456"/>
    </row>
    <row r="2373" spans="1:8">
      <c r="A2373" s="471">
        <v>3370</v>
      </c>
      <c r="B2373" s="493" t="s">
        <v>3571</v>
      </c>
      <c r="C2373" s="472" t="s">
        <v>361</v>
      </c>
      <c r="D2373" s="456">
        <f>IF(Table10[[#This Row],[Current Age]]&gt;19,"Men's",IF(E2373&gt;15,"U19",IF(E2373&gt;13,"U15",IF(E2373&gt;11,"U13",IF(E2373&gt;0,"U11",0)))))</f>
        <v>0</v>
      </c>
      <c r="E2373" s="456">
        <f>IFERROR(IF(Table10[[#This Row],[Year]]&gt;0,$E$1-Table10[[#This Row],[Year]],0),"")</f>
        <v>0</v>
      </c>
      <c r="F2373" s="456"/>
      <c r="G2373" s="456"/>
      <c r="H2373" s="456"/>
    </row>
    <row r="2374" spans="1:8">
      <c r="A2374" s="456">
        <v>3371</v>
      </c>
      <c r="B2374" s="469" t="s">
        <v>3574</v>
      </c>
      <c r="C2374" s="458" t="s">
        <v>1914</v>
      </c>
      <c r="D2374" s="456">
        <f>IF(Table10[[#This Row],[Current Age]]&gt;19,"Men's",IF(E2374&gt;15,"U19",IF(E2374&gt;13,"U15",IF(E2374&gt;11,"U13",IF(E2374&gt;0,"U11",0)))))</f>
        <v>0</v>
      </c>
      <c r="E2374" s="456">
        <f>IFERROR(IF(Table10[[#This Row],[Year]]&gt;0,$E$1-Table10[[#This Row],[Year]],0),"")</f>
        <v>0</v>
      </c>
      <c r="F2374" s="456"/>
      <c r="G2374" s="456"/>
      <c r="H2374" s="456"/>
    </row>
    <row r="2375" spans="1:8">
      <c r="A2375" s="471">
        <v>3372</v>
      </c>
      <c r="B2375" s="493" t="s">
        <v>3576</v>
      </c>
      <c r="C2375" s="472" t="s">
        <v>1914</v>
      </c>
      <c r="D2375" s="456">
        <f>IF(Table10[[#This Row],[Current Age]]&gt;19,"Men's",IF(E2375&gt;15,"U19",IF(E2375&gt;13,"U15",IF(E2375&gt;11,"U13",IF(E2375&gt;0,"U11",0)))))</f>
        <v>0</v>
      </c>
      <c r="E2375" s="456">
        <f>IFERROR(IF(Table10[[#This Row],[Year]]&gt;0,$E$1-Table10[[#This Row],[Year]],0),"")</f>
        <v>0</v>
      </c>
      <c r="F2375" s="456"/>
      <c r="G2375" s="456"/>
      <c r="H2375" s="456"/>
    </row>
    <row r="2376" spans="1:8">
      <c r="A2376" s="456">
        <v>3373</v>
      </c>
      <c r="B2376" s="469" t="s">
        <v>3577</v>
      </c>
      <c r="C2376" s="458" t="s">
        <v>1914</v>
      </c>
      <c r="D2376" s="456">
        <f>IF(Table10[[#This Row],[Current Age]]&gt;19,"Men's",IF(E2376&gt;15,"U19",IF(E2376&gt;13,"U15",IF(E2376&gt;11,"U13",IF(E2376&gt;0,"U11",0)))))</f>
        <v>0</v>
      </c>
      <c r="E2376" s="456">
        <f>IFERROR(IF(Table10[[#This Row],[Year]]&gt;0,$E$1-Table10[[#This Row],[Year]],0),"")</f>
        <v>0</v>
      </c>
      <c r="F2376" s="456"/>
      <c r="G2376" s="456"/>
      <c r="H2376" s="456"/>
    </row>
    <row r="2377" spans="1:8">
      <c r="A2377" s="471">
        <v>3374</v>
      </c>
      <c r="B2377" s="493" t="s">
        <v>3578</v>
      </c>
      <c r="C2377" s="472" t="s">
        <v>361</v>
      </c>
      <c r="D2377" s="456">
        <f>IF(Table10[[#This Row],[Current Age]]&gt;19,"Men's",IF(E2377&gt;15,"U19",IF(E2377&gt;13,"U15",IF(E2377&gt;11,"U13",IF(E2377&gt;0,"U11",0)))))</f>
        <v>0</v>
      </c>
      <c r="E2377" s="456">
        <f>IFERROR(IF(Table10[[#This Row],[Year]]&gt;0,$E$1-Table10[[#This Row],[Year]],0),"")</f>
        <v>0</v>
      </c>
      <c r="F2377" s="456"/>
      <c r="G2377" s="456"/>
      <c r="H2377" s="456"/>
    </row>
    <row r="2378" spans="1:8">
      <c r="A2378" s="456">
        <v>3375</v>
      </c>
      <c r="B2378" s="469" t="s">
        <v>3594</v>
      </c>
      <c r="C2378" s="458" t="s">
        <v>243</v>
      </c>
      <c r="D2378" s="456">
        <f>IF(Table10[[#This Row],[Current Age]]&gt;19,"Men's",IF(E2378&gt;15,"U19",IF(E2378&gt;13,"U15",IF(E2378&gt;11,"U13",IF(E2378&gt;0,"U11",0)))))</f>
        <v>0</v>
      </c>
      <c r="E2378" s="456">
        <f>IFERROR(IF(Table10[[#This Row],[Year]]&gt;0,$E$1-Table10[[#This Row],[Year]],0),"")</f>
        <v>0</v>
      </c>
      <c r="F2378" s="456"/>
      <c r="G2378" s="456"/>
      <c r="H2378" s="456"/>
    </row>
    <row r="2379" spans="1:8">
      <c r="A2379" s="471">
        <v>3376</v>
      </c>
      <c r="B2379" s="493" t="s">
        <v>3595</v>
      </c>
      <c r="C2379" s="472" t="s">
        <v>250</v>
      </c>
      <c r="D2379" s="456">
        <f>IF(Table10[[#This Row],[Current Age]]&gt;19,"Men's",IF(E2379&gt;15,"U19",IF(E2379&gt;13,"U15",IF(E2379&gt;11,"U13",IF(E2379&gt;0,"U11",0)))))</f>
        <v>0</v>
      </c>
      <c r="E2379" s="456">
        <f>IFERROR(IF(Table10[[#This Row],[Year]]&gt;0,$E$1-Table10[[#This Row],[Year]],0),"")</f>
        <v>0</v>
      </c>
      <c r="F2379" s="456"/>
      <c r="G2379" s="456"/>
      <c r="H2379" s="456"/>
    </row>
    <row r="2380" spans="1:8">
      <c r="A2380" s="456">
        <v>3377</v>
      </c>
      <c r="B2380" s="469" t="s">
        <v>3657</v>
      </c>
      <c r="C2380" s="458" t="s">
        <v>361</v>
      </c>
      <c r="D2380" s="456">
        <f>IF(Table10[[#This Row],[Current Age]]&gt;19,"Men's",IF(E2380&gt;15,"U19",IF(E2380&gt;13,"U15",IF(E2380&gt;11,"U13",IF(E2380&gt;0,"U11",0)))))</f>
        <v>0</v>
      </c>
      <c r="E2380" s="456">
        <f>IFERROR(IF(Table10[[#This Row],[Year]]&gt;0,$E$1-Table10[[#This Row],[Year]],0),"")</f>
        <v>0</v>
      </c>
      <c r="F2380" s="456"/>
      <c r="G2380" s="456"/>
      <c r="H2380" s="456"/>
    </row>
    <row r="2381" spans="1:8">
      <c r="A2381" s="471">
        <v>3378</v>
      </c>
      <c r="B2381" s="493" t="s">
        <v>3643</v>
      </c>
      <c r="C2381" s="472" t="s">
        <v>362</v>
      </c>
      <c r="D2381" s="456" t="str">
        <f>IF(Table10[[#This Row],[Current Age]]&gt;19,"Men's",IF(E2381&gt;15,"U19",IF(E2381&gt;13,"U15",IF(E2381&gt;11,"U13",IF(E2381&gt;0,"U11",0)))))</f>
        <v>U13</v>
      </c>
      <c r="E2381" s="456">
        <f>IFERROR(IF(Table10[[#This Row],[Year]]&gt;0,$E$1-Table10[[#This Row],[Year]],0),"")</f>
        <v>13</v>
      </c>
      <c r="F2381" s="456">
        <v>2012</v>
      </c>
      <c r="G2381" s="456">
        <v>5</v>
      </c>
      <c r="H2381" s="456">
        <v>22</v>
      </c>
    </row>
    <row r="2382" spans="1:8">
      <c r="A2382" s="456">
        <v>3379</v>
      </c>
      <c r="B2382" s="469" t="s">
        <v>3644</v>
      </c>
      <c r="C2382" s="458" t="s">
        <v>361</v>
      </c>
      <c r="D2382" s="456">
        <f>IF(Table10[[#This Row],[Current Age]]&gt;19,"Men's",IF(E2382&gt;15,"U19",IF(E2382&gt;13,"U15",IF(E2382&gt;11,"U13",IF(E2382&gt;0,"U11",0)))))</f>
        <v>0</v>
      </c>
      <c r="E2382" s="456">
        <f>IFERROR(IF(Table10[[#This Row],[Year]]&gt;0,$E$1-Table10[[#This Row],[Year]],0),"")</f>
        <v>0</v>
      </c>
      <c r="F2382" s="456"/>
      <c r="G2382" s="456"/>
      <c r="H2382" s="456"/>
    </row>
    <row r="2383" spans="1:8">
      <c r="A2383" s="471">
        <v>3380</v>
      </c>
      <c r="B2383" s="493" t="s">
        <v>3658</v>
      </c>
      <c r="C2383" s="472" t="s">
        <v>362</v>
      </c>
      <c r="D2383" s="456" t="str">
        <f>IF(Table10[[#This Row],[Current Age]]&gt;19,"Men's",IF(E2383&gt;15,"U19",IF(E2383&gt;13,"U15",IF(E2383&gt;11,"U13",IF(E2383&gt;0,"U11",0)))))</f>
        <v>U13</v>
      </c>
      <c r="E2383" s="456">
        <f>IFERROR(IF(Table10[[#This Row],[Year]]&gt;0,$E$1-Table10[[#This Row],[Year]],0),"")</f>
        <v>12</v>
      </c>
      <c r="F2383" s="456">
        <v>2013</v>
      </c>
      <c r="G2383" s="456">
        <v>5</v>
      </c>
      <c r="H2383" s="456">
        <v>12</v>
      </c>
    </row>
    <row r="2384" spans="1:8">
      <c r="A2384" s="456">
        <v>3381</v>
      </c>
      <c r="B2384" s="469" t="s">
        <v>4651</v>
      </c>
      <c r="C2384" s="458" t="s">
        <v>361</v>
      </c>
      <c r="D2384" s="456">
        <f>IF(Table10[[#This Row],[Current Age]]&gt;19,"Men's",IF(E2384&gt;15,"U19",IF(E2384&gt;13,"U15",IF(E2384&gt;11,"U13",IF(E2384&gt;0,"U11",0)))))</f>
        <v>0</v>
      </c>
      <c r="E2384" s="456">
        <f>IFERROR(IF(Table10[[#This Row],[Year]]&gt;0,$E$1-Table10[[#This Row],[Year]],0),"")</f>
        <v>0</v>
      </c>
      <c r="F2384" s="456"/>
      <c r="G2384" s="456"/>
      <c r="H2384" s="456"/>
    </row>
    <row r="2385" spans="1:8">
      <c r="A2385" s="471">
        <v>3382</v>
      </c>
      <c r="B2385" s="493" t="s">
        <v>3596</v>
      </c>
      <c r="C2385" s="472" t="s">
        <v>4552</v>
      </c>
      <c r="D2385" s="456">
        <f>IF(Table10[[#This Row],[Current Age]]&gt;19,"Men's",IF(E2385&gt;15,"U19",IF(E2385&gt;13,"U15",IF(E2385&gt;11,"U13",IF(E2385&gt;0,"U11",0)))))</f>
        <v>0</v>
      </c>
      <c r="E2385" s="456">
        <f>IFERROR(IF(Table10[[#This Row],[Year]]&gt;0,$E$1-Table10[[#This Row],[Year]],0),"")</f>
        <v>0</v>
      </c>
      <c r="F2385" s="456"/>
      <c r="G2385" s="456"/>
      <c r="H2385" s="456"/>
    </row>
    <row r="2386" spans="1:8">
      <c r="A2386" s="456">
        <v>3383</v>
      </c>
      <c r="B2386" s="469" t="s">
        <v>3598</v>
      </c>
      <c r="C2386" s="458" t="s">
        <v>249</v>
      </c>
      <c r="D2386" s="456">
        <f>IF(Table10[[#This Row],[Current Age]]&gt;19,"Men's",IF(E2386&gt;15,"U19",IF(E2386&gt;13,"U15",IF(E2386&gt;11,"U13",IF(E2386&gt;0,"U11",0)))))</f>
        <v>0</v>
      </c>
      <c r="E2386" s="456">
        <f>IFERROR(IF(Table10[[#This Row],[Year]]&gt;0,$E$1-Table10[[#This Row],[Year]],0),"")</f>
        <v>0</v>
      </c>
      <c r="F2386" s="456"/>
      <c r="G2386" s="456"/>
      <c r="H2386" s="456"/>
    </row>
    <row r="2387" spans="1:8">
      <c r="A2387" s="471">
        <v>3384</v>
      </c>
      <c r="B2387" s="493" t="s">
        <v>3611</v>
      </c>
      <c r="C2387" s="472" t="s">
        <v>4552</v>
      </c>
      <c r="D2387" s="456">
        <f>IF(Table10[[#This Row],[Current Age]]&gt;19,"Men's",IF(E2387&gt;15,"U19",IF(E2387&gt;13,"U15",IF(E2387&gt;11,"U13",IF(E2387&gt;0,"U11",0)))))</f>
        <v>0</v>
      </c>
      <c r="E2387" s="456">
        <f>IFERROR(IF(Table10[[#This Row],[Year]]&gt;0,$E$1-Table10[[#This Row],[Year]],0),"")</f>
        <v>0</v>
      </c>
      <c r="F2387" s="456"/>
      <c r="G2387" s="456"/>
      <c r="H2387" s="456"/>
    </row>
    <row r="2388" spans="1:8">
      <c r="A2388" s="456">
        <v>3385</v>
      </c>
      <c r="B2388" s="469" t="s">
        <v>3661</v>
      </c>
      <c r="C2388" s="458" t="s">
        <v>362</v>
      </c>
      <c r="D2388" s="456" t="str">
        <f>IF(Table10[[#This Row],[Current Age]]&gt;19,"Men's",IF(E2388&gt;15,"U19",IF(E2388&gt;13,"U15",IF(E2388&gt;11,"U13",IF(E2388&gt;0,"U11",0)))))</f>
        <v>U19</v>
      </c>
      <c r="E2388" s="456">
        <f>IFERROR(IF(Table10[[#This Row],[Year]]&gt;0,$E$1-Table10[[#This Row],[Year]],0),"")</f>
        <v>16</v>
      </c>
      <c r="F2388" s="456">
        <v>2009</v>
      </c>
      <c r="G2388" s="456">
        <v>4</v>
      </c>
      <c r="H2388" s="456">
        <v>30</v>
      </c>
    </row>
    <row r="2389" spans="1:8">
      <c r="A2389" s="471">
        <v>3386</v>
      </c>
      <c r="B2389" s="493" t="s">
        <v>3612</v>
      </c>
      <c r="C2389" s="472" t="s">
        <v>3027</v>
      </c>
      <c r="D2389" s="456">
        <f>IF(Table10[[#This Row],[Current Age]]&gt;19,"Men's",IF(E2389&gt;15,"U19",IF(E2389&gt;13,"U15",IF(E2389&gt;11,"U13",IF(E2389&gt;0,"U11",0)))))</f>
        <v>0</v>
      </c>
      <c r="E2389" s="456">
        <f>IFERROR(IF(Table10[[#This Row],[Year]]&gt;0,$E$1-Table10[[#This Row],[Year]],0),"")</f>
        <v>0</v>
      </c>
      <c r="F2389" s="456"/>
      <c r="G2389" s="456"/>
      <c r="H2389" s="456"/>
    </row>
    <row r="2390" spans="1:8">
      <c r="A2390" s="544">
        <v>3387</v>
      </c>
      <c r="B2390" s="495" t="s">
        <v>6073</v>
      </c>
      <c r="C2390" s="561" t="s">
        <v>4152</v>
      </c>
      <c r="D2390" s="456">
        <f>IF(Table10[[#This Row],[Current Age]]&gt;19,"Men's",IF(E2390&gt;15,"U19",IF(E2390&gt;13,"U15",IF(E2390&gt;11,"U13",IF(E2390&gt;0,"U11",0)))))</f>
        <v>0</v>
      </c>
      <c r="E2390" s="456">
        <f>IFERROR(IF(Table10[[#This Row],[Year]]&gt;0,$E$1-Table10[[#This Row],[Year]],0),"")</f>
        <v>0</v>
      </c>
      <c r="F2390" s="456"/>
      <c r="G2390" s="456"/>
      <c r="H2390" s="456"/>
    </row>
    <row r="2391" spans="1:8">
      <c r="A2391" s="456">
        <v>3388</v>
      </c>
      <c r="B2391" s="469" t="s">
        <v>4241</v>
      </c>
      <c r="C2391" s="458" t="s">
        <v>4552</v>
      </c>
      <c r="D2391" s="456" t="str">
        <f>IF(Table10[[#This Row],[Current Age]]&gt;19,"Men's",IF(E2391&gt;15,"U19",IF(E2391&gt;13,"U15",IF(E2391&gt;11,"U13",IF(E2391&gt;0,"U11",0)))))</f>
        <v>U19</v>
      </c>
      <c r="E2391" s="456">
        <f>IFERROR(IF(Table10[[#This Row],[Year]]&gt;0,$E$1-Table10[[#This Row],[Year]],0),"")</f>
        <v>16</v>
      </c>
      <c r="F2391" s="456">
        <v>2009</v>
      </c>
      <c r="G2391" s="456">
        <v>2</v>
      </c>
      <c r="H2391" s="456">
        <v>8</v>
      </c>
    </row>
    <row r="2392" spans="1:8">
      <c r="A2392" s="471">
        <v>3389</v>
      </c>
      <c r="B2392" s="493" t="s">
        <v>3659</v>
      </c>
      <c r="C2392" s="472" t="s">
        <v>361</v>
      </c>
      <c r="D2392" s="456">
        <f>IF(Table10[[#This Row],[Current Age]]&gt;19,"Men's",IF(E2392&gt;15,"U19",IF(E2392&gt;13,"U15",IF(E2392&gt;11,"U13",IF(E2392&gt;0,"U11",0)))))</f>
        <v>0</v>
      </c>
      <c r="E2392" s="456">
        <f>IFERROR(IF(Table10[[#This Row],[Year]]&gt;0,$E$1-Table10[[#This Row],[Year]],0),"")</f>
        <v>0</v>
      </c>
      <c r="F2392" s="456"/>
      <c r="G2392" s="456"/>
      <c r="H2392" s="456"/>
    </row>
    <row r="2393" spans="1:8">
      <c r="A2393" s="456">
        <v>3390</v>
      </c>
      <c r="B2393" s="469" t="s">
        <v>3660</v>
      </c>
      <c r="C2393" s="458" t="s">
        <v>362</v>
      </c>
      <c r="D2393" s="456" t="str">
        <f>IF(Table10[[#This Row],[Current Age]]&gt;19,"Men's",IF(E2393&gt;15,"U19",IF(E2393&gt;13,"U15",IF(E2393&gt;11,"U13",IF(E2393&gt;0,"U11",0)))))</f>
        <v>U15</v>
      </c>
      <c r="E2393" s="456">
        <f>IFERROR(IF(Table10[[#This Row],[Year]]&gt;0,$E$1-Table10[[#This Row],[Year]],0),"")</f>
        <v>15</v>
      </c>
      <c r="F2393" s="456">
        <v>2010</v>
      </c>
      <c r="G2393" s="456">
        <v>8</v>
      </c>
      <c r="H2393" s="456">
        <v>29</v>
      </c>
    </row>
    <row r="2394" spans="1:8">
      <c r="A2394" s="471">
        <v>3391</v>
      </c>
      <c r="B2394" s="493" t="s">
        <v>3640</v>
      </c>
      <c r="C2394" s="472" t="s">
        <v>4552</v>
      </c>
      <c r="D2394" s="456">
        <f>IF(Table10[[#This Row],[Current Age]]&gt;19,"Men's",IF(E2394&gt;15,"U19",IF(E2394&gt;13,"U15",IF(E2394&gt;11,"U13",IF(E2394&gt;0,"U11",0)))))</f>
        <v>0</v>
      </c>
      <c r="E2394" s="456">
        <f>IFERROR(IF(Table10[[#This Row],[Year]]&gt;0,$E$1-Table10[[#This Row],[Year]],0),"")</f>
        <v>0</v>
      </c>
      <c r="F2394" s="456"/>
      <c r="G2394" s="456"/>
      <c r="H2394" s="456"/>
    </row>
    <row r="2395" spans="1:8">
      <c r="A2395" s="456">
        <v>3392</v>
      </c>
      <c r="B2395" s="469" t="s">
        <v>3662</v>
      </c>
      <c r="C2395" s="458" t="s">
        <v>362</v>
      </c>
      <c r="D2395" s="456">
        <f>IF(Table10[[#This Row],[Current Age]]&gt;19,"Men's",IF(E2395&gt;15,"U19",IF(E2395&gt;13,"U15",IF(E2395&gt;11,"U13",IF(E2395&gt;0,"U11",0)))))</f>
        <v>0</v>
      </c>
      <c r="E2395" s="456">
        <f>IFERROR(IF(Table10[[#This Row],[Year]]&gt;0,$E$1-Table10[[#This Row],[Year]],0),"")</f>
        <v>0</v>
      </c>
      <c r="F2395" s="456"/>
      <c r="G2395" s="456"/>
      <c r="H2395" s="456"/>
    </row>
    <row r="2396" spans="1:8">
      <c r="A2396" s="471">
        <v>3393</v>
      </c>
      <c r="B2396" s="493" t="s">
        <v>3663</v>
      </c>
      <c r="C2396" s="472" t="s">
        <v>362</v>
      </c>
      <c r="D2396" s="456">
        <f>IF(Table10[[#This Row],[Current Age]]&gt;19,"Men's",IF(E2396&gt;15,"U19",IF(E2396&gt;13,"U15",IF(E2396&gt;11,"U13",IF(E2396&gt;0,"U11",0)))))</f>
        <v>0</v>
      </c>
      <c r="E2396" s="456">
        <f>IFERROR(IF(Table10[[#This Row],[Year]]&gt;0,$E$1-Table10[[#This Row],[Year]],0),"")</f>
        <v>0</v>
      </c>
      <c r="F2396" s="456"/>
      <c r="G2396" s="456"/>
      <c r="H2396" s="456"/>
    </row>
    <row r="2397" spans="1:8">
      <c r="A2397" s="456">
        <v>3394</v>
      </c>
      <c r="B2397" s="469" t="s">
        <v>3632</v>
      </c>
      <c r="C2397" s="458" t="s">
        <v>249</v>
      </c>
      <c r="D2397" s="456" t="str">
        <f>IF(Table10[[#This Row],[Current Age]]&gt;19,"Men's",IF(E2397&gt;15,"U19",IF(E2397&gt;13,"U15",IF(E2397&gt;11,"U13",IF(E2397&gt;0,"U11",0)))))</f>
        <v>U15</v>
      </c>
      <c r="E2397" s="456">
        <f>IFERROR(IF(Table10[[#This Row],[Year]]&gt;0,$E$1-Table10[[#This Row],[Year]],0),"")</f>
        <v>14</v>
      </c>
      <c r="F2397" s="456">
        <v>2011</v>
      </c>
      <c r="G2397" s="456">
        <v>11</v>
      </c>
      <c r="H2397" s="456">
        <v>9</v>
      </c>
    </row>
    <row r="2398" spans="1:8">
      <c r="A2398" s="471">
        <v>3395</v>
      </c>
      <c r="B2398" s="493" t="s">
        <v>3928</v>
      </c>
      <c r="C2398" s="472" t="s">
        <v>362</v>
      </c>
      <c r="D2398" s="456" t="str">
        <f>IF(Table10[[#This Row],[Current Age]]&gt;19,"Men's",IF(E2398&gt;15,"U19",IF(E2398&gt;13,"U15",IF(E2398&gt;11,"U13",IF(E2398&gt;0,"U11",0)))))</f>
        <v>Men's</v>
      </c>
      <c r="E2398" s="456">
        <f>IFERROR(IF(Table10[[#This Row],[Year]]&gt;0,$E$1-Table10[[#This Row],[Year]],0),"")</f>
        <v>40</v>
      </c>
      <c r="F2398" s="456">
        <v>1985</v>
      </c>
      <c r="G2398" s="456">
        <v>7</v>
      </c>
      <c r="H2398" s="456">
        <v>8</v>
      </c>
    </row>
    <row r="2399" spans="1:8">
      <c r="A2399" s="456">
        <v>3396</v>
      </c>
      <c r="B2399" s="469" t="s">
        <v>3664</v>
      </c>
      <c r="C2399" s="458" t="s">
        <v>361</v>
      </c>
      <c r="D2399" s="456">
        <f>IF(Table10[[#This Row],[Current Age]]&gt;19,"Men's",IF(E2399&gt;15,"U19",IF(E2399&gt;13,"U15",IF(E2399&gt;11,"U13",IF(E2399&gt;0,"U11",0)))))</f>
        <v>0</v>
      </c>
      <c r="E2399" s="456">
        <f>IFERROR(IF(Table10[[#This Row],[Year]]&gt;0,$E$1-Table10[[#This Row],[Year]],0),"")</f>
        <v>0</v>
      </c>
      <c r="F2399" s="456"/>
      <c r="G2399" s="456"/>
      <c r="H2399" s="456"/>
    </row>
    <row r="2400" spans="1:8">
      <c r="A2400" s="601">
        <v>3397</v>
      </c>
      <c r="B2400" s="493"/>
      <c r="C2400" s="472"/>
      <c r="D2400" s="456">
        <f>IF(Table10[[#This Row],[Current Age]]&gt;19,"Men's",IF(E2400&gt;15,"U19",IF(E2400&gt;13,"U15",IF(E2400&gt;11,"U13",IF(E2400&gt;0,"U11",0)))))</f>
        <v>0</v>
      </c>
      <c r="E2400" s="456">
        <f>IFERROR(IF(Table10[[#This Row],[Year]]&gt;0,$E$1-Table10[[#This Row],[Year]],0),"")</f>
        <v>0</v>
      </c>
      <c r="F2400" s="456"/>
      <c r="G2400" s="456"/>
      <c r="H2400" s="456"/>
    </row>
    <row r="2401" spans="1:8">
      <c r="A2401" s="456">
        <v>3398</v>
      </c>
      <c r="B2401" s="469" t="s">
        <v>3633</v>
      </c>
      <c r="C2401" s="458" t="s">
        <v>4720</v>
      </c>
      <c r="D2401" s="456">
        <f>IF(Table10[[#This Row],[Current Age]]&gt;19,"Men's",IF(E2401&gt;15,"U19",IF(E2401&gt;13,"U15",IF(E2401&gt;11,"U13",IF(E2401&gt;0,"U11",0)))))</f>
        <v>0</v>
      </c>
      <c r="E2401" s="456">
        <f>IFERROR(IF(Table10[[#This Row],[Year]]&gt;0,$E$1-Table10[[#This Row],[Year]],0),"")</f>
        <v>0</v>
      </c>
      <c r="F2401" s="456"/>
      <c r="G2401" s="456"/>
      <c r="H2401" s="456"/>
    </row>
    <row r="2402" spans="1:8">
      <c r="A2402" s="471">
        <v>3399</v>
      </c>
      <c r="B2402" s="493" t="s">
        <v>3635</v>
      </c>
      <c r="C2402" s="472" t="s">
        <v>5162</v>
      </c>
      <c r="D2402" s="456" t="str">
        <f>IF(Table10[[#This Row],[Current Age]]&gt;19,"Men's",IF(E2402&gt;15,"U19",IF(E2402&gt;13,"U15",IF(E2402&gt;11,"U13",IF(E2402&gt;0,"U11",0)))))</f>
        <v>U13</v>
      </c>
      <c r="E2402" s="456">
        <f>IFERROR(IF(Table10[[#This Row],[Year]]&gt;0,$E$1-Table10[[#This Row],[Year]],0),"")</f>
        <v>12</v>
      </c>
      <c r="F2402" s="456">
        <v>2013</v>
      </c>
      <c r="G2402" s="456">
        <v>7</v>
      </c>
      <c r="H2402" s="456">
        <v>28</v>
      </c>
    </row>
    <row r="2403" spans="1:8">
      <c r="A2403" s="456">
        <v>3400</v>
      </c>
      <c r="B2403" s="469" t="s">
        <v>3670</v>
      </c>
      <c r="C2403" s="458" t="s">
        <v>5162</v>
      </c>
      <c r="D2403" s="456">
        <f>IF(Table10[[#This Row],[Current Age]]&gt;19,"Men's",IF(E2403&gt;15,"U19",IF(E2403&gt;13,"U15",IF(E2403&gt;11,"U13",IF(E2403&gt;0,"U11",0)))))</f>
        <v>0</v>
      </c>
      <c r="E2403" s="456">
        <f>IFERROR(IF(Table10[[#This Row],[Year]]&gt;0,$E$1-Table10[[#This Row],[Year]],0),"")</f>
        <v>0</v>
      </c>
      <c r="F2403" s="456"/>
      <c r="G2403" s="456"/>
      <c r="H2403" s="456"/>
    </row>
    <row r="2404" spans="1:8">
      <c r="A2404" s="471">
        <v>3401</v>
      </c>
      <c r="B2404" s="493" t="s">
        <v>3607</v>
      </c>
      <c r="C2404" s="472" t="s">
        <v>244</v>
      </c>
      <c r="D2404" s="456">
        <f>IF(Table10[[#This Row],[Current Age]]&gt;19,"Men's",IF(E2404&gt;15,"U19",IF(E2404&gt;13,"U15",IF(E2404&gt;11,"U13",IF(E2404&gt;0,"U11",0)))))</f>
        <v>0</v>
      </c>
      <c r="E2404" s="456">
        <f>IFERROR(IF(Table10[[#This Row],[Year]]&gt;0,$E$1-Table10[[#This Row],[Year]],0),"")</f>
        <v>0</v>
      </c>
      <c r="F2404" s="456"/>
      <c r="G2404" s="456"/>
      <c r="H2404" s="456"/>
    </row>
    <row r="2405" spans="1:8">
      <c r="A2405" s="456">
        <v>3402</v>
      </c>
      <c r="B2405" s="469" t="s">
        <v>3665</v>
      </c>
      <c r="C2405" s="458" t="s">
        <v>362</v>
      </c>
      <c r="D2405" s="456">
        <f>IF(Table10[[#This Row],[Current Age]]&gt;19,"Men's",IF(E2405&gt;15,"U19",IF(E2405&gt;13,"U15",IF(E2405&gt;11,"U13",IF(E2405&gt;0,"U11",0)))))</f>
        <v>0</v>
      </c>
      <c r="E2405" s="456">
        <f>IFERROR(IF(Table10[[#This Row],[Year]]&gt;0,$E$1-Table10[[#This Row],[Year]],0),"")</f>
        <v>0</v>
      </c>
      <c r="F2405" s="456"/>
      <c r="G2405" s="456"/>
      <c r="H2405" s="456"/>
    </row>
    <row r="2406" spans="1:8">
      <c r="A2406" s="471">
        <v>3403</v>
      </c>
      <c r="B2406" s="493" t="s">
        <v>3666</v>
      </c>
      <c r="C2406" s="472" t="s">
        <v>362</v>
      </c>
      <c r="D2406" s="456" t="str">
        <f>IF(Table10[[#This Row],[Current Age]]&gt;19,"Men's",IF(E2406&gt;15,"U19",IF(E2406&gt;13,"U15",IF(E2406&gt;11,"U13",IF(E2406&gt;0,"U11",0)))))</f>
        <v>Men's</v>
      </c>
      <c r="E2406" s="456">
        <f>IFERROR(IF(Table10[[#This Row],[Year]]&gt;0,$E$1-Table10[[#This Row],[Year]],0),"")</f>
        <v>35</v>
      </c>
      <c r="F2406" s="456">
        <v>1990</v>
      </c>
      <c r="G2406" s="456">
        <v>2</v>
      </c>
      <c r="H2406" s="456">
        <v>7</v>
      </c>
    </row>
    <row r="2407" spans="1:8">
      <c r="A2407" s="456">
        <v>3404</v>
      </c>
      <c r="B2407" s="469" t="s">
        <v>3671</v>
      </c>
      <c r="C2407" s="458" t="s">
        <v>361</v>
      </c>
      <c r="D2407" s="456">
        <f>IF(Table10[[#This Row],[Current Age]]&gt;19,"Men's",IF(E2407&gt;15,"U19",IF(E2407&gt;13,"U15",IF(E2407&gt;11,"U13",IF(E2407&gt;0,"U11",0)))))</f>
        <v>0</v>
      </c>
      <c r="E2407" s="456">
        <f>IFERROR(IF(Table10[[#This Row],[Year]]&gt;0,$E$1-Table10[[#This Row],[Year]],0),"")</f>
        <v>0</v>
      </c>
      <c r="F2407" s="456"/>
      <c r="G2407" s="456"/>
      <c r="H2407" s="456"/>
    </row>
    <row r="2408" spans="1:8">
      <c r="A2408" s="471">
        <v>3405</v>
      </c>
      <c r="B2408" s="493" t="s">
        <v>3614</v>
      </c>
      <c r="C2408" s="472" t="s">
        <v>4552</v>
      </c>
      <c r="D2408" s="456" t="str">
        <f>IF(Table10[[#This Row],[Current Age]]&gt;19,"Men's",IF(E2408&gt;15,"U19",IF(E2408&gt;13,"U15",IF(E2408&gt;11,"U13",IF(E2408&gt;0,"U11",0)))))</f>
        <v>U19</v>
      </c>
      <c r="E2408" s="456">
        <f>IFERROR(IF(Table10[[#This Row],[Year]]&gt;0,$E$1-Table10[[#This Row],[Year]],0),"")</f>
        <v>18</v>
      </c>
      <c r="F2408" s="456">
        <v>2007</v>
      </c>
      <c r="G2408" s="456">
        <v>4</v>
      </c>
      <c r="H2408" s="456">
        <v>19</v>
      </c>
    </row>
    <row r="2409" spans="1:8">
      <c r="A2409" s="456">
        <v>3406</v>
      </c>
      <c r="B2409" s="469" t="s">
        <v>3672</v>
      </c>
      <c r="C2409" s="458" t="s">
        <v>361</v>
      </c>
      <c r="D2409" s="456">
        <f>IF(Table10[[#This Row],[Current Age]]&gt;19,"Men's",IF(E2409&gt;15,"U19",IF(E2409&gt;13,"U15",IF(E2409&gt;11,"U13",IF(E2409&gt;0,"U11",0)))))</f>
        <v>0</v>
      </c>
      <c r="E2409" s="456">
        <f>IFERROR(IF(Table10[[#This Row],[Year]]&gt;0,$E$1-Table10[[#This Row],[Year]],0),"")</f>
        <v>0</v>
      </c>
      <c r="F2409" s="456"/>
      <c r="G2409" s="456"/>
      <c r="H2409" s="456"/>
    </row>
    <row r="2410" spans="1:8">
      <c r="A2410" s="471">
        <v>3407</v>
      </c>
      <c r="B2410" s="493" t="s">
        <v>3673</v>
      </c>
      <c r="C2410" s="472" t="s">
        <v>362</v>
      </c>
      <c r="D2410" s="456" t="str">
        <f>IF(Table10[[#This Row],[Current Age]]&gt;19,"Men's",IF(E2410&gt;15,"U19",IF(E2410&gt;13,"U15",IF(E2410&gt;11,"U13",IF(E2410&gt;0,"U11",0)))))</f>
        <v>U15</v>
      </c>
      <c r="E2410" s="456">
        <f>IFERROR(IF(Table10[[#This Row],[Year]]&gt;0,$E$1-Table10[[#This Row],[Year]],0),"")</f>
        <v>15</v>
      </c>
      <c r="F2410" s="456">
        <v>2010</v>
      </c>
      <c r="G2410" s="456">
        <v>3</v>
      </c>
      <c r="H2410" s="456">
        <v>29</v>
      </c>
    </row>
    <row r="2411" spans="1:8">
      <c r="A2411" s="456">
        <v>3408</v>
      </c>
      <c r="B2411" s="469" t="s">
        <v>3674</v>
      </c>
      <c r="C2411" s="458" t="s">
        <v>361</v>
      </c>
      <c r="D2411" s="456">
        <f>IF(Table10[[#This Row],[Current Age]]&gt;19,"Men's",IF(E2411&gt;15,"U19",IF(E2411&gt;13,"U15",IF(E2411&gt;11,"U13",IF(E2411&gt;0,"U11",0)))))</f>
        <v>0</v>
      </c>
      <c r="E2411" s="456">
        <f>IFERROR(IF(Table10[[#This Row],[Year]]&gt;0,$E$1-Table10[[#This Row],[Year]],0),"")</f>
        <v>0</v>
      </c>
      <c r="F2411" s="456"/>
      <c r="G2411" s="456"/>
      <c r="H2411" s="456"/>
    </row>
    <row r="2412" spans="1:8">
      <c r="A2412" s="471">
        <v>3409</v>
      </c>
      <c r="B2412" s="493" t="s">
        <v>3675</v>
      </c>
      <c r="C2412" s="472" t="s">
        <v>1914</v>
      </c>
      <c r="D2412" s="456">
        <f>IF(Table10[[#This Row],[Current Age]]&gt;19,"Men's",IF(E2412&gt;15,"U19",IF(E2412&gt;13,"U15",IF(E2412&gt;11,"U13",IF(E2412&gt;0,"U11",0)))))</f>
        <v>0</v>
      </c>
      <c r="E2412" s="456">
        <f>IFERROR(IF(Table10[[#This Row],[Year]]&gt;0,$E$1-Table10[[#This Row],[Year]],0),"")</f>
        <v>0</v>
      </c>
      <c r="F2412" s="456"/>
      <c r="G2412" s="456"/>
      <c r="H2412" s="456"/>
    </row>
    <row r="2413" spans="1:8">
      <c r="A2413" s="456">
        <v>3410</v>
      </c>
      <c r="B2413" s="469" t="s">
        <v>3771</v>
      </c>
      <c r="C2413" s="458" t="s">
        <v>4552</v>
      </c>
      <c r="D2413" s="456">
        <f>IF(Table10[[#This Row],[Current Age]]&gt;19,"Men's",IF(E2413&gt;15,"U19",IF(E2413&gt;13,"U15",IF(E2413&gt;11,"U13",IF(E2413&gt;0,"U11",0)))))</f>
        <v>0</v>
      </c>
      <c r="E2413" s="456">
        <f>IFERROR(IF(Table10[[#This Row],[Year]]&gt;0,$E$1-Table10[[#This Row],[Year]],0),"")</f>
        <v>0</v>
      </c>
      <c r="F2413" s="456"/>
      <c r="G2413" s="456"/>
      <c r="H2413" s="456"/>
    </row>
    <row r="2414" spans="1:8">
      <c r="A2414" s="471">
        <v>3411</v>
      </c>
      <c r="B2414" s="493" t="s">
        <v>3678</v>
      </c>
      <c r="C2414" s="472" t="s">
        <v>361</v>
      </c>
      <c r="D2414" s="456">
        <f>IF(Table10[[#This Row],[Current Age]]&gt;19,"Men's",IF(E2414&gt;15,"U19",IF(E2414&gt;13,"U15",IF(E2414&gt;11,"U13",IF(E2414&gt;0,"U11",0)))))</f>
        <v>0</v>
      </c>
      <c r="E2414" s="456">
        <f>IFERROR(IF(Table10[[#This Row],[Year]]&gt;0,$E$1-Table10[[#This Row],[Year]],0),"")</f>
        <v>0</v>
      </c>
      <c r="F2414" s="456"/>
      <c r="G2414" s="456"/>
      <c r="H2414" s="456"/>
    </row>
    <row r="2415" spans="1:8">
      <c r="A2415" s="456">
        <v>3412</v>
      </c>
      <c r="B2415" s="497" t="s">
        <v>3679</v>
      </c>
      <c r="C2415" s="458" t="s">
        <v>361</v>
      </c>
      <c r="D2415" s="456">
        <f>IF(Table10[[#This Row],[Current Age]]&gt;19,"Men's",IF(E2415&gt;15,"U19",IF(E2415&gt;13,"U15",IF(E2415&gt;11,"U13",IF(E2415&gt;0,"U11",0)))))</f>
        <v>0</v>
      </c>
      <c r="E2415" s="456">
        <f>IFERROR(IF(Table10[[#This Row],[Year]]&gt;0,$E$1-Table10[[#This Row],[Year]],0),"")</f>
        <v>0</v>
      </c>
      <c r="F2415" s="456"/>
      <c r="G2415" s="456"/>
      <c r="H2415" s="456"/>
    </row>
    <row r="2416" spans="1:8">
      <c r="A2416" s="471">
        <v>3413</v>
      </c>
      <c r="B2416" s="493" t="s">
        <v>3680</v>
      </c>
      <c r="C2416" s="472" t="s">
        <v>361</v>
      </c>
      <c r="D2416" s="456">
        <f>IF(Table10[[#This Row],[Current Age]]&gt;19,"Men's",IF(E2416&gt;15,"U19",IF(E2416&gt;13,"U15",IF(E2416&gt;11,"U13",IF(E2416&gt;0,"U11",0)))))</f>
        <v>0</v>
      </c>
      <c r="E2416" s="456">
        <f>IFERROR(IF(Table10[[#This Row],[Year]]&gt;0,$E$1-Table10[[#This Row],[Year]],0),"")</f>
        <v>0</v>
      </c>
      <c r="F2416" s="456"/>
      <c r="G2416" s="456"/>
      <c r="H2416" s="456"/>
    </row>
    <row r="2417" spans="1:8">
      <c r="A2417" s="456">
        <v>3414</v>
      </c>
      <c r="B2417" s="469" t="s">
        <v>3637</v>
      </c>
      <c r="C2417" s="458" t="s">
        <v>243</v>
      </c>
      <c r="D2417" s="456">
        <f>IF(Table10[[#This Row],[Current Age]]&gt;19,"Men's",IF(E2417&gt;15,"U19",IF(E2417&gt;13,"U15",IF(E2417&gt;11,"U13",IF(E2417&gt;0,"U11",0)))))</f>
        <v>0</v>
      </c>
      <c r="E2417" s="456">
        <f>IFERROR(IF(Table10[[#This Row],[Year]]&gt;0,$E$1-Table10[[#This Row],[Year]],0),"")</f>
        <v>0</v>
      </c>
      <c r="F2417" s="456"/>
      <c r="G2417" s="456"/>
      <c r="H2417" s="456"/>
    </row>
    <row r="2418" spans="1:8">
      <c r="A2418" s="471">
        <v>3415</v>
      </c>
      <c r="B2418" s="493" t="s">
        <v>3681</v>
      </c>
      <c r="C2418" s="472" t="s">
        <v>362</v>
      </c>
      <c r="D2418" s="456" t="str">
        <f>IF(Table10[[#This Row],[Current Age]]&gt;19,"Men's",IF(E2418&gt;15,"U19",IF(E2418&gt;13,"U15",IF(E2418&gt;11,"U13",IF(E2418&gt;0,"U11",0)))))</f>
        <v>U15</v>
      </c>
      <c r="E2418" s="456">
        <f>IFERROR(IF(Table10[[#This Row],[Year]]&gt;0,$E$1-Table10[[#This Row],[Year]],0),"")</f>
        <v>14</v>
      </c>
      <c r="F2418" s="456">
        <v>2011</v>
      </c>
      <c r="G2418" s="456">
        <v>3</v>
      </c>
      <c r="H2418" s="456">
        <v>18</v>
      </c>
    </row>
    <row r="2419" spans="1:8">
      <c r="A2419" s="456">
        <v>3416</v>
      </c>
      <c r="B2419" s="469" t="s">
        <v>3686</v>
      </c>
      <c r="C2419" s="458" t="s">
        <v>361</v>
      </c>
      <c r="D2419" s="456">
        <f>IF(Table10[[#This Row],[Current Age]]&gt;19,"Men's",IF(E2419&gt;15,"U19",IF(E2419&gt;13,"U15",IF(E2419&gt;11,"U13",IF(E2419&gt;0,"U11",0)))))</f>
        <v>0</v>
      </c>
      <c r="E2419" s="456">
        <f>IFERROR(IF(Table10[[#This Row],[Year]]&gt;0,$E$1-Table10[[#This Row],[Year]],0),"")</f>
        <v>0</v>
      </c>
      <c r="F2419" s="456"/>
      <c r="G2419" s="456"/>
      <c r="H2419" s="456"/>
    </row>
    <row r="2420" spans="1:8">
      <c r="A2420" s="471">
        <v>3417</v>
      </c>
      <c r="B2420" s="493" t="s">
        <v>3687</v>
      </c>
      <c r="C2420" s="472" t="s">
        <v>361</v>
      </c>
      <c r="D2420" s="456">
        <f>IF(Table10[[#This Row],[Current Age]]&gt;19,"Men's",IF(E2420&gt;15,"U19",IF(E2420&gt;13,"U15",IF(E2420&gt;11,"U13",IF(E2420&gt;0,"U11",0)))))</f>
        <v>0</v>
      </c>
      <c r="E2420" s="456">
        <f>IFERROR(IF(Table10[[#This Row],[Year]]&gt;0,$E$1-Table10[[#This Row],[Year]],0),"")</f>
        <v>0</v>
      </c>
      <c r="F2420" s="456"/>
      <c r="G2420" s="456"/>
      <c r="H2420" s="456"/>
    </row>
    <row r="2421" spans="1:8">
      <c r="A2421" s="456">
        <v>3418</v>
      </c>
      <c r="B2421" s="469" t="s">
        <v>3692</v>
      </c>
      <c r="C2421" s="458" t="s">
        <v>361</v>
      </c>
      <c r="D2421" s="456">
        <f>IF(Table10[[#This Row],[Current Age]]&gt;19,"Men's",IF(E2421&gt;15,"U19",IF(E2421&gt;13,"U15",IF(E2421&gt;11,"U13",IF(E2421&gt;0,"U11",0)))))</f>
        <v>0</v>
      </c>
      <c r="E2421" s="456">
        <f>IFERROR(IF(Table10[[#This Row],[Year]]&gt;0,$E$1-Table10[[#This Row],[Year]],0),"")</f>
        <v>0</v>
      </c>
      <c r="F2421" s="456"/>
      <c r="G2421" s="456"/>
      <c r="H2421" s="456"/>
    </row>
    <row r="2422" spans="1:8">
      <c r="A2422" s="471">
        <v>3419</v>
      </c>
      <c r="B2422" s="493" t="s">
        <v>3630</v>
      </c>
      <c r="C2422" s="472" t="s">
        <v>250</v>
      </c>
      <c r="D2422" s="456">
        <f>IF(Table10[[#This Row],[Current Age]]&gt;19,"Men's",IF(E2422&gt;15,"U19",IF(E2422&gt;13,"U15",IF(E2422&gt;11,"U13",IF(E2422&gt;0,"U11",0)))))</f>
        <v>0</v>
      </c>
      <c r="E2422" s="456">
        <f>IFERROR(IF(Table10[[#This Row],[Year]]&gt;0,$E$1-Table10[[#This Row],[Year]],0),"")</f>
        <v>0</v>
      </c>
      <c r="F2422" s="456"/>
      <c r="G2422" s="456"/>
      <c r="H2422" s="456"/>
    </row>
    <row r="2423" spans="1:8">
      <c r="A2423" s="544">
        <v>3420</v>
      </c>
      <c r="B2423" s="495" t="s">
        <v>6076</v>
      </c>
      <c r="C2423" s="470" t="s">
        <v>3750</v>
      </c>
      <c r="D2423" s="456">
        <f>IF(Table10[[#This Row],[Current Age]]&gt;19,"Men's",IF(E2423&gt;15,"U19",IF(E2423&gt;13,"U15",IF(E2423&gt;11,"U13",IF(E2423&gt;0,"U11",0)))))</f>
        <v>0</v>
      </c>
      <c r="E2423" s="456">
        <f>IFERROR(IF(Table10[[#This Row],[Year]]&gt;0,$E$1-Table10[[#This Row],[Year]],0),"")</f>
        <v>0</v>
      </c>
      <c r="F2423" s="456"/>
      <c r="G2423" s="456"/>
      <c r="H2423" s="456"/>
    </row>
    <row r="2424" spans="1:8">
      <c r="A2424" s="456">
        <v>3421</v>
      </c>
      <c r="B2424" s="469" t="s">
        <v>3638</v>
      </c>
      <c r="C2424" s="458" t="s">
        <v>250</v>
      </c>
      <c r="D2424" s="456">
        <f>IF(Table10[[#This Row],[Current Age]]&gt;19,"Men's",IF(E2424&gt;15,"U19",IF(E2424&gt;13,"U15",IF(E2424&gt;11,"U13",IF(E2424&gt;0,"U11",0)))))</f>
        <v>0</v>
      </c>
      <c r="E2424" s="456">
        <f>IFERROR(IF(Table10[[#This Row],[Year]]&gt;0,$E$1-Table10[[#This Row],[Year]],0),"")</f>
        <v>0</v>
      </c>
      <c r="F2424" s="456"/>
      <c r="G2424" s="456"/>
      <c r="H2424" s="456"/>
    </row>
    <row r="2425" spans="1:8">
      <c r="A2425" s="471">
        <v>3422</v>
      </c>
      <c r="B2425" s="493" t="s">
        <v>3693</v>
      </c>
      <c r="C2425" s="472" t="s">
        <v>361</v>
      </c>
      <c r="D2425" s="456">
        <f>IF(Table10[[#This Row],[Current Age]]&gt;19,"Men's",IF(E2425&gt;15,"U19",IF(E2425&gt;13,"U15",IF(E2425&gt;11,"U13",IF(E2425&gt;0,"U11",0)))))</f>
        <v>0</v>
      </c>
      <c r="E2425" s="456">
        <f>IFERROR(IF(Table10[[#This Row],[Year]]&gt;0,$E$1-Table10[[#This Row],[Year]],0),"")</f>
        <v>0</v>
      </c>
      <c r="F2425" s="456"/>
      <c r="G2425" s="456"/>
      <c r="H2425" s="456"/>
    </row>
    <row r="2426" spans="1:8">
      <c r="A2426" s="456">
        <v>3423</v>
      </c>
      <c r="B2426" s="469" t="s">
        <v>3694</v>
      </c>
      <c r="C2426" s="458" t="s">
        <v>361</v>
      </c>
      <c r="D2426" s="456">
        <f>IF(Table10[[#This Row],[Current Age]]&gt;19,"Men's",IF(E2426&gt;15,"U19",IF(E2426&gt;13,"U15",IF(E2426&gt;11,"U13",IF(E2426&gt;0,"U11",0)))))</f>
        <v>0</v>
      </c>
      <c r="E2426" s="456">
        <f>IFERROR(IF(Table10[[#This Row],[Year]]&gt;0,$E$1-Table10[[#This Row],[Year]],0),"")</f>
        <v>0</v>
      </c>
      <c r="F2426" s="456"/>
      <c r="G2426" s="456"/>
      <c r="H2426" s="456"/>
    </row>
    <row r="2427" spans="1:8">
      <c r="A2427" s="471">
        <v>3424</v>
      </c>
      <c r="B2427" s="493" t="s">
        <v>3634</v>
      </c>
      <c r="C2427" s="472" t="s">
        <v>1914</v>
      </c>
      <c r="D2427" s="456" t="str">
        <f>IF(Table10[[#This Row],[Current Age]]&gt;19,"Men's",IF(E2427&gt;15,"U19",IF(E2427&gt;13,"U15",IF(E2427&gt;11,"U13",IF(E2427&gt;0,"U11",0)))))</f>
        <v>U15</v>
      </c>
      <c r="E2427" s="456">
        <f>IFERROR(IF(Table10[[#This Row],[Year]]&gt;0,$E$1-Table10[[#This Row],[Year]],0),"")</f>
        <v>14</v>
      </c>
      <c r="F2427" s="456">
        <v>2011</v>
      </c>
      <c r="G2427" s="456">
        <v>8</v>
      </c>
      <c r="H2427" s="456">
        <v>31</v>
      </c>
    </row>
    <row r="2428" spans="1:8">
      <c r="A2428" s="456">
        <v>3425</v>
      </c>
      <c r="B2428" s="469" t="s">
        <v>3695</v>
      </c>
      <c r="C2428" s="458" t="s">
        <v>361</v>
      </c>
      <c r="D2428" s="456">
        <f>IF(Table10[[#This Row],[Current Age]]&gt;19,"Men's",IF(E2428&gt;15,"U19",IF(E2428&gt;13,"U15",IF(E2428&gt;11,"U13",IF(E2428&gt;0,"U11",0)))))</f>
        <v>0</v>
      </c>
      <c r="E2428" s="456">
        <f>IFERROR(IF(Table10[[#This Row],[Year]]&gt;0,$E$1-Table10[[#This Row],[Year]],0),"")</f>
        <v>0</v>
      </c>
      <c r="F2428" s="456"/>
      <c r="G2428" s="456"/>
      <c r="H2428" s="456"/>
    </row>
    <row r="2429" spans="1:8">
      <c r="A2429" s="471">
        <v>3426</v>
      </c>
      <c r="B2429" s="493" t="s">
        <v>3639</v>
      </c>
      <c r="C2429" s="472" t="s">
        <v>250</v>
      </c>
      <c r="D2429" s="456">
        <f>IF(Table10[[#This Row],[Current Age]]&gt;19,"Men's",IF(E2429&gt;15,"U19",IF(E2429&gt;13,"U15",IF(E2429&gt;11,"U13",IF(E2429&gt;0,"U11",0)))))</f>
        <v>0</v>
      </c>
      <c r="E2429" s="456">
        <f>IFERROR(IF(Table10[[#This Row],[Year]]&gt;0,$E$1-Table10[[#This Row],[Year]],0),"")</f>
        <v>0</v>
      </c>
      <c r="F2429" s="456"/>
      <c r="G2429" s="456"/>
      <c r="H2429" s="456"/>
    </row>
    <row r="2430" spans="1:8">
      <c r="A2430" s="456">
        <v>3427</v>
      </c>
      <c r="B2430" s="469" t="s">
        <v>3696</v>
      </c>
      <c r="C2430" s="458" t="s">
        <v>243</v>
      </c>
      <c r="D2430" s="456">
        <f>IF(Table10[[#This Row],[Current Age]]&gt;19,"Men's",IF(E2430&gt;15,"U19",IF(E2430&gt;13,"U15",IF(E2430&gt;11,"U13",IF(E2430&gt;0,"U11",0)))))</f>
        <v>0</v>
      </c>
      <c r="E2430" s="456">
        <f>IFERROR(IF(Table10[[#This Row],[Year]]&gt;0,$E$1-Table10[[#This Row],[Year]],0),"")</f>
        <v>0</v>
      </c>
      <c r="F2430" s="456"/>
      <c r="G2430" s="456"/>
      <c r="H2430" s="456"/>
    </row>
    <row r="2431" spans="1:8">
      <c r="A2431" s="471">
        <v>3428</v>
      </c>
      <c r="B2431" s="493" t="s">
        <v>3604</v>
      </c>
      <c r="C2431" s="472" t="s">
        <v>1914</v>
      </c>
      <c r="D2431" s="456">
        <f>IF(Table10[[#This Row],[Current Age]]&gt;19,"Men's",IF(E2431&gt;15,"U19",IF(E2431&gt;13,"U15",IF(E2431&gt;11,"U13",IF(E2431&gt;0,"U11",0)))))</f>
        <v>0</v>
      </c>
      <c r="E2431" s="456">
        <f>IFERROR(IF(Table10[[#This Row],[Year]]&gt;0,$E$1-Table10[[#This Row],[Year]],0),"")</f>
        <v>0</v>
      </c>
      <c r="F2431" s="456"/>
      <c r="G2431" s="456"/>
      <c r="H2431" s="456"/>
    </row>
    <row r="2432" spans="1:8">
      <c r="A2432" s="456">
        <v>3429</v>
      </c>
      <c r="B2432" s="469" t="s">
        <v>3601</v>
      </c>
      <c r="C2432" s="458" t="s">
        <v>256</v>
      </c>
      <c r="D2432" s="456">
        <f>IF(Table10[[#This Row],[Current Age]]&gt;19,"Men's",IF(E2432&gt;15,"U19",IF(E2432&gt;13,"U15",IF(E2432&gt;11,"U13",IF(E2432&gt;0,"U11",0)))))</f>
        <v>0</v>
      </c>
      <c r="E2432" s="456">
        <f>IFERROR(IF(Table10[[#This Row],[Year]]&gt;0,$E$1-Table10[[#This Row],[Year]],0),"")</f>
        <v>0</v>
      </c>
      <c r="F2432" s="456"/>
      <c r="G2432" s="456"/>
      <c r="H2432" s="456"/>
    </row>
    <row r="2433" spans="1:8">
      <c r="A2433" s="471">
        <v>3430</v>
      </c>
      <c r="B2433" s="493" t="s">
        <v>3585</v>
      </c>
      <c r="C2433" s="472" t="s">
        <v>244</v>
      </c>
      <c r="D2433" s="456">
        <f>IF(Table10[[#This Row],[Current Age]]&gt;19,"Men's",IF(E2433&gt;15,"U19",IF(E2433&gt;13,"U15",IF(E2433&gt;11,"U13",IF(E2433&gt;0,"U11",0)))))</f>
        <v>0</v>
      </c>
      <c r="E2433" s="456">
        <f>IFERROR(IF(Table10[[#This Row],[Year]]&gt;0,$E$1-Table10[[#This Row],[Year]],0),"")</f>
        <v>0</v>
      </c>
      <c r="F2433" s="456"/>
      <c r="G2433" s="456"/>
      <c r="H2433" s="456"/>
    </row>
    <row r="2434" spans="1:8">
      <c r="A2434" s="456">
        <v>3431</v>
      </c>
      <c r="B2434" s="469" t="s">
        <v>3610</v>
      </c>
      <c r="C2434" s="458" t="s">
        <v>244</v>
      </c>
      <c r="D2434" s="456" t="str">
        <f>IF(Table10[[#This Row],[Current Age]]&gt;19,"Men's",IF(E2434&gt;15,"U19",IF(E2434&gt;13,"U15",IF(E2434&gt;11,"U13",IF(E2434&gt;0,"U11",0)))))</f>
        <v>U19</v>
      </c>
      <c r="E2434" s="456">
        <f>IFERROR(IF(Table10[[#This Row],[Year]]&gt;0,$E$1-Table10[[#This Row],[Year]],0),"")</f>
        <v>18</v>
      </c>
      <c r="F2434" s="456">
        <v>2007</v>
      </c>
      <c r="G2434" s="456">
        <v>12</v>
      </c>
      <c r="H2434" s="456">
        <v>28</v>
      </c>
    </row>
    <row r="2435" spans="1:8">
      <c r="A2435" s="471">
        <v>3432</v>
      </c>
      <c r="B2435" s="493" t="s">
        <v>5394</v>
      </c>
      <c r="C2435" s="472" t="s">
        <v>244</v>
      </c>
      <c r="D2435" s="456">
        <f>IF(Table10[[#This Row],[Current Age]]&gt;19,"Men's",IF(E2435&gt;15,"U19",IF(E2435&gt;13,"U15",IF(E2435&gt;11,"U13",IF(E2435&gt;0,"U11",0)))))</f>
        <v>0</v>
      </c>
      <c r="E2435" s="456">
        <f>IFERROR(IF(Table10[[#This Row],[Year]]&gt;0,$E$1-Table10[[#This Row],[Year]],0),"")</f>
        <v>0</v>
      </c>
      <c r="F2435" s="456"/>
      <c r="G2435" s="456"/>
      <c r="H2435" s="456"/>
    </row>
    <row r="2436" spans="1:8">
      <c r="A2436" s="456">
        <v>3433</v>
      </c>
      <c r="B2436" s="469" t="s">
        <v>3586</v>
      </c>
      <c r="C2436" s="458" t="s">
        <v>253</v>
      </c>
      <c r="D2436" s="456">
        <f>IF(Table10[[#This Row],[Current Age]]&gt;19,"Men's",IF(E2436&gt;15,"U19",IF(E2436&gt;13,"U15",IF(E2436&gt;11,"U13",IF(E2436&gt;0,"U11",0)))))</f>
        <v>0</v>
      </c>
      <c r="E2436" s="456">
        <f>IFERROR(IF(Table10[[#This Row],[Year]]&gt;0,$E$1-Table10[[#This Row],[Year]],0),"")</f>
        <v>0</v>
      </c>
      <c r="F2436" s="456"/>
      <c r="G2436" s="456"/>
      <c r="H2436" s="456"/>
    </row>
    <row r="2437" spans="1:8">
      <c r="A2437" s="471">
        <v>3434</v>
      </c>
      <c r="B2437" s="493" t="s">
        <v>3584</v>
      </c>
      <c r="C2437" s="472" t="s">
        <v>244</v>
      </c>
      <c r="D2437" s="456">
        <f>IF(Table10[[#This Row],[Current Age]]&gt;19,"Men's",IF(E2437&gt;15,"U19",IF(E2437&gt;13,"U15",IF(E2437&gt;11,"U13",IF(E2437&gt;0,"U11",0)))))</f>
        <v>0</v>
      </c>
      <c r="E2437" s="456">
        <f>IFERROR(IF(Table10[[#This Row],[Year]]&gt;0,$E$1-Table10[[#This Row],[Year]],0),"")</f>
        <v>0</v>
      </c>
      <c r="F2437" s="456"/>
      <c r="G2437" s="456"/>
      <c r="H2437" s="456"/>
    </row>
    <row r="2438" spans="1:8">
      <c r="A2438" s="456">
        <v>3435</v>
      </c>
      <c r="B2438" s="469" t="s">
        <v>3583</v>
      </c>
      <c r="C2438" s="458" t="s">
        <v>244</v>
      </c>
      <c r="D2438" s="456">
        <f>IF(Table10[[#This Row],[Current Age]]&gt;19,"Men's",IF(E2438&gt;15,"U19",IF(E2438&gt;13,"U15",IF(E2438&gt;11,"U13",IF(E2438&gt;0,"U11",0)))))</f>
        <v>0</v>
      </c>
      <c r="E2438" s="456">
        <f>IFERROR(IF(Table10[[#This Row],[Year]]&gt;0,$E$1-Table10[[#This Row],[Year]],0),"")</f>
        <v>0</v>
      </c>
      <c r="F2438" s="456"/>
      <c r="G2438" s="456"/>
      <c r="H2438" s="456"/>
    </row>
    <row r="2439" spans="1:8">
      <c r="A2439" s="471">
        <v>3436</v>
      </c>
      <c r="B2439" s="493" t="s">
        <v>3697</v>
      </c>
      <c r="C2439" s="472" t="s">
        <v>244</v>
      </c>
      <c r="D2439" s="456">
        <f>IF(Table10[[#This Row],[Current Age]]&gt;19,"Men's",IF(E2439&gt;15,"U19",IF(E2439&gt;13,"U15",IF(E2439&gt;11,"U13",IF(E2439&gt;0,"U11",0)))))</f>
        <v>0</v>
      </c>
      <c r="E2439" s="456">
        <f>IFERROR(IF(Table10[[#This Row],[Year]]&gt;0,$E$1-Table10[[#This Row],[Year]],0),"")</f>
        <v>0</v>
      </c>
      <c r="F2439" s="456"/>
      <c r="G2439" s="456"/>
      <c r="H2439" s="456"/>
    </row>
    <row r="2440" spans="1:8">
      <c r="A2440" s="456">
        <v>3437</v>
      </c>
      <c r="B2440" s="469" t="s">
        <v>3698</v>
      </c>
      <c r="C2440" s="458" t="s">
        <v>244</v>
      </c>
      <c r="D2440" s="456">
        <f>IF(Table10[[#This Row],[Current Age]]&gt;19,"Men's",IF(E2440&gt;15,"U19",IF(E2440&gt;13,"U15",IF(E2440&gt;11,"U13",IF(E2440&gt;0,"U11",0)))))</f>
        <v>0</v>
      </c>
      <c r="E2440" s="456">
        <f>IFERROR(IF(Table10[[#This Row],[Year]]&gt;0,$E$1-Table10[[#This Row],[Year]],0),"")</f>
        <v>0</v>
      </c>
      <c r="F2440" s="456"/>
      <c r="G2440" s="456"/>
      <c r="H2440" s="456"/>
    </row>
    <row r="2441" spans="1:8">
      <c r="A2441" s="471">
        <v>3438</v>
      </c>
      <c r="B2441" s="493" t="s">
        <v>3699</v>
      </c>
      <c r="C2441" s="472" t="s">
        <v>244</v>
      </c>
      <c r="D2441" s="456">
        <f>IF(Table10[[#This Row],[Current Age]]&gt;19,"Men's",IF(E2441&gt;15,"U19",IF(E2441&gt;13,"U15",IF(E2441&gt;11,"U13",IF(E2441&gt;0,"U11",0)))))</f>
        <v>0</v>
      </c>
      <c r="E2441" s="456">
        <f>IFERROR(IF(Table10[[#This Row],[Year]]&gt;0,$E$1-Table10[[#This Row],[Year]],0),"")</f>
        <v>0</v>
      </c>
      <c r="F2441" s="456"/>
      <c r="G2441" s="456"/>
      <c r="H2441" s="456"/>
    </row>
    <row r="2442" spans="1:8">
      <c r="A2442" s="456">
        <v>3439</v>
      </c>
      <c r="B2442" s="469" t="s">
        <v>3700</v>
      </c>
      <c r="C2442" s="458" t="s">
        <v>244</v>
      </c>
      <c r="D2442" s="456">
        <f>IF(Table10[[#This Row],[Current Age]]&gt;19,"Men's",IF(E2442&gt;15,"U19",IF(E2442&gt;13,"U15",IF(E2442&gt;11,"U13",IF(E2442&gt;0,"U11",0)))))</f>
        <v>0</v>
      </c>
      <c r="E2442" s="456">
        <f>IFERROR(IF(Table10[[#This Row],[Year]]&gt;0,$E$1-Table10[[#This Row],[Year]],0),"")</f>
        <v>0</v>
      </c>
      <c r="F2442" s="456"/>
      <c r="G2442" s="456"/>
      <c r="H2442" s="456"/>
    </row>
    <row r="2443" spans="1:8">
      <c r="A2443" s="471">
        <v>3440</v>
      </c>
      <c r="B2443" s="493" t="s">
        <v>3597</v>
      </c>
      <c r="C2443" s="472" t="s">
        <v>256</v>
      </c>
      <c r="D2443" s="456">
        <f>IF(Table10[[#This Row],[Current Age]]&gt;19,"Men's",IF(E2443&gt;15,"U19",IF(E2443&gt;13,"U15",IF(E2443&gt;11,"U13",IF(E2443&gt;0,"U11",0)))))</f>
        <v>0</v>
      </c>
      <c r="E2443" s="456">
        <f>IFERROR(IF(Table10[[#This Row],[Year]]&gt;0,$E$1-Table10[[#This Row],[Year]],0),"")</f>
        <v>0</v>
      </c>
      <c r="F2443" s="456"/>
      <c r="G2443" s="456"/>
      <c r="H2443" s="456"/>
    </row>
    <row r="2444" spans="1:8">
      <c r="A2444" s="456">
        <v>3441</v>
      </c>
      <c r="B2444" s="469" t="s">
        <v>3701</v>
      </c>
      <c r="C2444" s="458" t="s">
        <v>244</v>
      </c>
      <c r="D2444" s="456">
        <f>IF(Table10[[#This Row],[Current Age]]&gt;19,"Men's",IF(E2444&gt;15,"U19",IF(E2444&gt;13,"U15",IF(E2444&gt;11,"U13",IF(E2444&gt;0,"U11",0)))))</f>
        <v>0</v>
      </c>
      <c r="E2444" s="456">
        <f>IFERROR(IF(Table10[[#This Row],[Year]]&gt;0,$E$1-Table10[[#This Row],[Year]],0),"")</f>
        <v>0</v>
      </c>
      <c r="F2444" s="456"/>
      <c r="G2444" s="456"/>
      <c r="H2444" s="456"/>
    </row>
    <row r="2445" spans="1:8">
      <c r="A2445" s="471">
        <v>3442</v>
      </c>
      <c r="B2445" s="493" t="s">
        <v>3702</v>
      </c>
      <c r="C2445" s="472" t="s">
        <v>244</v>
      </c>
      <c r="D2445" s="456">
        <f>IF(Table10[[#This Row],[Current Age]]&gt;19,"Men's",IF(E2445&gt;15,"U19",IF(E2445&gt;13,"U15",IF(E2445&gt;11,"U13",IF(E2445&gt;0,"U11",0)))))</f>
        <v>0</v>
      </c>
      <c r="E2445" s="456">
        <f>IFERROR(IF(Table10[[#This Row],[Year]]&gt;0,$E$1-Table10[[#This Row],[Year]],0),"")</f>
        <v>0</v>
      </c>
      <c r="F2445" s="456"/>
      <c r="G2445" s="456"/>
      <c r="H2445" s="456"/>
    </row>
    <row r="2446" spans="1:8">
      <c r="A2446" s="456">
        <v>3443</v>
      </c>
      <c r="B2446" s="469" t="s">
        <v>3603</v>
      </c>
      <c r="C2446" s="458" t="s">
        <v>250</v>
      </c>
      <c r="D2446" s="456">
        <f>IF(Table10[[#This Row],[Current Age]]&gt;19,"Men's",IF(E2446&gt;15,"U19",IF(E2446&gt;13,"U15",IF(E2446&gt;11,"U13",IF(E2446&gt;0,"U11",0)))))</f>
        <v>0</v>
      </c>
      <c r="E2446" s="456">
        <f>IFERROR(IF(Table10[[#This Row],[Year]]&gt;0,$E$1-Table10[[#This Row],[Year]],0),"")</f>
        <v>0</v>
      </c>
      <c r="F2446" s="456"/>
      <c r="G2446" s="456"/>
      <c r="H2446" s="456"/>
    </row>
    <row r="2447" spans="1:8">
      <c r="A2447" s="471">
        <v>3444</v>
      </c>
      <c r="B2447" s="493" t="s">
        <v>3703</v>
      </c>
      <c r="C2447" s="472" t="s">
        <v>244</v>
      </c>
      <c r="D2447" s="456">
        <f>IF(Table10[[#This Row],[Current Age]]&gt;19,"Men's",IF(E2447&gt;15,"U19",IF(E2447&gt;13,"U15",IF(E2447&gt;11,"U13",IF(E2447&gt;0,"U11",0)))))</f>
        <v>0</v>
      </c>
      <c r="E2447" s="456">
        <f>IFERROR(IF(Table10[[#This Row],[Year]]&gt;0,$E$1-Table10[[#This Row],[Year]],0),"")</f>
        <v>0</v>
      </c>
      <c r="F2447" s="456"/>
      <c r="G2447" s="456"/>
      <c r="H2447" s="456"/>
    </row>
    <row r="2448" spans="1:8">
      <c r="A2448" s="456">
        <v>3445</v>
      </c>
      <c r="B2448" s="469" t="s">
        <v>3704</v>
      </c>
      <c r="C2448" s="458"/>
      <c r="D2448" s="456">
        <f>IF(Table10[[#This Row],[Current Age]]&gt;19,"Men's",IF(E2448&gt;15,"U19",IF(E2448&gt;13,"U15",IF(E2448&gt;11,"U13",IF(E2448&gt;0,"U11",0)))))</f>
        <v>0</v>
      </c>
      <c r="E2448" s="456">
        <f>IFERROR(IF(Table10[[#This Row],[Year]]&gt;0,$E$1-Table10[[#This Row],[Year]],0),"")</f>
        <v>0</v>
      </c>
      <c r="F2448" s="456"/>
      <c r="G2448" s="456"/>
      <c r="H2448" s="456"/>
    </row>
    <row r="2449" spans="1:8">
      <c r="A2449" s="471">
        <v>3446</v>
      </c>
      <c r="B2449" s="493" t="s">
        <v>3631</v>
      </c>
      <c r="C2449" s="472" t="s">
        <v>248</v>
      </c>
      <c r="D2449" s="456">
        <f>IF(Table10[[#This Row],[Current Age]]&gt;19,"Men's",IF(E2449&gt;15,"U19",IF(E2449&gt;13,"U15",IF(E2449&gt;11,"U13",IF(E2449&gt;0,"U11",0)))))</f>
        <v>0</v>
      </c>
      <c r="E2449" s="456">
        <f>IFERROR(IF(Table10[[#This Row],[Year]]&gt;0,$E$1-Table10[[#This Row],[Year]],0),"")</f>
        <v>0</v>
      </c>
      <c r="F2449" s="456"/>
      <c r="G2449" s="456"/>
      <c r="H2449" s="456"/>
    </row>
    <row r="2450" spans="1:8">
      <c r="A2450" s="456">
        <v>3447</v>
      </c>
      <c r="B2450" s="469" t="s">
        <v>3629</v>
      </c>
      <c r="C2450" s="458" t="s">
        <v>248</v>
      </c>
      <c r="D2450" s="456">
        <f>IF(Table10[[#This Row],[Current Age]]&gt;19,"Men's",IF(E2450&gt;15,"U19",IF(E2450&gt;13,"U15",IF(E2450&gt;11,"U13",IF(E2450&gt;0,"U11",0)))))</f>
        <v>0</v>
      </c>
      <c r="E2450" s="456">
        <f>IFERROR(IF(Table10[[#This Row],[Year]]&gt;0,$E$1-Table10[[#This Row],[Year]],0),"")</f>
        <v>0</v>
      </c>
      <c r="F2450" s="456"/>
      <c r="G2450" s="456"/>
      <c r="H2450" s="456"/>
    </row>
    <row r="2451" spans="1:8">
      <c r="A2451" s="471">
        <v>3448</v>
      </c>
      <c r="B2451" s="493" t="s">
        <v>3705</v>
      </c>
      <c r="C2451" s="472" t="s">
        <v>243</v>
      </c>
      <c r="D2451" s="456">
        <f>IF(Table10[[#This Row],[Current Age]]&gt;19,"Men's",IF(E2451&gt;15,"U19",IF(E2451&gt;13,"U15",IF(E2451&gt;11,"U13",IF(E2451&gt;0,"U11",0)))))</f>
        <v>0</v>
      </c>
      <c r="E2451" s="456">
        <f>IFERROR(IF(Table10[[#This Row],[Year]]&gt;0,$E$1-Table10[[#This Row],[Year]],0),"")</f>
        <v>0</v>
      </c>
      <c r="F2451" s="456"/>
      <c r="G2451" s="456"/>
      <c r="H2451" s="456"/>
    </row>
    <row r="2452" spans="1:8">
      <c r="A2452" s="456">
        <v>3449</v>
      </c>
      <c r="B2452" s="469" t="s">
        <v>3706</v>
      </c>
      <c r="C2452" s="458" t="s">
        <v>4720</v>
      </c>
      <c r="D2452" s="456">
        <f>IF(Table10[[#This Row],[Current Age]]&gt;19,"Men's",IF(E2452&gt;15,"U19",IF(E2452&gt;13,"U15",IF(E2452&gt;11,"U13",IF(E2452&gt;0,"U11",0)))))</f>
        <v>0</v>
      </c>
      <c r="E2452" s="456">
        <f>IFERROR(IF(Table10[[#This Row],[Year]]&gt;0,$E$1-Table10[[#This Row],[Year]],0),"")</f>
        <v>0</v>
      </c>
      <c r="F2452" s="456"/>
      <c r="G2452" s="456"/>
      <c r="H2452" s="456"/>
    </row>
    <row r="2453" spans="1:8">
      <c r="A2453" s="471">
        <v>3450</v>
      </c>
      <c r="B2453" s="493" t="s">
        <v>3708</v>
      </c>
      <c r="C2453" s="472" t="s">
        <v>244</v>
      </c>
      <c r="D2453" s="456">
        <f>IF(Table10[[#This Row],[Current Age]]&gt;19,"Men's",IF(E2453&gt;15,"U19",IF(E2453&gt;13,"U15",IF(E2453&gt;11,"U13",IF(E2453&gt;0,"U11",0)))))</f>
        <v>0</v>
      </c>
      <c r="E2453" s="456">
        <f>IFERROR(IF(Table10[[#This Row],[Year]]&gt;0,$E$1-Table10[[#This Row],[Year]],0),"")</f>
        <v>0</v>
      </c>
      <c r="F2453" s="456"/>
      <c r="G2453" s="456"/>
      <c r="H2453" s="456"/>
    </row>
    <row r="2454" spans="1:8">
      <c r="A2454" s="456">
        <v>3451</v>
      </c>
      <c r="B2454" s="469" t="s">
        <v>3602</v>
      </c>
      <c r="C2454" s="458" t="s">
        <v>248</v>
      </c>
      <c r="D2454" s="456">
        <f>IF(Table10[[#This Row],[Current Age]]&gt;19,"Men's",IF(E2454&gt;15,"U19",IF(E2454&gt;13,"U15",IF(E2454&gt;11,"U13",IF(E2454&gt;0,"U11",0)))))</f>
        <v>0</v>
      </c>
      <c r="E2454" s="456">
        <f>IFERROR(IF(Table10[[#This Row],[Year]]&gt;0,$E$1-Table10[[#This Row],[Year]],0),"")</f>
        <v>0</v>
      </c>
      <c r="F2454" s="456"/>
      <c r="G2454" s="456"/>
      <c r="H2454" s="456"/>
    </row>
    <row r="2455" spans="1:8">
      <c r="A2455" s="471">
        <v>3452</v>
      </c>
      <c r="B2455" s="493" t="s">
        <v>3709</v>
      </c>
      <c r="C2455" s="472"/>
      <c r="D2455" s="456">
        <f>IF(Table10[[#This Row],[Current Age]]&gt;19,"Men's",IF(E2455&gt;15,"U19",IF(E2455&gt;13,"U15",IF(E2455&gt;11,"U13",IF(E2455&gt;0,"U11",0)))))</f>
        <v>0</v>
      </c>
      <c r="E2455" s="456">
        <f>IFERROR(IF(Table10[[#This Row],[Year]]&gt;0,$E$1-Table10[[#This Row],[Year]],0),"")</f>
        <v>0</v>
      </c>
      <c r="F2455" s="456"/>
      <c r="G2455" s="456"/>
      <c r="H2455" s="456"/>
    </row>
    <row r="2456" spans="1:8">
      <c r="A2456" s="456">
        <v>3453</v>
      </c>
      <c r="B2456" s="469" t="s">
        <v>3600</v>
      </c>
      <c r="C2456" s="458" t="s">
        <v>248</v>
      </c>
      <c r="D2456" s="456">
        <f>IF(Table10[[#This Row],[Current Age]]&gt;19,"Men's",IF(E2456&gt;15,"U19",IF(E2456&gt;13,"U15",IF(E2456&gt;11,"U13",IF(E2456&gt;0,"U11",0)))))</f>
        <v>0</v>
      </c>
      <c r="E2456" s="456">
        <f>IFERROR(IF(Table10[[#This Row],[Year]]&gt;0,$E$1-Table10[[#This Row],[Year]],0),"")</f>
        <v>0</v>
      </c>
      <c r="F2456" s="456"/>
      <c r="G2456" s="456"/>
      <c r="H2456" s="456"/>
    </row>
    <row r="2457" spans="1:8">
      <c r="A2457" s="471">
        <v>3454</v>
      </c>
      <c r="B2457" s="493" t="s">
        <v>3608</v>
      </c>
      <c r="C2457" s="472" t="s">
        <v>248</v>
      </c>
      <c r="D2457" s="456">
        <f>IF(Table10[[#This Row],[Current Age]]&gt;19,"Men's",IF(E2457&gt;15,"U19",IF(E2457&gt;13,"U15",IF(E2457&gt;11,"U13",IF(E2457&gt;0,"U11",0)))))</f>
        <v>0</v>
      </c>
      <c r="E2457" s="456">
        <f>IFERROR(IF(Table10[[#This Row],[Year]]&gt;0,$E$1-Table10[[#This Row],[Year]],0),"")</f>
        <v>0</v>
      </c>
      <c r="F2457" s="456"/>
      <c r="G2457" s="456"/>
      <c r="H2457" s="456"/>
    </row>
    <row r="2458" spans="1:8">
      <c r="A2458" s="456">
        <v>3455</v>
      </c>
      <c r="B2458" s="469" t="s">
        <v>3609</v>
      </c>
      <c r="C2458" s="458" t="s">
        <v>248</v>
      </c>
      <c r="D2458" s="456">
        <f>IF(Table10[[#This Row],[Current Age]]&gt;19,"Men's",IF(E2458&gt;15,"U19",IF(E2458&gt;13,"U15",IF(E2458&gt;11,"U13",IF(E2458&gt;0,"U11",0)))))</f>
        <v>0</v>
      </c>
      <c r="E2458" s="456">
        <f>IFERROR(IF(Table10[[#This Row],[Year]]&gt;0,$E$1-Table10[[#This Row],[Year]],0),"")</f>
        <v>0</v>
      </c>
      <c r="F2458" s="456"/>
      <c r="G2458" s="456"/>
      <c r="H2458" s="456"/>
    </row>
    <row r="2459" spans="1:8">
      <c r="A2459" s="471">
        <v>3456</v>
      </c>
      <c r="B2459" s="493" t="s">
        <v>3605</v>
      </c>
      <c r="C2459" s="472" t="s">
        <v>248</v>
      </c>
      <c r="D2459" s="456">
        <f>IF(Table10[[#This Row],[Current Age]]&gt;19,"Men's",IF(E2459&gt;15,"U19",IF(E2459&gt;13,"U15",IF(E2459&gt;11,"U13",IF(E2459&gt;0,"U11",0)))))</f>
        <v>0</v>
      </c>
      <c r="E2459" s="456">
        <f>IFERROR(IF(Table10[[#This Row],[Year]]&gt;0,$E$1-Table10[[#This Row],[Year]],0),"")</f>
        <v>0</v>
      </c>
      <c r="F2459" s="456"/>
      <c r="G2459" s="456"/>
      <c r="H2459" s="456"/>
    </row>
    <row r="2460" spans="1:8">
      <c r="A2460" s="456">
        <v>3457</v>
      </c>
      <c r="B2460" s="497" t="s">
        <v>3710</v>
      </c>
      <c r="C2460" s="458"/>
      <c r="D2460" s="456">
        <f>IF(Table10[[#This Row],[Current Age]]&gt;19,"Men's",IF(E2460&gt;15,"U19",IF(E2460&gt;13,"U15",IF(E2460&gt;11,"U13",IF(E2460&gt;0,"U11",0)))))</f>
        <v>0</v>
      </c>
      <c r="E2460" s="456">
        <f>IFERROR(IF(Table10[[#This Row],[Year]]&gt;0,$E$1-Table10[[#This Row],[Year]],0),"")</f>
        <v>0</v>
      </c>
      <c r="F2460" s="456"/>
      <c r="G2460" s="456"/>
      <c r="H2460" s="456"/>
    </row>
    <row r="2461" spans="1:8">
      <c r="A2461" s="471">
        <v>3458</v>
      </c>
      <c r="B2461" s="493" t="s">
        <v>3606</v>
      </c>
      <c r="C2461" s="472" t="s">
        <v>253</v>
      </c>
      <c r="D2461" s="456">
        <f>IF(Table10[[#This Row],[Current Age]]&gt;19,"Men's",IF(E2461&gt;15,"U19",IF(E2461&gt;13,"U15",IF(E2461&gt;11,"U13",IF(E2461&gt;0,"U11",0)))))</f>
        <v>0</v>
      </c>
      <c r="E2461" s="456">
        <f>IFERROR(IF(Table10[[#This Row],[Year]]&gt;0,$E$1-Table10[[#This Row],[Year]],0),"")</f>
        <v>0</v>
      </c>
      <c r="F2461" s="456"/>
      <c r="G2461" s="456"/>
      <c r="H2461" s="456"/>
    </row>
    <row r="2462" spans="1:8">
      <c r="A2462" s="456">
        <v>3459</v>
      </c>
      <c r="B2462" s="469" t="s">
        <v>3711</v>
      </c>
      <c r="C2462" s="458" t="s">
        <v>244</v>
      </c>
      <c r="D2462" s="456" t="str">
        <f>IF(Table10[[#This Row],[Current Age]]&gt;19,"Men's",IF(E2462&gt;15,"U19",IF(E2462&gt;13,"U15",IF(E2462&gt;11,"U13",IF(E2462&gt;0,"U11",0)))))</f>
        <v>U19</v>
      </c>
      <c r="E2462" s="456">
        <f>IFERROR(IF(Table10[[#This Row],[Year]]&gt;0,$E$1-Table10[[#This Row],[Year]],0),"")</f>
        <v>17</v>
      </c>
      <c r="F2462" s="456">
        <v>2008</v>
      </c>
      <c r="G2462" s="456">
        <v>6</v>
      </c>
      <c r="H2462" s="456">
        <v>26</v>
      </c>
    </row>
    <row r="2463" spans="1:8">
      <c r="A2463" s="471">
        <v>3460</v>
      </c>
      <c r="B2463" s="493" t="s">
        <v>3712</v>
      </c>
      <c r="C2463" s="472"/>
      <c r="D2463" s="456">
        <f>IF(Table10[[#This Row],[Current Age]]&gt;19,"Men's",IF(E2463&gt;15,"U19",IF(E2463&gt;13,"U15",IF(E2463&gt;11,"U13",IF(E2463&gt;0,"U11",0)))))</f>
        <v>0</v>
      </c>
      <c r="E2463" s="456">
        <f>IFERROR(IF(Table10[[#This Row],[Year]]&gt;0,$E$1-Table10[[#This Row],[Year]],0),"")</f>
        <v>0</v>
      </c>
      <c r="F2463" s="456"/>
      <c r="G2463" s="456"/>
      <c r="H2463" s="456"/>
    </row>
    <row r="2464" spans="1:8">
      <c r="A2464" s="456">
        <v>3461</v>
      </c>
      <c r="B2464" s="469" t="s">
        <v>3713</v>
      </c>
      <c r="C2464" s="458" t="s">
        <v>244</v>
      </c>
      <c r="D2464" s="456">
        <f>IF(Table10[[#This Row],[Current Age]]&gt;19,"Men's",IF(E2464&gt;15,"U19",IF(E2464&gt;13,"U15",IF(E2464&gt;11,"U13",IF(E2464&gt;0,"U11",0)))))</f>
        <v>0</v>
      </c>
      <c r="E2464" s="456">
        <f>IFERROR(IF(Table10[[#This Row],[Year]]&gt;0,$E$1-Table10[[#This Row],[Year]],0),"")</f>
        <v>0</v>
      </c>
      <c r="F2464" s="456"/>
      <c r="G2464" s="456"/>
      <c r="H2464" s="456"/>
    </row>
    <row r="2465" spans="1:8">
      <c r="A2465" s="471">
        <v>3462</v>
      </c>
      <c r="B2465" s="493" t="s">
        <v>3636</v>
      </c>
      <c r="C2465" s="472" t="s">
        <v>253</v>
      </c>
      <c r="D2465" s="456">
        <f>IF(Table10[[#This Row],[Current Age]]&gt;19,"Men's",IF(E2465&gt;15,"U19",IF(E2465&gt;13,"U15",IF(E2465&gt;11,"U13",IF(E2465&gt;0,"U11",0)))))</f>
        <v>0</v>
      </c>
      <c r="E2465" s="456">
        <f>IFERROR(IF(Table10[[#This Row],[Year]]&gt;0,$E$1-Table10[[#This Row],[Year]],0),"")</f>
        <v>0</v>
      </c>
      <c r="F2465" s="456"/>
      <c r="G2465" s="456"/>
      <c r="H2465" s="456"/>
    </row>
    <row r="2466" spans="1:8">
      <c r="A2466" s="456">
        <v>3463</v>
      </c>
      <c r="B2466" s="469" t="s">
        <v>3613</v>
      </c>
      <c r="C2466" s="458" t="s">
        <v>4552</v>
      </c>
      <c r="D2466" s="456">
        <f>IF(Table10[[#This Row],[Current Age]]&gt;19,"Men's",IF(E2466&gt;15,"U19",IF(E2466&gt;13,"U15",IF(E2466&gt;11,"U13",IF(E2466&gt;0,"U11",0)))))</f>
        <v>0</v>
      </c>
      <c r="E2466" s="456">
        <f>IFERROR(IF(Table10[[#This Row],[Year]]&gt;0,$E$1-Table10[[#This Row],[Year]],0),"")</f>
        <v>0</v>
      </c>
      <c r="F2466" s="456"/>
      <c r="G2466" s="456"/>
      <c r="H2466" s="456"/>
    </row>
    <row r="2467" spans="1:8">
      <c r="A2467" s="471">
        <v>3464</v>
      </c>
      <c r="B2467" s="493" t="s">
        <v>3714</v>
      </c>
      <c r="C2467" s="472" t="s">
        <v>244</v>
      </c>
      <c r="D2467" s="456" t="str">
        <f>IF(Table10[[#This Row],[Current Age]]&gt;19,"Men's",IF(E2467&gt;15,"U19",IF(E2467&gt;13,"U15",IF(E2467&gt;11,"U13",IF(E2467&gt;0,"U11",0)))))</f>
        <v>U19</v>
      </c>
      <c r="E2467" s="456">
        <f>IFERROR(IF(Table10[[#This Row],[Year]]&gt;0,$E$1-Table10[[#This Row],[Year]],0),"")</f>
        <v>16</v>
      </c>
      <c r="F2467" s="456">
        <v>2009</v>
      </c>
      <c r="G2467" s="456">
        <v>4</v>
      </c>
      <c r="H2467" s="456">
        <v>21</v>
      </c>
    </row>
    <row r="2468" spans="1:8">
      <c r="A2468" s="456">
        <v>3465</v>
      </c>
      <c r="B2468" s="469" t="s">
        <v>3642</v>
      </c>
      <c r="C2468" s="458" t="s">
        <v>253</v>
      </c>
      <c r="D2468" s="456">
        <f>IF(Table10[[#This Row],[Current Age]]&gt;19,"Men's",IF(E2468&gt;15,"U19",IF(E2468&gt;13,"U15",IF(E2468&gt;11,"U13",IF(E2468&gt;0,"U11",0)))))</f>
        <v>0</v>
      </c>
      <c r="E2468" s="456">
        <f>IFERROR(IF(Table10[[#This Row],[Year]]&gt;0,$E$1-Table10[[#This Row],[Year]],0),"")</f>
        <v>0</v>
      </c>
      <c r="F2468" s="456"/>
      <c r="G2468" s="456"/>
      <c r="H2468" s="456"/>
    </row>
    <row r="2469" spans="1:8">
      <c r="A2469" s="471">
        <v>3466</v>
      </c>
      <c r="B2469" s="493" t="s">
        <v>3715</v>
      </c>
      <c r="C2469" s="472" t="s">
        <v>244</v>
      </c>
      <c r="D2469" s="456">
        <f>IF(Table10[[#This Row],[Current Age]]&gt;19,"Men's",IF(E2469&gt;15,"U19",IF(E2469&gt;13,"U15",IF(E2469&gt;11,"U13",IF(E2469&gt;0,"U11",0)))))</f>
        <v>0</v>
      </c>
      <c r="E2469" s="456">
        <f>IFERROR(IF(Table10[[#This Row],[Year]]&gt;0,$E$1-Table10[[#This Row],[Year]],0),"")</f>
        <v>0</v>
      </c>
      <c r="F2469" s="456"/>
      <c r="G2469" s="456"/>
      <c r="H2469" s="456"/>
    </row>
    <row r="2470" spans="1:8">
      <c r="A2470" s="456">
        <v>3467</v>
      </c>
      <c r="B2470" s="469" t="s">
        <v>3716</v>
      </c>
      <c r="C2470" s="458"/>
      <c r="D2470" s="456">
        <f>IF(Table10[[#This Row],[Current Age]]&gt;19,"Men's",IF(E2470&gt;15,"U19",IF(E2470&gt;13,"U15",IF(E2470&gt;11,"U13",IF(E2470&gt;0,"U11",0)))))</f>
        <v>0</v>
      </c>
      <c r="E2470" s="456">
        <f>IFERROR(IF(Table10[[#This Row],[Year]]&gt;0,$E$1-Table10[[#This Row],[Year]],0),"")</f>
        <v>0</v>
      </c>
      <c r="F2470" s="456"/>
      <c r="G2470" s="456"/>
      <c r="H2470" s="456"/>
    </row>
    <row r="2471" spans="1:8">
      <c r="A2471" s="471">
        <v>3468</v>
      </c>
      <c r="B2471" s="493" t="s">
        <v>3717</v>
      </c>
      <c r="C2471" s="472"/>
      <c r="D2471" s="456">
        <f>IF(Table10[[#This Row],[Current Age]]&gt;19,"Men's",IF(E2471&gt;15,"U19",IF(E2471&gt;13,"U15",IF(E2471&gt;11,"U13",IF(E2471&gt;0,"U11",0)))))</f>
        <v>0</v>
      </c>
      <c r="E2471" s="456">
        <f>IFERROR(IF(Table10[[#This Row],[Year]]&gt;0,$E$1-Table10[[#This Row],[Year]],0),"")</f>
        <v>0</v>
      </c>
      <c r="F2471" s="456"/>
      <c r="G2471" s="456"/>
      <c r="H2471" s="456"/>
    </row>
    <row r="2472" spans="1:8">
      <c r="A2472" s="456">
        <v>3469</v>
      </c>
      <c r="B2472" s="469" t="s">
        <v>3718</v>
      </c>
      <c r="C2472" s="458"/>
      <c r="D2472" s="456">
        <f>IF(Table10[[#This Row],[Current Age]]&gt;19,"Men's",IF(E2472&gt;15,"U19",IF(E2472&gt;13,"U15",IF(E2472&gt;11,"U13",IF(E2472&gt;0,"U11",0)))))</f>
        <v>0</v>
      </c>
      <c r="E2472" s="456">
        <f>IFERROR(IF(Table10[[#This Row],[Year]]&gt;0,$E$1-Table10[[#This Row],[Year]],0),"")</f>
        <v>0</v>
      </c>
      <c r="F2472" s="456"/>
      <c r="G2472" s="456"/>
      <c r="H2472" s="456"/>
    </row>
    <row r="2473" spans="1:8">
      <c r="A2473" s="471">
        <v>3470</v>
      </c>
      <c r="B2473" s="493" t="s">
        <v>3719</v>
      </c>
      <c r="C2473" s="472"/>
      <c r="D2473" s="456">
        <f>IF(Table10[[#This Row],[Current Age]]&gt;19,"Men's",IF(E2473&gt;15,"U19",IF(E2473&gt;13,"U15",IF(E2473&gt;11,"U13",IF(E2473&gt;0,"U11",0)))))</f>
        <v>0</v>
      </c>
      <c r="E2473" s="456">
        <f>IFERROR(IF(Table10[[#This Row],[Year]]&gt;0,$E$1-Table10[[#This Row],[Year]],0),"")</f>
        <v>0</v>
      </c>
      <c r="F2473" s="456"/>
      <c r="G2473" s="456"/>
      <c r="H2473" s="456"/>
    </row>
    <row r="2474" spans="1:8">
      <c r="A2474" s="456">
        <v>3471</v>
      </c>
      <c r="B2474" s="469" t="s">
        <v>3720</v>
      </c>
      <c r="C2474" s="458" t="s">
        <v>244</v>
      </c>
      <c r="D2474" s="456" t="str">
        <f>IF(Table10[[#This Row],[Current Age]]&gt;19,"Men's",IF(E2474&gt;15,"U19",IF(E2474&gt;13,"U15",IF(E2474&gt;11,"U13",IF(E2474&gt;0,"U11",0)))))</f>
        <v>U15</v>
      </c>
      <c r="E2474" s="456">
        <f>IFERROR(IF(Table10[[#This Row],[Year]]&gt;0,$E$1-Table10[[#This Row],[Year]],0),"")</f>
        <v>14</v>
      </c>
      <c r="F2474" s="456">
        <v>2011</v>
      </c>
      <c r="G2474" s="456">
        <v>2</v>
      </c>
      <c r="H2474" s="456">
        <v>15</v>
      </c>
    </row>
    <row r="2475" spans="1:8">
      <c r="A2475" s="471">
        <v>3472</v>
      </c>
      <c r="B2475" s="493" t="s">
        <v>3721</v>
      </c>
      <c r="C2475" s="472"/>
      <c r="D2475" s="456">
        <f>IF(Table10[[#This Row],[Current Age]]&gt;19,"Men's",IF(E2475&gt;15,"U19",IF(E2475&gt;13,"U15",IF(E2475&gt;11,"U13",IF(E2475&gt;0,"U11",0)))))</f>
        <v>0</v>
      </c>
      <c r="E2475" s="456">
        <f>IFERROR(IF(Table10[[#This Row],[Year]]&gt;0,$E$1-Table10[[#This Row],[Year]],0),"")</f>
        <v>0</v>
      </c>
      <c r="F2475" s="456"/>
      <c r="G2475" s="456"/>
      <c r="H2475" s="456"/>
    </row>
    <row r="2476" spans="1:8">
      <c r="A2476" s="456">
        <v>3473</v>
      </c>
      <c r="B2476" s="469" t="s">
        <v>3722</v>
      </c>
      <c r="C2476" s="458" t="s">
        <v>243</v>
      </c>
      <c r="D2476" s="456">
        <f>IF(Table10[[#This Row],[Current Age]]&gt;19,"Men's",IF(E2476&gt;15,"U19",IF(E2476&gt;13,"U15",IF(E2476&gt;11,"U13",IF(E2476&gt;0,"U11",0)))))</f>
        <v>0</v>
      </c>
      <c r="E2476" s="456">
        <f>IFERROR(IF(Table10[[#This Row],[Year]]&gt;0,$E$1-Table10[[#This Row],[Year]],0),"")</f>
        <v>0</v>
      </c>
      <c r="F2476" s="456"/>
      <c r="G2476" s="456"/>
      <c r="H2476" s="456"/>
    </row>
    <row r="2477" spans="1:8">
      <c r="A2477" s="471">
        <v>3474</v>
      </c>
      <c r="B2477" s="493" t="s">
        <v>3726</v>
      </c>
      <c r="C2477" s="472"/>
      <c r="D2477" s="456">
        <f>IF(Table10[[#This Row],[Current Age]]&gt;19,"Men's",IF(E2477&gt;15,"U19",IF(E2477&gt;13,"U15",IF(E2477&gt;11,"U13",IF(E2477&gt;0,"U11",0)))))</f>
        <v>0</v>
      </c>
      <c r="E2477" s="456">
        <f>IFERROR(IF(Table10[[#This Row],[Year]]&gt;0,$E$1-Table10[[#This Row],[Year]],0),"")</f>
        <v>0</v>
      </c>
      <c r="F2477" s="456"/>
      <c r="G2477" s="456"/>
      <c r="H2477" s="456"/>
    </row>
    <row r="2478" spans="1:8">
      <c r="A2478" s="456">
        <v>3475</v>
      </c>
      <c r="B2478" s="469" t="s">
        <v>3727</v>
      </c>
      <c r="C2478" s="458" t="s">
        <v>244</v>
      </c>
      <c r="D2478" s="456">
        <f>IF(Table10[[#This Row],[Current Age]]&gt;19,"Men's",IF(E2478&gt;15,"U19",IF(E2478&gt;13,"U15",IF(E2478&gt;11,"U13",IF(E2478&gt;0,"U11",0)))))</f>
        <v>0</v>
      </c>
      <c r="E2478" s="456">
        <f>IFERROR(IF(Table10[[#This Row],[Year]]&gt;0,$E$1-Table10[[#This Row],[Year]],0),"")</f>
        <v>0</v>
      </c>
      <c r="F2478" s="456"/>
      <c r="G2478" s="456"/>
      <c r="H2478" s="456"/>
    </row>
    <row r="2479" spans="1:8">
      <c r="A2479" s="471">
        <v>3476</v>
      </c>
      <c r="B2479" s="493" t="s">
        <v>3593</v>
      </c>
      <c r="C2479" s="472" t="s">
        <v>251</v>
      </c>
      <c r="D2479" s="456" t="str">
        <f>IF(Table10[[#This Row],[Current Age]]&gt;19,"Men's",IF(E2479&gt;15,"U19",IF(E2479&gt;13,"U15",IF(E2479&gt;11,"U13",IF(E2479&gt;0,"U11",0)))))</f>
        <v>U15</v>
      </c>
      <c r="E2479" s="456">
        <f>IFERROR(IF(Table10[[#This Row],[Year]]&gt;0,$E$1-Table10[[#This Row],[Year]],0),"")</f>
        <v>14</v>
      </c>
      <c r="F2479" s="456">
        <v>2011</v>
      </c>
      <c r="G2479" s="456">
        <v>10</v>
      </c>
      <c r="H2479" s="456">
        <v>26</v>
      </c>
    </row>
    <row r="2480" spans="1:8">
      <c r="A2480" s="456">
        <v>3477</v>
      </c>
      <c r="B2480" s="469" t="s">
        <v>3730</v>
      </c>
      <c r="C2480" s="458" t="s">
        <v>244</v>
      </c>
      <c r="D2480" s="456">
        <f>IF(Table10[[#This Row],[Current Age]]&gt;19,"Men's",IF(E2480&gt;15,"U19",IF(E2480&gt;13,"U15",IF(E2480&gt;11,"U13",IF(E2480&gt;0,"U11",0)))))</f>
        <v>0</v>
      </c>
      <c r="E2480" s="456">
        <f>IFERROR(IF(Table10[[#This Row],[Year]]&gt;0,$E$1-Table10[[#This Row],[Year]],0),"")</f>
        <v>0</v>
      </c>
      <c r="F2480" s="456"/>
      <c r="G2480" s="456"/>
      <c r="H2480" s="456"/>
    </row>
    <row r="2481" spans="1:8">
      <c r="A2481" s="471">
        <v>3478</v>
      </c>
      <c r="B2481" s="493" t="s">
        <v>3731</v>
      </c>
      <c r="C2481" s="472" t="s">
        <v>244</v>
      </c>
      <c r="D2481" s="456">
        <f>IF(Table10[[#This Row],[Current Age]]&gt;19,"Men's",IF(E2481&gt;15,"U19",IF(E2481&gt;13,"U15",IF(E2481&gt;11,"U13",IF(E2481&gt;0,"U11",0)))))</f>
        <v>0</v>
      </c>
      <c r="E2481" s="456">
        <f>IFERROR(IF(Table10[[#This Row],[Year]]&gt;0,$E$1-Table10[[#This Row],[Year]],0),"")</f>
        <v>0</v>
      </c>
      <c r="F2481" s="456"/>
      <c r="G2481" s="456"/>
      <c r="H2481" s="456"/>
    </row>
    <row r="2482" spans="1:8">
      <c r="A2482" s="456">
        <v>3479</v>
      </c>
      <c r="B2482" s="469" t="s">
        <v>3641</v>
      </c>
      <c r="C2482" s="458" t="s">
        <v>251</v>
      </c>
      <c r="D2482" s="456">
        <f>IF(Table10[[#This Row],[Current Age]]&gt;19,"Men's",IF(E2482&gt;15,"U19",IF(E2482&gt;13,"U15",IF(E2482&gt;11,"U13",IF(E2482&gt;0,"U11",0)))))</f>
        <v>0</v>
      </c>
      <c r="E2482" s="456">
        <f>IFERROR(IF(Table10[[#This Row],[Year]]&gt;0,$E$1-Table10[[#This Row],[Year]],0),"")</f>
        <v>0</v>
      </c>
      <c r="F2482" s="456"/>
      <c r="G2482" s="456"/>
      <c r="H2482" s="456"/>
    </row>
    <row r="2483" spans="1:8">
      <c r="A2483" s="471">
        <v>3480</v>
      </c>
      <c r="B2483" s="493" t="s">
        <v>3732</v>
      </c>
      <c r="C2483" s="472" t="s">
        <v>244</v>
      </c>
      <c r="D2483" s="456">
        <f>IF(Table10[[#This Row],[Current Age]]&gt;19,"Men's",IF(E2483&gt;15,"U19",IF(E2483&gt;13,"U15",IF(E2483&gt;11,"U13",IF(E2483&gt;0,"U11",0)))))</f>
        <v>0</v>
      </c>
      <c r="E2483" s="456">
        <f>IFERROR(IF(Table10[[#This Row],[Year]]&gt;0,$E$1-Table10[[#This Row],[Year]],0),"")</f>
        <v>0</v>
      </c>
      <c r="F2483" s="456"/>
      <c r="G2483" s="456"/>
      <c r="H2483" s="456"/>
    </row>
    <row r="2484" spans="1:8">
      <c r="A2484" s="456">
        <v>3481</v>
      </c>
      <c r="B2484" s="469" t="s">
        <v>3736</v>
      </c>
      <c r="C2484" s="458" t="s">
        <v>4720</v>
      </c>
      <c r="D2484" s="456">
        <f>IF(Table10[[#This Row],[Current Age]]&gt;19,"Men's",IF(E2484&gt;15,"U19",IF(E2484&gt;13,"U15",IF(E2484&gt;11,"U13",IF(E2484&gt;0,"U11",0)))))</f>
        <v>0</v>
      </c>
      <c r="E2484" s="456">
        <f>IFERROR(IF(Table10[[#This Row],[Year]]&gt;0,$E$1-Table10[[#This Row],[Year]],0),"")</f>
        <v>0</v>
      </c>
      <c r="F2484" s="456"/>
      <c r="G2484" s="456"/>
      <c r="H2484" s="456"/>
    </row>
    <row r="2485" spans="1:8">
      <c r="A2485" s="471">
        <v>3482</v>
      </c>
      <c r="B2485" s="493" t="s">
        <v>3599</v>
      </c>
      <c r="C2485" s="472" t="s">
        <v>251</v>
      </c>
      <c r="D2485" s="456" t="str">
        <f>IF(Table10[[#This Row],[Current Age]]&gt;19,"Men's",IF(E2485&gt;15,"U19",IF(E2485&gt;13,"U15",IF(E2485&gt;11,"U13",IF(E2485&gt;0,"U11",0)))))</f>
        <v>U19</v>
      </c>
      <c r="E2485" s="456">
        <f>IFERROR(IF(Table10[[#This Row],[Year]]&gt;0,$E$1-Table10[[#This Row],[Year]],0),"")</f>
        <v>16</v>
      </c>
      <c r="F2485" s="456">
        <v>2009</v>
      </c>
      <c r="G2485" s="456">
        <v>5</v>
      </c>
      <c r="H2485" s="456">
        <v>17</v>
      </c>
    </row>
    <row r="2486" spans="1:8">
      <c r="A2486" s="456">
        <v>3483</v>
      </c>
      <c r="B2486" s="469" t="s">
        <v>3737</v>
      </c>
      <c r="C2486" s="458" t="s">
        <v>4720</v>
      </c>
      <c r="D2486" s="456">
        <f>IF(Table10[[#This Row],[Current Age]]&gt;19,"Men's",IF(E2486&gt;15,"U19",IF(E2486&gt;13,"U15",IF(E2486&gt;11,"U13",IF(E2486&gt;0,"U11",0)))))</f>
        <v>0</v>
      </c>
      <c r="E2486" s="456">
        <f>IFERROR(IF(Table10[[#This Row],[Year]]&gt;0,$E$1-Table10[[#This Row],[Year]],0),"")</f>
        <v>0</v>
      </c>
      <c r="F2486" s="456"/>
      <c r="G2486" s="456"/>
      <c r="H2486" s="456"/>
    </row>
    <row r="2487" spans="1:8">
      <c r="A2487" s="471">
        <v>3484</v>
      </c>
      <c r="B2487" s="493" t="s">
        <v>3738</v>
      </c>
      <c r="C2487" s="472" t="s">
        <v>243</v>
      </c>
      <c r="D2487" s="456">
        <f>IF(Table10[[#This Row],[Current Age]]&gt;19,"Men's",IF(E2487&gt;15,"U19",IF(E2487&gt;13,"U15",IF(E2487&gt;11,"U13",IF(E2487&gt;0,"U11",0)))))</f>
        <v>0</v>
      </c>
      <c r="E2487" s="456">
        <f>IFERROR(IF(Table10[[#This Row],[Year]]&gt;0,$E$1-Table10[[#This Row],[Year]],0),"")</f>
        <v>0</v>
      </c>
      <c r="F2487" s="456"/>
      <c r="G2487" s="456"/>
      <c r="H2487" s="456"/>
    </row>
    <row r="2488" spans="1:8">
      <c r="A2488" s="456">
        <v>3485</v>
      </c>
      <c r="B2488" s="469" t="s">
        <v>3739</v>
      </c>
      <c r="C2488" s="458" t="s">
        <v>244</v>
      </c>
      <c r="D2488" s="456">
        <f>IF(Table10[[#This Row],[Current Age]]&gt;19,"Men's",IF(E2488&gt;15,"U19",IF(E2488&gt;13,"U15",IF(E2488&gt;11,"U13",IF(E2488&gt;0,"U11",0)))))</f>
        <v>0</v>
      </c>
      <c r="E2488" s="456">
        <f>IFERROR(IF(Table10[[#This Row],[Year]]&gt;0,$E$1-Table10[[#This Row],[Year]],0),"")</f>
        <v>0</v>
      </c>
      <c r="F2488" s="456"/>
      <c r="G2488" s="456"/>
      <c r="H2488" s="456"/>
    </row>
    <row r="2489" spans="1:8">
      <c r="A2489" s="471">
        <v>3486</v>
      </c>
      <c r="B2489" s="493" t="s">
        <v>3740</v>
      </c>
      <c r="C2489" s="472" t="s">
        <v>4658</v>
      </c>
      <c r="D2489" s="456">
        <f>IF(Table10[[#This Row],[Current Age]]&gt;19,"Men's",IF(E2489&gt;15,"U19",IF(E2489&gt;13,"U15",IF(E2489&gt;11,"U13",IF(E2489&gt;0,"U11",0)))))</f>
        <v>0</v>
      </c>
      <c r="E2489" s="456">
        <f>IFERROR(IF(Table10[[#This Row],[Year]]&gt;0,$E$1-Table10[[#This Row],[Year]],0),"")</f>
        <v>0</v>
      </c>
      <c r="F2489" s="456"/>
      <c r="G2489" s="456"/>
      <c r="H2489" s="456"/>
    </row>
    <row r="2490" spans="1:8">
      <c r="A2490" s="456">
        <v>3487</v>
      </c>
      <c r="B2490" s="469" t="s">
        <v>3741</v>
      </c>
      <c r="C2490" s="458" t="s">
        <v>4720</v>
      </c>
      <c r="D2490" s="456">
        <f>IF(Table10[[#This Row],[Current Age]]&gt;19,"Men's",IF(E2490&gt;15,"U19",IF(E2490&gt;13,"U15",IF(E2490&gt;11,"U13",IF(E2490&gt;0,"U11",0)))))</f>
        <v>0</v>
      </c>
      <c r="E2490" s="456">
        <f>IFERROR(IF(Table10[[#This Row],[Year]]&gt;0,$E$1-Table10[[#This Row],[Year]],0),"")</f>
        <v>0</v>
      </c>
      <c r="F2490" s="456"/>
      <c r="G2490" s="456"/>
      <c r="H2490" s="456"/>
    </row>
    <row r="2491" spans="1:8">
      <c r="A2491" s="471">
        <v>3488</v>
      </c>
      <c r="B2491" s="493" t="s">
        <v>3742</v>
      </c>
      <c r="C2491" s="472" t="s">
        <v>244</v>
      </c>
      <c r="D2491" s="456">
        <f>IF(Table10[[#This Row],[Current Age]]&gt;19,"Men's",IF(E2491&gt;15,"U19",IF(E2491&gt;13,"U15",IF(E2491&gt;11,"U13",IF(E2491&gt;0,"U11",0)))))</f>
        <v>0</v>
      </c>
      <c r="E2491" s="456">
        <f>IFERROR(IF(Table10[[#This Row],[Year]]&gt;0,$E$1-Table10[[#This Row],[Year]],0),"")</f>
        <v>0</v>
      </c>
      <c r="F2491" s="456"/>
      <c r="G2491" s="456"/>
      <c r="H2491" s="456"/>
    </row>
    <row r="2492" spans="1:8">
      <c r="A2492" s="456">
        <v>3489</v>
      </c>
      <c r="B2492" s="469" t="s">
        <v>3743</v>
      </c>
      <c r="C2492" s="458" t="s">
        <v>4720</v>
      </c>
      <c r="D2492" s="456">
        <f>IF(Table10[[#This Row],[Current Age]]&gt;19,"Men's",IF(E2492&gt;15,"U19",IF(E2492&gt;13,"U15",IF(E2492&gt;11,"U13",IF(E2492&gt;0,"U11",0)))))</f>
        <v>0</v>
      </c>
      <c r="E2492" s="456">
        <f>IFERROR(IF(Table10[[#This Row],[Year]]&gt;0,$E$1-Table10[[#This Row],[Year]],0),"")</f>
        <v>0</v>
      </c>
      <c r="F2492" s="456"/>
      <c r="G2492" s="456"/>
      <c r="H2492" s="456"/>
    </row>
    <row r="2493" spans="1:8">
      <c r="A2493" s="471">
        <v>3490</v>
      </c>
      <c r="B2493" s="493" t="s">
        <v>3744</v>
      </c>
      <c r="C2493" s="472" t="s">
        <v>4720</v>
      </c>
      <c r="D2493" s="456">
        <f>IF(Table10[[#This Row],[Current Age]]&gt;19,"Men's",IF(E2493&gt;15,"U19",IF(E2493&gt;13,"U15",IF(E2493&gt;11,"U13",IF(E2493&gt;0,"U11",0)))))</f>
        <v>0</v>
      </c>
      <c r="E2493" s="456">
        <f>IFERROR(IF(Table10[[#This Row],[Year]]&gt;0,$E$1-Table10[[#This Row],[Year]],0),"")</f>
        <v>0</v>
      </c>
      <c r="F2493" s="456"/>
      <c r="G2493" s="456"/>
      <c r="H2493" s="456"/>
    </row>
    <row r="2494" spans="1:8">
      <c r="A2494" s="456">
        <v>3491</v>
      </c>
      <c r="B2494" s="469" t="s">
        <v>3745</v>
      </c>
      <c r="C2494" s="458" t="s">
        <v>4720</v>
      </c>
      <c r="D2494" s="456">
        <f>IF(Table10[[#This Row],[Current Age]]&gt;19,"Men's",IF(E2494&gt;15,"U19",IF(E2494&gt;13,"U15",IF(E2494&gt;11,"U13",IF(E2494&gt;0,"U11",0)))))</f>
        <v>0</v>
      </c>
      <c r="E2494" s="456">
        <f>IFERROR(IF(Table10[[#This Row],[Year]]&gt;0,$E$1-Table10[[#This Row],[Year]],0),"")</f>
        <v>0</v>
      </c>
      <c r="F2494" s="456"/>
      <c r="G2494" s="456"/>
      <c r="H2494" s="456"/>
    </row>
    <row r="2495" spans="1:8">
      <c r="A2495" s="471">
        <v>3492</v>
      </c>
      <c r="B2495" s="493" t="s">
        <v>3746</v>
      </c>
      <c r="C2495" s="472" t="s">
        <v>4720</v>
      </c>
      <c r="D2495" s="456">
        <f>IF(Table10[[#This Row],[Current Age]]&gt;19,"Men's",IF(E2495&gt;15,"U19",IF(E2495&gt;13,"U15",IF(E2495&gt;11,"U13",IF(E2495&gt;0,"U11",0)))))</f>
        <v>0</v>
      </c>
      <c r="E2495" s="456">
        <f>IFERROR(IF(Table10[[#This Row],[Year]]&gt;0,$E$1-Table10[[#This Row],[Year]],0),"")</f>
        <v>0</v>
      </c>
      <c r="F2495" s="456"/>
      <c r="G2495" s="456"/>
      <c r="H2495" s="456"/>
    </row>
    <row r="2496" spans="1:8">
      <c r="A2496" s="456">
        <v>3493</v>
      </c>
      <c r="B2496" s="469" t="s">
        <v>3747</v>
      </c>
      <c r="C2496" s="458" t="s">
        <v>1004</v>
      </c>
      <c r="D2496" s="456" t="str">
        <f>IF(Table10[[#This Row],[Current Age]]&gt;19,"Men's",IF(E2496&gt;15,"U19",IF(E2496&gt;13,"U15",IF(E2496&gt;11,"U13",IF(E2496&gt;0,"U11",0)))))</f>
        <v>Men's</v>
      </c>
      <c r="E2496" s="456">
        <f>IFERROR(IF(Table10[[#This Row],[Year]]&gt;0,$E$1-Table10[[#This Row],[Year]],0),"")</f>
        <v>27</v>
      </c>
      <c r="F2496" s="456">
        <v>1998</v>
      </c>
      <c r="G2496" s="456">
        <v>6</v>
      </c>
      <c r="H2496" s="456">
        <v>23</v>
      </c>
    </row>
    <row r="2497" spans="1:8">
      <c r="A2497" s="471">
        <v>3494</v>
      </c>
      <c r="B2497" s="493" t="s">
        <v>3748</v>
      </c>
      <c r="C2497" s="472" t="s">
        <v>244</v>
      </c>
      <c r="D2497" s="456">
        <f>IF(Table10[[#This Row],[Current Age]]&gt;19,"Men's",IF(E2497&gt;15,"U19",IF(E2497&gt;13,"U15",IF(E2497&gt;11,"U13",IF(E2497&gt;0,"U11",0)))))</f>
        <v>0</v>
      </c>
      <c r="E2497" s="456">
        <f>IFERROR(IF(Table10[[#This Row],[Year]]&gt;0,$E$1-Table10[[#This Row],[Year]],0),"")</f>
        <v>0</v>
      </c>
      <c r="F2497" s="456"/>
      <c r="G2497" s="456"/>
      <c r="H2497" s="456"/>
    </row>
    <row r="2498" spans="1:8">
      <c r="A2498" s="456">
        <v>3495</v>
      </c>
      <c r="B2498" s="469" t="s">
        <v>3749</v>
      </c>
      <c r="C2498" s="458" t="s">
        <v>244</v>
      </c>
      <c r="D2498" s="456">
        <f>IF(Table10[[#This Row],[Current Age]]&gt;19,"Men's",IF(E2498&gt;15,"U19",IF(E2498&gt;13,"U15",IF(E2498&gt;11,"U13",IF(E2498&gt;0,"U11",0)))))</f>
        <v>0</v>
      </c>
      <c r="E2498" s="456">
        <f>IFERROR(IF(Table10[[#This Row],[Year]]&gt;0,$E$1-Table10[[#This Row],[Year]],0),"")</f>
        <v>0</v>
      </c>
      <c r="F2498" s="456"/>
      <c r="G2498" s="456"/>
      <c r="H2498" s="456"/>
    </row>
    <row r="2499" spans="1:8">
      <c r="A2499" s="471">
        <v>3496</v>
      </c>
      <c r="B2499" s="493" t="s">
        <v>3752</v>
      </c>
      <c r="C2499" s="472" t="s">
        <v>4552</v>
      </c>
      <c r="D2499" s="456">
        <f>IF(Table10[[#This Row],[Current Age]]&gt;19,"Men's",IF(E2499&gt;15,"U19",IF(E2499&gt;13,"U15",IF(E2499&gt;11,"U13",IF(E2499&gt;0,"U11",0)))))</f>
        <v>0</v>
      </c>
      <c r="E2499" s="456">
        <f>IFERROR(IF(Table10[[#This Row],[Year]]&gt;0,$E$1-Table10[[#This Row],[Year]],0),"")</f>
        <v>0</v>
      </c>
      <c r="F2499" s="456"/>
      <c r="G2499" s="456"/>
      <c r="H2499" s="456"/>
    </row>
    <row r="2500" spans="1:8">
      <c r="A2500" s="456">
        <v>3497</v>
      </c>
      <c r="B2500" s="469" t="s">
        <v>3753</v>
      </c>
      <c r="C2500" s="458" t="s">
        <v>4552</v>
      </c>
      <c r="D2500" s="456">
        <f>IF(Table10[[#This Row],[Current Age]]&gt;19,"Men's",IF(E2500&gt;15,"U19",IF(E2500&gt;13,"U15",IF(E2500&gt;11,"U13",IF(E2500&gt;0,"U11",0)))))</f>
        <v>0</v>
      </c>
      <c r="E2500" s="456">
        <f>IFERROR(IF(Table10[[#This Row],[Year]]&gt;0,$E$1-Table10[[#This Row],[Year]],0),"")</f>
        <v>0</v>
      </c>
      <c r="F2500" s="456"/>
      <c r="G2500" s="456"/>
      <c r="H2500" s="456"/>
    </row>
    <row r="2501" spans="1:8">
      <c r="A2501" s="471">
        <v>3498</v>
      </c>
      <c r="B2501" s="493" t="s">
        <v>3754</v>
      </c>
      <c r="C2501" s="472" t="s">
        <v>243</v>
      </c>
      <c r="D2501" s="456">
        <f>IF(Table10[[#This Row],[Current Age]]&gt;19,"Men's",IF(E2501&gt;15,"U19",IF(E2501&gt;13,"U15",IF(E2501&gt;11,"U13",IF(E2501&gt;0,"U11",0)))))</f>
        <v>0</v>
      </c>
      <c r="E2501" s="456">
        <f>IFERROR(IF(Table10[[#This Row],[Year]]&gt;0,$E$1-Table10[[#This Row],[Year]],0),"")</f>
        <v>0</v>
      </c>
      <c r="F2501" s="456"/>
      <c r="G2501" s="456"/>
      <c r="H2501" s="456"/>
    </row>
    <row r="2502" spans="1:8">
      <c r="A2502" s="456">
        <v>3499</v>
      </c>
      <c r="B2502" s="469" t="s">
        <v>3755</v>
      </c>
      <c r="C2502" s="458" t="s">
        <v>243</v>
      </c>
      <c r="D2502" s="456">
        <f>IF(Table10[[#This Row],[Current Age]]&gt;19,"Men's",IF(E2502&gt;15,"U19",IF(E2502&gt;13,"U15",IF(E2502&gt;11,"U13",IF(E2502&gt;0,"U11",0)))))</f>
        <v>0</v>
      </c>
      <c r="E2502" s="456">
        <f>IFERROR(IF(Table10[[#This Row],[Year]]&gt;0,$E$1-Table10[[#This Row],[Year]],0),"")</f>
        <v>0</v>
      </c>
      <c r="F2502" s="456"/>
      <c r="G2502" s="456"/>
      <c r="H2502" s="456"/>
    </row>
    <row r="2503" spans="1:8">
      <c r="A2503" s="471">
        <v>3500</v>
      </c>
      <c r="B2503" s="493" t="s">
        <v>3756</v>
      </c>
      <c r="C2503" s="472" t="s">
        <v>243</v>
      </c>
      <c r="D2503" s="456">
        <f>IF(Table10[[#This Row],[Current Age]]&gt;19,"Men's",IF(E2503&gt;15,"U19",IF(E2503&gt;13,"U15",IF(E2503&gt;11,"U13",IF(E2503&gt;0,"U11",0)))))</f>
        <v>0</v>
      </c>
      <c r="E2503" s="456">
        <f>IFERROR(IF(Table10[[#This Row],[Year]]&gt;0,$E$1-Table10[[#This Row],[Year]],0),"")</f>
        <v>0</v>
      </c>
      <c r="F2503" s="456"/>
      <c r="G2503" s="456"/>
      <c r="H2503" s="456"/>
    </row>
    <row r="2504" spans="1:8">
      <c r="A2504" s="456">
        <v>3501</v>
      </c>
      <c r="B2504" s="469" t="s">
        <v>3757</v>
      </c>
      <c r="C2504" s="458" t="s">
        <v>4552</v>
      </c>
      <c r="D2504" s="456">
        <f>IF(Table10[[#This Row],[Current Age]]&gt;19,"Men's",IF(E2504&gt;15,"U19",IF(E2504&gt;13,"U15",IF(E2504&gt;11,"U13",IF(E2504&gt;0,"U11",0)))))</f>
        <v>0</v>
      </c>
      <c r="E2504" s="456">
        <f>IFERROR(IF(Table10[[#This Row],[Year]]&gt;0,$E$1-Table10[[#This Row],[Year]],0),"")</f>
        <v>0</v>
      </c>
      <c r="F2504" s="456"/>
      <c r="G2504" s="456"/>
      <c r="H2504" s="456"/>
    </row>
    <row r="2505" spans="1:8">
      <c r="A2505" s="471">
        <v>3502</v>
      </c>
      <c r="B2505" s="493" t="s">
        <v>3758</v>
      </c>
      <c r="C2505" s="472" t="s">
        <v>4552</v>
      </c>
      <c r="D2505" s="456">
        <f>IF(Table10[[#This Row],[Current Age]]&gt;19,"Men's",IF(E2505&gt;15,"U19",IF(E2505&gt;13,"U15",IF(E2505&gt;11,"U13",IF(E2505&gt;0,"U11",0)))))</f>
        <v>0</v>
      </c>
      <c r="E2505" s="456">
        <f>IFERROR(IF(Table10[[#This Row],[Year]]&gt;0,$E$1-Table10[[#This Row],[Year]],0),"")</f>
        <v>0</v>
      </c>
      <c r="F2505" s="456"/>
      <c r="G2505" s="456"/>
      <c r="H2505" s="456"/>
    </row>
    <row r="2506" spans="1:8">
      <c r="A2506" s="456">
        <v>3503</v>
      </c>
      <c r="B2506" s="469" t="s">
        <v>3759</v>
      </c>
      <c r="C2506" s="458" t="s">
        <v>4552</v>
      </c>
      <c r="D2506" s="456">
        <f>IF(Table10[[#This Row],[Current Age]]&gt;19,"Men's",IF(E2506&gt;15,"U19",IF(E2506&gt;13,"U15",IF(E2506&gt;11,"U13",IF(E2506&gt;0,"U11",0)))))</f>
        <v>0</v>
      </c>
      <c r="E2506" s="456">
        <f>IFERROR(IF(Table10[[#This Row],[Year]]&gt;0,$E$1-Table10[[#This Row],[Year]],0),"")</f>
        <v>0</v>
      </c>
      <c r="F2506" s="456"/>
      <c r="G2506" s="456"/>
      <c r="H2506" s="456"/>
    </row>
    <row r="2507" spans="1:8">
      <c r="A2507" s="471">
        <v>3504</v>
      </c>
      <c r="B2507" s="493" t="s">
        <v>3760</v>
      </c>
      <c r="C2507" s="472" t="s">
        <v>243</v>
      </c>
      <c r="D2507" s="456">
        <f>IF(Table10[[#This Row],[Current Age]]&gt;19,"Men's",IF(E2507&gt;15,"U19",IF(E2507&gt;13,"U15",IF(E2507&gt;11,"U13",IF(E2507&gt;0,"U11",0)))))</f>
        <v>0</v>
      </c>
      <c r="E2507" s="456">
        <f>IFERROR(IF(Table10[[#This Row],[Year]]&gt;0,$E$1-Table10[[#This Row],[Year]],0),"")</f>
        <v>0</v>
      </c>
      <c r="F2507" s="456"/>
      <c r="G2507" s="456"/>
      <c r="H2507" s="456"/>
    </row>
    <row r="2508" spans="1:8">
      <c r="A2508" s="456">
        <v>3505</v>
      </c>
      <c r="B2508" s="469" t="s">
        <v>3761</v>
      </c>
      <c r="C2508" s="458" t="s">
        <v>4552</v>
      </c>
      <c r="D2508" s="456">
        <f>IF(Table10[[#This Row],[Current Age]]&gt;19,"Men's",IF(E2508&gt;15,"U19",IF(E2508&gt;13,"U15",IF(E2508&gt;11,"U13",IF(E2508&gt;0,"U11",0)))))</f>
        <v>0</v>
      </c>
      <c r="E2508" s="456">
        <f>IFERROR(IF(Table10[[#This Row],[Year]]&gt;0,$E$1-Table10[[#This Row],[Year]],0),"")</f>
        <v>0</v>
      </c>
      <c r="F2508" s="456"/>
      <c r="G2508" s="456"/>
      <c r="H2508" s="456"/>
    </row>
    <row r="2509" spans="1:8">
      <c r="A2509" s="471">
        <v>3506</v>
      </c>
      <c r="B2509" s="493" t="s">
        <v>3763</v>
      </c>
      <c r="C2509" s="472" t="s">
        <v>243</v>
      </c>
      <c r="D2509" s="456">
        <f>IF(Table10[[#This Row],[Current Age]]&gt;19,"Men's",IF(E2509&gt;15,"U19",IF(E2509&gt;13,"U15",IF(E2509&gt;11,"U13",IF(E2509&gt;0,"U11",0)))))</f>
        <v>0</v>
      </c>
      <c r="E2509" s="456">
        <f>IFERROR(IF(Table10[[#This Row],[Year]]&gt;0,$E$1-Table10[[#This Row],[Year]],0),"")</f>
        <v>0</v>
      </c>
      <c r="F2509" s="456"/>
      <c r="G2509" s="456"/>
      <c r="H2509" s="456"/>
    </row>
    <row r="2510" spans="1:8">
      <c r="A2510" s="456">
        <v>3507</v>
      </c>
      <c r="B2510" s="469" t="s">
        <v>3764</v>
      </c>
      <c r="C2510" s="458" t="s">
        <v>243</v>
      </c>
      <c r="D2510" s="456">
        <f>IF(Table10[[#This Row],[Current Age]]&gt;19,"Men's",IF(E2510&gt;15,"U19",IF(E2510&gt;13,"U15",IF(E2510&gt;11,"U13",IF(E2510&gt;0,"U11",0)))))</f>
        <v>0</v>
      </c>
      <c r="E2510" s="456">
        <f>IFERROR(IF(Table10[[#This Row],[Year]]&gt;0,$E$1-Table10[[#This Row],[Year]],0),"")</f>
        <v>0</v>
      </c>
      <c r="F2510" s="456"/>
      <c r="G2510" s="456"/>
      <c r="H2510" s="456"/>
    </row>
    <row r="2511" spans="1:8">
      <c r="A2511" s="471">
        <v>3508</v>
      </c>
      <c r="B2511" s="493" t="s">
        <v>3769</v>
      </c>
      <c r="C2511" s="472" t="s">
        <v>4552</v>
      </c>
      <c r="D2511" s="456">
        <f>IF(Table10[[#This Row],[Current Age]]&gt;19,"Men's",IF(E2511&gt;15,"U19",IF(E2511&gt;13,"U15",IF(E2511&gt;11,"U13",IF(E2511&gt;0,"U11",0)))))</f>
        <v>0</v>
      </c>
      <c r="E2511" s="456">
        <f>IFERROR(IF(Table10[[#This Row],[Year]]&gt;0,$E$1-Table10[[#This Row],[Year]],0),"")</f>
        <v>0</v>
      </c>
      <c r="F2511" s="456"/>
      <c r="G2511" s="456"/>
      <c r="H2511" s="456"/>
    </row>
    <row r="2512" spans="1:8">
      <c r="A2512" s="456">
        <v>3509</v>
      </c>
      <c r="B2512" s="469" t="s">
        <v>3770</v>
      </c>
      <c r="C2512" s="458" t="s">
        <v>243</v>
      </c>
      <c r="D2512" s="456">
        <f>IF(Table10[[#This Row],[Current Age]]&gt;19,"Men's",IF(E2512&gt;15,"U19",IF(E2512&gt;13,"U15",IF(E2512&gt;11,"U13",IF(E2512&gt;0,"U11",0)))))</f>
        <v>0</v>
      </c>
      <c r="E2512" s="456">
        <f>IFERROR(IF(Table10[[#This Row],[Year]]&gt;0,$E$1-Table10[[#This Row],[Year]],0),"")</f>
        <v>0</v>
      </c>
      <c r="F2512" s="456"/>
      <c r="G2512" s="456"/>
      <c r="H2512" s="456"/>
    </row>
    <row r="2513" spans="1:8">
      <c r="A2513" s="471">
        <v>3510</v>
      </c>
      <c r="B2513" s="493" t="s">
        <v>3772</v>
      </c>
      <c r="C2513" s="472" t="s">
        <v>243</v>
      </c>
      <c r="D2513" s="456">
        <f>IF(Table10[[#This Row],[Current Age]]&gt;19,"Men's",IF(E2513&gt;15,"U19",IF(E2513&gt;13,"U15",IF(E2513&gt;11,"U13",IF(E2513&gt;0,"U11",0)))))</f>
        <v>0</v>
      </c>
      <c r="E2513" s="456">
        <f>IFERROR(IF(Table10[[#This Row],[Year]]&gt;0,$E$1-Table10[[#This Row],[Year]],0),"")</f>
        <v>0</v>
      </c>
      <c r="F2513" s="456"/>
      <c r="G2513" s="456"/>
      <c r="H2513" s="456"/>
    </row>
    <row r="2514" spans="1:8">
      <c r="A2514" s="456">
        <v>3511</v>
      </c>
      <c r="B2514" s="469" t="s">
        <v>3775</v>
      </c>
      <c r="C2514" s="458" t="s">
        <v>4552</v>
      </c>
      <c r="D2514" s="456">
        <f>IF(Table10[[#This Row],[Current Age]]&gt;19,"Men's",IF(E2514&gt;15,"U19",IF(E2514&gt;13,"U15",IF(E2514&gt;11,"U13",IF(E2514&gt;0,"U11",0)))))</f>
        <v>0</v>
      </c>
      <c r="E2514" s="456">
        <f>IFERROR(IF(Table10[[#This Row],[Year]]&gt;0,$E$1-Table10[[#This Row],[Year]],0),"")</f>
        <v>0</v>
      </c>
      <c r="F2514" s="456"/>
      <c r="G2514" s="456"/>
      <c r="H2514" s="456"/>
    </row>
    <row r="2515" spans="1:8">
      <c r="A2515" s="471">
        <v>3512</v>
      </c>
      <c r="B2515" s="493" t="s">
        <v>3776</v>
      </c>
      <c r="C2515" s="472" t="s">
        <v>4552</v>
      </c>
      <c r="D2515" s="456">
        <f>IF(Table10[[#This Row],[Current Age]]&gt;19,"Men's",IF(E2515&gt;15,"U19",IF(E2515&gt;13,"U15",IF(E2515&gt;11,"U13",IF(E2515&gt;0,"U11",0)))))</f>
        <v>0</v>
      </c>
      <c r="E2515" s="456">
        <f>IFERROR(IF(Table10[[#This Row],[Year]]&gt;0,$E$1-Table10[[#This Row],[Year]],0),"")</f>
        <v>0</v>
      </c>
      <c r="F2515" s="456"/>
      <c r="G2515" s="456"/>
      <c r="H2515" s="456"/>
    </row>
    <row r="2516" spans="1:8">
      <c r="A2516" s="456">
        <v>3513</v>
      </c>
      <c r="B2516" s="469" t="s">
        <v>3777</v>
      </c>
      <c r="C2516" s="458" t="s">
        <v>243</v>
      </c>
      <c r="D2516" s="456">
        <f>IF(Table10[[#This Row],[Current Age]]&gt;19,"Men's",IF(E2516&gt;15,"U19",IF(E2516&gt;13,"U15",IF(E2516&gt;11,"U13",IF(E2516&gt;0,"U11",0)))))</f>
        <v>0</v>
      </c>
      <c r="E2516" s="456">
        <f>IFERROR(IF(Table10[[#This Row],[Year]]&gt;0,$E$1-Table10[[#This Row],[Year]],0),"")</f>
        <v>0</v>
      </c>
      <c r="F2516" s="456"/>
      <c r="G2516" s="456"/>
      <c r="H2516" s="456"/>
    </row>
    <row r="2517" spans="1:8">
      <c r="A2517" s="471">
        <v>3514</v>
      </c>
      <c r="B2517" s="496" t="s">
        <v>3778</v>
      </c>
      <c r="C2517" s="472" t="s">
        <v>243</v>
      </c>
      <c r="D2517" s="456">
        <f>IF(Table10[[#This Row],[Current Age]]&gt;19,"Men's",IF(E2517&gt;15,"U19",IF(E2517&gt;13,"U15",IF(E2517&gt;11,"U13",IF(E2517&gt;0,"U11",0)))))</f>
        <v>0</v>
      </c>
      <c r="E2517" s="456">
        <f>IFERROR(IF(Table10[[#This Row],[Year]]&gt;0,$E$1-Table10[[#This Row],[Year]],0),"")</f>
        <v>0</v>
      </c>
      <c r="F2517" s="456"/>
      <c r="G2517" s="456"/>
      <c r="H2517" s="456"/>
    </row>
    <row r="2518" spans="1:8">
      <c r="A2518" s="456">
        <v>3515</v>
      </c>
      <c r="B2518" s="469" t="s">
        <v>3779</v>
      </c>
      <c r="C2518" s="458" t="s">
        <v>243</v>
      </c>
      <c r="D2518" s="456">
        <f>IF(Table10[[#This Row],[Current Age]]&gt;19,"Men's",IF(E2518&gt;15,"U19",IF(E2518&gt;13,"U15",IF(E2518&gt;11,"U13",IF(E2518&gt;0,"U11",0)))))</f>
        <v>0</v>
      </c>
      <c r="E2518" s="456">
        <f>IFERROR(IF(Table10[[#This Row],[Year]]&gt;0,$E$1-Table10[[#This Row],[Year]],0),"")</f>
        <v>0</v>
      </c>
      <c r="F2518" s="456"/>
      <c r="G2518" s="456"/>
      <c r="H2518" s="456"/>
    </row>
    <row r="2519" spans="1:8">
      <c r="A2519" s="471">
        <v>3516</v>
      </c>
      <c r="B2519" s="493" t="s">
        <v>3780</v>
      </c>
      <c r="C2519" s="472" t="s">
        <v>243</v>
      </c>
      <c r="D2519" s="456">
        <f>IF(Table10[[#This Row],[Current Age]]&gt;19,"Men's",IF(E2519&gt;15,"U19",IF(E2519&gt;13,"U15",IF(E2519&gt;11,"U13",IF(E2519&gt;0,"U11",0)))))</f>
        <v>0</v>
      </c>
      <c r="E2519" s="456">
        <f>IFERROR(IF(Table10[[#This Row],[Year]]&gt;0,$E$1-Table10[[#This Row],[Year]],0),"")</f>
        <v>0</v>
      </c>
      <c r="F2519" s="456"/>
      <c r="G2519" s="456"/>
      <c r="H2519" s="456"/>
    </row>
    <row r="2520" spans="1:8">
      <c r="A2520" s="456">
        <v>3517</v>
      </c>
      <c r="B2520" s="469" t="s">
        <v>3781</v>
      </c>
      <c r="C2520" s="458" t="s">
        <v>243</v>
      </c>
      <c r="D2520" s="456">
        <f>IF(Table10[[#This Row],[Current Age]]&gt;19,"Men's",IF(E2520&gt;15,"U19",IF(E2520&gt;13,"U15",IF(E2520&gt;11,"U13",IF(E2520&gt;0,"U11",0)))))</f>
        <v>0</v>
      </c>
      <c r="E2520" s="456">
        <f>IFERROR(IF(Table10[[#This Row],[Year]]&gt;0,$E$1-Table10[[#This Row],[Year]],0),"")</f>
        <v>0</v>
      </c>
      <c r="F2520" s="456"/>
      <c r="G2520" s="456"/>
      <c r="H2520" s="456"/>
    </row>
    <row r="2521" spans="1:8">
      <c r="A2521" s="471">
        <v>3518</v>
      </c>
      <c r="B2521" s="493" t="s">
        <v>3785</v>
      </c>
      <c r="C2521" s="472" t="s">
        <v>244</v>
      </c>
      <c r="D2521" s="456">
        <f>IF(Table10[[#This Row],[Current Age]]&gt;19,"Men's",IF(E2521&gt;15,"U19",IF(E2521&gt;13,"U15",IF(E2521&gt;11,"U13",IF(E2521&gt;0,"U11",0)))))</f>
        <v>0</v>
      </c>
      <c r="E2521" s="456">
        <f>IFERROR(IF(Table10[[#This Row],[Year]]&gt;0,$E$1-Table10[[#This Row],[Year]],0),"")</f>
        <v>0</v>
      </c>
      <c r="F2521" s="456"/>
      <c r="G2521" s="456"/>
      <c r="H2521" s="456"/>
    </row>
    <row r="2522" spans="1:8">
      <c r="A2522" s="456">
        <v>3519</v>
      </c>
      <c r="B2522" s="469" t="s">
        <v>3786</v>
      </c>
      <c r="C2522" s="458" t="s">
        <v>244</v>
      </c>
      <c r="D2522" s="456">
        <f>IF(Table10[[#This Row],[Current Age]]&gt;19,"Men's",IF(E2522&gt;15,"U19",IF(E2522&gt;13,"U15",IF(E2522&gt;11,"U13",IF(E2522&gt;0,"U11",0)))))</f>
        <v>0</v>
      </c>
      <c r="E2522" s="456">
        <f>IFERROR(IF(Table10[[#This Row],[Year]]&gt;0,$E$1-Table10[[#This Row],[Year]],0),"")</f>
        <v>0</v>
      </c>
      <c r="F2522" s="456"/>
      <c r="G2522" s="456"/>
      <c r="H2522" s="456"/>
    </row>
    <row r="2523" spans="1:8">
      <c r="A2523" s="471">
        <v>3520</v>
      </c>
      <c r="B2523" s="493" t="s">
        <v>3787</v>
      </c>
      <c r="C2523" s="472" t="s">
        <v>251</v>
      </c>
      <c r="D2523" s="456">
        <f>IF(Table10[[#This Row],[Current Age]]&gt;19,"Men's",IF(E2523&gt;15,"U19",IF(E2523&gt;13,"U15",IF(E2523&gt;11,"U13",IF(E2523&gt;0,"U11",0)))))</f>
        <v>0</v>
      </c>
      <c r="E2523" s="456">
        <f>IFERROR(IF(Table10[[#This Row],[Year]]&gt;0,$E$1-Table10[[#This Row],[Year]],0),"")</f>
        <v>0</v>
      </c>
      <c r="F2523" s="456"/>
      <c r="G2523" s="456"/>
      <c r="H2523" s="456"/>
    </row>
    <row r="2524" spans="1:8">
      <c r="A2524" s="456">
        <v>3521</v>
      </c>
      <c r="B2524" s="469" t="s">
        <v>3788</v>
      </c>
      <c r="C2524" s="458" t="s">
        <v>251</v>
      </c>
      <c r="D2524" s="456">
        <f>IF(Table10[[#This Row],[Current Age]]&gt;19,"Men's",IF(E2524&gt;15,"U19",IF(E2524&gt;13,"U15",IF(E2524&gt;11,"U13",IF(E2524&gt;0,"U11",0)))))</f>
        <v>0</v>
      </c>
      <c r="E2524" s="456">
        <f>IFERROR(IF(Table10[[#This Row],[Year]]&gt;0,$E$1-Table10[[#This Row],[Year]],0),"")</f>
        <v>0</v>
      </c>
      <c r="F2524" s="456"/>
      <c r="G2524" s="456"/>
      <c r="H2524" s="456"/>
    </row>
    <row r="2525" spans="1:8">
      <c r="A2525" s="471">
        <v>3522</v>
      </c>
      <c r="B2525" s="493" t="s">
        <v>3789</v>
      </c>
      <c r="C2525" s="472" t="s">
        <v>251</v>
      </c>
      <c r="D2525" s="456">
        <f>IF(Table10[[#This Row],[Current Age]]&gt;19,"Men's",IF(E2525&gt;15,"U19",IF(E2525&gt;13,"U15",IF(E2525&gt;11,"U13",IF(E2525&gt;0,"U11",0)))))</f>
        <v>0</v>
      </c>
      <c r="E2525" s="456">
        <f>IFERROR(IF(Table10[[#This Row],[Year]]&gt;0,$E$1-Table10[[#This Row],[Year]],0),"")</f>
        <v>0</v>
      </c>
      <c r="F2525" s="456"/>
      <c r="G2525" s="456"/>
      <c r="H2525" s="456"/>
    </row>
    <row r="2526" spans="1:8">
      <c r="A2526" s="456">
        <v>3523</v>
      </c>
      <c r="B2526" s="469" t="s">
        <v>3791</v>
      </c>
      <c r="C2526" s="458" t="s">
        <v>251</v>
      </c>
      <c r="D2526" s="456">
        <f>IF(Table10[[#This Row],[Current Age]]&gt;19,"Men's",IF(E2526&gt;15,"U19",IF(E2526&gt;13,"U15",IF(E2526&gt;11,"U13",IF(E2526&gt;0,"U11",0)))))</f>
        <v>0</v>
      </c>
      <c r="E2526" s="456">
        <f>IFERROR(IF(Table10[[#This Row],[Year]]&gt;0,$E$1-Table10[[#This Row],[Year]],0),"")</f>
        <v>0</v>
      </c>
      <c r="F2526" s="456"/>
      <c r="G2526" s="456"/>
      <c r="H2526" s="456"/>
    </row>
    <row r="2527" spans="1:8">
      <c r="A2527" s="471">
        <v>3524</v>
      </c>
      <c r="B2527" s="493" t="s">
        <v>3792</v>
      </c>
      <c r="C2527" s="472" t="s">
        <v>762</v>
      </c>
      <c r="D2527" s="456">
        <f>IF(Table10[[#This Row],[Current Age]]&gt;19,"Men's",IF(E2527&gt;15,"U19",IF(E2527&gt;13,"U15",IF(E2527&gt;11,"U13",IF(E2527&gt;0,"U11",0)))))</f>
        <v>0</v>
      </c>
      <c r="E2527" s="456">
        <f>IFERROR(IF(Table10[[#This Row],[Year]]&gt;0,$E$1-Table10[[#This Row],[Year]],0),"")</f>
        <v>0</v>
      </c>
      <c r="F2527" s="456"/>
      <c r="G2527" s="456"/>
      <c r="H2527" s="456"/>
    </row>
    <row r="2528" spans="1:8">
      <c r="A2528" s="456">
        <v>3525</v>
      </c>
      <c r="B2528" s="469" t="s">
        <v>3794</v>
      </c>
      <c r="C2528" s="458" t="s">
        <v>251</v>
      </c>
      <c r="D2528" s="456">
        <f>IF(Table10[[#This Row],[Current Age]]&gt;19,"Men's",IF(E2528&gt;15,"U19",IF(E2528&gt;13,"U15",IF(E2528&gt;11,"U13",IF(E2528&gt;0,"U11",0)))))</f>
        <v>0</v>
      </c>
      <c r="E2528" s="456">
        <f>IFERROR(IF(Table10[[#This Row],[Year]]&gt;0,$E$1-Table10[[#This Row],[Year]],0),"")</f>
        <v>0</v>
      </c>
      <c r="F2528" s="456"/>
      <c r="G2528" s="456"/>
      <c r="H2528" s="456"/>
    </row>
    <row r="2529" spans="1:8">
      <c r="A2529" s="471">
        <v>3526</v>
      </c>
      <c r="B2529" s="493" t="s">
        <v>3795</v>
      </c>
      <c r="C2529" s="472" t="s">
        <v>251</v>
      </c>
      <c r="D2529" s="456">
        <f>IF(Table10[[#This Row],[Current Age]]&gt;19,"Men's",IF(E2529&gt;15,"U19",IF(E2529&gt;13,"U15",IF(E2529&gt;11,"U13",IF(E2529&gt;0,"U11",0)))))</f>
        <v>0</v>
      </c>
      <c r="E2529" s="456">
        <f>IFERROR(IF(Table10[[#This Row],[Year]]&gt;0,$E$1-Table10[[#This Row],[Year]],0),"")</f>
        <v>0</v>
      </c>
      <c r="F2529" s="456"/>
      <c r="G2529" s="456"/>
      <c r="H2529" s="456"/>
    </row>
    <row r="2530" spans="1:8">
      <c r="A2530" s="456">
        <v>3527</v>
      </c>
      <c r="B2530" s="469" t="s">
        <v>3796</v>
      </c>
      <c r="C2530" s="458" t="s">
        <v>251</v>
      </c>
      <c r="D2530" s="456">
        <f>IF(Table10[[#This Row],[Current Age]]&gt;19,"Men's",IF(E2530&gt;15,"U19",IF(E2530&gt;13,"U15",IF(E2530&gt;11,"U13",IF(E2530&gt;0,"U11",0)))))</f>
        <v>0</v>
      </c>
      <c r="E2530" s="456">
        <f>IFERROR(IF(Table10[[#This Row],[Year]]&gt;0,$E$1-Table10[[#This Row],[Year]],0),"")</f>
        <v>0</v>
      </c>
      <c r="F2530" s="456"/>
      <c r="G2530" s="456"/>
      <c r="H2530" s="456"/>
    </row>
    <row r="2531" spans="1:8">
      <c r="A2531" s="471">
        <v>3528</v>
      </c>
      <c r="B2531" s="493" t="s">
        <v>3797</v>
      </c>
      <c r="C2531" s="472" t="s">
        <v>762</v>
      </c>
      <c r="D2531" s="456">
        <f>IF(Table10[[#This Row],[Current Age]]&gt;19,"Men's",IF(E2531&gt;15,"U19",IF(E2531&gt;13,"U15",IF(E2531&gt;11,"U13",IF(E2531&gt;0,"U11",0)))))</f>
        <v>0</v>
      </c>
      <c r="E2531" s="456">
        <f>IFERROR(IF(Table10[[#This Row],[Year]]&gt;0,$E$1-Table10[[#This Row],[Year]],0),"")</f>
        <v>0</v>
      </c>
      <c r="F2531" s="456"/>
      <c r="G2531" s="456"/>
      <c r="H2531" s="456"/>
    </row>
    <row r="2532" spans="1:8">
      <c r="A2532" s="456">
        <v>3529</v>
      </c>
      <c r="B2532" s="469" t="s">
        <v>3798</v>
      </c>
      <c r="C2532" s="458" t="s">
        <v>4720</v>
      </c>
      <c r="D2532" s="456">
        <f>IF(Table10[[#This Row],[Current Age]]&gt;19,"Men's",IF(E2532&gt;15,"U19",IF(E2532&gt;13,"U15",IF(E2532&gt;11,"U13",IF(E2532&gt;0,"U11",0)))))</f>
        <v>0</v>
      </c>
      <c r="E2532" s="456">
        <f>IFERROR(IF(Table10[[#This Row],[Year]]&gt;0,$E$1-Table10[[#This Row],[Year]],0),"")</f>
        <v>0</v>
      </c>
      <c r="F2532" s="456"/>
      <c r="G2532" s="456"/>
      <c r="H2532" s="456"/>
    </row>
    <row r="2533" spans="1:8">
      <c r="A2533" s="471">
        <v>3530</v>
      </c>
      <c r="B2533" s="493" t="s">
        <v>3799</v>
      </c>
      <c r="C2533" s="472" t="s">
        <v>251</v>
      </c>
      <c r="D2533" s="456" t="str">
        <f>IF(Table10[[#This Row],[Current Age]]&gt;19,"Men's",IF(E2533&gt;15,"U19",IF(E2533&gt;13,"U15",IF(E2533&gt;11,"U13",IF(E2533&gt;0,"U11",0)))))</f>
        <v>U19</v>
      </c>
      <c r="E2533" s="456">
        <f>IFERROR(IF(Table10[[#This Row],[Year]]&gt;0,$E$1-Table10[[#This Row],[Year]],0),"")</f>
        <v>18</v>
      </c>
      <c r="F2533" s="456">
        <v>2007</v>
      </c>
      <c r="G2533" s="456">
        <v>1</v>
      </c>
      <c r="H2533" s="456">
        <v>25</v>
      </c>
    </row>
    <row r="2534" spans="1:8">
      <c r="A2534" s="456">
        <v>3531</v>
      </c>
      <c r="B2534" s="469" t="s">
        <v>3800</v>
      </c>
      <c r="C2534" s="458" t="s">
        <v>251</v>
      </c>
      <c r="D2534" s="456">
        <f>IF(Table10[[#This Row],[Current Age]]&gt;19,"Men's",IF(E2534&gt;15,"U19",IF(E2534&gt;13,"U15",IF(E2534&gt;11,"U13",IF(E2534&gt;0,"U11",0)))))</f>
        <v>0</v>
      </c>
      <c r="E2534" s="456">
        <f>IFERROR(IF(Table10[[#This Row],[Year]]&gt;0,$E$1-Table10[[#This Row],[Year]],0),"")</f>
        <v>0</v>
      </c>
      <c r="F2534" s="456"/>
      <c r="G2534" s="456"/>
      <c r="H2534" s="456"/>
    </row>
    <row r="2535" spans="1:8">
      <c r="A2535" s="471">
        <v>3532</v>
      </c>
      <c r="B2535" s="493" t="s">
        <v>3801</v>
      </c>
      <c r="C2535" s="472" t="s">
        <v>251</v>
      </c>
      <c r="D2535" s="456">
        <f>IF(Table10[[#This Row],[Current Age]]&gt;19,"Men's",IF(E2535&gt;15,"U19",IF(E2535&gt;13,"U15",IF(E2535&gt;11,"U13",IF(E2535&gt;0,"U11",0)))))</f>
        <v>0</v>
      </c>
      <c r="E2535" s="456">
        <f>IFERROR(IF(Table10[[#This Row],[Year]]&gt;0,$E$1-Table10[[#This Row],[Year]],0),"")</f>
        <v>0</v>
      </c>
      <c r="F2535" s="456"/>
      <c r="G2535" s="456"/>
      <c r="H2535" s="456"/>
    </row>
    <row r="2536" spans="1:8">
      <c r="A2536" s="456">
        <v>3533</v>
      </c>
      <c r="B2536" s="469" t="s">
        <v>3802</v>
      </c>
      <c r="C2536" s="458" t="s">
        <v>251</v>
      </c>
      <c r="D2536" s="456">
        <f>IF(Table10[[#This Row],[Current Age]]&gt;19,"Men's",IF(E2536&gt;15,"U19",IF(E2536&gt;13,"U15",IF(E2536&gt;11,"U13",IF(E2536&gt;0,"U11",0)))))</f>
        <v>0</v>
      </c>
      <c r="E2536" s="456">
        <f>IFERROR(IF(Table10[[#This Row],[Year]]&gt;0,$E$1-Table10[[#This Row],[Year]],0),"")</f>
        <v>0</v>
      </c>
      <c r="F2536" s="456"/>
      <c r="G2536" s="456"/>
      <c r="H2536" s="456"/>
    </row>
    <row r="2537" spans="1:8">
      <c r="A2537" s="471">
        <v>3534</v>
      </c>
      <c r="B2537" s="493" t="s">
        <v>3803</v>
      </c>
      <c r="C2537" s="472" t="s">
        <v>3793</v>
      </c>
      <c r="D2537" s="456">
        <f>IF(Table10[[#This Row],[Current Age]]&gt;19,"Men's",IF(E2537&gt;15,"U19",IF(E2537&gt;13,"U15",IF(E2537&gt;11,"U13",IF(E2537&gt;0,"U11",0)))))</f>
        <v>0</v>
      </c>
      <c r="E2537" s="456">
        <f>IFERROR(IF(Table10[[#This Row],[Year]]&gt;0,$E$1-Table10[[#This Row],[Year]],0),"")</f>
        <v>0</v>
      </c>
      <c r="F2537" s="456"/>
      <c r="G2537" s="456"/>
      <c r="H2537" s="456"/>
    </row>
    <row r="2538" spans="1:8">
      <c r="A2538" s="456">
        <v>3535</v>
      </c>
      <c r="B2538" s="469" t="s">
        <v>3804</v>
      </c>
      <c r="C2538" s="458" t="s">
        <v>762</v>
      </c>
      <c r="D2538" s="456">
        <f>IF(Table10[[#This Row],[Current Age]]&gt;19,"Men's",IF(E2538&gt;15,"U19",IF(E2538&gt;13,"U15",IF(E2538&gt;11,"U13",IF(E2538&gt;0,"U11",0)))))</f>
        <v>0</v>
      </c>
      <c r="E2538" s="456">
        <f>IFERROR(IF(Table10[[#This Row],[Year]]&gt;0,$E$1-Table10[[#This Row],[Year]],0),"")</f>
        <v>0</v>
      </c>
      <c r="F2538" s="456"/>
      <c r="G2538" s="456"/>
      <c r="H2538" s="456"/>
    </row>
    <row r="2539" spans="1:8">
      <c r="A2539" s="471">
        <v>3536</v>
      </c>
      <c r="B2539" s="493" t="s">
        <v>3805</v>
      </c>
      <c r="C2539" s="472" t="s">
        <v>246</v>
      </c>
      <c r="D2539" s="456" t="str">
        <f>IF(Table10[[#This Row],[Current Age]]&gt;19,"Men's",IF(E2539&gt;15,"U19",IF(E2539&gt;13,"U15",IF(E2539&gt;11,"U13",IF(E2539&gt;0,"U11",0)))))</f>
        <v>Men's</v>
      </c>
      <c r="E2539" s="456">
        <f>IFERROR(IF(Table10[[#This Row],[Year]]&gt;0,$E$1-Table10[[#This Row],[Year]],0),"")</f>
        <v>51</v>
      </c>
      <c r="F2539" s="456">
        <v>1974</v>
      </c>
      <c r="G2539" s="456">
        <v>9</v>
      </c>
      <c r="H2539" s="456">
        <v>19</v>
      </c>
    </row>
    <row r="2540" spans="1:8">
      <c r="A2540" s="456">
        <v>3537</v>
      </c>
      <c r="B2540" s="469" t="s">
        <v>3806</v>
      </c>
      <c r="C2540" s="458" t="s">
        <v>3793</v>
      </c>
      <c r="D2540" s="456">
        <f>IF(Table10[[#This Row],[Current Age]]&gt;19,"Men's",IF(E2540&gt;15,"U19",IF(E2540&gt;13,"U15",IF(E2540&gt;11,"U13",IF(E2540&gt;0,"U11",0)))))</f>
        <v>0</v>
      </c>
      <c r="E2540" s="456">
        <f>IFERROR(IF(Table10[[#This Row],[Year]]&gt;0,$E$1-Table10[[#This Row],[Year]],0),"")</f>
        <v>0</v>
      </c>
      <c r="F2540" s="456"/>
      <c r="G2540" s="456"/>
      <c r="H2540" s="456"/>
    </row>
    <row r="2541" spans="1:8">
      <c r="A2541" s="471">
        <v>3538</v>
      </c>
      <c r="B2541" s="493" t="s">
        <v>3807</v>
      </c>
      <c r="C2541" s="472" t="s">
        <v>251</v>
      </c>
      <c r="D2541" s="456">
        <f>IF(Table10[[#This Row],[Current Age]]&gt;19,"Men's",IF(E2541&gt;15,"U19",IF(E2541&gt;13,"U15",IF(E2541&gt;11,"U13",IF(E2541&gt;0,"U11",0)))))</f>
        <v>0</v>
      </c>
      <c r="E2541" s="456">
        <f>IFERROR(IF(Table10[[#This Row],[Year]]&gt;0,$E$1-Table10[[#This Row],[Year]],0),"")</f>
        <v>0</v>
      </c>
      <c r="F2541" s="456"/>
      <c r="G2541" s="456"/>
      <c r="H2541" s="456"/>
    </row>
    <row r="2542" spans="1:8">
      <c r="A2542" s="456">
        <v>3539</v>
      </c>
      <c r="B2542" s="469" t="s">
        <v>3808</v>
      </c>
      <c r="C2542" s="458" t="s">
        <v>251</v>
      </c>
      <c r="D2542" s="456" t="str">
        <f>IF(Table10[[#This Row],[Current Age]]&gt;19,"Men's",IF(E2542&gt;15,"U19",IF(E2542&gt;13,"U15",IF(E2542&gt;11,"U13",IF(E2542&gt;0,"U11",0)))))</f>
        <v>Men's</v>
      </c>
      <c r="E2542" s="456">
        <f>IFERROR(IF(Table10[[#This Row],[Year]]&gt;0,$E$1-Table10[[#This Row],[Year]],0),"")</f>
        <v>54</v>
      </c>
      <c r="F2542" s="456">
        <v>1971</v>
      </c>
      <c r="G2542" s="456">
        <v>3</v>
      </c>
      <c r="H2542" s="456">
        <v>1</v>
      </c>
    </row>
    <row r="2543" spans="1:8">
      <c r="A2543" s="471">
        <v>3540</v>
      </c>
      <c r="B2543" s="493" t="s">
        <v>3809</v>
      </c>
      <c r="C2543" s="472" t="s">
        <v>762</v>
      </c>
      <c r="D2543" s="456">
        <f>IF(Table10[[#This Row],[Current Age]]&gt;19,"Men's",IF(E2543&gt;15,"U19",IF(E2543&gt;13,"U15",IF(E2543&gt;11,"U13",IF(E2543&gt;0,"U11",0)))))</f>
        <v>0</v>
      </c>
      <c r="E2543" s="456">
        <f>IFERROR(IF(Table10[[#This Row],[Year]]&gt;0,$E$1-Table10[[#This Row],[Year]],0),"")</f>
        <v>0</v>
      </c>
      <c r="F2543" s="456"/>
      <c r="G2543" s="456"/>
      <c r="H2543" s="456"/>
    </row>
    <row r="2544" spans="1:8">
      <c r="A2544" s="456">
        <v>3541</v>
      </c>
      <c r="B2544" s="469" t="s">
        <v>3810</v>
      </c>
      <c r="C2544" s="458" t="s">
        <v>251</v>
      </c>
      <c r="D2544" s="456">
        <f>IF(Table10[[#This Row],[Current Age]]&gt;19,"Men's",IF(E2544&gt;15,"U19",IF(E2544&gt;13,"U15",IF(E2544&gt;11,"U13",IF(E2544&gt;0,"U11",0)))))</f>
        <v>0</v>
      </c>
      <c r="E2544" s="456">
        <f>IFERROR(IF(Table10[[#This Row],[Year]]&gt;0,$E$1-Table10[[#This Row],[Year]],0),"")</f>
        <v>0</v>
      </c>
      <c r="F2544" s="456"/>
      <c r="G2544" s="456"/>
      <c r="H2544" s="456"/>
    </row>
    <row r="2545" spans="1:8">
      <c r="A2545" s="471">
        <v>3542</v>
      </c>
      <c r="B2545" s="493" t="s">
        <v>3819</v>
      </c>
      <c r="C2545" s="472" t="s">
        <v>251</v>
      </c>
      <c r="D2545" s="456">
        <f>IF(Table10[[#This Row],[Current Age]]&gt;19,"Men's",IF(E2545&gt;15,"U19",IF(E2545&gt;13,"U15",IF(E2545&gt;11,"U13",IF(E2545&gt;0,"U11",0)))))</f>
        <v>0</v>
      </c>
      <c r="E2545" s="456">
        <f>IFERROR(IF(Table10[[#This Row],[Year]]&gt;0,$E$1-Table10[[#This Row],[Year]],0),"")</f>
        <v>0</v>
      </c>
      <c r="F2545" s="456"/>
      <c r="G2545" s="456"/>
      <c r="H2545" s="456"/>
    </row>
    <row r="2546" spans="1:8">
      <c r="A2546" s="456">
        <v>3543</v>
      </c>
      <c r="B2546" s="469" t="s">
        <v>3823</v>
      </c>
      <c r="C2546" s="458" t="s">
        <v>361</v>
      </c>
      <c r="D2546" s="456">
        <f>IF(Table10[[#This Row],[Current Age]]&gt;19,"Men's",IF(E2546&gt;15,"U19",IF(E2546&gt;13,"U15",IF(E2546&gt;11,"U13",IF(E2546&gt;0,"U11",0)))))</f>
        <v>0</v>
      </c>
      <c r="E2546" s="456">
        <f>IFERROR(IF(Table10[[#This Row],[Year]]&gt;0,$E$1-Table10[[#This Row],[Year]],0),"")</f>
        <v>0</v>
      </c>
      <c r="F2546" s="456"/>
      <c r="G2546" s="456"/>
      <c r="H2546" s="456"/>
    </row>
    <row r="2547" spans="1:8">
      <c r="A2547" s="471">
        <v>3544</v>
      </c>
      <c r="B2547" s="493" t="s">
        <v>3824</v>
      </c>
      <c r="C2547" s="472" t="s">
        <v>251</v>
      </c>
      <c r="D2547" s="456">
        <f>IF(Table10[[#This Row],[Current Age]]&gt;19,"Men's",IF(E2547&gt;15,"U19",IF(E2547&gt;13,"U15",IF(E2547&gt;11,"U13",IF(E2547&gt;0,"U11",0)))))</f>
        <v>0</v>
      </c>
      <c r="E2547" s="456">
        <f>IFERROR(IF(Table10[[#This Row],[Year]]&gt;0,$E$1-Table10[[#This Row],[Year]],0),"")</f>
        <v>0</v>
      </c>
      <c r="F2547" s="456"/>
      <c r="G2547" s="456"/>
      <c r="H2547" s="456"/>
    </row>
    <row r="2548" spans="1:8">
      <c r="A2548" s="456">
        <v>3545</v>
      </c>
      <c r="B2548" s="469" t="s">
        <v>3825</v>
      </c>
      <c r="C2548" s="458" t="s">
        <v>251</v>
      </c>
      <c r="D2548" s="456" t="str">
        <f>IF(Table10[[#This Row],[Current Age]]&gt;19,"Men's",IF(E2548&gt;15,"U19",IF(E2548&gt;13,"U15",IF(E2548&gt;11,"U13",IF(E2548&gt;0,"U11",0)))))</f>
        <v>U19</v>
      </c>
      <c r="E2548" s="456">
        <f>IFERROR(IF(Table10[[#This Row],[Year]]&gt;0,$E$1-Table10[[#This Row],[Year]],0),"")</f>
        <v>17</v>
      </c>
      <c r="F2548" s="456">
        <v>2008</v>
      </c>
      <c r="G2548" s="456">
        <v>4</v>
      </c>
      <c r="H2548" s="456">
        <v>15</v>
      </c>
    </row>
    <row r="2549" spans="1:8">
      <c r="A2549" s="471">
        <v>3546</v>
      </c>
      <c r="B2549" s="493" t="s">
        <v>3826</v>
      </c>
      <c r="C2549" s="472" t="s">
        <v>251</v>
      </c>
      <c r="D2549" s="456">
        <f>IF(Table10[[#This Row],[Current Age]]&gt;19,"Men's",IF(E2549&gt;15,"U19",IF(E2549&gt;13,"U15",IF(E2549&gt;11,"U13",IF(E2549&gt;0,"U11",0)))))</f>
        <v>0</v>
      </c>
      <c r="E2549" s="456">
        <f>IFERROR(IF(Table10[[#This Row],[Year]]&gt;0,$E$1-Table10[[#This Row],[Year]],0),"")</f>
        <v>0</v>
      </c>
      <c r="F2549" s="456"/>
      <c r="G2549" s="456"/>
      <c r="H2549" s="456"/>
    </row>
    <row r="2550" spans="1:8">
      <c r="A2550" s="456">
        <v>3547</v>
      </c>
      <c r="B2550" s="469" t="s">
        <v>3827</v>
      </c>
      <c r="C2550" s="458" t="s">
        <v>251</v>
      </c>
      <c r="D2550" s="456" t="str">
        <f>IF(Table10[[#This Row],[Current Age]]&gt;19,"Men's",IF(E2550&gt;15,"U19",IF(E2550&gt;13,"U15",IF(E2550&gt;11,"U13",IF(E2550&gt;0,"U11",0)))))</f>
        <v>U19</v>
      </c>
      <c r="E2550" s="456">
        <f>IFERROR(IF(Table10[[#This Row],[Year]]&gt;0,$E$1-Table10[[#This Row],[Year]],0),"")</f>
        <v>17</v>
      </c>
      <c r="F2550" s="456">
        <v>2008</v>
      </c>
      <c r="G2550" s="456">
        <v>12</v>
      </c>
      <c r="H2550" s="456">
        <v>2</v>
      </c>
    </row>
    <row r="2551" spans="1:8">
      <c r="A2551" s="471">
        <v>3548</v>
      </c>
      <c r="B2551" s="493" t="s">
        <v>3828</v>
      </c>
      <c r="C2551" s="472" t="s">
        <v>762</v>
      </c>
      <c r="D2551" s="456">
        <f>IF(Table10[[#This Row],[Current Age]]&gt;19,"Men's",IF(E2551&gt;15,"U19",IF(E2551&gt;13,"U15",IF(E2551&gt;11,"U13",IF(E2551&gt;0,"U11",0)))))</f>
        <v>0</v>
      </c>
      <c r="E2551" s="456">
        <f>IFERROR(IF(Table10[[#This Row],[Year]]&gt;0,$E$1-Table10[[#This Row],[Year]],0),"")</f>
        <v>0</v>
      </c>
      <c r="F2551" s="456"/>
      <c r="G2551" s="456"/>
      <c r="H2551" s="456"/>
    </row>
    <row r="2552" spans="1:8">
      <c r="A2552" s="456">
        <v>3549</v>
      </c>
      <c r="B2552" s="469" t="s">
        <v>3829</v>
      </c>
      <c r="C2552" s="458" t="s">
        <v>251</v>
      </c>
      <c r="D2552" s="456">
        <f>IF(Table10[[#This Row],[Current Age]]&gt;19,"Men's",IF(E2552&gt;15,"U19",IF(E2552&gt;13,"U15",IF(E2552&gt;11,"U13",IF(E2552&gt;0,"U11",0)))))</f>
        <v>0</v>
      </c>
      <c r="E2552" s="456">
        <f>IFERROR(IF(Table10[[#This Row],[Year]]&gt;0,$E$1-Table10[[#This Row],[Year]],0),"")</f>
        <v>0</v>
      </c>
      <c r="F2552" s="456"/>
      <c r="G2552" s="456"/>
      <c r="H2552" s="456"/>
    </row>
    <row r="2553" spans="1:8">
      <c r="A2553" s="471">
        <v>3550</v>
      </c>
      <c r="B2553" s="493" t="s">
        <v>3830</v>
      </c>
      <c r="C2553" s="472" t="s">
        <v>251</v>
      </c>
      <c r="D2553" s="456">
        <f>IF(Table10[[#This Row],[Current Age]]&gt;19,"Men's",IF(E2553&gt;15,"U19",IF(E2553&gt;13,"U15",IF(E2553&gt;11,"U13",IF(E2553&gt;0,"U11",0)))))</f>
        <v>0</v>
      </c>
      <c r="E2553" s="456">
        <f>IFERROR(IF(Table10[[#This Row],[Year]]&gt;0,$E$1-Table10[[#This Row],[Year]],0),"")</f>
        <v>0</v>
      </c>
      <c r="F2553" s="456"/>
      <c r="G2553" s="456"/>
      <c r="H2553" s="456"/>
    </row>
    <row r="2554" spans="1:8">
      <c r="A2554" s="456">
        <v>3551</v>
      </c>
      <c r="B2554" s="469" t="s">
        <v>3831</v>
      </c>
      <c r="C2554" s="458" t="s">
        <v>251</v>
      </c>
      <c r="D2554" s="456" t="str">
        <f>IF(Table10[[#This Row],[Current Age]]&gt;19,"Men's",IF(E2554&gt;15,"U19",IF(E2554&gt;13,"U15",IF(E2554&gt;11,"U13",IF(E2554&gt;0,"U11",0)))))</f>
        <v>U11</v>
      </c>
      <c r="E2554" s="456">
        <f>IFERROR(IF(Table10[[#This Row],[Year]]&gt;0,$E$1-Table10[[#This Row],[Year]],0),"")</f>
        <v>11</v>
      </c>
      <c r="F2554" s="456">
        <v>2014</v>
      </c>
      <c r="G2554" s="456">
        <v>2</v>
      </c>
      <c r="H2554" s="456">
        <v>13</v>
      </c>
    </row>
    <row r="2555" spans="1:8">
      <c r="A2555" s="471">
        <v>3552</v>
      </c>
      <c r="B2555" s="493" t="s">
        <v>3832</v>
      </c>
      <c r="C2555" s="472" t="s">
        <v>251</v>
      </c>
      <c r="D2555" s="456">
        <f>IF(Table10[[#This Row],[Current Age]]&gt;19,"Men's",IF(E2555&gt;15,"U19",IF(E2555&gt;13,"U15",IF(E2555&gt;11,"U13",IF(E2555&gt;0,"U11",0)))))</f>
        <v>0</v>
      </c>
      <c r="E2555" s="456">
        <f>IFERROR(IF(Table10[[#This Row],[Year]]&gt;0,$E$1-Table10[[#This Row],[Year]],0),"")</f>
        <v>0</v>
      </c>
      <c r="F2555" s="456"/>
      <c r="G2555" s="456"/>
      <c r="H2555" s="456"/>
    </row>
    <row r="2556" spans="1:8">
      <c r="A2556" s="456">
        <v>3553</v>
      </c>
      <c r="B2556" s="469" t="s">
        <v>3836</v>
      </c>
      <c r="C2556" s="458" t="s">
        <v>251</v>
      </c>
      <c r="D2556" s="456">
        <f>IF(Table10[[#This Row],[Current Age]]&gt;19,"Men's",IF(E2556&gt;15,"U19",IF(E2556&gt;13,"U15",IF(E2556&gt;11,"U13",IF(E2556&gt;0,"U11",0)))))</f>
        <v>0</v>
      </c>
      <c r="E2556" s="456">
        <f>IFERROR(IF(Table10[[#This Row],[Year]]&gt;0,$E$1-Table10[[#This Row],[Year]],0),"")</f>
        <v>0</v>
      </c>
      <c r="F2556" s="456"/>
      <c r="G2556" s="456"/>
      <c r="H2556" s="456"/>
    </row>
    <row r="2557" spans="1:8">
      <c r="A2557" s="471">
        <v>3554</v>
      </c>
      <c r="B2557" s="493" t="s">
        <v>3837</v>
      </c>
      <c r="C2557" s="472" t="s">
        <v>251</v>
      </c>
      <c r="D2557" s="456">
        <f>IF(Table10[[#This Row],[Current Age]]&gt;19,"Men's",IF(E2557&gt;15,"U19",IF(E2557&gt;13,"U15",IF(E2557&gt;11,"U13",IF(E2557&gt;0,"U11",0)))))</f>
        <v>0</v>
      </c>
      <c r="E2557" s="456">
        <f>IFERROR(IF(Table10[[#This Row],[Year]]&gt;0,$E$1-Table10[[#This Row],[Year]],0),"")</f>
        <v>0</v>
      </c>
      <c r="F2557" s="456"/>
      <c r="G2557" s="456"/>
      <c r="H2557" s="456"/>
    </row>
    <row r="2558" spans="1:8">
      <c r="A2558" s="456">
        <v>3555</v>
      </c>
      <c r="B2558" s="469" t="s">
        <v>3838</v>
      </c>
      <c r="C2558" s="458" t="s">
        <v>251</v>
      </c>
      <c r="D2558" s="456">
        <f>IF(Table10[[#This Row],[Current Age]]&gt;19,"Men's",IF(E2558&gt;15,"U19",IF(E2558&gt;13,"U15",IF(E2558&gt;11,"U13",IF(E2558&gt;0,"U11",0)))))</f>
        <v>0</v>
      </c>
      <c r="E2558" s="456">
        <f>IFERROR(IF(Table10[[#This Row],[Year]]&gt;0,$E$1-Table10[[#This Row],[Year]],0),"")</f>
        <v>0</v>
      </c>
      <c r="F2558" s="456"/>
      <c r="G2558" s="456"/>
      <c r="H2558" s="456"/>
    </row>
    <row r="2559" spans="1:8">
      <c r="A2559" s="471">
        <v>3556</v>
      </c>
      <c r="B2559" s="493" t="s">
        <v>3839</v>
      </c>
      <c r="C2559" s="472" t="s">
        <v>251</v>
      </c>
      <c r="D2559" s="456">
        <f>IF(Table10[[#This Row],[Current Age]]&gt;19,"Men's",IF(E2559&gt;15,"U19",IF(E2559&gt;13,"U15",IF(E2559&gt;11,"U13",IF(E2559&gt;0,"U11",0)))))</f>
        <v>0</v>
      </c>
      <c r="E2559" s="456">
        <f>IFERROR(IF(Table10[[#This Row],[Year]]&gt;0,$E$1-Table10[[#This Row],[Year]],0),"")</f>
        <v>0</v>
      </c>
      <c r="F2559" s="456"/>
      <c r="G2559" s="456"/>
      <c r="H2559" s="456"/>
    </row>
    <row r="2560" spans="1:8">
      <c r="A2560" s="456">
        <v>3557</v>
      </c>
      <c r="B2560" s="469" t="s">
        <v>3840</v>
      </c>
      <c r="C2560" s="458" t="s">
        <v>251</v>
      </c>
      <c r="D2560" s="456">
        <f>IF(Table10[[#This Row],[Current Age]]&gt;19,"Men's",IF(E2560&gt;15,"U19",IF(E2560&gt;13,"U15",IF(E2560&gt;11,"U13",IF(E2560&gt;0,"U11",0)))))</f>
        <v>0</v>
      </c>
      <c r="E2560" s="456">
        <f>IFERROR(IF(Table10[[#This Row],[Year]]&gt;0,$E$1-Table10[[#This Row],[Year]],0),"")</f>
        <v>0</v>
      </c>
      <c r="F2560" s="456"/>
      <c r="G2560" s="456"/>
      <c r="H2560" s="456"/>
    </row>
    <row r="2561" spans="1:8">
      <c r="A2561" s="471">
        <v>3558</v>
      </c>
      <c r="B2561" s="493" t="s">
        <v>3841</v>
      </c>
      <c r="C2561" s="472" t="s">
        <v>251</v>
      </c>
      <c r="D2561" s="456">
        <f>IF(Table10[[#This Row],[Current Age]]&gt;19,"Men's",IF(E2561&gt;15,"U19",IF(E2561&gt;13,"U15",IF(E2561&gt;11,"U13",IF(E2561&gt;0,"U11",0)))))</f>
        <v>0</v>
      </c>
      <c r="E2561" s="456">
        <f>IFERROR(IF(Table10[[#This Row],[Year]]&gt;0,$E$1-Table10[[#This Row],[Year]],0),"")</f>
        <v>0</v>
      </c>
      <c r="F2561" s="456"/>
      <c r="G2561" s="456"/>
      <c r="H2561" s="456"/>
    </row>
    <row r="2562" spans="1:8">
      <c r="A2562" s="456">
        <v>3559</v>
      </c>
      <c r="B2562" s="469" t="s">
        <v>3842</v>
      </c>
      <c r="C2562" s="458" t="s">
        <v>251</v>
      </c>
      <c r="D2562" s="456">
        <f>IF(Table10[[#This Row],[Current Age]]&gt;19,"Men's",IF(E2562&gt;15,"U19",IF(E2562&gt;13,"U15",IF(E2562&gt;11,"U13",IF(E2562&gt;0,"U11",0)))))</f>
        <v>0</v>
      </c>
      <c r="E2562" s="456">
        <f>IFERROR(IF(Table10[[#This Row],[Year]]&gt;0,$E$1-Table10[[#This Row],[Year]],0),"")</f>
        <v>0</v>
      </c>
      <c r="F2562" s="456"/>
      <c r="G2562" s="456"/>
      <c r="H2562" s="456"/>
    </row>
    <row r="2563" spans="1:8">
      <c r="A2563" s="471">
        <v>3560</v>
      </c>
      <c r="B2563" s="493" t="s">
        <v>3843</v>
      </c>
      <c r="C2563" s="472" t="s">
        <v>251</v>
      </c>
      <c r="D2563" s="456">
        <f>IF(Table10[[#This Row],[Current Age]]&gt;19,"Men's",IF(E2563&gt;15,"U19",IF(E2563&gt;13,"U15",IF(E2563&gt;11,"U13",IF(E2563&gt;0,"U11",0)))))</f>
        <v>0</v>
      </c>
      <c r="E2563" s="456">
        <f>IFERROR(IF(Table10[[#This Row],[Year]]&gt;0,$E$1-Table10[[#This Row],[Year]],0),"")</f>
        <v>0</v>
      </c>
      <c r="F2563" s="456"/>
      <c r="G2563" s="456"/>
      <c r="H2563" s="456"/>
    </row>
    <row r="2564" spans="1:8">
      <c r="A2564" s="456">
        <v>3561</v>
      </c>
      <c r="B2564" s="469" t="s">
        <v>3844</v>
      </c>
      <c r="C2564" s="458" t="s">
        <v>251</v>
      </c>
      <c r="D2564" s="456">
        <f>IF(Table10[[#This Row],[Current Age]]&gt;19,"Men's",IF(E2564&gt;15,"U19",IF(E2564&gt;13,"U15",IF(E2564&gt;11,"U13",IF(E2564&gt;0,"U11",0)))))</f>
        <v>0</v>
      </c>
      <c r="E2564" s="456">
        <f>IFERROR(IF(Table10[[#This Row],[Year]]&gt;0,$E$1-Table10[[#This Row],[Year]],0),"")</f>
        <v>0</v>
      </c>
      <c r="F2564" s="456"/>
      <c r="G2564" s="456"/>
      <c r="H2564" s="456"/>
    </row>
    <row r="2565" spans="1:8">
      <c r="A2565" s="471">
        <v>3562</v>
      </c>
      <c r="B2565" s="493" t="s">
        <v>3845</v>
      </c>
      <c r="C2565" s="472" t="s">
        <v>251</v>
      </c>
      <c r="D2565" s="456">
        <f>IF(Table10[[#This Row],[Current Age]]&gt;19,"Men's",IF(E2565&gt;15,"U19",IF(E2565&gt;13,"U15",IF(E2565&gt;11,"U13",IF(E2565&gt;0,"U11",0)))))</f>
        <v>0</v>
      </c>
      <c r="E2565" s="456">
        <f>IFERROR(IF(Table10[[#This Row],[Year]]&gt;0,$E$1-Table10[[#This Row],[Year]],0),"")</f>
        <v>0</v>
      </c>
      <c r="F2565" s="456"/>
      <c r="G2565" s="456"/>
      <c r="H2565" s="456"/>
    </row>
    <row r="2566" spans="1:8">
      <c r="A2566" s="456">
        <v>3563</v>
      </c>
      <c r="B2566" s="469" t="s">
        <v>3846</v>
      </c>
      <c r="C2566" s="458" t="s">
        <v>251</v>
      </c>
      <c r="D2566" s="456">
        <f>IF(Table10[[#This Row],[Current Age]]&gt;19,"Men's",IF(E2566&gt;15,"U19",IF(E2566&gt;13,"U15",IF(E2566&gt;11,"U13",IF(E2566&gt;0,"U11",0)))))</f>
        <v>0</v>
      </c>
      <c r="E2566" s="456">
        <f>IFERROR(IF(Table10[[#This Row],[Year]]&gt;0,$E$1-Table10[[#This Row],[Year]],0),"")</f>
        <v>0</v>
      </c>
      <c r="F2566" s="456"/>
      <c r="G2566" s="456"/>
      <c r="H2566" s="456"/>
    </row>
    <row r="2567" spans="1:8">
      <c r="A2567" s="471">
        <v>3564</v>
      </c>
      <c r="B2567" s="493" t="s">
        <v>3847</v>
      </c>
      <c r="C2567" s="472" t="s">
        <v>251</v>
      </c>
      <c r="D2567" s="456">
        <f>IF(Table10[[#This Row],[Current Age]]&gt;19,"Men's",IF(E2567&gt;15,"U19",IF(E2567&gt;13,"U15",IF(E2567&gt;11,"U13",IF(E2567&gt;0,"U11",0)))))</f>
        <v>0</v>
      </c>
      <c r="E2567" s="456">
        <f>IFERROR(IF(Table10[[#This Row],[Year]]&gt;0,$E$1-Table10[[#This Row],[Year]],0),"")</f>
        <v>0</v>
      </c>
      <c r="F2567" s="456"/>
      <c r="G2567" s="456"/>
      <c r="H2567" s="456"/>
    </row>
    <row r="2568" spans="1:8">
      <c r="A2568" s="456">
        <v>3565</v>
      </c>
      <c r="B2568" s="469" t="s">
        <v>3848</v>
      </c>
      <c r="C2568" s="458" t="s">
        <v>251</v>
      </c>
      <c r="D2568" s="456">
        <f>IF(Table10[[#This Row],[Current Age]]&gt;19,"Men's",IF(E2568&gt;15,"U19",IF(E2568&gt;13,"U15",IF(E2568&gt;11,"U13",IF(E2568&gt;0,"U11",0)))))</f>
        <v>0</v>
      </c>
      <c r="E2568" s="456">
        <f>IFERROR(IF(Table10[[#This Row],[Year]]&gt;0,$E$1-Table10[[#This Row],[Year]],0),"")</f>
        <v>0</v>
      </c>
      <c r="F2568" s="456"/>
      <c r="G2568" s="456"/>
      <c r="H2568" s="456"/>
    </row>
    <row r="2569" spans="1:8">
      <c r="A2569" s="471">
        <v>3566</v>
      </c>
      <c r="B2569" s="493" t="s">
        <v>3862</v>
      </c>
      <c r="C2569" s="472" t="s">
        <v>251</v>
      </c>
      <c r="D2569" s="456">
        <f>IF(Table10[[#This Row],[Current Age]]&gt;19,"Men's",IF(E2569&gt;15,"U19",IF(E2569&gt;13,"U15",IF(E2569&gt;11,"U13",IF(E2569&gt;0,"U11",0)))))</f>
        <v>0</v>
      </c>
      <c r="E2569" s="456">
        <f>IFERROR(IF(Table10[[#This Row],[Year]]&gt;0,$E$1-Table10[[#This Row],[Year]],0),"")</f>
        <v>0</v>
      </c>
      <c r="F2569" s="456"/>
      <c r="G2569" s="456"/>
      <c r="H2569" s="456"/>
    </row>
    <row r="2570" spans="1:8">
      <c r="A2570" s="456">
        <v>3567</v>
      </c>
      <c r="B2570" s="469" t="s">
        <v>3863</v>
      </c>
      <c r="C2570" s="458" t="s">
        <v>251</v>
      </c>
      <c r="D2570" s="456">
        <f>IF(Table10[[#This Row],[Current Age]]&gt;19,"Men's",IF(E2570&gt;15,"U19",IF(E2570&gt;13,"U15",IF(E2570&gt;11,"U13",IF(E2570&gt;0,"U11",0)))))</f>
        <v>0</v>
      </c>
      <c r="E2570" s="456">
        <f>IFERROR(IF(Table10[[#This Row],[Year]]&gt;0,$E$1-Table10[[#This Row],[Year]],0),"")</f>
        <v>0</v>
      </c>
      <c r="F2570" s="456"/>
      <c r="G2570" s="456"/>
      <c r="H2570" s="456"/>
    </row>
    <row r="2571" spans="1:8">
      <c r="A2571" s="471">
        <v>3568</v>
      </c>
      <c r="B2571" s="493" t="s">
        <v>3864</v>
      </c>
      <c r="C2571" s="472" t="s">
        <v>251</v>
      </c>
      <c r="D2571" s="456" t="str">
        <f>IF(Table10[[#This Row],[Current Age]]&gt;19,"Men's",IF(E2571&gt;15,"U19",IF(E2571&gt;13,"U15",IF(E2571&gt;11,"U13",IF(E2571&gt;0,"U11",0)))))</f>
        <v>U15</v>
      </c>
      <c r="E2571" s="456">
        <f>IFERROR(IF(Table10[[#This Row],[Year]]&gt;0,$E$1-Table10[[#This Row],[Year]],0),"")</f>
        <v>14</v>
      </c>
      <c r="F2571" s="456">
        <v>2011</v>
      </c>
      <c r="G2571" s="456">
        <v>12</v>
      </c>
      <c r="H2571" s="456">
        <v>25</v>
      </c>
    </row>
    <row r="2572" spans="1:8">
      <c r="A2572" s="456">
        <v>3569</v>
      </c>
      <c r="B2572" s="469" t="s">
        <v>3865</v>
      </c>
      <c r="C2572" s="458" t="s">
        <v>251</v>
      </c>
      <c r="D2572" s="456">
        <f>IF(Table10[[#This Row],[Current Age]]&gt;19,"Men's",IF(E2572&gt;15,"U19",IF(E2572&gt;13,"U15",IF(E2572&gt;11,"U13",IF(E2572&gt;0,"U11",0)))))</f>
        <v>0</v>
      </c>
      <c r="E2572" s="456">
        <f>IFERROR(IF(Table10[[#This Row],[Year]]&gt;0,$E$1-Table10[[#This Row],[Year]],0),"")</f>
        <v>0</v>
      </c>
      <c r="F2572" s="456"/>
      <c r="G2572" s="456"/>
      <c r="H2572" s="456"/>
    </row>
    <row r="2573" spans="1:8">
      <c r="A2573" s="471">
        <v>3570</v>
      </c>
      <c r="B2573" s="493" t="s">
        <v>3866</v>
      </c>
      <c r="C2573" s="472" t="s">
        <v>251</v>
      </c>
      <c r="D2573" s="456">
        <f>IF(Table10[[#This Row],[Current Age]]&gt;19,"Men's",IF(E2573&gt;15,"U19",IF(E2573&gt;13,"U15",IF(E2573&gt;11,"U13",IF(E2573&gt;0,"U11",0)))))</f>
        <v>0</v>
      </c>
      <c r="E2573" s="456">
        <f>IFERROR(IF(Table10[[#This Row],[Year]]&gt;0,$E$1-Table10[[#This Row],[Year]],0),"")</f>
        <v>0</v>
      </c>
      <c r="F2573" s="456"/>
      <c r="G2573" s="456"/>
      <c r="H2573" s="456"/>
    </row>
    <row r="2574" spans="1:8">
      <c r="A2574" s="456">
        <v>3571</v>
      </c>
      <c r="B2574" s="469" t="s">
        <v>3867</v>
      </c>
      <c r="C2574" s="458" t="s">
        <v>251</v>
      </c>
      <c r="D2574" s="456">
        <f>IF(Table10[[#This Row],[Current Age]]&gt;19,"Men's",IF(E2574&gt;15,"U19",IF(E2574&gt;13,"U15",IF(E2574&gt;11,"U13",IF(E2574&gt;0,"U11",0)))))</f>
        <v>0</v>
      </c>
      <c r="E2574" s="456">
        <f>IFERROR(IF(Table10[[#This Row],[Year]]&gt;0,$E$1-Table10[[#This Row],[Year]],0),"")</f>
        <v>0</v>
      </c>
      <c r="F2574" s="456"/>
      <c r="G2574" s="456"/>
      <c r="H2574" s="456"/>
    </row>
    <row r="2575" spans="1:8">
      <c r="A2575" s="471">
        <v>3572</v>
      </c>
      <c r="B2575" s="493" t="s">
        <v>3876</v>
      </c>
      <c r="C2575" s="472" t="s">
        <v>361</v>
      </c>
      <c r="D2575" s="456">
        <f>IF(Table10[[#This Row],[Current Age]]&gt;19,"Men's",IF(E2575&gt;15,"U19",IF(E2575&gt;13,"U15",IF(E2575&gt;11,"U13",IF(E2575&gt;0,"U11",0)))))</f>
        <v>0</v>
      </c>
      <c r="E2575" s="456">
        <f>IFERROR(IF(Table10[[#This Row],[Year]]&gt;0,$E$1-Table10[[#This Row],[Year]],0),"")</f>
        <v>0</v>
      </c>
      <c r="F2575" s="456"/>
      <c r="G2575" s="456"/>
      <c r="H2575" s="456"/>
    </row>
    <row r="2576" spans="1:8">
      <c r="A2576" s="456">
        <v>3573</v>
      </c>
      <c r="B2576" s="469" t="s">
        <v>3877</v>
      </c>
      <c r="C2576" s="458" t="s">
        <v>361</v>
      </c>
      <c r="D2576" s="456">
        <f>IF(Table10[[#This Row],[Current Age]]&gt;19,"Men's",IF(E2576&gt;15,"U19",IF(E2576&gt;13,"U15",IF(E2576&gt;11,"U13",IF(E2576&gt;0,"U11",0)))))</f>
        <v>0</v>
      </c>
      <c r="E2576" s="456">
        <f>IFERROR(IF(Table10[[#This Row],[Year]]&gt;0,$E$1-Table10[[#This Row],[Year]],0),"")</f>
        <v>0</v>
      </c>
      <c r="F2576" s="456"/>
      <c r="G2576" s="456"/>
      <c r="H2576" s="456"/>
    </row>
    <row r="2577" spans="1:8">
      <c r="A2577" s="471">
        <v>3574</v>
      </c>
      <c r="B2577" s="493" t="s">
        <v>3878</v>
      </c>
      <c r="C2577" s="472" t="s">
        <v>361</v>
      </c>
      <c r="D2577" s="456">
        <f>IF(Table10[[#This Row],[Current Age]]&gt;19,"Men's",IF(E2577&gt;15,"U19",IF(E2577&gt;13,"U15",IF(E2577&gt;11,"U13",IF(E2577&gt;0,"U11",0)))))</f>
        <v>0</v>
      </c>
      <c r="E2577" s="456">
        <f>IFERROR(IF(Table10[[#This Row],[Year]]&gt;0,$E$1-Table10[[#This Row],[Year]],0),"")</f>
        <v>0</v>
      </c>
      <c r="F2577" s="456"/>
      <c r="G2577" s="456"/>
      <c r="H2577" s="456"/>
    </row>
    <row r="2578" spans="1:8">
      <c r="A2578" s="456">
        <v>3575</v>
      </c>
      <c r="B2578" s="469" t="s">
        <v>3879</v>
      </c>
      <c r="C2578" s="458" t="s">
        <v>361</v>
      </c>
      <c r="D2578" s="456">
        <f>IF(Table10[[#This Row],[Current Age]]&gt;19,"Men's",IF(E2578&gt;15,"U19",IF(E2578&gt;13,"U15",IF(E2578&gt;11,"U13",IF(E2578&gt;0,"U11",0)))))</f>
        <v>0</v>
      </c>
      <c r="E2578" s="456">
        <f>IFERROR(IF(Table10[[#This Row],[Year]]&gt;0,$E$1-Table10[[#This Row],[Year]],0),"")</f>
        <v>0</v>
      </c>
      <c r="F2578" s="456"/>
      <c r="G2578" s="456"/>
      <c r="H2578" s="456"/>
    </row>
    <row r="2579" spans="1:8">
      <c r="A2579" s="471">
        <v>3576</v>
      </c>
      <c r="B2579" s="493" t="s">
        <v>3880</v>
      </c>
      <c r="C2579" s="472" t="s">
        <v>361</v>
      </c>
      <c r="D2579" s="456">
        <f>IF(Table10[[#This Row],[Current Age]]&gt;19,"Men's",IF(E2579&gt;15,"U19",IF(E2579&gt;13,"U15",IF(E2579&gt;11,"U13",IF(E2579&gt;0,"U11",0)))))</f>
        <v>0</v>
      </c>
      <c r="E2579" s="456">
        <f>IFERROR(IF(Table10[[#This Row],[Year]]&gt;0,$E$1-Table10[[#This Row],[Year]],0),"")</f>
        <v>0</v>
      </c>
      <c r="F2579" s="456"/>
      <c r="G2579" s="456"/>
      <c r="H2579" s="456"/>
    </row>
    <row r="2580" spans="1:8">
      <c r="A2580" s="456">
        <v>3577</v>
      </c>
      <c r="B2580" s="469" t="s">
        <v>3882</v>
      </c>
      <c r="C2580" s="458" t="s">
        <v>361</v>
      </c>
      <c r="D2580" s="456">
        <f>IF(Table10[[#This Row],[Current Age]]&gt;19,"Men's",IF(E2580&gt;15,"U19",IF(E2580&gt;13,"U15",IF(E2580&gt;11,"U13",IF(E2580&gt;0,"U11",0)))))</f>
        <v>0</v>
      </c>
      <c r="E2580" s="456">
        <f>IFERROR(IF(Table10[[#This Row],[Year]]&gt;0,$E$1-Table10[[#This Row],[Year]],0),"")</f>
        <v>0</v>
      </c>
      <c r="F2580" s="456"/>
      <c r="G2580" s="456"/>
      <c r="H2580" s="456"/>
    </row>
    <row r="2581" spans="1:8">
      <c r="A2581" s="471">
        <v>3578</v>
      </c>
      <c r="B2581" s="493" t="s">
        <v>3883</v>
      </c>
      <c r="C2581" s="472" t="s">
        <v>361</v>
      </c>
      <c r="D2581" s="456">
        <f>IF(Table10[[#This Row],[Current Age]]&gt;19,"Men's",IF(E2581&gt;15,"U19",IF(E2581&gt;13,"U15",IF(E2581&gt;11,"U13",IF(E2581&gt;0,"U11",0)))))</f>
        <v>0</v>
      </c>
      <c r="E2581" s="456">
        <f>IFERROR(IF(Table10[[#This Row],[Year]]&gt;0,$E$1-Table10[[#This Row],[Year]],0),"")</f>
        <v>0</v>
      </c>
      <c r="F2581" s="456"/>
      <c r="G2581" s="456"/>
      <c r="H2581" s="456"/>
    </row>
    <row r="2582" spans="1:8">
      <c r="A2582" s="456">
        <v>3579</v>
      </c>
      <c r="B2582" s="469" t="s">
        <v>3884</v>
      </c>
      <c r="C2582" s="458" t="s">
        <v>361</v>
      </c>
      <c r="D2582" s="456">
        <f>IF(Table10[[#This Row],[Current Age]]&gt;19,"Men's",IF(E2582&gt;15,"U19",IF(E2582&gt;13,"U15",IF(E2582&gt;11,"U13",IF(E2582&gt;0,"U11",0)))))</f>
        <v>0</v>
      </c>
      <c r="E2582" s="456">
        <f>IFERROR(IF(Table10[[#This Row],[Year]]&gt;0,$E$1-Table10[[#This Row],[Year]],0),"")</f>
        <v>0</v>
      </c>
      <c r="F2582" s="456"/>
      <c r="G2582" s="456"/>
      <c r="H2582" s="456"/>
    </row>
    <row r="2583" spans="1:8">
      <c r="A2583" s="471">
        <v>3580</v>
      </c>
      <c r="B2583" s="493" t="s">
        <v>3885</v>
      </c>
      <c r="C2583" s="472" t="s">
        <v>361</v>
      </c>
      <c r="D2583" s="456">
        <f>IF(Table10[[#This Row],[Current Age]]&gt;19,"Men's",IF(E2583&gt;15,"U19",IF(E2583&gt;13,"U15",IF(E2583&gt;11,"U13",IF(E2583&gt;0,"U11",0)))))</f>
        <v>0</v>
      </c>
      <c r="E2583" s="456">
        <f>IFERROR(IF(Table10[[#This Row],[Year]]&gt;0,$E$1-Table10[[#This Row],[Year]],0),"")</f>
        <v>0</v>
      </c>
      <c r="F2583" s="456"/>
      <c r="G2583" s="456"/>
      <c r="H2583" s="456"/>
    </row>
    <row r="2584" spans="1:8">
      <c r="A2584" s="456">
        <v>3581</v>
      </c>
      <c r="B2584" s="469" t="s">
        <v>3886</v>
      </c>
      <c r="C2584" s="458" t="s">
        <v>361</v>
      </c>
      <c r="D2584" s="456">
        <f>IF(Table10[[#This Row],[Current Age]]&gt;19,"Men's",IF(E2584&gt;15,"U19",IF(E2584&gt;13,"U15",IF(E2584&gt;11,"U13",IF(E2584&gt;0,"U11",0)))))</f>
        <v>0</v>
      </c>
      <c r="E2584" s="456">
        <f>IFERROR(IF(Table10[[#This Row],[Year]]&gt;0,$E$1-Table10[[#This Row],[Year]],0),"")</f>
        <v>0</v>
      </c>
      <c r="F2584" s="456"/>
      <c r="G2584" s="456"/>
      <c r="H2584" s="456"/>
    </row>
    <row r="2585" spans="1:8">
      <c r="A2585" s="471">
        <v>3582</v>
      </c>
      <c r="B2585" s="493" t="s">
        <v>3887</v>
      </c>
      <c r="C2585" s="472" t="s">
        <v>361</v>
      </c>
      <c r="D2585" s="456">
        <f>IF(Table10[[#This Row],[Current Age]]&gt;19,"Men's",IF(E2585&gt;15,"U19",IF(E2585&gt;13,"U15",IF(E2585&gt;11,"U13",IF(E2585&gt;0,"U11",0)))))</f>
        <v>0</v>
      </c>
      <c r="E2585" s="456">
        <f>IFERROR(IF(Table10[[#This Row],[Year]]&gt;0,$E$1-Table10[[#This Row],[Year]],0),"")</f>
        <v>0</v>
      </c>
      <c r="F2585" s="456"/>
      <c r="G2585" s="456"/>
      <c r="H2585" s="456"/>
    </row>
    <row r="2586" spans="1:8">
      <c r="A2586" s="456">
        <v>3583</v>
      </c>
      <c r="B2586" s="469" t="s">
        <v>3888</v>
      </c>
      <c r="C2586" s="458" t="s">
        <v>361</v>
      </c>
      <c r="D2586" s="456">
        <f>IF(Table10[[#This Row],[Current Age]]&gt;19,"Men's",IF(E2586&gt;15,"U19",IF(E2586&gt;13,"U15",IF(E2586&gt;11,"U13",IF(E2586&gt;0,"U11",0)))))</f>
        <v>0</v>
      </c>
      <c r="E2586" s="456">
        <f>IFERROR(IF(Table10[[#This Row],[Year]]&gt;0,$E$1-Table10[[#This Row],[Year]],0),"")</f>
        <v>0</v>
      </c>
      <c r="F2586" s="456"/>
      <c r="G2586" s="456"/>
      <c r="H2586" s="456"/>
    </row>
    <row r="2587" spans="1:8">
      <c r="A2587" s="471">
        <v>3584</v>
      </c>
      <c r="B2587" s="493" t="s">
        <v>3889</v>
      </c>
      <c r="C2587" s="472" t="s">
        <v>361</v>
      </c>
      <c r="D2587" s="456">
        <f>IF(Table10[[#This Row],[Current Age]]&gt;19,"Men's",IF(E2587&gt;15,"U19",IF(E2587&gt;13,"U15",IF(E2587&gt;11,"U13",IF(E2587&gt;0,"U11",0)))))</f>
        <v>0</v>
      </c>
      <c r="E2587" s="456">
        <f>IFERROR(IF(Table10[[#This Row],[Year]]&gt;0,$E$1-Table10[[#This Row],[Year]],0),"")</f>
        <v>0</v>
      </c>
      <c r="F2587" s="456"/>
      <c r="G2587" s="456"/>
      <c r="H2587" s="456"/>
    </row>
    <row r="2588" spans="1:8">
      <c r="A2588" s="456">
        <v>3585</v>
      </c>
      <c r="B2588" s="469" t="s">
        <v>3892</v>
      </c>
      <c r="C2588" s="458" t="s">
        <v>253</v>
      </c>
      <c r="D2588" s="456">
        <f>IF(Table10[[#This Row],[Current Age]]&gt;19,"Men's",IF(E2588&gt;15,"U19",IF(E2588&gt;13,"U15",IF(E2588&gt;11,"U13",IF(E2588&gt;0,"U11",0)))))</f>
        <v>0</v>
      </c>
      <c r="E2588" s="456">
        <f>IFERROR(IF(Table10[[#This Row],[Year]]&gt;0,$E$1-Table10[[#This Row],[Year]],0),"")</f>
        <v>0</v>
      </c>
      <c r="F2588" s="456"/>
      <c r="G2588" s="456"/>
      <c r="H2588" s="456"/>
    </row>
    <row r="2589" spans="1:8">
      <c r="A2589" s="471">
        <v>3586</v>
      </c>
      <c r="B2589" s="493" t="s">
        <v>3893</v>
      </c>
      <c r="C2589" s="472" t="s">
        <v>253</v>
      </c>
      <c r="D2589" s="456" t="str">
        <f>IF(Table10[[#This Row],[Current Age]]&gt;19,"Men's",IF(E2589&gt;15,"U19",IF(E2589&gt;13,"U15",IF(E2589&gt;11,"U13",IF(E2589&gt;0,"U11",0)))))</f>
        <v>U15</v>
      </c>
      <c r="E2589" s="456">
        <f>IFERROR(IF(Table10[[#This Row],[Year]]&gt;0,$E$1-Table10[[#This Row],[Year]],0),"")</f>
        <v>15</v>
      </c>
      <c r="F2589" s="456">
        <v>2010</v>
      </c>
      <c r="G2589" s="456">
        <v>4</v>
      </c>
      <c r="H2589" s="456">
        <v>8</v>
      </c>
    </row>
    <row r="2590" spans="1:8">
      <c r="A2590" s="456">
        <v>3587</v>
      </c>
      <c r="B2590" s="469" t="s">
        <v>3894</v>
      </c>
      <c r="C2590" s="458" t="s">
        <v>253</v>
      </c>
      <c r="D2590" s="456">
        <f>IF(Table10[[#This Row],[Current Age]]&gt;19,"Men's",IF(E2590&gt;15,"U19",IF(E2590&gt;13,"U15",IF(E2590&gt;11,"U13",IF(E2590&gt;0,"U11",0)))))</f>
        <v>0</v>
      </c>
      <c r="E2590" s="456">
        <f>IFERROR(IF(Table10[[#This Row],[Year]]&gt;0,$E$1-Table10[[#This Row],[Year]],0),"")</f>
        <v>0</v>
      </c>
      <c r="F2590" s="456"/>
      <c r="G2590" s="456"/>
      <c r="H2590" s="456"/>
    </row>
    <row r="2591" spans="1:8">
      <c r="A2591" s="471">
        <v>3588</v>
      </c>
      <c r="B2591" s="493" t="s">
        <v>3895</v>
      </c>
      <c r="C2591" s="472" t="s">
        <v>253</v>
      </c>
      <c r="D2591" s="456">
        <f>IF(Table10[[#This Row],[Current Age]]&gt;19,"Men's",IF(E2591&gt;15,"U19",IF(E2591&gt;13,"U15",IF(E2591&gt;11,"U13",IF(E2591&gt;0,"U11",0)))))</f>
        <v>0</v>
      </c>
      <c r="E2591" s="456">
        <f>IFERROR(IF(Table10[[#This Row],[Year]]&gt;0,$E$1-Table10[[#This Row],[Year]],0),"")</f>
        <v>0</v>
      </c>
      <c r="F2591" s="456"/>
      <c r="G2591" s="456"/>
      <c r="H2591" s="456"/>
    </row>
    <row r="2592" spans="1:8">
      <c r="A2592" s="456">
        <v>3589</v>
      </c>
      <c r="B2592" s="469" t="s">
        <v>3896</v>
      </c>
      <c r="C2592" s="458" t="s">
        <v>253</v>
      </c>
      <c r="D2592" s="456">
        <f>IF(Table10[[#This Row],[Current Age]]&gt;19,"Men's",IF(E2592&gt;15,"U19",IF(E2592&gt;13,"U15",IF(E2592&gt;11,"U13",IF(E2592&gt;0,"U11",0)))))</f>
        <v>0</v>
      </c>
      <c r="E2592" s="456">
        <f>IFERROR(IF(Table10[[#This Row],[Year]]&gt;0,$E$1-Table10[[#This Row],[Year]],0),"")</f>
        <v>0</v>
      </c>
      <c r="F2592" s="456"/>
      <c r="G2592" s="456"/>
      <c r="H2592" s="456"/>
    </row>
    <row r="2593" spans="1:8">
      <c r="A2593" s="471">
        <v>3590</v>
      </c>
      <c r="B2593" s="530" t="s">
        <v>3898</v>
      </c>
      <c r="C2593" s="528" t="s">
        <v>361</v>
      </c>
      <c r="D2593" s="456">
        <f>IF(Table10[[#This Row],[Current Age]]&gt;19,"Men's",IF(E2593&gt;15,"U19",IF(E2593&gt;13,"U15",IF(E2593&gt;11,"U13",IF(E2593&gt;0,"U11",0)))))</f>
        <v>0</v>
      </c>
      <c r="E2593" s="456">
        <f>IFERROR(IF(Table10[[#This Row],[Year]]&gt;0,$E$1-Table10[[#This Row],[Year]],0),"")</f>
        <v>0</v>
      </c>
      <c r="F2593" s="456"/>
      <c r="G2593" s="456"/>
      <c r="H2593" s="456"/>
    </row>
    <row r="2594" spans="1:8">
      <c r="A2594" s="456">
        <v>3591</v>
      </c>
      <c r="B2594" s="529" t="s">
        <v>3899</v>
      </c>
      <c r="C2594" s="527" t="s">
        <v>361</v>
      </c>
      <c r="D2594" s="456">
        <f>IF(Table10[[#This Row],[Current Age]]&gt;19,"Men's",IF(E2594&gt;15,"U19",IF(E2594&gt;13,"U15",IF(E2594&gt;11,"U13",IF(E2594&gt;0,"U11",0)))))</f>
        <v>0</v>
      </c>
      <c r="E2594" s="456">
        <f>IFERROR(IF(Table10[[#This Row],[Year]]&gt;0,$E$1-Table10[[#This Row],[Year]],0),"")</f>
        <v>0</v>
      </c>
      <c r="F2594" s="456"/>
      <c r="G2594" s="456"/>
      <c r="H2594" s="456"/>
    </row>
    <row r="2595" spans="1:8">
      <c r="A2595" s="471">
        <v>3592</v>
      </c>
      <c r="B2595" s="493" t="s">
        <v>3902</v>
      </c>
      <c r="C2595" s="528" t="s">
        <v>361</v>
      </c>
      <c r="D2595" s="456">
        <f>IF(Table10[[#This Row],[Current Age]]&gt;19,"Men's",IF(E2595&gt;15,"U19",IF(E2595&gt;13,"U15",IF(E2595&gt;11,"U13",IF(E2595&gt;0,"U11",0)))))</f>
        <v>0</v>
      </c>
      <c r="E2595" s="456">
        <f>IFERROR(IF(Table10[[#This Row],[Year]]&gt;0,$E$1-Table10[[#This Row],[Year]],0),"")</f>
        <v>0</v>
      </c>
      <c r="F2595" s="456"/>
      <c r="G2595" s="456"/>
      <c r="H2595" s="456"/>
    </row>
    <row r="2596" spans="1:8">
      <c r="A2596" s="456">
        <v>3593</v>
      </c>
      <c r="B2596" s="469" t="s">
        <v>3912</v>
      </c>
      <c r="C2596" s="527" t="s">
        <v>361</v>
      </c>
      <c r="D2596" s="456">
        <f>IF(Table10[[#This Row],[Current Age]]&gt;19,"Men's",IF(E2596&gt;15,"U19",IF(E2596&gt;13,"U15",IF(E2596&gt;11,"U13",IF(E2596&gt;0,"U11",0)))))</f>
        <v>0</v>
      </c>
      <c r="E2596" s="456">
        <f>IFERROR(IF(Table10[[#This Row],[Year]]&gt;0,$E$1-Table10[[#This Row],[Year]],0),"")</f>
        <v>0</v>
      </c>
      <c r="F2596" s="456"/>
      <c r="G2596" s="456"/>
      <c r="H2596" s="456"/>
    </row>
    <row r="2597" spans="1:8">
      <c r="A2597" s="471">
        <v>3594</v>
      </c>
      <c r="B2597" s="493" t="s">
        <v>3914</v>
      </c>
      <c r="C2597" s="528" t="s">
        <v>361</v>
      </c>
      <c r="D2597" s="456">
        <f>IF(Table10[[#This Row],[Current Age]]&gt;19,"Men's",IF(E2597&gt;15,"U19",IF(E2597&gt;13,"U15",IF(E2597&gt;11,"U13",IF(E2597&gt;0,"U11",0)))))</f>
        <v>0</v>
      </c>
      <c r="E2597" s="456">
        <f>IFERROR(IF(Table10[[#This Row],[Year]]&gt;0,$E$1-Table10[[#This Row],[Year]],0),"")</f>
        <v>0</v>
      </c>
      <c r="F2597" s="456"/>
      <c r="G2597" s="456"/>
      <c r="H2597" s="456"/>
    </row>
    <row r="2598" spans="1:8">
      <c r="A2598" s="456">
        <v>3595</v>
      </c>
      <c r="B2598" s="469" t="s">
        <v>3915</v>
      </c>
      <c r="C2598" s="527" t="s">
        <v>361</v>
      </c>
      <c r="D2598" s="456">
        <f>IF(Table10[[#This Row],[Current Age]]&gt;19,"Men's",IF(E2598&gt;15,"U19",IF(E2598&gt;13,"U15",IF(E2598&gt;11,"U13",IF(E2598&gt;0,"U11",0)))))</f>
        <v>0</v>
      </c>
      <c r="E2598" s="456">
        <f>IFERROR(IF(Table10[[#This Row],[Year]]&gt;0,$E$1-Table10[[#This Row],[Year]],0),"")</f>
        <v>0</v>
      </c>
      <c r="F2598" s="456"/>
      <c r="G2598" s="456"/>
      <c r="H2598" s="456"/>
    </row>
    <row r="2599" spans="1:8">
      <c r="A2599" s="471">
        <v>3596</v>
      </c>
      <c r="B2599" s="493" t="s">
        <v>3916</v>
      </c>
      <c r="C2599" s="528" t="s">
        <v>361</v>
      </c>
      <c r="D2599" s="456">
        <f>IF(Table10[[#This Row],[Current Age]]&gt;19,"Men's",IF(E2599&gt;15,"U19",IF(E2599&gt;13,"U15",IF(E2599&gt;11,"U13",IF(E2599&gt;0,"U11",0)))))</f>
        <v>0</v>
      </c>
      <c r="E2599" s="456">
        <f>IFERROR(IF(Table10[[#This Row],[Year]]&gt;0,$E$1-Table10[[#This Row],[Year]],0),"")</f>
        <v>0</v>
      </c>
      <c r="F2599" s="456"/>
      <c r="G2599" s="456"/>
      <c r="H2599" s="456"/>
    </row>
    <row r="2600" spans="1:8">
      <c r="A2600" s="456">
        <v>3597</v>
      </c>
      <c r="B2600" s="469" t="s">
        <v>3913</v>
      </c>
      <c r="C2600" s="527" t="s">
        <v>361</v>
      </c>
      <c r="D2600" s="456">
        <f>IF(Table10[[#This Row],[Current Age]]&gt;19,"Men's",IF(E2600&gt;15,"U19",IF(E2600&gt;13,"U15",IF(E2600&gt;11,"U13",IF(E2600&gt;0,"U11",0)))))</f>
        <v>0</v>
      </c>
      <c r="E2600" s="456">
        <f>IFERROR(IF(Table10[[#This Row],[Year]]&gt;0,$E$1-Table10[[#This Row],[Year]],0),"")</f>
        <v>0</v>
      </c>
      <c r="F2600" s="456"/>
      <c r="G2600" s="456"/>
      <c r="H2600" s="456"/>
    </row>
    <row r="2601" spans="1:8">
      <c r="A2601" s="471">
        <v>3598</v>
      </c>
      <c r="B2601" s="493" t="s">
        <v>3918</v>
      </c>
      <c r="C2601" s="472" t="s">
        <v>361</v>
      </c>
      <c r="D2601" s="456">
        <f>IF(Table10[[#This Row],[Current Age]]&gt;19,"Men's",IF(E2601&gt;15,"U19",IF(E2601&gt;13,"U15",IF(E2601&gt;11,"U13",IF(E2601&gt;0,"U11",0)))))</f>
        <v>0</v>
      </c>
      <c r="E2601" s="456">
        <f>IFERROR(IF(Table10[[#This Row],[Year]]&gt;0,$E$1-Table10[[#This Row],[Year]],0),"")</f>
        <v>0</v>
      </c>
      <c r="F2601" s="456"/>
      <c r="G2601" s="456"/>
      <c r="H2601" s="456"/>
    </row>
    <row r="2602" spans="1:8">
      <c r="A2602" s="456">
        <v>3599</v>
      </c>
      <c r="B2602" s="469" t="s">
        <v>3919</v>
      </c>
      <c r="C2602" s="458" t="s">
        <v>361</v>
      </c>
      <c r="D2602" s="456">
        <f>IF(Table10[[#This Row],[Current Age]]&gt;19,"Men's",IF(E2602&gt;15,"U19",IF(E2602&gt;13,"U15",IF(E2602&gt;11,"U13",IF(E2602&gt;0,"U11",0)))))</f>
        <v>0</v>
      </c>
      <c r="E2602" s="456">
        <f>IFERROR(IF(Table10[[#This Row],[Year]]&gt;0,$E$1-Table10[[#This Row],[Year]],0),"")</f>
        <v>0</v>
      </c>
      <c r="F2602" s="456"/>
      <c r="G2602" s="456"/>
      <c r="H2602" s="456"/>
    </row>
    <row r="2603" spans="1:8">
      <c r="A2603" s="471">
        <v>3600</v>
      </c>
      <c r="B2603" s="493" t="s">
        <v>3920</v>
      </c>
      <c r="C2603" s="472" t="s">
        <v>361</v>
      </c>
      <c r="D2603" s="456">
        <f>IF(Table10[[#This Row],[Current Age]]&gt;19,"Men's",IF(E2603&gt;15,"U19",IF(E2603&gt;13,"U15",IF(E2603&gt;11,"U13",IF(E2603&gt;0,"U11",0)))))</f>
        <v>0</v>
      </c>
      <c r="E2603" s="456">
        <f>IFERROR(IF(Table10[[#This Row],[Year]]&gt;0,$E$1-Table10[[#This Row],[Year]],0),"")</f>
        <v>0</v>
      </c>
      <c r="F2603" s="456"/>
      <c r="G2603" s="456"/>
      <c r="H2603" s="456"/>
    </row>
    <row r="2604" spans="1:8">
      <c r="A2604" s="456">
        <v>3601</v>
      </c>
      <c r="B2604" s="469" t="s">
        <v>3921</v>
      </c>
      <c r="C2604" s="458" t="s">
        <v>361</v>
      </c>
      <c r="D2604" s="456">
        <f>IF(Table10[[#This Row],[Current Age]]&gt;19,"Men's",IF(E2604&gt;15,"U19",IF(E2604&gt;13,"U15",IF(E2604&gt;11,"U13",IF(E2604&gt;0,"U11",0)))))</f>
        <v>0</v>
      </c>
      <c r="E2604" s="456">
        <f>IFERROR(IF(Table10[[#This Row],[Year]]&gt;0,$E$1-Table10[[#This Row],[Year]],0),"")</f>
        <v>0</v>
      </c>
      <c r="F2604" s="456"/>
      <c r="G2604" s="456"/>
      <c r="H2604" s="456"/>
    </row>
    <row r="2605" spans="1:8">
      <c r="A2605" s="471">
        <v>3602</v>
      </c>
      <c r="B2605" s="493" t="s">
        <v>3922</v>
      </c>
      <c r="C2605" s="472" t="s">
        <v>361</v>
      </c>
      <c r="D2605" s="456">
        <f>IF(Table10[[#This Row],[Current Age]]&gt;19,"Men's",IF(E2605&gt;15,"U19",IF(E2605&gt;13,"U15",IF(E2605&gt;11,"U13",IF(E2605&gt;0,"U11",0)))))</f>
        <v>0</v>
      </c>
      <c r="E2605" s="456">
        <f>IFERROR(IF(Table10[[#This Row],[Year]]&gt;0,$E$1-Table10[[#This Row],[Year]],0),"")</f>
        <v>0</v>
      </c>
      <c r="F2605" s="456"/>
      <c r="G2605" s="456"/>
      <c r="H2605" s="456"/>
    </row>
    <row r="2606" spans="1:8">
      <c r="A2606" s="456">
        <v>3603</v>
      </c>
      <c r="B2606" s="469" t="s">
        <v>3932</v>
      </c>
      <c r="C2606" s="458" t="s">
        <v>244</v>
      </c>
      <c r="D2606" s="456" t="str">
        <f>IF(Table10[[#This Row],[Current Age]]&gt;19,"Men's",IF(E2606&gt;15,"U19",IF(E2606&gt;13,"U15",IF(E2606&gt;11,"U13",IF(E2606&gt;0,"U11",0)))))</f>
        <v>U19</v>
      </c>
      <c r="E2606" s="456">
        <f>IFERROR(IF(Table10[[#This Row],[Year]]&gt;0,$E$1-Table10[[#This Row],[Year]],0),"")</f>
        <v>19</v>
      </c>
      <c r="F2606" s="456">
        <v>2006</v>
      </c>
      <c r="G2606" s="456">
        <v>3</v>
      </c>
      <c r="H2606" s="456">
        <v>7</v>
      </c>
    </row>
    <row r="2607" spans="1:8">
      <c r="A2607" s="471">
        <v>3604</v>
      </c>
      <c r="B2607" s="498" t="s">
        <v>3931</v>
      </c>
      <c r="C2607" s="472" t="s">
        <v>243</v>
      </c>
      <c r="D2607" s="456">
        <f>IF(Table10[[#This Row],[Current Age]]&gt;19,"Men's",IF(E2607&gt;15,"U19",IF(E2607&gt;13,"U15",IF(E2607&gt;11,"U13",IF(E2607&gt;0,"U11",0)))))</f>
        <v>0</v>
      </c>
      <c r="E2607" s="456">
        <f>IFERROR(IF(Table10[[#This Row],[Year]]&gt;0,$E$1-Table10[[#This Row],[Year]],0),"")</f>
        <v>0</v>
      </c>
      <c r="F2607" s="456"/>
      <c r="G2607" s="456"/>
      <c r="H2607" s="456"/>
    </row>
    <row r="2608" spans="1:8">
      <c r="A2608" s="456">
        <v>3605</v>
      </c>
      <c r="B2608" s="469" t="s">
        <v>3933</v>
      </c>
      <c r="C2608" s="458" t="s">
        <v>243</v>
      </c>
      <c r="D2608" s="456">
        <f>IF(Table10[[#This Row],[Current Age]]&gt;19,"Men's",IF(E2608&gt;15,"U19",IF(E2608&gt;13,"U15",IF(E2608&gt;11,"U13",IF(E2608&gt;0,"U11",0)))))</f>
        <v>0</v>
      </c>
      <c r="E2608" s="456">
        <f>IFERROR(IF(Table10[[#This Row],[Year]]&gt;0,$E$1-Table10[[#This Row],[Year]],0),"")</f>
        <v>0</v>
      </c>
      <c r="F2608" s="456"/>
      <c r="G2608" s="456"/>
      <c r="H2608" s="456"/>
    </row>
    <row r="2609" spans="1:8">
      <c r="A2609" s="471">
        <v>3606</v>
      </c>
      <c r="B2609" s="493" t="s">
        <v>3934</v>
      </c>
      <c r="C2609" s="472" t="s">
        <v>243</v>
      </c>
      <c r="D2609" s="456">
        <f>IF(Table10[[#This Row],[Current Age]]&gt;19,"Men's",IF(E2609&gt;15,"U19",IF(E2609&gt;13,"U15",IF(E2609&gt;11,"U13",IF(E2609&gt;0,"U11",0)))))</f>
        <v>0</v>
      </c>
      <c r="E2609" s="456">
        <f>IFERROR(IF(Table10[[#This Row],[Year]]&gt;0,$E$1-Table10[[#This Row],[Year]],0),"")</f>
        <v>0</v>
      </c>
      <c r="F2609" s="456"/>
      <c r="G2609" s="456"/>
      <c r="H2609" s="456"/>
    </row>
    <row r="2610" spans="1:8">
      <c r="A2610" s="456">
        <v>3607</v>
      </c>
      <c r="B2610" s="499" t="s">
        <v>3935</v>
      </c>
      <c r="C2610" s="458" t="s">
        <v>243</v>
      </c>
      <c r="D2610" s="456">
        <f>IF(Table10[[#This Row],[Current Age]]&gt;19,"Men's",IF(E2610&gt;15,"U19",IF(E2610&gt;13,"U15",IF(E2610&gt;11,"U13",IF(E2610&gt;0,"U11",0)))))</f>
        <v>0</v>
      </c>
      <c r="E2610" s="456">
        <f>IFERROR(IF(Table10[[#This Row],[Year]]&gt;0,$E$1-Table10[[#This Row],[Year]],0),"")</f>
        <v>0</v>
      </c>
      <c r="F2610" s="456"/>
      <c r="G2610" s="456"/>
      <c r="H2610" s="456"/>
    </row>
    <row r="2611" spans="1:8">
      <c r="A2611" s="471">
        <v>3608</v>
      </c>
      <c r="B2611" s="498" t="s">
        <v>3936</v>
      </c>
      <c r="C2611" s="472" t="s">
        <v>243</v>
      </c>
      <c r="D2611" s="456">
        <f>IF(Table10[[#This Row],[Current Age]]&gt;19,"Men's",IF(E2611&gt;15,"U19",IF(E2611&gt;13,"U15",IF(E2611&gt;11,"U13",IF(E2611&gt;0,"U11",0)))))</f>
        <v>0</v>
      </c>
      <c r="E2611" s="456">
        <f>IFERROR(IF(Table10[[#This Row],[Year]]&gt;0,$E$1-Table10[[#This Row],[Year]],0),"")</f>
        <v>0</v>
      </c>
      <c r="F2611" s="456"/>
      <c r="G2611" s="456"/>
      <c r="H2611" s="456"/>
    </row>
    <row r="2612" spans="1:8">
      <c r="A2612" s="456">
        <v>3609</v>
      </c>
      <c r="B2612" s="499" t="s">
        <v>3937</v>
      </c>
      <c r="C2612" s="458" t="s">
        <v>243</v>
      </c>
      <c r="D2612" s="456">
        <f>IF(Table10[[#This Row],[Current Age]]&gt;19,"Men's",IF(E2612&gt;15,"U19",IF(E2612&gt;13,"U15",IF(E2612&gt;11,"U13",IF(E2612&gt;0,"U11",0)))))</f>
        <v>0</v>
      </c>
      <c r="E2612" s="456">
        <f>IFERROR(IF(Table10[[#This Row],[Year]]&gt;0,$E$1-Table10[[#This Row],[Year]],0),"")</f>
        <v>0</v>
      </c>
      <c r="F2612" s="456"/>
      <c r="G2612" s="456"/>
      <c r="H2612" s="456"/>
    </row>
    <row r="2613" spans="1:8">
      <c r="A2613" s="471">
        <v>3610</v>
      </c>
      <c r="B2613" s="498" t="s">
        <v>3938</v>
      </c>
      <c r="C2613" s="472" t="s">
        <v>243</v>
      </c>
      <c r="D2613" s="456">
        <f>IF(Table10[[#This Row],[Current Age]]&gt;19,"Men's",IF(E2613&gt;15,"U19",IF(E2613&gt;13,"U15",IF(E2613&gt;11,"U13",IF(E2613&gt;0,"U11",0)))))</f>
        <v>0</v>
      </c>
      <c r="E2613" s="456">
        <f>IFERROR(IF(Table10[[#This Row],[Year]]&gt;0,$E$1-Table10[[#This Row],[Year]],0),"")</f>
        <v>0</v>
      </c>
      <c r="F2613" s="456"/>
      <c r="G2613" s="456"/>
      <c r="H2613" s="456"/>
    </row>
    <row r="2614" spans="1:8">
      <c r="A2614" s="456">
        <v>3611</v>
      </c>
      <c r="B2614" s="526" t="s">
        <v>3939</v>
      </c>
      <c r="C2614" s="458" t="s">
        <v>256</v>
      </c>
      <c r="D2614" s="456">
        <f>IF(Table10[[#This Row],[Current Age]]&gt;19,"Men's",IF(E2614&gt;15,"U19",IF(E2614&gt;13,"U15",IF(E2614&gt;11,"U13",IF(E2614&gt;0,"U11",0)))))</f>
        <v>0</v>
      </c>
      <c r="E2614" s="456">
        <f>IFERROR(IF(Table10[[#This Row],[Year]]&gt;0,$E$1-Table10[[#This Row],[Year]],0),"")</f>
        <v>0</v>
      </c>
      <c r="F2614" s="456"/>
      <c r="G2614" s="456"/>
      <c r="H2614" s="456"/>
    </row>
    <row r="2615" spans="1:8">
      <c r="A2615" s="471">
        <v>3612</v>
      </c>
      <c r="B2615" s="525" t="s">
        <v>3940</v>
      </c>
      <c r="C2615" s="472" t="s">
        <v>256</v>
      </c>
      <c r="D2615" s="456">
        <f>IF(Table10[[#This Row],[Current Age]]&gt;19,"Men's",IF(E2615&gt;15,"U19",IF(E2615&gt;13,"U15",IF(E2615&gt;11,"U13",IF(E2615&gt;0,"U11",0)))))</f>
        <v>0</v>
      </c>
      <c r="E2615" s="456">
        <f>IFERROR(IF(Table10[[#This Row],[Year]]&gt;0,$E$1-Table10[[#This Row],[Year]],0),"")</f>
        <v>0</v>
      </c>
      <c r="F2615" s="456"/>
      <c r="G2615" s="456"/>
      <c r="H2615" s="456"/>
    </row>
    <row r="2616" spans="1:8">
      <c r="A2616" s="456">
        <v>3613</v>
      </c>
      <c r="B2616" s="526" t="s">
        <v>3941</v>
      </c>
      <c r="C2616" s="458" t="s">
        <v>256</v>
      </c>
      <c r="D2616" s="456">
        <f>IF(Table10[[#This Row],[Current Age]]&gt;19,"Men's",IF(E2616&gt;15,"U19",IF(E2616&gt;13,"U15",IF(E2616&gt;11,"U13",IF(E2616&gt;0,"U11",0)))))</f>
        <v>0</v>
      </c>
      <c r="E2616" s="456">
        <f>IFERROR(IF(Table10[[#This Row],[Year]]&gt;0,$E$1-Table10[[#This Row],[Year]],0),"")</f>
        <v>0</v>
      </c>
      <c r="F2616" s="456"/>
      <c r="G2616" s="456"/>
      <c r="H2616" s="456"/>
    </row>
    <row r="2617" spans="1:8">
      <c r="A2617" s="471">
        <v>3614</v>
      </c>
      <c r="B2617" s="525" t="s">
        <v>3942</v>
      </c>
      <c r="C2617" s="472" t="s">
        <v>256</v>
      </c>
      <c r="D2617" s="456">
        <f>IF(Table10[[#This Row],[Current Age]]&gt;19,"Men's",IF(E2617&gt;15,"U19",IF(E2617&gt;13,"U15",IF(E2617&gt;11,"U13",IF(E2617&gt;0,"U11",0)))))</f>
        <v>0</v>
      </c>
      <c r="E2617" s="456">
        <f>IFERROR(IF(Table10[[#This Row],[Year]]&gt;0,$E$1-Table10[[#This Row],[Year]],0),"")</f>
        <v>0</v>
      </c>
      <c r="F2617" s="456"/>
      <c r="G2617" s="456"/>
      <c r="H2617" s="456"/>
    </row>
    <row r="2618" spans="1:8">
      <c r="A2618" s="456">
        <v>3615</v>
      </c>
      <c r="B2618" s="526" t="s">
        <v>3943</v>
      </c>
      <c r="C2618" s="458" t="s">
        <v>256</v>
      </c>
      <c r="D2618" s="456">
        <f>IF(Table10[[#This Row],[Current Age]]&gt;19,"Men's",IF(E2618&gt;15,"U19",IF(E2618&gt;13,"U15",IF(E2618&gt;11,"U13",IF(E2618&gt;0,"U11",0)))))</f>
        <v>0</v>
      </c>
      <c r="E2618" s="456">
        <f>IFERROR(IF(Table10[[#This Row],[Year]]&gt;0,$E$1-Table10[[#This Row],[Year]],0),"")</f>
        <v>0</v>
      </c>
      <c r="F2618" s="456"/>
      <c r="G2618" s="456"/>
      <c r="H2618" s="456"/>
    </row>
    <row r="2619" spans="1:8">
      <c r="A2619" s="471">
        <v>3616</v>
      </c>
      <c r="B2619" s="525" t="s">
        <v>3944</v>
      </c>
      <c r="C2619" s="472" t="s">
        <v>256</v>
      </c>
      <c r="D2619" s="456">
        <f>IF(Table10[[#This Row],[Current Age]]&gt;19,"Men's",IF(E2619&gt;15,"U19",IF(E2619&gt;13,"U15",IF(E2619&gt;11,"U13",IF(E2619&gt;0,"U11",0)))))</f>
        <v>0</v>
      </c>
      <c r="E2619" s="456">
        <f>IFERROR(IF(Table10[[#This Row],[Year]]&gt;0,$E$1-Table10[[#This Row],[Year]],0),"")</f>
        <v>0</v>
      </c>
      <c r="F2619" s="456"/>
      <c r="G2619" s="456"/>
      <c r="H2619" s="456"/>
    </row>
    <row r="2620" spans="1:8">
      <c r="A2620" s="456">
        <v>3617</v>
      </c>
      <c r="B2620" s="499" t="s">
        <v>3945</v>
      </c>
      <c r="C2620" s="458" t="s">
        <v>256</v>
      </c>
      <c r="D2620" s="456">
        <f>IF(Table10[[#This Row],[Current Age]]&gt;19,"Men's",IF(E2620&gt;15,"U19",IF(E2620&gt;13,"U15",IF(E2620&gt;11,"U13",IF(E2620&gt;0,"U11",0)))))</f>
        <v>0</v>
      </c>
      <c r="E2620" s="456">
        <f>IFERROR(IF(Table10[[#This Row],[Year]]&gt;0,$E$1-Table10[[#This Row],[Year]],0),"")</f>
        <v>0</v>
      </c>
      <c r="F2620" s="456"/>
      <c r="G2620" s="456"/>
      <c r="H2620" s="456"/>
    </row>
    <row r="2621" spans="1:8">
      <c r="A2621" s="471">
        <v>3618</v>
      </c>
      <c r="B2621" s="498" t="s">
        <v>3946</v>
      </c>
      <c r="C2621" s="472" t="s">
        <v>256</v>
      </c>
      <c r="D2621" s="456">
        <f>IF(Table10[[#This Row],[Current Age]]&gt;19,"Men's",IF(E2621&gt;15,"U19",IF(E2621&gt;13,"U15",IF(E2621&gt;11,"U13",IF(E2621&gt;0,"U11",0)))))</f>
        <v>0</v>
      </c>
      <c r="E2621" s="456">
        <f>IFERROR(IF(Table10[[#This Row],[Year]]&gt;0,$E$1-Table10[[#This Row],[Year]],0),"")</f>
        <v>0</v>
      </c>
      <c r="F2621" s="456"/>
      <c r="G2621" s="456"/>
      <c r="H2621" s="456"/>
    </row>
    <row r="2622" spans="1:8">
      <c r="A2622" s="456">
        <v>3619</v>
      </c>
      <c r="B2622" s="499" t="s">
        <v>3947</v>
      </c>
      <c r="C2622" s="458" t="s">
        <v>256</v>
      </c>
      <c r="D2622" s="456">
        <f>IF(Table10[[#This Row],[Current Age]]&gt;19,"Men's",IF(E2622&gt;15,"U19",IF(E2622&gt;13,"U15",IF(E2622&gt;11,"U13",IF(E2622&gt;0,"U11",0)))))</f>
        <v>0</v>
      </c>
      <c r="E2622" s="456">
        <f>IFERROR(IF(Table10[[#This Row],[Year]]&gt;0,$E$1-Table10[[#This Row],[Year]],0),"")</f>
        <v>0</v>
      </c>
      <c r="F2622" s="456"/>
      <c r="G2622" s="456"/>
      <c r="H2622" s="456"/>
    </row>
    <row r="2623" spans="1:8">
      <c r="A2623" s="471">
        <v>3620</v>
      </c>
      <c r="B2623" s="498" t="s">
        <v>3948</v>
      </c>
      <c r="C2623" s="472" t="s">
        <v>256</v>
      </c>
      <c r="D2623" s="456">
        <f>IF(Table10[[#This Row],[Current Age]]&gt;19,"Men's",IF(E2623&gt;15,"U19",IF(E2623&gt;13,"U15",IF(E2623&gt;11,"U13",IF(E2623&gt;0,"U11",0)))))</f>
        <v>0</v>
      </c>
      <c r="E2623" s="456">
        <f>IFERROR(IF(Table10[[#This Row],[Year]]&gt;0,$E$1-Table10[[#This Row],[Year]],0),"")</f>
        <v>0</v>
      </c>
      <c r="F2623" s="456"/>
      <c r="G2623" s="456"/>
      <c r="H2623" s="456"/>
    </row>
    <row r="2624" spans="1:8">
      <c r="A2624" s="456">
        <v>3621</v>
      </c>
      <c r="B2624" s="499" t="s">
        <v>3949</v>
      </c>
      <c r="C2624" s="458" t="s">
        <v>256</v>
      </c>
      <c r="D2624" s="456">
        <f>IF(Table10[[#This Row],[Current Age]]&gt;19,"Men's",IF(E2624&gt;15,"U19",IF(E2624&gt;13,"U15",IF(E2624&gt;11,"U13",IF(E2624&gt;0,"U11",0)))))</f>
        <v>0</v>
      </c>
      <c r="E2624" s="456">
        <f>IFERROR(IF(Table10[[#This Row],[Year]]&gt;0,$E$1-Table10[[#This Row],[Year]],0),"")</f>
        <v>0</v>
      </c>
      <c r="F2624" s="456"/>
      <c r="G2624" s="456"/>
      <c r="H2624" s="456"/>
    </row>
    <row r="2625" spans="1:8">
      <c r="A2625" s="601">
        <v>3622</v>
      </c>
      <c r="B2625" s="498" t="s">
        <v>6077</v>
      </c>
      <c r="C2625" s="472" t="s">
        <v>3750</v>
      </c>
      <c r="D2625" s="456">
        <f>IF(Table10[[#This Row],[Current Age]]&gt;19,"Men's",IF(E2625&gt;15,"U19",IF(E2625&gt;13,"U15",IF(E2625&gt;11,"U13",IF(E2625&gt;0,"U11",0)))))</f>
        <v>0</v>
      </c>
      <c r="E2625" s="456">
        <f>IFERROR(IF(Table10[[#This Row],[Year]]&gt;0,$E$1-Table10[[#This Row],[Year]],0),"")</f>
        <v>0</v>
      </c>
      <c r="F2625" s="456"/>
      <c r="G2625" s="456"/>
      <c r="H2625" s="456"/>
    </row>
    <row r="2626" spans="1:8">
      <c r="A2626" s="456">
        <v>3623</v>
      </c>
      <c r="B2626" s="523" t="s">
        <v>4634</v>
      </c>
      <c r="C2626" s="458" t="s">
        <v>244</v>
      </c>
      <c r="D2626" s="456" t="str">
        <f>IF(Table10[[#This Row],[Current Age]]&gt;19,"Men's",IF(E2626&gt;15,"U19",IF(E2626&gt;13,"U15",IF(E2626&gt;11,"U13",IF(E2626&gt;0,"U11",0)))))</f>
        <v>U19</v>
      </c>
      <c r="E2626" s="456">
        <f>IFERROR(IF(Table10[[#This Row],[Year]]&gt;0,$E$1-Table10[[#This Row],[Year]],0),"")</f>
        <v>16</v>
      </c>
      <c r="F2626" s="456">
        <v>2009</v>
      </c>
      <c r="G2626" s="456">
        <v>4</v>
      </c>
      <c r="H2626" s="456">
        <v>14</v>
      </c>
    </row>
    <row r="2627" spans="1:8">
      <c r="A2627" s="471">
        <v>3624</v>
      </c>
      <c r="B2627" s="524" t="s">
        <v>3957</v>
      </c>
      <c r="C2627" s="472" t="s">
        <v>762</v>
      </c>
      <c r="D2627" s="456">
        <f>IF(Table10[[#This Row],[Current Age]]&gt;19,"Men's",IF(E2627&gt;15,"U19",IF(E2627&gt;13,"U15",IF(E2627&gt;11,"U13",IF(E2627&gt;0,"U11",0)))))</f>
        <v>0</v>
      </c>
      <c r="E2627" s="456">
        <f>IFERROR(IF(Table10[[#This Row],[Year]]&gt;0,$E$1-Table10[[#This Row],[Year]],0),"")</f>
        <v>0</v>
      </c>
      <c r="F2627" s="456"/>
      <c r="G2627" s="456"/>
      <c r="H2627" s="456"/>
    </row>
    <row r="2628" spans="1:8">
      <c r="A2628" s="456">
        <v>3625</v>
      </c>
      <c r="B2628" s="523" t="s">
        <v>3958</v>
      </c>
      <c r="C2628" s="458" t="s">
        <v>362</v>
      </c>
      <c r="D2628" s="456" t="str">
        <f>IF(Table10[[#This Row],[Current Age]]&gt;19,"Men's",IF(E2628&gt;15,"U19",IF(E2628&gt;13,"U15",IF(E2628&gt;11,"U13",IF(E2628&gt;0,"U11",0)))))</f>
        <v>U13</v>
      </c>
      <c r="E2628" s="456">
        <f>IFERROR(IF(Table10[[#This Row],[Year]]&gt;0,$E$1-Table10[[#This Row],[Year]],0),"")</f>
        <v>12</v>
      </c>
      <c r="F2628" s="456">
        <v>2013</v>
      </c>
      <c r="G2628" s="456">
        <v>1</v>
      </c>
      <c r="H2628" s="456">
        <v>15</v>
      </c>
    </row>
    <row r="2629" spans="1:8">
      <c r="A2629" s="471">
        <v>3626</v>
      </c>
      <c r="B2629" s="524" t="s">
        <v>3959</v>
      </c>
      <c r="C2629" s="472" t="s">
        <v>362</v>
      </c>
      <c r="D2629" s="456" t="str">
        <f>IF(Table10[[#This Row],[Current Age]]&gt;19,"Men's",IF(E2629&gt;15,"U19",IF(E2629&gt;13,"U15",IF(E2629&gt;11,"U13",IF(E2629&gt;0,"U11",0)))))</f>
        <v>U13</v>
      </c>
      <c r="E2629" s="456">
        <f>IFERROR(IF(Table10[[#This Row],[Year]]&gt;0,$E$1-Table10[[#This Row],[Year]],0),"")</f>
        <v>12</v>
      </c>
      <c r="F2629" s="456">
        <v>2013</v>
      </c>
      <c r="G2629" s="456">
        <v>2</v>
      </c>
      <c r="H2629" s="456">
        <v>19</v>
      </c>
    </row>
    <row r="2630" spans="1:8">
      <c r="A2630" s="456">
        <v>3627</v>
      </c>
      <c r="B2630" s="523" t="s">
        <v>3960</v>
      </c>
      <c r="C2630" s="458" t="s">
        <v>362</v>
      </c>
      <c r="D2630" s="456" t="str">
        <f>IF(Table10[[#This Row],[Current Age]]&gt;19,"Men's",IF(E2630&gt;15,"U19",IF(E2630&gt;13,"U15",IF(E2630&gt;11,"U13",IF(E2630&gt;0,"U11",0)))))</f>
        <v>U15</v>
      </c>
      <c r="E2630" s="456">
        <f>IFERROR(IF(Table10[[#This Row],[Year]]&gt;0,$E$1-Table10[[#This Row],[Year]],0),"")</f>
        <v>14</v>
      </c>
      <c r="F2630" s="456">
        <v>2011</v>
      </c>
      <c r="G2630" s="456">
        <v>5</v>
      </c>
      <c r="H2630" s="456">
        <v>24</v>
      </c>
    </row>
    <row r="2631" spans="1:8">
      <c r="A2631" s="471">
        <v>3628</v>
      </c>
      <c r="B2631" s="524" t="s">
        <v>3961</v>
      </c>
      <c r="C2631" s="472" t="s">
        <v>362</v>
      </c>
      <c r="D2631" s="456" t="str">
        <f>IF(Table10[[#This Row],[Current Age]]&gt;19,"Men's",IF(E2631&gt;15,"U19",IF(E2631&gt;13,"U15",IF(E2631&gt;11,"U13",IF(E2631&gt;0,"U11",0)))))</f>
        <v>U15</v>
      </c>
      <c r="E2631" s="456">
        <f>IFERROR(IF(Table10[[#This Row],[Year]]&gt;0,$E$1-Table10[[#This Row],[Year]],0),"")</f>
        <v>15</v>
      </c>
      <c r="F2631" s="456">
        <v>2010</v>
      </c>
      <c r="G2631" s="456">
        <v>6</v>
      </c>
      <c r="H2631" s="456">
        <v>2</v>
      </c>
    </row>
    <row r="2632" spans="1:8">
      <c r="A2632" s="456">
        <v>3629</v>
      </c>
      <c r="B2632" s="523" t="s">
        <v>3962</v>
      </c>
      <c r="C2632" s="458" t="s">
        <v>362</v>
      </c>
      <c r="D2632" s="456" t="str">
        <f>IF(Table10[[#This Row],[Current Age]]&gt;19,"Men's",IF(E2632&gt;15,"U19",IF(E2632&gt;13,"U15",IF(E2632&gt;11,"U13",IF(E2632&gt;0,"U11",0)))))</f>
        <v>U19</v>
      </c>
      <c r="E2632" s="456">
        <f>IFERROR(IF(Table10[[#This Row],[Year]]&gt;0,$E$1-Table10[[#This Row],[Year]],0),"")</f>
        <v>17</v>
      </c>
      <c r="F2632" s="456">
        <v>2008</v>
      </c>
      <c r="G2632" s="456">
        <v>12</v>
      </c>
      <c r="H2632" s="456">
        <v>3</v>
      </c>
    </row>
    <row r="2633" spans="1:8">
      <c r="A2633" s="471">
        <v>3630</v>
      </c>
      <c r="B2633" s="524" t="s">
        <v>3963</v>
      </c>
      <c r="C2633" s="472" t="s">
        <v>362</v>
      </c>
      <c r="D2633" s="456" t="str">
        <f>IF(Table10[[#This Row],[Current Age]]&gt;19,"Men's",IF(E2633&gt;15,"U19",IF(E2633&gt;13,"U15",IF(E2633&gt;11,"U13",IF(E2633&gt;0,"U11",0)))))</f>
        <v>U19</v>
      </c>
      <c r="E2633" s="456">
        <f>IFERROR(IF(Table10[[#This Row],[Year]]&gt;0,$E$1-Table10[[#This Row],[Year]],0),"")</f>
        <v>17</v>
      </c>
      <c r="F2633" s="456">
        <v>2008</v>
      </c>
      <c r="G2633" s="456">
        <v>5</v>
      </c>
      <c r="H2633" s="456">
        <v>14</v>
      </c>
    </row>
    <row r="2634" spans="1:8">
      <c r="A2634" s="456">
        <v>3631</v>
      </c>
      <c r="B2634" s="523" t="s">
        <v>3964</v>
      </c>
      <c r="C2634" s="458" t="s">
        <v>362</v>
      </c>
      <c r="D2634" s="456" t="str">
        <f>IF(Table10[[#This Row],[Current Age]]&gt;19,"Men's",IF(E2634&gt;15,"U19",IF(E2634&gt;13,"U15",IF(E2634&gt;11,"U13",IF(E2634&gt;0,"U11",0)))))</f>
        <v>Men's</v>
      </c>
      <c r="E2634" s="456">
        <f>IFERROR(IF(Table10[[#This Row],[Year]]&gt;0,$E$1-Table10[[#This Row],[Year]],0),"")</f>
        <v>20</v>
      </c>
      <c r="F2634" s="456">
        <v>2005</v>
      </c>
      <c r="G2634" s="456">
        <v>11</v>
      </c>
      <c r="H2634" s="456">
        <v>1</v>
      </c>
    </row>
    <row r="2635" spans="1:8">
      <c r="A2635" s="471">
        <v>3632</v>
      </c>
      <c r="B2635" s="524" t="s">
        <v>3965</v>
      </c>
      <c r="C2635" s="472" t="s">
        <v>362</v>
      </c>
      <c r="D2635" s="456" t="str">
        <f>IF(Table10[[#This Row],[Current Age]]&gt;19,"Men's",IF(E2635&gt;15,"U19",IF(E2635&gt;13,"U15",IF(E2635&gt;11,"U13",IF(E2635&gt;0,"U11",0)))))</f>
        <v>Men's</v>
      </c>
      <c r="E2635" s="456">
        <f>IFERROR(IF(Table10[[#This Row],[Year]]&gt;0,$E$1-Table10[[#This Row],[Year]],0),"")</f>
        <v>24</v>
      </c>
      <c r="F2635" s="456">
        <v>2001</v>
      </c>
      <c r="G2635" s="456">
        <v>7</v>
      </c>
      <c r="H2635" s="456">
        <v>31</v>
      </c>
    </row>
    <row r="2636" spans="1:8">
      <c r="A2636" s="456">
        <v>3633</v>
      </c>
      <c r="B2636" s="523" t="s">
        <v>3966</v>
      </c>
      <c r="C2636" s="458" t="s">
        <v>362</v>
      </c>
      <c r="D2636" s="456">
        <f>IF(Table10[[#This Row],[Current Age]]&gt;19,"Men's",IF(E2636&gt;15,"U19",IF(E2636&gt;13,"U15",IF(E2636&gt;11,"U13",IF(E2636&gt;0,"U11",0)))))</f>
        <v>0</v>
      </c>
      <c r="E2636" s="456">
        <f>IFERROR(IF(Table10[[#This Row],[Year]]&gt;0,$E$1-Table10[[#This Row],[Year]],0),"")</f>
        <v>0</v>
      </c>
      <c r="F2636" s="456"/>
      <c r="G2636" s="456"/>
      <c r="H2636" s="456"/>
    </row>
    <row r="2637" spans="1:8">
      <c r="A2637" s="471">
        <v>3634</v>
      </c>
      <c r="B2637" s="493" t="s">
        <v>3975</v>
      </c>
      <c r="C2637" s="472" t="s">
        <v>3750</v>
      </c>
      <c r="D2637" s="456">
        <f>IF(Table10[[#This Row],[Current Age]]&gt;19,"Men's",IF(E2637&gt;15,"U19",IF(E2637&gt;13,"U15",IF(E2637&gt;11,"U13",IF(E2637&gt;0,"U11",0)))))</f>
        <v>0</v>
      </c>
      <c r="E2637" s="456">
        <f>IFERROR(IF(Table10[[#This Row],[Year]]&gt;0,$E$1-Table10[[#This Row],[Year]],0),"")</f>
        <v>0</v>
      </c>
      <c r="F2637" s="456"/>
      <c r="G2637" s="456"/>
      <c r="H2637" s="456"/>
    </row>
    <row r="2638" spans="1:8">
      <c r="A2638" s="456">
        <v>3635</v>
      </c>
      <c r="B2638" s="469" t="s">
        <v>3976</v>
      </c>
      <c r="C2638" s="458" t="s">
        <v>3750</v>
      </c>
      <c r="D2638" s="456">
        <f>IF(Table10[[#This Row],[Current Age]]&gt;19,"Men's",IF(E2638&gt;15,"U19",IF(E2638&gt;13,"U15",IF(E2638&gt;11,"U13",IF(E2638&gt;0,"U11",0)))))</f>
        <v>0</v>
      </c>
      <c r="E2638" s="456">
        <f>IFERROR(IF(Table10[[#This Row],[Year]]&gt;0,$E$1-Table10[[#This Row],[Year]],0),"")</f>
        <v>0</v>
      </c>
      <c r="F2638" s="456"/>
      <c r="G2638" s="456"/>
      <c r="H2638" s="456"/>
    </row>
    <row r="2639" spans="1:8">
      <c r="A2639" s="471">
        <v>3636</v>
      </c>
      <c r="B2639" s="493" t="s">
        <v>3977</v>
      </c>
      <c r="C2639" s="472" t="s">
        <v>3750</v>
      </c>
      <c r="D2639" s="456">
        <f>IF(Table10[[#This Row],[Current Age]]&gt;19,"Men's",IF(E2639&gt;15,"U19",IF(E2639&gt;13,"U15",IF(E2639&gt;11,"U13",IF(E2639&gt;0,"U11",0)))))</f>
        <v>0</v>
      </c>
      <c r="E2639" s="456">
        <f>IFERROR(IF(Table10[[#This Row],[Year]]&gt;0,$E$1-Table10[[#This Row],[Year]],0),"")</f>
        <v>0</v>
      </c>
      <c r="F2639" s="456"/>
      <c r="G2639" s="456"/>
      <c r="H2639" s="456"/>
    </row>
    <row r="2640" spans="1:8">
      <c r="A2640" s="456">
        <v>3637</v>
      </c>
      <c r="B2640" s="469" t="s">
        <v>3978</v>
      </c>
      <c r="C2640" s="458" t="s">
        <v>3750</v>
      </c>
      <c r="D2640" s="456">
        <f>IF(Table10[[#This Row],[Current Age]]&gt;19,"Men's",IF(E2640&gt;15,"U19",IF(E2640&gt;13,"U15",IF(E2640&gt;11,"U13",IF(E2640&gt;0,"U11",0)))))</f>
        <v>0</v>
      </c>
      <c r="E2640" s="456">
        <f>IFERROR(IF(Table10[[#This Row],[Year]]&gt;0,$E$1-Table10[[#This Row],[Year]],0),"")</f>
        <v>0</v>
      </c>
      <c r="F2640" s="456"/>
      <c r="G2640" s="456"/>
      <c r="H2640" s="456"/>
    </row>
    <row r="2641" spans="1:8">
      <c r="A2641" s="471">
        <v>3638</v>
      </c>
      <c r="B2641" s="493" t="s">
        <v>3979</v>
      </c>
      <c r="C2641" s="472" t="s">
        <v>3750</v>
      </c>
      <c r="D2641" s="456">
        <f>IF(Table10[[#This Row],[Current Age]]&gt;19,"Men's",IF(E2641&gt;15,"U19",IF(E2641&gt;13,"U15",IF(E2641&gt;11,"U13",IF(E2641&gt;0,"U11",0)))))</f>
        <v>0</v>
      </c>
      <c r="E2641" s="456">
        <f>IFERROR(IF(Table10[[#This Row],[Year]]&gt;0,$E$1-Table10[[#This Row],[Year]],0),"")</f>
        <v>0</v>
      </c>
      <c r="F2641" s="456"/>
      <c r="G2641" s="456"/>
      <c r="H2641" s="456"/>
    </row>
    <row r="2642" spans="1:8">
      <c r="A2642" s="456">
        <v>3639</v>
      </c>
      <c r="B2642" s="469" t="s">
        <v>3981</v>
      </c>
      <c r="C2642" s="458" t="s">
        <v>361</v>
      </c>
      <c r="D2642" s="456">
        <f>IF(Table10[[#This Row],[Current Age]]&gt;19,"Men's",IF(E2642&gt;15,"U19",IF(E2642&gt;13,"U15",IF(E2642&gt;11,"U13",IF(E2642&gt;0,"U11",0)))))</f>
        <v>0</v>
      </c>
      <c r="E2642" s="456">
        <f>IFERROR(IF(Table10[[#This Row],[Year]]&gt;0,$E$1-Table10[[#This Row],[Year]],0),"")</f>
        <v>0</v>
      </c>
      <c r="F2642" s="456"/>
      <c r="G2642" s="456"/>
      <c r="H2642" s="456"/>
    </row>
    <row r="2643" spans="1:8">
      <c r="A2643" s="471">
        <v>3640</v>
      </c>
      <c r="B2643" s="493" t="s">
        <v>3982</v>
      </c>
      <c r="C2643" s="472" t="s">
        <v>361</v>
      </c>
      <c r="D2643" s="456">
        <f>IF(Table10[[#This Row],[Current Age]]&gt;19,"Men's",IF(E2643&gt;15,"U19",IF(E2643&gt;13,"U15",IF(E2643&gt;11,"U13",IF(E2643&gt;0,"U11",0)))))</f>
        <v>0</v>
      </c>
      <c r="E2643" s="456">
        <f>IFERROR(IF(Table10[[#This Row],[Year]]&gt;0,$E$1-Table10[[#This Row],[Year]],0),"")</f>
        <v>0</v>
      </c>
      <c r="F2643" s="456"/>
      <c r="G2643" s="456"/>
      <c r="H2643" s="456"/>
    </row>
    <row r="2644" spans="1:8">
      <c r="A2644" s="456">
        <v>3641</v>
      </c>
      <c r="B2644" s="469" t="s">
        <v>3983</v>
      </c>
      <c r="C2644" s="458" t="s">
        <v>361</v>
      </c>
      <c r="D2644" s="456">
        <f>IF(Table10[[#This Row],[Current Age]]&gt;19,"Men's",IF(E2644&gt;15,"U19",IF(E2644&gt;13,"U15",IF(E2644&gt;11,"U13",IF(E2644&gt;0,"U11",0)))))</f>
        <v>0</v>
      </c>
      <c r="E2644" s="456">
        <f>IFERROR(IF(Table10[[#This Row],[Year]]&gt;0,$E$1-Table10[[#This Row],[Year]],0),"")</f>
        <v>0</v>
      </c>
      <c r="F2644" s="456"/>
      <c r="G2644" s="456"/>
      <c r="H2644" s="456"/>
    </row>
    <row r="2645" spans="1:8">
      <c r="A2645" s="471">
        <v>3642</v>
      </c>
      <c r="B2645" s="493" t="s">
        <v>3984</v>
      </c>
      <c r="C2645" s="472" t="s">
        <v>361</v>
      </c>
      <c r="D2645" s="456">
        <f>IF(Table10[[#This Row],[Current Age]]&gt;19,"Men's",IF(E2645&gt;15,"U19",IF(E2645&gt;13,"U15",IF(E2645&gt;11,"U13",IF(E2645&gt;0,"U11",0)))))</f>
        <v>0</v>
      </c>
      <c r="E2645" s="456">
        <f>IFERROR(IF(Table10[[#This Row],[Year]]&gt;0,$E$1-Table10[[#This Row],[Year]],0),"")</f>
        <v>0</v>
      </c>
      <c r="F2645" s="456"/>
      <c r="G2645" s="456"/>
      <c r="H2645" s="456"/>
    </row>
    <row r="2646" spans="1:8">
      <c r="A2646" s="456">
        <v>3643</v>
      </c>
      <c r="B2646" s="469" t="s">
        <v>3985</v>
      </c>
      <c r="C2646" s="458" t="s">
        <v>361</v>
      </c>
      <c r="D2646" s="456">
        <f>IF(Table10[[#This Row],[Current Age]]&gt;19,"Men's",IF(E2646&gt;15,"U19",IF(E2646&gt;13,"U15",IF(E2646&gt;11,"U13",IF(E2646&gt;0,"U11",0)))))</f>
        <v>0</v>
      </c>
      <c r="E2646" s="456">
        <f>IFERROR(IF(Table10[[#This Row],[Year]]&gt;0,$E$1-Table10[[#This Row],[Year]],0),"")</f>
        <v>0</v>
      </c>
      <c r="F2646" s="456"/>
      <c r="G2646" s="456"/>
      <c r="H2646" s="456"/>
    </row>
    <row r="2647" spans="1:8">
      <c r="A2647" s="471">
        <v>3644</v>
      </c>
      <c r="B2647" s="493" t="s">
        <v>3990</v>
      </c>
      <c r="C2647" s="472" t="s">
        <v>250</v>
      </c>
      <c r="D2647" s="456">
        <f>IF(Table10[[#This Row],[Current Age]]&gt;19,"Men's",IF(E2647&gt;15,"U19",IF(E2647&gt;13,"U15",IF(E2647&gt;11,"U13",IF(E2647&gt;0,"U11",0)))))</f>
        <v>0</v>
      </c>
      <c r="E2647" s="456">
        <f>IFERROR(IF(Table10[[#This Row],[Year]]&gt;0,$E$1-Table10[[#This Row],[Year]],0),"")</f>
        <v>0</v>
      </c>
      <c r="F2647" s="456"/>
      <c r="G2647" s="456"/>
      <c r="H2647" s="456"/>
    </row>
    <row r="2648" spans="1:8">
      <c r="A2648" s="456">
        <v>3645</v>
      </c>
      <c r="B2648" s="469" t="s">
        <v>3991</v>
      </c>
      <c r="C2648" s="458" t="s">
        <v>250</v>
      </c>
      <c r="D2648" s="456">
        <f>IF(Table10[[#This Row],[Current Age]]&gt;19,"Men's",IF(E2648&gt;15,"U19",IF(E2648&gt;13,"U15",IF(E2648&gt;11,"U13",IF(E2648&gt;0,"U11",0)))))</f>
        <v>0</v>
      </c>
      <c r="E2648" s="456">
        <f>IFERROR(IF(Table10[[#This Row],[Year]]&gt;0,$E$1-Table10[[#This Row],[Year]],0),"")</f>
        <v>0</v>
      </c>
      <c r="F2648" s="456"/>
      <c r="G2648" s="456"/>
      <c r="H2648" s="456"/>
    </row>
    <row r="2649" spans="1:8">
      <c r="A2649" s="471">
        <v>3646</v>
      </c>
      <c r="B2649" s="493" t="s">
        <v>3992</v>
      </c>
      <c r="C2649" s="472" t="s">
        <v>250</v>
      </c>
      <c r="D2649" s="456">
        <f>IF(Table10[[#This Row],[Current Age]]&gt;19,"Men's",IF(E2649&gt;15,"U19",IF(E2649&gt;13,"U15",IF(E2649&gt;11,"U13",IF(E2649&gt;0,"U11",0)))))</f>
        <v>0</v>
      </c>
      <c r="E2649" s="456">
        <f>IFERROR(IF(Table10[[#This Row],[Year]]&gt;0,$E$1-Table10[[#This Row],[Year]],0),"")</f>
        <v>0</v>
      </c>
      <c r="F2649" s="456"/>
      <c r="G2649" s="456"/>
      <c r="H2649" s="456"/>
    </row>
    <row r="2650" spans="1:8">
      <c r="A2650" s="456">
        <v>3647</v>
      </c>
      <c r="B2650" s="469" t="s">
        <v>3993</v>
      </c>
      <c r="C2650" s="458" t="s">
        <v>250</v>
      </c>
      <c r="D2650" s="456">
        <f>IF(Table10[[#This Row],[Current Age]]&gt;19,"Men's",IF(E2650&gt;15,"U19",IF(E2650&gt;13,"U15",IF(E2650&gt;11,"U13",IF(E2650&gt;0,"U11",0)))))</f>
        <v>0</v>
      </c>
      <c r="E2650" s="456">
        <f>IFERROR(IF(Table10[[#This Row],[Year]]&gt;0,$E$1-Table10[[#This Row],[Year]],0),"")</f>
        <v>0</v>
      </c>
      <c r="F2650" s="456"/>
      <c r="G2650" s="456"/>
      <c r="H2650" s="456"/>
    </row>
    <row r="2651" spans="1:8">
      <c r="A2651" s="471">
        <v>3648</v>
      </c>
      <c r="B2651" s="493" t="s">
        <v>3994</v>
      </c>
      <c r="C2651" s="472" t="s">
        <v>250</v>
      </c>
      <c r="D2651" s="456">
        <f>IF(Table10[[#This Row],[Current Age]]&gt;19,"Men's",IF(E2651&gt;15,"U19",IF(E2651&gt;13,"U15",IF(E2651&gt;11,"U13",IF(E2651&gt;0,"U11",0)))))</f>
        <v>0</v>
      </c>
      <c r="E2651" s="456">
        <f>IFERROR(IF(Table10[[#This Row],[Year]]&gt;0,$E$1-Table10[[#This Row],[Year]],0),"")</f>
        <v>0</v>
      </c>
      <c r="F2651" s="456"/>
      <c r="G2651" s="456"/>
      <c r="H2651" s="456"/>
    </row>
    <row r="2652" spans="1:8">
      <c r="A2652" s="456">
        <v>3649</v>
      </c>
      <c r="B2652" s="469" t="s">
        <v>3999</v>
      </c>
      <c r="C2652" s="458" t="s">
        <v>250</v>
      </c>
      <c r="D2652" s="456">
        <f>IF(Table10[[#This Row],[Current Age]]&gt;19,"Men's",IF(E2652&gt;15,"U19",IF(E2652&gt;13,"U15",IF(E2652&gt;11,"U13",IF(E2652&gt;0,"U11",0)))))</f>
        <v>0</v>
      </c>
      <c r="E2652" s="456">
        <f>IFERROR(IF(Table10[[#This Row],[Year]]&gt;0,$E$1-Table10[[#This Row],[Year]],0),"")</f>
        <v>0</v>
      </c>
      <c r="F2652" s="456"/>
      <c r="G2652" s="456"/>
      <c r="H2652" s="456"/>
    </row>
    <row r="2653" spans="1:8">
      <c r="A2653" s="471">
        <v>3650</v>
      </c>
      <c r="B2653" s="493" t="s">
        <v>4000</v>
      </c>
      <c r="C2653" s="472" t="s">
        <v>250</v>
      </c>
      <c r="D2653" s="456">
        <f>IF(Table10[[#This Row],[Current Age]]&gt;19,"Men's",IF(E2653&gt;15,"U19",IF(E2653&gt;13,"U15",IF(E2653&gt;11,"U13",IF(E2653&gt;0,"U11",0)))))</f>
        <v>0</v>
      </c>
      <c r="E2653" s="456">
        <f>IFERROR(IF(Table10[[#This Row],[Year]]&gt;0,$E$1-Table10[[#This Row],[Year]],0),"")</f>
        <v>0</v>
      </c>
      <c r="F2653" s="456"/>
      <c r="G2653" s="456"/>
      <c r="H2653" s="456"/>
    </row>
    <row r="2654" spans="1:8">
      <c r="A2654" s="456">
        <v>3651</v>
      </c>
      <c r="B2654" s="469" t="s">
        <v>4001</v>
      </c>
      <c r="C2654" s="458" t="s">
        <v>250</v>
      </c>
      <c r="D2654" s="456">
        <f>IF(Table10[[#This Row],[Current Age]]&gt;19,"Men's",IF(E2654&gt;15,"U19",IF(E2654&gt;13,"U15",IF(E2654&gt;11,"U13",IF(E2654&gt;0,"U11",0)))))</f>
        <v>0</v>
      </c>
      <c r="E2654" s="456">
        <f>IFERROR(IF(Table10[[#This Row],[Year]]&gt;0,$E$1-Table10[[#This Row],[Year]],0),"")</f>
        <v>0</v>
      </c>
      <c r="F2654" s="456"/>
      <c r="G2654" s="456"/>
      <c r="H2654" s="456"/>
    </row>
    <row r="2655" spans="1:8">
      <c r="A2655" s="471">
        <v>3652</v>
      </c>
      <c r="B2655" s="493" t="s">
        <v>4002</v>
      </c>
      <c r="C2655" s="472" t="s">
        <v>250</v>
      </c>
      <c r="D2655" s="456">
        <f>IF(Table10[[#This Row],[Current Age]]&gt;19,"Men's",IF(E2655&gt;15,"U19",IF(E2655&gt;13,"U15",IF(E2655&gt;11,"U13",IF(E2655&gt;0,"U11",0)))))</f>
        <v>0</v>
      </c>
      <c r="E2655" s="456">
        <f>IFERROR(IF(Table10[[#This Row],[Year]]&gt;0,$E$1-Table10[[#This Row],[Year]],0),"")</f>
        <v>0</v>
      </c>
      <c r="F2655" s="456"/>
      <c r="G2655" s="456"/>
      <c r="H2655" s="456"/>
    </row>
    <row r="2656" spans="1:8">
      <c r="A2656" s="456">
        <v>3653</v>
      </c>
      <c r="B2656" s="469" t="s">
        <v>4003</v>
      </c>
      <c r="C2656" s="458" t="s">
        <v>250</v>
      </c>
      <c r="D2656" s="456">
        <f>IF(Table10[[#This Row],[Current Age]]&gt;19,"Men's",IF(E2656&gt;15,"U19",IF(E2656&gt;13,"U15",IF(E2656&gt;11,"U13",IF(E2656&gt;0,"U11",0)))))</f>
        <v>0</v>
      </c>
      <c r="E2656" s="456">
        <f>IFERROR(IF(Table10[[#This Row],[Year]]&gt;0,$E$1-Table10[[#This Row],[Year]],0),"")</f>
        <v>0</v>
      </c>
      <c r="F2656" s="456"/>
      <c r="G2656" s="456"/>
      <c r="H2656" s="456"/>
    </row>
    <row r="2657" spans="1:8">
      <c r="A2657" s="471">
        <v>3654</v>
      </c>
      <c r="B2657" s="493" t="s">
        <v>4004</v>
      </c>
      <c r="C2657" s="472" t="s">
        <v>250</v>
      </c>
      <c r="D2657" s="456">
        <f>IF(Table10[[#This Row],[Current Age]]&gt;19,"Men's",IF(E2657&gt;15,"U19",IF(E2657&gt;13,"U15",IF(E2657&gt;11,"U13",IF(E2657&gt;0,"U11",0)))))</f>
        <v>0</v>
      </c>
      <c r="E2657" s="456">
        <f>IFERROR(IF(Table10[[#This Row],[Year]]&gt;0,$E$1-Table10[[#This Row],[Year]],0),"")</f>
        <v>0</v>
      </c>
      <c r="F2657" s="456"/>
      <c r="G2657" s="456"/>
      <c r="H2657" s="456"/>
    </row>
    <row r="2658" spans="1:8">
      <c r="A2658" s="456">
        <v>3655</v>
      </c>
      <c r="B2658" s="469" t="s">
        <v>4005</v>
      </c>
      <c r="C2658" s="458" t="s">
        <v>250</v>
      </c>
      <c r="D2658" s="456">
        <f>IF(Table10[[#This Row],[Current Age]]&gt;19,"Men's",IF(E2658&gt;15,"U19",IF(E2658&gt;13,"U15",IF(E2658&gt;11,"U13",IF(E2658&gt;0,"U11",0)))))</f>
        <v>0</v>
      </c>
      <c r="E2658" s="456">
        <f>IFERROR(IF(Table10[[#This Row],[Year]]&gt;0,$E$1-Table10[[#This Row],[Year]],0),"")</f>
        <v>0</v>
      </c>
      <c r="F2658" s="456"/>
      <c r="G2658" s="456"/>
      <c r="H2658" s="456"/>
    </row>
    <row r="2659" spans="1:8">
      <c r="A2659" s="471">
        <v>3656</v>
      </c>
      <c r="B2659" s="493" t="s">
        <v>4006</v>
      </c>
      <c r="C2659" s="472" t="s">
        <v>250</v>
      </c>
      <c r="D2659" s="456">
        <f>IF(Table10[[#This Row],[Current Age]]&gt;19,"Men's",IF(E2659&gt;15,"U19",IF(E2659&gt;13,"U15",IF(E2659&gt;11,"U13",IF(E2659&gt;0,"U11",0)))))</f>
        <v>0</v>
      </c>
      <c r="E2659" s="456">
        <f>IFERROR(IF(Table10[[#This Row],[Year]]&gt;0,$E$1-Table10[[#This Row],[Year]],0),"")</f>
        <v>0</v>
      </c>
      <c r="F2659" s="456"/>
      <c r="G2659" s="456"/>
      <c r="H2659" s="456"/>
    </row>
    <row r="2660" spans="1:8">
      <c r="A2660" s="456">
        <v>3657</v>
      </c>
      <c r="B2660" s="469" t="s">
        <v>4007</v>
      </c>
      <c r="C2660" s="458" t="s">
        <v>250</v>
      </c>
      <c r="D2660" s="456">
        <f>IF(Table10[[#This Row],[Current Age]]&gt;19,"Men's",IF(E2660&gt;15,"U19",IF(E2660&gt;13,"U15",IF(E2660&gt;11,"U13",IF(E2660&gt;0,"U11",0)))))</f>
        <v>0</v>
      </c>
      <c r="E2660" s="456">
        <f>IFERROR(IF(Table10[[#This Row],[Year]]&gt;0,$E$1-Table10[[#This Row],[Year]],0),"")</f>
        <v>0</v>
      </c>
      <c r="F2660" s="456"/>
      <c r="G2660" s="456"/>
      <c r="H2660" s="456"/>
    </row>
    <row r="2661" spans="1:8">
      <c r="A2661" s="471">
        <v>3658</v>
      </c>
      <c r="B2661" s="493" t="s">
        <v>4008</v>
      </c>
      <c r="C2661" s="472" t="s">
        <v>250</v>
      </c>
      <c r="D2661" s="456">
        <f>IF(Table10[[#This Row],[Current Age]]&gt;19,"Men's",IF(E2661&gt;15,"U19",IF(E2661&gt;13,"U15",IF(E2661&gt;11,"U13",IF(E2661&gt;0,"U11",0)))))</f>
        <v>0</v>
      </c>
      <c r="E2661" s="456">
        <f>IFERROR(IF(Table10[[#This Row],[Year]]&gt;0,$E$1-Table10[[#This Row],[Year]],0),"")</f>
        <v>0</v>
      </c>
      <c r="F2661" s="456"/>
      <c r="G2661" s="456"/>
      <c r="H2661" s="456"/>
    </row>
    <row r="2662" spans="1:8">
      <c r="A2662" s="456">
        <v>3659</v>
      </c>
      <c r="B2662" s="469" t="s">
        <v>4009</v>
      </c>
      <c r="C2662" s="458" t="s">
        <v>250</v>
      </c>
      <c r="D2662" s="456">
        <f>IF(Table10[[#This Row],[Current Age]]&gt;19,"Men's",IF(E2662&gt;15,"U19",IF(E2662&gt;13,"U15",IF(E2662&gt;11,"U13",IF(E2662&gt;0,"U11",0)))))</f>
        <v>0</v>
      </c>
      <c r="E2662" s="456">
        <f>IFERROR(IF(Table10[[#This Row],[Year]]&gt;0,$E$1-Table10[[#This Row],[Year]],0),"")</f>
        <v>0</v>
      </c>
      <c r="F2662" s="456"/>
      <c r="G2662" s="456"/>
      <c r="H2662" s="456"/>
    </row>
    <row r="2663" spans="1:8">
      <c r="A2663" s="471">
        <v>3660</v>
      </c>
      <c r="B2663" s="493" t="s">
        <v>4010</v>
      </c>
      <c r="C2663" s="472" t="s">
        <v>250</v>
      </c>
      <c r="D2663" s="456">
        <f>IF(Table10[[#This Row],[Current Age]]&gt;19,"Men's",IF(E2663&gt;15,"U19",IF(E2663&gt;13,"U15",IF(E2663&gt;11,"U13",IF(E2663&gt;0,"U11",0)))))</f>
        <v>0</v>
      </c>
      <c r="E2663" s="456">
        <f>IFERROR(IF(Table10[[#This Row],[Year]]&gt;0,$E$1-Table10[[#This Row],[Year]],0),"")</f>
        <v>0</v>
      </c>
      <c r="F2663" s="456"/>
      <c r="G2663" s="456"/>
      <c r="H2663" s="456"/>
    </row>
    <row r="2664" spans="1:8">
      <c r="A2664" s="456">
        <v>3661</v>
      </c>
      <c r="B2664" s="469" t="s">
        <v>4011</v>
      </c>
      <c r="C2664" s="458" t="s">
        <v>250</v>
      </c>
      <c r="D2664" s="456">
        <f>IF(Table10[[#This Row],[Current Age]]&gt;19,"Men's",IF(E2664&gt;15,"U19",IF(E2664&gt;13,"U15",IF(E2664&gt;11,"U13",IF(E2664&gt;0,"U11",0)))))</f>
        <v>0</v>
      </c>
      <c r="E2664" s="456">
        <f>IFERROR(IF(Table10[[#This Row],[Year]]&gt;0,$E$1-Table10[[#This Row],[Year]],0),"")</f>
        <v>0</v>
      </c>
      <c r="F2664" s="456"/>
      <c r="G2664" s="456"/>
      <c r="H2664" s="456"/>
    </row>
    <row r="2665" spans="1:8">
      <c r="A2665" s="471">
        <v>3662</v>
      </c>
      <c r="B2665" s="493" t="s">
        <v>4012</v>
      </c>
      <c r="C2665" s="472" t="s">
        <v>250</v>
      </c>
      <c r="D2665" s="456">
        <f>IF(Table10[[#This Row],[Current Age]]&gt;19,"Men's",IF(E2665&gt;15,"U19",IF(E2665&gt;13,"U15",IF(E2665&gt;11,"U13",IF(E2665&gt;0,"U11",0)))))</f>
        <v>0</v>
      </c>
      <c r="E2665" s="456">
        <f>IFERROR(IF(Table10[[#This Row],[Year]]&gt;0,$E$1-Table10[[#This Row],[Year]],0),"")</f>
        <v>0</v>
      </c>
      <c r="F2665" s="456"/>
      <c r="G2665" s="456"/>
      <c r="H2665" s="456"/>
    </row>
    <row r="2666" spans="1:8">
      <c r="A2666" s="456">
        <v>3663</v>
      </c>
      <c r="B2666" s="469" t="s">
        <v>4020</v>
      </c>
      <c r="C2666" s="458" t="s">
        <v>250</v>
      </c>
      <c r="D2666" s="456">
        <f>IF(Table10[[#This Row],[Current Age]]&gt;19,"Men's",IF(E2666&gt;15,"U19",IF(E2666&gt;13,"U15",IF(E2666&gt;11,"U13",IF(E2666&gt;0,"U11",0)))))</f>
        <v>0</v>
      </c>
      <c r="E2666" s="456">
        <f>IFERROR(IF(Table10[[#This Row],[Year]]&gt;0,$E$1-Table10[[#This Row],[Year]],0),"")</f>
        <v>0</v>
      </c>
      <c r="F2666" s="456"/>
      <c r="G2666" s="456"/>
      <c r="H2666" s="456"/>
    </row>
    <row r="2667" spans="1:8">
      <c r="A2667" s="471">
        <v>3664</v>
      </c>
      <c r="B2667" s="493" t="s">
        <v>4021</v>
      </c>
      <c r="C2667" s="472" t="s">
        <v>250</v>
      </c>
      <c r="D2667" s="456">
        <f>IF(Table10[[#This Row],[Current Age]]&gt;19,"Men's",IF(E2667&gt;15,"U19",IF(E2667&gt;13,"U15",IF(E2667&gt;11,"U13",IF(E2667&gt;0,"U11",0)))))</f>
        <v>0</v>
      </c>
      <c r="E2667" s="456">
        <f>IFERROR(IF(Table10[[#This Row],[Year]]&gt;0,$E$1-Table10[[#This Row],[Year]],0),"")</f>
        <v>0</v>
      </c>
      <c r="F2667" s="456"/>
      <c r="G2667" s="456"/>
      <c r="H2667" s="456"/>
    </row>
    <row r="2668" spans="1:8">
      <c r="A2668" s="456">
        <v>3665</v>
      </c>
      <c r="B2668" s="469" t="s">
        <v>4022</v>
      </c>
      <c r="C2668" s="458" t="s">
        <v>250</v>
      </c>
      <c r="D2668" s="456">
        <f>IF(Table10[[#This Row],[Current Age]]&gt;19,"Men's",IF(E2668&gt;15,"U19",IF(E2668&gt;13,"U15",IF(E2668&gt;11,"U13",IF(E2668&gt;0,"U11",0)))))</f>
        <v>0</v>
      </c>
      <c r="E2668" s="456">
        <f>IFERROR(IF(Table10[[#This Row],[Year]]&gt;0,$E$1-Table10[[#This Row],[Year]],0),"")</f>
        <v>0</v>
      </c>
      <c r="F2668" s="456"/>
      <c r="G2668" s="456"/>
      <c r="H2668" s="456"/>
    </row>
    <row r="2669" spans="1:8">
      <c r="A2669" s="471">
        <v>3666</v>
      </c>
      <c r="B2669" s="493" t="s">
        <v>4023</v>
      </c>
      <c r="C2669" s="472" t="s">
        <v>250</v>
      </c>
      <c r="D2669" s="456">
        <f>IF(Table10[[#This Row],[Current Age]]&gt;19,"Men's",IF(E2669&gt;15,"U19",IF(E2669&gt;13,"U15",IF(E2669&gt;11,"U13",IF(E2669&gt;0,"U11",0)))))</f>
        <v>0</v>
      </c>
      <c r="E2669" s="456">
        <f>IFERROR(IF(Table10[[#This Row],[Year]]&gt;0,$E$1-Table10[[#This Row],[Year]],0),"")</f>
        <v>0</v>
      </c>
      <c r="F2669" s="456"/>
      <c r="G2669" s="456"/>
      <c r="H2669" s="456"/>
    </row>
    <row r="2670" spans="1:8">
      <c r="A2670" s="456">
        <v>3667</v>
      </c>
      <c r="B2670" s="469" t="s">
        <v>4033</v>
      </c>
      <c r="C2670" s="458" t="s">
        <v>250</v>
      </c>
      <c r="D2670" s="456">
        <f>IF(Table10[[#This Row],[Current Age]]&gt;19,"Men's",IF(E2670&gt;15,"U19",IF(E2670&gt;13,"U15",IF(E2670&gt;11,"U13",IF(E2670&gt;0,"U11",0)))))</f>
        <v>0</v>
      </c>
      <c r="E2670" s="456">
        <f>IFERROR(IF(Table10[[#This Row],[Year]]&gt;0,$E$1-Table10[[#This Row],[Year]],0),"")</f>
        <v>0</v>
      </c>
      <c r="F2670" s="456"/>
      <c r="G2670" s="456"/>
      <c r="H2670" s="456"/>
    </row>
    <row r="2671" spans="1:8">
      <c r="A2671" s="471">
        <v>3668</v>
      </c>
      <c r="B2671" s="493" t="s">
        <v>4041</v>
      </c>
      <c r="C2671" s="472" t="s">
        <v>250</v>
      </c>
      <c r="D2671" s="456">
        <f>IF(Table10[[#This Row],[Current Age]]&gt;19,"Men's",IF(E2671&gt;15,"U19",IF(E2671&gt;13,"U15",IF(E2671&gt;11,"U13",IF(E2671&gt;0,"U11",0)))))</f>
        <v>0</v>
      </c>
      <c r="E2671" s="456">
        <f>IFERROR(IF(Table10[[#This Row],[Year]]&gt;0,$E$1-Table10[[#This Row],[Year]],0),"")</f>
        <v>0</v>
      </c>
      <c r="F2671" s="456"/>
      <c r="G2671" s="456"/>
      <c r="H2671" s="456"/>
    </row>
    <row r="2672" spans="1:8">
      <c r="A2672" s="456">
        <v>3669</v>
      </c>
      <c r="B2672" s="469" t="s">
        <v>4042</v>
      </c>
      <c r="C2672" s="458" t="s">
        <v>250</v>
      </c>
      <c r="D2672" s="456">
        <f>IF(Table10[[#This Row],[Current Age]]&gt;19,"Men's",IF(E2672&gt;15,"U19",IF(E2672&gt;13,"U15",IF(E2672&gt;11,"U13",IF(E2672&gt;0,"U11",0)))))</f>
        <v>0</v>
      </c>
      <c r="E2672" s="456">
        <f>IFERROR(IF(Table10[[#This Row],[Year]]&gt;0,$E$1-Table10[[#This Row],[Year]],0),"")</f>
        <v>0</v>
      </c>
      <c r="F2672" s="456"/>
      <c r="G2672" s="456"/>
      <c r="H2672" s="456"/>
    </row>
    <row r="2673" spans="1:8">
      <c r="A2673" s="471">
        <v>3670</v>
      </c>
      <c r="B2673" s="493" t="s">
        <v>4043</v>
      </c>
      <c r="C2673" s="472" t="s">
        <v>250</v>
      </c>
      <c r="D2673" s="456">
        <f>IF(Table10[[#This Row],[Current Age]]&gt;19,"Men's",IF(E2673&gt;15,"U19",IF(E2673&gt;13,"U15",IF(E2673&gt;11,"U13",IF(E2673&gt;0,"U11",0)))))</f>
        <v>0</v>
      </c>
      <c r="E2673" s="456">
        <f>IFERROR(IF(Table10[[#This Row],[Year]]&gt;0,$E$1-Table10[[#This Row],[Year]],0),"")</f>
        <v>0</v>
      </c>
      <c r="F2673" s="456"/>
      <c r="G2673" s="456"/>
      <c r="H2673" s="456"/>
    </row>
    <row r="2674" spans="1:8">
      <c r="A2674" s="456">
        <v>3671</v>
      </c>
      <c r="B2674" s="469" t="s">
        <v>4048</v>
      </c>
      <c r="C2674" s="458" t="s">
        <v>4552</v>
      </c>
      <c r="D2674" s="456">
        <f>IF(Table10[[#This Row],[Current Age]]&gt;19,"Men's",IF(E2674&gt;15,"U19",IF(E2674&gt;13,"U15",IF(E2674&gt;11,"U13",IF(E2674&gt;0,"U11",0)))))</f>
        <v>0</v>
      </c>
      <c r="E2674" s="456">
        <f>IFERROR(IF(Table10[[#This Row],[Year]]&gt;0,$E$1-Table10[[#This Row],[Year]],0),"")</f>
        <v>0</v>
      </c>
      <c r="F2674" s="456"/>
      <c r="G2674" s="456"/>
      <c r="H2674" s="456"/>
    </row>
    <row r="2675" spans="1:8">
      <c r="A2675" s="471">
        <v>3672</v>
      </c>
      <c r="B2675" s="493" t="s">
        <v>4049</v>
      </c>
      <c r="C2675" s="472" t="s">
        <v>4552</v>
      </c>
      <c r="D2675" s="456">
        <f>IF(Table10[[#This Row],[Current Age]]&gt;19,"Men's",IF(E2675&gt;15,"U19",IF(E2675&gt;13,"U15",IF(E2675&gt;11,"U13",IF(E2675&gt;0,"U11",0)))))</f>
        <v>0</v>
      </c>
      <c r="E2675" s="456">
        <f>IFERROR(IF(Table10[[#This Row],[Year]]&gt;0,$E$1-Table10[[#This Row],[Year]],0),"")</f>
        <v>0</v>
      </c>
      <c r="F2675" s="456"/>
      <c r="G2675" s="456"/>
      <c r="H2675" s="456"/>
    </row>
    <row r="2676" spans="1:8">
      <c r="A2676" s="456">
        <v>3673</v>
      </c>
      <c r="B2676" s="469" t="s">
        <v>4050</v>
      </c>
      <c r="C2676" s="458" t="s">
        <v>4552</v>
      </c>
      <c r="D2676" s="456">
        <f>IF(Table10[[#This Row],[Current Age]]&gt;19,"Men's",IF(E2676&gt;15,"U19",IF(E2676&gt;13,"U15",IF(E2676&gt;11,"U13",IF(E2676&gt;0,"U11",0)))))</f>
        <v>0</v>
      </c>
      <c r="E2676" s="456">
        <f>IFERROR(IF(Table10[[#This Row],[Year]]&gt;0,$E$1-Table10[[#This Row],[Year]],0),"")</f>
        <v>0</v>
      </c>
      <c r="F2676" s="456"/>
      <c r="G2676" s="456"/>
      <c r="H2676" s="456"/>
    </row>
    <row r="2677" spans="1:8">
      <c r="A2677" s="471">
        <v>3674</v>
      </c>
      <c r="B2677" s="493" t="s">
        <v>4051</v>
      </c>
      <c r="C2677" s="472" t="s">
        <v>4552</v>
      </c>
      <c r="D2677" s="456">
        <f>IF(Table10[[#This Row],[Current Age]]&gt;19,"Men's",IF(E2677&gt;15,"U19",IF(E2677&gt;13,"U15",IF(E2677&gt;11,"U13",IF(E2677&gt;0,"U11",0)))))</f>
        <v>0</v>
      </c>
      <c r="E2677" s="456">
        <f>IFERROR(IF(Table10[[#This Row],[Year]]&gt;0,$E$1-Table10[[#This Row],[Year]],0),"")</f>
        <v>0</v>
      </c>
      <c r="F2677" s="456"/>
      <c r="G2677" s="456"/>
      <c r="H2677" s="456"/>
    </row>
    <row r="2678" spans="1:8">
      <c r="A2678" s="456">
        <v>3675</v>
      </c>
      <c r="B2678" s="469" t="s">
        <v>4052</v>
      </c>
      <c r="C2678" s="458" t="s">
        <v>361</v>
      </c>
      <c r="D2678" s="456">
        <f>IF(Table10[[#This Row],[Current Age]]&gt;19,"Men's",IF(E2678&gt;15,"U19",IF(E2678&gt;13,"U15",IF(E2678&gt;11,"U13",IF(E2678&gt;0,"U11",0)))))</f>
        <v>0</v>
      </c>
      <c r="E2678" s="456">
        <f>IFERROR(IF(Table10[[#This Row],[Year]]&gt;0,$E$1-Table10[[#This Row],[Year]],0),"")</f>
        <v>0</v>
      </c>
      <c r="F2678" s="456"/>
      <c r="G2678" s="456"/>
      <c r="H2678" s="456"/>
    </row>
    <row r="2679" spans="1:8">
      <c r="A2679" s="471">
        <v>3676</v>
      </c>
      <c r="B2679" s="493" t="s">
        <v>4053</v>
      </c>
      <c r="C2679" s="472" t="s">
        <v>361</v>
      </c>
      <c r="D2679" s="456">
        <f>IF(Table10[[#This Row],[Current Age]]&gt;19,"Men's",IF(E2679&gt;15,"U19",IF(E2679&gt;13,"U15",IF(E2679&gt;11,"U13",IF(E2679&gt;0,"U11",0)))))</f>
        <v>0</v>
      </c>
      <c r="E2679" s="456">
        <f>IFERROR(IF(Table10[[#This Row],[Year]]&gt;0,$E$1-Table10[[#This Row],[Year]],0),"")</f>
        <v>0</v>
      </c>
      <c r="F2679" s="456"/>
      <c r="G2679" s="456"/>
      <c r="H2679" s="456"/>
    </row>
    <row r="2680" spans="1:8">
      <c r="A2680" s="456">
        <v>3677</v>
      </c>
      <c r="B2680" s="469" t="s">
        <v>4054</v>
      </c>
      <c r="C2680" s="458" t="s">
        <v>361</v>
      </c>
      <c r="D2680" s="456">
        <f>IF(Table10[[#This Row],[Current Age]]&gt;19,"Men's",IF(E2680&gt;15,"U19",IF(E2680&gt;13,"U15",IF(E2680&gt;11,"U13",IF(E2680&gt;0,"U11",0)))))</f>
        <v>0</v>
      </c>
      <c r="E2680" s="456">
        <f>IFERROR(IF(Table10[[#This Row],[Year]]&gt;0,$E$1-Table10[[#This Row],[Year]],0),"")</f>
        <v>0</v>
      </c>
      <c r="F2680" s="456"/>
      <c r="G2680" s="456"/>
      <c r="H2680" s="456"/>
    </row>
    <row r="2681" spans="1:8">
      <c r="A2681" s="471">
        <v>3678</v>
      </c>
      <c r="B2681" s="493" t="s">
        <v>4055</v>
      </c>
      <c r="C2681" s="472" t="s">
        <v>4720</v>
      </c>
      <c r="D2681" s="456">
        <f>IF(Table10[[#This Row],[Current Age]]&gt;19,"Men's",IF(E2681&gt;15,"U19",IF(E2681&gt;13,"U15",IF(E2681&gt;11,"U13",IF(E2681&gt;0,"U11",0)))))</f>
        <v>0</v>
      </c>
      <c r="E2681" s="456">
        <f>IFERROR(IF(Table10[[#This Row],[Year]]&gt;0,$E$1-Table10[[#This Row],[Year]],0),"")</f>
        <v>0</v>
      </c>
      <c r="F2681" s="456"/>
      <c r="G2681" s="456"/>
      <c r="H2681" s="456"/>
    </row>
    <row r="2682" spans="1:8">
      <c r="A2682" s="456">
        <v>3679</v>
      </c>
      <c r="B2682" s="469" t="s">
        <v>4056</v>
      </c>
      <c r="C2682" s="458" t="s">
        <v>4552</v>
      </c>
      <c r="D2682" s="456">
        <f>IF(Table10[[#This Row],[Current Age]]&gt;19,"Men's",IF(E2682&gt;15,"U19",IF(E2682&gt;13,"U15",IF(E2682&gt;11,"U13",IF(E2682&gt;0,"U11",0)))))</f>
        <v>0</v>
      </c>
      <c r="E2682" s="456">
        <f>IFERROR(IF(Table10[[#This Row],[Year]]&gt;0,$E$1-Table10[[#This Row],[Year]],0),"")</f>
        <v>0</v>
      </c>
      <c r="F2682" s="456"/>
      <c r="G2682" s="456"/>
      <c r="H2682" s="456"/>
    </row>
    <row r="2683" spans="1:8">
      <c r="A2683" s="471">
        <v>3680</v>
      </c>
      <c r="B2683" s="493" t="s">
        <v>4057</v>
      </c>
      <c r="C2683" s="472" t="s">
        <v>4552</v>
      </c>
      <c r="D2683" s="456">
        <f>IF(Table10[[#This Row],[Current Age]]&gt;19,"Men's",IF(E2683&gt;15,"U19",IF(E2683&gt;13,"U15",IF(E2683&gt;11,"U13",IF(E2683&gt;0,"U11",0)))))</f>
        <v>0</v>
      </c>
      <c r="E2683" s="456">
        <f>IFERROR(IF(Table10[[#This Row],[Year]]&gt;0,$E$1-Table10[[#This Row],[Year]],0),"")</f>
        <v>0</v>
      </c>
      <c r="F2683" s="456"/>
      <c r="G2683" s="456"/>
      <c r="H2683" s="456"/>
    </row>
    <row r="2684" spans="1:8">
      <c r="A2684" s="456">
        <v>3681</v>
      </c>
      <c r="B2684" s="469" t="s">
        <v>4058</v>
      </c>
      <c r="C2684" s="458" t="s">
        <v>4552</v>
      </c>
      <c r="D2684" s="456">
        <f>IF(Table10[[#This Row],[Current Age]]&gt;19,"Men's",IF(E2684&gt;15,"U19",IF(E2684&gt;13,"U15",IF(E2684&gt;11,"U13",IF(E2684&gt;0,"U11",0)))))</f>
        <v>0</v>
      </c>
      <c r="E2684" s="456">
        <f>IFERROR(IF(Table10[[#This Row],[Year]]&gt;0,$E$1-Table10[[#This Row],[Year]],0),"")</f>
        <v>0</v>
      </c>
      <c r="F2684" s="456"/>
      <c r="G2684" s="456"/>
      <c r="H2684" s="456"/>
    </row>
    <row r="2685" spans="1:8">
      <c r="A2685" s="471">
        <v>3682</v>
      </c>
      <c r="B2685" s="493" t="s">
        <v>4059</v>
      </c>
      <c r="C2685" s="472" t="s">
        <v>4552</v>
      </c>
      <c r="D2685" s="456">
        <f>IF(Table10[[#This Row],[Current Age]]&gt;19,"Men's",IF(E2685&gt;15,"U19",IF(E2685&gt;13,"U15",IF(E2685&gt;11,"U13",IF(E2685&gt;0,"U11",0)))))</f>
        <v>0</v>
      </c>
      <c r="E2685" s="456">
        <f>IFERROR(IF(Table10[[#This Row],[Year]]&gt;0,$E$1-Table10[[#This Row],[Year]],0),"")</f>
        <v>0</v>
      </c>
      <c r="F2685" s="456"/>
      <c r="G2685" s="456"/>
      <c r="H2685" s="456"/>
    </row>
    <row r="2686" spans="1:8">
      <c r="A2686" s="456">
        <v>3683</v>
      </c>
      <c r="B2686" s="469" t="s">
        <v>4060</v>
      </c>
      <c r="C2686" s="458" t="s">
        <v>4552</v>
      </c>
      <c r="D2686" s="456">
        <f>IF(Table10[[#This Row],[Current Age]]&gt;19,"Men's",IF(E2686&gt;15,"U19",IF(E2686&gt;13,"U15",IF(E2686&gt;11,"U13",IF(E2686&gt;0,"U11",0)))))</f>
        <v>0</v>
      </c>
      <c r="E2686" s="456">
        <f>IFERROR(IF(Table10[[#This Row],[Year]]&gt;0,$E$1-Table10[[#This Row],[Year]],0),"")</f>
        <v>0</v>
      </c>
      <c r="F2686" s="456"/>
      <c r="G2686" s="456"/>
      <c r="H2686" s="456"/>
    </row>
    <row r="2687" spans="1:8">
      <c r="A2687" s="471">
        <v>3684</v>
      </c>
      <c r="B2687" s="493" t="s">
        <v>4061</v>
      </c>
      <c r="C2687" s="472" t="s">
        <v>4552</v>
      </c>
      <c r="D2687" s="456">
        <f>IF(Table10[[#This Row],[Current Age]]&gt;19,"Men's",IF(E2687&gt;15,"U19",IF(E2687&gt;13,"U15",IF(E2687&gt;11,"U13",IF(E2687&gt;0,"U11",0)))))</f>
        <v>0</v>
      </c>
      <c r="E2687" s="456">
        <f>IFERROR(IF(Table10[[#This Row],[Year]]&gt;0,$E$1-Table10[[#This Row],[Year]],0),"")</f>
        <v>0</v>
      </c>
      <c r="F2687" s="456"/>
      <c r="G2687" s="456"/>
      <c r="H2687" s="456"/>
    </row>
    <row r="2688" spans="1:8">
      <c r="A2688" s="456">
        <v>3685</v>
      </c>
      <c r="B2688" s="469" t="s">
        <v>4062</v>
      </c>
      <c r="C2688" s="458" t="s">
        <v>4552</v>
      </c>
      <c r="D2688" s="456">
        <f>IF(Table10[[#This Row],[Current Age]]&gt;19,"Men's",IF(E2688&gt;15,"U19",IF(E2688&gt;13,"U15",IF(E2688&gt;11,"U13",IF(E2688&gt;0,"U11",0)))))</f>
        <v>0</v>
      </c>
      <c r="E2688" s="456">
        <f>IFERROR(IF(Table10[[#This Row],[Year]]&gt;0,$E$1-Table10[[#This Row],[Year]],0),"")</f>
        <v>0</v>
      </c>
      <c r="F2688" s="456"/>
      <c r="G2688" s="456"/>
      <c r="H2688" s="456"/>
    </row>
    <row r="2689" spans="1:8">
      <c r="A2689" s="471">
        <v>3686</v>
      </c>
      <c r="B2689" s="493" t="s">
        <v>4063</v>
      </c>
      <c r="C2689" s="472" t="s">
        <v>762</v>
      </c>
      <c r="D2689" s="456" t="str">
        <f>IF(Table10[[#This Row],[Current Age]]&gt;19,"Men's",IF(E2689&gt;15,"U19",IF(E2689&gt;13,"U15",IF(E2689&gt;11,"U13",IF(E2689&gt;0,"U11",0)))))</f>
        <v>Men's</v>
      </c>
      <c r="E2689" s="456">
        <f>IFERROR(IF(Table10[[#This Row],[Year]]&gt;0,$E$1-Table10[[#This Row],[Year]],0),"")</f>
        <v>28</v>
      </c>
      <c r="F2689" s="456">
        <v>1997</v>
      </c>
      <c r="G2689" s="456">
        <v>7</v>
      </c>
      <c r="H2689" s="456">
        <v>13</v>
      </c>
    </row>
    <row r="2690" spans="1:8">
      <c r="A2690" s="456">
        <v>3687</v>
      </c>
      <c r="B2690" s="469" t="s">
        <v>4064</v>
      </c>
      <c r="C2690" s="458" t="s">
        <v>762</v>
      </c>
      <c r="D2690" s="456" t="str">
        <f>IF(Table10[[#This Row],[Current Age]]&gt;19,"Men's",IF(E2690&gt;15,"U19",IF(E2690&gt;13,"U15",IF(E2690&gt;11,"U13",IF(E2690&gt;0,"U11",0)))))</f>
        <v>U19</v>
      </c>
      <c r="E2690" s="456">
        <f>IFERROR(IF(Table10[[#This Row],[Year]]&gt;0,$E$1-Table10[[#This Row],[Year]],0),"")</f>
        <v>19</v>
      </c>
      <c r="F2690" s="456">
        <v>2006</v>
      </c>
      <c r="G2690" s="456">
        <v>8</v>
      </c>
      <c r="H2690" s="456">
        <v>8</v>
      </c>
    </row>
    <row r="2691" spans="1:8">
      <c r="A2691" s="471">
        <v>3688</v>
      </c>
      <c r="B2691" s="493" t="s">
        <v>4065</v>
      </c>
      <c r="C2691" s="472" t="s">
        <v>3027</v>
      </c>
      <c r="D2691" s="456" t="str">
        <f>IF(Table10[[#This Row],[Current Age]]&gt;19,"Men's",IF(E2691&gt;15,"U19",IF(E2691&gt;13,"U15",IF(E2691&gt;11,"U13",IF(E2691&gt;0,"U11",0)))))</f>
        <v>U19</v>
      </c>
      <c r="E2691" s="456">
        <f>IFERROR(IF(Table10[[#This Row],[Year]]&gt;0,$E$1-Table10[[#This Row],[Year]],0),"")</f>
        <v>16</v>
      </c>
      <c r="F2691" s="456">
        <v>2009</v>
      </c>
      <c r="G2691" s="456">
        <v>2</v>
      </c>
      <c r="H2691" s="456">
        <v>18</v>
      </c>
    </row>
    <row r="2692" spans="1:8">
      <c r="A2692" s="456">
        <v>3689</v>
      </c>
      <c r="B2692" s="469" t="s">
        <v>4066</v>
      </c>
      <c r="C2692" s="458" t="s">
        <v>3027</v>
      </c>
      <c r="D2692" s="456" t="str">
        <f>IF(Table10[[#This Row],[Current Age]]&gt;19,"Men's",IF(E2692&gt;15,"U19",IF(E2692&gt;13,"U15",IF(E2692&gt;11,"U13",IF(E2692&gt;0,"U11",0)))))</f>
        <v>U19</v>
      </c>
      <c r="E2692" s="456">
        <f>IFERROR(IF(Table10[[#This Row],[Year]]&gt;0,$E$1-Table10[[#This Row],[Year]],0),"")</f>
        <v>16</v>
      </c>
      <c r="F2692" s="456">
        <v>2009</v>
      </c>
      <c r="G2692" s="456">
        <v>10</v>
      </c>
      <c r="H2692" s="456">
        <v>30</v>
      </c>
    </row>
    <row r="2693" spans="1:8">
      <c r="A2693" s="471">
        <v>3690</v>
      </c>
      <c r="B2693" s="493" t="s">
        <v>4067</v>
      </c>
      <c r="C2693" s="472" t="s">
        <v>3027</v>
      </c>
      <c r="D2693" s="456" t="str">
        <f>IF(Table10[[#This Row],[Current Age]]&gt;19,"Men's",IF(E2693&gt;15,"U19",IF(E2693&gt;13,"U15",IF(E2693&gt;11,"U13",IF(E2693&gt;0,"U11",0)))))</f>
        <v>U15</v>
      </c>
      <c r="E2693" s="456">
        <f>IFERROR(IF(Table10[[#This Row],[Year]]&gt;0,$E$1-Table10[[#This Row],[Year]],0),"")</f>
        <v>15</v>
      </c>
      <c r="F2693" s="456">
        <v>2010</v>
      </c>
      <c r="G2693" s="456">
        <v>7</v>
      </c>
      <c r="H2693" s="456">
        <v>2</v>
      </c>
    </row>
    <row r="2694" spans="1:8">
      <c r="A2694" s="456">
        <v>3691</v>
      </c>
      <c r="B2694" s="469" t="s">
        <v>4068</v>
      </c>
      <c r="C2694" s="458" t="s">
        <v>3027</v>
      </c>
      <c r="D2694" s="456" t="str">
        <f>IF(Table10[[#This Row],[Current Age]]&gt;19,"Men's",IF(E2694&gt;15,"U19",IF(E2694&gt;13,"U15",IF(E2694&gt;11,"U13",IF(E2694&gt;0,"U11",0)))))</f>
        <v>U15</v>
      </c>
      <c r="E2694" s="456">
        <f>IFERROR(IF(Table10[[#This Row],[Year]]&gt;0,$E$1-Table10[[#This Row],[Year]],0),"")</f>
        <v>15</v>
      </c>
      <c r="F2694" s="456">
        <v>2010</v>
      </c>
      <c r="G2694" s="456">
        <v>1</v>
      </c>
      <c r="H2694" s="456">
        <v>22</v>
      </c>
    </row>
    <row r="2695" spans="1:8">
      <c r="A2695" s="471">
        <v>3692</v>
      </c>
      <c r="B2695" s="493" t="s">
        <v>4069</v>
      </c>
      <c r="C2695" s="472" t="s">
        <v>3027</v>
      </c>
      <c r="D2695" s="456" t="str">
        <f>IF(Table10[[#This Row],[Current Age]]&gt;19,"Men's",IF(E2695&gt;15,"U19",IF(E2695&gt;13,"U15",IF(E2695&gt;11,"U13",IF(E2695&gt;0,"U11",0)))))</f>
        <v>U15</v>
      </c>
      <c r="E2695" s="456">
        <f>IFERROR(IF(Table10[[#This Row],[Year]]&gt;0,$E$1-Table10[[#This Row],[Year]],0),"")</f>
        <v>15</v>
      </c>
      <c r="F2695" s="456">
        <v>2010</v>
      </c>
      <c r="G2695" s="456">
        <v>9</v>
      </c>
      <c r="H2695" s="456">
        <v>23</v>
      </c>
    </row>
    <row r="2696" spans="1:8">
      <c r="A2696" s="456">
        <v>3693</v>
      </c>
      <c r="B2696" s="469" t="s">
        <v>4070</v>
      </c>
      <c r="C2696" s="458" t="s">
        <v>3027</v>
      </c>
      <c r="D2696" s="456" t="str">
        <f>IF(Table10[[#This Row],[Current Age]]&gt;19,"Men's",IF(E2696&gt;15,"U19",IF(E2696&gt;13,"U15",IF(E2696&gt;11,"U13",IF(E2696&gt;0,"U11",0)))))</f>
        <v>U13</v>
      </c>
      <c r="E2696" s="456">
        <f>IFERROR(IF(Table10[[#This Row],[Year]]&gt;0,$E$1-Table10[[#This Row],[Year]],0),"")</f>
        <v>13</v>
      </c>
      <c r="F2696" s="456">
        <v>2012</v>
      </c>
      <c r="G2696" s="456">
        <v>9</v>
      </c>
      <c r="H2696" s="456">
        <v>28</v>
      </c>
    </row>
    <row r="2697" spans="1:8">
      <c r="A2697" s="471">
        <v>3694</v>
      </c>
      <c r="B2697" s="493" t="s">
        <v>4071</v>
      </c>
      <c r="C2697" s="472" t="s">
        <v>3027</v>
      </c>
      <c r="D2697" s="456" t="str">
        <f>IF(Table10[[#This Row],[Current Age]]&gt;19,"Men's",IF(E2697&gt;15,"U19",IF(E2697&gt;13,"U15",IF(E2697&gt;11,"U13",IF(E2697&gt;0,"U11",0)))))</f>
        <v>U13</v>
      </c>
      <c r="E2697" s="456">
        <f>IFERROR(IF(Table10[[#This Row],[Year]]&gt;0,$E$1-Table10[[#This Row],[Year]],0),"")</f>
        <v>12</v>
      </c>
      <c r="F2697" s="456">
        <v>2013</v>
      </c>
      <c r="G2697" s="456">
        <v>100</v>
      </c>
      <c r="H2697" s="456">
        <v>10</v>
      </c>
    </row>
    <row r="2698" spans="1:8">
      <c r="A2698" s="456">
        <v>3695</v>
      </c>
      <c r="B2698" s="469" t="s">
        <v>4072</v>
      </c>
      <c r="C2698" s="458" t="s">
        <v>3027</v>
      </c>
      <c r="D2698" s="456" t="str">
        <f>IF(Table10[[#This Row],[Current Age]]&gt;19,"Men's",IF(E2698&gt;15,"U19",IF(E2698&gt;13,"U15",IF(E2698&gt;11,"U13",IF(E2698&gt;0,"U11",0)))))</f>
        <v>U13</v>
      </c>
      <c r="E2698" s="456">
        <f>IFERROR(IF(Table10[[#This Row],[Year]]&gt;0,$E$1-Table10[[#This Row],[Year]],0),"")</f>
        <v>12</v>
      </c>
      <c r="F2698" s="456">
        <v>2013</v>
      </c>
      <c r="G2698" s="456">
        <v>6</v>
      </c>
      <c r="H2698" s="456">
        <v>26</v>
      </c>
    </row>
    <row r="2699" spans="1:8">
      <c r="A2699" s="471">
        <v>3696</v>
      </c>
      <c r="B2699" s="493" t="s">
        <v>4073</v>
      </c>
      <c r="C2699" s="472" t="s">
        <v>3027</v>
      </c>
      <c r="D2699" s="456" t="str">
        <f>IF(Table10[[#This Row],[Current Age]]&gt;19,"Men's",IF(E2699&gt;15,"U19",IF(E2699&gt;13,"U15",IF(E2699&gt;11,"U13",IF(E2699&gt;0,"U11",0)))))</f>
        <v>U13</v>
      </c>
      <c r="E2699" s="456">
        <f>IFERROR(IF(Table10[[#This Row],[Year]]&gt;0,$E$1-Table10[[#This Row],[Year]],0),"")</f>
        <v>13</v>
      </c>
      <c r="F2699" s="456">
        <v>2012</v>
      </c>
      <c r="G2699" s="456">
        <v>1</v>
      </c>
      <c r="H2699" s="456">
        <v>27</v>
      </c>
    </row>
    <row r="2700" spans="1:8">
      <c r="A2700" s="456">
        <v>3697</v>
      </c>
      <c r="B2700" s="469" t="s">
        <v>4074</v>
      </c>
      <c r="C2700" s="458" t="s">
        <v>3027</v>
      </c>
      <c r="D2700" s="456" t="str">
        <f>IF(Table10[[#This Row],[Current Age]]&gt;19,"Men's",IF(E2700&gt;15,"U19",IF(E2700&gt;13,"U15",IF(E2700&gt;11,"U13",IF(E2700&gt;0,"U11",0)))))</f>
        <v>U13</v>
      </c>
      <c r="E2700" s="456">
        <f>IFERROR(IF(Table10[[#This Row],[Year]]&gt;0,$E$1-Table10[[#This Row],[Year]],0),"")</f>
        <v>13</v>
      </c>
      <c r="F2700" s="456">
        <v>2012</v>
      </c>
      <c r="G2700" s="456">
        <v>1</v>
      </c>
      <c r="H2700" s="456">
        <v>26</v>
      </c>
    </row>
    <row r="2701" spans="1:8">
      <c r="A2701" s="471">
        <v>3698</v>
      </c>
      <c r="B2701" s="493" t="s">
        <v>4075</v>
      </c>
      <c r="C2701" s="472" t="s">
        <v>3027</v>
      </c>
      <c r="D2701" s="456" t="str">
        <f>IF(Table10[[#This Row],[Current Age]]&gt;19,"Men's",IF(E2701&gt;15,"U19",IF(E2701&gt;13,"U15",IF(E2701&gt;11,"U13",IF(E2701&gt;0,"U11",0)))))</f>
        <v>U15</v>
      </c>
      <c r="E2701" s="456">
        <f>IFERROR(IF(Table10[[#This Row],[Year]]&gt;0,$E$1-Table10[[#This Row],[Year]],0),"")</f>
        <v>14</v>
      </c>
      <c r="F2701" s="456">
        <v>2011</v>
      </c>
      <c r="G2701" s="456">
        <v>8</v>
      </c>
      <c r="H2701" s="456">
        <v>30</v>
      </c>
    </row>
    <row r="2702" spans="1:8">
      <c r="A2702" s="456">
        <v>3699</v>
      </c>
      <c r="B2702" s="469" t="s">
        <v>4076</v>
      </c>
      <c r="C2702" s="458" t="s">
        <v>3027</v>
      </c>
      <c r="D2702" s="456" t="str">
        <f>IF(Table10[[#This Row],[Current Age]]&gt;19,"Men's",IF(E2702&gt;15,"U19",IF(E2702&gt;13,"U15",IF(E2702&gt;11,"U13",IF(E2702&gt;0,"U11",0)))))</f>
        <v>U19</v>
      </c>
      <c r="E2702" s="456">
        <f>IFERROR(IF(Table10[[#This Row],[Year]]&gt;0,$E$1-Table10[[#This Row],[Year]],0),"")</f>
        <v>17</v>
      </c>
      <c r="F2702" s="456">
        <v>2008</v>
      </c>
      <c r="G2702" s="456">
        <v>8</v>
      </c>
      <c r="H2702" s="456">
        <v>30</v>
      </c>
    </row>
    <row r="2703" spans="1:8">
      <c r="A2703" s="601">
        <v>3700</v>
      </c>
      <c r="B2703" s="493" t="s">
        <v>6078</v>
      </c>
      <c r="C2703" s="472" t="s">
        <v>3750</v>
      </c>
      <c r="D2703" s="456">
        <f>IF(Table10[[#This Row],[Current Age]]&gt;19,"Men's",IF(E2703&gt;15,"U19",IF(E2703&gt;13,"U15",IF(E2703&gt;11,"U13",IF(E2703&gt;0,"U11",0)))))</f>
        <v>0</v>
      </c>
      <c r="E2703" s="456">
        <f>IFERROR(IF(Table10[[#This Row],[Year]]&gt;0,$E$1-Table10[[#This Row],[Year]],0),"")</f>
        <v>0</v>
      </c>
      <c r="F2703" s="456"/>
      <c r="G2703" s="456"/>
      <c r="H2703" s="456"/>
    </row>
    <row r="2704" spans="1:8">
      <c r="A2704" s="456">
        <v>3701</v>
      </c>
      <c r="B2704" s="469" t="s">
        <v>4083</v>
      </c>
      <c r="C2704" s="458" t="s">
        <v>362</v>
      </c>
      <c r="D2704" s="456" t="str">
        <f>IF(Table10[[#This Row],[Current Age]]&gt;19,"Men's",IF(E2704&gt;15,"U19",IF(E2704&gt;13,"U15",IF(E2704&gt;11,"U13",IF(E2704&gt;0,"U11",0)))))</f>
        <v>Men's</v>
      </c>
      <c r="E2704" s="456">
        <f>IFERROR(IF(Table10[[#This Row],[Year]]&gt;0,$E$1-Table10[[#This Row],[Year]],0),"")</f>
        <v>46</v>
      </c>
      <c r="F2704" s="456">
        <v>1979</v>
      </c>
      <c r="G2704" s="456">
        <v>2</v>
      </c>
      <c r="H2704" s="456">
        <v>27</v>
      </c>
    </row>
    <row r="2705" spans="1:8">
      <c r="A2705" s="471">
        <v>3702</v>
      </c>
      <c r="B2705" s="493" t="s">
        <v>4084</v>
      </c>
      <c r="C2705" s="472" t="s">
        <v>762</v>
      </c>
      <c r="D2705" s="456">
        <f>IF(Table10[[#This Row],[Current Age]]&gt;19,"Men's",IF(E2705&gt;15,"U19",IF(E2705&gt;13,"U15",IF(E2705&gt;11,"U13",IF(E2705&gt;0,"U11",0)))))</f>
        <v>0</v>
      </c>
      <c r="E2705" s="456">
        <f>IFERROR(IF(Table10[[#This Row],[Year]]&gt;0,$E$1-Table10[[#This Row],[Year]],0),"")</f>
        <v>0</v>
      </c>
      <c r="F2705" s="456"/>
      <c r="G2705" s="456"/>
      <c r="H2705" s="456"/>
    </row>
    <row r="2706" spans="1:8">
      <c r="A2706" s="456">
        <v>3703</v>
      </c>
      <c r="B2706" s="469" t="s">
        <v>4085</v>
      </c>
      <c r="C2706" s="458" t="s">
        <v>762</v>
      </c>
      <c r="D2706" s="456">
        <f>IF(Table10[[#This Row],[Current Age]]&gt;19,"Men's",IF(E2706&gt;15,"U19",IF(E2706&gt;13,"U15",IF(E2706&gt;11,"U13",IF(E2706&gt;0,"U11",0)))))</f>
        <v>0</v>
      </c>
      <c r="E2706" s="456">
        <f>IFERROR(IF(Table10[[#This Row],[Year]]&gt;0,$E$1-Table10[[#This Row],[Year]],0),"")</f>
        <v>0</v>
      </c>
      <c r="F2706" s="456"/>
      <c r="G2706" s="456"/>
      <c r="H2706" s="456"/>
    </row>
    <row r="2707" spans="1:8">
      <c r="A2707" s="471">
        <v>3704</v>
      </c>
      <c r="B2707" s="493" t="s">
        <v>4086</v>
      </c>
      <c r="C2707" s="472" t="s">
        <v>762</v>
      </c>
      <c r="D2707" s="456">
        <f>IF(Table10[[#This Row],[Current Age]]&gt;19,"Men's",IF(E2707&gt;15,"U19",IF(E2707&gt;13,"U15",IF(E2707&gt;11,"U13",IF(E2707&gt;0,"U11",0)))))</f>
        <v>0</v>
      </c>
      <c r="E2707" s="456">
        <f>IFERROR(IF(Table10[[#This Row],[Year]]&gt;0,$E$1-Table10[[#This Row],[Year]],0),"")</f>
        <v>0</v>
      </c>
      <c r="F2707" s="456"/>
      <c r="G2707" s="456"/>
      <c r="H2707" s="456"/>
    </row>
    <row r="2708" spans="1:8">
      <c r="A2708" s="456">
        <v>3705</v>
      </c>
      <c r="B2708" s="469" t="s">
        <v>4087</v>
      </c>
      <c r="C2708" s="458" t="s">
        <v>762</v>
      </c>
      <c r="D2708" s="456">
        <f>IF(Table10[[#This Row],[Current Age]]&gt;19,"Men's",IF(E2708&gt;15,"U19",IF(E2708&gt;13,"U15",IF(E2708&gt;11,"U13",IF(E2708&gt;0,"U11",0)))))</f>
        <v>0</v>
      </c>
      <c r="E2708" s="456">
        <f>IFERROR(IF(Table10[[#This Row],[Year]]&gt;0,$E$1-Table10[[#This Row],[Year]],0),"")</f>
        <v>0</v>
      </c>
      <c r="F2708" s="456"/>
      <c r="G2708" s="456"/>
      <c r="H2708" s="456"/>
    </row>
    <row r="2709" spans="1:8">
      <c r="A2709" s="471">
        <v>3706</v>
      </c>
      <c r="B2709" s="493" t="s">
        <v>4088</v>
      </c>
      <c r="C2709" s="472" t="s">
        <v>762</v>
      </c>
      <c r="D2709" s="456">
        <f>IF(Table10[[#This Row],[Current Age]]&gt;19,"Men's",IF(E2709&gt;15,"U19",IF(E2709&gt;13,"U15",IF(E2709&gt;11,"U13",IF(E2709&gt;0,"U11",0)))))</f>
        <v>0</v>
      </c>
      <c r="E2709" s="456">
        <f>IFERROR(IF(Table10[[#This Row],[Year]]&gt;0,$E$1-Table10[[#This Row],[Year]],0),"")</f>
        <v>0</v>
      </c>
      <c r="F2709" s="456"/>
      <c r="G2709" s="456"/>
      <c r="H2709" s="456"/>
    </row>
    <row r="2710" spans="1:8">
      <c r="A2710" s="456">
        <v>3707</v>
      </c>
      <c r="B2710" s="469" t="s">
        <v>4089</v>
      </c>
      <c r="C2710" s="458" t="s">
        <v>762</v>
      </c>
      <c r="D2710" s="456">
        <f>IF(Table10[[#This Row],[Current Age]]&gt;19,"Men's",IF(E2710&gt;15,"U19",IF(E2710&gt;13,"U15",IF(E2710&gt;11,"U13",IF(E2710&gt;0,"U11",0)))))</f>
        <v>0</v>
      </c>
      <c r="E2710" s="456">
        <f>IFERROR(IF(Table10[[#This Row],[Year]]&gt;0,$E$1-Table10[[#This Row],[Year]],0),"")</f>
        <v>0</v>
      </c>
      <c r="F2710" s="456"/>
      <c r="G2710" s="456"/>
      <c r="H2710" s="456"/>
    </row>
    <row r="2711" spans="1:8">
      <c r="A2711" s="471">
        <v>3708</v>
      </c>
      <c r="B2711" s="493" t="s">
        <v>4090</v>
      </c>
      <c r="C2711" s="472" t="s">
        <v>762</v>
      </c>
      <c r="D2711" s="456">
        <f>IF(Table10[[#This Row],[Current Age]]&gt;19,"Men's",IF(E2711&gt;15,"U19",IF(E2711&gt;13,"U15",IF(E2711&gt;11,"U13",IF(E2711&gt;0,"U11",0)))))</f>
        <v>0</v>
      </c>
      <c r="E2711" s="456">
        <f>IFERROR(IF(Table10[[#This Row],[Year]]&gt;0,$E$1-Table10[[#This Row],[Year]],0),"")</f>
        <v>0</v>
      </c>
      <c r="F2711" s="456"/>
      <c r="G2711" s="456"/>
      <c r="H2711" s="456"/>
    </row>
    <row r="2712" spans="1:8">
      <c r="A2712" s="456">
        <v>3709</v>
      </c>
      <c r="B2712" s="469" t="s">
        <v>4091</v>
      </c>
      <c r="C2712" s="458" t="s">
        <v>762</v>
      </c>
      <c r="D2712" s="456">
        <f>IF(Table10[[#This Row],[Current Age]]&gt;19,"Men's",IF(E2712&gt;15,"U19",IF(E2712&gt;13,"U15",IF(E2712&gt;11,"U13",IF(E2712&gt;0,"U11",0)))))</f>
        <v>0</v>
      </c>
      <c r="E2712" s="456">
        <f>IFERROR(IF(Table10[[#This Row],[Year]]&gt;0,$E$1-Table10[[#This Row],[Year]],0),"")</f>
        <v>0</v>
      </c>
      <c r="F2712" s="456"/>
      <c r="G2712" s="456"/>
      <c r="H2712" s="456"/>
    </row>
    <row r="2713" spans="1:8">
      <c r="A2713" s="471">
        <v>3710</v>
      </c>
      <c r="B2713" s="493" t="s">
        <v>4092</v>
      </c>
      <c r="C2713" s="472" t="s">
        <v>762</v>
      </c>
      <c r="D2713" s="456">
        <f>IF(Table10[[#This Row],[Current Age]]&gt;19,"Men's",IF(E2713&gt;15,"U19",IF(E2713&gt;13,"U15",IF(E2713&gt;11,"U13",IF(E2713&gt;0,"U11",0)))))</f>
        <v>0</v>
      </c>
      <c r="E2713" s="456">
        <f>IFERROR(IF(Table10[[#This Row],[Year]]&gt;0,$E$1-Table10[[#This Row],[Year]],0),"")</f>
        <v>0</v>
      </c>
      <c r="F2713" s="456"/>
      <c r="G2713" s="456"/>
      <c r="H2713" s="456"/>
    </row>
    <row r="2714" spans="1:8">
      <c r="A2714" s="456">
        <v>3711</v>
      </c>
      <c r="B2714" s="469" t="s">
        <v>4093</v>
      </c>
      <c r="C2714" s="458" t="s">
        <v>762</v>
      </c>
      <c r="D2714" s="456">
        <f>IF(Table10[[#This Row],[Current Age]]&gt;19,"Men's",IF(E2714&gt;15,"U19",IF(E2714&gt;13,"U15",IF(E2714&gt;11,"U13",IF(E2714&gt;0,"U11",0)))))</f>
        <v>0</v>
      </c>
      <c r="E2714" s="456">
        <f>IFERROR(IF(Table10[[#This Row],[Year]]&gt;0,$E$1-Table10[[#This Row],[Year]],0),"")</f>
        <v>0</v>
      </c>
      <c r="F2714" s="456"/>
      <c r="G2714" s="456"/>
      <c r="H2714" s="456"/>
    </row>
    <row r="2715" spans="1:8">
      <c r="A2715" s="471">
        <v>3712</v>
      </c>
      <c r="B2715" s="493" t="s">
        <v>4094</v>
      </c>
      <c r="C2715" s="472" t="s">
        <v>762</v>
      </c>
      <c r="D2715" s="456">
        <f>IF(Table10[[#This Row],[Current Age]]&gt;19,"Men's",IF(E2715&gt;15,"U19",IF(E2715&gt;13,"U15",IF(E2715&gt;11,"U13",IF(E2715&gt;0,"U11",0)))))</f>
        <v>0</v>
      </c>
      <c r="E2715" s="456">
        <f>IFERROR(IF(Table10[[#This Row],[Year]]&gt;0,$E$1-Table10[[#This Row],[Year]],0),"")</f>
        <v>0</v>
      </c>
      <c r="F2715" s="456"/>
      <c r="G2715" s="456"/>
      <c r="H2715" s="456"/>
    </row>
    <row r="2716" spans="1:8">
      <c r="A2716" s="456">
        <v>3713</v>
      </c>
      <c r="B2716" s="469" t="s">
        <v>4095</v>
      </c>
      <c r="C2716" s="458" t="s">
        <v>762</v>
      </c>
      <c r="D2716" s="456">
        <f>IF(Table10[[#This Row],[Current Age]]&gt;19,"Men's",IF(E2716&gt;15,"U19",IF(E2716&gt;13,"U15",IF(E2716&gt;11,"U13",IF(E2716&gt;0,"U11",0)))))</f>
        <v>0</v>
      </c>
      <c r="E2716" s="456">
        <f>IFERROR(IF(Table10[[#This Row],[Year]]&gt;0,$E$1-Table10[[#This Row],[Year]],0),"")</f>
        <v>0</v>
      </c>
      <c r="F2716" s="456"/>
      <c r="G2716" s="456"/>
      <c r="H2716" s="456"/>
    </row>
    <row r="2717" spans="1:8">
      <c r="A2717" s="471">
        <v>3714</v>
      </c>
      <c r="B2717" s="493" t="s">
        <v>4108</v>
      </c>
      <c r="C2717" s="472" t="s">
        <v>4720</v>
      </c>
      <c r="D2717" s="456">
        <f>IF(Table10[[#This Row],[Current Age]]&gt;19,"Men's",IF(E2717&gt;15,"U19",IF(E2717&gt;13,"U15",IF(E2717&gt;11,"U13",IF(E2717&gt;0,"U11",0)))))</f>
        <v>0</v>
      </c>
      <c r="E2717" s="456">
        <f>IFERROR(IF(Table10[[#This Row],[Year]]&gt;0,$E$1-Table10[[#This Row],[Year]],0),"")</f>
        <v>0</v>
      </c>
      <c r="F2717" s="456"/>
      <c r="G2717" s="456"/>
      <c r="H2717" s="456"/>
    </row>
    <row r="2718" spans="1:8">
      <c r="A2718" s="456">
        <v>3715</v>
      </c>
      <c r="B2718" s="469" t="s">
        <v>4109</v>
      </c>
      <c r="C2718" s="458" t="s">
        <v>4720</v>
      </c>
      <c r="D2718" s="456">
        <f>IF(Table10[[#This Row],[Current Age]]&gt;19,"Men's",IF(E2718&gt;15,"U19",IF(E2718&gt;13,"U15",IF(E2718&gt;11,"U13",IF(E2718&gt;0,"U11",0)))))</f>
        <v>0</v>
      </c>
      <c r="E2718" s="456">
        <f>IFERROR(IF(Table10[[#This Row],[Year]]&gt;0,$E$1-Table10[[#This Row],[Year]],0),"")</f>
        <v>0</v>
      </c>
      <c r="F2718" s="456"/>
      <c r="G2718" s="456"/>
      <c r="H2718" s="456"/>
    </row>
    <row r="2719" spans="1:8">
      <c r="A2719" s="471">
        <v>3716</v>
      </c>
      <c r="B2719" s="493" t="s">
        <v>4110</v>
      </c>
      <c r="C2719" s="472" t="s">
        <v>4720</v>
      </c>
      <c r="D2719" s="456">
        <f>IF(Table10[[#This Row],[Current Age]]&gt;19,"Men's",IF(E2719&gt;15,"U19",IF(E2719&gt;13,"U15",IF(E2719&gt;11,"U13",IF(E2719&gt;0,"U11",0)))))</f>
        <v>0</v>
      </c>
      <c r="E2719" s="456">
        <f>IFERROR(IF(Table10[[#This Row],[Year]]&gt;0,$E$1-Table10[[#This Row],[Year]],0),"")</f>
        <v>0</v>
      </c>
      <c r="F2719" s="456"/>
      <c r="G2719" s="456"/>
      <c r="H2719" s="456"/>
    </row>
    <row r="2720" spans="1:8">
      <c r="A2720" s="456">
        <v>3717</v>
      </c>
      <c r="B2720" s="469" t="s">
        <v>4166</v>
      </c>
      <c r="C2720" s="458" t="s">
        <v>251</v>
      </c>
      <c r="D2720" s="456" t="str">
        <f>IF(Table10[[#This Row],[Current Age]]&gt;19,"Men's",IF(E2720&gt;15,"U19",IF(E2720&gt;13,"U15",IF(E2720&gt;11,"U13",IF(E2720&gt;0,"U11",0)))))</f>
        <v>U15</v>
      </c>
      <c r="E2720" s="456">
        <f>IFERROR(IF(Table10[[#This Row],[Year]]&gt;0,$E$1-Table10[[#This Row],[Year]],0),"")</f>
        <v>15</v>
      </c>
      <c r="F2720" s="456">
        <v>2010</v>
      </c>
      <c r="G2720" s="456">
        <v>8</v>
      </c>
      <c r="H2720" s="456">
        <v>5</v>
      </c>
    </row>
    <row r="2721" spans="1:8">
      <c r="A2721" s="471">
        <v>3718</v>
      </c>
      <c r="B2721" s="493" t="s">
        <v>4112</v>
      </c>
      <c r="C2721" s="472" t="s">
        <v>4720</v>
      </c>
      <c r="D2721" s="456" t="str">
        <f>IF(Table10[[#This Row],[Current Age]]&gt;19,"Men's",IF(E2721&gt;15,"U19",IF(E2721&gt;13,"U15",IF(E2721&gt;11,"U13",IF(E2721&gt;0,"U11",0)))))</f>
        <v>U15</v>
      </c>
      <c r="E2721" s="456">
        <f>IFERROR(IF(Table10[[#This Row],[Year]]&gt;0,$E$1-Table10[[#This Row],[Year]],0),"")</f>
        <v>15</v>
      </c>
      <c r="F2721" s="456">
        <v>2010</v>
      </c>
      <c r="G2721" s="456">
        <v>4</v>
      </c>
      <c r="H2721" s="456">
        <v>26</v>
      </c>
    </row>
    <row r="2722" spans="1:8">
      <c r="A2722" s="456">
        <v>3719</v>
      </c>
      <c r="B2722" s="469" t="s">
        <v>4113</v>
      </c>
      <c r="C2722" s="458" t="s">
        <v>4720</v>
      </c>
      <c r="D2722" s="456">
        <f>IF(Table10[[#This Row],[Current Age]]&gt;19,"Men's",IF(E2722&gt;15,"U19",IF(E2722&gt;13,"U15",IF(E2722&gt;11,"U13",IF(E2722&gt;0,"U11",0)))))</f>
        <v>0</v>
      </c>
      <c r="E2722" s="456">
        <f>IFERROR(IF(Table10[[#This Row],[Year]]&gt;0,$E$1-Table10[[#This Row],[Year]],0),"")</f>
        <v>0</v>
      </c>
      <c r="F2722" s="456"/>
      <c r="G2722" s="456"/>
      <c r="H2722" s="456"/>
    </row>
    <row r="2723" spans="1:8">
      <c r="A2723" s="471">
        <v>3720</v>
      </c>
      <c r="B2723" s="493" t="s">
        <v>4115</v>
      </c>
      <c r="C2723" s="472" t="s">
        <v>4720</v>
      </c>
      <c r="D2723" s="456">
        <f>IF(Table10[[#This Row],[Current Age]]&gt;19,"Men's",IF(E2723&gt;15,"U19",IF(E2723&gt;13,"U15",IF(E2723&gt;11,"U13",IF(E2723&gt;0,"U11",0)))))</f>
        <v>0</v>
      </c>
      <c r="E2723" s="456">
        <f>IFERROR(IF(Table10[[#This Row],[Year]]&gt;0,$E$1-Table10[[#This Row],[Year]],0),"")</f>
        <v>0</v>
      </c>
      <c r="F2723" s="456"/>
      <c r="G2723" s="456"/>
      <c r="H2723" s="456"/>
    </row>
    <row r="2724" spans="1:8">
      <c r="A2724" s="456">
        <v>3721</v>
      </c>
      <c r="B2724" s="469" t="s">
        <v>4119</v>
      </c>
      <c r="C2724" s="458" t="s">
        <v>4720</v>
      </c>
      <c r="D2724" s="456" t="str">
        <f>IF(Table10[[#This Row],[Current Age]]&gt;19,"Men's",IF(E2724&gt;15,"U19",IF(E2724&gt;13,"U15",IF(E2724&gt;11,"U13",IF(E2724&gt;0,"U11",0)))))</f>
        <v>U19</v>
      </c>
      <c r="E2724" s="456">
        <f>IFERROR(IF(Table10[[#This Row],[Year]]&gt;0,$E$1-Table10[[#This Row],[Year]],0),"")</f>
        <v>18</v>
      </c>
      <c r="F2724" s="456">
        <v>2007</v>
      </c>
      <c r="G2724" s="456">
        <v>7</v>
      </c>
      <c r="H2724" s="456">
        <v>31</v>
      </c>
    </row>
    <row r="2725" spans="1:8">
      <c r="A2725" s="471">
        <v>3722</v>
      </c>
      <c r="B2725" s="493" t="s">
        <v>4122</v>
      </c>
      <c r="C2725" s="472" t="s">
        <v>248</v>
      </c>
      <c r="D2725" s="456">
        <f>IF(Table10[[#This Row],[Current Age]]&gt;19,"Men's",IF(E2725&gt;15,"U19",IF(E2725&gt;13,"U15",IF(E2725&gt;11,"U13",IF(E2725&gt;0,"U11",0)))))</f>
        <v>0</v>
      </c>
      <c r="E2725" s="456">
        <f>IFERROR(IF(Table10[[#This Row],[Year]]&gt;0,$E$1-Table10[[#This Row],[Year]],0),"")</f>
        <v>0</v>
      </c>
      <c r="F2725" s="456"/>
      <c r="G2725" s="456"/>
      <c r="H2725" s="456"/>
    </row>
    <row r="2726" spans="1:8">
      <c r="A2726" s="456">
        <v>3723</v>
      </c>
      <c r="B2726" s="469" t="s">
        <v>4123</v>
      </c>
      <c r="C2726" s="458" t="s">
        <v>248</v>
      </c>
      <c r="D2726" s="456">
        <f>IF(Table10[[#This Row],[Current Age]]&gt;19,"Men's",IF(E2726&gt;15,"U19",IF(E2726&gt;13,"U15",IF(E2726&gt;11,"U13",IF(E2726&gt;0,"U11",0)))))</f>
        <v>0</v>
      </c>
      <c r="E2726" s="456">
        <f>IFERROR(IF(Table10[[#This Row],[Year]]&gt;0,$E$1-Table10[[#This Row],[Year]],0),"")</f>
        <v>0</v>
      </c>
      <c r="F2726" s="456"/>
      <c r="G2726" s="456"/>
      <c r="H2726" s="456"/>
    </row>
    <row r="2727" spans="1:8">
      <c r="A2727" s="471">
        <v>3724</v>
      </c>
      <c r="B2727" s="493" t="s">
        <v>4124</v>
      </c>
      <c r="C2727" s="472" t="s">
        <v>248</v>
      </c>
      <c r="D2727" s="456">
        <f>IF(Table10[[#This Row],[Current Age]]&gt;19,"Men's",IF(E2727&gt;15,"U19",IF(E2727&gt;13,"U15",IF(E2727&gt;11,"U13",IF(E2727&gt;0,"U11",0)))))</f>
        <v>0</v>
      </c>
      <c r="E2727" s="456">
        <f>IFERROR(IF(Table10[[#This Row],[Year]]&gt;0,$E$1-Table10[[#This Row],[Year]],0),"")</f>
        <v>0</v>
      </c>
      <c r="F2727" s="456"/>
      <c r="G2727" s="456"/>
      <c r="H2727" s="456"/>
    </row>
    <row r="2728" spans="1:8">
      <c r="A2728" s="456">
        <v>3725</v>
      </c>
      <c r="B2728" s="469" t="s">
        <v>4131</v>
      </c>
      <c r="C2728" s="458" t="s">
        <v>248</v>
      </c>
      <c r="D2728" s="456">
        <f>IF(Table10[[#This Row],[Current Age]]&gt;19,"Men's",IF(E2728&gt;15,"U19",IF(E2728&gt;13,"U15",IF(E2728&gt;11,"U13",IF(E2728&gt;0,"U11",0)))))</f>
        <v>0</v>
      </c>
      <c r="E2728" s="456">
        <f>IFERROR(IF(Table10[[#This Row],[Year]]&gt;0,$E$1-Table10[[#This Row],[Year]],0),"")</f>
        <v>0</v>
      </c>
      <c r="F2728" s="456"/>
      <c r="G2728" s="456"/>
      <c r="H2728" s="456"/>
    </row>
    <row r="2729" spans="1:8">
      <c r="A2729" s="471">
        <v>3726</v>
      </c>
      <c r="B2729" s="493" t="s">
        <v>4132</v>
      </c>
      <c r="C2729" s="472" t="s">
        <v>248</v>
      </c>
      <c r="D2729" s="456">
        <f>IF(Table10[[#This Row],[Current Age]]&gt;19,"Men's",IF(E2729&gt;15,"U19",IF(E2729&gt;13,"U15",IF(E2729&gt;11,"U13",IF(E2729&gt;0,"U11",0)))))</f>
        <v>0</v>
      </c>
      <c r="E2729" s="456">
        <f>IFERROR(IF(Table10[[#This Row],[Year]]&gt;0,$E$1-Table10[[#This Row],[Year]],0),"")</f>
        <v>0</v>
      </c>
      <c r="F2729" s="456"/>
      <c r="G2729" s="456"/>
      <c r="H2729" s="456"/>
    </row>
    <row r="2730" spans="1:8">
      <c r="A2730" s="456">
        <v>3727</v>
      </c>
      <c r="B2730" s="469" t="s">
        <v>4133</v>
      </c>
      <c r="C2730" s="458" t="s">
        <v>248</v>
      </c>
      <c r="D2730" s="456">
        <f>IF(Table10[[#This Row],[Current Age]]&gt;19,"Men's",IF(E2730&gt;15,"U19",IF(E2730&gt;13,"U15",IF(E2730&gt;11,"U13",IF(E2730&gt;0,"U11",0)))))</f>
        <v>0</v>
      </c>
      <c r="E2730" s="456">
        <f>IFERROR(IF(Table10[[#This Row],[Year]]&gt;0,$E$1-Table10[[#This Row],[Year]],0),"")</f>
        <v>0</v>
      </c>
      <c r="F2730" s="456"/>
      <c r="G2730" s="456"/>
      <c r="H2730" s="456"/>
    </row>
    <row r="2731" spans="1:8">
      <c r="A2731" s="471">
        <v>3728</v>
      </c>
      <c r="B2731" s="493" t="s">
        <v>4134</v>
      </c>
      <c r="C2731" s="472" t="s">
        <v>248</v>
      </c>
      <c r="D2731" s="456">
        <f>IF(Table10[[#This Row],[Current Age]]&gt;19,"Men's",IF(E2731&gt;15,"U19",IF(E2731&gt;13,"U15",IF(E2731&gt;11,"U13",IF(E2731&gt;0,"U11",0)))))</f>
        <v>0</v>
      </c>
      <c r="E2731" s="456">
        <f>IFERROR(IF(Table10[[#This Row],[Year]]&gt;0,$E$1-Table10[[#This Row],[Year]],0),"")</f>
        <v>0</v>
      </c>
      <c r="F2731" s="456"/>
      <c r="G2731" s="456"/>
      <c r="H2731" s="456"/>
    </row>
    <row r="2732" spans="1:8">
      <c r="A2732" s="456">
        <v>3729</v>
      </c>
      <c r="B2732" s="469" t="s">
        <v>4137</v>
      </c>
      <c r="C2732" s="458" t="s">
        <v>248</v>
      </c>
      <c r="D2732" s="456">
        <f>IF(Table10[[#This Row],[Current Age]]&gt;19,"Men's",IF(E2732&gt;15,"U19",IF(E2732&gt;13,"U15",IF(E2732&gt;11,"U13",IF(E2732&gt;0,"U11",0)))))</f>
        <v>0</v>
      </c>
      <c r="E2732" s="456">
        <f>IFERROR(IF(Table10[[#This Row],[Year]]&gt;0,$E$1-Table10[[#This Row],[Year]],0),"")</f>
        <v>0</v>
      </c>
      <c r="F2732" s="456"/>
      <c r="G2732" s="456"/>
      <c r="H2732" s="456"/>
    </row>
    <row r="2733" spans="1:8">
      <c r="A2733" s="471">
        <v>3730</v>
      </c>
      <c r="B2733" s="493" t="s">
        <v>4138</v>
      </c>
      <c r="C2733" s="472" t="s">
        <v>248</v>
      </c>
      <c r="D2733" s="456">
        <f>IF(Table10[[#This Row],[Current Age]]&gt;19,"Men's",IF(E2733&gt;15,"U19",IF(E2733&gt;13,"U15",IF(E2733&gt;11,"U13",IF(E2733&gt;0,"U11",0)))))</f>
        <v>0</v>
      </c>
      <c r="E2733" s="456">
        <f>IFERROR(IF(Table10[[#This Row],[Year]]&gt;0,$E$1-Table10[[#This Row],[Year]],0),"")</f>
        <v>0</v>
      </c>
      <c r="F2733" s="456"/>
      <c r="G2733" s="456"/>
      <c r="H2733" s="456"/>
    </row>
    <row r="2734" spans="1:8">
      <c r="A2734" s="456">
        <v>3731</v>
      </c>
      <c r="B2734" s="469" t="s">
        <v>4139</v>
      </c>
      <c r="C2734" s="458" t="s">
        <v>248</v>
      </c>
      <c r="D2734" s="456">
        <f>IF(Table10[[#This Row],[Current Age]]&gt;19,"Men's",IF(E2734&gt;15,"U19",IF(E2734&gt;13,"U15",IF(E2734&gt;11,"U13",IF(E2734&gt;0,"U11",0)))))</f>
        <v>0</v>
      </c>
      <c r="E2734" s="456">
        <f>IFERROR(IF(Table10[[#This Row],[Year]]&gt;0,$E$1-Table10[[#This Row],[Year]],0),"")</f>
        <v>0</v>
      </c>
      <c r="F2734" s="456"/>
      <c r="G2734" s="456"/>
      <c r="H2734" s="456"/>
    </row>
    <row r="2735" spans="1:8">
      <c r="A2735" s="471">
        <v>3732</v>
      </c>
      <c r="B2735" s="493" t="s">
        <v>4140</v>
      </c>
      <c r="C2735" s="472" t="s">
        <v>248</v>
      </c>
      <c r="D2735" s="456">
        <f>IF(Table10[[#This Row],[Current Age]]&gt;19,"Men's",IF(E2735&gt;15,"U19",IF(E2735&gt;13,"U15",IF(E2735&gt;11,"U13",IF(E2735&gt;0,"U11",0)))))</f>
        <v>0</v>
      </c>
      <c r="E2735" s="456">
        <f>IFERROR(IF(Table10[[#This Row],[Year]]&gt;0,$E$1-Table10[[#This Row],[Year]],0),"")</f>
        <v>0</v>
      </c>
      <c r="F2735" s="456"/>
      <c r="G2735" s="456"/>
      <c r="H2735" s="456"/>
    </row>
    <row r="2736" spans="1:8">
      <c r="A2736" s="456">
        <v>3733</v>
      </c>
      <c r="B2736" s="469" t="s">
        <v>4025</v>
      </c>
      <c r="C2736" s="458" t="s">
        <v>250</v>
      </c>
      <c r="D2736" s="456">
        <f>IF(Table10[[#This Row],[Current Age]]&gt;19,"Men's",IF(E2736&gt;15,"U19",IF(E2736&gt;13,"U15",IF(E2736&gt;11,"U13",IF(E2736&gt;0,"U11",0)))))</f>
        <v>0</v>
      </c>
      <c r="E2736" s="456">
        <f>IFERROR(IF(Table10[[#This Row],[Year]]&gt;0,$E$1-Table10[[#This Row],[Year]],0),"")</f>
        <v>0</v>
      </c>
      <c r="F2736" s="456"/>
      <c r="G2736" s="456"/>
      <c r="H2736" s="456"/>
    </row>
    <row r="2737" spans="1:8">
      <c r="A2737" s="471">
        <v>3734</v>
      </c>
      <c r="B2737" s="493" t="s">
        <v>4026</v>
      </c>
      <c r="C2737" s="472" t="s">
        <v>250</v>
      </c>
      <c r="D2737" s="456">
        <f>IF(Table10[[#This Row],[Current Age]]&gt;19,"Men's",IF(E2737&gt;15,"U19",IF(E2737&gt;13,"U15",IF(E2737&gt;11,"U13",IF(E2737&gt;0,"U11",0)))))</f>
        <v>0</v>
      </c>
      <c r="E2737" s="456">
        <f>IFERROR(IF(Table10[[#This Row],[Year]]&gt;0,$E$1-Table10[[#This Row],[Year]],0),"")</f>
        <v>0</v>
      </c>
      <c r="F2737" s="456"/>
      <c r="G2737" s="456"/>
      <c r="H2737" s="456"/>
    </row>
    <row r="2738" spans="1:8">
      <c r="A2738" s="456">
        <v>3735</v>
      </c>
      <c r="B2738" s="469" t="s">
        <v>4027</v>
      </c>
      <c r="C2738" s="458" t="s">
        <v>250</v>
      </c>
      <c r="D2738" s="456">
        <f>IF(Table10[[#This Row],[Current Age]]&gt;19,"Men's",IF(E2738&gt;15,"U19",IF(E2738&gt;13,"U15",IF(E2738&gt;11,"U13",IF(E2738&gt;0,"U11",0)))))</f>
        <v>0</v>
      </c>
      <c r="E2738" s="456">
        <f>IFERROR(IF(Table10[[#This Row],[Year]]&gt;0,$E$1-Table10[[#This Row],[Year]],0),"")</f>
        <v>0</v>
      </c>
      <c r="F2738" s="456"/>
      <c r="G2738" s="456"/>
      <c r="H2738" s="456"/>
    </row>
    <row r="2739" spans="1:8">
      <c r="A2739" s="471">
        <v>3736</v>
      </c>
      <c r="B2739" s="493" t="s">
        <v>4028</v>
      </c>
      <c r="C2739" s="472" t="s">
        <v>250</v>
      </c>
      <c r="D2739" s="456">
        <f>IF(Table10[[#This Row],[Current Age]]&gt;19,"Men's",IF(E2739&gt;15,"U19",IF(E2739&gt;13,"U15",IF(E2739&gt;11,"U13",IF(E2739&gt;0,"U11",0)))))</f>
        <v>0</v>
      </c>
      <c r="E2739" s="456">
        <f>IFERROR(IF(Table10[[#This Row],[Year]]&gt;0,$E$1-Table10[[#This Row],[Year]],0),"")</f>
        <v>0</v>
      </c>
      <c r="F2739" s="456"/>
      <c r="G2739" s="456"/>
      <c r="H2739" s="456"/>
    </row>
    <row r="2740" spans="1:8">
      <c r="A2740" s="456">
        <v>3737</v>
      </c>
      <c r="B2740" s="469" t="s">
        <v>4141</v>
      </c>
      <c r="C2740" s="458" t="s">
        <v>250</v>
      </c>
      <c r="D2740" s="456">
        <f>IF(Table10[[#This Row],[Current Age]]&gt;19,"Men's",IF(E2740&gt;15,"U19",IF(E2740&gt;13,"U15",IF(E2740&gt;11,"U13",IF(E2740&gt;0,"U11",0)))))</f>
        <v>0</v>
      </c>
      <c r="E2740" s="456">
        <f>IFERROR(IF(Table10[[#This Row],[Year]]&gt;0,$E$1-Table10[[#This Row],[Year]],0),"")</f>
        <v>0</v>
      </c>
      <c r="F2740" s="456"/>
      <c r="G2740" s="456"/>
      <c r="H2740" s="456"/>
    </row>
    <row r="2741" spans="1:8">
      <c r="A2741" s="471">
        <v>3738</v>
      </c>
      <c r="B2741" s="493" t="s">
        <v>4036</v>
      </c>
      <c r="C2741" s="472" t="s">
        <v>250</v>
      </c>
      <c r="D2741" s="456">
        <f>IF(Table10[[#This Row],[Current Age]]&gt;19,"Men's",IF(E2741&gt;15,"U19",IF(E2741&gt;13,"U15",IF(E2741&gt;11,"U13",IF(E2741&gt;0,"U11",0)))))</f>
        <v>0</v>
      </c>
      <c r="E2741" s="456">
        <f>IFERROR(IF(Table10[[#This Row],[Year]]&gt;0,$E$1-Table10[[#This Row],[Year]],0),"")</f>
        <v>0</v>
      </c>
      <c r="F2741" s="456"/>
      <c r="G2741" s="456"/>
      <c r="H2741" s="456"/>
    </row>
    <row r="2742" spans="1:8">
      <c r="A2742" s="456">
        <v>3739</v>
      </c>
      <c r="B2742" s="469" t="s">
        <v>4147</v>
      </c>
      <c r="C2742" s="458" t="s">
        <v>4152</v>
      </c>
      <c r="D2742" s="456">
        <f>IF(Table10[[#This Row],[Current Age]]&gt;19,"Men's",IF(E2742&gt;15,"U19",IF(E2742&gt;13,"U15",IF(E2742&gt;11,"U13",IF(E2742&gt;0,"U11",0)))))</f>
        <v>0</v>
      </c>
      <c r="E2742" s="456">
        <f>IFERROR(IF(Table10[[#This Row],[Year]]&gt;0,$E$1-Table10[[#This Row],[Year]],0),"")</f>
        <v>0</v>
      </c>
      <c r="F2742" s="456"/>
      <c r="G2742" s="456"/>
      <c r="H2742" s="456"/>
    </row>
    <row r="2743" spans="1:8">
      <c r="A2743" s="471">
        <v>3740</v>
      </c>
      <c r="B2743" s="493" t="s">
        <v>4148</v>
      </c>
      <c r="C2743" s="472" t="s">
        <v>4152</v>
      </c>
      <c r="D2743" s="456">
        <f>IF(Table10[[#This Row],[Current Age]]&gt;19,"Men's",IF(E2743&gt;15,"U19",IF(E2743&gt;13,"U15",IF(E2743&gt;11,"U13",IF(E2743&gt;0,"U11",0)))))</f>
        <v>0</v>
      </c>
      <c r="E2743" s="456">
        <f>IFERROR(IF(Table10[[#This Row],[Year]]&gt;0,$E$1-Table10[[#This Row],[Year]],0),"")</f>
        <v>0</v>
      </c>
      <c r="F2743" s="456"/>
      <c r="G2743" s="456"/>
      <c r="H2743" s="456"/>
    </row>
    <row r="2744" spans="1:8">
      <c r="A2744" s="456">
        <v>3741</v>
      </c>
      <c r="B2744" s="469" t="s">
        <v>4149</v>
      </c>
      <c r="C2744" s="458" t="s">
        <v>4152</v>
      </c>
      <c r="D2744" s="456">
        <f>IF(Table10[[#This Row],[Current Age]]&gt;19,"Men's",IF(E2744&gt;15,"U19",IF(E2744&gt;13,"U15",IF(E2744&gt;11,"U13",IF(E2744&gt;0,"U11",0)))))</f>
        <v>0</v>
      </c>
      <c r="E2744" s="456">
        <f>IFERROR(IF(Table10[[#This Row],[Year]]&gt;0,$E$1-Table10[[#This Row],[Year]],0),"")</f>
        <v>0</v>
      </c>
      <c r="F2744" s="456"/>
      <c r="G2744" s="456"/>
      <c r="H2744" s="456"/>
    </row>
    <row r="2745" spans="1:8">
      <c r="A2745" s="471">
        <v>3742</v>
      </c>
      <c r="B2745" s="493" t="s">
        <v>4150</v>
      </c>
      <c r="C2745" s="472" t="s">
        <v>4152</v>
      </c>
      <c r="D2745" s="456">
        <f>IF(Table10[[#This Row],[Current Age]]&gt;19,"Men's",IF(E2745&gt;15,"U19",IF(E2745&gt;13,"U15",IF(E2745&gt;11,"U13",IF(E2745&gt;0,"U11",0)))))</f>
        <v>0</v>
      </c>
      <c r="E2745" s="456">
        <f>IFERROR(IF(Table10[[#This Row],[Year]]&gt;0,$E$1-Table10[[#This Row],[Year]],0),"")</f>
        <v>0</v>
      </c>
      <c r="F2745" s="456"/>
      <c r="G2745" s="456"/>
      <c r="H2745" s="456"/>
    </row>
    <row r="2746" spans="1:8">
      <c r="A2746" s="456">
        <v>3743</v>
      </c>
      <c r="B2746" s="469" t="s">
        <v>4151</v>
      </c>
      <c r="C2746" s="458" t="s">
        <v>4152</v>
      </c>
      <c r="D2746" s="456">
        <f>IF(Table10[[#This Row],[Current Age]]&gt;19,"Men's",IF(E2746&gt;15,"U19",IF(E2746&gt;13,"U15",IF(E2746&gt;11,"U13",IF(E2746&gt;0,"U11",0)))))</f>
        <v>0</v>
      </c>
      <c r="E2746" s="456">
        <f>IFERROR(IF(Table10[[#This Row],[Year]]&gt;0,$E$1-Table10[[#This Row],[Year]],0),"")</f>
        <v>0</v>
      </c>
      <c r="F2746" s="456"/>
      <c r="G2746" s="456"/>
      <c r="H2746" s="456"/>
    </row>
    <row r="2747" spans="1:8">
      <c r="A2747" s="471">
        <v>3744</v>
      </c>
      <c r="B2747" s="493" t="s">
        <v>4153</v>
      </c>
      <c r="C2747" s="472" t="s">
        <v>4152</v>
      </c>
      <c r="D2747" s="456">
        <f>IF(Table10[[#This Row],[Current Age]]&gt;19,"Men's",IF(E2747&gt;15,"U19",IF(E2747&gt;13,"U15",IF(E2747&gt;11,"U13",IF(E2747&gt;0,"U11",0)))))</f>
        <v>0</v>
      </c>
      <c r="E2747" s="456">
        <f>IFERROR(IF(Table10[[#This Row],[Year]]&gt;0,$E$1-Table10[[#This Row],[Year]],0),"")</f>
        <v>0</v>
      </c>
      <c r="F2747" s="456"/>
      <c r="G2747" s="456"/>
      <c r="H2747" s="456"/>
    </row>
    <row r="2748" spans="1:8">
      <c r="A2748" s="456">
        <v>3745</v>
      </c>
      <c r="B2748" s="469" t="s">
        <v>4154</v>
      </c>
      <c r="C2748" s="458" t="s">
        <v>4152</v>
      </c>
      <c r="D2748" s="456">
        <f>IF(Table10[[#This Row],[Current Age]]&gt;19,"Men's",IF(E2748&gt;15,"U19",IF(E2748&gt;13,"U15",IF(E2748&gt;11,"U13",IF(E2748&gt;0,"U11",0)))))</f>
        <v>0</v>
      </c>
      <c r="E2748" s="456">
        <f>IFERROR(IF(Table10[[#This Row],[Year]]&gt;0,$E$1-Table10[[#This Row],[Year]],0),"")</f>
        <v>0</v>
      </c>
      <c r="F2748" s="456"/>
      <c r="G2748" s="456"/>
      <c r="H2748" s="456"/>
    </row>
    <row r="2749" spans="1:8">
      <c r="A2749" s="471">
        <v>3746</v>
      </c>
      <c r="B2749" s="493" t="s">
        <v>4155</v>
      </c>
      <c r="C2749" s="472" t="s">
        <v>4152</v>
      </c>
      <c r="D2749" s="456">
        <f>IF(Table10[[#This Row],[Current Age]]&gt;19,"Men's",IF(E2749&gt;15,"U19",IF(E2749&gt;13,"U15",IF(E2749&gt;11,"U13",IF(E2749&gt;0,"U11",0)))))</f>
        <v>0</v>
      </c>
      <c r="E2749" s="456">
        <f>IFERROR(IF(Table10[[#This Row],[Year]]&gt;0,$E$1-Table10[[#This Row],[Year]],0),"")</f>
        <v>0</v>
      </c>
      <c r="F2749" s="456"/>
      <c r="G2749" s="456"/>
      <c r="H2749" s="456"/>
    </row>
    <row r="2750" spans="1:8">
      <c r="A2750" s="456">
        <v>3747</v>
      </c>
      <c r="B2750" s="469" t="s">
        <v>4156</v>
      </c>
      <c r="C2750" s="458" t="s">
        <v>4152</v>
      </c>
      <c r="D2750" s="456">
        <f>IF(Table10[[#This Row],[Current Age]]&gt;19,"Men's",IF(E2750&gt;15,"U19",IF(E2750&gt;13,"U15",IF(E2750&gt;11,"U13",IF(E2750&gt;0,"U11",0)))))</f>
        <v>0</v>
      </c>
      <c r="E2750" s="456">
        <f>IFERROR(IF(Table10[[#This Row],[Year]]&gt;0,$E$1-Table10[[#This Row],[Year]],0),"")</f>
        <v>0</v>
      </c>
      <c r="F2750" s="456"/>
      <c r="G2750" s="456"/>
      <c r="H2750" s="456"/>
    </row>
    <row r="2751" spans="1:8">
      <c r="A2751" s="471">
        <v>3748</v>
      </c>
      <c r="B2751" s="493" t="s">
        <v>6079</v>
      </c>
      <c r="C2751" s="472" t="s">
        <v>3750</v>
      </c>
      <c r="D2751" s="456">
        <f>IF(Table10[[#This Row],[Current Age]]&gt;19,"Men's",IF(E2751&gt;15,"U19",IF(E2751&gt;13,"U15",IF(E2751&gt;11,"U13",IF(E2751&gt;0,"U11",0)))))</f>
        <v>0</v>
      </c>
      <c r="E2751" s="456">
        <f>IFERROR(IF(Table10[[#This Row],[Year]]&gt;0,$E$1-Table10[[#This Row],[Year]],0),"")</f>
        <v>0</v>
      </c>
      <c r="F2751" s="456"/>
      <c r="G2751" s="456"/>
      <c r="H2751" s="456"/>
    </row>
    <row r="2752" spans="1:8">
      <c r="A2752" s="456">
        <v>3749</v>
      </c>
      <c r="B2752" s="469" t="s">
        <v>4169</v>
      </c>
      <c r="C2752" s="458" t="s">
        <v>251</v>
      </c>
      <c r="D2752" s="456">
        <f>IF(Table10[[#This Row],[Current Age]]&gt;19,"Men's",IF(E2752&gt;15,"U19",IF(E2752&gt;13,"U15",IF(E2752&gt;11,"U13",IF(E2752&gt;0,"U11",0)))))</f>
        <v>0</v>
      </c>
      <c r="E2752" s="456">
        <f>IFERROR(IF(Table10[[#This Row],[Year]]&gt;0,$E$1-Table10[[#This Row],[Year]],0),"")</f>
        <v>0</v>
      </c>
      <c r="F2752" s="456"/>
      <c r="G2752" s="456"/>
      <c r="H2752" s="456"/>
    </row>
    <row r="2753" spans="1:8">
      <c r="A2753" s="471">
        <v>3750</v>
      </c>
      <c r="B2753" s="493" t="s">
        <v>4171</v>
      </c>
      <c r="C2753" s="472" t="s">
        <v>3615</v>
      </c>
      <c r="D2753" s="456" t="str">
        <f>IF(Table10[[#This Row],[Current Age]]&gt;19,"Men's",IF(E2753&gt;15,"U19",IF(E2753&gt;13,"U15",IF(E2753&gt;11,"U13",IF(E2753&gt;0,"U11",0)))))</f>
        <v>Men's</v>
      </c>
      <c r="E2753" s="456">
        <f>IFERROR(IF(Table10[[#This Row],[Year]]&gt;0,$E$1-Table10[[#This Row],[Year]],0),"")</f>
        <v>37</v>
      </c>
      <c r="F2753" s="456">
        <v>1988</v>
      </c>
      <c r="G2753" s="456">
        <v>9</v>
      </c>
      <c r="H2753" s="456">
        <v>30</v>
      </c>
    </row>
    <row r="2754" spans="1:8">
      <c r="A2754" s="456">
        <v>3751</v>
      </c>
      <c r="B2754" s="469" t="s">
        <v>4172</v>
      </c>
      <c r="C2754" s="458" t="s">
        <v>256</v>
      </c>
      <c r="D2754" s="456">
        <f>IF(Table10[[#This Row],[Current Age]]&gt;19,"Men's",IF(E2754&gt;15,"U19",IF(E2754&gt;13,"U15",IF(E2754&gt;11,"U13",IF(E2754&gt;0,"U11",0)))))</f>
        <v>0</v>
      </c>
      <c r="E2754" s="456">
        <f>IFERROR(IF(Table10[[#This Row],[Year]]&gt;0,$E$1-Table10[[#This Row],[Year]],0),"")</f>
        <v>0</v>
      </c>
      <c r="F2754" s="456"/>
      <c r="G2754" s="456"/>
      <c r="H2754" s="456"/>
    </row>
    <row r="2755" spans="1:8">
      <c r="A2755" s="471">
        <v>3752</v>
      </c>
      <c r="B2755" s="493" t="s">
        <v>4173</v>
      </c>
      <c r="C2755" s="472" t="s">
        <v>252</v>
      </c>
      <c r="D2755" s="456" t="str">
        <f>IF(Table10[[#This Row],[Current Age]]&gt;19,"Men's",IF(E2755&gt;15,"U19",IF(E2755&gt;13,"U15",IF(E2755&gt;11,"U13",IF(E2755&gt;0,"U11",0)))))</f>
        <v>Men's</v>
      </c>
      <c r="E2755" s="456">
        <f>IFERROR(IF(Table10[[#This Row],[Year]]&gt;0,$E$1-Table10[[#This Row],[Year]],0),"")</f>
        <v>48</v>
      </c>
      <c r="F2755" s="456">
        <v>1977</v>
      </c>
      <c r="G2755" s="456">
        <v>1</v>
      </c>
      <c r="H2755" s="456">
        <v>2</v>
      </c>
    </row>
    <row r="2756" spans="1:8">
      <c r="A2756" s="456">
        <v>3753</v>
      </c>
      <c r="B2756" s="469" t="s">
        <v>4174</v>
      </c>
      <c r="C2756" s="458" t="s">
        <v>252</v>
      </c>
      <c r="D2756" s="456" t="str">
        <f>IF(Table10[[#This Row],[Current Age]]&gt;19,"Men's",IF(E2756&gt;15,"U19",IF(E2756&gt;13,"U15",IF(E2756&gt;11,"U13",IF(E2756&gt;0,"U11",0)))))</f>
        <v>Men's</v>
      </c>
      <c r="E2756" s="456">
        <f>IFERROR(IF(Table10[[#This Row],[Year]]&gt;0,$E$1-Table10[[#This Row],[Year]],0),"")</f>
        <v>52</v>
      </c>
      <c r="F2756" s="456">
        <v>1973</v>
      </c>
      <c r="G2756" s="456">
        <v>9</v>
      </c>
      <c r="H2756" s="456">
        <v>9</v>
      </c>
    </row>
    <row r="2757" spans="1:8">
      <c r="A2757" s="471">
        <v>3754</v>
      </c>
      <c r="B2757" s="493" t="s">
        <v>4177</v>
      </c>
      <c r="C2757" s="472" t="s">
        <v>244</v>
      </c>
      <c r="D2757" s="456">
        <f>IF(Table10[[#This Row],[Current Age]]&gt;19,"Men's",IF(E2757&gt;15,"U19",IF(E2757&gt;13,"U15",IF(E2757&gt;11,"U13",IF(E2757&gt;0,"U11",0)))))</f>
        <v>0</v>
      </c>
      <c r="E2757" s="456">
        <f>IFERROR(IF(Table10[[#This Row],[Year]]&gt;0,$E$1-Table10[[#This Row],[Year]],0),"")</f>
        <v>0</v>
      </c>
      <c r="F2757" s="456"/>
      <c r="G2757" s="456">
        <v>3</v>
      </c>
      <c r="H2757" s="456">
        <v>3</v>
      </c>
    </row>
    <row r="2758" spans="1:8">
      <c r="A2758" s="456">
        <v>3755</v>
      </c>
      <c r="B2758" s="469" t="s">
        <v>4180</v>
      </c>
      <c r="C2758" s="458" t="s">
        <v>1914</v>
      </c>
      <c r="D2758" s="456">
        <f>IF(Table10[[#This Row],[Current Age]]&gt;19,"Men's",IF(E2758&gt;15,"U19",IF(E2758&gt;13,"U15",IF(E2758&gt;11,"U13",IF(E2758&gt;0,"U11",0)))))</f>
        <v>0</v>
      </c>
      <c r="E2758" s="456">
        <f>IFERROR(IF(Table10[[#This Row],[Year]]&gt;0,$E$1-Table10[[#This Row],[Year]],0),"")</f>
        <v>0</v>
      </c>
      <c r="F2758" s="456"/>
      <c r="G2758" s="456"/>
      <c r="H2758" s="456"/>
    </row>
    <row r="2759" spans="1:8">
      <c r="A2759" s="471">
        <v>3756</v>
      </c>
      <c r="B2759" s="493" t="s">
        <v>4178</v>
      </c>
      <c r="C2759" s="472" t="s">
        <v>1914</v>
      </c>
      <c r="D2759" s="456">
        <f>IF(Table10[[#This Row],[Current Age]]&gt;19,"Men's",IF(E2759&gt;15,"U19",IF(E2759&gt;13,"U15",IF(E2759&gt;11,"U13",IF(E2759&gt;0,"U11",0)))))</f>
        <v>0</v>
      </c>
      <c r="E2759" s="456">
        <f>IFERROR(IF(Table10[[#This Row],[Year]]&gt;0,$E$1-Table10[[#This Row],[Year]],0),"")</f>
        <v>0</v>
      </c>
      <c r="F2759" s="456"/>
      <c r="G2759" s="456"/>
      <c r="H2759" s="456"/>
    </row>
    <row r="2760" spans="1:8">
      <c r="A2760" s="456">
        <v>3757</v>
      </c>
      <c r="B2760" s="469" t="s">
        <v>4179</v>
      </c>
      <c r="C2760" s="458" t="s">
        <v>1914</v>
      </c>
      <c r="D2760" s="456">
        <f>IF(Table10[[#This Row],[Current Age]]&gt;19,"Men's",IF(E2760&gt;15,"U19",IF(E2760&gt;13,"U15",IF(E2760&gt;11,"U13",IF(E2760&gt;0,"U11",0)))))</f>
        <v>0</v>
      </c>
      <c r="E2760" s="456">
        <f>IFERROR(IF(Table10[[#This Row],[Year]]&gt;0,$E$1-Table10[[#This Row],[Year]],0),"")</f>
        <v>0</v>
      </c>
      <c r="F2760" s="456"/>
      <c r="G2760" s="456"/>
      <c r="H2760" s="456"/>
    </row>
    <row r="2761" spans="1:8">
      <c r="A2761" s="471">
        <v>3758</v>
      </c>
      <c r="B2761" s="493" t="s">
        <v>4181</v>
      </c>
      <c r="C2761" s="472" t="s">
        <v>1914</v>
      </c>
      <c r="D2761" s="456" t="str">
        <f>IF(Table10[[#This Row],[Current Age]]&gt;19,"Men's",IF(E2761&gt;15,"U19",IF(E2761&gt;13,"U15",IF(E2761&gt;11,"U13",IF(E2761&gt;0,"U11",0)))))</f>
        <v>U15</v>
      </c>
      <c r="E2761" s="456">
        <f>IFERROR(IF(Table10[[#This Row],[Year]]&gt;0,$E$1-Table10[[#This Row],[Year]],0),"")</f>
        <v>15</v>
      </c>
      <c r="F2761" s="456">
        <v>2010</v>
      </c>
      <c r="G2761" s="456">
        <v>11</v>
      </c>
      <c r="H2761" s="456">
        <v>11</v>
      </c>
    </row>
    <row r="2762" spans="1:8">
      <c r="A2762" s="456">
        <v>3759</v>
      </c>
      <c r="B2762" s="469" t="s">
        <v>4182</v>
      </c>
      <c r="C2762" s="458" t="s">
        <v>1914</v>
      </c>
      <c r="D2762" s="456" t="str">
        <f>IF(Table10[[#This Row],[Current Age]]&gt;19,"Men's",IF(E2762&gt;15,"U19",IF(E2762&gt;13,"U15",IF(E2762&gt;11,"U13",IF(E2762&gt;0,"U11",0)))))</f>
        <v>U19</v>
      </c>
      <c r="E2762" s="456">
        <f>IFERROR(IF(Table10[[#This Row],[Year]]&gt;0,$E$1-Table10[[#This Row],[Year]],0),"")</f>
        <v>16</v>
      </c>
      <c r="F2762" s="456">
        <v>2009</v>
      </c>
      <c r="G2762" s="456">
        <v>5</v>
      </c>
      <c r="H2762" s="456">
        <v>27</v>
      </c>
    </row>
    <row r="2763" spans="1:8">
      <c r="A2763" s="471">
        <v>3760</v>
      </c>
      <c r="B2763" s="493" t="s">
        <v>4183</v>
      </c>
      <c r="C2763" s="472" t="s">
        <v>1914</v>
      </c>
      <c r="D2763" s="456" t="str">
        <f>IF(Table10[[#This Row],[Current Age]]&gt;19,"Men's",IF(E2763&gt;15,"U19",IF(E2763&gt;13,"U15",IF(E2763&gt;11,"U13",IF(E2763&gt;0,"U11",0)))))</f>
        <v>U19</v>
      </c>
      <c r="E2763" s="456">
        <f>IFERROR(IF(Table10[[#This Row],[Year]]&gt;0,$E$1-Table10[[#This Row],[Year]],0),"")</f>
        <v>16</v>
      </c>
      <c r="F2763" s="456">
        <v>2009</v>
      </c>
      <c r="G2763" s="456">
        <v>12</v>
      </c>
      <c r="H2763" s="456">
        <v>30</v>
      </c>
    </row>
    <row r="2764" spans="1:8">
      <c r="A2764" s="456">
        <v>3761</v>
      </c>
      <c r="B2764" s="469" t="s">
        <v>4188</v>
      </c>
      <c r="C2764" s="458" t="s">
        <v>248</v>
      </c>
      <c r="D2764" s="456">
        <f>IF(Table10[[#This Row],[Current Age]]&gt;19,"Men's",IF(E2764&gt;15,"U19",IF(E2764&gt;13,"U15",IF(E2764&gt;11,"U13",IF(E2764&gt;0,"U11",0)))))</f>
        <v>0</v>
      </c>
      <c r="E2764" s="456">
        <f>IFERROR(IF(Table10[[#This Row],[Year]]&gt;0,$E$1-Table10[[#This Row],[Year]],0),"")</f>
        <v>0</v>
      </c>
      <c r="F2764" s="456"/>
      <c r="G2764" s="456"/>
      <c r="H2764" s="456"/>
    </row>
    <row r="2765" spans="1:8">
      <c r="A2765" s="471">
        <v>3762</v>
      </c>
      <c r="B2765" s="493" t="s">
        <v>4189</v>
      </c>
      <c r="C2765" s="472" t="s">
        <v>248</v>
      </c>
      <c r="D2765" s="456">
        <f>IF(Table10[[#This Row],[Current Age]]&gt;19,"Men's",IF(E2765&gt;15,"U19",IF(E2765&gt;13,"U15",IF(E2765&gt;11,"U13",IF(E2765&gt;0,"U11",0)))))</f>
        <v>0</v>
      </c>
      <c r="E2765" s="456">
        <f>IFERROR(IF(Table10[[#This Row],[Year]]&gt;0,$E$1-Table10[[#This Row],[Year]],0),"")</f>
        <v>0</v>
      </c>
      <c r="F2765" s="456"/>
      <c r="G2765" s="456"/>
      <c r="H2765" s="456"/>
    </row>
    <row r="2766" spans="1:8">
      <c r="A2766" s="456">
        <v>3763</v>
      </c>
      <c r="B2766" s="469" t="s">
        <v>4190</v>
      </c>
      <c r="C2766" s="458" t="s">
        <v>248</v>
      </c>
      <c r="D2766" s="456">
        <f>IF(Table10[[#This Row],[Current Age]]&gt;19,"Men's",IF(E2766&gt;15,"U19",IF(E2766&gt;13,"U15",IF(E2766&gt;11,"U13",IF(E2766&gt;0,"U11",0)))))</f>
        <v>0</v>
      </c>
      <c r="E2766" s="456">
        <f>IFERROR(IF(Table10[[#This Row],[Year]]&gt;0,$E$1-Table10[[#This Row],[Year]],0),"")</f>
        <v>0</v>
      </c>
      <c r="F2766" s="456"/>
      <c r="G2766" s="456"/>
      <c r="H2766" s="456"/>
    </row>
    <row r="2767" spans="1:8">
      <c r="A2767" s="471">
        <v>3764</v>
      </c>
      <c r="B2767" s="493" t="s">
        <v>4191</v>
      </c>
      <c r="C2767" s="472" t="s">
        <v>248</v>
      </c>
      <c r="D2767" s="456">
        <f>IF(Table10[[#This Row],[Current Age]]&gt;19,"Men's",IF(E2767&gt;15,"U19",IF(E2767&gt;13,"U15",IF(E2767&gt;11,"U13",IF(E2767&gt;0,"U11",0)))))</f>
        <v>0</v>
      </c>
      <c r="E2767" s="456">
        <f>IFERROR(IF(Table10[[#This Row],[Year]]&gt;0,$E$1-Table10[[#This Row],[Year]],0),"")</f>
        <v>0</v>
      </c>
      <c r="F2767" s="456"/>
      <c r="G2767" s="456"/>
      <c r="H2767" s="456"/>
    </row>
    <row r="2768" spans="1:8">
      <c r="A2768" s="456">
        <v>3765</v>
      </c>
      <c r="B2768" s="469" t="s">
        <v>4197</v>
      </c>
      <c r="C2768" s="458" t="s">
        <v>248</v>
      </c>
      <c r="D2768" s="456">
        <f>IF(Table10[[#This Row],[Current Age]]&gt;19,"Men's",IF(E2768&gt;15,"U19",IF(E2768&gt;13,"U15",IF(E2768&gt;11,"U13",IF(E2768&gt;0,"U11",0)))))</f>
        <v>0</v>
      </c>
      <c r="E2768" s="456">
        <f>IFERROR(IF(Table10[[#This Row],[Year]]&gt;0,$E$1-Table10[[#This Row],[Year]],0),"")</f>
        <v>0</v>
      </c>
      <c r="F2768" s="456"/>
      <c r="G2768" s="456"/>
      <c r="H2768" s="456"/>
    </row>
    <row r="2769" spans="1:8">
      <c r="A2769" s="471">
        <v>3766</v>
      </c>
      <c r="B2769" s="493" t="s">
        <v>4198</v>
      </c>
      <c r="C2769" s="472" t="s">
        <v>248</v>
      </c>
      <c r="D2769" s="456">
        <f>IF(Table10[[#This Row],[Current Age]]&gt;19,"Men's",IF(E2769&gt;15,"U19",IF(E2769&gt;13,"U15",IF(E2769&gt;11,"U13",IF(E2769&gt;0,"U11",0)))))</f>
        <v>0</v>
      </c>
      <c r="E2769" s="456">
        <f>IFERROR(IF(Table10[[#This Row],[Year]]&gt;0,$E$1-Table10[[#This Row],[Year]],0),"")</f>
        <v>0</v>
      </c>
      <c r="F2769" s="456"/>
      <c r="G2769" s="456"/>
      <c r="H2769" s="456"/>
    </row>
    <row r="2770" spans="1:8">
      <c r="A2770" s="456">
        <v>3767</v>
      </c>
      <c r="B2770" s="469" t="s">
        <v>4199</v>
      </c>
      <c r="C2770" s="458" t="s">
        <v>248</v>
      </c>
      <c r="D2770" s="456">
        <f>IF(Table10[[#This Row],[Current Age]]&gt;19,"Men's",IF(E2770&gt;15,"U19",IF(E2770&gt;13,"U15",IF(E2770&gt;11,"U13",IF(E2770&gt;0,"U11",0)))))</f>
        <v>0</v>
      </c>
      <c r="E2770" s="456">
        <f>IFERROR(IF(Table10[[#This Row],[Year]]&gt;0,$E$1-Table10[[#This Row],[Year]],0),"")</f>
        <v>0</v>
      </c>
      <c r="F2770" s="456"/>
      <c r="G2770" s="456"/>
      <c r="H2770" s="456"/>
    </row>
    <row r="2771" spans="1:8">
      <c r="A2771" s="471">
        <v>3768</v>
      </c>
      <c r="B2771" s="493" t="s">
        <v>4201</v>
      </c>
      <c r="C2771" s="472" t="s">
        <v>248</v>
      </c>
      <c r="D2771" s="456">
        <f>IF(Table10[[#This Row],[Current Age]]&gt;19,"Men's",IF(E2771&gt;15,"U19",IF(E2771&gt;13,"U15",IF(E2771&gt;11,"U13",IF(E2771&gt;0,"U11",0)))))</f>
        <v>0</v>
      </c>
      <c r="E2771" s="456">
        <f>IFERROR(IF(Table10[[#This Row],[Year]]&gt;0,$E$1-Table10[[#This Row],[Year]],0),"")</f>
        <v>0</v>
      </c>
      <c r="F2771" s="456"/>
      <c r="G2771" s="456"/>
      <c r="H2771" s="456"/>
    </row>
    <row r="2772" spans="1:8">
      <c r="A2772" s="456">
        <v>3769</v>
      </c>
      <c r="B2772" s="469" t="s">
        <v>4202</v>
      </c>
      <c r="C2772" s="458" t="s">
        <v>248</v>
      </c>
      <c r="D2772" s="456">
        <f>IF(Table10[[#This Row],[Current Age]]&gt;19,"Men's",IF(E2772&gt;15,"U19",IF(E2772&gt;13,"U15",IF(E2772&gt;11,"U13",IF(E2772&gt;0,"U11",0)))))</f>
        <v>0</v>
      </c>
      <c r="E2772" s="456">
        <f>IFERROR(IF(Table10[[#This Row],[Year]]&gt;0,$E$1-Table10[[#This Row],[Year]],0),"")</f>
        <v>0</v>
      </c>
      <c r="F2772" s="456"/>
      <c r="G2772" s="456"/>
      <c r="H2772" s="456"/>
    </row>
    <row r="2773" spans="1:8">
      <c r="A2773" s="471">
        <v>3770</v>
      </c>
      <c r="B2773" s="493" t="s">
        <v>4212</v>
      </c>
      <c r="C2773" s="472" t="s">
        <v>2857</v>
      </c>
      <c r="D2773" s="456">
        <f>IF(Table10[[#This Row],[Current Age]]&gt;19,"Men's",IF(E2773&gt;15,"U19",IF(E2773&gt;13,"U15",IF(E2773&gt;11,"U13",IF(E2773&gt;0,"U11",0)))))</f>
        <v>0</v>
      </c>
      <c r="E2773" s="456">
        <f>IFERROR(IF(Table10[[#This Row],[Year]]&gt;0,$E$1-Table10[[#This Row],[Year]],0),"")</f>
        <v>0</v>
      </c>
      <c r="F2773" s="456"/>
      <c r="G2773" s="456"/>
      <c r="H2773" s="456"/>
    </row>
    <row r="2774" spans="1:8">
      <c r="A2774" s="456">
        <v>3771</v>
      </c>
      <c r="B2774" s="469" t="s">
        <v>4213</v>
      </c>
      <c r="C2774" s="458" t="s">
        <v>2857</v>
      </c>
      <c r="D2774" s="456">
        <f>IF(Table10[[#This Row],[Current Age]]&gt;19,"Men's",IF(E2774&gt;15,"U19",IF(E2774&gt;13,"U15",IF(E2774&gt;11,"U13",IF(E2774&gt;0,"U11",0)))))</f>
        <v>0</v>
      </c>
      <c r="E2774" s="456">
        <f>IFERROR(IF(Table10[[#This Row],[Year]]&gt;0,$E$1-Table10[[#This Row],[Year]],0),"")</f>
        <v>0</v>
      </c>
      <c r="F2774" s="456"/>
      <c r="G2774" s="456"/>
      <c r="H2774" s="456"/>
    </row>
    <row r="2775" spans="1:8">
      <c r="A2775" s="471">
        <v>3772</v>
      </c>
      <c r="B2775" s="493" t="s">
        <v>4214</v>
      </c>
      <c r="C2775" s="472" t="s">
        <v>2857</v>
      </c>
      <c r="D2775" s="456">
        <f>IF(Table10[[#This Row],[Current Age]]&gt;19,"Men's",IF(E2775&gt;15,"U19",IF(E2775&gt;13,"U15",IF(E2775&gt;11,"U13",IF(E2775&gt;0,"U11",0)))))</f>
        <v>0</v>
      </c>
      <c r="E2775" s="456">
        <f>IFERROR(IF(Table10[[#This Row],[Year]]&gt;0,$E$1-Table10[[#This Row],[Year]],0),"")</f>
        <v>0</v>
      </c>
      <c r="F2775" s="456"/>
      <c r="G2775" s="456"/>
      <c r="H2775" s="456"/>
    </row>
    <row r="2776" spans="1:8">
      <c r="A2776" s="456">
        <v>3773</v>
      </c>
      <c r="B2776" s="469" t="s">
        <v>4215</v>
      </c>
      <c r="C2776" s="458" t="s">
        <v>2857</v>
      </c>
      <c r="D2776" s="456">
        <f>IF(Table10[[#This Row],[Current Age]]&gt;19,"Men's",IF(E2776&gt;15,"U19",IF(E2776&gt;13,"U15",IF(E2776&gt;11,"U13",IF(E2776&gt;0,"U11",0)))))</f>
        <v>0</v>
      </c>
      <c r="E2776" s="456">
        <f>IFERROR(IF(Table10[[#This Row],[Year]]&gt;0,$E$1-Table10[[#This Row],[Year]],0),"")</f>
        <v>0</v>
      </c>
      <c r="F2776" s="456"/>
      <c r="G2776" s="456"/>
      <c r="H2776" s="456"/>
    </row>
    <row r="2777" spans="1:8">
      <c r="A2777" s="471">
        <v>3774</v>
      </c>
      <c r="B2777" s="493" t="s">
        <v>4221</v>
      </c>
      <c r="C2777" s="472" t="s">
        <v>256</v>
      </c>
      <c r="D2777" s="456">
        <f>IF(Table10[[#This Row],[Current Age]]&gt;19,"Men's",IF(E2777&gt;15,"U19",IF(E2777&gt;13,"U15",IF(E2777&gt;11,"U13",IF(E2777&gt;0,"U11",0)))))</f>
        <v>0</v>
      </c>
      <c r="E2777" s="456">
        <f>IFERROR(IF(Table10[[#This Row],[Year]]&gt;0,$E$1-Table10[[#This Row],[Year]],0),"")</f>
        <v>0</v>
      </c>
      <c r="F2777" s="456"/>
      <c r="G2777" s="456"/>
      <c r="H2777" s="456"/>
    </row>
    <row r="2778" spans="1:8">
      <c r="A2778" s="456">
        <v>3775</v>
      </c>
      <c r="B2778" s="469" t="s">
        <v>3150</v>
      </c>
      <c r="C2778" s="458" t="s">
        <v>243</v>
      </c>
      <c r="D2778" s="456">
        <f>IF(Table10[[#This Row],[Current Age]]&gt;19,"Men's",IF(E2778&gt;15,"U19",IF(E2778&gt;13,"U15",IF(E2778&gt;11,"U13",IF(E2778&gt;0,"U11",0)))))</f>
        <v>0</v>
      </c>
      <c r="E2778" s="456">
        <f>IFERROR(IF(Table10[[#This Row],[Year]]&gt;0,$E$1-Table10[[#This Row],[Year]],0),"")</f>
        <v>0</v>
      </c>
      <c r="F2778" s="456"/>
      <c r="G2778" s="456"/>
      <c r="H2778" s="456"/>
    </row>
    <row r="2779" spans="1:8">
      <c r="A2779" s="471">
        <v>3776</v>
      </c>
      <c r="B2779" s="493" t="s">
        <v>4222</v>
      </c>
      <c r="C2779" s="472" t="s">
        <v>4720</v>
      </c>
      <c r="D2779" s="456">
        <f>IF(Table10[[#This Row],[Current Age]]&gt;19,"Men's",IF(E2779&gt;15,"U19",IF(E2779&gt;13,"U15",IF(E2779&gt;11,"U13",IF(E2779&gt;0,"U11",0)))))</f>
        <v>0</v>
      </c>
      <c r="E2779" s="456">
        <f>IFERROR(IF(Table10[[#This Row],[Year]]&gt;0,$E$1-Table10[[#This Row],[Year]],0),"")</f>
        <v>0</v>
      </c>
      <c r="F2779" s="456"/>
      <c r="G2779" s="456"/>
      <c r="H2779" s="456"/>
    </row>
    <row r="2780" spans="1:8">
      <c r="A2780" s="456">
        <v>3777</v>
      </c>
      <c r="B2780" s="469" t="s">
        <v>4223</v>
      </c>
      <c r="C2780" s="458" t="s">
        <v>4720</v>
      </c>
      <c r="D2780" s="456">
        <f>IF(Table10[[#This Row],[Current Age]]&gt;19,"Men's",IF(E2780&gt;15,"U19",IF(E2780&gt;13,"U15",IF(E2780&gt;11,"U13",IF(E2780&gt;0,"U11",0)))))</f>
        <v>0</v>
      </c>
      <c r="E2780" s="456">
        <f>IFERROR(IF(Table10[[#This Row],[Year]]&gt;0,$E$1-Table10[[#This Row],[Year]],0),"")</f>
        <v>0</v>
      </c>
      <c r="F2780" s="456"/>
      <c r="G2780" s="456"/>
      <c r="H2780" s="456"/>
    </row>
    <row r="2781" spans="1:8">
      <c r="A2781" s="471">
        <v>3778</v>
      </c>
      <c r="B2781" s="493" t="s">
        <v>4224</v>
      </c>
      <c r="C2781" s="472" t="s">
        <v>4720</v>
      </c>
      <c r="D2781" s="456">
        <f>IF(Table10[[#This Row],[Current Age]]&gt;19,"Men's",IF(E2781&gt;15,"U19",IF(E2781&gt;13,"U15",IF(E2781&gt;11,"U13",IF(E2781&gt;0,"U11",0)))))</f>
        <v>0</v>
      </c>
      <c r="E2781" s="456">
        <f>IFERROR(IF(Table10[[#This Row],[Year]]&gt;0,$E$1-Table10[[#This Row],[Year]],0),"")</f>
        <v>0</v>
      </c>
      <c r="F2781" s="456"/>
      <c r="G2781" s="456"/>
      <c r="H2781" s="456"/>
    </row>
    <row r="2782" spans="1:8">
      <c r="A2782" s="456">
        <v>3779</v>
      </c>
      <c r="B2782" s="469" t="s">
        <v>4228</v>
      </c>
      <c r="C2782" s="458" t="s">
        <v>4720</v>
      </c>
      <c r="D2782" s="456" t="str">
        <f>IF(Table10[[#This Row],[Current Age]]&gt;19,"Men's",IF(E2782&gt;15,"U19",IF(E2782&gt;13,"U15",IF(E2782&gt;11,"U13",IF(E2782&gt;0,"U11",0)))))</f>
        <v>U19</v>
      </c>
      <c r="E2782" s="456">
        <f>IFERROR(IF(Table10[[#This Row],[Year]]&gt;0,$E$1-Table10[[#This Row],[Year]],0),"")</f>
        <v>18</v>
      </c>
      <c r="F2782" s="456">
        <v>2007</v>
      </c>
      <c r="G2782" s="456">
        <v>7</v>
      </c>
      <c r="H2782" s="456">
        <v>23</v>
      </c>
    </row>
    <row r="2783" spans="1:8">
      <c r="A2783" s="471">
        <v>3780</v>
      </c>
      <c r="B2783" s="493" t="s">
        <v>4229</v>
      </c>
      <c r="C2783" s="472" t="s">
        <v>4720</v>
      </c>
      <c r="D2783" s="456" t="str">
        <f>IF(Table10[[#This Row],[Current Age]]&gt;19,"Men's",IF(E2783&gt;15,"U19",IF(E2783&gt;13,"U15",IF(E2783&gt;11,"U13",IF(E2783&gt;0,"U11",0)))))</f>
        <v>U15</v>
      </c>
      <c r="E2783" s="456">
        <f>IFERROR(IF(Table10[[#This Row],[Year]]&gt;0,$E$1-Table10[[#This Row],[Year]],0),"")</f>
        <v>15</v>
      </c>
      <c r="F2783" s="456">
        <v>2010</v>
      </c>
      <c r="G2783" s="456">
        <v>5</v>
      </c>
      <c r="H2783" s="456">
        <v>10</v>
      </c>
    </row>
    <row r="2784" spans="1:8">
      <c r="A2784" s="456">
        <v>3781</v>
      </c>
      <c r="B2784" s="469" t="s">
        <v>4230</v>
      </c>
      <c r="C2784" s="458" t="s">
        <v>4720</v>
      </c>
      <c r="D2784" s="456" t="str">
        <f>IF(Table10[[#This Row],[Current Age]]&gt;19,"Men's",IF(E2784&gt;15,"U19",IF(E2784&gt;13,"U15",IF(E2784&gt;11,"U13",IF(E2784&gt;0,"U11",0)))))</f>
        <v>U15</v>
      </c>
      <c r="E2784" s="456">
        <f>IFERROR(IF(Table10[[#This Row],[Year]]&gt;0,$E$1-Table10[[#This Row],[Year]],0),"")</f>
        <v>15</v>
      </c>
      <c r="F2784" s="456">
        <v>2010</v>
      </c>
      <c r="G2784" s="456">
        <v>12</v>
      </c>
      <c r="H2784" s="456">
        <v>15</v>
      </c>
    </row>
    <row r="2785" spans="1:8">
      <c r="A2785" s="471">
        <v>3782</v>
      </c>
      <c r="B2785" s="493" t="s">
        <v>4231</v>
      </c>
      <c r="C2785" s="472" t="s">
        <v>4720</v>
      </c>
      <c r="D2785" s="456">
        <f>IF(Table10[[#This Row],[Current Age]]&gt;19,"Men's",IF(E2785&gt;15,"U19",IF(E2785&gt;13,"U15",IF(E2785&gt;11,"U13",IF(E2785&gt;0,"U11",0)))))</f>
        <v>0</v>
      </c>
      <c r="E2785" s="456">
        <f>IFERROR(IF(Table10[[#This Row],[Year]]&gt;0,$E$1-Table10[[#This Row],[Year]],0),"")</f>
        <v>0</v>
      </c>
      <c r="F2785" s="456"/>
      <c r="G2785" s="456"/>
      <c r="H2785" s="456"/>
    </row>
    <row r="2786" spans="1:8">
      <c r="A2786" s="456">
        <v>3783</v>
      </c>
      <c r="B2786" s="469" t="s">
        <v>4232</v>
      </c>
      <c r="C2786" s="458" t="s">
        <v>244</v>
      </c>
      <c r="D2786" s="456">
        <f>IF(Table10[[#This Row],[Current Age]]&gt;19,"Men's",IF(E2786&gt;15,"U19",IF(E2786&gt;13,"U15",IF(E2786&gt;11,"U13",IF(E2786&gt;0,"U11",0)))))</f>
        <v>0</v>
      </c>
      <c r="E2786" s="456">
        <f>IFERROR(IF(Table10[[#This Row],[Year]]&gt;0,$E$1-Table10[[#This Row],[Year]],0),"")</f>
        <v>0</v>
      </c>
      <c r="F2786" s="456"/>
      <c r="G2786" s="456"/>
      <c r="H2786" s="456"/>
    </row>
    <row r="2787" spans="1:8">
      <c r="A2787" s="471">
        <v>3784</v>
      </c>
      <c r="B2787" s="493" t="s">
        <v>4233</v>
      </c>
      <c r="C2787" s="472" t="s">
        <v>4720</v>
      </c>
      <c r="D2787" s="456">
        <f>IF(Table10[[#This Row],[Current Age]]&gt;19,"Men's",IF(E2787&gt;15,"U19",IF(E2787&gt;13,"U15",IF(E2787&gt;11,"U13",IF(E2787&gt;0,"U11",0)))))</f>
        <v>0</v>
      </c>
      <c r="E2787" s="456">
        <f>IFERROR(IF(Table10[[#This Row],[Year]]&gt;0,$E$1-Table10[[#This Row],[Year]],0),"")</f>
        <v>0</v>
      </c>
      <c r="F2787" s="456"/>
      <c r="G2787" s="456"/>
      <c r="H2787" s="456"/>
    </row>
    <row r="2788" spans="1:8">
      <c r="A2788" s="456">
        <v>3785</v>
      </c>
      <c r="B2788" s="469" t="s">
        <v>4234</v>
      </c>
      <c r="C2788" s="458" t="s">
        <v>4658</v>
      </c>
      <c r="D2788" s="456">
        <f>IF(Table10[[#This Row],[Current Age]]&gt;19,"Men's",IF(E2788&gt;15,"U19",IF(E2788&gt;13,"U15",IF(E2788&gt;11,"U13",IF(E2788&gt;0,"U11",0)))))</f>
        <v>0</v>
      </c>
      <c r="E2788" s="456">
        <f>IFERROR(IF(Table10[[#This Row],[Year]]&gt;0,$E$1-Table10[[#This Row],[Year]],0),"")</f>
        <v>0</v>
      </c>
      <c r="F2788" s="456"/>
      <c r="G2788" s="456"/>
      <c r="H2788" s="456"/>
    </row>
    <row r="2789" spans="1:8">
      <c r="A2789" s="471">
        <v>3786</v>
      </c>
      <c r="B2789" s="493" t="s">
        <v>4272</v>
      </c>
      <c r="C2789" s="472" t="s">
        <v>4552</v>
      </c>
      <c r="D2789" s="456" t="str">
        <f>IF(Table10[[#This Row],[Current Age]]&gt;19,"Men's",IF(E2789&gt;15,"U19",IF(E2789&gt;13,"U15",IF(E2789&gt;11,"U13",IF(E2789&gt;0,"U11",0)))))</f>
        <v>Men's</v>
      </c>
      <c r="E2789" s="456">
        <f>IFERROR(IF(Table10[[#This Row],[Year]]&gt;0,$E$1-Table10[[#This Row],[Year]],0),"")</f>
        <v>47</v>
      </c>
      <c r="F2789" s="456">
        <v>1978</v>
      </c>
      <c r="G2789" s="456">
        <v>7</v>
      </c>
      <c r="H2789" s="456">
        <v>31</v>
      </c>
    </row>
    <row r="2790" spans="1:8">
      <c r="A2790" s="456">
        <v>3787</v>
      </c>
      <c r="B2790" s="469" t="s">
        <v>4273</v>
      </c>
      <c r="C2790" s="458" t="s">
        <v>4552</v>
      </c>
      <c r="D2790" s="456" t="str">
        <f>IF(Table10[[#This Row],[Current Age]]&gt;19,"Men's",IF(E2790&gt;15,"U19",IF(E2790&gt;13,"U15",IF(E2790&gt;11,"U13",IF(E2790&gt;0,"U11",0)))))</f>
        <v>Men's</v>
      </c>
      <c r="E2790" s="456">
        <f>IFERROR(IF(Table10[[#This Row],[Year]]&gt;0,$E$1-Table10[[#This Row],[Year]],0),"")</f>
        <v>21</v>
      </c>
      <c r="F2790" s="456" t="s">
        <v>4274</v>
      </c>
      <c r="G2790" s="456" t="s">
        <v>4250</v>
      </c>
      <c r="H2790" s="456" t="s">
        <v>4250</v>
      </c>
    </row>
    <row r="2791" spans="1:8">
      <c r="A2791" s="471">
        <v>3788</v>
      </c>
      <c r="B2791" s="493" t="s">
        <v>4275</v>
      </c>
      <c r="C2791" s="472" t="s">
        <v>4552</v>
      </c>
      <c r="D2791" s="456" t="str">
        <f>IF(Table10[[#This Row],[Current Age]]&gt;19,"Men's",IF(E2791&gt;15,"U19",IF(E2791&gt;13,"U15",IF(E2791&gt;11,"U13",IF(E2791&gt;0,"U11",0)))))</f>
        <v>U13</v>
      </c>
      <c r="E2791" s="456">
        <f>IFERROR(IF(Table10[[#This Row],[Year]]&gt;0,$E$1-Table10[[#This Row],[Year]],0),"")</f>
        <v>12</v>
      </c>
      <c r="F2791" s="456" t="s">
        <v>4252</v>
      </c>
      <c r="G2791" s="456" t="s">
        <v>4256</v>
      </c>
      <c r="H2791" s="456" t="s">
        <v>4276</v>
      </c>
    </row>
    <row r="2792" spans="1:8">
      <c r="A2792" s="456">
        <v>3789</v>
      </c>
      <c r="B2792" s="469" t="s">
        <v>4277</v>
      </c>
      <c r="C2792" s="458" t="s">
        <v>4552</v>
      </c>
      <c r="D2792" s="456" t="str">
        <f>IF(Table10[[#This Row],[Current Age]]&gt;19,"Men's",IF(E2792&gt;15,"U19",IF(E2792&gt;13,"U15",IF(E2792&gt;11,"U13",IF(E2792&gt;0,"U11",0)))))</f>
        <v>U19</v>
      </c>
      <c r="E2792" s="456">
        <f>IFERROR(IF(Table10[[#This Row],[Year]]&gt;0,$E$1-Table10[[#This Row],[Year]],0),"")</f>
        <v>16</v>
      </c>
      <c r="F2792" s="456" t="s">
        <v>4270</v>
      </c>
      <c r="G2792" s="456" t="s">
        <v>4253</v>
      </c>
      <c r="H2792" s="456" t="s">
        <v>4250</v>
      </c>
    </row>
    <row r="2793" spans="1:8">
      <c r="A2793" s="471">
        <v>3790</v>
      </c>
      <c r="B2793" s="493" t="s">
        <v>1454</v>
      </c>
      <c r="C2793" s="472" t="s">
        <v>4552</v>
      </c>
      <c r="D2793" s="456" t="str">
        <f>IF(Table10[[#This Row],[Current Age]]&gt;19,"Men's",IF(E2793&gt;15,"U19",IF(E2793&gt;13,"U15",IF(E2793&gt;11,"U13",IF(E2793&gt;0,"U11",0)))))</f>
        <v>Men's</v>
      </c>
      <c r="E2793" s="456">
        <f>IFERROR(IF(Table10[[#This Row],[Year]]&gt;0,$E$1-Table10[[#This Row],[Year]],0),"")</f>
        <v>24</v>
      </c>
      <c r="F2793" s="456" t="s">
        <v>4278</v>
      </c>
      <c r="G2793" s="456" t="s">
        <v>4279</v>
      </c>
      <c r="H2793" s="456" t="s">
        <v>4263</v>
      </c>
    </row>
    <row r="2794" spans="1:8">
      <c r="A2794" s="456">
        <v>3791</v>
      </c>
      <c r="B2794" s="495" t="s">
        <v>5800</v>
      </c>
      <c r="C2794" s="464" t="s">
        <v>4552</v>
      </c>
      <c r="D2794" s="456" t="str">
        <f>IF(Table10[[#This Row],[Current Age]]&gt;19,"Men's",IF(E2794&gt;15,"U19",IF(E2794&gt;13,"U15",IF(E2794&gt;11,"U13",IF(E2794&gt;0,"U11",0)))))</f>
        <v>Men's</v>
      </c>
      <c r="E2794" s="456">
        <f>IFERROR(IF(Table10[[#This Row],[Year]]&gt;0,$E$1-Table10[[#This Row],[Year]],0),"")</f>
        <v>23</v>
      </c>
      <c r="F2794" s="456" t="s">
        <v>5802</v>
      </c>
      <c r="G2794" s="456" t="s">
        <v>4280</v>
      </c>
      <c r="H2794" s="456" t="s">
        <v>4254</v>
      </c>
    </row>
    <row r="2795" spans="1:8">
      <c r="A2795" s="471">
        <v>3792</v>
      </c>
      <c r="B2795" s="493" t="s">
        <v>4281</v>
      </c>
      <c r="C2795" s="472" t="s">
        <v>4552</v>
      </c>
      <c r="D2795" s="456">
        <f>IF(Table10[[#This Row],[Current Age]]&gt;19,"Men's",IF(E2795&gt;15,"U19",IF(E2795&gt;13,"U15",IF(E2795&gt;11,"U13",IF(E2795&gt;0,"U11",0)))))</f>
        <v>0</v>
      </c>
      <c r="E2795" s="456">
        <f>IFERROR(IF(Table10[[#This Row],[Year]]&gt;0,$E$1-Table10[[#This Row],[Year]],0),"")</f>
        <v>0</v>
      </c>
      <c r="F2795" s="456"/>
      <c r="G2795" s="456"/>
      <c r="H2795" s="456"/>
    </row>
    <row r="2796" spans="1:8">
      <c r="A2796" s="456">
        <v>3793</v>
      </c>
      <c r="B2796" s="469" t="s">
        <v>4282</v>
      </c>
      <c r="C2796" s="458" t="s">
        <v>4552</v>
      </c>
      <c r="D2796" s="456" t="str">
        <f>IF(Table10[[#This Row],[Current Age]]&gt;19,"Men's",IF(E2796&gt;15,"U19",IF(E2796&gt;13,"U15",IF(E2796&gt;11,"U13",IF(E2796&gt;0,"U11",0)))))</f>
        <v>Men's</v>
      </c>
      <c r="E2796" s="456">
        <f>IFERROR(IF(Table10[[#This Row],[Year]]&gt;0,$E$1-Table10[[#This Row],[Year]],0),"")</f>
        <v>28</v>
      </c>
      <c r="F2796" s="456">
        <v>1997</v>
      </c>
      <c r="G2796" s="456" t="s">
        <v>4253</v>
      </c>
      <c r="H2796" s="456" t="s">
        <v>4302</v>
      </c>
    </row>
    <row r="2797" spans="1:8">
      <c r="A2797" s="471">
        <v>3794</v>
      </c>
      <c r="B2797" s="493" t="s">
        <v>4283</v>
      </c>
      <c r="C2797" s="472" t="s">
        <v>4552</v>
      </c>
      <c r="D2797" s="456" t="str">
        <f>IF(Table10[[#This Row],[Current Age]]&gt;19,"Men's",IF(E2797&gt;15,"U19",IF(E2797&gt;13,"U15",IF(E2797&gt;11,"U13",IF(E2797&gt;0,"U11",0)))))</f>
        <v>Men's</v>
      </c>
      <c r="E2797" s="456">
        <f>IFERROR(IF(Table10[[#This Row],[Year]]&gt;0,$E$1-Table10[[#This Row],[Year]],0),"")</f>
        <v>24</v>
      </c>
      <c r="F2797" s="456">
        <v>2001</v>
      </c>
      <c r="G2797" s="456" t="s">
        <v>4263</v>
      </c>
      <c r="H2797" s="456" t="s">
        <v>4303</v>
      </c>
    </row>
    <row r="2798" spans="1:8">
      <c r="A2798" s="456">
        <v>3795</v>
      </c>
      <c r="B2798" s="469" t="s">
        <v>4284</v>
      </c>
      <c r="C2798" s="458" t="s">
        <v>4552</v>
      </c>
      <c r="D2798" s="456" t="str">
        <f>IF(Table10[[#This Row],[Current Age]]&gt;19,"Men's",IF(E2798&gt;15,"U19",IF(E2798&gt;13,"U15",IF(E2798&gt;11,"U13",IF(E2798&gt;0,"U11",0)))))</f>
        <v>Men's</v>
      </c>
      <c r="E2798" s="456">
        <f>IFERROR(IF(Table10[[#This Row],[Year]]&gt;0,$E$1-Table10[[#This Row],[Year]],0),"")</f>
        <v>24</v>
      </c>
      <c r="F2798" s="456">
        <v>2001</v>
      </c>
      <c r="G2798" s="456" t="s">
        <v>4304</v>
      </c>
      <c r="H2798" s="456" t="s">
        <v>4254</v>
      </c>
    </row>
    <row r="2799" spans="1:8">
      <c r="A2799" s="471">
        <v>3796</v>
      </c>
      <c r="B2799" s="493" t="s">
        <v>4285</v>
      </c>
      <c r="C2799" s="472" t="s">
        <v>4552</v>
      </c>
      <c r="D2799" s="456" t="str">
        <f>IF(Table10[[#This Row],[Current Age]]&gt;19,"Men's",IF(E2799&gt;15,"U19",IF(E2799&gt;13,"U15",IF(E2799&gt;11,"U13",IF(E2799&gt;0,"U11",0)))))</f>
        <v>Men's</v>
      </c>
      <c r="E2799" s="456">
        <f>IFERROR(IF(Table10[[#This Row],[Year]]&gt;0,$E$1-Table10[[#This Row],[Year]],0),"")</f>
        <v>27</v>
      </c>
      <c r="F2799" s="456">
        <v>1998</v>
      </c>
      <c r="G2799" s="456" t="s">
        <v>4250</v>
      </c>
      <c r="H2799" s="456" t="s">
        <v>4304</v>
      </c>
    </row>
    <row r="2800" spans="1:8">
      <c r="A2800" s="456">
        <v>3797</v>
      </c>
      <c r="B2800" s="469" t="s">
        <v>4286</v>
      </c>
      <c r="C2800" s="458" t="s">
        <v>4552</v>
      </c>
      <c r="D2800" s="456" t="str">
        <f>IF(Table10[[#This Row],[Current Age]]&gt;19,"Men's",IF(E2800&gt;15,"U19",IF(E2800&gt;13,"U15",IF(E2800&gt;11,"U13",IF(E2800&gt;0,"U11",0)))))</f>
        <v>U15</v>
      </c>
      <c r="E2800" s="456">
        <f>IFERROR(IF(Table10[[#This Row],[Year]]&gt;0,$E$1-Table10[[#This Row],[Year]],0),"")</f>
        <v>14</v>
      </c>
      <c r="F2800" s="456">
        <v>2011</v>
      </c>
      <c r="G2800" s="456" t="s">
        <v>4266</v>
      </c>
      <c r="H2800" s="456" t="s">
        <v>4302</v>
      </c>
    </row>
    <row r="2801" spans="1:8">
      <c r="A2801" s="471">
        <v>3798</v>
      </c>
      <c r="B2801" s="493" t="s">
        <v>4287</v>
      </c>
      <c r="C2801" s="472" t="s">
        <v>4552</v>
      </c>
      <c r="D2801" s="456" t="str">
        <f>IF(Table10[[#This Row],[Current Age]]&gt;19,"Men's",IF(E2801&gt;15,"U19",IF(E2801&gt;13,"U15",IF(E2801&gt;11,"U13",IF(E2801&gt;0,"U11",0)))))</f>
        <v>U15</v>
      </c>
      <c r="E2801" s="456">
        <f>IFERROR(IF(Table10[[#This Row],[Year]]&gt;0,$E$1-Table10[[#This Row],[Year]],0),"")</f>
        <v>15</v>
      </c>
      <c r="F2801" s="456">
        <v>2010</v>
      </c>
      <c r="G2801" s="456" t="s">
        <v>4253</v>
      </c>
      <c r="H2801" s="456" t="s">
        <v>4279</v>
      </c>
    </row>
    <row r="2802" spans="1:8">
      <c r="A2802" s="456">
        <v>3799</v>
      </c>
      <c r="B2802" s="469" t="s">
        <v>4288</v>
      </c>
      <c r="C2802" s="458" t="s">
        <v>4552</v>
      </c>
      <c r="D2802" s="456" t="str">
        <f>IF(Table10[[#This Row],[Current Age]]&gt;19,"Men's",IF(E2802&gt;15,"U19",IF(E2802&gt;13,"U15",IF(E2802&gt;11,"U13",IF(E2802&gt;0,"U11",0)))))</f>
        <v>U19</v>
      </c>
      <c r="E2802" s="456">
        <f>IFERROR(IF(Table10[[#This Row],[Year]]&gt;0,$E$1-Table10[[#This Row],[Year]],0),"")</f>
        <v>16</v>
      </c>
      <c r="F2802" s="456">
        <v>2009</v>
      </c>
      <c r="G2802" s="456" t="s">
        <v>4253</v>
      </c>
      <c r="H2802" s="456" t="s">
        <v>4305</v>
      </c>
    </row>
    <row r="2803" spans="1:8">
      <c r="A2803" s="471">
        <v>3800</v>
      </c>
      <c r="B2803" s="493" t="s">
        <v>4289</v>
      </c>
      <c r="C2803" s="472" t="s">
        <v>4552</v>
      </c>
      <c r="D2803" s="456" t="str">
        <f>IF(Table10[[#This Row],[Current Age]]&gt;19,"Men's",IF(E2803&gt;15,"U19",IF(E2803&gt;13,"U15",IF(E2803&gt;11,"U13",IF(E2803&gt;0,"U11",0)))))</f>
        <v>U11</v>
      </c>
      <c r="E2803" s="456">
        <f>IFERROR(IF(Table10[[#This Row],[Year]]&gt;0,$E$1-Table10[[#This Row],[Year]],0),"")</f>
        <v>11</v>
      </c>
      <c r="F2803" s="456">
        <v>2014</v>
      </c>
      <c r="G2803" s="456" t="s">
        <v>4268</v>
      </c>
      <c r="H2803" s="456" t="s">
        <v>4254</v>
      </c>
    </row>
    <row r="2804" spans="1:8">
      <c r="A2804" s="456">
        <v>3801</v>
      </c>
      <c r="B2804" s="469" t="s">
        <v>4290</v>
      </c>
      <c r="C2804" s="458" t="s">
        <v>4552</v>
      </c>
      <c r="D2804" s="456" t="str">
        <f>IF(Table10[[#This Row],[Current Age]]&gt;19,"Men's",IF(E2804&gt;15,"U19",IF(E2804&gt;13,"U15",IF(E2804&gt;11,"U13",IF(E2804&gt;0,"U11",0)))))</f>
        <v>U15</v>
      </c>
      <c r="E2804" s="456">
        <f>IFERROR(IF(Table10[[#This Row],[Year]]&gt;0,$E$1-Table10[[#This Row],[Year]],0),"")</f>
        <v>15</v>
      </c>
      <c r="F2804" s="456">
        <v>2010</v>
      </c>
      <c r="G2804" s="456" t="s">
        <v>4305</v>
      </c>
      <c r="H2804" s="456" t="s">
        <v>4268</v>
      </c>
    </row>
    <row r="2805" spans="1:8">
      <c r="A2805" s="471">
        <v>3802</v>
      </c>
      <c r="B2805" s="493" t="s">
        <v>4291</v>
      </c>
      <c r="C2805" s="472" t="s">
        <v>4552</v>
      </c>
      <c r="D2805" s="456" t="str">
        <f>IF(Table10[[#This Row],[Current Age]]&gt;19,"Men's",IF(E2805&gt;15,"U19",IF(E2805&gt;13,"U15",IF(E2805&gt;11,"U13",IF(E2805&gt;0,"U11",0)))))</f>
        <v>U19</v>
      </c>
      <c r="E2805" s="456">
        <f>IFERROR(IF(Table10[[#This Row],[Year]]&gt;0,$E$1-Table10[[#This Row],[Year]],0),"")</f>
        <v>16</v>
      </c>
      <c r="F2805" s="456">
        <v>2009</v>
      </c>
      <c r="G2805" s="456" t="s">
        <v>4253</v>
      </c>
      <c r="H2805" s="456" t="s">
        <v>4250</v>
      </c>
    </row>
    <row r="2806" spans="1:8">
      <c r="A2806" s="456">
        <v>3803</v>
      </c>
      <c r="B2806" s="469" t="s">
        <v>4292</v>
      </c>
      <c r="C2806" s="458" t="s">
        <v>4552</v>
      </c>
      <c r="D2806" s="456" t="str">
        <f>IF(Table10[[#This Row],[Current Age]]&gt;19,"Men's",IF(E2806&gt;15,"U19",IF(E2806&gt;13,"U15",IF(E2806&gt;11,"U13",IF(E2806&gt;0,"U11",0)))))</f>
        <v>U11</v>
      </c>
      <c r="E2806" s="456">
        <f>IFERROR(IF(Table10[[#This Row],[Year]]&gt;0,$E$1-Table10[[#This Row],[Year]],0),"")</f>
        <v>11</v>
      </c>
      <c r="F2806" s="456">
        <v>2014</v>
      </c>
      <c r="G2806" s="456" t="s">
        <v>4248</v>
      </c>
      <c r="H2806" s="456" t="s">
        <v>4266</v>
      </c>
    </row>
    <row r="2807" spans="1:8">
      <c r="A2807" s="471">
        <v>3804</v>
      </c>
      <c r="B2807" s="493" t="s">
        <v>4293</v>
      </c>
      <c r="C2807" s="472" t="s">
        <v>4552</v>
      </c>
      <c r="D2807" s="456" t="str">
        <f>IF(Table10[[#This Row],[Current Age]]&gt;19,"Men's",IF(E2807&gt;15,"U19",IF(E2807&gt;13,"U15",IF(E2807&gt;11,"U13",IF(E2807&gt;0,"U11",0)))))</f>
        <v>U15</v>
      </c>
      <c r="E2807" s="456">
        <f>IFERROR(IF(Table10[[#This Row],[Year]]&gt;0,$E$1-Table10[[#This Row],[Year]],0),"")</f>
        <v>15</v>
      </c>
      <c r="F2807" s="456">
        <v>2010</v>
      </c>
      <c r="G2807" s="456" t="s">
        <v>4256</v>
      </c>
      <c r="H2807" s="456" t="s">
        <v>4306</v>
      </c>
    </row>
    <row r="2808" spans="1:8">
      <c r="A2808" s="456">
        <v>3805</v>
      </c>
      <c r="B2808" s="469" t="s">
        <v>4294</v>
      </c>
      <c r="C2808" s="458" t="s">
        <v>4552</v>
      </c>
      <c r="D2808" s="456" t="str">
        <f>IF(Table10[[#This Row],[Current Age]]&gt;19,"Men's",IF(E2808&gt;15,"U19",IF(E2808&gt;13,"U15",IF(E2808&gt;11,"U13",IF(E2808&gt;0,"U11",0)))))</f>
        <v>U15</v>
      </c>
      <c r="E2808" s="456">
        <f>IFERROR(IF(Table10[[#This Row],[Year]]&gt;0,$E$1-Table10[[#This Row],[Year]],0),"")</f>
        <v>14</v>
      </c>
      <c r="F2808" s="456">
        <v>2011</v>
      </c>
      <c r="G2808" s="456" t="s">
        <v>4266</v>
      </c>
      <c r="H2808" s="456" t="s">
        <v>4255</v>
      </c>
    </row>
    <row r="2809" spans="1:8">
      <c r="A2809" s="471">
        <v>3806</v>
      </c>
      <c r="B2809" s="493" t="s">
        <v>4295</v>
      </c>
      <c r="C2809" s="472" t="s">
        <v>4552</v>
      </c>
      <c r="D2809" s="456" t="str">
        <f>IF(Table10[[#This Row],[Current Age]]&gt;19,"Men's",IF(E2809&gt;15,"U19",IF(E2809&gt;13,"U15",IF(E2809&gt;11,"U13",IF(E2809&gt;0,"U11",0)))))</f>
        <v>U15</v>
      </c>
      <c r="E2809" s="456">
        <f>IFERROR(IF(Table10[[#This Row],[Year]]&gt;0,$E$1-Table10[[#This Row],[Year]],0),"")</f>
        <v>14</v>
      </c>
      <c r="F2809" s="456">
        <v>2011</v>
      </c>
      <c r="G2809" s="456" t="s">
        <v>4255</v>
      </c>
      <c r="H2809" s="456" t="s">
        <v>4303</v>
      </c>
    </row>
    <row r="2810" spans="1:8">
      <c r="A2810" s="456">
        <v>3807</v>
      </c>
      <c r="B2810" s="469" t="s">
        <v>4296</v>
      </c>
      <c r="C2810" s="458" t="s">
        <v>4552</v>
      </c>
      <c r="D2810" s="456" t="str">
        <f>IF(Table10[[#This Row],[Current Age]]&gt;19,"Men's",IF(E2810&gt;15,"U19",IF(E2810&gt;13,"U15",IF(E2810&gt;11,"U13",IF(E2810&gt;0,"U11",0)))))</f>
        <v>U13</v>
      </c>
      <c r="E2810" s="456">
        <f>IFERROR(IF(Table10[[#This Row],[Year]]&gt;0,$E$1-Table10[[#This Row],[Year]],0),"")</f>
        <v>12</v>
      </c>
      <c r="F2810" s="456">
        <v>2013</v>
      </c>
      <c r="G2810" s="456" t="s">
        <v>4263</v>
      </c>
      <c r="H2810" s="456" t="s">
        <v>4307</v>
      </c>
    </row>
    <row r="2811" spans="1:8">
      <c r="A2811" s="471">
        <v>3808</v>
      </c>
      <c r="B2811" s="493" t="s">
        <v>4297</v>
      </c>
      <c r="C2811" s="472" t="s">
        <v>4552</v>
      </c>
      <c r="D2811" s="456" t="str">
        <f>IF(Table10[[#This Row],[Current Age]]&gt;19,"Men's",IF(E2811&gt;15,"U19",IF(E2811&gt;13,"U15",IF(E2811&gt;11,"U13",IF(E2811&gt;0,"U11",0)))))</f>
        <v>U19</v>
      </c>
      <c r="E2811" s="456">
        <f>IFERROR(IF(Table10[[#This Row],[Year]]&gt;0,$E$1-Table10[[#This Row],[Year]],0),"")</f>
        <v>17</v>
      </c>
      <c r="F2811" s="456">
        <v>2008</v>
      </c>
      <c r="G2811" s="456" t="s">
        <v>4268</v>
      </c>
      <c r="H2811" s="456" t="s">
        <v>4266</v>
      </c>
    </row>
    <row r="2812" spans="1:8">
      <c r="A2812" s="456">
        <v>3809</v>
      </c>
      <c r="B2812" s="469" t="s">
        <v>4298</v>
      </c>
      <c r="C2812" s="458" t="s">
        <v>4552</v>
      </c>
      <c r="D2812" s="456" t="str">
        <f>IF(Table10[[#This Row],[Current Age]]&gt;19,"Men's",IF(E2812&gt;15,"U19",IF(E2812&gt;13,"U15",IF(E2812&gt;11,"U13",IF(E2812&gt;0,"U11",0)))))</f>
        <v>U19</v>
      </c>
      <c r="E2812" s="456">
        <f>IFERROR(IF(Table10[[#This Row],[Year]]&gt;0,$E$1-Table10[[#This Row],[Year]],0),"")</f>
        <v>16</v>
      </c>
      <c r="F2812" s="456">
        <v>2009</v>
      </c>
      <c r="G2812" s="456" t="s">
        <v>4266</v>
      </c>
      <c r="H2812" s="456" t="s">
        <v>4305</v>
      </c>
    </row>
    <row r="2813" spans="1:8">
      <c r="A2813" s="471">
        <v>3810</v>
      </c>
      <c r="B2813" s="493" t="s">
        <v>4299</v>
      </c>
      <c r="C2813" s="472" t="s">
        <v>4552</v>
      </c>
      <c r="D2813" s="456" t="str">
        <f>IF(Table10[[#This Row],[Current Age]]&gt;19,"Men's",IF(E2813&gt;15,"U19",IF(E2813&gt;13,"U15",IF(E2813&gt;11,"U13",IF(E2813&gt;0,"U11",0)))))</f>
        <v>U13</v>
      </c>
      <c r="E2813" s="456">
        <f>IFERROR(IF(Table10[[#This Row],[Year]]&gt;0,$E$1-Table10[[#This Row],[Year]],0),"")</f>
        <v>13</v>
      </c>
      <c r="F2813" s="456">
        <v>2012</v>
      </c>
      <c r="G2813" s="456" t="s">
        <v>4304</v>
      </c>
      <c r="H2813" s="456" t="s">
        <v>4308</v>
      </c>
    </row>
    <row r="2814" spans="1:8">
      <c r="A2814" s="456">
        <v>3811</v>
      </c>
      <c r="B2814" s="469" t="s">
        <v>4300</v>
      </c>
      <c r="C2814" s="458" t="s">
        <v>4552</v>
      </c>
      <c r="D2814" s="456" t="str">
        <f>IF(Table10[[#This Row],[Current Age]]&gt;19,"Men's",IF(E2814&gt;15,"U19",IF(E2814&gt;13,"U15",IF(E2814&gt;11,"U13",IF(E2814&gt;0,"U11",0)))))</f>
        <v>U13</v>
      </c>
      <c r="E2814" s="456">
        <f>IFERROR(IF(Table10[[#This Row],[Year]]&gt;0,$E$1-Table10[[#This Row],[Year]],0),"")</f>
        <v>13</v>
      </c>
      <c r="F2814" s="456">
        <v>2012</v>
      </c>
      <c r="G2814" s="456" t="s">
        <v>4305</v>
      </c>
      <c r="H2814" s="456" t="s">
        <v>4309</v>
      </c>
    </row>
    <row r="2815" spans="1:8">
      <c r="A2815" s="471">
        <v>3812</v>
      </c>
      <c r="B2815" s="493" t="s">
        <v>4301</v>
      </c>
      <c r="C2815" s="472" t="s">
        <v>4552</v>
      </c>
      <c r="D2815" s="456" t="str">
        <f>IF(Table10[[#This Row],[Current Age]]&gt;19,"Men's",IF(E2815&gt;15,"U19",IF(E2815&gt;13,"U15",IF(E2815&gt;11,"U13",IF(E2815&gt;0,"U11",0)))))</f>
        <v>Men's</v>
      </c>
      <c r="E2815" s="456">
        <f>IFERROR(IF(Table10[[#This Row],[Year]]&gt;0,$E$1-Table10[[#This Row],[Year]],0),"")</f>
        <v>51</v>
      </c>
      <c r="F2815" s="456">
        <v>1974</v>
      </c>
      <c r="G2815" s="456" t="s">
        <v>4304</v>
      </c>
      <c r="H2815" s="456" t="s">
        <v>4248</v>
      </c>
    </row>
    <row r="2816" spans="1:8">
      <c r="A2816" s="456">
        <v>3813</v>
      </c>
      <c r="B2816" s="469" t="s">
        <v>4325</v>
      </c>
      <c r="C2816" s="458" t="s">
        <v>4552</v>
      </c>
      <c r="D2816" s="456" t="str">
        <f>IF(Table10[[#This Row],[Current Age]]&gt;19,"Men's",IF(E2816&gt;15,"U19",IF(E2816&gt;13,"U15",IF(E2816&gt;11,"U13",IF(E2816&gt;0,"U11",0)))))</f>
        <v>U13</v>
      </c>
      <c r="E2816" s="456">
        <f>IFERROR(IF(Table10[[#This Row],[Year]]&gt;0,$E$1-Table10[[#This Row],[Year]],0),"")</f>
        <v>13</v>
      </c>
      <c r="F2816" s="456">
        <v>2012</v>
      </c>
      <c r="G2816" s="456">
        <v>9</v>
      </c>
      <c r="H2816" s="456">
        <v>4</v>
      </c>
    </row>
    <row r="2817" spans="1:8">
      <c r="A2817" s="471">
        <v>3814</v>
      </c>
      <c r="B2817" s="493" t="s">
        <v>4330</v>
      </c>
      <c r="C2817" s="472" t="s">
        <v>4720</v>
      </c>
      <c r="D2817" s="456">
        <f>IF(Table10[[#This Row],[Current Age]]&gt;19,"Men's",IF(E2817&gt;15,"U19",IF(E2817&gt;13,"U15",IF(E2817&gt;11,"U13",IF(E2817&gt;0,"U11",0)))))</f>
        <v>0</v>
      </c>
      <c r="E2817" s="456">
        <f>IFERROR(IF(Table10[[#This Row],[Year]]&gt;0,$E$1-Table10[[#This Row],[Year]],0),"")</f>
        <v>0</v>
      </c>
      <c r="F2817" s="456"/>
      <c r="G2817" s="456"/>
      <c r="H2817" s="456"/>
    </row>
    <row r="2818" spans="1:8">
      <c r="A2818" s="456">
        <v>3815</v>
      </c>
      <c r="B2818" s="469" t="s">
        <v>4331</v>
      </c>
      <c r="C2818" s="458" t="s">
        <v>4720</v>
      </c>
      <c r="D2818" s="456">
        <f>IF(Table10[[#This Row],[Current Age]]&gt;19,"Men's",IF(E2818&gt;15,"U19",IF(E2818&gt;13,"U15",IF(E2818&gt;11,"U13",IF(E2818&gt;0,"U11",0)))))</f>
        <v>0</v>
      </c>
      <c r="E2818" s="456">
        <f>IFERROR(IF(Table10[[#This Row],[Year]]&gt;0,$E$1-Table10[[#This Row],[Year]],0),"")</f>
        <v>0</v>
      </c>
      <c r="F2818" s="456"/>
      <c r="G2818" s="456"/>
      <c r="H2818" s="456"/>
    </row>
    <row r="2819" spans="1:8">
      <c r="A2819" s="471">
        <v>3816</v>
      </c>
      <c r="B2819" s="493" t="s">
        <v>4332</v>
      </c>
      <c r="C2819" s="472" t="s">
        <v>4720</v>
      </c>
      <c r="D2819" s="456">
        <f>IF(Table10[[#This Row],[Current Age]]&gt;19,"Men's",IF(E2819&gt;15,"U19",IF(E2819&gt;13,"U15",IF(E2819&gt;11,"U13",IF(E2819&gt;0,"U11",0)))))</f>
        <v>0</v>
      </c>
      <c r="E2819" s="456">
        <f>IFERROR(IF(Table10[[#This Row],[Year]]&gt;0,$E$1-Table10[[#This Row],[Year]],0),"")</f>
        <v>0</v>
      </c>
      <c r="F2819" s="456"/>
      <c r="G2819" s="456"/>
      <c r="H2819" s="456"/>
    </row>
    <row r="2820" spans="1:8">
      <c r="A2820" s="456">
        <v>3817</v>
      </c>
      <c r="B2820" s="469" t="s">
        <v>4333</v>
      </c>
      <c r="C2820" s="458" t="s">
        <v>244</v>
      </c>
      <c r="D2820" s="456">
        <f>IF(Table10[[#This Row],[Current Age]]&gt;19,"Men's",IF(E2820&gt;15,"U19",IF(E2820&gt;13,"U15",IF(E2820&gt;11,"U13",IF(E2820&gt;0,"U11",0)))))</f>
        <v>0</v>
      </c>
      <c r="E2820" s="456">
        <f>IFERROR(IF(Table10[[#This Row],[Year]]&gt;0,$E$1-Table10[[#This Row],[Year]],0),"")</f>
        <v>0</v>
      </c>
      <c r="F2820" s="456"/>
      <c r="G2820" s="456"/>
      <c r="H2820" s="456"/>
    </row>
    <row r="2821" spans="1:8">
      <c r="A2821" s="471">
        <v>3818</v>
      </c>
      <c r="B2821" s="493" t="s">
        <v>4334</v>
      </c>
      <c r="C2821" s="472" t="s">
        <v>4720</v>
      </c>
      <c r="D2821" s="456">
        <f>IF(Table10[[#This Row],[Current Age]]&gt;19,"Men's",IF(E2821&gt;15,"U19",IF(E2821&gt;13,"U15",IF(E2821&gt;11,"U13",IF(E2821&gt;0,"U11",0)))))</f>
        <v>0</v>
      </c>
      <c r="E2821" s="456">
        <f>IFERROR(IF(Table10[[#This Row],[Year]]&gt;0,$E$1-Table10[[#This Row],[Year]],0),"")</f>
        <v>0</v>
      </c>
      <c r="F2821" s="456"/>
      <c r="G2821" s="456"/>
      <c r="H2821" s="456"/>
    </row>
    <row r="2822" spans="1:8">
      <c r="A2822" s="456">
        <v>3819</v>
      </c>
      <c r="B2822" s="469" t="s">
        <v>4335</v>
      </c>
      <c r="C2822" s="458" t="s">
        <v>4720</v>
      </c>
      <c r="D2822" s="456">
        <f>IF(Table10[[#This Row],[Current Age]]&gt;19,"Men's",IF(E2822&gt;15,"U19",IF(E2822&gt;13,"U15",IF(E2822&gt;11,"U13",IF(E2822&gt;0,"U11",0)))))</f>
        <v>0</v>
      </c>
      <c r="E2822" s="456">
        <f>IFERROR(IF(Table10[[#This Row],[Year]]&gt;0,$E$1-Table10[[#This Row],[Year]],0),"")</f>
        <v>0</v>
      </c>
      <c r="F2822" s="456"/>
      <c r="G2822" s="456"/>
      <c r="H2822" s="456"/>
    </row>
    <row r="2823" spans="1:8">
      <c r="A2823" s="471">
        <v>3820</v>
      </c>
      <c r="B2823" s="493" t="s">
        <v>4336</v>
      </c>
      <c r="C2823" s="472" t="s">
        <v>248</v>
      </c>
      <c r="D2823" s="456">
        <f>IF(Table10[[#This Row],[Current Age]]&gt;19,"Men's",IF(E2823&gt;15,"U19",IF(E2823&gt;13,"U15",IF(E2823&gt;11,"U13",IF(E2823&gt;0,"U11",0)))))</f>
        <v>0</v>
      </c>
      <c r="E2823" s="456">
        <f>IFERROR(IF(Table10[[#This Row],[Year]]&gt;0,$E$1-Table10[[#This Row],[Year]],0),"")</f>
        <v>0</v>
      </c>
      <c r="F2823" s="456"/>
      <c r="G2823" s="456"/>
      <c r="H2823" s="456"/>
    </row>
    <row r="2824" spans="1:8">
      <c r="A2824" s="456">
        <v>3821</v>
      </c>
      <c r="B2824" s="469" t="s">
        <v>4337</v>
      </c>
      <c r="C2824" s="458" t="s">
        <v>4720</v>
      </c>
      <c r="D2824" s="456">
        <f>IF(Table10[[#This Row],[Current Age]]&gt;19,"Men's",IF(E2824&gt;15,"U19",IF(E2824&gt;13,"U15",IF(E2824&gt;11,"U13",IF(E2824&gt;0,"U11",0)))))</f>
        <v>0</v>
      </c>
      <c r="E2824" s="456">
        <f>IFERROR(IF(Table10[[#This Row],[Year]]&gt;0,$E$1-Table10[[#This Row],[Year]],0),"")</f>
        <v>0</v>
      </c>
      <c r="F2824" s="456"/>
      <c r="G2824" s="456"/>
      <c r="H2824" s="456"/>
    </row>
    <row r="2825" spans="1:8">
      <c r="A2825" s="471">
        <v>3822</v>
      </c>
      <c r="B2825" s="493" t="s">
        <v>4338</v>
      </c>
      <c r="C2825" s="472" t="s">
        <v>4720</v>
      </c>
      <c r="D2825" s="456">
        <f>IF(Table10[[#This Row],[Current Age]]&gt;19,"Men's",IF(E2825&gt;15,"U19",IF(E2825&gt;13,"U15",IF(E2825&gt;11,"U13",IF(E2825&gt;0,"U11",0)))))</f>
        <v>0</v>
      </c>
      <c r="E2825" s="456">
        <f>IFERROR(IF(Table10[[#This Row],[Year]]&gt;0,$E$1-Table10[[#This Row],[Year]],0),"")</f>
        <v>0</v>
      </c>
      <c r="F2825" s="456"/>
      <c r="G2825" s="456"/>
      <c r="H2825" s="456"/>
    </row>
    <row r="2826" spans="1:8">
      <c r="A2826" s="456">
        <v>3823</v>
      </c>
      <c r="B2826" s="469" t="s">
        <v>4342</v>
      </c>
      <c r="C2826" s="458" t="s">
        <v>244</v>
      </c>
      <c r="D2826" s="456">
        <f>IF(Table10[[#This Row],[Current Age]]&gt;19,"Men's",IF(E2826&gt;15,"U19",IF(E2826&gt;13,"U15",IF(E2826&gt;11,"U13",IF(E2826&gt;0,"U11",0)))))</f>
        <v>0</v>
      </c>
      <c r="E2826" s="456">
        <f>IFERROR(IF(Table10[[#This Row],[Year]]&gt;0,$E$1-Table10[[#This Row],[Year]],0),"")</f>
        <v>0</v>
      </c>
      <c r="F2826" s="456"/>
      <c r="G2826" s="456"/>
      <c r="H2826" s="456"/>
    </row>
    <row r="2827" spans="1:8">
      <c r="A2827" s="471">
        <v>3824</v>
      </c>
      <c r="B2827" s="493" t="s">
        <v>4339</v>
      </c>
      <c r="C2827" s="472" t="s">
        <v>244</v>
      </c>
      <c r="D2827" s="456">
        <f>IF(Table10[[#This Row],[Current Age]]&gt;19,"Men's",IF(E2827&gt;15,"U19",IF(E2827&gt;13,"U15",IF(E2827&gt;11,"U13",IF(E2827&gt;0,"U11",0)))))</f>
        <v>0</v>
      </c>
      <c r="E2827" s="456">
        <f>IFERROR(IF(Table10[[#This Row],[Year]]&gt;0,$E$1-Table10[[#This Row],[Year]],0),"")</f>
        <v>0</v>
      </c>
      <c r="F2827" s="456"/>
      <c r="G2827" s="456"/>
      <c r="H2827" s="456"/>
    </row>
    <row r="2828" spans="1:8">
      <c r="A2828" s="456">
        <v>3825</v>
      </c>
      <c r="B2828" s="469" t="s">
        <v>4340</v>
      </c>
      <c r="C2828" s="458" t="s">
        <v>244</v>
      </c>
      <c r="D2828" s="456">
        <f>IF(Table10[[#This Row],[Current Age]]&gt;19,"Men's",IF(E2828&gt;15,"U19",IF(E2828&gt;13,"U15",IF(E2828&gt;11,"U13",IF(E2828&gt;0,"U11",0)))))</f>
        <v>0</v>
      </c>
      <c r="E2828" s="456">
        <f>IFERROR(IF(Table10[[#This Row],[Year]]&gt;0,$E$1-Table10[[#This Row],[Year]],0),"")</f>
        <v>0</v>
      </c>
      <c r="F2828" s="456"/>
      <c r="G2828" s="456"/>
      <c r="H2828" s="456"/>
    </row>
    <row r="2829" spans="1:8">
      <c r="A2829" s="471">
        <v>3826</v>
      </c>
      <c r="B2829" s="493" t="s">
        <v>4341</v>
      </c>
      <c r="C2829" s="472" t="s">
        <v>244</v>
      </c>
      <c r="D2829" s="456">
        <f>IF(Table10[[#This Row],[Current Age]]&gt;19,"Men's",IF(E2829&gt;15,"U19",IF(E2829&gt;13,"U15",IF(E2829&gt;11,"U13",IF(E2829&gt;0,"U11",0)))))</f>
        <v>0</v>
      </c>
      <c r="E2829" s="456">
        <f>IFERROR(IF(Table10[[#This Row],[Year]]&gt;0,$E$1-Table10[[#This Row],[Year]],0),"")</f>
        <v>0</v>
      </c>
      <c r="F2829" s="456"/>
      <c r="G2829" s="456"/>
      <c r="H2829" s="456"/>
    </row>
    <row r="2830" spans="1:8">
      <c r="A2830" s="456">
        <v>3827</v>
      </c>
      <c r="B2830" s="469" t="s">
        <v>4343</v>
      </c>
      <c r="C2830" s="458" t="s">
        <v>244</v>
      </c>
      <c r="D2830" s="456">
        <f>IF(Table10[[#This Row],[Current Age]]&gt;19,"Men's",IF(E2830&gt;15,"U19",IF(E2830&gt;13,"U15",IF(E2830&gt;11,"U13",IF(E2830&gt;0,"U11",0)))))</f>
        <v>0</v>
      </c>
      <c r="E2830" s="456">
        <f>IFERROR(IF(Table10[[#This Row],[Year]]&gt;0,$E$1-Table10[[#This Row],[Year]],0),"")</f>
        <v>0</v>
      </c>
      <c r="F2830" s="456"/>
      <c r="G2830" s="456"/>
      <c r="H2830" s="456"/>
    </row>
    <row r="2831" spans="1:8">
      <c r="A2831" s="471">
        <v>3828</v>
      </c>
      <c r="B2831" s="493" t="s">
        <v>4344</v>
      </c>
      <c r="C2831" s="472" t="s">
        <v>248</v>
      </c>
      <c r="D2831" s="456">
        <f>IF(Table10[[#This Row],[Current Age]]&gt;19,"Men's",IF(E2831&gt;15,"U19",IF(E2831&gt;13,"U15",IF(E2831&gt;11,"U13",IF(E2831&gt;0,"U11",0)))))</f>
        <v>0</v>
      </c>
      <c r="E2831" s="456">
        <f>IFERROR(IF(Table10[[#This Row],[Year]]&gt;0,$E$1-Table10[[#This Row],[Year]],0),"")</f>
        <v>0</v>
      </c>
      <c r="F2831" s="456"/>
      <c r="G2831" s="456"/>
      <c r="H2831" s="456"/>
    </row>
    <row r="2832" spans="1:8">
      <c r="A2832" s="456">
        <v>3829</v>
      </c>
      <c r="B2832" s="469" t="s">
        <v>4345</v>
      </c>
      <c r="C2832" s="458" t="s">
        <v>248</v>
      </c>
      <c r="D2832" s="456">
        <f>IF(Table10[[#This Row],[Current Age]]&gt;19,"Men's",IF(E2832&gt;15,"U19",IF(E2832&gt;13,"U15",IF(E2832&gt;11,"U13",IF(E2832&gt;0,"U11",0)))))</f>
        <v>0</v>
      </c>
      <c r="E2832" s="456">
        <f>IFERROR(IF(Table10[[#This Row],[Year]]&gt;0,$E$1-Table10[[#This Row],[Year]],0),"")</f>
        <v>0</v>
      </c>
      <c r="F2832" s="456"/>
      <c r="G2832" s="456"/>
      <c r="H2832" s="456"/>
    </row>
    <row r="2833" spans="1:8">
      <c r="A2833" s="471">
        <v>3830</v>
      </c>
      <c r="B2833" s="493" t="s">
        <v>4346</v>
      </c>
      <c r="C2833" s="472" t="s">
        <v>248</v>
      </c>
      <c r="D2833" s="456">
        <f>IF(Table10[[#This Row],[Current Age]]&gt;19,"Men's",IF(E2833&gt;15,"U19",IF(E2833&gt;13,"U15",IF(E2833&gt;11,"U13",IF(E2833&gt;0,"U11",0)))))</f>
        <v>0</v>
      </c>
      <c r="E2833" s="456">
        <f>IFERROR(IF(Table10[[#This Row],[Year]]&gt;0,$E$1-Table10[[#This Row],[Year]],0),"")</f>
        <v>0</v>
      </c>
      <c r="F2833" s="456"/>
      <c r="G2833" s="456"/>
      <c r="H2833" s="456"/>
    </row>
    <row r="2834" spans="1:8">
      <c r="A2834" s="456">
        <v>3831</v>
      </c>
      <c r="B2834" s="469" t="s">
        <v>4347</v>
      </c>
      <c r="C2834" s="458" t="s">
        <v>4720</v>
      </c>
      <c r="D2834" s="456">
        <f>IF(Table10[[#This Row],[Current Age]]&gt;19,"Men's",IF(E2834&gt;15,"U19",IF(E2834&gt;13,"U15",IF(E2834&gt;11,"U13",IF(E2834&gt;0,"U11",0)))))</f>
        <v>0</v>
      </c>
      <c r="E2834" s="456">
        <f>IFERROR(IF(Table10[[#This Row],[Year]]&gt;0,$E$1-Table10[[#This Row],[Year]],0),"")</f>
        <v>0</v>
      </c>
      <c r="F2834" s="456"/>
      <c r="G2834" s="456"/>
      <c r="H2834" s="456"/>
    </row>
    <row r="2835" spans="1:8">
      <c r="A2835" s="471">
        <v>3832</v>
      </c>
      <c r="B2835" s="493" t="s">
        <v>4348</v>
      </c>
      <c r="C2835" s="472" t="s">
        <v>4720</v>
      </c>
      <c r="D2835" s="456">
        <f>IF(Table10[[#This Row],[Current Age]]&gt;19,"Men's",IF(E2835&gt;15,"U19",IF(E2835&gt;13,"U15",IF(E2835&gt;11,"U13",IF(E2835&gt;0,"U11",0)))))</f>
        <v>0</v>
      </c>
      <c r="E2835" s="456">
        <f>IFERROR(IF(Table10[[#This Row],[Year]]&gt;0,$E$1-Table10[[#This Row],[Year]],0),"")</f>
        <v>0</v>
      </c>
      <c r="F2835" s="456"/>
      <c r="G2835" s="456"/>
      <c r="H2835" s="456"/>
    </row>
    <row r="2836" spans="1:8">
      <c r="A2836" s="456">
        <v>3833</v>
      </c>
      <c r="B2836" s="469" t="s">
        <v>4352</v>
      </c>
      <c r="C2836" s="458" t="s">
        <v>248</v>
      </c>
      <c r="D2836" s="456">
        <f>IF(Table10[[#This Row],[Current Age]]&gt;19,"Men's",IF(E2836&gt;15,"U19",IF(E2836&gt;13,"U15",IF(E2836&gt;11,"U13",IF(E2836&gt;0,"U11",0)))))</f>
        <v>0</v>
      </c>
      <c r="E2836" s="456">
        <f>IFERROR(IF(Table10[[#This Row],[Year]]&gt;0,$E$1-Table10[[#This Row],[Year]],0),"")</f>
        <v>0</v>
      </c>
      <c r="F2836" s="456"/>
      <c r="G2836" s="456"/>
      <c r="H2836" s="456"/>
    </row>
    <row r="2837" spans="1:8">
      <c r="A2837" s="471">
        <v>3834</v>
      </c>
      <c r="B2837" s="493" t="s">
        <v>4353</v>
      </c>
      <c r="C2837" s="472" t="s">
        <v>244</v>
      </c>
      <c r="D2837" s="456" t="str">
        <f>IF(Table10[[#This Row],[Current Age]]&gt;19,"Men's",IF(E2837&gt;15,"U19",IF(E2837&gt;13,"U15",IF(E2837&gt;11,"U13",IF(E2837&gt;0,"U11",0)))))</f>
        <v>U19</v>
      </c>
      <c r="E2837" s="456">
        <f>IFERROR(IF(Table10[[#This Row],[Year]]&gt;0,$E$1-Table10[[#This Row],[Year]],0),"")</f>
        <v>16</v>
      </c>
      <c r="F2837" s="456">
        <v>2009</v>
      </c>
      <c r="G2837" s="456">
        <v>10</v>
      </c>
      <c r="H2837" s="456">
        <v>10</v>
      </c>
    </row>
    <row r="2838" spans="1:8">
      <c r="A2838" s="456">
        <v>3835</v>
      </c>
      <c r="B2838" s="469" t="s">
        <v>4354</v>
      </c>
      <c r="C2838" s="458" t="s">
        <v>4720</v>
      </c>
      <c r="D2838" s="456">
        <f>IF(Table10[[#This Row],[Current Age]]&gt;19,"Men's",IF(E2838&gt;15,"U19",IF(E2838&gt;13,"U15",IF(E2838&gt;11,"U13",IF(E2838&gt;0,"U11",0)))))</f>
        <v>0</v>
      </c>
      <c r="E2838" s="456">
        <f>IFERROR(IF(Table10[[#This Row],[Year]]&gt;0,$E$1-Table10[[#This Row],[Year]],0),"")</f>
        <v>0</v>
      </c>
      <c r="F2838" s="456"/>
      <c r="G2838" s="456"/>
      <c r="H2838" s="456"/>
    </row>
    <row r="2839" spans="1:8">
      <c r="A2839" s="471">
        <v>3836</v>
      </c>
      <c r="B2839" s="493" t="s">
        <v>4355</v>
      </c>
      <c r="C2839" s="472" t="s">
        <v>4720</v>
      </c>
      <c r="D2839" s="456">
        <f>IF(Table10[[#This Row],[Current Age]]&gt;19,"Men's",IF(E2839&gt;15,"U19",IF(E2839&gt;13,"U15",IF(E2839&gt;11,"U13",IF(E2839&gt;0,"U11",0)))))</f>
        <v>0</v>
      </c>
      <c r="E2839" s="456">
        <f>IFERROR(IF(Table10[[#This Row],[Year]]&gt;0,$E$1-Table10[[#This Row],[Year]],0),"")</f>
        <v>0</v>
      </c>
      <c r="F2839" s="456"/>
      <c r="G2839" s="456"/>
      <c r="H2839" s="456"/>
    </row>
    <row r="2840" spans="1:8">
      <c r="A2840" s="456">
        <v>3837</v>
      </c>
      <c r="B2840" s="469" t="s">
        <v>4359</v>
      </c>
      <c r="C2840" s="458" t="s">
        <v>244</v>
      </c>
      <c r="D2840" s="456">
        <f>IF(Table10[[#This Row],[Current Age]]&gt;19,"Men's",IF(E2840&gt;15,"U19",IF(E2840&gt;13,"U15",IF(E2840&gt;11,"U13",IF(E2840&gt;0,"U11",0)))))</f>
        <v>0</v>
      </c>
      <c r="E2840" s="456">
        <f>IFERROR(IF(Table10[[#This Row],[Year]]&gt;0,$E$1-Table10[[#This Row],[Year]],0),"")</f>
        <v>0</v>
      </c>
      <c r="F2840" s="456"/>
      <c r="G2840" s="456"/>
      <c r="H2840" s="456"/>
    </row>
    <row r="2841" spans="1:8">
      <c r="A2841" s="471">
        <v>3838</v>
      </c>
      <c r="B2841" s="493" t="s">
        <v>4356</v>
      </c>
      <c r="C2841" s="472" t="s">
        <v>4720</v>
      </c>
      <c r="D2841" s="456" t="str">
        <f>IF(Table10[[#This Row],[Current Age]]&gt;19,"Men's",IF(E2841&gt;15,"U19",IF(E2841&gt;13,"U15",IF(E2841&gt;11,"U13",IF(E2841&gt;0,"U11",0)))))</f>
        <v>U19</v>
      </c>
      <c r="E2841" s="456">
        <f>IFERROR(IF(Table10[[#This Row],[Year]]&gt;0,$E$1-Table10[[#This Row],[Year]],0),"")</f>
        <v>17</v>
      </c>
      <c r="F2841" s="456">
        <v>2008</v>
      </c>
      <c r="G2841" s="456">
        <v>1</v>
      </c>
      <c r="H2841" s="456">
        <v>16</v>
      </c>
    </row>
    <row r="2842" spans="1:8">
      <c r="A2842" s="456">
        <v>3839</v>
      </c>
      <c r="B2842" s="469" t="s">
        <v>4357</v>
      </c>
      <c r="C2842" s="458" t="s">
        <v>4720</v>
      </c>
      <c r="D2842" s="456">
        <f>IF(Table10[[#This Row],[Current Age]]&gt;19,"Men's",IF(E2842&gt;15,"U19",IF(E2842&gt;13,"U15",IF(E2842&gt;11,"U13",IF(E2842&gt;0,"U11",0)))))</f>
        <v>0</v>
      </c>
      <c r="E2842" s="456">
        <f>IFERROR(IF(Table10[[#This Row],[Year]]&gt;0,$E$1-Table10[[#This Row],[Year]],0),"")</f>
        <v>0</v>
      </c>
      <c r="F2842" s="456"/>
      <c r="G2842" s="456"/>
      <c r="H2842" s="456"/>
    </row>
    <row r="2843" spans="1:8">
      <c r="A2843" s="471">
        <v>3840</v>
      </c>
      <c r="B2843" s="493" t="s">
        <v>4358</v>
      </c>
      <c r="C2843" s="472" t="s">
        <v>4720</v>
      </c>
      <c r="D2843" s="456">
        <f>IF(Table10[[#This Row],[Current Age]]&gt;19,"Men's",IF(E2843&gt;15,"U19",IF(E2843&gt;13,"U15",IF(E2843&gt;11,"U13",IF(E2843&gt;0,"U11",0)))))</f>
        <v>0</v>
      </c>
      <c r="E2843" s="456">
        <f>IFERROR(IF(Table10[[#This Row],[Year]]&gt;0,$E$1-Table10[[#This Row],[Year]],0),"")</f>
        <v>0</v>
      </c>
      <c r="F2843" s="456"/>
      <c r="G2843" s="456"/>
      <c r="H2843" s="456"/>
    </row>
    <row r="2844" spans="1:8">
      <c r="A2844" s="456">
        <v>3841</v>
      </c>
      <c r="B2844" s="469" t="s">
        <v>4361</v>
      </c>
      <c r="C2844" s="458" t="s">
        <v>244</v>
      </c>
      <c r="D2844" s="456">
        <f>IF(Table10[[#This Row],[Current Age]]&gt;19,"Men's",IF(E2844&gt;15,"U19",IF(E2844&gt;13,"U15",IF(E2844&gt;11,"U13",IF(E2844&gt;0,"U11",0)))))</f>
        <v>0</v>
      </c>
      <c r="E2844" s="456">
        <f>IFERROR(IF(Table10[[#This Row],[Year]]&gt;0,$E$1-Table10[[#This Row],[Year]],0),"")</f>
        <v>0</v>
      </c>
      <c r="F2844" s="456"/>
      <c r="G2844" s="456"/>
      <c r="H2844" s="456"/>
    </row>
    <row r="2845" spans="1:8">
      <c r="A2845" s="471">
        <v>3842</v>
      </c>
      <c r="B2845" s="493" t="s">
        <v>4362</v>
      </c>
      <c r="C2845" s="472" t="s">
        <v>4720</v>
      </c>
      <c r="D2845" s="456">
        <f>IF(Table10[[#This Row],[Current Age]]&gt;19,"Men's",IF(E2845&gt;15,"U19",IF(E2845&gt;13,"U15",IF(E2845&gt;11,"U13",IF(E2845&gt;0,"U11",0)))))</f>
        <v>0</v>
      </c>
      <c r="E2845" s="456">
        <f>IFERROR(IF(Table10[[#This Row],[Year]]&gt;0,$E$1-Table10[[#This Row],[Year]],0),"")</f>
        <v>0</v>
      </c>
      <c r="F2845" s="456"/>
      <c r="G2845" s="456"/>
      <c r="H2845" s="456"/>
    </row>
    <row r="2846" spans="1:8">
      <c r="A2846" s="456">
        <v>3843</v>
      </c>
      <c r="B2846" s="469" t="s">
        <v>4363</v>
      </c>
      <c r="C2846" s="458" t="s">
        <v>4720</v>
      </c>
      <c r="D2846" s="456">
        <f>IF(Table10[[#This Row],[Current Age]]&gt;19,"Men's",IF(E2846&gt;15,"U19",IF(E2846&gt;13,"U15",IF(E2846&gt;11,"U13",IF(E2846&gt;0,"U11",0)))))</f>
        <v>0</v>
      </c>
      <c r="E2846" s="456">
        <f>IFERROR(IF(Table10[[#This Row],[Year]]&gt;0,$E$1-Table10[[#This Row],[Year]],0),"")</f>
        <v>0</v>
      </c>
      <c r="F2846" s="456"/>
      <c r="G2846" s="456"/>
      <c r="H2846" s="456"/>
    </row>
    <row r="2847" spans="1:8">
      <c r="A2847" s="471">
        <v>3844</v>
      </c>
      <c r="B2847" s="493" t="s">
        <v>4364</v>
      </c>
      <c r="C2847" s="472" t="s">
        <v>243</v>
      </c>
      <c r="D2847" s="456">
        <f>IF(Table10[[#This Row],[Current Age]]&gt;19,"Men's",IF(E2847&gt;15,"U19",IF(E2847&gt;13,"U15",IF(E2847&gt;11,"U13",IF(E2847&gt;0,"U11",0)))))</f>
        <v>0</v>
      </c>
      <c r="E2847" s="456">
        <f>IFERROR(IF(Table10[[#This Row],[Year]]&gt;0,$E$1-Table10[[#This Row],[Year]],0),"")</f>
        <v>0</v>
      </c>
      <c r="F2847" s="456"/>
      <c r="G2847" s="456"/>
      <c r="H2847" s="456"/>
    </row>
    <row r="2848" spans="1:8">
      <c r="A2848" s="456">
        <v>3845</v>
      </c>
      <c r="B2848" s="469" t="s">
        <v>4365</v>
      </c>
      <c r="C2848" s="458" t="s">
        <v>4720</v>
      </c>
      <c r="D2848" s="456">
        <f>IF(Table10[[#This Row],[Current Age]]&gt;19,"Men's",IF(E2848&gt;15,"U19",IF(E2848&gt;13,"U15",IF(E2848&gt;11,"U13",IF(E2848&gt;0,"U11",0)))))</f>
        <v>0</v>
      </c>
      <c r="E2848" s="456">
        <f>IFERROR(IF(Table10[[#This Row],[Year]]&gt;0,$E$1-Table10[[#This Row],[Year]],0),"")</f>
        <v>0</v>
      </c>
      <c r="F2848" s="456"/>
      <c r="G2848" s="456"/>
      <c r="H2848" s="456"/>
    </row>
    <row r="2849" spans="1:8">
      <c r="A2849" s="471">
        <v>3846</v>
      </c>
      <c r="B2849" s="493" t="s">
        <v>4368</v>
      </c>
      <c r="C2849" s="472" t="s">
        <v>4720</v>
      </c>
      <c r="D2849" s="456">
        <f>IF(Table10[[#This Row],[Current Age]]&gt;19,"Men's",IF(E2849&gt;15,"U19",IF(E2849&gt;13,"U15",IF(E2849&gt;11,"U13",IF(E2849&gt;0,"U11",0)))))</f>
        <v>0</v>
      </c>
      <c r="E2849" s="456">
        <f>IFERROR(IF(Table10[[#This Row],[Year]]&gt;0,$E$1-Table10[[#This Row],[Year]],0),"")</f>
        <v>0</v>
      </c>
      <c r="F2849" s="456"/>
      <c r="G2849" s="456"/>
      <c r="H2849" s="456"/>
    </row>
    <row r="2850" spans="1:8">
      <c r="A2850" s="456">
        <v>3847</v>
      </c>
      <c r="B2850" s="469" t="s">
        <v>4369</v>
      </c>
      <c r="C2850" s="458" t="s">
        <v>4720</v>
      </c>
      <c r="D2850" s="456">
        <f>IF(Table10[[#This Row],[Current Age]]&gt;19,"Men's",IF(E2850&gt;15,"U19",IF(E2850&gt;13,"U15",IF(E2850&gt;11,"U13",IF(E2850&gt;0,"U11",0)))))</f>
        <v>0</v>
      </c>
      <c r="E2850" s="456">
        <f>IFERROR(IF(Table10[[#This Row],[Year]]&gt;0,$E$1-Table10[[#This Row],[Year]],0),"")</f>
        <v>0</v>
      </c>
      <c r="F2850" s="456"/>
      <c r="G2850" s="456"/>
      <c r="H2850" s="456"/>
    </row>
    <row r="2851" spans="1:8">
      <c r="A2851" s="471">
        <v>3848</v>
      </c>
      <c r="B2851" s="493" t="s">
        <v>4370</v>
      </c>
      <c r="C2851" s="472" t="s">
        <v>4720</v>
      </c>
      <c r="D2851" s="456">
        <f>IF(Table10[[#This Row],[Current Age]]&gt;19,"Men's",IF(E2851&gt;15,"U19",IF(E2851&gt;13,"U15",IF(E2851&gt;11,"U13",IF(E2851&gt;0,"U11",0)))))</f>
        <v>0</v>
      </c>
      <c r="E2851" s="456">
        <f>IFERROR(IF(Table10[[#This Row],[Year]]&gt;0,$E$1-Table10[[#This Row],[Year]],0),"")</f>
        <v>0</v>
      </c>
      <c r="F2851" s="456"/>
      <c r="G2851" s="456"/>
      <c r="H2851" s="456"/>
    </row>
    <row r="2852" spans="1:8">
      <c r="A2852" s="456">
        <v>3849</v>
      </c>
      <c r="B2852" s="469" t="s">
        <v>4374</v>
      </c>
      <c r="C2852" s="458" t="s">
        <v>244</v>
      </c>
      <c r="D2852" s="456" t="str">
        <f>IF(Table10[[#This Row],[Current Age]]&gt;19,"Men's",IF(E2852&gt;15,"U19",IF(E2852&gt;13,"U15",IF(E2852&gt;11,"U13",IF(E2852&gt;0,"U11",0)))))</f>
        <v>U13</v>
      </c>
      <c r="E2852" s="456">
        <f>IFERROR(IF(Table10[[#This Row],[Year]]&gt;0,$E$1-Table10[[#This Row],[Year]],0),"")</f>
        <v>12</v>
      </c>
      <c r="F2852" s="456">
        <v>2013</v>
      </c>
      <c r="G2852" s="456">
        <v>12</v>
      </c>
      <c r="H2852" s="456">
        <v>27</v>
      </c>
    </row>
    <row r="2853" spans="1:8">
      <c r="A2853" s="471">
        <v>3850</v>
      </c>
      <c r="B2853" s="493" t="s">
        <v>4375</v>
      </c>
      <c r="C2853" s="472" t="s">
        <v>4720</v>
      </c>
      <c r="D2853" s="456" t="str">
        <f>IF(Table10[[#This Row],[Current Age]]&gt;19,"Men's",IF(E2853&gt;15,"U19",IF(E2853&gt;13,"U15",IF(E2853&gt;11,"U13",IF(E2853&gt;0,"U11",0)))))</f>
        <v>U11</v>
      </c>
      <c r="E2853" s="456">
        <f>IFERROR(IF(Table10[[#This Row],[Year]]&gt;0,$E$1-Table10[[#This Row],[Year]],0),"")</f>
        <v>10</v>
      </c>
      <c r="F2853" s="456">
        <v>2015</v>
      </c>
      <c r="G2853" s="456">
        <v>4</v>
      </c>
      <c r="H2853" s="456">
        <v>22</v>
      </c>
    </row>
    <row r="2854" spans="1:8">
      <c r="A2854" s="456">
        <v>3851</v>
      </c>
      <c r="B2854" s="469" t="s">
        <v>4376</v>
      </c>
      <c r="C2854" s="458" t="s">
        <v>244</v>
      </c>
      <c r="D2854" s="456">
        <f>IF(Table10[[#This Row],[Current Age]]&gt;19,"Men's",IF(E2854&gt;15,"U19",IF(E2854&gt;13,"U15",IF(E2854&gt;11,"U13",IF(E2854&gt;0,"U11",0)))))</f>
        <v>0</v>
      </c>
      <c r="E2854" s="456">
        <f>IFERROR(IF(Table10[[#This Row],[Year]]&gt;0,$E$1-Table10[[#This Row],[Year]],0),"")</f>
        <v>0</v>
      </c>
      <c r="F2854" s="456"/>
      <c r="G2854" s="456"/>
      <c r="H2854" s="456"/>
    </row>
    <row r="2855" spans="1:8">
      <c r="A2855" s="471">
        <v>3852</v>
      </c>
      <c r="B2855" s="493" t="s">
        <v>4377</v>
      </c>
      <c r="C2855" s="472" t="s">
        <v>4720</v>
      </c>
      <c r="D2855" s="456">
        <f>IF(Table10[[#This Row],[Current Age]]&gt;19,"Men's",IF(E2855&gt;15,"U19",IF(E2855&gt;13,"U15",IF(E2855&gt;11,"U13",IF(E2855&gt;0,"U11",0)))))</f>
        <v>0</v>
      </c>
      <c r="E2855" s="456">
        <f>IFERROR(IF(Table10[[#This Row],[Year]]&gt;0,$E$1-Table10[[#This Row],[Year]],0),"")</f>
        <v>0</v>
      </c>
      <c r="F2855" s="456"/>
      <c r="G2855" s="456"/>
      <c r="H2855" s="456"/>
    </row>
    <row r="2856" spans="1:8">
      <c r="A2856" s="456">
        <v>3853</v>
      </c>
      <c r="B2856" s="469" t="s">
        <v>4381</v>
      </c>
      <c r="C2856" s="458" t="s">
        <v>4720</v>
      </c>
      <c r="D2856" s="456">
        <f>IF(Table10[[#This Row],[Current Age]]&gt;19,"Men's",IF(E2856&gt;15,"U19",IF(E2856&gt;13,"U15",IF(E2856&gt;11,"U13",IF(E2856&gt;0,"U11",0)))))</f>
        <v>0</v>
      </c>
      <c r="E2856" s="456">
        <f>IFERROR(IF(Table10[[#This Row],[Year]]&gt;0,$E$1-Table10[[#This Row],[Year]],0),"")</f>
        <v>0</v>
      </c>
      <c r="F2856" s="456"/>
      <c r="G2856" s="456"/>
      <c r="H2856" s="456"/>
    </row>
    <row r="2857" spans="1:8">
      <c r="A2857" s="471">
        <v>3854</v>
      </c>
      <c r="B2857" s="493" t="s">
        <v>4383</v>
      </c>
      <c r="C2857" s="472" t="s">
        <v>4720</v>
      </c>
      <c r="D2857" s="456">
        <f>IF(Table10[[#This Row],[Current Age]]&gt;19,"Men's",IF(E2857&gt;15,"U19",IF(E2857&gt;13,"U15",IF(E2857&gt;11,"U13",IF(E2857&gt;0,"U11",0)))))</f>
        <v>0</v>
      </c>
      <c r="E2857" s="456">
        <f>IFERROR(IF(Table10[[#This Row],[Year]]&gt;0,$E$1-Table10[[#This Row],[Year]],0),"")</f>
        <v>0</v>
      </c>
      <c r="F2857" s="456"/>
      <c r="G2857" s="456"/>
      <c r="H2857" s="456"/>
    </row>
    <row r="2858" spans="1:8">
      <c r="A2858" s="456">
        <v>3855</v>
      </c>
      <c r="B2858" s="469" t="s">
        <v>4384</v>
      </c>
      <c r="C2858" s="458" t="s">
        <v>4720</v>
      </c>
      <c r="D2858" s="456">
        <f>IF(Table10[[#This Row],[Current Age]]&gt;19,"Men's",IF(E2858&gt;15,"U19",IF(E2858&gt;13,"U15",IF(E2858&gt;11,"U13",IF(E2858&gt;0,"U11",0)))))</f>
        <v>0</v>
      </c>
      <c r="E2858" s="456">
        <f>IFERROR(IF(Table10[[#This Row],[Year]]&gt;0,$E$1-Table10[[#This Row],[Year]],0),"")</f>
        <v>0</v>
      </c>
      <c r="F2858" s="456"/>
      <c r="G2858" s="456"/>
      <c r="H2858" s="456"/>
    </row>
    <row r="2859" spans="1:8">
      <c r="A2859" s="471">
        <v>3856</v>
      </c>
      <c r="B2859" s="493" t="s">
        <v>4385</v>
      </c>
      <c r="C2859" s="472" t="s">
        <v>4720</v>
      </c>
      <c r="D2859" s="456">
        <f>IF(Table10[[#This Row],[Current Age]]&gt;19,"Men's",IF(E2859&gt;15,"U19",IF(E2859&gt;13,"U15",IF(E2859&gt;11,"U13",IF(E2859&gt;0,"U11",0)))))</f>
        <v>0</v>
      </c>
      <c r="E2859" s="456">
        <f>IFERROR(IF(Table10[[#This Row],[Year]]&gt;0,$E$1-Table10[[#This Row],[Year]],0),"")</f>
        <v>0</v>
      </c>
      <c r="F2859" s="456"/>
      <c r="G2859" s="456"/>
      <c r="H2859" s="456"/>
    </row>
    <row r="2860" spans="1:8">
      <c r="A2860" s="456">
        <v>3857</v>
      </c>
      <c r="B2860" s="469" t="s">
        <v>4389</v>
      </c>
      <c r="C2860" s="458" t="s">
        <v>244</v>
      </c>
      <c r="D2860" s="456" t="str">
        <f>IF(Table10[[#This Row],[Current Age]]&gt;19,"Men's",IF(E2860&gt;15,"U19",IF(E2860&gt;13,"U15",IF(E2860&gt;11,"U13",IF(E2860&gt;0,"U11",0)))))</f>
        <v>U19</v>
      </c>
      <c r="E2860" s="456">
        <f>IFERROR(IF(Table10[[#This Row],[Year]]&gt;0,$E$1-Table10[[#This Row],[Year]],0),"")</f>
        <v>16</v>
      </c>
      <c r="F2860" s="456">
        <v>2009</v>
      </c>
      <c r="G2860" s="456">
        <v>1</v>
      </c>
      <c r="H2860" s="456">
        <v>19</v>
      </c>
    </row>
    <row r="2861" spans="1:8">
      <c r="A2861" s="471">
        <v>3858</v>
      </c>
      <c r="B2861" s="493" t="s">
        <v>4390</v>
      </c>
      <c r="C2861" s="472" t="s">
        <v>4720</v>
      </c>
      <c r="D2861" s="456">
        <f>IF(Table10[[#This Row],[Current Age]]&gt;19,"Men's",IF(E2861&gt;15,"U19",IF(E2861&gt;13,"U15",IF(E2861&gt;11,"U13",IF(E2861&gt;0,"U11",0)))))</f>
        <v>0</v>
      </c>
      <c r="E2861" s="456">
        <f>IFERROR(IF(Table10[[#This Row],[Year]]&gt;0,$E$1-Table10[[#This Row],[Year]],0),"")</f>
        <v>-18082</v>
      </c>
      <c r="F2861" s="456">
        <v>20107</v>
      </c>
      <c r="G2861" s="456">
        <v>7</v>
      </c>
      <c r="H2861" s="456">
        <v>12</v>
      </c>
    </row>
    <row r="2862" spans="1:8">
      <c r="A2862" s="456">
        <v>3859</v>
      </c>
      <c r="B2862" s="469" t="s">
        <v>4391</v>
      </c>
      <c r="C2862" s="458" t="s">
        <v>4720</v>
      </c>
      <c r="D2862" s="456" t="str">
        <f>IF(Table10[[#This Row],[Current Age]]&gt;19,"Men's",IF(E2862&gt;15,"U19",IF(E2862&gt;13,"U15",IF(E2862&gt;11,"U13",IF(E2862&gt;0,"U11",0)))))</f>
        <v>U15</v>
      </c>
      <c r="E2862" s="456">
        <f>IFERROR(IF(Table10[[#This Row],[Year]]&gt;0,$E$1-Table10[[#This Row],[Year]],0),"")</f>
        <v>15</v>
      </c>
      <c r="F2862" s="456">
        <v>2010</v>
      </c>
      <c r="G2862" s="456">
        <v>7</v>
      </c>
      <c r="H2862" s="456">
        <v>12</v>
      </c>
    </row>
    <row r="2863" spans="1:8">
      <c r="A2863" s="471">
        <v>3860</v>
      </c>
      <c r="B2863" s="493" t="s">
        <v>4392</v>
      </c>
      <c r="C2863" s="472" t="s">
        <v>4720</v>
      </c>
      <c r="D2863" s="456" t="str">
        <f>IF(Table10[[#This Row],[Current Age]]&gt;19,"Men's",IF(E2863&gt;15,"U19",IF(E2863&gt;13,"U15",IF(E2863&gt;11,"U13",IF(E2863&gt;0,"U11",0)))))</f>
        <v>U15</v>
      </c>
      <c r="E2863" s="456">
        <f>IFERROR(IF(Table10[[#This Row],[Year]]&gt;0,$E$1-Table10[[#This Row],[Year]],0),"")</f>
        <v>14</v>
      </c>
      <c r="F2863" s="456">
        <v>2011</v>
      </c>
      <c r="G2863" s="456">
        <v>5</v>
      </c>
      <c r="H2863" s="456">
        <v>12</v>
      </c>
    </row>
    <row r="2864" spans="1:8">
      <c r="A2864" s="456">
        <v>3861</v>
      </c>
      <c r="B2864" s="469" t="s">
        <v>5421</v>
      </c>
      <c r="C2864" s="458" t="s">
        <v>4720</v>
      </c>
      <c r="D2864" s="456" t="str">
        <f>IF(Table10[[#This Row],[Current Age]]&gt;19,"Men's",IF(E2864&gt;15,"U19",IF(E2864&gt;13,"U15",IF(E2864&gt;11,"U13",IF(E2864&gt;0,"U11",0)))))</f>
        <v>U15</v>
      </c>
      <c r="E2864" s="456">
        <f>IFERROR(IF(Table10[[#This Row],[Year]]&gt;0,$E$1-Table10[[#This Row],[Year]],0),"")</f>
        <v>14</v>
      </c>
      <c r="F2864" s="456">
        <v>2011</v>
      </c>
      <c r="G2864" s="456">
        <v>11</v>
      </c>
      <c r="H2864" s="456">
        <v>9</v>
      </c>
    </row>
    <row r="2865" spans="1:8">
      <c r="A2865" s="471">
        <v>3862</v>
      </c>
      <c r="B2865" s="493" t="s">
        <v>4393</v>
      </c>
      <c r="C2865" s="472" t="s">
        <v>4720</v>
      </c>
      <c r="D2865" s="456">
        <f>IF(Table10[[#This Row],[Current Age]]&gt;19,"Men's",IF(E2865&gt;15,"U19",IF(E2865&gt;13,"U15",IF(E2865&gt;11,"U13",IF(E2865&gt;0,"U11",0)))))</f>
        <v>0</v>
      </c>
      <c r="E2865" s="456">
        <f>IFERROR(IF(Table10[[#This Row],[Year]]&gt;0,$E$1-Table10[[#This Row],[Year]],0),"")</f>
        <v>0</v>
      </c>
      <c r="F2865" s="456"/>
      <c r="G2865" s="456"/>
      <c r="H2865" s="456"/>
    </row>
    <row r="2866" spans="1:8">
      <c r="A2866" s="456">
        <v>3863</v>
      </c>
      <c r="B2866" s="469" t="s">
        <v>4394</v>
      </c>
      <c r="C2866" s="458" t="s">
        <v>4720</v>
      </c>
      <c r="D2866" s="456">
        <f>IF(Table10[[#This Row],[Current Age]]&gt;19,"Men's",IF(E2866&gt;15,"U19",IF(E2866&gt;13,"U15",IF(E2866&gt;11,"U13",IF(E2866&gt;0,"U11",0)))))</f>
        <v>0</v>
      </c>
      <c r="E2866" s="456">
        <f>IFERROR(IF(Table10[[#This Row],[Year]]&gt;0,$E$1-Table10[[#This Row],[Year]],0),"")</f>
        <v>0</v>
      </c>
      <c r="F2866" s="456"/>
      <c r="G2866" s="456"/>
      <c r="H2866" s="456"/>
    </row>
    <row r="2867" spans="1:8">
      <c r="A2867" s="471">
        <v>3864</v>
      </c>
      <c r="B2867" s="493" t="s">
        <v>4395</v>
      </c>
      <c r="C2867" s="472" t="s">
        <v>4720</v>
      </c>
      <c r="D2867" s="456" t="str">
        <f>IF(Table10[[#This Row],[Current Age]]&gt;19,"Men's",IF(E2867&gt;15,"U19",IF(E2867&gt;13,"U15",IF(E2867&gt;11,"U13",IF(E2867&gt;0,"U11",0)))))</f>
        <v>U11</v>
      </c>
      <c r="E2867" s="456">
        <f>IFERROR(IF(Table10[[#This Row],[Year]]&gt;0,$E$1-Table10[[#This Row],[Year]],0),"")</f>
        <v>9</v>
      </c>
      <c r="F2867" s="456">
        <v>2016</v>
      </c>
      <c r="G2867" s="456">
        <v>6</v>
      </c>
      <c r="H2867" s="456">
        <v>27</v>
      </c>
    </row>
    <row r="2868" spans="1:8">
      <c r="A2868" s="456">
        <v>3865</v>
      </c>
      <c r="B2868" s="469" t="s">
        <v>4398</v>
      </c>
      <c r="C2868" s="458" t="s">
        <v>243</v>
      </c>
      <c r="D2868" s="456">
        <f>IF(Table10[[#This Row],[Current Age]]&gt;19,"Men's",IF(E2868&gt;15,"U19",IF(E2868&gt;13,"U15",IF(E2868&gt;11,"U13",IF(E2868&gt;0,"U11",0)))))</f>
        <v>0</v>
      </c>
      <c r="E2868" s="456">
        <f>IFERROR(IF(Table10[[#This Row],[Year]]&gt;0,$E$1-Table10[[#This Row],[Year]],0),"")</f>
        <v>0</v>
      </c>
      <c r="F2868" s="456"/>
      <c r="G2868" s="456"/>
      <c r="H2868" s="456"/>
    </row>
    <row r="2869" spans="1:8">
      <c r="A2869" s="471">
        <v>3866</v>
      </c>
      <c r="B2869" s="493" t="s">
        <v>4399</v>
      </c>
      <c r="C2869" s="472" t="s">
        <v>243</v>
      </c>
      <c r="D2869" s="456">
        <f>IF(Table10[[#This Row],[Current Age]]&gt;19,"Men's",IF(E2869&gt;15,"U19",IF(E2869&gt;13,"U15",IF(E2869&gt;11,"U13",IF(E2869&gt;0,"U11",0)))))</f>
        <v>0</v>
      </c>
      <c r="E2869" s="456">
        <f>IFERROR(IF(Table10[[#This Row],[Year]]&gt;0,$E$1-Table10[[#This Row],[Year]],0),"")</f>
        <v>0</v>
      </c>
      <c r="F2869" s="456"/>
      <c r="G2869" s="456"/>
      <c r="H2869" s="456"/>
    </row>
    <row r="2870" spans="1:8">
      <c r="A2870" s="456">
        <v>3867</v>
      </c>
      <c r="B2870" s="469" t="s">
        <v>4400</v>
      </c>
      <c r="C2870" s="458" t="s">
        <v>243</v>
      </c>
      <c r="D2870" s="456">
        <f>IF(Table10[[#This Row],[Current Age]]&gt;19,"Men's",IF(E2870&gt;15,"U19",IF(E2870&gt;13,"U15",IF(E2870&gt;11,"U13",IF(E2870&gt;0,"U11",0)))))</f>
        <v>0</v>
      </c>
      <c r="E2870" s="456">
        <f>IFERROR(IF(Table10[[#This Row],[Year]]&gt;0,$E$1-Table10[[#This Row],[Year]],0),"")</f>
        <v>0</v>
      </c>
      <c r="F2870" s="456"/>
      <c r="G2870" s="456"/>
      <c r="H2870" s="456"/>
    </row>
    <row r="2871" spans="1:8">
      <c r="A2871" s="471">
        <v>3868</v>
      </c>
      <c r="B2871" s="493" t="s">
        <v>4401</v>
      </c>
      <c r="C2871" s="472" t="s">
        <v>4552</v>
      </c>
      <c r="D2871" s="456" t="str">
        <f>IF(Table10[[#This Row],[Current Age]]&gt;19,"Men's",IF(E2871&gt;15,"U19",IF(E2871&gt;13,"U15",IF(E2871&gt;11,"U13",IF(E2871&gt;0,"U11",0)))))</f>
        <v>Men's</v>
      </c>
      <c r="E2871" s="456">
        <f>IFERROR(IF(Table10[[#This Row],[Year]]&gt;0,$E$1-Table10[[#This Row],[Year]],0),"")</f>
        <v>51</v>
      </c>
      <c r="F2871" s="456">
        <v>1974</v>
      </c>
      <c r="G2871" s="456">
        <v>7</v>
      </c>
      <c r="H2871" s="456">
        <v>4</v>
      </c>
    </row>
    <row r="2872" spans="1:8">
      <c r="A2872" s="456">
        <v>3869</v>
      </c>
      <c r="B2872" s="469" t="s">
        <v>4402</v>
      </c>
      <c r="C2872" s="458" t="s">
        <v>243</v>
      </c>
      <c r="D2872" s="456">
        <f>IF(Table10[[#This Row],[Current Age]]&gt;19,"Men's",IF(E2872&gt;15,"U19",IF(E2872&gt;13,"U15",IF(E2872&gt;11,"U13",IF(E2872&gt;0,"U11",0)))))</f>
        <v>0</v>
      </c>
      <c r="E2872" s="456">
        <f>IFERROR(IF(Table10[[#This Row],[Year]]&gt;0,$E$1-Table10[[#This Row],[Year]],0),"")</f>
        <v>0</v>
      </c>
      <c r="F2872" s="456"/>
      <c r="G2872" s="456"/>
      <c r="H2872" s="456"/>
    </row>
    <row r="2873" spans="1:8">
      <c r="A2873" s="471">
        <v>3870</v>
      </c>
      <c r="B2873" s="493" t="s">
        <v>4403</v>
      </c>
      <c r="C2873" s="472" t="s">
        <v>243</v>
      </c>
      <c r="D2873" s="456">
        <f>IF(Table10[[#This Row],[Current Age]]&gt;19,"Men's",IF(E2873&gt;15,"U19",IF(E2873&gt;13,"U15",IF(E2873&gt;11,"U13",IF(E2873&gt;0,"U11",0)))))</f>
        <v>0</v>
      </c>
      <c r="E2873" s="456">
        <f>IFERROR(IF(Table10[[#This Row],[Year]]&gt;0,$E$1-Table10[[#This Row],[Year]],0),"")</f>
        <v>0</v>
      </c>
      <c r="F2873" s="456"/>
      <c r="G2873" s="456"/>
      <c r="H2873" s="456"/>
    </row>
    <row r="2874" spans="1:8">
      <c r="A2874" s="456">
        <v>3871</v>
      </c>
      <c r="B2874" s="469" t="s">
        <v>4404</v>
      </c>
      <c r="C2874" s="458" t="s">
        <v>243</v>
      </c>
      <c r="D2874" s="456">
        <f>IF(Table10[[#This Row],[Current Age]]&gt;19,"Men's",IF(E2874&gt;15,"U19",IF(E2874&gt;13,"U15",IF(E2874&gt;11,"U13",IF(E2874&gt;0,"U11",0)))))</f>
        <v>0</v>
      </c>
      <c r="E2874" s="456">
        <f>IFERROR(IF(Table10[[#This Row],[Year]]&gt;0,$E$1-Table10[[#This Row],[Year]],0),"")</f>
        <v>0</v>
      </c>
      <c r="F2874" s="456"/>
      <c r="G2874" s="456"/>
      <c r="H2874" s="456"/>
    </row>
    <row r="2875" spans="1:8">
      <c r="A2875" s="471">
        <v>3872</v>
      </c>
      <c r="B2875" s="493" t="s">
        <v>4406</v>
      </c>
      <c r="C2875" s="472" t="s">
        <v>243</v>
      </c>
      <c r="D2875" s="456">
        <f>IF(Table10[[#This Row],[Current Age]]&gt;19,"Men's",IF(E2875&gt;15,"U19",IF(E2875&gt;13,"U15",IF(E2875&gt;11,"U13",IF(E2875&gt;0,"U11",0)))))</f>
        <v>0</v>
      </c>
      <c r="E2875" s="456">
        <f>IFERROR(IF(Table10[[#This Row],[Year]]&gt;0,$E$1-Table10[[#This Row],[Year]],0),"")</f>
        <v>0</v>
      </c>
      <c r="F2875" s="456"/>
      <c r="G2875" s="456"/>
      <c r="H2875" s="456"/>
    </row>
    <row r="2876" spans="1:8">
      <c r="A2876" s="456">
        <v>3873</v>
      </c>
      <c r="B2876" s="469" t="s">
        <v>4407</v>
      </c>
      <c r="C2876" s="458" t="s">
        <v>243</v>
      </c>
      <c r="D2876" s="456">
        <f>IF(Table10[[#This Row],[Current Age]]&gt;19,"Men's",IF(E2876&gt;15,"U19",IF(E2876&gt;13,"U15",IF(E2876&gt;11,"U13",IF(E2876&gt;0,"U11",0)))))</f>
        <v>0</v>
      </c>
      <c r="E2876" s="456">
        <f>IFERROR(IF(Table10[[#This Row],[Year]]&gt;0,$E$1-Table10[[#This Row],[Year]],0),"")</f>
        <v>0</v>
      </c>
      <c r="F2876" s="456"/>
      <c r="G2876" s="456"/>
      <c r="H2876" s="456"/>
    </row>
    <row r="2877" spans="1:8">
      <c r="A2877" s="471">
        <v>3874</v>
      </c>
      <c r="B2877" s="493" t="s">
        <v>4408</v>
      </c>
      <c r="C2877" s="472" t="s">
        <v>4552</v>
      </c>
      <c r="D2877" s="456">
        <f>IF(Table10[[#This Row],[Current Age]]&gt;19,"Men's",IF(E2877&gt;15,"U19",IF(E2877&gt;13,"U15",IF(E2877&gt;11,"U13",IF(E2877&gt;0,"U11",0)))))</f>
        <v>0</v>
      </c>
      <c r="E2877" s="456">
        <f>IFERROR(IF(Table10[[#This Row],[Year]]&gt;0,$E$1-Table10[[#This Row],[Year]],0),"")</f>
        <v>0</v>
      </c>
      <c r="F2877" s="456"/>
      <c r="G2877" s="456"/>
      <c r="H2877" s="456"/>
    </row>
    <row r="2878" spans="1:8">
      <c r="A2878" s="456">
        <v>3875</v>
      </c>
      <c r="B2878" s="469" t="s">
        <v>4409</v>
      </c>
      <c r="C2878" s="458" t="s">
        <v>4552</v>
      </c>
      <c r="D2878" s="456">
        <f>IF(Table10[[#This Row],[Current Age]]&gt;19,"Men's",IF(E2878&gt;15,"U19",IF(E2878&gt;13,"U15",IF(E2878&gt;11,"U13",IF(E2878&gt;0,"U11",0)))))</f>
        <v>0</v>
      </c>
      <c r="E2878" s="456">
        <f>IFERROR(IF(Table10[[#This Row],[Year]]&gt;0,$E$1-Table10[[#This Row],[Year]],0),"")</f>
        <v>0</v>
      </c>
      <c r="F2878" s="456"/>
      <c r="G2878" s="456"/>
      <c r="H2878" s="456"/>
    </row>
    <row r="2879" spans="1:8">
      <c r="A2879" s="471">
        <v>3876</v>
      </c>
      <c r="B2879" s="493" t="s">
        <v>4411</v>
      </c>
      <c r="C2879" s="472" t="s">
        <v>243</v>
      </c>
      <c r="D2879" s="456">
        <f>IF(Table10[[#This Row],[Current Age]]&gt;19,"Men's",IF(E2879&gt;15,"U19",IF(E2879&gt;13,"U15",IF(E2879&gt;11,"U13",IF(E2879&gt;0,"U11",0)))))</f>
        <v>0</v>
      </c>
      <c r="E2879" s="456">
        <f>IFERROR(IF(Table10[[#This Row],[Year]]&gt;0,$E$1-Table10[[#This Row],[Year]],0),"")</f>
        <v>0</v>
      </c>
      <c r="F2879" s="456"/>
      <c r="G2879" s="456"/>
      <c r="H2879" s="456"/>
    </row>
    <row r="2880" spans="1:8">
      <c r="A2880" s="456">
        <v>3877</v>
      </c>
      <c r="B2880" s="469" t="s">
        <v>4412</v>
      </c>
      <c r="C2880" s="458" t="s">
        <v>243</v>
      </c>
      <c r="D2880" s="456">
        <f>IF(Table10[[#This Row],[Current Age]]&gt;19,"Men's",IF(E2880&gt;15,"U19",IF(E2880&gt;13,"U15",IF(E2880&gt;11,"U13",IF(E2880&gt;0,"U11",0)))))</f>
        <v>0</v>
      </c>
      <c r="E2880" s="456">
        <f>IFERROR(IF(Table10[[#This Row],[Year]]&gt;0,$E$1-Table10[[#This Row],[Year]],0),"")</f>
        <v>0</v>
      </c>
      <c r="F2880" s="456"/>
      <c r="G2880" s="456"/>
      <c r="H2880" s="456"/>
    </row>
    <row r="2881" spans="1:8">
      <c r="A2881" s="471">
        <v>3878</v>
      </c>
      <c r="B2881" s="493" t="s">
        <v>4413</v>
      </c>
      <c r="C2881" s="472" t="s">
        <v>243</v>
      </c>
      <c r="D2881" s="456">
        <f>IF(Table10[[#This Row],[Current Age]]&gt;19,"Men's",IF(E2881&gt;15,"U19",IF(E2881&gt;13,"U15",IF(E2881&gt;11,"U13",IF(E2881&gt;0,"U11",0)))))</f>
        <v>0</v>
      </c>
      <c r="E2881" s="456">
        <f>IFERROR(IF(Table10[[#This Row],[Year]]&gt;0,$E$1-Table10[[#This Row],[Year]],0),"")</f>
        <v>0</v>
      </c>
      <c r="F2881" s="456"/>
      <c r="G2881" s="456"/>
      <c r="H2881" s="456"/>
    </row>
    <row r="2882" spans="1:8">
      <c r="A2882" s="456">
        <v>3879</v>
      </c>
      <c r="B2882" s="469" t="s">
        <v>4414</v>
      </c>
      <c r="C2882" s="458" t="s">
        <v>243</v>
      </c>
      <c r="D2882" s="456" t="str">
        <f>IF(Table10[[#This Row],[Current Age]]&gt;19,"Men's",IF(E2882&gt;15,"U19",IF(E2882&gt;13,"U15",IF(E2882&gt;11,"U13",IF(E2882&gt;0,"U11",0)))))</f>
        <v>U11</v>
      </c>
      <c r="E2882" s="456">
        <f>IFERROR(IF(Table10[[#This Row],[Year]]&gt;0,$E$1-Table10[[#This Row],[Year]],0),"")</f>
        <v>11</v>
      </c>
      <c r="F2882" s="456">
        <v>2014</v>
      </c>
      <c r="G2882" s="456">
        <v>8</v>
      </c>
      <c r="H2882" s="456">
        <v>14</v>
      </c>
    </row>
    <row r="2883" spans="1:8">
      <c r="A2883" s="471">
        <v>3880</v>
      </c>
      <c r="B2883" s="493" t="s">
        <v>4415</v>
      </c>
      <c r="C2883" s="472" t="s">
        <v>362</v>
      </c>
      <c r="D2883" s="456">
        <f>IF(Table10[[#This Row],[Current Age]]&gt;19,"Men's",IF(E2883&gt;15,"U19",IF(E2883&gt;13,"U15",IF(E2883&gt;11,"U13",IF(E2883&gt;0,"U11",0)))))</f>
        <v>0</v>
      </c>
      <c r="E2883" s="456">
        <f>IFERROR(IF(Table10[[#This Row],[Year]]&gt;0,$E$1-Table10[[#This Row],[Year]],0),"")</f>
        <v>0</v>
      </c>
      <c r="F2883" s="456"/>
      <c r="G2883" s="456"/>
      <c r="H2883" s="456"/>
    </row>
    <row r="2884" spans="1:8">
      <c r="A2884" s="456">
        <v>3881</v>
      </c>
      <c r="B2884" s="469" t="s">
        <v>4416</v>
      </c>
      <c r="C2884" s="458" t="s">
        <v>362</v>
      </c>
      <c r="D2884" s="456">
        <f>IF(Table10[[#This Row],[Current Age]]&gt;19,"Men's",IF(E2884&gt;15,"U19",IF(E2884&gt;13,"U15",IF(E2884&gt;11,"U13",IF(E2884&gt;0,"U11",0)))))</f>
        <v>0</v>
      </c>
      <c r="E2884" s="456">
        <f>IFERROR(IF(Table10[[#This Row],[Year]]&gt;0,$E$1-Table10[[#This Row],[Year]],0),"")</f>
        <v>0</v>
      </c>
      <c r="F2884" s="456"/>
      <c r="G2884" s="456"/>
      <c r="H2884" s="456"/>
    </row>
    <row r="2885" spans="1:8">
      <c r="A2885" s="471">
        <v>3882</v>
      </c>
      <c r="B2885" s="493" t="s">
        <v>4417</v>
      </c>
      <c r="C2885" s="472" t="s">
        <v>362</v>
      </c>
      <c r="D2885" s="456">
        <f>IF(Table10[[#This Row],[Current Age]]&gt;19,"Men's",IF(E2885&gt;15,"U19",IF(E2885&gt;13,"U15",IF(E2885&gt;11,"U13",IF(E2885&gt;0,"U11",0)))))</f>
        <v>0</v>
      </c>
      <c r="E2885" s="456">
        <f>IFERROR(IF(Table10[[#This Row],[Year]]&gt;0,$E$1-Table10[[#This Row],[Year]],0),"")</f>
        <v>0</v>
      </c>
      <c r="F2885" s="456"/>
      <c r="G2885" s="456"/>
      <c r="H2885" s="456"/>
    </row>
    <row r="2886" spans="1:8">
      <c r="A2886" s="456">
        <v>3883</v>
      </c>
      <c r="B2886" s="469" t="s">
        <v>4418</v>
      </c>
      <c r="C2886" s="458" t="s">
        <v>362</v>
      </c>
      <c r="D2886" s="456">
        <f>IF(Table10[[#This Row],[Current Age]]&gt;19,"Men's",IF(E2886&gt;15,"U19",IF(E2886&gt;13,"U15",IF(E2886&gt;11,"U13",IF(E2886&gt;0,"U11",0)))))</f>
        <v>0</v>
      </c>
      <c r="E2886" s="456">
        <f>IFERROR(IF(Table10[[#This Row],[Year]]&gt;0,$E$1-Table10[[#This Row],[Year]],0),"")</f>
        <v>0</v>
      </c>
      <c r="F2886" s="456"/>
      <c r="G2886" s="456"/>
      <c r="H2886" s="456"/>
    </row>
    <row r="2887" spans="1:8">
      <c r="A2887" s="471">
        <v>3884</v>
      </c>
      <c r="B2887" s="493" t="s">
        <v>4419</v>
      </c>
      <c r="C2887" s="472" t="s">
        <v>362</v>
      </c>
      <c r="D2887" s="456">
        <f>IF(Table10[[#This Row],[Current Age]]&gt;19,"Men's",IF(E2887&gt;15,"U19",IF(E2887&gt;13,"U15",IF(E2887&gt;11,"U13",IF(E2887&gt;0,"U11",0)))))</f>
        <v>0</v>
      </c>
      <c r="E2887" s="456">
        <f>IFERROR(IF(Table10[[#This Row],[Year]]&gt;0,$E$1-Table10[[#This Row],[Year]],0),"")</f>
        <v>0</v>
      </c>
      <c r="F2887" s="456"/>
      <c r="G2887" s="456"/>
      <c r="H2887" s="456"/>
    </row>
    <row r="2888" spans="1:8">
      <c r="A2888" s="456">
        <v>3885</v>
      </c>
      <c r="B2888" s="469" t="s">
        <v>4420</v>
      </c>
      <c r="C2888" s="458" t="s">
        <v>362</v>
      </c>
      <c r="D2888" s="456">
        <f>IF(Table10[[#This Row],[Current Age]]&gt;19,"Men's",IF(E2888&gt;15,"U19",IF(E2888&gt;13,"U15",IF(E2888&gt;11,"U13",IF(E2888&gt;0,"U11",0)))))</f>
        <v>0</v>
      </c>
      <c r="E2888" s="456">
        <f>IFERROR(IF(Table10[[#This Row],[Year]]&gt;0,$E$1-Table10[[#This Row],[Year]],0),"")</f>
        <v>0</v>
      </c>
      <c r="F2888" s="456"/>
      <c r="G2888" s="456"/>
      <c r="H2888" s="456"/>
    </row>
    <row r="2889" spans="1:8">
      <c r="A2889" s="471">
        <v>3886</v>
      </c>
      <c r="B2889" s="493" t="s">
        <v>4421</v>
      </c>
      <c r="C2889" s="472" t="s">
        <v>362</v>
      </c>
      <c r="D2889" s="456">
        <f>IF(Table10[[#This Row],[Current Age]]&gt;19,"Men's",IF(E2889&gt;15,"U19",IF(E2889&gt;13,"U15",IF(E2889&gt;11,"U13",IF(E2889&gt;0,"U11",0)))))</f>
        <v>0</v>
      </c>
      <c r="E2889" s="456">
        <f>IFERROR(IF(Table10[[#This Row],[Year]]&gt;0,$E$1-Table10[[#This Row],[Year]],0),"")</f>
        <v>0</v>
      </c>
      <c r="F2889" s="456"/>
      <c r="G2889" s="456"/>
      <c r="H2889" s="456"/>
    </row>
    <row r="2890" spans="1:8">
      <c r="A2890" s="456">
        <v>3887</v>
      </c>
      <c r="B2890" s="469" t="s">
        <v>4422</v>
      </c>
      <c r="C2890" s="458" t="s">
        <v>362</v>
      </c>
      <c r="D2890" s="456">
        <f>IF(Table10[[#This Row],[Current Age]]&gt;19,"Men's",IF(E2890&gt;15,"U19",IF(E2890&gt;13,"U15",IF(E2890&gt;11,"U13",IF(E2890&gt;0,"U11",0)))))</f>
        <v>0</v>
      </c>
      <c r="E2890" s="456">
        <f>IFERROR(IF(Table10[[#This Row],[Year]]&gt;0,$E$1-Table10[[#This Row],[Year]],0),"")</f>
        <v>0</v>
      </c>
      <c r="F2890" s="456"/>
      <c r="G2890" s="456"/>
      <c r="H2890" s="456"/>
    </row>
    <row r="2891" spans="1:8">
      <c r="A2891" s="471">
        <v>3888</v>
      </c>
      <c r="B2891" s="493" t="s">
        <v>4447</v>
      </c>
      <c r="C2891" s="472" t="s">
        <v>250</v>
      </c>
      <c r="D2891" s="456">
        <f>IF(Table10[[#This Row],[Current Age]]&gt;19,"Men's",IF(E2891&gt;15,"U19",IF(E2891&gt;13,"U15",IF(E2891&gt;11,"U13",IF(E2891&gt;0,"U11",0)))))</f>
        <v>0</v>
      </c>
      <c r="E2891" s="456">
        <f>IFERROR(IF(Table10[[#This Row],[Year]]&gt;0,$E$1-Table10[[#This Row],[Year]],0),"")</f>
        <v>0</v>
      </c>
      <c r="F2891" s="456"/>
      <c r="G2891" s="456"/>
      <c r="H2891" s="456"/>
    </row>
    <row r="2892" spans="1:8">
      <c r="A2892" s="456">
        <v>3889</v>
      </c>
      <c r="B2892" s="469" t="s">
        <v>4448</v>
      </c>
      <c r="C2892" s="458" t="s">
        <v>5956</v>
      </c>
      <c r="D2892" s="456" t="str">
        <f>IF(Table10[[#This Row],[Current Age]]&gt;19,"Men's",IF(E2892&gt;15,"U19",IF(E2892&gt;13,"U15",IF(E2892&gt;11,"U13",IF(E2892&gt;0,"U11",0)))))</f>
        <v>U19</v>
      </c>
      <c r="E2892" s="456">
        <f>IFERROR(IF(Table10[[#This Row],[Year]]&gt;0,$E$1-Table10[[#This Row],[Year]],0),"")</f>
        <v>17</v>
      </c>
      <c r="F2892" s="456">
        <v>2008</v>
      </c>
      <c r="G2892" s="456">
        <v>2</v>
      </c>
      <c r="H2892" s="456">
        <v>6</v>
      </c>
    </row>
    <row r="2893" spans="1:8">
      <c r="A2893" s="471">
        <v>3890</v>
      </c>
      <c r="B2893" s="493" t="s">
        <v>4449</v>
      </c>
      <c r="C2893" s="472" t="s">
        <v>250</v>
      </c>
      <c r="D2893" s="456">
        <f>IF(Table10[[#This Row],[Current Age]]&gt;19,"Men's",IF(E2893&gt;15,"U19",IF(E2893&gt;13,"U15",IF(E2893&gt;11,"U13",IF(E2893&gt;0,"U11",0)))))</f>
        <v>0</v>
      </c>
      <c r="E2893" s="456">
        <f>IFERROR(IF(Table10[[#This Row],[Year]]&gt;0,$E$1-Table10[[#This Row],[Year]],0),"")</f>
        <v>0</v>
      </c>
      <c r="F2893" s="456"/>
      <c r="G2893" s="456"/>
      <c r="H2893" s="456"/>
    </row>
    <row r="2894" spans="1:8">
      <c r="A2894" s="456">
        <v>3891</v>
      </c>
      <c r="B2894" s="469" t="s">
        <v>4450</v>
      </c>
      <c r="C2894" s="458" t="s">
        <v>250</v>
      </c>
      <c r="D2894" s="456">
        <f>IF(Table10[[#This Row],[Current Age]]&gt;19,"Men's",IF(E2894&gt;15,"U19",IF(E2894&gt;13,"U15",IF(E2894&gt;11,"U13",IF(E2894&gt;0,"U11",0)))))</f>
        <v>0</v>
      </c>
      <c r="E2894" s="456">
        <f>IFERROR(IF(Table10[[#This Row],[Year]]&gt;0,$E$1-Table10[[#This Row],[Year]],0),"")</f>
        <v>0</v>
      </c>
      <c r="F2894" s="456"/>
      <c r="G2894" s="456"/>
      <c r="H2894" s="456"/>
    </row>
    <row r="2895" spans="1:8">
      <c r="A2895" s="471">
        <v>3892</v>
      </c>
      <c r="B2895" s="493" t="s">
        <v>4451</v>
      </c>
      <c r="C2895" s="472" t="s">
        <v>250</v>
      </c>
      <c r="D2895" s="456">
        <f>IF(Table10[[#This Row],[Current Age]]&gt;19,"Men's",IF(E2895&gt;15,"U19",IF(E2895&gt;13,"U15",IF(E2895&gt;11,"U13",IF(E2895&gt;0,"U11",0)))))</f>
        <v>0</v>
      </c>
      <c r="E2895" s="456">
        <f>IFERROR(IF(Table10[[#This Row],[Year]]&gt;0,$E$1-Table10[[#This Row],[Year]],0),"")</f>
        <v>0</v>
      </c>
      <c r="F2895" s="456"/>
      <c r="G2895" s="456"/>
      <c r="H2895" s="456"/>
    </row>
    <row r="2896" spans="1:8">
      <c r="A2896" s="456">
        <v>3893</v>
      </c>
      <c r="B2896" s="469" t="s">
        <v>4452</v>
      </c>
      <c r="C2896" s="458" t="s">
        <v>250</v>
      </c>
      <c r="D2896" s="456">
        <f>IF(Table10[[#This Row],[Current Age]]&gt;19,"Men's",IF(E2896&gt;15,"U19",IF(E2896&gt;13,"U15",IF(E2896&gt;11,"U13",IF(E2896&gt;0,"U11",0)))))</f>
        <v>0</v>
      </c>
      <c r="E2896" s="456">
        <f>IFERROR(IF(Table10[[#This Row],[Year]]&gt;0,$E$1-Table10[[#This Row],[Year]],0),"")</f>
        <v>0</v>
      </c>
      <c r="F2896" s="456"/>
      <c r="G2896" s="456"/>
      <c r="H2896" s="456"/>
    </row>
    <row r="2897" spans="1:8">
      <c r="A2897" s="471">
        <v>3894</v>
      </c>
      <c r="B2897" s="493" t="s">
        <v>4453</v>
      </c>
      <c r="C2897" s="472" t="s">
        <v>250</v>
      </c>
      <c r="D2897" s="456">
        <f>IF(Table10[[#This Row],[Current Age]]&gt;19,"Men's",IF(E2897&gt;15,"U19",IF(E2897&gt;13,"U15",IF(E2897&gt;11,"U13",IF(E2897&gt;0,"U11",0)))))</f>
        <v>0</v>
      </c>
      <c r="E2897" s="456">
        <f>IFERROR(IF(Table10[[#This Row],[Year]]&gt;0,$E$1-Table10[[#This Row],[Year]],0),"")</f>
        <v>0</v>
      </c>
      <c r="F2897" s="456"/>
      <c r="G2897" s="456"/>
      <c r="H2897" s="456"/>
    </row>
    <row r="2898" spans="1:8">
      <c r="A2898" s="456">
        <v>3895</v>
      </c>
      <c r="B2898" s="469" t="s">
        <v>4454</v>
      </c>
      <c r="C2898" s="458" t="s">
        <v>250</v>
      </c>
      <c r="D2898" s="456">
        <f>IF(Table10[[#This Row],[Current Age]]&gt;19,"Men's",IF(E2898&gt;15,"U19",IF(E2898&gt;13,"U15",IF(E2898&gt;11,"U13",IF(E2898&gt;0,"U11",0)))))</f>
        <v>0</v>
      </c>
      <c r="E2898" s="456">
        <f>IFERROR(IF(Table10[[#This Row],[Year]]&gt;0,$E$1-Table10[[#This Row],[Year]],0),"")</f>
        <v>0</v>
      </c>
      <c r="F2898" s="456"/>
      <c r="G2898" s="456"/>
      <c r="H2898" s="456"/>
    </row>
    <row r="2899" spans="1:8">
      <c r="A2899" s="471">
        <v>3896</v>
      </c>
      <c r="B2899" s="493" t="s">
        <v>4455</v>
      </c>
      <c r="C2899" s="472" t="s">
        <v>250</v>
      </c>
      <c r="D2899" s="456">
        <f>IF(Table10[[#This Row],[Current Age]]&gt;19,"Men's",IF(E2899&gt;15,"U19",IF(E2899&gt;13,"U15",IF(E2899&gt;11,"U13",IF(E2899&gt;0,"U11",0)))))</f>
        <v>0</v>
      </c>
      <c r="E2899" s="456">
        <f>IFERROR(IF(Table10[[#This Row],[Year]]&gt;0,$E$1-Table10[[#This Row],[Year]],0),"")</f>
        <v>0</v>
      </c>
      <c r="F2899" s="456"/>
      <c r="G2899" s="456"/>
      <c r="H2899" s="456"/>
    </row>
    <row r="2900" spans="1:8">
      <c r="A2900" s="456">
        <v>3897</v>
      </c>
      <c r="B2900" s="469" t="s">
        <v>4456</v>
      </c>
      <c r="C2900" s="458" t="s">
        <v>250</v>
      </c>
      <c r="D2900" s="456">
        <f>IF(Table10[[#This Row],[Current Age]]&gt;19,"Men's",IF(E2900&gt;15,"U19",IF(E2900&gt;13,"U15",IF(E2900&gt;11,"U13",IF(E2900&gt;0,"U11",0)))))</f>
        <v>0</v>
      </c>
      <c r="E2900" s="456">
        <f>IFERROR(IF(Table10[[#This Row],[Year]]&gt;0,$E$1-Table10[[#This Row],[Year]],0),"")</f>
        <v>0</v>
      </c>
      <c r="F2900" s="456"/>
      <c r="G2900" s="456"/>
      <c r="H2900" s="456"/>
    </row>
    <row r="2901" spans="1:8">
      <c r="A2901" s="471">
        <v>3898</v>
      </c>
      <c r="B2901" s="493" t="s">
        <v>4457</v>
      </c>
      <c r="C2901" s="472" t="s">
        <v>250</v>
      </c>
      <c r="D2901" s="456">
        <f>IF(Table10[[#This Row],[Current Age]]&gt;19,"Men's",IF(E2901&gt;15,"U19",IF(E2901&gt;13,"U15",IF(E2901&gt;11,"U13",IF(E2901&gt;0,"U11",0)))))</f>
        <v>0</v>
      </c>
      <c r="E2901" s="456">
        <f>IFERROR(IF(Table10[[#This Row],[Year]]&gt;0,$E$1-Table10[[#This Row],[Year]],0),"")</f>
        <v>0</v>
      </c>
      <c r="F2901" s="456"/>
      <c r="G2901" s="456"/>
      <c r="H2901" s="456"/>
    </row>
    <row r="2902" spans="1:8">
      <c r="A2902" s="456">
        <v>3899</v>
      </c>
      <c r="B2902" s="469" t="s">
        <v>4458</v>
      </c>
      <c r="C2902" s="458" t="s">
        <v>250</v>
      </c>
      <c r="D2902" s="456">
        <f>IF(Table10[[#This Row],[Current Age]]&gt;19,"Men's",IF(E2902&gt;15,"U19",IF(E2902&gt;13,"U15",IF(E2902&gt;11,"U13",IF(E2902&gt;0,"U11",0)))))</f>
        <v>0</v>
      </c>
      <c r="E2902" s="456">
        <f>IFERROR(IF(Table10[[#This Row],[Year]]&gt;0,$E$1-Table10[[#This Row],[Year]],0),"")</f>
        <v>0</v>
      </c>
      <c r="F2902" s="456"/>
      <c r="G2902" s="456"/>
      <c r="H2902" s="456"/>
    </row>
    <row r="2903" spans="1:8">
      <c r="A2903" s="471">
        <v>3900</v>
      </c>
      <c r="B2903" s="493" t="s">
        <v>4459</v>
      </c>
      <c r="C2903" s="472" t="s">
        <v>250</v>
      </c>
      <c r="D2903" s="456" t="str">
        <f>IF(Table10[[#This Row],[Current Age]]&gt;19,"Men's",IF(E2903&gt;15,"U19",IF(E2903&gt;13,"U15",IF(E2903&gt;11,"U13",IF(E2903&gt;0,"U11",0)))))</f>
        <v>U15</v>
      </c>
      <c r="E2903" s="456">
        <f>IFERROR(IF(Table10[[#This Row],[Year]]&gt;0,$E$1-Table10[[#This Row],[Year]],0),"")</f>
        <v>15</v>
      </c>
      <c r="F2903" s="456">
        <v>2010</v>
      </c>
      <c r="G2903" s="456">
        <v>5</v>
      </c>
      <c r="H2903" s="456">
        <v>24</v>
      </c>
    </row>
    <row r="2904" spans="1:8">
      <c r="A2904" s="456">
        <v>3901</v>
      </c>
      <c r="B2904" s="469" t="s">
        <v>4460</v>
      </c>
      <c r="C2904" s="458" t="s">
        <v>250</v>
      </c>
      <c r="D2904" s="456">
        <f>IF(Table10[[#This Row],[Current Age]]&gt;19,"Men's",IF(E2904&gt;15,"U19",IF(E2904&gt;13,"U15",IF(E2904&gt;11,"U13",IF(E2904&gt;0,"U11",0)))))</f>
        <v>0</v>
      </c>
      <c r="E2904" s="456">
        <f>IFERROR(IF(Table10[[#This Row],[Year]]&gt;0,$E$1-Table10[[#This Row],[Year]],0),"")</f>
        <v>0</v>
      </c>
      <c r="F2904" s="456"/>
      <c r="G2904" s="456"/>
      <c r="H2904" s="456"/>
    </row>
    <row r="2905" spans="1:8">
      <c r="A2905" s="471">
        <v>3902</v>
      </c>
      <c r="B2905" s="493" t="s">
        <v>4461</v>
      </c>
      <c r="C2905" s="472" t="s">
        <v>250</v>
      </c>
      <c r="D2905" s="456" t="str">
        <f>IF(Table10[[#This Row],[Current Age]]&gt;19,"Men's",IF(E2905&gt;15,"U19",IF(E2905&gt;13,"U15",IF(E2905&gt;11,"U13",IF(E2905&gt;0,"U11",0)))))</f>
        <v>U19</v>
      </c>
      <c r="E2905" s="456">
        <f>IFERROR(IF(Table10[[#This Row],[Year]]&gt;0,$E$1-Table10[[#This Row],[Year]],0),"")</f>
        <v>17</v>
      </c>
      <c r="F2905" s="456">
        <v>2008</v>
      </c>
      <c r="G2905" s="456">
        <v>7</v>
      </c>
      <c r="H2905" s="456">
        <v>17</v>
      </c>
    </row>
    <row r="2906" spans="1:8">
      <c r="A2906" s="456">
        <v>3903</v>
      </c>
      <c r="B2906" s="469" t="s">
        <v>4462</v>
      </c>
      <c r="C2906" s="458" t="s">
        <v>250</v>
      </c>
      <c r="D2906" s="456" t="str">
        <f>IF(Table10[[#This Row],[Current Age]]&gt;19,"Men's",IF(E2906&gt;15,"U19",IF(E2906&gt;13,"U15",IF(E2906&gt;11,"U13",IF(E2906&gt;0,"U11",0)))))</f>
        <v>U19</v>
      </c>
      <c r="E2906" s="456">
        <f>IFERROR(IF(Table10[[#This Row],[Year]]&gt;0,$E$1-Table10[[#This Row],[Year]],0),"")</f>
        <v>16</v>
      </c>
      <c r="F2906" s="456">
        <v>2009</v>
      </c>
      <c r="G2906" s="456">
        <v>8</v>
      </c>
      <c r="H2906" s="456">
        <v>31</v>
      </c>
    </row>
    <row r="2907" spans="1:8">
      <c r="A2907" s="471">
        <v>3904</v>
      </c>
      <c r="B2907" s="493" t="s">
        <v>4463</v>
      </c>
      <c r="C2907" s="472" t="s">
        <v>250</v>
      </c>
      <c r="D2907" s="456" t="str">
        <f>IF(Table10[[#This Row],[Current Age]]&gt;19,"Men's",IF(E2907&gt;15,"U19",IF(E2907&gt;13,"U15",IF(E2907&gt;11,"U13",IF(E2907&gt;0,"U11",0)))))</f>
        <v>U19</v>
      </c>
      <c r="E2907" s="456">
        <f>IFERROR(IF(Table10[[#This Row],[Year]]&gt;0,$E$1-Table10[[#This Row],[Year]],0),"")</f>
        <v>17</v>
      </c>
      <c r="F2907" s="456">
        <v>2008</v>
      </c>
      <c r="G2907" s="456">
        <v>1</v>
      </c>
      <c r="H2907" s="456">
        <v>17</v>
      </c>
    </row>
    <row r="2908" spans="1:8">
      <c r="A2908" s="456">
        <v>3905</v>
      </c>
      <c r="B2908" s="469" t="s">
        <v>4464</v>
      </c>
      <c r="C2908" s="458" t="s">
        <v>250</v>
      </c>
      <c r="D2908" s="456" t="str">
        <f>IF(Table10[[#This Row],[Current Age]]&gt;19,"Men's",IF(E2908&gt;15,"U19",IF(E2908&gt;13,"U15",IF(E2908&gt;11,"U13",IF(E2908&gt;0,"U11",0)))))</f>
        <v>Men's</v>
      </c>
      <c r="E2908" s="456">
        <f>IFERROR(IF(Table10[[#This Row],[Year]]&gt;0,$E$1-Table10[[#This Row],[Year]],0),"")</f>
        <v>24</v>
      </c>
      <c r="F2908" s="456">
        <v>2001</v>
      </c>
      <c r="G2908" s="456">
        <v>1</v>
      </c>
      <c r="H2908" s="456">
        <v>28</v>
      </c>
    </row>
    <row r="2909" spans="1:8">
      <c r="A2909" s="471">
        <v>3906</v>
      </c>
      <c r="B2909" s="493" t="s">
        <v>4465</v>
      </c>
      <c r="C2909" s="472" t="s">
        <v>250</v>
      </c>
      <c r="D2909" s="456" t="str">
        <f>IF(Table10[[#This Row],[Current Age]]&gt;19,"Men's",IF(E2909&gt;15,"U19",IF(E2909&gt;13,"U15",IF(E2909&gt;11,"U13",IF(E2909&gt;0,"U11",0)))))</f>
        <v>Men's</v>
      </c>
      <c r="E2909" s="456">
        <f>IFERROR(IF(Table10[[#This Row],[Year]]&gt;0,$E$1-Table10[[#This Row],[Year]],0),"")</f>
        <v>40</v>
      </c>
      <c r="F2909" s="456">
        <v>1985</v>
      </c>
      <c r="G2909" s="456">
        <v>6</v>
      </c>
      <c r="H2909" s="456">
        <v>15</v>
      </c>
    </row>
    <row r="2910" spans="1:8">
      <c r="A2910" s="456">
        <v>3907</v>
      </c>
      <c r="B2910" s="469" t="s">
        <v>4476</v>
      </c>
      <c r="C2910" s="458" t="s">
        <v>4552</v>
      </c>
      <c r="D2910" s="456">
        <f>IF(Table10[[#This Row],[Current Age]]&gt;19,"Men's",IF(E2910&gt;15,"U19",IF(E2910&gt;13,"U15",IF(E2910&gt;11,"U13",IF(E2910&gt;0,"U11",0)))))</f>
        <v>0</v>
      </c>
      <c r="E2910" s="456">
        <f>IFERROR(IF(Table10[[#This Row],[Year]]&gt;0,$E$1-Table10[[#This Row],[Year]],0),"")</f>
        <v>0</v>
      </c>
      <c r="F2910" s="456"/>
      <c r="G2910" s="456"/>
      <c r="H2910" s="456"/>
    </row>
    <row r="2911" spans="1:8">
      <c r="A2911" s="471">
        <v>3908</v>
      </c>
      <c r="B2911" s="493" t="s">
        <v>4477</v>
      </c>
      <c r="C2911" s="472" t="s">
        <v>4552</v>
      </c>
      <c r="D2911" s="456">
        <f>IF(Table10[[#This Row],[Current Age]]&gt;19,"Men's",IF(E2911&gt;15,"U19",IF(E2911&gt;13,"U15",IF(E2911&gt;11,"U13",IF(E2911&gt;0,"U11",0)))))</f>
        <v>0</v>
      </c>
      <c r="E2911" s="456">
        <f>IFERROR(IF(Table10[[#This Row],[Year]]&gt;0,$E$1-Table10[[#This Row],[Year]],0),"")</f>
        <v>0</v>
      </c>
      <c r="F2911" s="456"/>
      <c r="G2911" s="456"/>
      <c r="H2911" s="456"/>
    </row>
    <row r="2912" spans="1:8">
      <c r="A2912" s="456">
        <v>3909</v>
      </c>
      <c r="B2912" s="469" t="s">
        <v>4478</v>
      </c>
      <c r="C2912" s="458" t="s">
        <v>4552</v>
      </c>
      <c r="D2912" s="456">
        <f>IF(Table10[[#This Row],[Current Age]]&gt;19,"Men's",IF(E2912&gt;15,"U19",IF(E2912&gt;13,"U15",IF(E2912&gt;11,"U13",IF(E2912&gt;0,"U11",0)))))</f>
        <v>0</v>
      </c>
      <c r="E2912" s="456">
        <f>IFERROR(IF(Table10[[#This Row],[Year]]&gt;0,$E$1-Table10[[#This Row],[Year]],0),"")</f>
        <v>0</v>
      </c>
      <c r="F2912" s="456"/>
      <c r="G2912" s="456"/>
      <c r="H2912" s="456"/>
    </row>
    <row r="2913" spans="1:8">
      <c r="A2913" s="471">
        <v>3910</v>
      </c>
      <c r="B2913" s="493" t="s">
        <v>4479</v>
      </c>
      <c r="C2913" s="472" t="s">
        <v>4552</v>
      </c>
      <c r="D2913" s="456">
        <f>IF(Table10[[#This Row],[Current Age]]&gt;19,"Men's",IF(E2913&gt;15,"U19",IF(E2913&gt;13,"U15",IF(E2913&gt;11,"U13",IF(E2913&gt;0,"U11",0)))))</f>
        <v>0</v>
      </c>
      <c r="E2913" s="456">
        <f>IFERROR(IF(Table10[[#This Row],[Year]]&gt;0,$E$1-Table10[[#This Row],[Year]],0),"")</f>
        <v>0</v>
      </c>
      <c r="F2913" s="456"/>
      <c r="G2913" s="456"/>
      <c r="H2913" s="456"/>
    </row>
    <row r="2914" spans="1:8">
      <c r="A2914" s="456">
        <v>3911</v>
      </c>
      <c r="B2914" s="469" t="s">
        <v>4480</v>
      </c>
      <c r="C2914" s="458" t="s">
        <v>4552</v>
      </c>
      <c r="D2914" s="456">
        <f>IF(Table10[[#This Row],[Current Age]]&gt;19,"Men's",IF(E2914&gt;15,"U19",IF(E2914&gt;13,"U15",IF(E2914&gt;11,"U13",IF(E2914&gt;0,"U11",0)))))</f>
        <v>0</v>
      </c>
      <c r="E2914" s="456">
        <f>IFERROR(IF(Table10[[#This Row],[Year]]&gt;0,$E$1-Table10[[#This Row],[Year]],0),"")</f>
        <v>0</v>
      </c>
      <c r="F2914" s="456"/>
      <c r="G2914" s="456"/>
      <c r="H2914" s="456"/>
    </row>
    <row r="2915" spans="1:8">
      <c r="A2915" s="471">
        <v>3912</v>
      </c>
      <c r="B2915" s="493" t="s">
        <v>4487</v>
      </c>
      <c r="C2915" s="472" t="s">
        <v>4552</v>
      </c>
      <c r="D2915" s="456">
        <f>IF(Table10[[#This Row],[Current Age]]&gt;19,"Men's",IF(E2915&gt;15,"U19",IF(E2915&gt;13,"U15",IF(E2915&gt;11,"U13",IF(E2915&gt;0,"U11",0)))))</f>
        <v>0</v>
      </c>
      <c r="E2915" s="456">
        <f>IFERROR(IF(Table10[[#This Row],[Year]]&gt;0,$E$1-Table10[[#This Row],[Year]],0),"")</f>
        <v>0</v>
      </c>
      <c r="F2915" s="456"/>
      <c r="G2915" s="456"/>
      <c r="H2915" s="456"/>
    </row>
    <row r="2916" spans="1:8">
      <c r="A2916" s="456">
        <v>3913</v>
      </c>
      <c r="B2916" s="469" t="s">
        <v>4488</v>
      </c>
      <c r="C2916" s="458" t="s">
        <v>4552</v>
      </c>
      <c r="D2916" s="456">
        <f>IF(Table10[[#This Row],[Current Age]]&gt;19,"Men's",IF(E2916&gt;15,"U19",IF(E2916&gt;13,"U15",IF(E2916&gt;11,"U13",IF(E2916&gt;0,"U11",0)))))</f>
        <v>0</v>
      </c>
      <c r="E2916" s="456">
        <f>IFERROR(IF(Table10[[#This Row],[Year]]&gt;0,$E$1-Table10[[#This Row],[Year]],0),"")</f>
        <v>0</v>
      </c>
      <c r="F2916" s="456"/>
      <c r="G2916" s="456"/>
      <c r="H2916" s="456"/>
    </row>
    <row r="2917" spans="1:8">
      <c r="A2917" s="471">
        <v>3914</v>
      </c>
      <c r="B2917" s="493" t="s">
        <v>4489</v>
      </c>
      <c r="C2917" s="472" t="s">
        <v>4552</v>
      </c>
      <c r="D2917" s="456">
        <f>IF(Table10[[#This Row],[Current Age]]&gt;19,"Men's",IF(E2917&gt;15,"U19",IF(E2917&gt;13,"U15",IF(E2917&gt;11,"U13",IF(E2917&gt;0,"U11",0)))))</f>
        <v>0</v>
      </c>
      <c r="E2917" s="456">
        <f>IFERROR(IF(Table10[[#This Row],[Year]]&gt;0,$E$1-Table10[[#This Row],[Year]],0),"")</f>
        <v>0</v>
      </c>
      <c r="F2917" s="456"/>
      <c r="G2917" s="456"/>
      <c r="H2917" s="456"/>
    </row>
    <row r="2918" spans="1:8">
      <c r="A2918" s="456">
        <v>3915</v>
      </c>
      <c r="B2918" s="469" t="s">
        <v>4490</v>
      </c>
      <c r="C2918" s="458" t="s">
        <v>4552</v>
      </c>
      <c r="D2918" s="456">
        <f>IF(Table10[[#This Row],[Current Age]]&gt;19,"Men's",IF(E2918&gt;15,"U19",IF(E2918&gt;13,"U15",IF(E2918&gt;11,"U13",IF(E2918&gt;0,"U11",0)))))</f>
        <v>0</v>
      </c>
      <c r="E2918" s="456">
        <f>IFERROR(IF(Table10[[#This Row],[Year]]&gt;0,$E$1-Table10[[#This Row],[Year]],0),"")</f>
        <v>0</v>
      </c>
      <c r="F2918" s="456"/>
      <c r="G2918" s="456"/>
      <c r="H2918" s="456"/>
    </row>
    <row r="2919" spans="1:8">
      <c r="A2919" s="471">
        <v>3916</v>
      </c>
      <c r="B2919" s="493" t="s">
        <v>4491</v>
      </c>
      <c r="C2919" s="472" t="s">
        <v>4552</v>
      </c>
      <c r="D2919" s="456">
        <f>IF(Table10[[#This Row],[Current Age]]&gt;19,"Men's",IF(E2919&gt;15,"U19",IF(E2919&gt;13,"U15",IF(E2919&gt;11,"U13",IF(E2919&gt;0,"U11",0)))))</f>
        <v>0</v>
      </c>
      <c r="E2919" s="456">
        <f>IFERROR(IF(Table10[[#This Row],[Year]]&gt;0,$E$1-Table10[[#This Row],[Year]],0),"")</f>
        <v>0</v>
      </c>
      <c r="F2919" s="456"/>
      <c r="G2919" s="456"/>
      <c r="H2919" s="456"/>
    </row>
    <row r="2920" spans="1:8">
      <c r="A2920" s="456">
        <v>3917</v>
      </c>
      <c r="B2920" s="469" t="s">
        <v>4493</v>
      </c>
      <c r="C2920" s="458" t="s">
        <v>4552</v>
      </c>
      <c r="D2920" s="456">
        <f>IF(Table10[[#This Row],[Current Age]]&gt;19,"Men's",IF(E2920&gt;15,"U19",IF(E2920&gt;13,"U15",IF(E2920&gt;11,"U13",IF(E2920&gt;0,"U11",0)))))</f>
        <v>0</v>
      </c>
      <c r="E2920" s="456">
        <f>IFERROR(IF(Table10[[#This Row],[Year]]&gt;0,$E$1-Table10[[#This Row],[Year]],0),"")</f>
        <v>0</v>
      </c>
      <c r="F2920" s="456"/>
      <c r="G2920" s="456"/>
      <c r="H2920" s="456"/>
    </row>
    <row r="2921" spans="1:8">
      <c r="A2921" s="471">
        <v>3918</v>
      </c>
      <c r="B2921" s="493" t="s">
        <v>4494</v>
      </c>
      <c r="C2921" s="472" t="s">
        <v>4552</v>
      </c>
      <c r="D2921" s="456">
        <f>IF(Table10[[#This Row],[Current Age]]&gt;19,"Men's",IF(E2921&gt;15,"U19",IF(E2921&gt;13,"U15",IF(E2921&gt;11,"U13",IF(E2921&gt;0,"U11",0)))))</f>
        <v>0</v>
      </c>
      <c r="E2921" s="456">
        <f>IFERROR(IF(Table10[[#This Row],[Year]]&gt;0,$E$1-Table10[[#This Row],[Year]],0),"")</f>
        <v>0</v>
      </c>
      <c r="F2921" s="456"/>
      <c r="G2921" s="456"/>
      <c r="H2921" s="456"/>
    </row>
    <row r="2922" spans="1:8">
      <c r="A2922" s="456">
        <v>3919</v>
      </c>
      <c r="B2922" s="469" t="s">
        <v>4496</v>
      </c>
      <c r="C2922" s="458" t="s">
        <v>4552</v>
      </c>
      <c r="D2922" s="456">
        <f>IF(Table10[[#This Row],[Current Age]]&gt;19,"Men's",IF(E2922&gt;15,"U19",IF(E2922&gt;13,"U15",IF(E2922&gt;11,"U13",IF(E2922&gt;0,"U11",0)))))</f>
        <v>0</v>
      </c>
      <c r="E2922" s="456">
        <f>IFERROR(IF(Table10[[#This Row],[Year]]&gt;0,$E$1-Table10[[#This Row],[Year]],0),"")</f>
        <v>0</v>
      </c>
      <c r="F2922" s="456"/>
      <c r="G2922" s="456"/>
      <c r="H2922" s="456"/>
    </row>
    <row r="2923" spans="1:8">
      <c r="A2923" s="471">
        <v>3920</v>
      </c>
      <c r="B2923" s="493" t="s">
        <v>4497</v>
      </c>
      <c r="C2923" s="472" t="s">
        <v>4552</v>
      </c>
      <c r="D2923" s="456">
        <f>IF(Table10[[#This Row],[Current Age]]&gt;19,"Men's",IF(E2923&gt;15,"U19",IF(E2923&gt;13,"U15",IF(E2923&gt;11,"U13",IF(E2923&gt;0,"U11",0)))))</f>
        <v>0</v>
      </c>
      <c r="E2923" s="456">
        <f>IFERROR(IF(Table10[[#This Row],[Year]]&gt;0,$E$1-Table10[[#This Row],[Year]],0),"")</f>
        <v>0</v>
      </c>
      <c r="F2923" s="456"/>
      <c r="G2923" s="456"/>
      <c r="H2923" s="456"/>
    </row>
    <row r="2924" spans="1:8">
      <c r="A2924" s="456">
        <v>3921</v>
      </c>
      <c r="B2924" s="469" t="s">
        <v>4498</v>
      </c>
      <c r="C2924" s="458" t="s">
        <v>4552</v>
      </c>
      <c r="D2924" s="456">
        <f>IF(Table10[[#This Row],[Current Age]]&gt;19,"Men's",IF(E2924&gt;15,"U19",IF(E2924&gt;13,"U15",IF(E2924&gt;11,"U13",IF(E2924&gt;0,"U11",0)))))</f>
        <v>0</v>
      </c>
      <c r="E2924" s="456">
        <f>IFERROR(IF(Table10[[#This Row],[Year]]&gt;0,$E$1-Table10[[#This Row],[Year]],0),"")</f>
        <v>0</v>
      </c>
      <c r="F2924" s="456"/>
      <c r="G2924" s="456"/>
      <c r="H2924" s="456"/>
    </row>
    <row r="2925" spans="1:8">
      <c r="A2925" s="471">
        <v>3922</v>
      </c>
      <c r="B2925" s="495" t="s">
        <v>6080</v>
      </c>
      <c r="C2925" s="470" t="s">
        <v>3750</v>
      </c>
      <c r="D2925" s="456">
        <f>IF(Table10[[#This Row],[Current Age]]&gt;19,"Men's",IF(E2925&gt;15,"U19",IF(E2925&gt;13,"U15",IF(E2925&gt;11,"U13",IF(E2925&gt;0,"U11",0)))))</f>
        <v>0</v>
      </c>
      <c r="E2925" s="456">
        <f>IFERROR(IF(Table10[[#This Row],[Year]]&gt;0,$E$1-Table10[[#This Row],[Year]],0),"")</f>
        <v>0</v>
      </c>
      <c r="F2925" s="456"/>
      <c r="G2925" s="456"/>
      <c r="H2925" s="456"/>
    </row>
    <row r="2926" spans="1:8">
      <c r="A2926" s="471">
        <v>3923</v>
      </c>
      <c r="B2926" s="493" t="s">
        <v>4499</v>
      </c>
      <c r="C2926" s="472" t="s">
        <v>4552</v>
      </c>
      <c r="D2926" s="456">
        <f>IF(Table10[[#This Row],[Current Age]]&gt;19,"Men's",IF(E2926&gt;15,"U19",IF(E2926&gt;13,"U15",IF(E2926&gt;11,"U13",IF(E2926&gt;0,"U11",0)))))</f>
        <v>0</v>
      </c>
      <c r="E2926" s="456">
        <f>IFERROR(IF(Table10[[#This Row],[Year]]&gt;0,$E$1-Table10[[#This Row],[Year]],0),"")</f>
        <v>0</v>
      </c>
      <c r="F2926" s="456"/>
      <c r="G2926" s="456"/>
      <c r="H2926" s="456"/>
    </row>
    <row r="2927" spans="1:8">
      <c r="A2927" s="456">
        <v>3924</v>
      </c>
      <c r="B2927" s="469" t="s">
        <v>4502</v>
      </c>
      <c r="C2927" s="458" t="s">
        <v>4720</v>
      </c>
      <c r="D2927" s="456">
        <f>IF(Table10[[#This Row],[Current Age]]&gt;19,"Men's",IF(E2927&gt;15,"U19",IF(E2927&gt;13,"U15",IF(E2927&gt;11,"U13",IF(E2927&gt;0,"U11",0)))))</f>
        <v>0</v>
      </c>
      <c r="E2927" s="456">
        <f>IFERROR(IF(Table10[[#This Row],[Year]]&gt;0,$E$1-Table10[[#This Row],[Year]],0),"")</f>
        <v>0</v>
      </c>
      <c r="F2927" s="456"/>
      <c r="G2927" s="456"/>
      <c r="H2927" s="456"/>
    </row>
    <row r="2928" spans="1:8">
      <c r="A2928" s="471">
        <v>3925</v>
      </c>
      <c r="B2928" s="493" t="s">
        <v>4503</v>
      </c>
      <c r="C2928" s="472" t="s">
        <v>4720</v>
      </c>
      <c r="D2928" s="456">
        <f>IF(Table10[[#This Row],[Current Age]]&gt;19,"Men's",IF(E2928&gt;15,"U19",IF(E2928&gt;13,"U15",IF(E2928&gt;11,"U13",IF(E2928&gt;0,"U11",0)))))</f>
        <v>0</v>
      </c>
      <c r="E2928" s="456">
        <f>IFERROR(IF(Table10[[#This Row],[Year]]&gt;0,$E$1-Table10[[#This Row],[Year]],0),"")</f>
        <v>0</v>
      </c>
      <c r="F2928" s="456"/>
      <c r="G2928" s="456"/>
      <c r="H2928" s="456"/>
    </row>
    <row r="2929" spans="1:8">
      <c r="A2929" s="456">
        <v>3926</v>
      </c>
      <c r="B2929" s="469" t="s">
        <v>4505</v>
      </c>
      <c r="C2929" s="458" t="s">
        <v>4720</v>
      </c>
      <c r="D2929" s="456">
        <f>IF(Table10[[#This Row],[Current Age]]&gt;19,"Men's",IF(E2929&gt;15,"U19",IF(E2929&gt;13,"U15",IF(E2929&gt;11,"U13",IF(E2929&gt;0,"U11",0)))))</f>
        <v>0</v>
      </c>
      <c r="E2929" s="456">
        <f>IFERROR(IF(Table10[[#This Row],[Year]]&gt;0,$E$1-Table10[[#This Row],[Year]],0),"")</f>
        <v>0</v>
      </c>
      <c r="F2929" s="456"/>
      <c r="G2929" s="456"/>
      <c r="H2929" s="456"/>
    </row>
    <row r="2930" spans="1:8">
      <c r="A2930" s="471">
        <v>3927</v>
      </c>
      <c r="B2930" s="493" t="s">
        <v>4506</v>
      </c>
      <c r="C2930" s="472" t="s">
        <v>4720</v>
      </c>
      <c r="D2930" s="456">
        <f>IF(Table10[[#This Row],[Current Age]]&gt;19,"Men's",IF(E2930&gt;15,"U19",IF(E2930&gt;13,"U15",IF(E2930&gt;11,"U13",IF(E2930&gt;0,"U11",0)))))</f>
        <v>0</v>
      </c>
      <c r="E2930" s="456">
        <f>IFERROR(IF(Table10[[#This Row],[Year]]&gt;0,$E$1-Table10[[#This Row],[Year]],0),"")</f>
        <v>0</v>
      </c>
      <c r="F2930" s="456"/>
      <c r="G2930" s="456"/>
      <c r="H2930" s="456"/>
    </row>
    <row r="2931" spans="1:8">
      <c r="A2931" s="456">
        <v>3928</v>
      </c>
      <c r="B2931" s="469" t="s">
        <v>4507</v>
      </c>
      <c r="C2931" s="458" t="s">
        <v>4720</v>
      </c>
      <c r="D2931" s="456">
        <f>IF(Table10[[#This Row],[Current Age]]&gt;19,"Men's",IF(E2931&gt;15,"U19",IF(E2931&gt;13,"U15",IF(E2931&gt;11,"U13",IF(E2931&gt;0,"U11",0)))))</f>
        <v>0</v>
      </c>
      <c r="E2931" s="456">
        <f>IFERROR(IF(Table10[[#This Row],[Year]]&gt;0,$E$1-Table10[[#This Row],[Year]],0),"")</f>
        <v>0</v>
      </c>
      <c r="F2931" s="456"/>
      <c r="G2931" s="456"/>
      <c r="H2931" s="456"/>
    </row>
    <row r="2932" spans="1:8">
      <c r="A2932" s="471">
        <v>3929</v>
      </c>
      <c r="B2932" s="493" t="s">
        <v>4508</v>
      </c>
      <c r="C2932" s="472" t="s">
        <v>4720</v>
      </c>
      <c r="D2932" s="456" t="str">
        <f>IF(Table10[[#This Row],[Current Age]]&gt;19,"Men's",IF(E2932&gt;15,"U19",IF(E2932&gt;13,"U15",IF(E2932&gt;11,"U13",IF(E2932&gt;0,"U11",0)))))</f>
        <v>U15</v>
      </c>
      <c r="E2932" s="456">
        <f>IFERROR(IF(Table10[[#This Row],[Year]]&gt;0,$E$1-Table10[[#This Row],[Year]],0),"")</f>
        <v>14</v>
      </c>
      <c r="F2932" s="456">
        <v>2011</v>
      </c>
      <c r="G2932" s="456">
        <v>10</v>
      </c>
      <c r="H2932" s="456">
        <v>18</v>
      </c>
    </row>
    <row r="2933" spans="1:8">
      <c r="A2933" s="456">
        <v>3930</v>
      </c>
      <c r="B2933" s="469" t="s">
        <v>4510</v>
      </c>
      <c r="C2933" s="458" t="s">
        <v>244</v>
      </c>
      <c r="D2933" s="456" t="str">
        <f>IF(Table10[[#This Row],[Current Age]]&gt;19,"Men's",IF(E2933&gt;15,"U19",IF(E2933&gt;13,"U15",IF(E2933&gt;11,"U13",IF(E2933&gt;0,"U11",0)))))</f>
        <v>U19</v>
      </c>
      <c r="E2933" s="456">
        <f>IFERROR(IF(Table10[[#This Row],[Year]]&gt;0,$E$1-Table10[[#This Row],[Year]],0),"")</f>
        <v>16</v>
      </c>
      <c r="F2933" s="456">
        <v>2009</v>
      </c>
      <c r="G2933" s="456">
        <v>6</v>
      </c>
      <c r="H2933" s="456">
        <v>19</v>
      </c>
    </row>
    <row r="2934" spans="1:8">
      <c r="A2934" s="471">
        <v>3931</v>
      </c>
      <c r="B2934" s="493" t="s">
        <v>4511</v>
      </c>
      <c r="C2934" s="472" t="s">
        <v>4720</v>
      </c>
      <c r="D2934" s="456">
        <f>IF(Table10[[#This Row],[Current Age]]&gt;19,"Men's",IF(E2934&gt;15,"U19",IF(E2934&gt;13,"U15",IF(E2934&gt;11,"U13",IF(E2934&gt;0,"U11",0)))))</f>
        <v>0</v>
      </c>
      <c r="E2934" s="456">
        <f>IFERROR(IF(Table10[[#This Row],[Year]]&gt;0,$E$1-Table10[[#This Row],[Year]],0),"")</f>
        <v>0</v>
      </c>
      <c r="F2934" s="456"/>
      <c r="G2934" s="456"/>
      <c r="H2934" s="456"/>
    </row>
    <row r="2935" spans="1:8">
      <c r="A2935" s="456">
        <v>3932</v>
      </c>
      <c r="B2935" s="469" t="s">
        <v>4512</v>
      </c>
      <c r="C2935" s="458" t="s">
        <v>4720</v>
      </c>
      <c r="D2935" s="456">
        <f>IF(Table10[[#This Row],[Current Age]]&gt;19,"Men's",IF(E2935&gt;15,"U19",IF(E2935&gt;13,"U15",IF(E2935&gt;11,"U13",IF(E2935&gt;0,"U11",0)))))</f>
        <v>0</v>
      </c>
      <c r="E2935" s="456">
        <f>IFERROR(IF(Table10[[#This Row],[Year]]&gt;0,$E$1-Table10[[#This Row],[Year]],0),"")</f>
        <v>0</v>
      </c>
      <c r="F2935" s="456"/>
      <c r="G2935" s="456"/>
      <c r="H2935" s="456"/>
    </row>
    <row r="2936" spans="1:8">
      <c r="A2936" s="471">
        <v>3933</v>
      </c>
      <c r="B2936" s="493" t="s">
        <v>4513</v>
      </c>
      <c r="C2936" s="472" t="s">
        <v>4720</v>
      </c>
      <c r="D2936" s="456">
        <f>IF(Table10[[#This Row],[Current Age]]&gt;19,"Men's",IF(E2936&gt;15,"U19",IF(E2936&gt;13,"U15",IF(E2936&gt;11,"U13",IF(E2936&gt;0,"U11",0)))))</f>
        <v>0</v>
      </c>
      <c r="E2936" s="456">
        <f>IFERROR(IF(Table10[[#This Row],[Year]]&gt;0,$E$1-Table10[[#This Row],[Year]],0),"")</f>
        <v>0</v>
      </c>
      <c r="F2936" s="456"/>
      <c r="G2936" s="456"/>
      <c r="H2936" s="456"/>
    </row>
    <row r="2937" spans="1:8">
      <c r="A2937" s="456">
        <v>3934</v>
      </c>
      <c r="B2937" s="469" t="s">
        <v>4514</v>
      </c>
      <c r="C2937" s="458" t="s">
        <v>4720</v>
      </c>
      <c r="D2937" s="456">
        <f>IF(Table10[[#This Row],[Current Age]]&gt;19,"Men's",IF(E2937&gt;15,"U19",IF(E2937&gt;13,"U15",IF(E2937&gt;11,"U13",IF(E2937&gt;0,"U11",0)))))</f>
        <v>0</v>
      </c>
      <c r="E2937" s="456">
        <f>IFERROR(IF(Table10[[#This Row],[Year]]&gt;0,$E$1-Table10[[#This Row],[Year]],0),"")</f>
        <v>0</v>
      </c>
      <c r="F2937" s="456"/>
      <c r="G2937" s="456"/>
      <c r="H2937" s="456"/>
    </row>
    <row r="2938" spans="1:8">
      <c r="A2938" s="471">
        <v>3935</v>
      </c>
      <c r="B2938" s="493" t="s">
        <v>6133</v>
      </c>
      <c r="C2938" s="472" t="s">
        <v>4720</v>
      </c>
      <c r="D2938" s="456" t="str">
        <f>IF(Table10[[#This Row],[Current Age]]&gt;19,"Men's",IF(E2938&gt;15,"U19",IF(E2938&gt;13,"U15",IF(E2938&gt;11,"U13",IF(E2938&gt;0,"U11",0)))))</f>
        <v>U19</v>
      </c>
      <c r="E2938" s="456">
        <f>IFERROR(IF(Table10[[#This Row],[Year]]&gt;0,$E$1-Table10[[#This Row],[Year]],0),"")</f>
        <v>17</v>
      </c>
      <c r="F2938" s="456">
        <v>2008</v>
      </c>
      <c r="G2938" s="456">
        <v>3</v>
      </c>
      <c r="H2938" s="456">
        <v>23</v>
      </c>
    </row>
    <row r="2939" spans="1:8">
      <c r="A2939" s="456">
        <v>3936</v>
      </c>
      <c r="B2939" s="469" t="s">
        <v>4519</v>
      </c>
      <c r="C2939" s="458" t="s">
        <v>361</v>
      </c>
      <c r="D2939" s="456">
        <f>IF(Table10[[#This Row],[Current Age]]&gt;19,"Men's",IF(E2939&gt;15,"U19",IF(E2939&gt;13,"U15",IF(E2939&gt;11,"U13",IF(E2939&gt;0,"U11",0)))))</f>
        <v>0</v>
      </c>
      <c r="E2939" s="456">
        <f>IFERROR(IF(Table10[[#This Row],[Year]]&gt;0,$E$1-Table10[[#This Row],[Year]],0),"")</f>
        <v>0</v>
      </c>
      <c r="F2939" s="456"/>
      <c r="G2939" s="456"/>
      <c r="H2939" s="456"/>
    </row>
    <row r="2940" spans="1:8">
      <c r="A2940" s="471">
        <v>3937</v>
      </c>
      <c r="B2940" s="493" t="s">
        <v>4520</v>
      </c>
      <c r="C2940" s="472" t="s">
        <v>361</v>
      </c>
      <c r="D2940" s="456">
        <f>IF(Table10[[#This Row],[Current Age]]&gt;19,"Men's",IF(E2940&gt;15,"U19",IF(E2940&gt;13,"U15",IF(E2940&gt;11,"U13",IF(E2940&gt;0,"U11",0)))))</f>
        <v>0</v>
      </c>
      <c r="E2940" s="456">
        <f>IFERROR(IF(Table10[[#This Row],[Year]]&gt;0,$E$1-Table10[[#This Row],[Year]],0),"")</f>
        <v>0</v>
      </c>
      <c r="F2940" s="456"/>
      <c r="G2940" s="456"/>
      <c r="H2940" s="456"/>
    </row>
    <row r="2941" spans="1:8">
      <c r="A2941" s="456">
        <v>3938</v>
      </c>
      <c r="B2941" s="469" t="s">
        <v>4521</v>
      </c>
      <c r="C2941" s="458" t="s">
        <v>361</v>
      </c>
      <c r="D2941" s="456">
        <f>IF(Table10[[#This Row],[Current Age]]&gt;19,"Men's",IF(E2941&gt;15,"U19",IF(E2941&gt;13,"U15",IF(E2941&gt;11,"U13",IF(E2941&gt;0,"U11",0)))))</f>
        <v>0</v>
      </c>
      <c r="E2941" s="456">
        <f>IFERROR(IF(Table10[[#This Row],[Year]]&gt;0,$E$1-Table10[[#This Row],[Year]],0),"")</f>
        <v>0</v>
      </c>
      <c r="F2941" s="456"/>
      <c r="G2941" s="456"/>
      <c r="H2941" s="456"/>
    </row>
    <row r="2942" spans="1:8">
      <c r="A2942" s="471">
        <v>3939</v>
      </c>
      <c r="B2942" s="493" t="s">
        <v>4522</v>
      </c>
      <c r="C2942" s="472" t="s">
        <v>361</v>
      </c>
      <c r="D2942" s="456">
        <f>IF(Table10[[#This Row],[Current Age]]&gt;19,"Men's",IF(E2942&gt;15,"U19",IF(E2942&gt;13,"U15",IF(E2942&gt;11,"U13",IF(E2942&gt;0,"U11",0)))))</f>
        <v>0</v>
      </c>
      <c r="E2942" s="456">
        <f>IFERROR(IF(Table10[[#This Row],[Year]]&gt;0,$E$1-Table10[[#This Row],[Year]],0),"")</f>
        <v>0</v>
      </c>
      <c r="F2942" s="456"/>
      <c r="G2942" s="456"/>
      <c r="H2942" s="456"/>
    </row>
    <row r="2943" spans="1:8">
      <c r="A2943" s="456">
        <v>3940</v>
      </c>
      <c r="B2943" s="469" t="s">
        <v>4523</v>
      </c>
      <c r="C2943" s="458" t="s">
        <v>361</v>
      </c>
      <c r="D2943" s="456">
        <f>IF(Table10[[#This Row],[Current Age]]&gt;19,"Men's",IF(E2943&gt;15,"U19",IF(E2943&gt;13,"U15",IF(E2943&gt;11,"U13",IF(E2943&gt;0,"U11",0)))))</f>
        <v>0</v>
      </c>
      <c r="E2943" s="456">
        <f>IFERROR(IF(Table10[[#This Row],[Year]]&gt;0,$E$1-Table10[[#This Row],[Year]],0),"")</f>
        <v>0</v>
      </c>
      <c r="F2943" s="456"/>
      <c r="G2943" s="456"/>
      <c r="H2943" s="456"/>
    </row>
    <row r="2944" spans="1:8">
      <c r="A2944" s="471">
        <v>3941</v>
      </c>
      <c r="B2944" s="493" t="s">
        <v>4524</v>
      </c>
      <c r="C2944" s="472" t="s">
        <v>361</v>
      </c>
      <c r="D2944" s="456">
        <f>IF(Table10[[#This Row],[Current Age]]&gt;19,"Men's",IF(E2944&gt;15,"U19",IF(E2944&gt;13,"U15",IF(E2944&gt;11,"U13",IF(E2944&gt;0,"U11",0)))))</f>
        <v>0</v>
      </c>
      <c r="E2944" s="456">
        <f>IFERROR(IF(Table10[[#This Row],[Year]]&gt;0,$E$1-Table10[[#This Row],[Year]],0),"")</f>
        <v>0</v>
      </c>
      <c r="F2944" s="456"/>
      <c r="G2944" s="456"/>
      <c r="H2944" s="456"/>
    </row>
    <row r="2945" spans="1:8">
      <c r="A2945" s="456">
        <v>3942</v>
      </c>
      <c r="B2945" s="469" t="s">
        <v>4533</v>
      </c>
      <c r="C2945" s="458" t="s">
        <v>3027</v>
      </c>
      <c r="D2945" s="456">
        <f>IF(Table10[[#This Row],[Current Age]]&gt;19,"Men's",IF(E2945&gt;15,"U19",IF(E2945&gt;13,"U15",IF(E2945&gt;11,"U13",IF(E2945&gt;0,"U11",0)))))</f>
        <v>0</v>
      </c>
      <c r="E2945" s="456">
        <f>IFERROR(IF(Table10[[#This Row],[Year]]&gt;0,$E$1-Table10[[#This Row],[Year]],0),"")</f>
        <v>0</v>
      </c>
      <c r="F2945" s="456"/>
      <c r="G2945" s="456"/>
      <c r="H2945" s="456"/>
    </row>
    <row r="2946" spans="1:8">
      <c r="A2946" s="471">
        <v>3943</v>
      </c>
      <c r="B2946" s="493" t="s">
        <v>4532</v>
      </c>
      <c r="C2946" s="472" t="s">
        <v>3027</v>
      </c>
      <c r="D2946" s="456">
        <f>IF(Table10[[#This Row],[Current Age]]&gt;19,"Men's",IF(E2946&gt;15,"U19",IF(E2946&gt;13,"U15",IF(E2946&gt;11,"U13",IF(E2946&gt;0,"U11",0)))))</f>
        <v>0</v>
      </c>
      <c r="E2946" s="456">
        <f>IFERROR(IF(Table10[[#This Row],[Year]]&gt;0,$E$1-Table10[[#This Row],[Year]],0),"")</f>
        <v>0</v>
      </c>
      <c r="F2946" s="456"/>
      <c r="G2946" s="456"/>
      <c r="H2946" s="456"/>
    </row>
    <row r="2947" spans="1:8">
      <c r="A2947" s="456">
        <v>3944</v>
      </c>
      <c r="B2947" s="469" t="s">
        <v>4531</v>
      </c>
      <c r="C2947" s="458" t="s">
        <v>3027</v>
      </c>
      <c r="D2947" s="456">
        <f>IF(Table10[[#This Row],[Current Age]]&gt;19,"Men's",IF(E2947&gt;15,"U19",IF(E2947&gt;13,"U15",IF(E2947&gt;11,"U13",IF(E2947&gt;0,"U11",0)))))</f>
        <v>0</v>
      </c>
      <c r="E2947" s="456">
        <f>IFERROR(IF(Table10[[#This Row],[Year]]&gt;0,$E$1-Table10[[#This Row],[Year]],0),"")</f>
        <v>0</v>
      </c>
      <c r="F2947" s="456"/>
      <c r="G2947" s="456"/>
      <c r="H2947" s="456"/>
    </row>
    <row r="2948" spans="1:8">
      <c r="A2948" s="471">
        <v>3945</v>
      </c>
      <c r="B2948" s="493" t="s">
        <v>4530</v>
      </c>
      <c r="C2948" s="472" t="s">
        <v>3027</v>
      </c>
      <c r="D2948" s="456">
        <f>IF(Table10[[#This Row],[Current Age]]&gt;19,"Men's",IF(E2948&gt;15,"U19",IF(E2948&gt;13,"U15",IF(E2948&gt;11,"U13",IF(E2948&gt;0,"U11",0)))))</f>
        <v>0</v>
      </c>
      <c r="E2948" s="456">
        <f>IFERROR(IF(Table10[[#This Row],[Year]]&gt;0,$E$1-Table10[[#This Row],[Year]],0),"")</f>
        <v>0</v>
      </c>
      <c r="F2948" s="456"/>
      <c r="G2948" s="456"/>
      <c r="H2948" s="456"/>
    </row>
    <row r="2949" spans="1:8">
      <c r="A2949" s="456">
        <v>3946</v>
      </c>
      <c r="B2949" s="469" t="s">
        <v>4529</v>
      </c>
      <c r="C2949" s="458" t="s">
        <v>3027</v>
      </c>
      <c r="D2949" s="456">
        <f>IF(Table10[[#This Row],[Current Age]]&gt;19,"Men's",IF(E2949&gt;15,"U19",IF(E2949&gt;13,"U15",IF(E2949&gt;11,"U13",IF(E2949&gt;0,"U11",0)))))</f>
        <v>0</v>
      </c>
      <c r="E2949" s="456">
        <f>IFERROR(IF(Table10[[#This Row],[Year]]&gt;0,$E$1-Table10[[#This Row],[Year]],0),"")</f>
        <v>0</v>
      </c>
      <c r="F2949" s="456"/>
      <c r="G2949" s="456"/>
      <c r="H2949" s="456"/>
    </row>
    <row r="2950" spans="1:8">
      <c r="A2950" s="471">
        <v>3947</v>
      </c>
      <c r="B2950" s="493" t="s">
        <v>4528</v>
      </c>
      <c r="C2950" s="472" t="s">
        <v>3027</v>
      </c>
      <c r="D2950" s="456">
        <f>IF(Table10[[#This Row],[Current Age]]&gt;19,"Men's",IF(E2950&gt;15,"U19",IF(E2950&gt;13,"U15",IF(E2950&gt;11,"U13",IF(E2950&gt;0,"U11",0)))))</f>
        <v>0</v>
      </c>
      <c r="E2950" s="456">
        <f>IFERROR(IF(Table10[[#This Row],[Year]]&gt;0,$E$1-Table10[[#This Row],[Year]],0),"")</f>
        <v>0</v>
      </c>
      <c r="F2950" s="456"/>
      <c r="G2950" s="456"/>
      <c r="H2950" s="456"/>
    </row>
    <row r="2951" spans="1:8">
      <c r="A2951" s="456">
        <v>3948</v>
      </c>
      <c r="B2951" s="469" t="s">
        <v>4527</v>
      </c>
      <c r="C2951" s="458" t="s">
        <v>3027</v>
      </c>
      <c r="D2951" s="456">
        <f>IF(Table10[[#This Row],[Current Age]]&gt;19,"Men's",IF(E2951&gt;15,"U19",IF(E2951&gt;13,"U15",IF(E2951&gt;11,"U13",IF(E2951&gt;0,"U11",0)))))</f>
        <v>0</v>
      </c>
      <c r="E2951" s="456">
        <f>IFERROR(IF(Table10[[#This Row],[Year]]&gt;0,$E$1-Table10[[#This Row],[Year]],0),"")</f>
        <v>0</v>
      </c>
      <c r="F2951" s="456"/>
      <c r="G2951" s="456"/>
      <c r="H2951" s="456"/>
    </row>
    <row r="2952" spans="1:8">
      <c r="A2952" s="471">
        <v>3949</v>
      </c>
      <c r="B2952" s="493" t="s">
        <v>4526</v>
      </c>
      <c r="C2952" s="472" t="s">
        <v>3027</v>
      </c>
      <c r="D2952" s="456">
        <f>IF(Table10[[#This Row],[Current Age]]&gt;19,"Men's",IF(E2952&gt;15,"U19",IF(E2952&gt;13,"U15",IF(E2952&gt;11,"U13",IF(E2952&gt;0,"U11",0)))))</f>
        <v>0</v>
      </c>
      <c r="E2952" s="456">
        <f>IFERROR(IF(Table10[[#This Row],[Year]]&gt;0,$E$1-Table10[[#This Row],[Year]],0),"")</f>
        <v>0</v>
      </c>
      <c r="F2952" s="456"/>
      <c r="G2952" s="456"/>
      <c r="H2952" s="456"/>
    </row>
    <row r="2953" spans="1:8">
      <c r="A2953" s="456">
        <v>3950</v>
      </c>
      <c r="B2953" s="469" t="s">
        <v>4525</v>
      </c>
      <c r="C2953" s="458" t="s">
        <v>3027</v>
      </c>
      <c r="D2953" s="456">
        <f>IF(Table10[[#This Row],[Current Age]]&gt;19,"Men's",IF(E2953&gt;15,"U19",IF(E2953&gt;13,"U15",IF(E2953&gt;11,"U13",IF(E2953&gt;0,"U11",0)))))</f>
        <v>0</v>
      </c>
      <c r="E2953" s="456">
        <f>IFERROR(IF(Table10[[#This Row],[Year]]&gt;0,$E$1-Table10[[#This Row],[Year]],0),"")</f>
        <v>0</v>
      </c>
      <c r="F2953" s="456"/>
      <c r="G2953" s="456"/>
      <c r="H2953" s="456"/>
    </row>
    <row r="2954" spans="1:8">
      <c r="A2954" s="471">
        <v>3951</v>
      </c>
      <c r="B2954" s="493" t="s">
        <v>4534</v>
      </c>
      <c r="C2954" s="472" t="s">
        <v>3027</v>
      </c>
      <c r="D2954" s="456">
        <f>IF(Table10[[#This Row],[Current Age]]&gt;19,"Men's",IF(E2954&gt;15,"U19",IF(E2954&gt;13,"U15",IF(E2954&gt;11,"U13",IF(E2954&gt;0,"U11",0)))))</f>
        <v>0</v>
      </c>
      <c r="E2954" s="456">
        <f>IFERROR(IF(Table10[[#This Row],[Year]]&gt;0,$E$1-Table10[[#This Row],[Year]],0),"")</f>
        <v>0</v>
      </c>
      <c r="F2954" s="456"/>
      <c r="G2954" s="456"/>
      <c r="H2954" s="456"/>
    </row>
    <row r="2955" spans="1:8">
      <c r="A2955" s="456">
        <v>3952</v>
      </c>
      <c r="B2955" s="469" t="s">
        <v>4535</v>
      </c>
      <c r="C2955" s="458" t="s">
        <v>3027</v>
      </c>
      <c r="D2955" s="456">
        <f>IF(Table10[[#This Row],[Current Age]]&gt;19,"Men's",IF(E2955&gt;15,"U19",IF(E2955&gt;13,"U15",IF(E2955&gt;11,"U13",IF(E2955&gt;0,"U11",0)))))</f>
        <v>0</v>
      </c>
      <c r="E2955" s="456">
        <f>IFERROR(IF(Table10[[#This Row],[Year]]&gt;0,$E$1-Table10[[#This Row],[Year]],0),"")</f>
        <v>0</v>
      </c>
      <c r="F2955" s="456"/>
      <c r="G2955" s="456"/>
      <c r="H2955" s="456"/>
    </row>
    <row r="2956" spans="1:8">
      <c r="A2956" s="471">
        <v>3953</v>
      </c>
      <c r="B2956" s="493" t="s">
        <v>4536</v>
      </c>
      <c r="C2956" s="472" t="s">
        <v>3027</v>
      </c>
      <c r="D2956" s="456">
        <f>IF(Table10[[#This Row],[Current Age]]&gt;19,"Men's",IF(E2956&gt;15,"U19",IF(E2956&gt;13,"U15",IF(E2956&gt;11,"U13",IF(E2956&gt;0,"U11",0)))))</f>
        <v>0</v>
      </c>
      <c r="E2956" s="456">
        <f>IFERROR(IF(Table10[[#This Row],[Year]]&gt;0,$E$1-Table10[[#This Row],[Year]],0),"")</f>
        <v>0</v>
      </c>
      <c r="F2956" s="456"/>
      <c r="G2956" s="456"/>
      <c r="H2956" s="456"/>
    </row>
    <row r="2957" spans="1:8">
      <c r="A2957" s="456">
        <v>3954</v>
      </c>
      <c r="B2957" s="469" t="s">
        <v>4537</v>
      </c>
      <c r="C2957" s="458" t="s">
        <v>362</v>
      </c>
      <c r="D2957" s="456">
        <f>IF(Table10[[#This Row],[Current Age]]&gt;19,"Men's",IF(E2957&gt;15,"U19",IF(E2957&gt;13,"U15",IF(E2957&gt;11,"U13",IF(E2957&gt;0,"U11",0)))))</f>
        <v>0</v>
      </c>
      <c r="E2957" s="456">
        <f>IFERROR(IF(Table10[[#This Row],[Year]]&gt;0,$E$1-Table10[[#This Row],[Year]],0),"")</f>
        <v>0</v>
      </c>
      <c r="F2957" s="456"/>
      <c r="G2957" s="456"/>
      <c r="H2957" s="456"/>
    </row>
    <row r="2958" spans="1:8">
      <c r="A2958" s="471">
        <v>3955</v>
      </c>
      <c r="B2958" s="493" t="s">
        <v>4538</v>
      </c>
      <c r="C2958" s="472" t="s">
        <v>362</v>
      </c>
      <c r="D2958" s="456">
        <f>IF(Table10[[#This Row],[Current Age]]&gt;19,"Men's",IF(E2958&gt;15,"U19",IF(E2958&gt;13,"U15",IF(E2958&gt;11,"U13",IF(E2958&gt;0,"U11",0)))))</f>
        <v>0</v>
      </c>
      <c r="E2958" s="456">
        <f>IFERROR(IF(Table10[[#This Row],[Year]]&gt;0,$E$1-Table10[[#This Row],[Year]],0),"")</f>
        <v>0</v>
      </c>
      <c r="F2958" s="456"/>
      <c r="G2958" s="456"/>
      <c r="H2958" s="456"/>
    </row>
    <row r="2959" spans="1:8">
      <c r="A2959" s="456">
        <v>3956</v>
      </c>
      <c r="B2959" s="469" t="s">
        <v>4539</v>
      </c>
      <c r="C2959" s="458" t="s">
        <v>362</v>
      </c>
      <c r="D2959" s="456">
        <f>IF(Table10[[#This Row],[Current Age]]&gt;19,"Men's",IF(E2959&gt;15,"U19",IF(E2959&gt;13,"U15",IF(E2959&gt;11,"U13",IF(E2959&gt;0,"U11",0)))))</f>
        <v>0</v>
      </c>
      <c r="E2959" s="456">
        <f>IFERROR(IF(Table10[[#This Row],[Year]]&gt;0,$E$1-Table10[[#This Row],[Year]],0),"")</f>
        <v>0</v>
      </c>
      <c r="F2959" s="456"/>
      <c r="G2959" s="456"/>
      <c r="H2959" s="456"/>
    </row>
    <row r="2960" spans="1:8">
      <c r="A2960" s="471">
        <v>3957</v>
      </c>
      <c r="B2960" s="493" t="s">
        <v>4540</v>
      </c>
      <c r="C2960" s="472" t="s">
        <v>3027</v>
      </c>
      <c r="D2960" s="456">
        <f>IF(Table10[[#This Row],[Current Age]]&gt;19,"Men's",IF(E2960&gt;15,"U19",IF(E2960&gt;13,"U15",IF(E2960&gt;11,"U13",IF(E2960&gt;0,"U11",0)))))</f>
        <v>0</v>
      </c>
      <c r="E2960" s="456">
        <f>IFERROR(IF(Table10[[#This Row],[Year]]&gt;0,$E$1-Table10[[#This Row],[Year]],0),"")</f>
        <v>0</v>
      </c>
      <c r="F2960" s="456"/>
      <c r="G2960" s="456"/>
      <c r="H2960" s="456"/>
    </row>
    <row r="2961" spans="1:8">
      <c r="A2961" s="456">
        <v>3958</v>
      </c>
      <c r="B2961" s="469" t="s">
        <v>4541</v>
      </c>
      <c r="C2961" s="458" t="s">
        <v>3027</v>
      </c>
      <c r="D2961" s="456">
        <f>IF(Table10[[#This Row],[Current Age]]&gt;19,"Men's",IF(E2961&gt;15,"U19",IF(E2961&gt;13,"U15",IF(E2961&gt;11,"U13",IF(E2961&gt;0,"U11",0)))))</f>
        <v>0</v>
      </c>
      <c r="E2961" s="456">
        <f>IFERROR(IF(Table10[[#This Row],[Year]]&gt;0,$E$1-Table10[[#This Row],[Year]],0),"")</f>
        <v>0</v>
      </c>
      <c r="F2961" s="456"/>
      <c r="G2961" s="456"/>
      <c r="H2961" s="456"/>
    </row>
    <row r="2962" spans="1:8">
      <c r="A2962" s="471">
        <v>3959</v>
      </c>
      <c r="B2962" s="493" t="s">
        <v>4542</v>
      </c>
      <c r="C2962" s="472" t="s">
        <v>3027</v>
      </c>
      <c r="D2962" s="456">
        <f>IF(Table10[[#This Row],[Current Age]]&gt;19,"Men's",IF(E2962&gt;15,"U19",IF(E2962&gt;13,"U15",IF(E2962&gt;11,"U13",IF(E2962&gt;0,"U11",0)))))</f>
        <v>0</v>
      </c>
      <c r="E2962" s="456">
        <f>IFERROR(IF(Table10[[#This Row],[Year]]&gt;0,$E$1-Table10[[#This Row],[Year]],0),"")</f>
        <v>0</v>
      </c>
      <c r="F2962" s="456"/>
      <c r="G2962" s="456"/>
      <c r="H2962" s="456"/>
    </row>
    <row r="2963" spans="1:8">
      <c r="A2963" s="456">
        <v>3960</v>
      </c>
      <c r="B2963" s="469" t="s">
        <v>4543</v>
      </c>
      <c r="C2963" s="458" t="s">
        <v>3027</v>
      </c>
      <c r="D2963" s="456">
        <f>IF(Table10[[#This Row],[Current Age]]&gt;19,"Men's",IF(E2963&gt;15,"U19",IF(E2963&gt;13,"U15",IF(E2963&gt;11,"U13",IF(E2963&gt;0,"U11",0)))))</f>
        <v>0</v>
      </c>
      <c r="E2963" s="456">
        <f>IFERROR(IF(Table10[[#This Row],[Year]]&gt;0,$E$1-Table10[[#This Row],[Year]],0),"")</f>
        <v>0</v>
      </c>
      <c r="F2963" s="456"/>
      <c r="G2963" s="456"/>
      <c r="H2963" s="456"/>
    </row>
    <row r="2964" spans="1:8">
      <c r="A2964" s="471">
        <v>3961</v>
      </c>
      <c r="B2964" s="493" t="s">
        <v>4544</v>
      </c>
      <c r="C2964" s="472" t="s">
        <v>3027</v>
      </c>
      <c r="D2964" s="456">
        <f>IF(Table10[[#This Row],[Current Age]]&gt;19,"Men's",IF(E2964&gt;15,"U19",IF(E2964&gt;13,"U15",IF(E2964&gt;11,"U13",IF(E2964&gt;0,"U11",0)))))</f>
        <v>0</v>
      </c>
      <c r="E2964" s="456">
        <f>IFERROR(IF(Table10[[#This Row],[Year]]&gt;0,$E$1-Table10[[#This Row],[Year]],0),"")</f>
        <v>0</v>
      </c>
      <c r="F2964" s="456"/>
      <c r="G2964" s="456"/>
      <c r="H2964" s="456"/>
    </row>
    <row r="2965" spans="1:8">
      <c r="A2965" s="456">
        <v>3962</v>
      </c>
      <c r="B2965" s="469" t="s">
        <v>4569</v>
      </c>
      <c r="C2965" s="458" t="s">
        <v>4658</v>
      </c>
      <c r="D2965" s="456" t="str">
        <f>IF(Table10[[#This Row],[Current Age]]&gt;19,"Men's",IF(E2965&gt;15,"U19",IF(E2965&gt;13,"U15",IF(E2965&gt;11,"U13",IF(E2965&gt;0,"U11",0)))))</f>
        <v>U11</v>
      </c>
      <c r="E2965" s="456">
        <f>IFERROR(IF(Table10[[#This Row],[Year]]&gt;0,$E$1-Table10[[#This Row],[Year]],0),"")</f>
        <v>11</v>
      </c>
      <c r="F2965" s="456">
        <v>2014</v>
      </c>
      <c r="G2965" s="456">
        <v>3</v>
      </c>
      <c r="H2965" s="456">
        <v>20</v>
      </c>
    </row>
    <row r="2966" spans="1:8">
      <c r="A2966" s="471">
        <v>3963</v>
      </c>
      <c r="B2966" s="493" t="s">
        <v>4570</v>
      </c>
      <c r="C2966" s="472" t="s">
        <v>4658</v>
      </c>
      <c r="D2966" s="456" t="str">
        <f>IF(Table10[[#This Row],[Current Age]]&gt;19,"Men's",IF(E2966&gt;15,"U19",IF(E2966&gt;13,"U15",IF(E2966&gt;11,"U13",IF(E2966&gt;0,"U11",0)))))</f>
        <v>U11</v>
      </c>
      <c r="E2966" s="456">
        <f>IFERROR(IF(Table10[[#This Row],[Year]]&gt;0,$E$1-Table10[[#This Row],[Year]],0),"")</f>
        <v>9</v>
      </c>
      <c r="F2966" s="456">
        <v>2016</v>
      </c>
      <c r="G2966" s="456">
        <v>3</v>
      </c>
      <c r="H2966" s="456">
        <v>26</v>
      </c>
    </row>
    <row r="2967" spans="1:8">
      <c r="A2967" s="456">
        <v>3964</v>
      </c>
      <c r="B2967" s="469" t="s">
        <v>4571</v>
      </c>
      <c r="C2967" s="458" t="s">
        <v>4658</v>
      </c>
      <c r="D2967" s="456">
        <f>IF(Table10[[#This Row],[Current Age]]&gt;19,"Men's",IF(E2967&gt;15,"U19",IF(E2967&gt;13,"U15",IF(E2967&gt;11,"U13",IF(E2967&gt;0,"U11",0)))))</f>
        <v>0</v>
      </c>
      <c r="E2967" s="456">
        <f>IFERROR(IF(Table10[[#This Row],[Year]]&gt;0,$E$1-Table10[[#This Row],[Year]],0),"")</f>
        <v>0</v>
      </c>
      <c r="F2967" s="456"/>
      <c r="G2967" s="456"/>
      <c r="H2967" s="456"/>
    </row>
    <row r="2968" spans="1:8">
      <c r="A2968" s="471">
        <v>3965</v>
      </c>
      <c r="B2968" s="493" t="s">
        <v>4572</v>
      </c>
      <c r="C2968" s="472" t="s">
        <v>4658</v>
      </c>
      <c r="D2968" s="456" t="str">
        <f>IF(Table10[[#This Row],[Current Age]]&gt;19,"Men's",IF(E2968&gt;15,"U19",IF(E2968&gt;13,"U15",IF(E2968&gt;11,"U13",IF(E2968&gt;0,"U11",0)))))</f>
        <v>U13</v>
      </c>
      <c r="E2968" s="456">
        <f>IFERROR(IF(Table10[[#This Row],[Year]]&gt;0,$E$1-Table10[[#This Row],[Year]],0),"")</f>
        <v>12</v>
      </c>
      <c r="F2968" s="456">
        <v>2013</v>
      </c>
      <c r="G2968" s="456">
        <v>4</v>
      </c>
      <c r="H2968" s="456">
        <v>26</v>
      </c>
    </row>
    <row r="2969" spans="1:8">
      <c r="A2969" s="456">
        <v>3966</v>
      </c>
      <c r="B2969" s="469" t="s">
        <v>4573</v>
      </c>
      <c r="C2969" s="458" t="s">
        <v>4658</v>
      </c>
      <c r="D2969" s="456" t="str">
        <f>IF(Table10[[#This Row],[Current Age]]&gt;19,"Men's",IF(E2969&gt;15,"U19",IF(E2969&gt;13,"U15",IF(E2969&gt;11,"U13",IF(E2969&gt;0,"U11",0)))))</f>
        <v>U15</v>
      </c>
      <c r="E2969" s="456">
        <f>IFERROR(IF(Table10[[#This Row],[Year]]&gt;0,$E$1-Table10[[#This Row],[Year]],0),"")</f>
        <v>14</v>
      </c>
      <c r="F2969" s="456">
        <v>2011</v>
      </c>
      <c r="G2969" s="456">
        <v>12</v>
      </c>
      <c r="H2969" s="456">
        <v>11</v>
      </c>
    </row>
    <row r="2970" spans="1:8">
      <c r="A2970" s="471">
        <v>3967</v>
      </c>
      <c r="B2970" s="493" t="s">
        <v>4574</v>
      </c>
      <c r="C2970" s="472" t="s">
        <v>4658</v>
      </c>
      <c r="D2970" s="456" t="str">
        <f>IF(Table10[[#This Row],[Current Age]]&gt;19,"Men's",IF(E2970&gt;15,"U19",IF(E2970&gt;13,"U15",IF(E2970&gt;11,"U13",IF(E2970&gt;0,"U11",0)))))</f>
        <v>U15</v>
      </c>
      <c r="E2970" s="456">
        <f>IFERROR(IF(Table10[[#This Row],[Year]]&gt;0,$E$1-Table10[[#This Row],[Year]],0),"")</f>
        <v>15</v>
      </c>
      <c r="F2970" s="456">
        <v>2010</v>
      </c>
      <c r="G2970" s="456">
        <v>12</v>
      </c>
      <c r="H2970" s="456">
        <v>24</v>
      </c>
    </row>
    <row r="2971" spans="1:8">
      <c r="A2971" s="456">
        <v>3968</v>
      </c>
      <c r="B2971" s="469" t="s">
        <v>4575</v>
      </c>
      <c r="C2971" s="458" t="s">
        <v>4658</v>
      </c>
      <c r="D2971" s="456">
        <f>IF(Table10[[#This Row],[Current Age]]&gt;19,"Men's",IF(E2971&gt;15,"U19",IF(E2971&gt;13,"U15",IF(E2971&gt;11,"U13",IF(E2971&gt;0,"U11",0)))))</f>
        <v>0</v>
      </c>
      <c r="E2971" s="456">
        <f>IFERROR(IF(Table10[[#This Row],[Year]]&gt;0,$E$1-Table10[[#This Row],[Year]],0),"")</f>
        <v>0</v>
      </c>
      <c r="F2971" s="456"/>
      <c r="G2971" s="456"/>
      <c r="H2971" s="456"/>
    </row>
    <row r="2972" spans="1:8">
      <c r="A2972" s="471">
        <v>3969</v>
      </c>
      <c r="B2972" s="493" t="s">
        <v>4576</v>
      </c>
      <c r="C2972" s="472" t="s">
        <v>4658</v>
      </c>
      <c r="D2972" s="456" t="str">
        <f>IF(Table10[[#This Row],[Current Age]]&gt;19,"Men's",IF(E2972&gt;15,"U19",IF(E2972&gt;13,"U15",IF(E2972&gt;11,"U13",IF(E2972&gt;0,"U11",0)))))</f>
        <v>U11</v>
      </c>
      <c r="E2972" s="456">
        <f>IFERROR(IF(Table10[[#This Row],[Year]]&gt;0,$E$1-Table10[[#This Row],[Year]],0),"")</f>
        <v>7</v>
      </c>
      <c r="F2972" s="456">
        <v>2018</v>
      </c>
      <c r="G2972" s="456">
        <v>10</v>
      </c>
      <c r="H2972" s="456">
        <v>5</v>
      </c>
    </row>
    <row r="2973" spans="1:8">
      <c r="A2973" s="456">
        <v>3970</v>
      </c>
      <c r="B2973" s="469" t="s">
        <v>4577</v>
      </c>
      <c r="C2973" s="458" t="s">
        <v>4658</v>
      </c>
      <c r="D2973" s="456" t="str">
        <f>IF(Table10[[#This Row],[Current Age]]&gt;19,"Men's",IF(E2973&gt;15,"U19",IF(E2973&gt;13,"U15",IF(E2973&gt;11,"U13",IF(E2973&gt;0,"U11",0)))))</f>
        <v>U19</v>
      </c>
      <c r="E2973" s="456">
        <f>IFERROR(IF(Table10[[#This Row],[Year]]&gt;0,$E$1-Table10[[#This Row],[Year]],0),"")</f>
        <v>16</v>
      </c>
      <c r="F2973" s="456">
        <v>2009</v>
      </c>
      <c r="G2973" s="456">
        <v>11</v>
      </c>
      <c r="H2973" s="456">
        <v>24</v>
      </c>
    </row>
    <row r="2974" spans="1:8">
      <c r="A2974" s="471">
        <v>3971</v>
      </c>
      <c r="B2974" s="493" t="s">
        <v>4578</v>
      </c>
      <c r="C2974" s="472" t="s">
        <v>4658</v>
      </c>
      <c r="D2974" s="456" t="str">
        <f>IF(Table10[[#This Row],[Current Age]]&gt;19,"Men's",IF(E2974&gt;15,"U19",IF(E2974&gt;13,"U15",IF(E2974&gt;11,"U13",IF(E2974&gt;0,"U11",0)))))</f>
        <v>U15</v>
      </c>
      <c r="E2974" s="456">
        <f>IFERROR(IF(Table10[[#This Row],[Year]]&gt;0,$E$1-Table10[[#This Row],[Year]],0),"")</f>
        <v>15</v>
      </c>
      <c r="F2974" s="456">
        <v>2010</v>
      </c>
      <c r="G2974" s="456">
        <v>10</v>
      </c>
      <c r="H2974" s="456">
        <v>29</v>
      </c>
    </row>
    <row r="2975" spans="1:8">
      <c r="A2975" s="456">
        <v>3972</v>
      </c>
      <c r="B2975" s="469" t="s">
        <v>4579</v>
      </c>
      <c r="C2975" s="458" t="s">
        <v>4658</v>
      </c>
      <c r="D2975" s="456" t="str">
        <f>IF(Table10[[#This Row],[Current Age]]&gt;19,"Men's",IF(E2975&gt;15,"U19",IF(E2975&gt;13,"U15",IF(E2975&gt;11,"U13",IF(E2975&gt;0,"U11",0)))))</f>
        <v>U15</v>
      </c>
      <c r="E2975" s="456">
        <f>IFERROR(IF(Table10[[#This Row],[Year]]&gt;0,$E$1-Table10[[#This Row],[Year]],0),"")</f>
        <v>15</v>
      </c>
      <c r="F2975" s="456">
        <v>2010</v>
      </c>
      <c r="G2975" s="456">
        <v>4</v>
      </c>
      <c r="H2975" s="456">
        <v>15</v>
      </c>
    </row>
    <row r="2976" spans="1:8">
      <c r="A2976" s="471">
        <v>3973</v>
      </c>
      <c r="B2976" s="493" t="s">
        <v>4580</v>
      </c>
      <c r="C2976" s="472" t="s">
        <v>4658</v>
      </c>
      <c r="D2976" s="456" t="str">
        <f>IF(Table10[[#This Row],[Current Age]]&gt;19,"Men's",IF(E2976&gt;15,"U19",IF(E2976&gt;13,"U15",IF(E2976&gt;11,"U13",IF(E2976&gt;0,"U11",0)))))</f>
        <v>U15</v>
      </c>
      <c r="E2976" s="456">
        <f>IFERROR(IF(Table10[[#This Row],[Year]]&gt;0,$E$1-Table10[[#This Row],[Year]],0),"")</f>
        <v>15</v>
      </c>
      <c r="F2976" s="456">
        <v>2010</v>
      </c>
      <c r="G2976" s="456">
        <v>9</v>
      </c>
      <c r="H2976" s="456">
        <v>19</v>
      </c>
    </row>
    <row r="2977" spans="1:8">
      <c r="A2977" s="456">
        <v>3974</v>
      </c>
      <c r="B2977" s="469" t="s">
        <v>4581</v>
      </c>
      <c r="C2977" s="458" t="s">
        <v>4658</v>
      </c>
      <c r="D2977" s="456" t="str">
        <f>IF(Table10[[#This Row],[Current Age]]&gt;19,"Men's",IF(E2977&gt;15,"U19",IF(E2977&gt;13,"U15",IF(E2977&gt;11,"U13",IF(E2977&gt;0,"U11",0)))))</f>
        <v>U19</v>
      </c>
      <c r="E2977" s="456">
        <f>IFERROR(IF(Table10[[#This Row],[Year]]&gt;0,$E$1-Table10[[#This Row],[Year]],0),"")</f>
        <v>17</v>
      </c>
      <c r="F2977" s="456">
        <v>2008</v>
      </c>
      <c r="G2977" s="456">
        <v>1</v>
      </c>
      <c r="H2977" s="456">
        <v>15</v>
      </c>
    </row>
    <row r="2978" spans="1:8">
      <c r="A2978" s="471">
        <v>3975</v>
      </c>
      <c r="B2978" s="493" t="s">
        <v>4582</v>
      </c>
      <c r="C2978" s="472" t="s">
        <v>4658</v>
      </c>
      <c r="D2978" s="456" t="str">
        <f>IF(Table10[[#This Row],[Current Age]]&gt;19,"Men's",IF(E2978&gt;15,"U19",IF(E2978&gt;13,"U15",IF(E2978&gt;11,"U13",IF(E2978&gt;0,"U11",0)))))</f>
        <v>U19</v>
      </c>
      <c r="E2978" s="456">
        <f>IFERROR(IF(Table10[[#This Row],[Year]]&gt;0,$E$1-Table10[[#This Row],[Year]],0),"")</f>
        <v>17</v>
      </c>
      <c r="F2978" s="456">
        <v>2008</v>
      </c>
      <c r="G2978" s="456">
        <v>9</v>
      </c>
      <c r="H2978" s="456">
        <v>21</v>
      </c>
    </row>
    <row r="2979" spans="1:8">
      <c r="A2979" s="456">
        <v>3976</v>
      </c>
      <c r="B2979" s="469" t="s">
        <v>4583</v>
      </c>
      <c r="C2979" s="458" t="s">
        <v>4658</v>
      </c>
      <c r="D2979" s="456" t="str">
        <f>IF(Table10[[#This Row],[Current Age]]&gt;19,"Men's",IF(E2979&gt;15,"U19",IF(E2979&gt;13,"U15",IF(E2979&gt;11,"U13",IF(E2979&gt;0,"U11",0)))))</f>
        <v>U19</v>
      </c>
      <c r="E2979" s="456">
        <f>IFERROR(IF(Table10[[#This Row],[Year]]&gt;0,$E$1-Table10[[#This Row],[Year]],0),"")</f>
        <v>18</v>
      </c>
      <c r="F2979" s="456">
        <v>2007</v>
      </c>
      <c r="G2979" s="456">
        <v>12</v>
      </c>
      <c r="H2979" s="456">
        <v>21</v>
      </c>
    </row>
    <row r="2980" spans="1:8">
      <c r="A2980" s="471">
        <v>3977</v>
      </c>
      <c r="B2980" s="493" t="s">
        <v>4584</v>
      </c>
      <c r="C2980" s="472" t="s">
        <v>4658</v>
      </c>
      <c r="D2980" s="456" t="str">
        <f>IF(Table10[[#This Row],[Current Age]]&gt;19,"Men's",IF(E2980&gt;15,"U19",IF(E2980&gt;13,"U15",IF(E2980&gt;11,"U13",IF(E2980&gt;0,"U11",0)))))</f>
        <v>U19</v>
      </c>
      <c r="E2980" s="456">
        <f>IFERROR(IF(Table10[[#This Row],[Year]]&gt;0,$E$1-Table10[[#This Row],[Year]],0),"")</f>
        <v>18</v>
      </c>
      <c r="F2980" s="456">
        <v>2007</v>
      </c>
      <c r="G2980" s="456">
        <v>8</v>
      </c>
      <c r="H2980" s="456">
        <v>8</v>
      </c>
    </row>
    <row r="2981" spans="1:8">
      <c r="A2981" s="456">
        <v>3978</v>
      </c>
      <c r="B2981" s="469" t="s">
        <v>4585</v>
      </c>
      <c r="C2981" s="458" t="s">
        <v>4658</v>
      </c>
      <c r="D2981" s="456" t="str">
        <f>IF(Table10[[#This Row],[Current Age]]&gt;19,"Men's",IF(E2981&gt;15,"U19",IF(E2981&gt;13,"U15",IF(E2981&gt;11,"U13",IF(E2981&gt;0,"U11",0)))))</f>
        <v>U19</v>
      </c>
      <c r="E2981" s="456">
        <f>IFERROR(IF(Table10[[#This Row],[Year]]&gt;0,$E$1-Table10[[#This Row],[Year]],0),"")</f>
        <v>16</v>
      </c>
      <c r="F2981" s="456">
        <v>2009</v>
      </c>
      <c r="G2981" s="456">
        <v>7</v>
      </c>
      <c r="H2981" s="456">
        <v>24</v>
      </c>
    </row>
    <row r="2982" spans="1:8">
      <c r="A2982" s="471">
        <v>3979</v>
      </c>
      <c r="B2982" s="493" t="s">
        <v>4587</v>
      </c>
      <c r="C2982" s="472" t="s">
        <v>4658</v>
      </c>
      <c r="D2982" s="456" t="str">
        <f>IF(Table10[[#This Row],[Current Age]]&gt;19,"Men's",IF(E2982&gt;15,"U19",IF(E2982&gt;13,"U15",IF(E2982&gt;11,"U13",IF(E2982&gt;0,"U11",0)))))</f>
        <v>Men's</v>
      </c>
      <c r="E2982" s="456">
        <f>IFERROR(IF(Table10[[#This Row],[Year]]&gt;0,$E$1-Table10[[#This Row],[Year]],0),"")</f>
        <v>40</v>
      </c>
      <c r="F2982" s="456">
        <v>1985</v>
      </c>
      <c r="G2982" s="456">
        <v>3</v>
      </c>
      <c r="H2982" s="456">
        <v>6</v>
      </c>
    </row>
    <row r="2983" spans="1:8">
      <c r="A2983" s="456">
        <v>3980</v>
      </c>
      <c r="B2983" s="469" t="s">
        <v>4588</v>
      </c>
      <c r="C2983" s="458" t="s">
        <v>4658</v>
      </c>
      <c r="D2983" s="456" t="str">
        <f>IF(Table10[[#This Row],[Current Age]]&gt;19,"Men's",IF(E2983&gt;15,"U19",IF(E2983&gt;13,"U15",IF(E2983&gt;11,"U13",IF(E2983&gt;0,"U11",0)))))</f>
        <v>U19</v>
      </c>
      <c r="E2983" s="456">
        <f>IFERROR(IF(Table10[[#This Row],[Year]]&gt;0,$E$1-Table10[[#This Row],[Year]],0),"")</f>
        <v>17</v>
      </c>
      <c r="F2983" s="456">
        <v>2008</v>
      </c>
      <c r="G2983" s="456">
        <v>9</v>
      </c>
      <c r="H2983" s="456">
        <v>24</v>
      </c>
    </row>
    <row r="2984" spans="1:8">
      <c r="A2984" s="471">
        <v>3981</v>
      </c>
      <c r="B2984" s="493" t="s">
        <v>4590</v>
      </c>
      <c r="C2984" s="472" t="s">
        <v>4658</v>
      </c>
      <c r="D2984" s="456" t="str">
        <f>IF(Table10[[#This Row],[Current Age]]&gt;19,"Men's",IF(E2984&gt;15,"U19",IF(E2984&gt;13,"U15",IF(E2984&gt;11,"U13",IF(E2984&gt;0,"U11",0)))))</f>
        <v>U19</v>
      </c>
      <c r="E2984" s="456">
        <f>IFERROR(IF(Table10[[#This Row],[Year]]&gt;0,$E$1-Table10[[#This Row],[Year]],0),"")</f>
        <v>16</v>
      </c>
      <c r="F2984" s="456">
        <v>2009</v>
      </c>
      <c r="G2984" s="456">
        <v>12</v>
      </c>
      <c r="H2984" s="456">
        <v>7</v>
      </c>
    </row>
    <row r="2985" spans="1:8">
      <c r="A2985" s="456">
        <v>3982</v>
      </c>
      <c r="B2985" s="469" t="s">
        <v>4591</v>
      </c>
      <c r="C2985" s="458" t="s">
        <v>4658</v>
      </c>
      <c r="D2985" s="456" t="str">
        <f>IF(Table10[[#This Row],[Current Age]]&gt;19,"Men's",IF(E2985&gt;15,"U19",IF(E2985&gt;13,"U15",IF(E2985&gt;11,"U13",IF(E2985&gt;0,"U11",0)))))</f>
        <v>U19</v>
      </c>
      <c r="E2985" s="456">
        <f>IFERROR(IF(Table10[[#This Row],[Year]]&gt;0,$E$1-Table10[[#This Row],[Year]],0),"")</f>
        <v>17</v>
      </c>
      <c r="F2985" s="456">
        <v>2008</v>
      </c>
      <c r="G2985" s="456">
        <v>6</v>
      </c>
      <c r="H2985" s="456">
        <v>17</v>
      </c>
    </row>
    <row r="2986" spans="1:8">
      <c r="A2986" s="471">
        <v>3983</v>
      </c>
      <c r="B2986" s="493" t="s">
        <v>4593</v>
      </c>
      <c r="C2986" s="472" t="s">
        <v>4658</v>
      </c>
      <c r="D2986" s="456" t="str">
        <f>IF(Table10[[#This Row],[Current Age]]&gt;19,"Men's",IF(E2986&gt;15,"U19",IF(E2986&gt;13,"U15",IF(E2986&gt;11,"U13",IF(E2986&gt;0,"U11",0)))))</f>
        <v>U19</v>
      </c>
      <c r="E2986" s="456">
        <f>IFERROR(IF(Table10[[#This Row],[Year]]&gt;0,$E$1-Table10[[#This Row],[Year]],0),"")</f>
        <v>17</v>
      </c>
      <c r="F2986" s="456">
        <v>2008</v>
      </c>
      <c r="G2986" s="456">
        <v>5</v>
      </c>
      <c r="H2986" s="456">
        <v>5</v>
      </c>
    </row>
    <row r="2987" spans="1:8">
      <c r="A2987" s="456">
        <v>3984</v>
      </c>
      <c r="B2987" s="469" t="s">
        <v>4595</v>
      </c>
      <c r="C2987" s="458" t="s">
        <v>4658</v>
      </c>
      <c r="D2987" s="456" t="str">
        <f>IF(Table10[[#This Row],[Current Age]]&gt;19,"Men's",IF(E2987&gt;15,"U19",IF(E2987&gt;13,"U15",IF(E2987&gt;11,"U13",IF(E2987&gt;0,"U11",0)))))</f>
        <v>U15</v>
      </c>
      <c r="E2987" s="456">
        <f>IFERROR(IF(Table10[[#This Row],[Year]]&gt;0,$E$1-Table10[[#This Row],[Year]],0),"")</f>
        <v>15</v>
      </c>
      <c r="F2987" s="456">
        <v>2010</v>
      </c>
      <c r="G2987" s="456">
        <v>2</v>
      </c>
      <c r="H2987" s="456">
        <v>10</v>
      </c>
    </row>
    <row r="2988" spans="1:8">
      <c r="A2988" s="471">
        <v>3985</v>
      </c>
      <c r="B2988" s="493" t="s">
        <v>4596</v>
      </c>
      <c r="C2988" s="472" t="s">
        <v>4658</v>
      </c>
      <c r="D2988" s="456" t="str">
        <f>IF(Table10[[#This Row],[Current Age]]&gt;19,"Men's",IF(E2988&gt;15,"U19",IF(E2988&gt;13,"U15",IF(E2988&gt;11,"U13",IF(E2988&gt;0,"U11",0)))))</f>
        <v>Men's</v>
      </c>
      <c r="E2988" s="456">
        <f>IFERROR(IF(Table10[[#This Row],[Year]]&gt;0,$E$1-Table10[[#This Row],[Year]],0),"")</f>
        <v>20</v>
      </c>
      <c r="F2988" s="456">
        <v>2005</v>
      </c>
      <c r="G2988" s="456">
        <v>11</v>
      </c>
      <c r="H2988" s="456">
        <v>23</v>
      </c>
    </row>
    <row r="2989" spans="1:8">
      <c r="A2989" s="456">
        <v>3986</v>
      </c>
      <c r="B2989" s="469" t="s">
        <v>4599</v>
      </c>
      <c r="C2989" s="458" t="s">
        <v>4658</v>
      </c>
      <c r="D2989" s="456" t="str">
        <f>IF(Table10[[#This Row],[Current Age]]&gt;19,"Men's",IF(E2989&gt;15,"U19",IF(E2989&gt;13,"U15",IF(E2989&gt;11,"U13",IF(E2989&gt;0,"U11",0)))))</f>
        <v>Men's</v>
      </c>
      <c r="E2989" s="456">
        <f>IFERROR(IF(Table10[[#This Row],[Year]]&gt;0,$E$1-Table10[[#This Row],[Year]],0),"")</f>
        <v>23</v>
      </c>
      <c r="F2989" s="456">
        <v>2002</v>
      </c>
      <c r="G2989" s="456">
        <v>10</v>
      </c>
      <c r="H2989" s="456">
        <v>3</v>
      </c>
    </row>
    <row r="2990" spans="1:8">
      <c r="A2990" s="471">
        <v>3987</v>
      </c>
      <c r="B2990" s="493" t="s">
        <v>4601</v>
      </c>
      <c r="C2990" s="472" t="s">
        <v>244</v>
      </c>
      <c r="D2990" s="456" t="str">
        <f>IF(Table10[[#This Row],[Current Age]]&gt;19,"Men's",IF(E2990&gt;15,"U19",IF(E2990&gt;13,"U15",IF(E2990&gt;11,"U13",IF(E2990&gt;0,"U11",0)))))</f>
        <v>U13</v>
      </c>
      <c r="E2990" s="456">
        <f>IFERROR(IF(Table10[[#This Row],[Year]]&gt;0,$E$1-Table10[[#This Row],[Year]],0),"")</f>
        <v>12</v>
      </c>
      <c r="F2990" s="456">
        <v>2013</v>
      </c>
      <c r="G2990" s="456">
        <v>8</v>
      </c>
      <c r="H2990" s="456">
        <v>5</v>
      </c>
    </row>
    <row r="2991" spans="1:8">
      <c r="A2991" s="456">
        <v>3988</v>
      </c>
      <c r="B2991" s="469" t="s">
        <v>4602</v>
      </c>
      <c r="C2991" s="458" t="s">
        <v>244</v>
      </c>
      <c r="D2991" s="456" t="str">
        <f>IF(Table10[[#This Row],[Current Age]]&gt;19,"Men's",IF(E2991&gt;15,"U19",IF(E2991&gt;13,"U15",IF(E2991&gt;11,"U13",IF(E2991&gt;0,"U11",0)))))</f>
        <v>U13</v>
      </c>
      <c r="E2991" s="456">
        <f>IFERROR(IF(Table10[[#This Row],[Year]]&gt;0,$E$1-Table10[[#This Row],[Year]],0),"")</f>
        <v>12</v>
      </c>
      <c r="F2991" s="456">
        <v>2013</v>
      </c>
      <c r="G2991" s="456">
        <v>7</v>
      </c>
      <c r="H2991" s="456">
        <v>3</v>
      </c>
    </row>
    <row r="2992" spans="1:8">
      <c r="A2992" s="471">
        <v>3989</v>
      </c>
      <c r="B2992" s="493" t="s">
        <v>4615</v>
      </c>
      <c r="C2992" s="472" t="s">
        <v>253</v>
      </c>
      <c r="D2992" s="456" t="str">
        <f>IF(Table10[[#This Row],[Current Age]]&gt;19,"Men's",IF(E2992&gt;15,"U19",IF(E2992&gt;13,"U15",IF(E2992&gt;11,"U13",IF(E2992&gt;0,"U11",0)))))</f>
        <v>U11</v>
      </c>
      <c r="E2992" s="456">
        <f>IFERROR(IF(Table10[[#This Row],[Year]]&gt;0,$E$1-Table10[[#This Row],[Year]],0),"")</f>
        <v>11</v>
      </c>
      <c r="F2992" s="456">
        <v>2014</v>
      </c>
      <c r="G2992" s="456">
        <v>5</v>
      </c>
      <c r="H2992" s="456">
        <v>3</v>
      </c>
    </row>
    <row r="2993" spans="1:8">
      <c r="A2993" s="456">
        <v>3990</v>
      </c>
      <c r="B2993" s="469" t="s">
        <v>4616</v>
      </c>
      <c r="C2993" s="458" t="s">
        <v>253</v>
      </c>
      <c r="D2993" s="456" t="str">
        <f>IF(Table10[[#This Row],[Current Age]]&gt;19,"Men's",IF(E2993&gt;15,"U19",IF(E2993&gt;13,"U15",IF(E2993&gt;11,"U13",IF(E2993&gt;0,"U11",0)))))</f>
        <v>U11</v>
      </c>
      <c r="E2993" s="456">
        <f>IFERROR(IF(Table10[[#This Row],[Year]]&gt;0,$E$1-Table10[[#This Row],[Year]],0),"")</f>
        <v>11</v>
      </c>
      <c r="F2993" s="456">
        <v>2014</v>
      </c>
      <c r="G2993" s="456">
        <v>1</v>
      </c>
      <c r="H2993" s="456">
        <v>6</v>
      </c>
    </row>
    <row r="2994" spans="1:8">
      <c r="A2994" s="471">
        <v>3991</v>
      </c>
      <c r="B2994" s="493" t="s">
        <v>4617</v>
      </c>
      <c r="C2994" s="472" t="s">
        <v>253</v>
      </c>
      <c r="D2994" s="456" t="str">
        <f>IF(Table10[[#This Row],[Current Age]]&gt;19,"Men's",IF(E2994&gt;15,"U19",IF(E2994&gt;13,"U15",IF(E2994&gt;11,"U13",IF(E2994&gt;0,"U11",0)))))</f>
        <v>U11</v>
      </c>
      <c r="E2994" s="456">
        <f>IFERROR(IF(Table10[[#This Row],[Year]]&gt;0,$E$1-Table10[[#This Row],[Year]],0),"")</f>
        <v>11</v>
      </c>
      <c r="F2994" s="456">
        <v>2014</v>
      </c>
      <c r="G2994" s="456">
        <v>2</v>
      </c>
      <c r="H2994" s="456">
        <v>13</v>
      </c>
    </row>
    <row r="2995" spans="1:8">
      <c r="A2995" s="456">
        <v>3992</v>
      </c>
      <c r="B2995" s="469" t="s">
        <v>4618</v>
      </c>
      <c r="C2995" s="458" t="s">
        <v>253</v>
      </c>
      <c r="D2995" s="456" t="str">
        <f>IF(Table10[[#This Row],[Current Age]]&gt;19,"Men's",IF(E2995&gt;15,"U19",IF(E2995&gt;13,"U15",IF(E2995&gt;11,"U13",IF(E2995&gt;0,"U11",0)))))</f>
        <v>U11</v>
      </c>
      <c r="E2995" s="456">
        <f>IFERROR(IF(Table10[[#This Row],[Year]]&gt;0,$E$1-Table10[[#This Row],[Year]],0),"")</f>
        <v>9</v>
      </c>
      <c r="F2995" s="456">
        <v>2016</v>
      </c>
      <c r="G2995" s="456">
        <v>11</v>
      </c>
      <c r="H2995" s="456">
        <v>9</v>
      </c>
    </row>
    <row r="2996" spans="1:8">
      <c r="A2996" s="471">
        <v>3993</v>
      </c>
      <c r="B2996" s="493" t="s">
        <v>4619</v>
      </c>
      <c r="C2996" s="472" t="s">
        <v>253</v>
      </c>
      <c r="D2996" s="456" t="str">
        <f>IF(Table10[[#This Row],[Current Age]]&gt;19,"Men's",IF(E2996&gt;15,"U19",IF(E2996&gt;13,"U15",IF(E2996&gt;11,"U13",IF(E2996&gt;0,"U11",0)))))</f>
        <v>U13</v>
      </c>
      <c r="E2996" s="456">
        <f>IFERROR(IF(Table10[[#This Row],[Year]]&gt;0,$E$1-Table10[[#This Row],[Year]],0),"")</f>
        <v>13</v>
      </c>
      <c r="F2996" s="456">
        <v>2012</v>
      </c>
      <c r="G2996" s="456">
        <v>5</v>
      </c>
      <c r="H2996" s="456">
        <v>30</v>
      </c>
    </row>
    <row r="2997" spans="1:8">
      <c r="A2997" s="456">
        <v>3994</v>
      </c>
      <c r="B2997" s="469" t="s">
        <v>4620</v>
      </c>
      <c r="C2997" s="458" t="s">
        <v>253</v>
      </c>
      <c r="D2997" s="456" t="str">
        <f>IF(Table10[[#This Row],[Current Age]]&gt;19,"Men's",IF(E2997&gt;15,"U19",IF(E2997&gt;13,"U15",IF(E2997&gt;11,"U13",IF(E2997&gt;0,"U11",0)))))</f>
        <v>U15</v>
      </c>
      <c r="E2997" s="456">
        <f>IFERROR(IF(Table10[[#This Row],[Year]]&gt;0,$E$1-Table10[[#This Row],[Year]],0),"")</f>
        <v>14</v>
      </c>
      <c r="F2997" s="456">
        <v>2011</v>
      </c>
      <c r="G2997" s="456">
        <v>12</v>
      </c>
      <c r="H2997" s="456">
        <v>19</v>
      </c>
    </row>
    <row r="2998" spans="1:8">
      <c r="A2998" s="471">
        <v>3995</v>
      </c>
      <c r="B2998" s="493" t="s">
        <v>4621</v>
      </c>
      <c r="C2998" s="472" t="s">
        <v>253</v>
      </c>
      <c r="D2998" s="456" t="str">
        <f>IF(Table10[[#This Row],[Current Age]]&gt;19,"Men's",IF(E2998&gt;15,"U19",IF(E2998&gt;13,"U15",IF(E2998&gt;11,"U13",IF(E2998&gt;0,"U11",0)))))</f>
        <v>U19</v>
      </c>
      <c r="E2998" s="456">
        <f>IFERROR(IF(Table10[[#This Row],[Year]]&gt;0,$E$1-Table10[[#This Row],[Year]],0),"")</f>
        <v>16</v>
      </c>
      <c r="F2998" s="456">
        <v>2009</v>
      </c>
      <c r="G2998" s="456">
        <v>6</v>
      </c>
      <c r="H2998" s="456">
        <v>4</v>
      </c>
    </row>
    <row r="2999" spans="1:8">
      <c r="A2999" s="456">
        <v>3996</v>
      </c>
      <c r="B2999" s="469" t="s">
        <v>4622</v>
      </c>
      <c r="C2999" s="458" t="s">
        <v>253</v>
      </c>
      <c r="D2999" s="456" t="str">
        <f>IF(Table10[[#This Row],[Current Age]]&gt;19,"Men's",IF(E2999&gt;15,"U19",IF(E2999&gt;13,"U15",IF(E2999&gt;11,"U13",IF(E2999&gt;0,"U11",0)))))</f>
        <v>U19</v>
      </c>
      <c r="E2999" s="456">
        <f>IFERROR(IF(Table10[[#This Row],[Year]]&gt;0,$E$1-Table10[[#This Row],[Year]],0),"")</f>
        <v>16</v>
      </c>
      <c r="F2999" s="456">
        <v>2009</v>
      </c>
      <c r="G2999" s="456">
        <v>3</v>
      </c>
      <c r="H2999" s="456">
        <v>30</v>
      </c>
    </row>
    <row r="3000" spans="1:8">
      <c r="A3000" s="471">
        <v>3997</v>
      </c>
      <c r="B3000" s="493" t="s">
        <v>4623</v>
      </c>
      <c r="C3000" s="472" t="s">
        <v>253</v>
      </c>
      <c r="D3000" s="456" t="str">
        <f>IF(Table10[[#This Row],[Current Age]]&gt;19,"Men's",IF(E3000&gt;15,"U19",IF(E3000&gt;13,"U15",IF(E3000&gt;11,"U13",IF(E3000&gt;0,"U11",0)))))</f>
        <v>U19</v>
      </c>
      <c r="E3000" s="456">
        <f>IFERROR(IF(Table10[[#This Row],[Year]]&gt;0,$E$1-Table10[[#This Row],[Year]],0),"")</f>
        <v>16</v>
      </c>
      <c r="F3000" s="456">
        <v>2009</v>
      </c>
      <c r="G3000" s="456">
        <v>8</v>
      </c>
      <c r="H3000" s="456">
        <v>18</v>
      </c>
    </row>
    <row r="3001" spans="1:8">
      <c r="A3001" s="456">
        <v>3998</v>
      </c>
      <c r="B3001" s="469" t="s">
        <v>4624</v>
      </c>
      <c r="C3001" s="458" t="s">
        <v>253</v>
      </c>
      <c r="D3001" s="456" t="str">
        <f>IF(Table10[[#This Row],[Current Age]]&gt;19,"Men's",IF(E3001&gt;15,"U19",IF(E3001&gt;13,"U15",IF(E3001&gt;11,"U13",IF(E3001&gt;0,"U11",0)))))</f>
        <v>U19</v>
      </c>
      <c r="E3001" s="456">
        <f>IFERROR(IF(Table10[[#This Row],[Year]]&gt;0,$E$1-Table10[[#This Row],[Year]],0),"")</f>
        <v>17</v>
      </c>
      <c r="F3001" s="456">
        <v>2008</v>
      </c>
      <c r="G3001" s="456">
        <v>8</v>
      </c>
      <c r="H3001" s="456">
        <v>29</v>
      </c>
    </row>
    <row r="3002" spans="1:8">
      <c r="A3002" s="471">
        <v>3999</v>
      </c>
      <c r="B3002" s="493" t="s">
        <v>4625</v>
      </c>
      <c r="C3002" s="472" t="s">
        <v>253</v>
      </c>
      <c r="D3002" s="456" t="str">
        <f>IF(Table10[[#This Row],[Current Age]]&gt;19,"Men's",IF(E3002&gt;15,"U19",IF(E3002&gt;13,"U15",IF(E3002&gt;11,"U13",IF(E3002&gt;0,"U11",0)))))</f>
        <v>Men's</v>
      </c>
      <c r="E3002" s="456">
        <f>IFERROR(IF(Table10[[#This Row],[Year]]&gt;0,$E$1-Table10[[#This Row],[Year]],0),"")</f>
        <v>27</v>
      </c>
      <c r="F3002" s="456">
        <v>1998</v>
      </c>
      <c r="G3002" s="456">
        <v>8</v>
      </c>
      <c r="H3002" s="456">
        <v>16</v>
      </c>
    </row>
    <row r="3003" spans="1:8">
      <c r="A3003" s="456">
        <v>4000</v>
      </c>
      <c r="B3003" s="469" t="s">
        <v>4626</v>
      </c>
      <c r="C3003" s="458" t="s">
        <v>253</v>
      </c>
      <c r="D3003" s="456" t="str">
        <f>IF(Table10[[#This Row],[Current Age]]&gt;19,"Men's",IF(E3003&gt;15,"U19",IF(E3003&gt;13,"U15",IF(E3003&gt;11,"U13",IF(E3003&gt;0,"U11",0)))))</f>
        <v>Men's</v>
      </c>
      <c r="E3003" s="456">
        <f>IFERROR(IF(Table10[[#This Row],[Year]]&gt;0,$E$1-Table10[[#This Row],[Year]],0),"")</f>
        <v>32</v>
      </c>
      <c r="F3003" s="456">
        <v>1993</v>
      </c>
      <c r="G3003" s="456">
        <v>4</v>
      </c>
      <c r="H3003" s="456">
        <v>19</v>
      </c>
    </row>
    <row r="3004" spans="1:8">
      <c r="A3004" s="471">
        <v>4001</v>
      </c>
      <c r="B3004" s="493" t="s">
        <v>4627</v>
      </c>
      <c r="C3004" s="472" t="s">
        <v>253</v>
      </c>
      <c r="D3004" s="456" t="str">
        <f>IF(Table10[[#This Row],[Current Age]]&gt;19,"Men's",IF(E3004&gt;15,"U19",IF(E3004&gt;13,"U15",IF(E3004&gt;11,"U13",IF(E3004&gt;0,"U11",0)))))</f>
        <v>Men's</v>
      </c>
      <c r="E3004" s="456">
        <f>IFERROR(IF(Table10[[#This Row],[Year]]&gt;0,$E$1-Table10[[#This Row],[Year]],0),"")</f>
        <v>25</v>
      </c>
      <c r="F3004" s="456">
        <v>2000</v>
      </c>
      <c r="G3004" s="456">
        <v>6</v>
      </c>
      <c r="H3004" s="456">
        <v>27</v>
      </c>
    </row>
    <row r="3005" spans="1:8">
      <c r="A3005" s="456">
        <v>4002</v>
      </c>
      <c r="B3005" s="469" t="s">
        <v>4468</v>
      </c>
      <c r="C3005" s="458" t="s">
        <v>250</v>
      </c>
      <c r="D3005" s="456" t="str">
        <f>IF(Table10[[#This Row],[Current Age]]&gt;19,"Men's",IF(E3005&gt;15,"U19",IF(E3005&gt;13,"U15",IF(E3005&gt;11,"U13",IF(E3005&gt;0,"U11",0)))))</f>
        <v>U19</v>
      </c>
      <c r="E3005" s="456">
        <f>IFERROR(IF(Table10[[#This Row],[Year]]&gt;0,$E$1-Table10[[#This Row],[Year]],0),"")</f>
        <v>19</v>
      </c>
      <c r="F3005" s="456">
        <v>2006</v>
      </c>
      <c r="G3005" s="456">
        <v>3</v>
      </c>
      <c r="H3005" s="456">
        <v>23</v>
      </c>
    </row>
    <row r="3006" spans="1:8">
      <c r="A3006" s="471">
        <v>4003</v>
      </c>
      <c r="B3006" s="493" t="s">
        <v>4469</v>
      </c>
      <c r="C3006" s="472" t="s">
        <v>250</v>
      </c>
      <c r="D3006" s="456" t="str">
        <f>IF(Table10[[#This Row],[Current Age]]&gt;19,"Men's",IF(E3006&gt;15,"U19",IF(E3006&gt;13,"U15",IF(E3006&gt;11,"U13",IF(E3006&gt;0,"U11",0)))))</f>
        <v>Men's</v>
      </c>
      <c r="E3006" s="456">
        <f>IFERROR(IF(Table10[[#This Row],[Year]]&gt;0,$E$1-Table10[[#This Row],[Year]],0),"")</f>
        <v>20</v>
      </c>
      <c r="F3006" s="456">
        <v>2005</v>
      </c>
      <c r="G3006" s="456">
        <v>10</v>
      </c>
      <c r="H3006" s="456">
        <v>16</v>
      </c>
    </row>
    <row r="3007" spans="1:8">
      <c r="A3007" s="456">
        <v>4004</v>
      </c>
      <c r="B3007" s="469" t="s">
        <v>4470</v>
      </c>
      <c r="C3007" s="458" t="s">
        <v>250</v>
      </c>
      <c r="D3007" s="456" t="str">
        <f>IF(Table10[[#This Row],[Current Age]]&gt;19,"Men's",IF(E3007&gt;15,"U19",IF(E3007&gt;13,"U15",IF(E3007&gt;11,"U13",IF(E3007&gt;0,"U11",0)))))</f>
        <v>Men's</v>
      </c>
      <c r="E3007" s="456">
        <f>IFERROR(IF(Table10[[#This Row],[Year]]&gt;0,$E$1-Table10[[#This Row],[Year]],0),"")</f>
        <v>24</v>
      </c>
      <c r="F3007" s="456">
        <v>2001</v>
      </c>
      <c r="G3007" s="456">
        <v>3</v>
      </c>
      <c r="H3007" s="456">
        <v>22</v>
      </c>
    </row>
    <row r="3008" spans="1:8">
      <c r="A3008" s="471">
        <v>4005</v>
      </c>
      <c r="B3008" s="493" t="s">
        <v>4471</v>
      </c>
      <c r="C3008" s="472" t="s">
        <v>250</v>
      </c>
      <c r="D3008" s="456" t="str">
        <f>IF(Table10[[#This Row],[Current Age]]&gt;19,"Men's",IF(E3008&gt;15,"U19",IF(E3008&gt;13,"U15",IF(E3008&gt;11,"U13",IF(E3008&gt;0,"U11",0)))))</f>
        <v>Men's</v>
      </c>
      <c r="E3008" s="456">
        <f>IFERROR(IF(Table10[[#This Row],[Year]]&gt;0,$E$1-Table10[[#This Row],[Year]],0),"")</f>
        <v>23</v>
      </c>
      <c r="F3008" s="456">
        <v>2002</v>
      </c>
      <c r="G3008" s="456">
        <v>5</v>
      </c>
      <c r="H3008" s="456">
        <v>22</v>
      </c>
    </row>
    <row r="3009" spans="1:8">
      <c r="A3009" s="456">
        <v>4006</v>
      </c>
      <c r="B3009" s="469" t="s">
        <v>4636</v>
      </c>
      <c r="C3009" s="458" t="s">
        <v>244</v>
      </c>
      <c r="D3009" s="456" t="str">
        <f>IF(Table10[[#This Row],[Current Age]]&gt;19,"Men's",IF(E3009&gt;15,"U19",IF(E3009&gt;13,"U15",IF(E3009&gt;11,"U13",IF(E3009&gt;0,"U11",0)))))</f>
        <v>U13</v>
      </c>
      <c r="E3009" s="456">
        <f>IFERROR(IF(Table10[[#This Row],[Year]]&gt;0,$E$1-Table10[[#This Row],[Year]],0),"")</f>
        <v>12</v>
      </c>
      <c r="F3009" s="456">
        <v>2013</v>
      </c>
      <c r="G3009" s="456">
        <v>9</v>
      </c>
      <c r="H3009" s="456">
        <v>26</v>
      </c>
    </row>
    <row r="3010" spans="1:8">
      <c r="A3010" s="471">
        <v>4007</v>
      </c>
      <c r="B3010" s="493" t="s">
        <v>4641</v>
      </c>
      <c r="C3010" s="472" t="s">
        <v>243</v>
      </c>
      <c r="D3010" s="456" t="str">
        <f>IF(Table10[[#This Row],[Current Age]]&gt;19,"Men's",IF(E3010&gt;15,"U19",IF(E3010&gt;13,"U15",IF(E3010&gt;11,"U13",IF(E3010&gt;0,"U11",0)))))</f>
        <v>U13</v>
      </c>
      <c r="E3010" s="456">
        <f>IFERROR(IF(Table10[[#This Row],[Year]]&gt;0,$E$1-Table10[[#This Row],[Year]],0),"")</f>
        <v>12</v>
      </c>
      <c r="F3010" s="456">
        <v>2013</v>
      </c>
      <c r="G3010" s="456">
        <v>8</v>
      </c>
      <c r="H3010" s="456">
        <v>24</v>
      </c>
    </row>
    <row r="3011" spans="1:8">
      <c r="A3011" s="456">
        <v>4008</v>
      </c>
      <c r="B3011" s="469" t="s">
        <v>4642</v>
      </c>
      <c r="C3011" s="458" t="s">
        <v>243</v>
      </c>
      <c r="D3011" s="456" t="str">
        <f>IF(Table10[[#This Row],[Current Age]]&gt;19,"Men's",IF(E3011&gt;15,"U19",IF(E3011&gt;13,"U15",IF(E3011&gt;11,"U13",IF(E3011&gt;0,"U11",0)))))</f>
        <v>Men's</v>
      </c>
      <c r="E3011" s="456">
        <f>IFERROR(IF(Table10[[#This Row],[Year]]&gt;0,$E$1-Table10[[#This Row],[Year]],0),"")</f>
        <v>53</v>
      </c>
      <c r="F3011" s="456">
        <v>1972</v>
      </c>
      <c r="G3011" s="456">
        <v>3</v>
      </c>
      <c r="H3011" s="456">
        <v>3</v>
      </c>
    </row>
    <row r="3012" spans="1:8">
      <c r="A3012" s="471">
        <v>4009</v>
      </c>
      <c r="B3012" s="493" t="s">
        <v>4643</v>
      </c>
      <c r="C3012" s="472" t="s">
        <v>243</v>
      </c>
      <c r="D3012" s="456" t="str">
        <f>IF(Table10[[#This Row],[Current Age]]&gt;19,"Men's",IF(E3012&gt;15,"U19",IF(E3012&gt;13,"U15",IF(E3012&gt;11,"U13",IF(E3012&gt;0,"U11",0)))))</f>
        <v>U15</v>
      </c>
      <c r="E3012" s="456">
        <f>IFERROR(IF(Table10[[#This Row],[Year]]&gt;0,$E$1-Table10[[#This Row],[Year]],0),"")</f>
        <v>14</v>
      </c>
      <c r="F3012" s="456">
        <v>2011</v>
      </c>
      <c r="G3012" s="456">
        <v>12</v>
      </c>
      <c r="H3012" s="456">
        <v>24</v>
      </c>
    </row>
    <row r="3013" spans="1:8">
      <c r="A3013" s="456">
        <v>4010</v>
      </c>
      <c r="B3013" s="469" t="s">
        <v>4644</v>
      </c>
      <c r="C3013" s="458" t="s">
        <v>243</v>
      </c>
      <c r="D3013" s="456" t="str">
        <f>IF(Table10[[#This Row],[Current Age]]&gt;19,"Men's",IF(E3013&gt;15,"U19",IF(E3013&gt;13,"U15",IF(E3013&gt;11,"U13",IF(E3013&gt;0,"U11",0)))))</f>
        <v>U11</v>
      </c>
      <c r="E3013" s="456">
        <f>IFERROR(IF(Table10[[#This Row],[Year]]&gt;0,$E$1-Table10[[#This Row],[Year]],0),"")</f>
        <v>10</v>
      </c>
      <c r="F3013" s="456">
        <v>2015</v>
      </c>
      <c r="G3013" s="456">
        <v>6</v>
      </c>
      <c r="H3013" s="456">
        <v>19</v>
      </c>
    </row>
    <row r="3014" spans="1:8">
      <c r="A3014" s="471">
        <v>4011</v>
      </c>
      <c r="B3014" s="493" t="s">
        <v>4645</v>
      </c>
      <c r="C3014" s="472" t="s">
        <v>243</v>
      </c>
      <c r="D3014" s="456" t="str">
        <f>IF(Table10[[#This Row],[Current Age]]&gt;19,"Men's",IF(E3014&gt;15,"U19",IF(E3014&gt;13,"U15",IF(E3014&gt;11,"U13",IF(E3014&gt;0,"U11",0)))))</f>
        <v>Men's</v>
      </c>
      <c r="E3014" s="456">
        <f>IFERROR(IF(Table10[[#This Row],[Year]]&gt;0,$E$1-Table10[[#This Row],[Year]],0),"")</f>
        <v>44</v>
      </c>
      <c r="F3014" s="456">
        <v>1981</v>
      </c>
      <c r="G3014" s="456">
        <v>4</v>
      </c>
      <c r="H3014" s="456">
        <v>30</v>
      </c>
    </row>
    <row r="3015" spans="1:8">
      <c r="A3015" s="456">
        <v>4012</v>
      </c>
      <c r="B3015" s="469" t="s">
        <v>4646</v>
      </c>
      <c r="C3015" s="458" t="s">
        <v>243</v>
      </c>
      <c r="D3015" s="456" t="str">
        <f>IF(Table10[[#This Row],[Current Age]]&gt;19,"Men's",IF(E3015&gt;15,"U19",IF(E3015&gt;13,"U15",IF(E3015&gt;11,"U13",IF(E3015&gt;0,"U11",0)))))</f>
        <v>Men's</v>
      </c>
      <c r="E3015" s="456">
        <f>IFERROR(IF(Table10[[#This Row],[Year]]&gt;0,$E$1-Table10[[#This Row],[Year]],0),"")</f>
        <v>46</v>
      </c>
      <c r="F3015" s="456">
        <v>1979</v>
      </c>
      <c r="G3015" s="456">
        <v>7</v>
      </c>
      <c r="H3015" s="456">
        <v>15</v>
      </c>
    </row>
    <row r="3016" spans="1:8">
      <c r="A3016" s="471">
        <v>4013</v>
      </c>
      <c r="B3016" s="493" t="s">
        <v>4647</v>
      </c>
      <c r="C3016" s="472" t="s">
        <v>243</v>
      </c>
      <c r="D3016" s="456" t="str">
        <f>IF(Table10[[#This Row],[Current Age]]&gt;19,"Men's",IF(E3016&gt;15,"U19",IF(E3016&gt;13,"U15",IF(E3016&gt;11,"U13",IF(E3016&gt;0,"U11",0)))))</f>
        <v>Men's</v>
      </c>
      <c r="E3016" s="456">
        <f>IFERROR(IF(Table10[[#This Row],[Year]]&gt;0,$E$1-Table10[[#This Row],[Year]],0),"")</f>
        <v>45</v>
      </c>
      <c r="F3016" s="456">
        <v>1980</v>
      </c>
      <c r="G3016" s="456">
        <v>3</v>
      </c>
      <c r="H3016" s="456">
        <v>6</v>
      </c>
    </row>
    <row r="3017" spans="1:8">
      <c r="A3017" s="456">
        <v>4014</v>
      </c>
      <c r="B3017" s="469" t="s">
        <v>4648</v>
      </c>
      <c r="C3017" s="458" t="s">
        <v>243</v>
      </c>
      <c r="D3017" s="456" t="str">
        <f>IF(Table10[[#This Row],[Current Age]]&gt;19,"Men's",IF(E3017&gt;15,"U19",IF(E3017&gt;13,"U15",IF(E3017&gt;11,"U13",IF(E3017&gt;0,"U11",0)))))</f>
        <v>Men's</v>
      </c>
      <c r="E3017" s="456">
        <f>IFERROR(IF(Table10[[#This Row],[Year]]&gt;0,$E$1-Table10[[#This Row],[Year]],0),"")</f>
        <v>46</v>
      </c>
      <c r="F3017" s="456">
        <v>1979</v>
      </c>
      <c r="G3017" s="456">
        <v>6</v>
      </c>
      <c r="H3017" s="456">
        <v>26</v>
      </c>
    </row>
    <row r="3018" spans="1:8">
      <c r="A3018" s="471">
        <v>4015</v>
      </c>
      <c r="B3018" s="493" t="s">
        <v>4649</v>
      </c>
      <c r="C3018" s="472" t="s">
        <v>243</v>
      </c>
      <c r="D3018" s="456" t="str">
        <f>IF(Table10[[#This Row],[Current Age]]&gt;19,"Men's",IF(E3018&gt;15,"U19",IF(E3018&gt;13,"U15",IF(E3018&gt;11,"U13",IF(E3018&gt;0,"U11",0)))))</f>
        <v>Men's</v>
      </c>
      <c r="E3018" s="456">
        <f>IFERROR(IF(Table10[[#This Row],[Year]]&gt;0,$E$1-Table10[[#This Row],[Year]],0),"")</f>
        <v>56</v>
      </c>
      <c r="F3018" s="456">
        <v>1969</v>
      </c>
      <c r="G3018" s="456">
        <v>4</v>
      </c>
      <c r="H3018" s="456">
        <v>3</v>
      </c>
    </row>
    <row r="3019" spans="1:8">
      <c r="A3019" s="456">
        <v>4016</v>
      </c>
      <c r="B3019" s="469" t="s">
        <v>4650</v>
      </c>
      <c r="C3019" s="458" t="s">
        <v>243</v>
      </c>
      <c r="D3019" s="456" t="str">
        <f>IF(Table10[[#This Row],[Current Age]]&gt;19,"Men's",IF(E3019&gt;15,"U19",IF(E3019&gt;13,"U15",IF(E3019&gt;11,"U13",IF(E3019&gt;0,"U11",0)))))</f>
        <v>Men's</v>
      </c>
      <c r="E3019" s="456">
        <f>IFERROR(IF(Table10[[#This Row],[Year]]&gt;0,$E$1-Table10[[#This Row],[Year]],0),"")</f>
        <v>48</v>
      </c>
      <c r="F3019" s="456">
        <v>1977</v>
      </c>
      <c r="G3019" s="456">
        <v>3</v>
      </c>
      <c r="H3019" s="456">
        <v>17</v>
      </c>
    </row>
    <row r="3020" spans="1:8">
      <c r="A3020" s="601">
        <v>4017</v>
      </c>
      <c r="B3020" s="493" t="s">
        <v>6081</v>
      </c>
      <c r="C3020" s="472" t="s">
        <v>3750</v>
      </c>
      <c r="D3020" s="456" t="str">
        <f>IF(Table10[[#This Row],[Current Age]]&gt;19,"Men's",IF(E3020&gt;15,"U19",IF(E3020&gt;13,"U15",IF(E3020&gt;11,"U13",IF(E3020&gt;0,"U11",0)))))</f>
        <v>Men's</v>
      </c>
      <c r="E3020" s="456" t="str">
        <f>IFERROR(IF(Table10[[#This Row],[Year]]&gt;0,$E$1-Table10[[#This Row],[Year]],0),"")</f>
        <v/>
      </c>
      <c r="F3020" s="456" t="s">
        <v>4722</v>
      </c>
      <c r="G3020" s="456" t="s">
        <v>4722</v>
      </c>
      <c r="H3020" s="456" t="s">
        <v>4722</v>
      </c>
    </row>
    <row r="3021" spans="1:8">
      <c r="A3021" s="456">
        <v>4018</v>
      </c>
      <c r="B3021" s="469" t="s">
        <v>4652</v>
      </c>
      <c r="C3021" s="458" t="s">
        <v>244</v>
      </c>
      <c r="D3021" s="456" t="str">
        <f>IF(Table10[[#This Row],[Current Age]]&gt;19,"Men's",IF(E3021&gt;15,"U19",IF(E3021&gt;13,"U15",IF(E3021&gt;11,"U13",IF(E3021&gt;0,"U11",0)))))</f>
        <v>U11</v>
      </c>
      <c r="E3021" s="456">
        <f>IFERROR(IF(Table10[[#This Row],[Year]]&gt;0,$E$1-Table10[[#This Row],[Year]],0),"")</f>
        <v>11</v>
      </c>
      <c r="F3021" s="456">
        <v>2014</v>
      </c>
      <c r="G3021" s="456">
        <v>1</v>
      </c>
      <c r="H3021" s="456">
        <v>28</v>
      </c>
    </row>
    <row r="3022" spans="1:8">
      <c r="A3022" s="471">
        <v>4019</v>
      </c>
      <c r="B3022" s="493" t="s">
        <v>4653</v>
      </c>
      <c r="C3022" s="472" t="s">
        <v>4552</v>
      </c>
      <c r="D3022" s="456" t="str">
        <f>IF(Table10[[#This Row],[Current Age]]&gt;19,"Men's",IF(E3022&gt;15,"U19",IF(E3022&gt;13,"U15",IF(E3022&gt;11,"U13",IF(E3022&gt;0,"U11",0)))))</f>
        <v>Men's</v>
      </c>
      <c r="E3022" s="456">
        <f>IFERROR(IF(Table10[[#This Row],[Year]]&gt;0,$E$1-Table10[[#This Row],[Year]],0),"")</f>
        <v>55</v>
      </c>
      <c r="F3022" s="456">
        <v>1970</v>
      </c>
      <c r="G3022" s="456">
        <v>10</v>
      </c>
      <c r="H3022" s="456">
        <v>26</v>
      </c>
    </row>
    <row r="3023" spans="1:8">
      <c r="A3023" s="456">
        <v>4020</v>
      </c>
      <c r="B3023" s="469" t="s">
        <v>4654</v>
      </c>
      <c r="C3023" s="458" t="s">
        <v>3027</v>
      </c>
      <c r="D3023" s="456">
        <f>IF(Table10[[#This Row],[Current Age]]&gt;19,"Men's",IF(E3023&gt;15,"U19",IF(E3023&gt;13,"U15",IF(E3023&gt;11,"U13",IF(E3023&gt;0,"U11",0)))))</f>
        <v>0</v>
      </c>
      <c r="E3023" s="456">
        <f>IFERROR(IF(Table10[[#This Row],[Year]]&gt;0,$E$1-Table10[[#This Row],[Year]],0),"")</f>
        <v>0</v>
      </c>
      <c r="F3023" s="456"/>
      <c r="G3023" s="456"/>
      <c r="H3023" s="456"/>
    </row>
    <row r="3024" spans="1:8">
      <c r="A3024" s="471">
        <v>4021</v>
      </c>
      <c r="B3024" s="493" t="s">
        <v>4655</v>
      </c>
      <c r="C3024" s="472" t="s">
        <v>246</v>
      </c>
      <c r="D3024" s="456" t="str">
        <f>IF(Table10[[#This Row],[Current Age]]&gt;19,"Men's",IF(E3024&gt;15,"U19",IF(E3024&gt;13,"U15",IF(E3024&gt;11,"U13",IF(E3024&gt;0,"U11",0)))))</f>
        <v>Men's</v>
      </c>
      <c r="E3024" s="456">
        <f>IFERROR(IF(Table10[[#This Row],[Year]]&gt;0,$E$1-Table10[[#This Row],[Year]],0),"")</f>
        <v>58</v>
      </c>
      <c r="F3024" s="456">
        <v>1967</v>
      </c>
      <c r="G3024" s="456">
        <v>12</v>
      </c>
      <c r="H3024" s="456">
        <v>17</v>
      </c>
    </row>
    <row r="3025" spans="1:8">
      <c r="A3025" s="456">
        <v>4022</v>
      </c>
      <c r="B3025" s="469" t="s">
        <v>3089</v>
      </c>
      <c r="C3025" s="458" t="s">
        <v>4552</v>
      </c>
      <c r="D3025" s="456">
        <f>IF(Table10[[#This Row],[Current Age]]&gt;19,"Men's",IF(E3025&gt;15,"U19",IF(E3025&gt;13,"U15",IF(E3025&gt;11,"U13",IF(E3025&gt;0,"U11",0)))))</f>
        <v>0</v>
      </c>
      <c r="E3025" s="456">
        <f>IFERROR(IF(Table10[[#This Row],[Year]]&gt;0,$E$1-Table10[[#This Row],[Year]],0),"")</f>
        <v>0</v>
      </c>
      <c r="F3025" s="456"/>
      <c r="G3025" s="456"/>
      <c r="H3025" s="456"/>
    </row>
    <row r="3026" spans="1:8">
      <c r="A3026" s="471">
        <v>4023</v>
      </c>
      <c r="B3026" s="493" t="s">
        <v>4663</v>
      </c>
      <c r="C3026" s="472" t="s">
        <v>4552</v>
      </c>
      <c r="D3026" s="456">
        <f>IF(Table10[[#This Row],[Current Age]]&gt;19,"Men's",IF(E3026&gt;15,"U19",IF(E3026&gt;13,"U15",IF(E3026&gt;11,"U13",IF(E3026&gt;0,"U11",0)))))</f>
        <v>0</v>
      </c>
      <c r="E3026" s="456">
        <f>IFERROR(IF(Table10[[#This Row],[Year]]&gt;0,$E$1-Table10[[#This Row],[Year]],0),"")</f>
        <v>0</v>
      </c>
      <c r="F3026" s="456"/>
      <c r="G3026" s="456"/>
      <c r="H3026" s="456"/>
    </row>
    <row r="3027" spans="1:8">
      <c r="A3027" s="456">
        <v>4024</v>
      </c>
      <c r="B3027" s="469" t="s">
        <v>4664</v>
      </c>
      <c r="C3027" s="458" t="s">
        <v>4552</v>
      </c>
      <c r="D3027" s="456">
        <f>IF(Table10[[#This Row],[Current Age]]&gt;19,"Men's",IF(E3027&gt;15,"U19",IF(E3027&gt;13,"U15",IF(E3027&gt;11,"U13",IF(E3027&gt;0,"U11",0)))))</f>
        <v>0</v>
      </c>
      <c r="E3027" s="456">
        <f>IFERROR(IF(Table10[[#This Row],[Year]]&gt;0,$E$1-Table10[[#This Row],[Year]],0),"")</f>
        <v>0</v>
      </c>
      <c r="F3027" s="456"/>
      <c r="G3027" s="456"/>
      <c r="H3027" s="456"/>
    </row>
    <row r="3028" spans="1:8">
      <c r="A3028" s="471">
        <v>4025</v>
      </c>
      <c r="B3028" s="493" t="s">
        <v>4665</v>
      </c>
      <c r="C3028" s="472" t="s">
        <v>4552</v>
      </c>
      <c r="D3028" s="456">
        <f>IF(Table10[[#This Row],[Current Age]]&gt;19,"Men's",IF(E3028&gt;15,"U19",IF(E3028&gt;13,"U15",IF(E3028&gt;11,"U13",IF(E3028&gt;0,"U11",0)))))</f>
        <v>0</v>
      </c>
      <c r="E3028" s="456">
        <f>IFERROR(IF(Table10[[#This Row],[Year]]&gt;0,$E$1-Table10[[#This Row],[Year]],0),"")</f>
        <v>0</v>
      </c>
      <c r="F3028" s="456"/>
      <c r="G3028" s="456"/>
      <c r="H3028" s="456"/>
    </row>
    <row r="3029" spans="1:8">
      <c r="A3029" s="456">
        <v>4026</v>
      </c>
      <c r="B3029" s="469" t="s">
        <v>4666</v>
      </c>
      <c r="C3029" s="458" t="s">
        <v>4552</v>
      </c>
      <c r="D3029" s="456">
        <f>IF(Table10[[#This Row],[Current Age]]&gt;19,"Men's",IF(E3029&gt;15,"U19",IF(E3029&gt;13,"U15",IF(E3029&gt;11,"U13",IF(E3029&gt;0,"U11",0)))))</f>
        <v>0</v>
      </c>
      <c r="E3029" s="456">
        <f>IFERROR(IF(Table10[[#This Row],[Year]]&gt;0,$E$1-Table10[[#This Row],[Year]],0),"")</f>
        <v>0</v>
      </c>
      <c r="F3029" s="456"/>
      <c r="G3029" s="456"/>
      <c r="H3029" s="456"/>
    </row>
    <row r="3030" spans="1:8">
      <c r="A3030" s="471">
        <v>4027</v>
      </c>
      <c r="B3030" s="493" t="s">
        <v>4667</v>
      </c>
      <c r="C3030" s="472" t="s">
        <v>4552</v>
      </c>
      <c r="D3030" s="456">
        <f>IF(Table10[[#This Row],[Current Age]]&gt;19,"Men's",IF(E3030&gt;15,"U19",IF(E3030&gt;13,"U15",IF(E3030&gt;11,"U13",IF(E3030&gt;0,"U11",0)))))</f>
        <v>0</v>
      </c>
      <c r="E3030" s="456">
        <f>IFERROR(IF(Table10[[#This Row],[Year]]&gt;0,$E$1-Table10[[#This Row],[Year]],0),"")</f>
        <v>0</v>
      </c>
      <c r="F3030" s="456"/>
      <c r="G3030" s="456"/>
      <c r="H3030" s="456"/>
    </row>
    <row r="3031" spans="1:8">
      <c r="A3031" s="456">
        <v>4028</v>
      </c>
      <c r="B3031" s="469" t="s">
        <v>2179</v>
      </c>
      <c r="C3031" s="458" t="s">
        <v>4720</v>
      </c>
      <c r="D3031" s="456">
        <f>IF(Table10[[#This Row],[Current Age]]&gt;19,"Men's",IF(E3031&gt;15,"U19",IF(E3031&gt;13,"U15",IF(E3031&gt;11,"U13",IF(E3031&gt;0,"U11",0)))))</f>
        <v>0</v>
      </c>
      <c r="E3031" s="456">
        <f>IFERROR(IF(Table10[[#This Row],[Year]]&gt;0,$E$1-Table10[[#This Row],[Year]],0),"")</f>
        <v>0</v>
      </c>
      <c r="F3031" s="456"/>
      <c r="G3031" s="456"/>
      <c r="H3031" s="456"/>
    </row>
    <row r="3032" spans="1:8">
      <c r="A3032" s="471">
        <v>4029</v>
      </c>
      <c r="B3032" s="493" t="s">
        <v>4668</v>
      </c>
      <c r="C3032" s="472" t="s">
        <v>4552</v>
      </c>
      <c r="D3032" s="456">
        <f>IF(Table10[[#This Row],[Current Age]]&gt;19,"Men's",IF(E3032&gt;15,"U19",IF(E3032&gt;13,"U15",IF(E3032&gt;11,"U13",IF(E3032&gt;0,"U11",0)))))</f>
        <v>0</v>
      </c>
      <c r="E3032" s="456">
        <f>IFERROR(IF(Table10[[#This Row],[Year]]&gt;0,$E$1-Table10[[#This Row],[Year]],0),"")</f>
        <v>0</v>
      </c>
      <c r="F3032" s="456"/>
      <c r="G3032" s="456"/>
      <c r="H3032" s="456"/>
    </row>
    <row r="3033" spans="1:8">
      <c r="A3033" s="456">
        <v>4030</v>
      </c>
      <c r="B3033" s="469" t="s">
        <v>4669</v>
      </c>
      <c r="C3033" s="458" t="s">
        <v>4552</v>
      </c>
      <c r="D3033" s="456">
        <f>IF(Table10[[#This Row],[Current Age]]&gt;19,"Men's",IF(E3033&gt;15,"U19",IF(E3033&gt;13,"U15",IF(E3033&gt;11,"U13",IF(E3033&gt;0,"U11",0)))))</f>
        <v>0</v>
      </c>
      <c r="E3033" s="456">
        <f>IFERROR(IF(Table10[[#This Row],[Year]]&gt;0,$E$1-Table10[[#This Row],[Year]],0),"")</f>
        <v>0</v>
      </c>
      <c r="F3033" s="456"/>
      <c r="G3033" s="456"/>
      <c r="H3033" s="456"/>
    </row>
    <row r="3034" spans="1:8">
      <c r="A3034" s="471">
        <v>4031</v>
      </c>
      <c r="B3034" s="493" t="s">
        <v>4670</v>
      </c>
      <c r="C3034" s="472" t="s">
        <v>4552</v>
      </c>
      <c r="D3034" s="456">
        <f>IF(Table10[[#This Row],[Current Age]]&gt;19,"Men's",IF(E3034&gt;15,"U19",IF(E3034&gt;13,"U15",IF(E3034&gt;11,"U13",IF(E3034&gt;0,"U11",0)))))</f>
        <v>0</v>
      </c>
      <c r="E3034" s="456">
        <f>IFERROR(IF(Table10[[#This Row],[Year]]&gt;0,$E$1-Table10[[#This Row],[Year]],0),"")</f>
        <v>0</v>
      </c>
      <c r="F3034" s="456"/>
      <c r="G3034" s="456"/>
      <c r="H3034" s="456"/>
    </row>
    <row r="3035" spans="1:8">
      <c r="A3035" s="456">
        <v>4032</v>
      </c>
      <c r="B3035" s="469" t="s">
        <v>4671</v>
      </c>
      <c r="C3035" s="458" t="s">
        <v>3750</v>
      </c>
      <c r="D3035" s="456">
        <f>IF(Table10[[#This Row],[Current Age]]&gt;19,"Men's",IF(E3035&gt;15,"U19",IF(E3035&gt;13,"U15",IF(E3035&gt;11,"U13",IF(E3035&gt;0,"U11",0)))))</f>
        <v>0</v>
      </c>
      <c r="E3035" s="456">
        <f>IFERROR(IF(Table10[[#This Row],[Year]]&gt;0,$E$1-Table10[[#This Row],[Year]],0),"")</f>
        <v>0</v>
      </c>
      <c r="F3035" s="456"/>
      <c r="G3035" s="456"/>
      <c r="H3035" s="456"/>
    </row>
    <row r="3036" spans="1:8">
      <c r="A3036" s="471">
        <v>4033</v>
      </c>
      <c r="B3036" s="493" t="s">
        <v>4673</v>
      </c>
      <c r="C3036" s="472" t="s">
        <v>361</v>
      </c>
      <c r="D3036" s="456">
        <f>IF(Table10[[#This Row],[Current Age]]&gt;19,"Men's",IF(E3036&gt;15,"U19",IF(E3036&gt;13,"U15",IF(E3036&gt;11,"U13",IF(E3036&gt;0,"U11",0)))))</f>
        <v>0</v>
      </c>
      <c r="E3036" s="456">
        <f>IFERROR(IF(Table10[[#This Row],[Year]]&gt;0,$E$1-Table10[[#This Row],[Year]],0),"")</f>
        <v>0</v>
      </c>
      <c r="F3036" s="456"/>
      <c r="G3036" s="456"/>
      <c r="H3036" s="456"/>
    </row>
    <row r="3037" spans="1:8">
      <c r="A3037" s="456">
        <v>4034</v>
      </c>
      <c r="B3037" s="469" t="s">
        <v>4674</v>
      </c>
      <c r="C3037" s="458" t="s">
        <v>361</v>
      </c>
      <c r="D3037" s="456">
        <f>IF(Table10[[#This Row],[Current Age]]&gt;19,"Men's",IF(E3037&gt;15,"U19",IF(E3037&gt;13,"U15",IF(E3037&gt;11,"U13",IF(E3037&gt;0,"U11",0)))))</f>
        <v>0</v>
      </c>
      <c r="E3037" s="456">
        <f>IFERROR(IF(Table10[[#This Row],[Year]]&gt;0,$E$1-Table10[[#This Row],[Year]],0),"")</f>
        <v>0</v>
      </c>
      <c r="F3037" s="456"/>
      <c r="G3037" s="456"/>
      <c r="H3037" s="456"/>
    </row>
    <row r="3038" spans="1:8">
      <c r="A3038" s="471">
        <v>4035</v>
      </c>
      <c r="B3038" s="493" t="s">
        <v>4675</v>
      </c>
      <c r="C3038" s="472" t="s">
        <v>361</v>
      </c>
      <c r="D3038" s="456">
        <f>IF(Table10[[#This Row],[Current Age]]&gt;19,"Men's",IF(E3038&gt;15,"U19",IF(E3038&gt;13,"U15",IF(E3038&gt;11,"U13",IF(E3038&gt;0,"U11",0)))))</f>
        <v>0</v>
      </c>
      <c r="E3038" s="456">
        <f>IFERROR(IF(Table10[[#This Row],[Year]]&gt;0,$E$1-Table10[[#This Row],[Year]],0),"")</f>
        <v>0</v>
      </c>
      <c r="F3038" s="456"/>
      <c r="G3038" s="456"/>
      <c r="H3038" s="456"/>
    </row>
    <row r="3039" spans="1:8">
      <c r="A3039" s="456">
        <v>4036</v>
      </c>
      <c r="B3039" s="469" t="s">
        <v>4168</v>
      </c>
      <c r="C3039" s="458" t="s">
        <v>251</v>
      </c>
      <c r="D3039" s="456" t="str">
        <f>IF(Table10[[#This Row],[Current Age]]&gt;19,"Men's",IF(E3039&gt;15,"U19",IF(E3039&gt;13,"U15",IF(E3039&gt;11,"U13",IF(E3039&gt;0,"U11",0)))))</f>
        <v>U11</v>
      </c>
      <c r="E3039" s="456">
        <f>IFERROR(IF(Table10[[#This Row],[Year]]&gt;0,$E$1-Table10[[#This Row],[Year]],0),"")</f>
        <v>10</v>
      </c>
      <c r="F3039" s="456">
        <v>2015</v>
      </c>
      <c r="G3039" s="456">
        <v>3</v>
      </c>
      <c r="H3039" s="456">
        <v>13</v>
      </c>
    </row>
    <row r="3040" spans="1:8">
      <c r="A3040" s="471">
        <v>4037</v>
      </c>
      <c r="B3040" s="493" t="s">
        <v>4680</v>
      </c>
      <c r="C3040" s="472" t="s">
        <v>251</v>
      </c>
      <c r="D3040" s="456" t="str">
        <f>IF(Table10[[#This Row],[Current Age]]&gt;19,"Men's",IF(E3040&gt;15,"U19",IF(E3040&gt;13,"U15",IF(E3040&gt;11,"U13",IF(E3040&gt;0,"U11",0)))))</f>
        <v>U13</v>
      </c>
      <c r="E3040" s="456">
        <f>IFERROR(IF(Table10[[#This Row],[Year]]&gt;0,$E$1-Table10[[#This Row],[Year]],0),"")</f>
        <v>12</v>
      </c>
      <c r="F3040" s="456">
        <v>2013</v>
      </c>
      <c r="G3040" s="456">
        <v>12</v>
      </c>
      <c r="H3040" s="456">
        <v>31</v>
      </c>
    </row>
    <row r="3041" spans="1:8">
      <c r="A3041" s="456">
        <v>4038</v>
      </c>
      <c r="B3041" s="469" t="s">
        <v>4681</v>
      </c>
      <c r="C3041" s="458" t="s">
        <v>251</v>
      </c>
      <c r="D3041" s="456" t="str">
        <f>IF(Table10[[#This Row],[Current Age]]&gt;19,"Men's",IF(E3041&gt;15,"U19",IF(E3041&gt;13,"U15",IF(E3041&gt;11,"U13",IF(E3041&gt;0,"U11",0)))))</f>
        <v>U15</v>
      </c>
      <c r="E3041" s="456">
        <f>IFERROR(IF(Table10[[#This Row],[Year]]&gt;0,$E$1-Table10[[#This Row],[Year]],0),"")</f>
        <v>15</v>
      </c>
      <c r="F3041" s="456">
        <v>2010</v>
      </c>
      <c r="G3041" s="456">
        <v>11</v>
      </c>
      <c r="H3041" s="456">
        <v>5</v>
      </c>
    </row>
    <row r="3042" spans="1:8">
      <c r="A3042" s="471">
        <v>4039</v>
      </c>
      <c r="B3042" s="493" t="s">
        <v>4682</v>
      </c>
      <c r="C3042" s="472" t="s">
        <v>251</v>
      </c>
      <c r="D3042" s="456" t="str">
        <f>IF(Table10[[#This Row],[Current Age]]&gt;19,"Men's",IF(E3042&gt;15,"U19",IF(E3042&gt;13,"U15",IF(E3042&gt;11,"U13",IF(E3042&gt;0,"U11",0)))))</f>
        <v>U15</v>
      </c>
      <c r="E3042" s="456">
        <f>IFERROR(IF(Table10[[#This Row],[Year]]&gt;0,$E$1-Table10[[#This Row],[Year]],0),"")</f>
        <v>15</v>
      </c>
      <c r="F3042" s="456">
        <v>2010</v>
      </c>
      <c r="G3042" s="456">
        <v>1</v>
      </c>
      <c r="H3042" s="456">
        <v>2</v>
      </c>
    </row>
    <row r="3043" spans="1:8">
      <c r="A3043" s="456">
        <v>4040</v>
      </c>
      <c r="B3043" s="469" t="s">
        <v>4683</v>
      </c>
      <c r="C3043" s="458" t="s">
        <v>251</v>
      </c>
      <c r="D3043" s="456" t="str">
        <f>IF(Table10[[#This Row],[Current Age]]&gt;19,"Men's",IF(E3043&gt;15,"U19",IF(E3043&gt;13,"U15",IF(E3043&gt;11,"U13",IF(E3043&gt;0,"U11",0)))))</f>
        <v>Men's</v>
      </c>
      <c r="E3043" s="456">
        <f>IFERROR(IF(Table10[[#This Row],[Year]]&gt;0,$E$1-Table10[[#This Row],[Year]],0),"")</f>
        <v>27</v>
      </c>
      <c r="F3043" s="456">
        <v>1998</v>
      </c>
      <c r="G3043" s="456">
        <v>1</v>
      </c>
      <c r="H3043" s="456">
        <v>5</v>
      </c>
    </row>
    <row r="3044" spans="1:8">
      <c r="A3044" s="471">
        <v>4041</v>
      </c>
      <c r="B3044" s="493" t="s">
        <v>4684</v>
      </c>
      <c r="C3044" s="472" t="s">
        <v>251</v>
      </c>
      <c r="D3044" s="456" t="str">
        <f>IF(Table10[[#This Row],[Current Age]]&gt;19,"Men's",IF(E3044&gt;15,"U19",IF(E3044&gt;13,"U15",IF(E3044&gt;11,"U13",IF(E3044&gt;0,"U11",0)))))</f>
        <v>U11</v>
      </c>
      <c r="E3044" s="456">
        <f>IFERROR(IF(Table10[[#This Row],[Year]]&gt;0,$E$1-Table10[[#This Row],[Year]],0),"")</f>
        <v>11</v>
      </c>
      <c r="F3044" s="456">
        <v>2014</v>
      </c>
      <c r="G3044" s="456">
        <v>8</v>
      </c>
      <c r="H3044" s="456">
        <v>29</v>
      </c>
    </row>
    <row r="3045" spans="1:8">
      <c r="A3045" s="456">
        <v>4042</v>
      </c>
      <c r="B3045" s="469" t="s">
        <v>4685</v>
      </c>
      <c r="C3045" s="458" t="s">
        <v>251</v>
      </c>
      <c r="D3045" s="456" t="str">
        <f>IF(Table10[[#This Row],[Current Age]]&gt;19,"Men's",IF(E3045&gt;15,"U19",IF(E3045&gt;13,"U15",IF(E3045&gt;11,"U13",IF(E3045&gt;0,"U11",0)))))</f>
        <v>U15</v>
      </c>
      <c r="E3045" s="456">
        <f>IFERROR(IF(Table10[[#This Row],[Year]]&gt;0,$E$1-Table10[[#This Row],[Year]],0),"")</f>
        <v>14</v>
      </c>
      <c r="F3045" s="456">
        <v>2011</v>
      </c>
      <c r="G3045" s="456">
        <v>6</v>
      </c>
      <c r="H3045" s="456">
        <v>20</v>
      </c>
    </row>
    <row r="3046" spans="1:8">
      <c r="A3046" s="471">
        <v>4043</v>
      </c>
      <c r="B3046" s="493" t="s">
        <v>4686</v>
      </c>
      <c r="C3046" s="472" t="s">
        <v>251</v>
      </c>
      <c r="D3046" s="456" t="str">
        <f>IF(Table10[[#This Row],[Current Age]]&gt;19,"Men's",IF(E3046&gt;15,"U19",IF(E3046&gt;13,"U15",IF(E3046&gt;11,"U13",IF(E3046&gt;0,"U11",0)))))</f>
        <v>U15</v>
      </c>
      <c r="E3046" s="456">
        <f>IFERROR(IF(Table10[[#This Row],[Year]]&gt;0,$E$1-Table10[[#This Row],[Year]],0),"")</f>
        <v>14</v>
      </c>
      <c r="F3046" s="456">
        <v>2011</v>
      </c>
      <c r="G3046" s="456">
        <v>5</v>
      </c>
      <c r="H3046" s="456">
        <v>25</v>
      </c>
    </row>
    <row r="3047" spans="1:8">
      <c r="A3047" s="456">
        <v>4044</v>
      </c>
      <c r="B3047" s="469" t="s">
        <v>4687</v>
      </c>
      <c r="C3047" s="458" t="s">
        <v>251</v>
      </c>
      <c r="D3047" s="456" t="str">
        <f>IF(Table10[[#This Row],[Current Age]]&gt;19,"Men's",IF(E3047&gt;15,"U19",IF(E3047&gt;13,"U15",IF(E3047&gt;11,"U13",IF(E3047&gt;0,"U11",0)))))</f>
        <v>U19</v>
      </c>
      <c r="E3047" s="456">
        <f>IFERROR(IF(Table10[[#This Row],[Year]]&gt;0,$E$1-Table10[[#This Row],[Year]],0),"")</f>
        <v>16</v>
      </c>
      <c r="F3047" s="456">
        <v>2009</v>
      </c>
      <c r="G3047" s="456">
        <v>10</v>
      </c>
      <c r="H3047" s="456">
        <v>14</v>
      </c>
    </row>
    <row r="3048" spans="1:8">
      <c r="A3048" s="471">
        <v>4045</v>
      </c>
      <c r="B3048" s="493" t="s">
        <v>4688</v>
      </c>
      <c r="C3048" s="472" t="s">
        <v>251</v>
      </c>
      <c r="D3048" s="456" t="str">
        <f>IF(Table10[[#This Row],[Current Age]]&gt;19,"Men's",IF(E3048&gt;15,"U19",IF(E3048&gt;13,"U15",IF(E3048&gt;11,"U13",IF(E3048&gt;0,"U11",0)))))</f>
        <v>U19</v>
      </c>
      <c r="E3048" s="456">
        <f>IFERROR(IF(Table10[[#This Row],[Year]]&gt;0,$E$1-Table10[[#This Row],[Year]],0),"")</f>
        <v>16</v>
      </c>
      <c r="F3048" s="456">
        <v>2009</v>
      </c>
      <c r="G3048" s="456">
        <v>9</v>
      </c>
      <c r="H3048" s="456">
        <v>13</v>
      </c>
    </row>
    <row r="3049" spans="1:8">
      <c r="A3049" s="456">
        <v>4046</v>
      </c>
      <c r="B3049" s="469" t="s">
        <v>4689</v>
      </c>
      <c r="C3049" s="458" t="s">
        <v>251</v>
      </c>
      <c r="D3049" s="456" t="str">
        <f>IF(Table10[[#This Row],[Current Age]]&gt;19,"Men's",IF(E3049&gt;15,"U19",IF(E3049&gt;13,"U15",IF(E3049&gt;11,"U13",IF(E3049&gt;0,"U11",0)))))</f>
        <v>U13</v>
      </c>
      <c r="E3049" s="456">
        <f>IFERROR(IF(Table10[[#This Row],[Year]]&gt;0,$E$1-Table10[[#This Row],[Year]],0),"")</f>
        <v>12</v>
      </c>
      <c r="F3049" s="456">
        <v>2013</v>
      </c>
      <c r="G3049" s="456">
        <v>10</v>
      </c>
      <c r="H3049" s="456">
        <v>7</v>
      </c>
    </row>
    <row r="3050" spans="1:8">
      <c r="A3050" s="471">
        <v>4047</v>
      </c>
      <c r="B3050" s="493" t="s">
        <v>4690</v>
      </c>
      <c r="C3050" s="472" t="s">
        <v>251</v>
      </c>
      <c r="D3050" s="456" t="str">
        <f>IF(Table10[[#This Row],[Current Age]]&gt;19,"Men's",IF(E3050&gt;15,"U19",IF(E3050&gt;13,"U15",IF(E3050&gt;11,"U13",IF(E3050&gt;0,"U11",0)))))</f>
        <v>U15</v>
      </c>
      <c r="E3050" s="456">
        <f>IFERROR(IF(Table10[[#This Row],[Year]]&gt;0,$E$1-Table10[[#This Row],[Year]],0),"")</f>
        <v>14</v>
      </c>
      <c r="F3050" s="456">
        <v>2011</v>
      </c>
      <c r="G3050" s="456">
        <v>5</v>
      </c>
      <c r="H3050" s="456">
        <v>4</v>
      </c>
    </row>
    <row r="3051" spans="1:8">
      <c r="A3051" s="456">
        <v>4048</v>
      </c>
      <c r="B3051" s="469" t="s">
        <v>4711</v>
      </c>
      <c r="C3051" s="458" t="s">
        <v>248</v>
      </c>
      <c r="D3051" s="456">
        <f>IF(Table10[[#This Row],[Current Age]]&gt;19,"Men's",IF(E3051&gt;15,"U19",IF(E3051&gt;13,"U15",IF(E3051&gt;11,"U13",IF(E3051&gt;0,"U11",0)))))</f>
        <v>0</v>
      </c>
      <c r="E3051" s="456">
        <f>IFERROR(IF(Table10[[#This Row],[Year]]&gt;0,$E$1-Table10[[#This Row],[Year]],0),"")</f>
        <v>0</v>
      </c>
      <c r="F3051" s="456"/>
      <c r="G3051" s="456"/>
      <c r="H3051" s="456"/>
    </row>
    <row r="3052" spans="1:8">
      <c r="A3052" s="471">
        <v>4049</v>
      </c>
      <c r="B3052" s="493" t="s">
        <v>4712</v>
      </c>
      <c r="C3052" s="472" t="s">
        <v>248</v>
      </c>
      <c r="D3052" s="456" t="str">
        <f>IF(Table10[[#This Row],[Current Age]]&gt;19,"Men's",IF(E3052&gt;15,"U19",IF(E3052&gt;13,"U15",IF(E3052&gt;11,"U13",IF(E3052&gt;0,"U11",0)))))</f>
        <v>U19</v>
      </c>
      <c r="E3052" s="456">
        <f>IFERROR(IF(Table10[[#This Row],[Year]]&gt;0,$E$1-Table10[[#This Row],[Year]],0),"")</f>
        <v>19</v>
      </c>
      <c r="F3052" s="456">
        <v>2006</v>
      </c>
      <c r="G3052" s="456">
        <v>5</v>
      </c>
      <c r="H3052" s="456">
        <v>30</v>
      </c>
    </row>
    <row r="3053" spans="1:8">
      <c r="A3053" s="456">
        <v>4050</v>
      </c>
      <c r="B3053" s="469" t="s">
        <v>4713</v>
      </c>
      <c r="C3053" s="458" t="s">
        <v>248</v>
      </c>
      <c r="D3053" s="456" t="str">
        <f>IF(Table10[[#This Row],[Current Age]]&gt;19,"Men's",IF(E3053&gt;15,"U19",IF(E3053&gt;13,"U15",IF(E3053&gt;11,"U13",IF(E3053&gt;0,"U11",0)))))</f>
        <v>U19</v>
      </c>
      <c r="E3053" s="456">
        <f>IFERROR(IF(Table10[[#This Row],[Year]]&gt;0,$E$1-Table10[[#This Row],[Year]],0),"")</f>
        <v>19</v>
      </c>
      <c r="F3053" s="456">
        <v>2006</v>
      </c>
      <c r="G3053" s="456">
        <v>5</v>
      </c>
      <c r="H3053" s="456">
        <v>1</v>
      </c>
    </row>
    <row r="3054" spans="1:8">
      <c r="A3054" s="471">
        <v>4051</v>
      </c>
      <c r="B3054" s="493" t="s">
        <v>4714</v>
      </c>
      <c r="C3054" s="472" t="s">
        <v>248</v>
      </c>
      <c r="D3054" s="456" t="str">
        <f>IF(Table10[[#This Row],[Current Age]]&gt;19,"Men's",IF(E3054&gt;15,"U19",IF(E3054&gt;13,"U15",IF(E3054&gt;11,"U13",IF(E3054&gt;0,"U11",0)))))</f>
        <v>U15</v>
      </c>
      <c r="E3054" s="456">
        <f>IFERROR(IF(Table10[[#This Row],[Year]]&gt;0,$E$1-Table10[[#This Row],[Year]],0),"")</f>
        <v>14</v>
      </c>
      <c r="F3054" s="456">
        <v>2011</v>
      </c>
      <c r="G3054" s="456">
        <v>9</v>
      </c>
      <c r="H3054" s="456">
        <v>6</v>
      </c>
    </row>
    <row r="3055" spans="1:8">
      <c r="A3055" s="456">
        <v>4052</v>
      </c>
      <c r="B3055" s="469" t="s">
        <v>4715</v>
      </c>
      <c r="C3055" s="458" t="s">
        <v>248</v>
      </c>
      <c r="D3055" s="456" t="str">
        <f>IF(Table10[[#This Row],[Current Age]]&gt;19,"Men's",IF(E3055&gt;15,"U19",IF(E3055&gt;13,"U15",IF(E3055&gt;11,"U13",IF(E3055&gt;0,"U11",0)))))</f>
        <v>Men's</v>
      </c>
      <c r="E3055" s="456">
        <f>IFERROR(IF(Table10[[#This Row],[Year]]&gt;0,$E$1-Table10[[#This Row],[Year]],0),"")</f>
        <v>21</v>
      </c>
      <c r="F3055" s="456">
        <v>2004</v>
      </c>
      <c r="G3055" s="456">
        <v>9</v>
      </c>
      <c r="H3055" s="456">
        <v>19</v>
      </c>
    </row>
    <row r="3056" spans="1:8">
      <c r="A3056" s="471">
        <v>4053</v>
      </c>
      <c r="B3056" s="493" t="s">
        <v>4716</v>
      </c>
      <c r="C3056" s="472" t="s">
        <v>248</v>
      </c>
      <c r="D3056" s="456" t="str">
        <f>IF(Table10[[#This Row],[Current Age]]&gt;19,"Men's",IF(E3056&gt;15,"U19",IF(E3056&gt;13,"U15",IF(E3056&gt;11,"U13",IF(E3056&gt;0,"U11",0)))))</f>
        <v>Men's</v>
      </c>
      <c r="E3056" s="456">
        <f>IFERROR(IF(Table10[[#This Row],[Year]]&gt;0,$E$1-Table10[[#This Row],[Year]],0),"")</f>
        <v>37</v>
      </c>
      <c r="F3056" s="456">
        <v>1988</v>
      </c>
      <c r="G3056" s="456">
        <v>9</v>
      </c>
      <c r="H3056" s="456">
        <v>16</v>
      </c>
    </row>
    <row r="3057" spans="1:8">
      <c r="A3057" s="456">
        <v>4054</v>
      </c>
      <c r="B3057" s="469" t="s">
        <v>4717</v>
      </c>
      <c r="C3057" s="458" t="s">
        <v>248</v>
      </c>
      <c r="D3057" s="456" t="str">
        <f>IF(Table10[[#This Row],[Current Age]]&gt;19,"Men's",IF(E3057&gt;15,"U19",IF(E3057&gt;13,"U15",IF(E3057&gt;11,"U13",IF(E3057&gt;0,"U11",0)))))</f>
        <v>Men's</v>
      </c>
      <c r="E3057" s="456">
        <f>IFERROR(IF(Table10[[#This Row],[Year]]&gt;0,$E$1-Table10[[#This Row],[Year]],0),"")</f>
        <v>28</v>
      </c>
      <c r="F3057" s="456">
        <v>1997</v>
      </c>
      <c r="G3057" s="456">
        <v>10</v>
      </c>
      <c r="H3057" s="456">
        <v>30</v>
      </c>
    </row>
    <row r="3058" spans="1:8">
      <c r="A3058" s="471">
        <v>4055</v>
      </c>
      <c r="B3058" s="493" t="s">
        <v>4768</v>
      </c>
      <c r="C3058" s="472" t="s">
        <v>4720</v>
      </c>
      <c r="D3058" s="456">
        <f>IF(Table10[[#This Row],[Current Age]]&gt;19,"Men's",IF(E3058&gt;15,"U19",IF(E3058&gt;13,"U15",IF(E3058&gt;11,"U13",IF(E3058&gt;0,"U11",0)))))</f>
        <v>0</v>
      </c>
      <c r="E3058" s="456">
        <f>IFERROR(IF(Table10[[#This Row],[Year]]&gt;0,$E$1-Table10[[#This Row],[Year]],0),"")</f>
        <v>0</v>
      </c>
      <c r="F3058" s="456"/>
      <c r="G3058" s="456"/>
      <c r="H3058" s="456"/>
    </row>
    <row r="3059" spans="1:8">
      <c r="A3059" s="456">
        <v>4056</v>
      </c>
      <c r="B3059" s="469" t="s">
        <v>4769</v>
      </c>
      <c r="C3059" s="458" t="s">
        <v>4745</v>
      </c>
      <c r="D3059" s="456">
        <f>IF(Table10[[#This Row],[Current Age]]&gt;19,"Men's",IF(E3059&gt;15,"U19",IF(E3059&gt;13,"U15",IF(E3059&gt;11,"U13",IF(E3059&gt;0,"U11",0)))))</f>
        <v>0</v>
      </c>
      <c r="E3059" s="456">
        <f>IFERROR(IF(Table10[[#This Row],[Year]]&gt;0,$E$1-Table10[[#This Row],[Year]],0),"")</f>
        <v>0</v>
      </c>
      <c r="F3059" s="456"/>
      <c r="G3059" s="456"/>
      <c r="H3059" s="456"/>
    </row>
    <row r="3060" spans="1:8">
      <c r="A3060" s="471">
        <v>4057</v>
      </c>
      <c r="B3060" s="493" t="s">
        <v>4770</v>
      </c>
      <c r="C3060" s="472" t="s">
        <v>4745</v>
      </c>
      <c r="D3060" s="456">
        <f>IF(Table10[[#This Row],[Current Age]]&gt;19,"Men's",IF(E3060&gt;15,"U19",IF(E3060&gt;13,"U15",IF(E3060&gt;11,"U13",IF(E3060&gt;0,"U11",0)))))</f>
        <v>0</v>
      </c>
      <c r="E3060" s="456">
        <f>IFERROR(IF(Table10[[#This Row],[Year]]&gt;0,$E$1-Table10[[#This Row],[Year]],0),"")</f>
        <v>0</v>
      </c>
      <c r="F3060" s="456"/>
      <c r="G3060" s="456"/>
      <c r="H3060" s="456"/>
    </row>
    <row r="3061" spans="1:8">
      <c r="A3061" s="456">
        <v>4058</v>
      </c>
      <c r="B3061" s="469" t="s">
        <v>4771</v>
      </c>
      <c r="C3061" s="458" t="s">
        <v>4745</v>
      </c>
      <c r="D3061" s="456">
        <f>IF(Table10[[#This Row],[Current Age]]&gt;19,"Men's",IF(E3061&gt;15,"U19",IF(E3061&gt;13,"U15",IF(E3061&gt;11,"U13",IF(E3061&gt;0,"U11",0)))))</f>
        <v>0</v>
      </c>
      <c r="E3061" s="456">
        <f>IFERROR(IF(Table10[[#This Row],[Year]]&gt;0,$E$1-Table10[[#This Row],[Year]],0),"")</f>
        <v>0</v>
      </c>
      <c r="F3061" s="456"/>
      <c r="G3061" s="456"/>
      <c r="H3061" s="456"/>
    </row>
    <row r="3062" spans="1:8">
      <c r="A3062" s="471">
        <v>4059</v>
      </c>
      <c r="B3062" s="493" t="s">
        <v>4772</v>
      </c>
      <c r="C3062" s="472" t="s">
        <v>4720</v>
      </c>
      <c r="D3062" s="456">
        <f>IF(Table10[[#This Row],[Current Age]]&gt;19,"Men's",IF(E3062&gt;15,"U19",IF(E3062&gt;13,"U15",IF(E3062&gt;11,"U13",IF(E3062&gt;0,"U11",0)))))</f>
        <v>0</v>
      </c>
      <c r="E3062" s="456">
        <f>IFERROR(IF(Table10[[#This Row],[Year]]&gt;0,$E$1-Table10[[#This Row],[Year]],0),"")</f>
        <v>0</v>
      </c>
      <c r="F3062" s="456"/>
      <c r="G3062" s="456"/>
      <c r="H3062" s="456"/>
    </row>
    <row r="3063" spans="1:8">
      <c r="A3063" s="456">
        <v>4060</v>
      </c>
      <c r="B3063" s="493" t="s">
        <v>4773</v>
      </c>
      <c r="C3063" s="458" t="s">
        <v>4720</v>
      </c>
      <c r="D3063" s="456">
        <f>IF(Table10[[#This Row],[Current Age]]&gt;19,"Men's",IF(E3063&gt;15,"U19",IF(E3063&gt;13,"U15",IF(E3063&gt;11,"U13",IF(E3063&gt;0,"U11",0)))))</f>
        <v>0</v>
      </c>
      <c r="E3063" s="456">
        <f>IFERROR(IF(Table10[[#This Row],[Year]]&gt;0,$E$1-Table10[[#This Row],[Year]],0),"")</f>
        <v>0</v>
      </c>
      <c r="F3063" s="456"/>
      <c r="G3063" s="456"/>
      <c r="H3063" s="456"/>
    </row>
    <row r="3064" spans="1:8">
      <c r="A3064" s="471">
        <v>4061</v>
      </c>
      <c r="B3064" s="493" t="s">
        <v>4774</v>
      </c>
      <c r="C3064" s="472" t="s">
        <v>4720</v>
      </c>
      <c r="D3064" s="456">
        <f>IF(Table10[[#This Row],[Current Age]]&gt;19,"Men's",IF(E3064&gt;15,"U19",IF(E3064&gt;13,"U15",IF(E3064&gt;11,"U13",IF(E3064&gt;0,"U11",0)))))</f>
        <v>0</v>
      </c>
      <c r="E3064" s="456">
        <f>IFERROR(IF(Table10[[#This Row],[Year]]&gt;0,$E$1-Table10[[#This Row],[Year]],0),"")</f>
        <v>0</v>
      </c>
      <c r="F3064" s="456"/>
      <c r="G3064" s="456"/>
      <c r="H3064" s="456"/>
    </row>
    <row r="3065" spans="1:8">
      <c r="A3065" s="456">
        <v>4062</v>
      </c>
      <c r="B3065" s="469" t="s">
        <v>4775</v>
      </c>
      <c r="C3065" s="458" t="s">
        <v>4720</v>
      </c>
      <c r="D3065" s="456">
        <f>IF(Table10[[#This Row],[Current Age]]&gt;19,"Men's",IF(E3065&gt;15,"U19",IF(E3065&gt;13,"U15",IF(E3065&gt;11,"U13",IF(E3065&gt;0,"U11",0)))))</f>
        <v>0</v>
      </c>
      <c r="E3065" s="456">
        <f>IFERROR(IF(Table10[[#This Row],[Year]]&gt;0,$E$1-Table10[[#This Row],[Year]],0),"")</f>
        <v>0</v>
      </c>
      <c r="F3065" s="456"/>
      <c r="G3065" s="456"/>
      <c r="H3065" s="456"/>
    </row>
    <row r="3066" spans="1:8">
      <c r="A3066" s="471">
        <v>4063</v>
      </c>
      <c r="B3066" s="493" t="s">
        <v>4776</v>
      </c>
      <c r="C3066" s="472" t="s">
        <v>4720</v>
      </c>
      <c r="D3066" s="456">
        <f>IF(Table10[[#This Row],[Current Age]]&gt;19,"Men's",IF(E3066&gt;15,"U19",IF(E3066&gt;13,"U15",IF(E3066&gt;11,"U13",IF(E3066&gt;0,"U11",0)))))</f>
        <v>0</v>
      </c>
      <c r="E3066" s="456">
        <f>IFERROR(IF(Table10[[#This Row],[Year]]&gt;0,$E$1-Table10[[#This Row],[Year]],0),"")</f>
        <v>0</v>
      </c>
      <c r="F3066" s="456"/>
      <c r="G3066" s="456"/>
      <c r="H3066" s="456"/>
    </row>
    <row r="3067" spans="1:8">
      <c r="A3067" s="456">
        <v>4064</v>
      </c>
      <c r="B3067" s="469" t="s">
        <v>5797</v>
      </c>
      <c r="C3067" s="458" t="s">
        <v>244</v>
      </c>
      <c r="D3067" s="456">
        <f>IF(Table10[[#This Row],[Current Age]]&gt;19,"Men's",IF(E3067&gt;15,"U19",IF(E3067&gt;13,"U15",IF(E3067&gt;11,"U13",IF(E3067&gt;0,"U11",0)))))</f>
        <v>0</v>
      </c>
      <c r="E3067" s="456">
        <f>IFERROR(IF(Table10[[#This Row],[Year]]&gt;0,$E$1-Table10[[#This Row],[Year]],0),"")</f>
        <v>0</v>
      </c>
      <c r="F3067" s="456"/>
      <c r="G3067" s="456"/>
      <c r="H3067" s="456"/>
    </row>
    <row r="3068" spans="1:8">
      <c r="A3068" s="471">
        <v>4065</v>
      </c>
      <c r="B3068" s="493" t="s">
        <v>4777</v>
      </c>
      <c r="C3068" s="472" t="s">
        <v>4720</v>
      </c>
      <c r="D3068" s="456">
        <f>IF(Table10[[#This Row],[Current Age]]&gt;19,"Men's",IF(E3068&gt;15,"U19",IF(E3068&gt;13,"U15",IF(E3068&gt;11,"U13",IF(E3068&gt;0,"U11",0)))))</f>
        <v>0</v>
      </c>
      <c r="E3068" s="456">
        <f>IFERROR(IF(Table10[[#This Row],[Year]]&gt;0,$E$1-Table10[[#This Row],[Year]],0),"")</f>
        <v>0</v>
      </c>
      <c r="F3068" s="456"/>
      <c r="G3068" s="456"/>
      <c r="H3068" s="456"/>
    </row>
    <row r="3069" spans="1:8">
      <c r="A3069" s="456">
        <v>4066</v>
      </c>
      <c r="B3069" s="469" t="s">
        <v>4778</v>
      </c>
      <c r="C3069" s="458" t="s">
        <v>4720</v>
      </c>
      <c r="D3069" s="456">
        <f>IF(Table10[[#This Row],[Current Age]]&gt;19,"Men's",IF(E3069&gt;15,"U19",IF(E3069&gt;13,"U15",IF(E3069&gt;11,"U13",IF(E3069&gt;0,"U11",0)))))</f>
        <v>0</v>
      </c>
      <c r="E3069" s="456">
        <f>IFERROR(IF(Table10[[#This Row],[Year]]&gt;0,$E$1-Table10[[#This Row],[Year]],0),"")</f>
        <v>0</v>
      </c>
      <c r="F3069" s="456"/>
      <c r="G3069" s="456"/>
      <c r="H3069" s="456"/>
    </row>
    <row r="3070" spans="1:8">
      <c r="A3070" s="471">
        <v>4067</v>
      </c>
      <c r="B3070" s="493" t="s">
        <v>4779</v>
      </c>
      <c r="C3070" s="472" t="s">
        <v>4720</v>
      </c>
      <c r="D3070" s="456">
        <f>IF(Table10[[#This Row],[Current Age]]&gt;19,"Men's",IF(E3070&gt;15,"U19",IF(E3070&gt;13,"U15",IF(E3070&gt;11,"U13",IF(E3070&gt;0,"U11",0)))))</f>
        <v>0</v>
      </c>
      <c r="E3070" s="456">
        <f>IFERROR(IF(Table10[[#This Row],[Year]]&gt;0,$E$1-Table10[[#This Row],[Year]],0),"")</f>
        <v>0</v>
      </c>
      <c r="F3070" s="456"/>
      <c r="G3070" s="456"/>
      <c r="H3070" s="456"/>
    </row>
    <row r="3071" spans="1:8">
      <c r="A3071" s="456">
        <v>4068</v>
      </c>
      <c r="B3071" s="469" t="s">
        <v>4780</v>
      </c>
      <c r="C3071" s="458" t="s">
        <v>258</v>
      </c>
      <c r="D3071" s="456">
        <f>IF(Table10[[#This Row],[Current Age]]&gt;19,"Men's",IF(E3071&gt;15,"U19",IF(E3071&gt;13,"U15",IF(E3071&gt;11,"U13",IF(E3071&gt;0,"U11",0)))))</f>
        <v>0</v>
      </c>
      <c r="E3071" s="456">
        <f>IFERROR(IF(Table10[[#This Row],[Year]]&gt;0,$E$1-Table10[[#This Row],[Year]],0),"")</f>
        <v>0</v>
      </c>
      <c r="F3071" s="456"/>
      <c r="G3071" s="456"/>
      <c r="H3071" s="456"/>
    </row>
    <row r="3072" spans="1:8">
      <c r="A3072" s="471">
        <v>4069</v>
      </c>
      <c r="B3072" s="493" t="s">
        <v>4781</v>
      </c>
      <c r="C3072" s="472" t="s">
        <v>4720</v>
      </c>
      <c r="D3072" s="456">
        <f>IF(Table10[[#This Row],[Current Age]]&gt;19,"Men's",IF(E3072&gt;15,"U19",IF(E3072&gt;13,"U15",IF(E3072&gt;11,"U13",IF(E3072&gt;0,"U11",0)))))</f>
        <v>0</v>
      </c>
      <c r="E3072" s="456">
        <f>IFERROR(IF(Table10[[#This Row],[Year]]&gt;0,$E$1-Table10[[#This Row],[Year]],0),"")</f>
        <v>0</v>
      </c>
      <c r="F3072" s="456"/>
      <c r="G3072" s="456"/>
      <c r="H3072" s="456"/>
    </row>
    <row r="3073" spans="1:8">
      <c r="A3073" s="456">
        <v>4070</v>
      </c>
      <c r="B3073" s="469" t="s">
        <v>4782</v>
      </c>
      <c r="C3073" s="458" t="s">
        <v>4720</v>
      </c>
      <c r="D3073" s="456">
        <f>IF(Table10[[#This Row],[Current Age]]&gt;19,"Men's",IF(E3073&gt;15,"U19",IF(E3073&gt;13,"U15",IF(E3073&gt;11,"U13",IF(E3073&gt;0,"U11",0)))))</f>
        <v>0</v>
      </c>
      <c r="E3073" s="456">
        <f>IFERROR(IF(Table10[[#This Row],[Year]]&gt;0,$E$1-Table10[[#This Row],[Year]],0),"")</f>
        <v>0</v>
      </c>
      <c r="F3073" s="456"/>
      <c r="G3073" s="456"/>
      <c r="H3073" s="456"/>
    </row>
    <row r="3074" spans="1:8">
      <c r="A3074" s="471">
        <v>4071</v>
      </c>
      <c r="B3074" s="493" t="s">
        <v>4783</v>
      </c>
      <c r="C3074" s="472" t="s">
        <v>4720</v>
      </c>
      <c r="D3074" s="456">
        <f>IF(Table10[[#This Row],[Current Age]]&gt;19,"Men's",IF(E3074&gt;15,"U19",IF(E3074&gt;13,"U15",IF(E3074&gt;11,"U13",IF(E3074&gt;0,"U11",0)))))</f>
        <v>0</v>
      </c>
      <c r="E3074" s="456">
        <f>IFERROR(IF(Table10[[#This Row],[Year]]&gt;0,$E$1-Table10[[#This Row],[Year]],0),"")</f>
        <v>0</v>
      </c>
      <c r="F3074" s="456"/>
      <c r="G3074" s="456"/>
      <c r="H3074" s="456"/>
    </row>
    <row r="3075" spans="1:8">
      <c r="A3075" s="456">
        <v>4072</v>
      </c>
      <c r="B3075" s="469" t="s">
        <v>4784</v>
      </c>
      <c r="C3075" s="458" t="s">
        <v>4720</v>
      </c>
      <c r="D3075" s="456">
        <f>IF(Table10[[#This Row],[Current Age]]&gt;19,"Men's",IF(E3075&gt;15,"U19",IF(E3075&gt;13,"U15",IF(E3075&gt;11,"U13",IF(E3075&gt;0,"U11",0)))))</f>
        <v>0</v>
      </c>
      <c r="E3075" s="456">
        <f>IFERROR(IF(Table10[[#This Row],[Year]]&gt;0,$E$1-Table10[[#This Row],[Year]],0),"")</f>
        <v>0</v>
      </c>
      <c r="F3075" s="456"/>
      <c r="G3075" s="456"/>
      <c r="H3075" s="456"/>
    </row>
    <row r="3076" spans="1:8">
      <c r="A3076" s="471">
        <v>4073</v>
      </c>
      <c r="B3076" s="493" t="s">
        <v>4785</v>
      </c>
      <c r="C3076" s="472" t="s">
        <v>4720</v>
      </c>
      <c r="D3076" s="456">
        <f>IF(Table10[[#This Row],[Current Age]]&gt;19,"Men's",IF(E3076&gt;15,"U19",IF(E3076&gt;13,"U15",IF(E3076&gt;11,"U13",IF(E3076&gt;0,"U11",0)))))</f>
        <v>0</v>
      </c>
      <c r="E3076" s="456">
        <f>IFERROR(IF(Table10[[#This Row],[Year]]&gt;0,$E$1-Table10[[#This Row],[Year]],0),"")</f>
        <v>0</v>
      </c>
      <c r="F3076" s="456"/>
      <c r="G3076" s="456"/>
      <c r="H3076" s="456"/>
    </row>
    <row r="3077" spans="1:8">
      <c r="A3077" s="456">
        <v>4074</v>
      </c>
      <c r="B3077" s="469" t="s">
        <v>4791</v>
      </c>
      <c r="C3077" s="458" t="s">
        <v>4720</v>
      </c>
      <c r="D3077" s="456">
        <f>IF(Table10[[#This Row],[Current Age]]&gt;19,"Men's",IF(E3077&gt;15,"U19",IF(E3077&gt;13,"U15",IF(E3077&gt;11,"U13",IF(E3077&gt;0,"U11",0)))))</f>
        <v>0</v>
      </c>
      <c r="E3077" s="456">
        <f>IFERROR(IF(Table10[[#This Row],[Year]]&gt;0,$E$1-Table10[[#This Row],[Year]],0),"")</f>
        <v>0</v>
      </c>
      <c r="F3077" s="456"/>
      <c r="G3077" s="456"/>
      <c r="H3077" s="456"/>
    </row>
    <row r="3078" spans="1:8">
      <c r="A3078" s="471">
        <v>4075</v>
      </c>
      <c r="B3078" s="493" t="s">
        <v>4786</v>
      </c>
      <c r="C3078" s="472" t="s">
        <v>4720</v>
      </c>
      <c r="D3078" s="456">
        <f>IF(Table10[[#This Row],[Current Age]]&gt;19,"Men's",IF(E3078&gt;15,"U19",IF(E3078&gt;13,"U15",IF(E3078&gt;11,"U13",IF(E3078&gt;0,"U11",0)))))</f>
        <v>0</v>
      </c>
      <c r="E3078" s="456">
        <f>IFERROR(IF(Table10[[#This Row],[Year]]&gt;0,$E$1-Table10[[#This Row],[Year]],0),"")</f>
        <v>0</v>
      </c>
      <c r="F3078" s="456"/>
      <c r="G3078" s="456"/>
      <c r="H3078" s="456"/>
    </row>
    <row r="3079" spans="1:8">
      <c r="A3079" s="456">
        <v>4076</v>
      </c>
      <c r="B3079" s="469" t="s">
        <v>4792</v>
      </c>
      <c r="C3079" s="458" t="s">
        <v>4720</v>
      </c>
      <c r="D3079" s="456">
        <f>IF(Table10[[#This Row],[Current Age]]&gt;19,"Men's",IF(E3079&gt;15,"U19",IF(E3079&gt;13,"U15",IF(E3079&gt;11,"U13",IF(E3079&gt;0,"U11",0)))))</f>
        <v>0</v>
      </c>
      <c r="E3079" s="456">
        <f>IFERROR(IF(Table10[[#This Row],[Year]]&gt;0,$E$1-Table10[[#This Row],[Year]],0),"")</f>
        <v>0</v>
      </c>
      <c r="F3079" s="456"/>
      <c r="G3079" s="456"/>
      <c r="H3079" s="456"/>
    </row>
    <row r="3080" spans="1:8">
      <c r="A3080" s="471">
        <v>4077</v>
      </c>
      <c r="B3080" s="493" t="s">
        <v>4787</v>
      </c>
      <c r="C3080" s="472" t="s">
        <v>4720</v>
      </c>
      <c r="D3080" s="456">
        <f>IF(Table10[[#This Row],[Current Age]]&gt;19,"Men's",IF(E3080&gt;15,"U19",IF(E3080&gt;13,"U15",IF(E3080&gt;11,"U13",IF(E3080&gt;0,"U11",0)))))</f>
        <v>0</v>
      </c>
      <c r="E3080" s="456">
        <f>IFERROR(IF(Table10[[#This Row],[Year]]&gt;0,$E$1-Table10[[#This Row],[Year]],0),"")</f>
        <v>0</v>
      </c>
      <c r="F3080" s="456"/>
      <c r="G3080" s="456"/>
      <c r="H3080" s="456"/>
    </row>
    <row r="3081" spans="1:8">
      <c r="A3081" s="456">
        <v>4078</v>
      </c>
      <c r="B3081" s="469" t="s">
        <v>4788</v>
      </c>
      <c r="C3081" s="458" t="s">
        <v>4720</v>
      </c>
      <c r="D3081" s="456">
        <f>IF(Table10[[#This Row],[Current Age]]&gt;19,"Men's",IF(E3081&gt;15,"U19",IF(E3081&gt;13,"U15",IF(E3081&gt;11,"U13",IF(E3081&gt;0,"U11",0)))))</f>
        <v>0</v>
      </c>
      <c r="E3081" s="456">
        <f>IFERROR(IF(Table10[[#This Row],[Year]]&gt;0,$E$1-Table10[[#This Row],[Year]],0),"")</f>
        <v>0</v>
      </c>
      <c r="F3081" s="456"/>
      <c r="G3081" s="456"/>
      <c r="H3081" s="456"/>
    </row>
    <row r="3082" spans="1:8">
      <c r="A3082" s="695">
        <v>4079</v>
      </c>
      <c r="B3082" s="493" t="s">
        <v>6085</v>
      </c>
      <c r="C3082" s="472" t="s">
        <v>3750</v>
      </c>
      <c r="D3082" s="456">
        <f>IF(Table10[[#This Row],[Current Age]]&gt;19,"Men's",IF(E3082&gt;15,"U19",IF(E3082&gt;13,"U15",IF(E3082&gt;11,"U13",IF(E3082&gt;0,"U11",0)))))</f>
        <v>0</v>
      </c>
      <c r="E3082" s="456">
        <f>IFERROR(IF(Table10[[#This Row],[Year]]&gt;0,$E$1-Table10[[#This Row],[Year]],0),"")</f>
        <v>0</v>
      </c>
      <c r="F3082" s="456"/>
      <c r="G3082" s="456"/>
      <c r="H3082" s="456"/>
    </row>
    <row r="3083" spans="1:8">
      <c r="A3083" s="456">
        <v>4080</v>
      </c>
      <c r="B3083" s="469" t="s">
        <v>4789</v>
      </c>
      <c r="C3083" s="458" t="s">
        <v>4720</v>
      </c>
      <c r="D3083" s="456">
        <f>IF(Table10[[#This Row],[Current Age]]&gt;19,"Men's",IF(E3083&gt;15,"U19",IF(E3083&gt;13,"U15",IF(E3083&gt;11,"U13",IF(E3083&gt;0,"U11",0)))))</f>
        <v>0</v>
      </c>
      <c r="E3083" s="456">
        <f>IFERROR(IF(Table10[[#This Row],[Year]]&gt;0,$E$1-Table10[[#This Row],[Year]],0),"")</f>
        <v>0</v>
      </c>
      <c r="F3083" s="456"/>
      <c r="G3083" s="456"/>
      <c r="H3083" s="456"/>
    </row>
    <row r="3084" spans="1:8">
      <c r="A3084" s="471">
        <v>4081</v>
      </c>
      <c r="B3084" s="493" t="s">
        <v>4790</v>
      </c>
      <c r="C3084" s="472" t="s">
        <v>258</v>
      </c>
      <c r="D3084" s="456">
        <f>IF(Table10[[#This Row],[Current Age]]&gt;19,"Men's",IF(E3084&gt;15,"U19",IF(E3084&gt;13,"U15",IF(E3084&gt;11,"U13",IF(E3084&gt;0,"U11",0)))))</f>
        <v>0</v>
      </c>
      <c r="E3084" s="456">
        <f>IFERROR(IF(Table10[[#This Row],[Year]]&gt;0,$E$1-Table10[[#This Row],[Year]],0),"")</f>
        <v>0</v>
      </c>
      <c r="F3084" s="456"/>
      <c r="G3084" s="456"/>
      <c r="H3084" s="456"/>
    </row>
    <row r="3085" spans="1:8">
      <c r="A3085" s="456">
        <v>4082</v>
      </c>
      <c r="B3085" s="469" t="s">
        <v>4793</v>
      </c>
      <c r="C3085" s="458" t="s">
        <v>4720</v>
      </c>
      <c r="D3085" s="456">
        <f>IF(Table10[[#This Row],[Current Age]]&gt;19,"Men's",IF(E3085&gt;15,"U19",IF(E3085&gt;13,"U15",IF(E3085&gt;11,"U13",IF(E3085&gt;0,"U11",0)))))</f>
        <v>0</v>
      </c>
      <c r="E3085" s="456">
        <f>IFERROR(IF(Table10[[#This Row],[Year]]&gt;0,$E$1-Table10[[#This Row],[Year]],0),"")</f>
        <v>0</v>
      </c>
      <c r="F3085" s="456"/>
      <c r="G3085" s="456"/>
      <c r="H3085" s="456"/>
    </row>
    <row r="3086" spans="1:8">
      <c r="A3086" s="471">
        <v>4083</v>
      </c>
      <c r="B3086" s="493" t="s">
        <v>4794</v>
      </c>
      <c r="C3086" s="472" t="s">
        <v>4720</v>
      </c>
      <c r="D3086" s="456">
        <f>IF(Table10[[#This Row],[Current Age]]&gt;19,"Men's",IF(E3086&gt;15,"U19",IF(E3086&gt;13,"U15",IF(E3086&gt;11,"U13",IF(E3086&gt;0,"U11",0)))))</f>
        <v>0</v>
      </c>
      <c r="E3086" s="456">
        <f>IFERROR(IF(Table10[[#This Row],[Year]]&gt;0,$E$1-Table10[[#This Row],[Year]],0),"")</f>
        <v>0</v>
      </c>
      <c r="F3086" s="456"/>
      <c r="G3086" s="456"/>
      <c r="H3086" s="456"/>
    </row>
    <row r="3087" spans="1:8">
      <c r="A3087" s="456">
        <v>4084</v>
      </c>
      <c r="B3087" s="469" t="s">
        <v>4795</v>
      </c>
      <c r="C3087" s="458" t="s">
        <v>4796</v>
      </c>
      <c r="D3087" s="456">
        <f>IF(Table10[[#This Row],[Current Age]]&gt;19,"Men's",IF(E3087&gt;15,"U19",IF(E3087&gt;13,"U15",IF(E3087&gt;11,"U13",IF(E3087&gt;0,"U11",0)))))</f>
        <v>0</v>
      </c>
      <c r="E3087" s="456">
        <f>IFERROR(IF(Table10[[#This Row],[Year]]&gt;0,$E$1-Table10[[#This Row],[Year]],0),"")</f>
        <v>0</v>
      </c>
      <c r="F3087" s="456"/>
      <c r="G3087" s="456"/>
      <c r="H3087" s="456"/>
    </row>
    <row r="3088" spans="1:8">
      <c r="A3088" s="471">
        <v>4085</v>
      </c>
      <c r="B3088" s="493" t="s">
        <v>4797</v>
      </c>
      <c r="C3088" s="472" t="s">
        <v>4720</v>
      </c>
      <c r="D3088" s="456" t="str">
        <f>IF(Table10[[#This Row],[Current Age]]&gt;19,"Men's",IF(E3088&gt;15,"U19",IF(E3088&gt;13,"U15",IF(E3088&gt;11,"U13",IF(E3088&gt;0,"U11",0)))))</f>
        <v>U19</v>
      </c>
      <c r="E3088" s="456">
        <f>IFERROR(IF(Table10[[#This Row],[Year]]&gt;0,$E$1-Table10[[#This Row],[Year]],0),"")</f>
        <v>17</v>
      </c>
      <c r="F3088" s="456">
        <v>2008</v>
      </c>
      <c r="G3088" s="456">
        <v>3</v>
      </c>
      <c r="H3088" s="456">
        <v>23</v>
      </c>
    </row>
    <row r="3089" spans="1:8">
      <c r="A3089" s="456">
        <v>4086</v>
      </c>
      <c r="B3089" s="469" t="s">
        <v>4798</v>
      </c>
      <c r="C3089" s="458" t="s">
        <v>4720</v>
      </c>
      <c r="D3089" s="456">
        <f>IF(Table10[[#This Row],[Current Age]]&gt;19,"Men's",IF(E3089&gt;15,"U19",IF(E3089&gt;13,"U15",IF(E3089&gt;11,"U13",IF(E3089&gt;0,"U11",0)))))</f>
        <v>0</v>
      </c>
      <c r="E3089" s="456">
        <f>IFERROR(IF(Table10[[#This Row],[Year]]&gt;0,$E$1-Table10[[#This Row],[Year]],0),"")</f>
        <v>0</v>
      </c>
      <c r="F3089" s="456"/>
      <c r="G3089" s="456"/>
      <c r="H3089" s="456"/>
    </row>
    <row r="3090" spans="1:8">
      <c r="A3090" s="471">
        <v>4087</v>
      </c>
      <c r="B3090" s="493" t="s">
        <v>4799</v>
      </c>
      <c r="C3090" s="472" t="s">
        <v>4720</v>
      </c>
      <c r="D3090" s="456">
        <f>IF(Table10[[#This Row],[Current Age]]&gt;19,"Men's",IF(E3090&gt;15,"U19",IF(E3090&gt;13,"U15",IF(E3090&gt;11,"U13",IF(E3090&gt;0,"U11",0)))))</f>
        <v>0</v>
      </c>
      <c r="E3090" s="456">
        <f>IFERROR(IF(Table10[[#This Row],[Year]]&gt;0,$E$1-Table10[[#This Row],[Year]],0),"")</f>
        <v>0</v>
      </c>
      <c r="F3090" s="456"/>
      <c r="G3090" s="456"/>
      <c r="H3090" s="456"/>
    </row>
    <row r="3091" spans="1:8">
      <c r="A3091" s="696">
        <v>4088</v>
      </c>
      <c r="B3091" s="469" t="s">
        <v>6086</v>
      </c>
      <c r="C3091" s="458" t="s">
        <v>3750</v>
      </c>
      <c r="D3091" s="456">
        <f>IF(Table10[[#This Row],[Current Age]]&gt;19,"Men's",IF(E3091&gt;15,"U19",IF(E3091&gt;13,"U15",IF(E3091&gt;11,"U13",IF(E3091&gt;0,"U11",0)))))</f>
        <v>0</v>
      </c>
      <c r="E3091" s="456">
        <f>IFERROR(IF(Table10[[#This Row],[Year]]&gt;0,$E$1-Table10[[#This Row],[Year]],0),"")</f>
        <v>0</v>
      </c>
      <c r="F3091" s="456"/>
      <c r="G3091" s="456"/>
      <c r="H3091" s="456"/>
    </row>
    <row r="3092" spans="1:8">
      <c r="A3092" s="471">
        <v>4089</v>
      </c>
      <c r="B3092" s="493" t="s">
        <v>4800</v>
      </c>
      <c r="C3092" s="472" t="s">
        <v>4720</v>
      </c>
      <c r="D3092" s="456">
        <f>IF(Table10[[#This Row],[Current Age]]&gt;19,"Men's",IF(E3092&gt;15,"U19",IF(E3092&gt;13,"U15",IF(E3092&gt;11,"U13",IF(E3092&gt;0,"U11",0)))))</f>
        <v>0</v>
      </c>
      <c r="E3092" s="456">
        <f>IFERROR(IF(Table10[[#This Row],[Year]]&gt;0,$E$1-Table10[[#This Row],[Year]],0),"")</f>
        <v>0</v>
      </c>
      <c r="F3092" s="456"/>
      <c r="G3092" s="456"/>
      <c r="H3092" s="456"/>
    </row>
    <row r="3093" spans="1:8">
      <c r="A3093" s="456">
        <v>4090</v>
      </c>
      <c r="B3093" s="469" t="s">
        <v>4801</v>
      </c>
      <c r="C3093" s="458" t="s">
        <v>4720</v>
      </c>
      <c r="D3093" s="456">
        <f>IF(Table10[[#This Row],[Current Age]]&gt;19,"Men's",IF(E3093&gt;15,"U19",IF(E3093&gt;13,"U15",IF(E3093&gt;11,"U13",IF(E3093&gt;0,"U11",0)))))</f>
        <v>0</v>
      </c>
      <c r="E3093" s="456">
        <f>IFERROR(IF(Table10[[#This Row],[Year]]&gt;0,$E$1-Table10[[#This Row],[Year]],0),"")</f>
        <v>0</v>
      </c>
      <c r="F3093" s="456"/>
      <c r="G3093" s="456"/>
      <c r="H3093" s="456"/>
    </row>
    <row r="3094" spans="1:8">
      <c r="A3094" s="471">
        <v>4091</v>
      </c>
      <c r="B3094" s="493" t="s">
        <v>4802</v>
      </c>
      <c r="C3094" s="472" t="s">
        <v>4720</v>
      </c>
      <c r="D3094" s="456">
        <f>IF(Table10[[#This Row],[Current Age]]&gt;19,"Men's",IF(E3094&gt;15,"U19",IF(E3094&gt;13,"U15",IF(E3094&gt;11,"U13",IF(E3094&gt;0,"U11",0)))))</f>
        <v>0</v>
      </c>
      <c r="E3094" s="456">
        <f>IFERROR(IF(Table10[[#This Row],[Year]]&gt;0,$E$1-Table10[[#This Row],[Year]],0),"")</f>
        <v>0</v>
      </c>
      <c r="F3094" s="456"/>
      <c r="G3094" s="456"/>
      <c r="H3094" s="456"/>
    </row>
    <row r="3095" spans="1:8">
      <c r="A3095" s="456">
        <v>4092</v>
      </c>
      <c r="B3095" s="469" t="s">
        <v>4803</v>
      </c>
      <c r="C3095" s="458" t="s">
        <v>4720</v>
      </c>
      <c r="D3095" s="456">
        <f>IF(Table10[[#This Row],[Current Age]]&gt;19,"Men's",IF(E3095&gt;15,"U19",IF(E3095&gt;13,"U15",IF(E3095&gt;11,"U13",IF(E3095&gt;0,"U11",0)))))</f>
        <v>0</v>
      </c>
      <c r="E3095" s="456">
        <f>IFERROR(IF(Table10[[#This Row],[Year]]&gt;0,$E$1-Table10[[#This Row],[Year]],0),"")</f>
        <v>0</v>
      </c>
      <c r="F3095" s="456"/>
      <c r="G3095" s="456"/>
      <c r="H3095" s="456"/>
    </row>
    <row r="3096" spans="1:8">
      <c r="A3096" s="800">
        <v>4093</v>
      </c>
      <c r="B3096" s="493" t="s">
        <v>6087</v>
      </c>
      <c r="C3096" s="472" t="s">
        <v>3750</v>
      </c>
      <c r="D3096" s="456">
        <f>IF(Table10[[#This Row],[Current Age]]&gt;19,"Men's",IF(E3096&gt;15,"U19",IF(E3096&gt;13,"U15",IF(E3096&gt;11,"U13",IF(E3096&gt;0,"U11",0)))))</f>
        <v>0</v>
      </c>
      <c r="E3096" s="456">
        <f>IFERROR(IF(Table10[[#This Row],[Year]]&gt;0,$E$1-Table10[[#This Row],[Year]],0),"")</f>
        <v>0</v>
      </c>
      <c r="F3096" s="456"/>
      <c r="G3096" s="456"/>
      <c r="H3096" s="456"/>
    </row>
    <row r="3097" spans="1:8">
      <c r="A3097" s="456">
        <v>4094</v>
      </c>
      <c r="B3097" s="469" t="s">
        <v>4804</v>
      </c>
      <c r="C3097" s="458" t="s">
        <v>4720</v>
      </c>
      <c r="D3097" s="456">
        <f>IF(Table10[[#This Row],[Current Age]]&gt;19,"Men's",IF(E3097&gt;15,"U19",IF(E3097&gt;13,"U15",IF(E3097&gt;11,"U13",IF(E3097&gt;0,"U11",0)))))</f>
        <v>0</v>
      </c>
      <c r="E3097" s="456">
        <f>IFERROR(IF(Table10[[#This Row],[Year]]&gt;0,$E$1-Table10[[#This Row],[Year]],0),"")</f>
        <v>0</v>
      </c>
      <c r="F3097" s="456"/>
      <c r="G3097" s="456"/>
      <c r="H3097" s="456"/>
    </row>
    <row r="3098" spans="1:8">
      <c r="A3098" s="471">
        <v>4095</v>
      </c>
      <c r="B3098" s="493" t="s">
        <v>4809</v>
      </c>
      <c r="C3098" s="472" t="s">
        <v>252</v>
      </c>
      <c r="D3098" s="456">
        <f>IF(Table10[[#This Row],[Current Age]]&gt;19,"Men's",IF(E3098&gt;15,"U19",IF(E3098&gt;13,"U15",IF(E3098&gt;11,"U13",IF(E3098&gt;0,"U11",0)))))</f>
        <v>0</v>
      </c>
      <c r="E3098" s="456">
        <f>IFERROR(IF(Table10[[#This Row],[Year]]&gt;0,$E$1-Table10[[#This Row],[Year]],0),"")</f>
        <v>0</v>
      </c>
      <c r="F3098" s="456"/>
      <c r="G3098" s="456"/>
      <c r="H3098" s="456"/>
    </row>
    <row r="3099" spans="1:8">
      <c r="A3099" s="697">
        <v>4096</v>
      </c>
      <c r="B3099" s="469" t="s">
        <v>6088</v>
      </c>
      <c r="C3099" s="458" t="s">
        <v>3750</v>
      </c>
      <c r="D3099" s="456">
        <f>IF(Table10[[#This Row],[Current Age]]&gt;19,"Men's",IF(E3099&gt;15,"U19",IF(E3099&gt;13,"U15",IF(E3099&gt;11,"U13",IF(E3099&gt;0,"U11",0)))))</f>
        <v>0</v>
      </c>
      <c r="E3099" s="456">
        <f>IFERROR(IF(Table10[[#This Row],[Year]]&gt;0,$E$1-Table10[[#This Row],[Year]],0),"")</f>
        <v>0</v>
      </c>
      <c r="F3099" s="456"/>
      <c r="G3099" s="456"/>
      <c r="H3099" s="456"/>
    </row>
    <row r="3100" spans="1:8">
      <c r="A3100" s="471">
        <v>4097</v>
      </c>
      <c r="B3100" s="493" t="s">
        <v>4810</v>
      </c>
      <c r="C3100" s="472" t="s">
        <v>248</v>
      </c>
      <c r="D3100" s="456">
        <f>IF(Table10[[#This Row],[Current Age]]&gt;19,"Men's",IF(E3100&gt;15,"U19",IF(E3100&gt;13,"U15",IF(E3100&gt;11,"U13",IF(E3100&gt;0,"U11",0)))))</f>
        <v>0</v>
      </c>
      <c r="E3100" s="456">
        <f>IFERROR(IF(Table10[[#This Row],[Year]]&gt;0,$E$1-Table10[[#This Row],[Year]],0),"")</f>
        <v>0</v>
      </c>
      <c r="F3100" s="456"/>
      <c r="G3100" s="456"/>
      <c r="H3100" s="456"/>
    </row>
    <row r="3101" spans="1:8">
      <c r="A3101" s="456">
        <v>4098</v>
      </c>
      <c r="B3101" s="469" t="s">
        <v>4811</v>
      </c>
      <c r="C3101" s="458" t="s">
        <v>4152</v>
      </c>
      <c r="D3101" s="456">
        <f>IF(Table10[[#This Row],[Current Age]]&gt;19,"Men's",IF(E3101&gt;15,"U19",IF(E3101&gt;13,"U15",IF(E3101&gt;11,"U13",IF(E3101&gt;0,"U11",0)))))</f>
        <v>0</v>
      </c>
      <c r="E3101" s="456">
        <f>IFERROR(IF(Table10[[#This Row],[Year]]&gt;0,$E$1-Table10[[#This Row],[Year]],0),"")</f>
        <v>0</v>
      </c>
      <c r="F3101" s="456"/>
      <c r="G3101" s="456"/>
      <c r="H3101" s="456"/>
    </row>
    <row r="3102" spans="1:8">
      <c r="A3102" s="471">
        <v>4099</v>
      </c>
      <c r="B3102" s="493" t="s">
        <v>4812</v>
      </c>
      <c r="C3102" s="472" t="s">
        <v>4658</v>
      </c>
      <c r="D3102" s="456">
        <f>IF(Table10[[#This Row],[Current Age]]&gt;19,"Men's",IF(E3102&gt;15,"U19",IF(E3102&gt;13,"U15",IF(E3102&gt;11,"U13",IF(E3102&gt;0,"U11",0)))))</f>
        <v>0</v>
      </c>
      <c r="E3102" s="456">
        <f>IFERROR(IF(Table10[[#This Row],[Year]]&gt;0,$E$1-Table10[[#This Row],[Year]],0),"")</f>
        <v>0</v>
      </c>
      <c r="F3102" s="456"/>
      <c r="G3102" s="456"/>
      <c r="H3102" s="456"/>
    </row>
    <row r="3103" spans="1:8">
      <c r="A3103" s="456">
        <v>4100</v>
      </c>
      <c r="B3103" s="469" t="s">
        <v>4813</v>
      </c>
      <c r="C3103" s="458" t="s">
        <v>4720</v>
      </c>
      <c r="D3103" s="456" t="str">
        <f>IF(Table10[[#This Row],[Current Age]]&gt;19,"Men's",IF(E3103&gt;15,"U19",IF(E3103&gt;13,"U15",IF(E3103&gt;11,"U13",IF(E3103&gt;0,"U11",0)))))</f>
        <v>U19</v>
      </c>
      <c r="E3103" s="456">
        <f>IFERROR(IF(Table10[[#This Row],[Year]]&gt;0,$E$1-Table10[[#This Row],[Year]],0),"")</f>
        <v>18</v>
      </c>
      <c r="F3103" s="456">
        <v>2007</v>
      </c>
      <c r="G3103" s="456">
        <v>10</v>
      </c>
      <c r="H3103" s="456">
        <v>24</v>
      </c>
    </row>
    <row r="3104" spans="1:8">
      <c r="A3104" s="471">
        <v>4101</v>
      </c>
      <c r="B3104" s="493" t="s">
        <v>4814</v>
      </c>
      <c r="C3104" s="472" t="s">
        <v>4152</v>
      </c>
      <c r="D3104" s="456">
        <f>IF(Table10[[#This Row],[Current Age]]&gt;19,"Men's",IF(E3104&gt;15,"U19",IF(E3104&gt;13,"U15",IF(E3104&gt;11,"U13",IF(E3104&gt;0,"U11",0)))))</f>
        <v>0</v>
      </c>
      <c r="E3104" s="456">
        <f>IFERROR(IF(Table10[[#This Row],[Year]]&gt;0,$E$1-Table10[[#This Row],[Year]],0),"")</f>
        <v>0</v>
      </c>
      <c r="F3104" s="456"/>
      <c r="G3104" s="456"/>
      <c r="H3104" s="456"/>
    </row>
    <row r="3105" spans="1:8">
      <c r="A3105" s="456">
        <v>4102</v>
      </c>
      <c r="B3105" s="469" t="s">
        <v>4815</v>
      </c>
      <c r="C3105" s="458" t="s">
        <v>250</v>
      </c>
      <c r="D3105" s="456">
        <f>IF(Table10[[#This Row],[Current Age]]&gt;19,"Men's",IF(E3105&gt;15,"U19",IF(E3105&gt;13,"U15",IF(E3105&gt;11,"U13",IF(E3105&gt;0,"U11",0)))))</f>
        <v>0</v>
      </c>
      <c r="E3105" s="456">
        <f>IFERROR(IF(Table10[[#This Row],[Year]]&gt;0,$E$1-Table10[[#This Row],[Year]],0),"")</f>
        <v>0</v>
      </c>
      <c r="F3105" s="456"/>
      <c r="G3105" s="456"/>
      <c r="H3105" s="456"/>
    </row>
    <row r="3106" spans="1:8">
      <c r="A3106" s="471">
        <v>4103</v>
      </c>
      <c r="B3106" s="493" t="s">
        <v>4816</v>
      </c>
      <c r="C3106" s="472" t="s">
        <v>4152</v>
      </c>
      <c r="D3106" s="456">
        <f>IF(Table10[[#This Row],[Current Age]]&gt;19,"Men's",IF(E3106&gt;15,"U19",IF(E3106&gt;13,"U15",IF(E3106&gt;11,"U13",IF(E3106&gt;0,"U11",0)))))</f>
        <v>0</v>
      </c>
      <c r="E3106" s="456">
        <f>IFERROR(IF(Table10[[#This Row],[Year]]&gt;0,$E$1-Table10[[#This Row],[Year]],0),"")</f>
        <v>0</v>
      </c>
      <c r="F3106" s="456"/>
      <c r="G3106" s="456"/>
      <c r="H3106" s="456"/>
    </row>
    <row r="3107" spans="1:8">
      <c r="A3107" s="456">
        <v>4104</v>
      </c>
      <c r="B3107" s="469" t="s">
        <v>4817</v>
      </c>
      <c r="C3107" s="458" t="s">
        <v>4152</v>
      </c>
      <c r="D3107" s="456">
        <f>IF(Table10[[#This Row],[Current Age]]&gt;19,"Men's",IF(E3107&gt;15,"U19",IF(E3107&gt;13,"U15",IF(E3107&gt;11,"U13",IF(E3107&gt;0,"U11",0)))))</f>
        <v>0</v>
      </c>
      <c r="E3107" s="456">
        <f>IFERROR(IF(Table10[[#This Row],[Year]]&gt;0,$E$1-Table10[[#This Row],[Year]],0),"")</f>
        <v>0</v>
      </c>
      <c r="F3107" s="456"/>
      <c r="G3107" s="456"/>
      <c r="H3107" s="456"/>
    </row>
    <row r="3108" spans="1:8">
      <c r="A3108" s="471">
        <v>4105</v>
      </c>
      <c r="B3108" s="493" t="s">
        <v>4818</v>
      </c>
      <c r="C3108" s="472" t="s">
        <v>4152</v>
      </c>
      <c r="D3108" s="456">
        <f>IF(Table10[[#This Row],[Current Age]]&gt;19,"Men's",IF(E3108&gt;15,"U19",IF(E3108&gt;13,"U15",IF(E3108&gt;11,"U13",IF(E3108&gt;0,"U11",0)))))</f>
        <v>0</v>
      </c>
      <c r="E3108" s="456">
        <f>IFERROR(IF(Table10[[#This Row],[Year]]&gt;0,$E$1-Table10[[#This Row],[Year]],0),"")</f>
        <v>0</v>
      </c>
      <c r="F3108" s="456"/>
      <c r="G3108" s="456"/>
      <c r="H3108" s="456"/>
    </row>
    <row r="3109" spans="1:8">
      <c r="A3109" s="456">
        <v>4106</v>
      </c>
      <c r="B3109" s="469" t="s">
        <v>4857</v>
      </c>
      <c r="C3109" s="458" t="s">
        <v>4658</v>
      </c>
      <c r="D3109" s="456">
        <f>IF(Table10[[#This Row],[Current Age]]&gt;19,"Men's",IF(E3109&gt;15,"U19",IF(E3109&gt;13,"U15",IF(E3109&gt;11,"U13",IF(E3109&gt;0,"U11",0)))))</f>
        <v>0</v>
      </c>
      <c r="E3109" s="456">
        <f>IFERROR(IF(Table10[[#This Row],[Year]]&gt;0,$E$1-Table10[[#This Row],[Year]],0),"")</f>
        <v>0</v>
      </c>
      <c r="F3109" s="456"/>
      <c r="G3109" s="456"/>
      <c r="H3109" s="456"/>
    </row>
    <row r="3110" spans="1:8">
      <c r="A3110" s="471">
        <v>4107</v>
      </c>
      <c r="B3110" s="493" t="s">
        <v>4819</v>
      </c>
      <c r="C3110" s="472" t="s">
        <v>248</v>
      </c>
      <c r="D3110" s="456">
        <f>IF(Table10[[#This Row],[Current Age]]&gt;19,"Men's",IF(E3110&gt;15,"U19",IF(E3110&gt;13,"U15",IF(E3110&gt;11,"U13",IF(E3110&gt;0,"U11",0)))))</f>
        <v>0</v>
      </c>
      <c r="E3110" s="456">
        <f>IFERROR(IF(Table10[[#This Row],[Year]]&gt;0,$E$1-Table10[[#This Row],[Year]],0),"")</f>
        <v>0</v>
      </c>
      <c r="F3110" s="456"/>
      <c r="G3110" s="456"/>
      <c r="H3110" s="456"/>
    </row>
    <row r="3111" spans="1:8">
      <c r="A3111" s="456">
        <v>4108</v>
      </c>
      <c r="B3111" s="469" t="s">
        <v>4820</v>
      </c>
      <c r="C3111" s="458" t="s">
        <v>4552</v>
      </c>
      <c r="D3111" s="456">
        <f>IF(Table10[[#This Row],[Current Age]]&gt;19,"Men's",IF(E3111&gt;15,"U19",IF(E3111&gt;13,"U15",IF(E3111&gt;11,"U13",IF(E3111&gt;0,"U11",0)))))</f>
        <v>0</v>
      </c>
      <c r="E3111" s="456">
        <f>IFERROR(IF(Table10[[#This Row],[Year]]&gt;0,$E$1-Table10[[#This Row],[Year]],0),"")</f>
        <v>0</v>
      </c>
      <c r="F3111" s="456"/>
      <c r="G3111" s="456"/>
      <c r="H3111" s="456"/>
    </row>
    <row r="3112" spans="1:8">
      <c r="A3112" s="471">
        <v>4109</v>
      </c>
      <c r="B3112" s="493" t="s">
        <v>4821</v>
      </c>
      <c r="C3112" s="472" t="s">
        <v>4720</v>
      </c>
      <c r="D3112" s="456" t="str">
        <f>IF(Table10[[#This Row],[Current Age]]&gt;19,"Men's",IF(E3112&gt;15,"U19",IF(E3112&gt;13,"U15",IF(E3112&gt;11,"U13",IF(E3112&gt;0,"U11",0)))))</f>
        <v>U15</v>
      </c>
      <c r="E3112" s="456">
        <f>IFERROR(IF(Table10[[#This Row],[Year]]&gt;0,$E$1-Table10[[#This Row],[Year]],0),"")</f>
        <v>14</v>
      </c>
      <c r="F3112" s="456">
        <v>2011</v>
      </c>
      <c r="G3112" s="456">
        <v>9</v>
      </c>
      <c r="H3112" s="456">
        <v>15</v>
      </c>
    </row>
    <row r="3113" spans="1:8">
      <c r="A3113" s="456">
        <v>4110</v>
      </c>
      <c r="B3113" s="469" t="s">
        <v>4822</v>
      </c>
      <c r="C3113" s="458" t="s">
        <v>248</v>
      </c>
      <c r="D3113" s="456">
        <f>IF(Table10[[#This Row],[Current Age]]&gt;19,"Men's",IF(E3113&gt;15,"U19",IF(E3113&gt;13,"U15",IF(E3113&gt;11,"U13",IF(E3113&gt;0,"U11",0)))))</f>
        <v>0</v>
      </c>
      <c r="E3113" s="456">
        <f>IFERROR(IF(Table10[[#This Row],[Year]]&gt;0,$E$1-Table10[[#This Row],[Year]],0),"")</f>
        <v>0</v>
      </c>
      <c r="F3113" s="456"/>
      <c r="G3113" s="456"/>
      <c r="H3113" s="456"/>
    </row>
    <row r="3114" spans="1:8">
      <c r="A3114" s="471">
        <v>4111</v>
      </c>
      <c r="B3114" s="493" t="s">
        <v>4823</v>
      </c>
      <c r="C3114" s="472" t="s">
        <v>248</v>
      </c>
      <c r="D3114" s="456">
        <f>IF(Table10[[#This Row],[Current Age]]&gt;19,"Men's",IF(E3114&gt;15,"U19",IF(E3114&gt;13,"U15",IF(E3114&gt;11,"U13",IF(E3114&gt;0,"U11",0)))))</f>
        <v>0</v>
      </c>
      <c r="E3114" s="456">
        <f>IFERROR(IF(Table10[[#This Row],[Year]]&gt;0,$E$1-Table10[[#This Row],[Year]],0),"")</f>
        <v>0</v>
      </c>
      <c r="F3114" s="456"/>
      <c r="G3114" s="456"/>
      <c r="H3114" s="456"/>
    </row>
    <row r="3115" spans="1:8">
      <c r="A3115" s="456">
        <v>4112</v>
      </c>
      <c r="B3115" s="469" t="s">
        <v>4824</v>
      </c>
      <c r="C3115" s="458" t="s">
        <v>4720</v>
      </c>
      <c r="D3115" s="456">
        <f>IF(Table10[[#This Row],[Current Age]]&gt;19,"Men's",IF(E3115&gt;15,"U19",IF(E3115&gt;13,"U15",IF(E3115&gt;11,"U13",IF(E3115&gt;0,"U11",0)))))</f>
        <v>0</v>
      </c>
      <c r="E3115" s="456">
        <f>IFERROR(IF(Table10[[#This Row],[Year]]&gt;0,$E$1-Table10[[#This Row],[Year]],0),"")</f>
        <v>0</v>
      </c>
      <c r="F3115" s="456"/>
      <c r="G3115" s="456"/>
      <c r="H3115" s="456"/>
    </row>
    <row r="3116" spans="1:8">
      <c r="A3116" s="471">
        <v>4113</v>
      </c>
      <c r="B3116" s="493" t="s">
        <v>4825</v>
      </c>
      <c r="C3116" s="472" t="s">
        <v>4720</v>
      </c>
      <c r="D3116" s="456">
        <f>IF(Table10[[#This Row],[Current Age]]&gt;19,"Men's",IF(E3116&gt;15,"U19",IF(E3116&gt;13,"U15",IF(E3116&gt;11,"U13",IF(E3116&gt;0,"U11",0)))))</f>
        <v>0</v>
      </c>
      <c r="E3116" s="456">
        <f>IFERROR(IF(Table10[[#This Row],[Year]]&gt;0,$E$1-Table10[[#This Row],[Year]],0),"")</f>
        <v>0</v>
      </c>
      <c r="F3116" s="456"/>
      <c r="G3116" s="456"/>
      <c r="H3116" s="456"/>
    </row>
    <row r="3117" spans="1:8">
      <c r="A3117" s="456">
        <v>4114</v>
      </c>
      <c r="B3117" s="469" t="s">
        <v>4826</v>
      </c>
      <c r="C3117" s="458" t="s">
        <v>4720</v>
      </c>
      <c r="D3117" s="456">
        <f>IF(Table10[[#This Row],[Current Age]]&gt;19,"Men's",IF(E3117&gt;15,"U19",IF(E3117&gt;13,"U15",IF(E3117&gt;11,"U13",IF(E3117&gt;0,"U11",0)))))</f>
        <v>0</v>
      </c>
      <c r="E3117" s="456">
        <f>IFERROR(IF(Table10[[#This Row],[Year]]&gt;0,$E$1-Table10[[#This Row],[Year]],0),"")</f>
        <v>0</v>
      </c>
      <c r="F3117" s="456"/>
      <c r="G3117" s="456"/>
      <c r="H3117" s="456"/>
    </row>
    <row r="3118" spans="1:8">
      <c r="A3118" s="471">
        <v>4115</v>
      </c>
      <c r="B3118" s="493" t="s">
        <v>4827</v>
      </c>
      <c r="C3118" s="472" t="s">
        <v>248</v>
      </c>
      <c r="D3118" s="456">
        <f>IF(Table10[[#This Row],[Current Age]]&gt;19,"Men's",IF(E3118&gt;15,"U19",IF(E3118&gt;13,"U15",IF(E3118&gt;11,"U13",IF(E3118&gt;0,"U11",0)))))</f>
        <v>0</v>
      </c>
      <c r="E3118" s="456">
        <f>IFERROR(IF(Table10[[#This Row],[Year]]&gt;0,$E$1-Table10[[#This Row],[Year]],0),"")</f>
        <v>0</v>
      </c>
      <c r="F3118" s="456"/>
      <c r="G3118" s="456"/>
      <c r="H3118" s="456"/>
    </row>
    <row r="3119" spans="1:8">
      <c r="A3119" s="456">
        <v>4116</v>
      </c>
      <c r="B3119" s="469" t="s">
        <v>4828</v>
      </c>
      <c r="C3119" s="458" t="s">
        <v>248</v>
      </c>
      <c r="D3119" s="456">
        <f>IF(Table10[[#This Row],[Current Age]]&gt;19,"Men's",IF(E3119&gt;15,"U19",IF(E3119&gt;13,"U15",IF(E3119&gt;11,"U13",IF(E3119&gt;0,"U11",0)))))</f>
        <v>0</v>
      </c>
      <c r="E3119" s="456">
        <f>IFERROR(IF(Table10[[#This Row],[Year]]&gt;0,$E$1-Table10[[#This Row],[Year]],0),"")</f>
        <v>0</v>
      </c>
      <c r="F3119" s="456"/>
      <c r="G3119" s="456"/>
      <c r="H3119" s="456"/>
    </row>
    <row r="3120" spans="1:8">
      <c r="A3120" s="471">
        <v>4117</v>
      </c>
      <c r="B3120" s="493" t="s">
        <v>4829</v>
      </c>
      <c r="C3120" s="472" t="s">
        <v>4720</v>
      </c>
      <c r="D3120" s="456">
        <f>IF(Table10[[#This Row],[Current Age]]&gt;19,"Men's",IF(E3120&gt;15,"U19",IF(E3120&gt;13,"U15",IF(E3120&gt;11,"U13",IF(E3120&gt;0,"U11",0)))))</f>
        <v>0</v>
      </c>
      <c r="E3120" s="456">
        <f>IFERROR(IF(Table10[[#This Row],[Year]]&gt;0,$E$1-Table10[[#This Row],[Year]],0),"")</f>
        <v>0</v>
      </c>
      <c r="F3120" s="456"/>
      <c r="G3120" s="456"/>
      <c r="H3120" s="456"/>
    </row>
    <row r="3121" spans="1:8">
      <c r="A3121" s="456">
        <v>4118</v>
      </c>
      <c r="B3121" s="469" t="s">
        <v>4830</v>
      </c>
      <c r="C3121" s="458" t="s">
        <v>4720</v>
      </c>
      <c r="D3121" s="456">
        <f>IF(Table10[[#This Row],[Current Age]]&gt;19,"Men's",IF(E3121&gt;15,"U19",IF(E3121&gt;13,"U15",IF(E3121&gt;11,"U13",IF(E3121&gt;0,"U11",0)))))</f>
        <v>0</v>
      </c>
      <c r="E3121" s="456">
        <f>IFERROR(IF(Table10[[#This Row],[Year]]&gt;0,$E$1-Table10[[#This Row],[Year]],0),"")</f>
        <v>0</v>
      </c>
      <c r="F3121" s="456"/>
      <c r="G3121" s="456"/>
      <c r="H3121" s="456"/>
    </row>
    <row r="3122" spans="1:8">
      <c r="A3122" s="471">
        <v>4119</v>
      </c>
      <c r="B3122" s="493" t="s">
        <v>4861</v>
      </c>
      <c r="C3122" s="472" t="s">
        <v>248</v>
      </c>
      <c r="D3122" s="456">
        <f>IF(Table10[[#This Row],[Current Age]]&gt;19,"Men's",IF(E3122&gt;15,"U19",IF(E3122&gt;13,"U15",IF(E3122&gt;11,"U13",IF(E3122&gt;0,"U11",0)))))</f>
        <v>0</v>
      </c>
      <c r="E3122" s="456">
        <f>IFERROR(IF(Table10[[#This Row],[Year]]&gt;0,$E$1-Table10[[#This Row],[Year]],0),"")</f>
        <v>0</v>
      </c>
      <c r="F3122" s="456"/>
      <c r="G3122" s="456"/>
      <c r="H3122" s="456"/>
    </row>
    <row r="3123" spans="1:8">
      <c r="A3123" s="456">
        <v>4120</v>
      </c>
      <c r="B3123" s="469" t="s">
        <v>4862</v>
      </c>
      <c r="C3123" s="458" t="s">
        <v>248</v>
      </c>
      <c r="D3123" s="456">
        <f>IF(Table10[[#This Row],[Current Age]]&gt;19,"Men's",IF(E3123&gt;15,"U19",IF(E3123&gt;13,"U15",IF(E3123&gt;11,"U13",IF(E3123&gt;0,"U11",0)))))</f>
        <v>0</v>
      </c>
      <c r="E3123" s="456">
        <f>IFERROR(IF(Table10[[#This Row],[Year]]&gt;0,$E$1-Table10[[#This Row],[Year]],0),"")</f>
        <v>0</v>
      </c>
      <c r="F3123" s="456"/>
      <c r="G3123" s="456"/>
      <c r="H3123" s="456"/>
    </row>
    <row r="3124" spans="1:8">
      <c r="A3124" s="471">
        <v>4121</v>
      </c>
      <c r="B3124" s="493" t="s">
        <v>4896</v>
      </c>
      <c r="C3124" s="472" t="s">
        <v>361</v>
      </c>
      <c r="D3124" s="456">
        <f>IF(Table10[[#This Row],[Current Age]]&gt;19,"Men's",IF(E3124&gt;15,"U19",IF(E3124&gt;13,"U15",IF(E3124&gt;11,"U13",IF(E3124&gt;0,"U11",0)))))</f>
        <v>0</v>
      </c>
      <c r="E3124" s="456">
        <f>IFERROR(IF(Table10[[#This Row],[Year]]&gt;0,$E$1-Table10[[#This Row],[Year]],0),"")</f>
        <v>0</v>
      </c>
      <c r="F3124" s="456"/>
      <c r="G3124" s="456"/>
      <c r="H3124" s="456"/>
    </row>
    <row r="3125" spans="1:8">
      <c r="A3125" s="456">
        <v>4122</v>
      </c>
      <c r="B3125" s="469" t="s">
        <v>4834</v>
      </c>
      <c r="C3125" s="458" t="s">
        <v>4152</v>
      </c>
      <c r="D3125" s="456">
        <f>IF(Table10[[#This Row],[Current Age]]&gt;19,"Men's",IF(E3125&gt;15,"U19",IF(E3125&gt;13,"U15",IF(E3125&gt;11,"U13",IF(E3125&gt;0,"U11",0)))))</f>
        <v>0</v>
      </c>
      <c r="E3125" s="456">
        <f>IFERROR(IF(Table10[[#This Row],[Year]]&gt;0,$E$1-Table10[[#This Row],[Year]],0),"")</f>
        <v>0</v>
      </c>
      <c r="F3125" s="456"/>
      <c r="G3125" s="456"/>
      <c r="H3125" s="456"/>
    </row>
    <row r="3126" spans="1:8">
      <c r="A3126" s="471">
        <v>4123</v>
      </c>
      <c r="B3126" s="493" t="s">
        <v>4854</v>
      </c>
      <c r="C3126" s="472" t="s">
        <v>4152</v>
      </c>
      <c r="D3126" s="456">
        <f>IF(Table10[[#This Row],[Current Age]]&gt;19,"Men's",IF(E3126&gt;15,"U19",IF(E3126&gt;13,"U15",IF(E3126&gt;11,"U13",IF(E3126&gt;0,"U11",0)))))</f>
        <v>0</v>
      </c>
      <c r="E3126" s="456">
        <f>IFERROR(IF(Table10[[#This Row],[Year]]&gt;0,$E$1-Table10[[#This Row],[Year]],0),"")</f>
        <v>0</v>
      </c>
      <c r="F3126" s="456"/>
      <c r="G3126" s="456"/>
      <c r="H3126" s="456"/>
    </row>
    <row r="3127" spans="1:8">
      <c r="A3127" s="456">
        <v>4124</v>
      </c>
      <c r="B3127" s="469" t="s">
        <v>4835</v>
      </c>
      <c r="C3127" s="458" t="s">
        <v>4152</v>
      </c>
      <c r="D3127" s="456">
        <f>IF(Table10[[#This Row],[Current Age]]&gt;19,"Men's",IF(E3127&gt;15,"U19",IF(E3127&gt;13,"U15",IF(E3127&gt;11,"U13",IF(E3127&gt;0,"U11",0)))))</f>
        <v>0</v>
      </c>
      <c r="E3127" s="456">
        <f>IFERROR(IF(Table10[[#This Row],[Year]]&gt;0,$E$1-Table10[[#This Row],[Year]],0),"")</f>
        <v>0</v>
      </c>
      <c r="F3127" s="456"/>
      <c r="G3127" s="456"/>
      <c r="H3127" s="456"/>
    </row>
    <row r="3128" spans="1:8">
      <c r="A3128" s="471">
        <v>4125</v>
      </c>
      <c r="B3128" s="493" t="s">
        <v>4836</v>
      </c>
      <c r="C3128" s="472" t="s">
        <v>4152</v>
      </c>
      <c r="D3128" s="456">
        <f>IF(Table10[[#This Row],[Current Age]]&gt;19,"Men's",IF(E3128&gt;15,"U19",IF(E3128&gt;13,"U15",IF(E3128&gt;11,"U13",IF(E3128&gt;0,"U11",0)))))</f>
        <v>0</v>
      </c>
      <c r="E3128" s="456">
        <f>IFERROR(IF(Table10[[#This Row],[Year]]&gt;0,$E$1-Table10[[#This Row],[Year]],0),"")</f>
        <v>0</v>
      </c>
      <c r="F3128" s="456"/>
      <c r="G3128" s="456"/>
      <c r="H3128" s="456"/>
    </row>
    <row r="3129" spans="1:8">
      <c r="A3129" s="456">
        <v>4126</v>
      </c>
      <c r="B3129" s="469" t="s">
        <v>6046</v>
      </c>
      <c r="C3129" s="458" t="s">
        <v>248</v>
      </c>
      <c r="D3129" s="456">
        <f>IF(Table10[[#This Row],[Current Age]]&gt;19,"Men's",IF(E3129&gt;15,"U19",IF(E3129&gt;13,"U15",IF(E3129&gt;11,"U13",IF(E3129&gt;0,"U11",0)))))</f>
        <v>0</v>
      </c>
      <c r="E3129" s="456">
        <f>IFERROR(IF(Table10[[#This Row],[Year]]&gt;0,$E$1-Table10[[#This Row],[Year]],0),"")</f>
        <v>0</v>
      </c>
      <c r="F3129" s="456"/>
      <c r="G3129" s="456"/>
      <c r="H3129" s="456"/>
    </row>
    <row r="3130" spans="1:8">
      <c r="A3130" s="471">
        <v>4127</v>
      </c>
      <c r="B3130" s="493" t="s">
        <v>4859</v>
      </c>
      <c r="C3130" s="472" t="s">
        <v>248</v>
      </c>
      <c r="D3130" s="456">
        <f>IF(Table10[[#This Row],[Current Age]]&gt;19,"Men's",IF(E3130&gt;15,"U19",IF(E3130&gt;13,"U15",IF(E3130&gt;11,"U13",IF(E3130&gt;0,"U11",0)))))</f>
        <v>0</v>
      </c>
      <c r="E3130" s="456">
        <f>IFERROR(IF(Table10[[#This Row],[Year]]&gt;0,$E$1-Table10[[#This Row],[Year]],0),"")</f>
        <v>0</v>
      </c>
      <c r="F3130" s="456"/>
      <c r="G3130" s="456"/>
      <c r="H3130" s="456"/>
    </row>
    <row r="3131" spans="1:8">
      <c r="A3131" s="456">
        <v>4128</v>
      </c>
      <c r="B3131" s="469" t="s">
        <v>4897</v>
      </c>
      <c r="C3131" s="458" t="s">
        <v>361</v>
      </c>
      <c r="D3131" s="456">
        <f>IF(Table10[[#This Row],[Current Age]]&gt;19,"Men's",IF(E3131&gt;15,"U19",IF(E3131&gt;13,"U15",IF(E3131&gt;11,"U13",IF(E3131&gt;0,"U11",0)))))</f>
        <v>0</v>
      </c>
      <c r="E3131" s="456">
        <f>IFERROR(IF(Table10[[#This Row],[Year]]&gt;0,$E$1-Table10[[#This Row],[Year]],0),"")</f>
        <v>0</v>
      </c>
      <c r="F3131" s="456"/>
      <c r="G3131" s="456"/>
      <c r="H3131" s="456"/>
    </row>
    <row r="3132" spans="1:8">
      <c r="A3132" s="471">
        <v>4129</v>
      </c>
      <c r="B3132" s="493" t="s">
        <v>4898</v>
      </c>
      <c r="C3132" s="472" t="s">
        <v>361</v>
      </c>
      <c r="D3132" s="456">
        <f>IF(Table10[[#This Row],[Current Age]]&gt;19,"Men's",IF(E3132&gt;15,"U19",IF(E3132&gt;13,"U15",IF(E3132&gt;11,"U13",IF(E3132&gt;0,"U11",0)))))</f>
        <v>0</v>
      </c>
      <c r="E3132" s="456">
        <f>IFERROR(IF(Table10[[#This Row],[Year]]&gt;0,$E$1-Table10[[#This Row],[Year]],0),"")</f>
        <v>0</v>
      </c>
      <c r="F3132" s="456"/>
      <c r="G3132" s="456"/>
      <c r="H3132" s="456"/>
    </row>
    <row r="3133" spans="1:8">
      <c r="A3133" s="456">
        <v>4130</v>
      </c>
      <c r="B3133" s="469" t="s">
        <v>4840</v>
      </c>
      <c r="C3133" s="458" t="s">
        <v>4720</v>
      </c>
      <c r="D3133" s="456">
        <f>IF(Table10[[#This Row],[Current Age]]&gt;19,"Men's",IF(E3133&gt;15,"U19",IF(E3133&gt;13,"U15",IF(E3133&gt;11,"U13",IF(E3133&gt;0,"U11",0)))))</f>
        <v>0</v>
      </c>
      <c r="E3133" s="456">
        <f>IFERROR(IF(Table10[[#This Row],[Year]]&gt;0,$E$1-Table10[[#This Row],[Year]],0),"")</f>
        <v>0</v>
      </c>
      <c r="F3133" s="456"/>
      <c r="G3133" s="456"/>
      <c r="H3133" s="456"/>
    </row>
    <row r="3134" spans="1:8">
      <c r="A3134" s="471">
        <v>4131</v>
      </c>
      <c r="B3134" s="493" t="s">
        <v>4899</v>
      </c>
      <c r="C3134" s="472" t="s">
        <v>361</v>
      </c>
      <c r="D3134" s="456">
        <f>IF(Table10[[#This Row],[Current Age]]&gt;19,"Men's",IF(E3134&gt;15,"U19",IF(E3134&gt;13,"U15",IF(E3134&gt;11,"U13",IF(E3134&gt;0,"U11",0)))))</f>
        <v>0</v>
      </c>
      <c r="E3134" s="456">
        <f>IFERROR(IF(Table10[[#This Row],[Year]]&gt;0,$E$1-Table10[[#This Row],[Year]],0),"")</f>
        <v>0</v>
      </c>
      <c r="F3134" s="456"/>
      <c r="G3134" s="456"/>
      <c r="H3134" s="456"/>
    </row>
    <row r="3135" spans="1:8">
      <c r="A3135" s="456">
        <v>4132</v>
      </c>
      <c r="B3135" s="469" t="s">
        <v>4900</v>
      </c>
      <c r="C3135" s="458" t="s">
        <v>361</v>
      </c>
      <c r="D3135" s="456">
        <f>IF(Table10[[#This Row],[Current Age]]&gt;19,"Men's",IF(E3135&gt;15,"U19",IF(E3135&gt;13,"U15",IF(E3135&gt;11,"U13",IF(E3135&gt;0,"U11",0)))))</f>
        <v>0</v>
      </c>
      <c r="E3135" s="456">
        <f>IFERROR(IF(Table10[[#This Row],[Year]]&gt;0,$E$1-Table10[[#This Row],[Year]],0),"")</f>
        <v>0</v>
      </c>
      <c r="F3135" s="456"/>
      <c r="G3135" s="456"/>
      <c r="H3135" s="456"/>
    </row>
    <row r="3136" spans="1:8">
      <c r="A3136" s="471">
        <v>4133</v>
      </c>
      <c r="B3136" s="493" t="s">
        <v>4912</v>
      </c>
      <c r="C3136" s="472" t="s">
        <v>362</v>
      </c>
      <c r="D3136" s="456">
        <f>IF(Table10[[#This Row],[Current Age]]&gt;19,"Men's",IF(E3136&gt;15,"U19",IF(E3136&gt;13,"U15",IF(E3136&gt;11,"U13",IF(E3136&gt;0,"U11",0)))))</f>
        <v>0</v>
      </c>
      <c r="E3136" s="456">
        <f>IFERROR(IF(Table10[[#This Row],[Year]]&gt;0,$E$1-Table10[[#This Row],[Year]],0),"")</f>
        <v>0</v>
      </c>
      <c r="F3136" s="456"/>
      <c r="G3136" s="456"/>
      <c r="H3136" s="456"/>
    </row>
    <row r="3137" spans="1:8">
      <c r="A3137" s="456">
        <v>4134</v>
      </c>
      <c r="B3137" s="469" t="s">
        <v>4911</v>
      </c>
      <c r="C3137" s="458" t="s">
        <v>361</v>
      </c>
      <c r="D3137" s="456">
        <f>IF(Table10[[#This Row],[Current Age]]&gt;19,"Men's",IF(E3137&gt;15,"U19",IF(E3137&gt;13,"U15",IF(E3137&gt;11,"U13",IF(E3137&gt;0,"U11",0)))))</f>
        <v>0</v>
      </c>
      <c r="E3137" s="456">
        <f>IFERROR(IF(Table10[[#This Row],[Year]]&gt;0,$E$1-Table10[[#This Row],[Year]],0),"")</f>
        <v>0</v>
      </c>
      <c r="F3137" s="456"/>
      <c r="G3137" s="456"/>
      <c r="H3137" s="456"/>
    </row>
    <row r="3138" spans="1:8">
      <c r="A3138" s="471">
        <v>4135</v>
      </c>
      <c r="B3138" s="493" t="s">
        <v>4913</v>
      </c>
      <c r="C3138" s="472" t="s">
        <v>361</v>
      </c>
      <c r="D3138" s="456">
        <f>IF(Table10[[#This Row],[Current Age]]&gt;19,"Men's",IF(E3138&gt;15,"U19",IF(E3138&gt;13,"U15",IF(E3138&gt;11,"U13",IF(E3138&gt;0,"U11",0)))))</f>
        <v>0</v>
      </c>
      <c r="E3138" s="456">
        <f>IFERROR(IF(Table10[[#This Row],[Year]]&gt;0,$E$1-Table10[[#This Row],[Year]],0),"")</f>
        <v>0</v>
      </c>
      <c r="F3138" s="456"/>
      <c r="G3138" s="456"/>
      <c r="H3138" s="456"/>
    </row>
    <row r="3139" spans="1:8">
      <c r="A3139" s="456">
        <v>4136</v>
      </c>
      <c r="B3139" s="469" t="s">
        <v>4914</v>
      </c>
      <c r="C3139" s="458" t="s">
        <v>361</v>
      </c>
      <c r="D3139" s="456">
        <f>IF(Table10[[#This Row],[Current Age]]&gt;19,"Men's",IF(E3139&gt;15,"U19",IF(E3139&gt;13,"U15",IF(E3139&gt;11,"U13",IF(E3139&gt;0,"U11",0)))))</f>
        <v>0</v>
      </c>
      <c r="E3139" s="456">
        <f>IFERROR(IF(Table10[[#This Row],[Year]]&gt;0,$E$1-Table10[[#This Row],[Year]],0),"")</f>
        <v>0</v>
      </c>
      <c r="F3139" s="456"/>
      <c r="G3139" s="456"/>
      <c r="H3139" s="456"/>
    </row>
    <row r="3140" spans="1:8">
      <c r="A3140" s="471">
        <v>4137</v>
      </c>
      <c r="B3140" s="493" t="s">
        <v>4915</v>
      </c>
      <c r="C3140" s="472" t="s">
        <v>361</v>
      </c>
      <c r="D3140" s="456">
        <f>IF(Table10[[#This Row],[Current Age]]&gt;19,"Men's",IF(E3140&gt;15,"U19",IF(E3140&gt;13,"U15",IF(E3140&gt;11,"U13",IF(E3140&gt;0,"U11",0)))))</f>
        <v>0</v>
      </c>
      <c r="E3140" s="456">
        <f>IFERROR(IF(Table10[[#This Row],[Year]]&gt;0,$E$1-Table10[[#This Row],[Year]],0),"")</f>
        <v>0</v>
      </c>
      <c r="F3140" s="456"/>
      <c r="G3140" s="456"/>
      <c r="H3140" s="456"/>
    </row>
    <row r="3141" spans="1:8">
      <c r="A3141" s="697">
        <v>4138</v>
      </c>
      <c r="B3141" s="469" t="s">
        <v>6089</v>
      </c>
      <c r="C3141" s="458" t="s">
        <v>3750</v>
      </c>
      <c r="D3141" s="456">
        <f>IF(Table10[[#This Row],[Current Age]]&gt;19,"Men's",IF(E3141&gt;15,"U19",IF(E3141&gt;13,"U15",IF(E3141&gt;11,"U13",IF(E3141&gt;0,"U11",0)))))</f>
        <v>0</v>
      </c>
      <c r="E3141" s="456">
        <f>IFERROR(IF(Table10[[#This Row],[Year]]&gt;0,$E$1-Table10[[#This Row],[Year]],0),"")</f>
        <v>0</v>
      </c>
      <c r="F3141" s="456"/>
      <c r="G3141" s="456"/>
      <c r="H3141" s="456"/>
    </row>
    <row r="3142" spans="1:8">
      <c r="A3142" s="471">
        <v>4139</v>
      </c>
      <c r="B3142" s="493" t="s">
        <v>4916</v>
      </c>
      <c r="C3142" s="472" t="s">
        <v>361</v>
      </c>
      <c r="D3142" s="456">
        <f>IF(Table10[[#This Row],[Current Age]]&gt;19,"Men's",IF(E3142&gt;15,"U19",IF(E3142&gt;13,"U15",IF(E3142&gt;11,"U13",IF(E3142&gt;0,"U11",0)))))</f>
        <v>0</v>
      </c>
      <c r="E3142" s="456">
        <f>IFERROR(IF(Table10[[#This Row],[Year]]&gt;0,$E$1-Table10[[#This Row],[Year]],0),"")</f>
        <v>0</v>
      </c>
      <c r="F3142" s="456"/>
      <c r="G3142" s="456"/>
      <c r="H3142" s="456"/>
    </row>
    <row r="3143" spans="1:8">
      <c r="A3143" s="697">
        <v>4140</v>
      </c>
      <c r="B3143" s="469"/>
      <c r="C3143" s="458" t="s">
        <v>248</v>
      </c>
      <c r="D3143" s="456">
        <f>IF(Table10[[#This Row],[Current Age]]&gt;19,"Men's",IF(E3143&gt;15,"U19",IF(E3143&gt;13,"U15",IF(E3143&gt;11,"U13",IF(E3143&gt;0,"U11",0)))))</f>
        <v>0</v>
      </c>
      <c r="E3143" s="456">
        <f>IFERROR(IF(Table10[[#This Row],[Year]]&gt;0,$E$1-Table10[[#This Row],[Year]],0),"")</f>
        <v>0</v>
      </c>
      <c r="F3143" s="456"/>
      <c r="G3143" s="456"/>
      <c r="H3143" s="456"/>
    </row>
    <row r="3144" spans="1:8">
      <c r="A3144" s="471">
        <v>4141</v>
      </c>
      <c r="B3144" s="493" t="s">
        <v>4917</v>
      </c>
      <c r="C3144" s="472" t="s">
        <v>361</v>
      </c>
      <c r="D3144" s="456">
        <f>IF(Table10[[#This Row],[Current Age]]&gt;19,"Men's",IF(E3144&gt;15,"U19",IF(E3144&gt;13,"U15",IF(E3144&gt;11,"U13",IF(E3144&gt;0,"U11",0)))))</f>
        <v>0</v>
      </c>
      <c r="E3144" s="456">
        <f>IFERROR(IF(Table10[[#This Row],[Year]]&gt;0,$E$1-Table10[[#This Row],[Year]],0),"")</f>
        <v>0</v>
      </c>
      <c r="F3144" s="456"/>
      <c r="G3144" s="456"/>
      <c r="H3144" s="456"/>
    </row>
    <row r="3145" spans="1:8">
      <c r="A3145" s="456">
        <v>4142</v>
      </c>
      <c r="B3145" s="469" t="s">
        <v>4918</v>
      </c>
      <c r="C3145" s="458" t="s">
        <v>362</v>
      </c>
      <c r="D3145" s="456">
        <f>IF(Table10[[#This Row],[Current Age]]&gt;19,"Men's",IF(E3145&gt;15,"U19",IF(E3145&gt;13,"U15",IF(E3145&gt;11,"U13",IF(E3145&gt;0,"U11",0)))))</f>
        <v>0</v>
      </c>
      <c r="E3145" s="456">
        <f>IFERROR(IF(Table10[[#This Row],[Year]]&gt;0,$E$1-Table10[[#This Row],[Year]],0),"")</f>
        <v>0</v>
      </c>
      <c r="F3145" s="456"/>
      <c r="G3145" s="456"/>
      <c r="H3145" s="456"/>
    </row>
    <row r="3146" spans="1:8">
      <c r="A3146" s="471">
        <v>4143</v>
      </c>
      <c r="B3146" s="493" t="s">
        <v>4919</v>
      </c>
      <c r="C3146" s="472" t="s">
        <v>362</v>
      </c>
      <c r="D3146" s="456">
        <f>IF(Table10[[#This Row],[Current Age]]&gt;19,"Men's",IF(E3146&gt;15,"U19",IF(E3146&gt;13,"U15",IF(E3146&gt;11,"U13",IF(E3146&gt;0,"U11",0)))))</f>
        <v>0</v>
      </c>
      <c r="E3146" s="456">
        <f>IFERROR(IF(Table10[[#This Row],[Year]]&gt;0,$E$1-Table10[[#This Row],[Year]],0),"")</f>
        <v>0</v>
      </c>
      <c r="F3146" s="456"/>
      <c r="G3146" s="456"/>
      <c r="H3146" s="456"/>
    </row>
    <row r="3147" spans="1:8">
      <c r="A3147" s="456">
        <v>4144</v>
      </c>
      <c r="B3147" s="469" t="s">
        <v>4920</v>
      </c>
      <c r="C3147" s="458" t="s">
        <v>361</v>
      </c>
      <c r="D3147" s="456">
        <f>IF(Table10[[#This Row],[Current Age]]&gt;19,"Men's",IF(E3147&gt;15,"U19",IF(E3147&gt;13,"U15",IF(E3147&gt;11,"U13",IF(E3147&gt;0,"U11",0)))))</f>
        <v>0</v>
      </c>
      <c r="E3147" s="456">
        <f>IFERROR(IF(Table10[[#This Row],[Year]]&gt;0,$E$1-Table10[[#This Row],[Year]],0),"")</f>
        <v>0</v>
      </c>
      <c r="F3147" s="456"/>
      <c r="G3147" s="456"/>
      <c r="H3147" s="456"/>
    </row>
    <row r="3148" spans="1:8">
      <c r="A3148" s="471">
        <v>4145</v>
      </c>
      <c r="B3148" s="493" t="s">
        <v>4921</v>
      </c>
      <c r="C3148" s="472" t="s">
        <v>361</v>
      </c>
      <c r="D3148" s="456">
        <f>IF(Table10[[#This Row],[Current Age]]&gt;19,"Men's",IF(E3148&gt;15,"U19",IF(E3148&gt;13,"U15",IF(E3148&gt;11,"U13",IF(E3148&gt;0,"U11",0)))))</f>
        <v>0</v>
      </c>
      <c r="E3148" s="456">
        <f>IFERROR(IF(Table10[[#This Row],[Year]]&gt;0,$E$1-Table10[[#This Row],[Year]],0),"")</f>
        <v>0</v>
      </c>
      <c r="F3148" s="456"/>
      <c r="G3148" s="456"/>
      <c r="H3148" s="456"/>
    </row>
    <row r="3149" spans="1:8">
      <c r="A3149" s="456">
        <v>4146</v>
      </c>
      <c r="B3149" s="469" t="s">
        <v>4922</v>
      </c>
      <c r="C3149" s="458" t="s">
        <v>361</v>
      </c>
      <c r="D3149" s="456">
        <f>IF(Table10[[#This Row],[Current Age]]&gt;19,"Men's",IF(E3149&gt;15,"U19",IF(E3149&gt;13,"U15",IF(E3149&gt;11,"U13",IF(E3149&gt;0,"U11",0)))))</f>
        <v>0</v>
      </c>
      <c r="E3149" s="456">
        <f>IFERROR(IF(Table10[[#This Row],[Year]]&gt;0,$E$1-Table10[[#This Row],[Year]],0),"")</f>
        <v>0</v>
      </c>
      <c r="F3149" s="456"/>
      <c r="G3149" s="456"/>
      <c r="H3149" s="456"/>
    </row>
    <row r="3150" spans="1:8">
      <c r="A3150" s="471">
        <v>4147</v>
      </c>
      <c r="B3150" s="493" t="s">
        <v>4923</v>
      </c>
      <c r="C3150" s="472" t="s">
        <v>361</v>
      </c>
      <c r="D3150" s="456">
        <f>IF(Table10[[#This Row],[Current Age]]&gt;19,"Men's",IF(E3150&gt;15,"U19",IF(E3150&gt;13,"U15",IF(E3150&gt;11,"U13",IF(E3150&gt;0,"U11",0)))))</f>
        <v>0</v>
      </c>
      <c r="E3150" s="456">
        <f>IFERROR(IF(Table10[[#This Row],[Year]]&gt;0,$E$1-Table10[[#This Row],[Year]],0),"")</f>
        <v>0</v>
      </c>
      <c r="F3150" s="456"/>
      <c r="G3150" s="456"/>
      <c r="H3150" s="456"/>
    </row>
    <row r="3151" spans="1:8">
      <c r="A3151" s="456">
        <v>4148</v>
      </c>
      <c r="B3151" s="469" t="s">
        <v>4924</v>
      </c>
      <c r="C3151" s="458" t="s">
        <v>362</v>
      </c>
      <c r="D3151" s="456">
        <f>IF(Table10[[#This Row],[Current Age]]&gt;19,"Men's",IF(E3151&gt;15,"U19",IF(E3151&gt;13,"U15",IF(E3151&gt;11,"U13",IF(E3151&gt;0,"U11",0)))))</f>
        <v>0</v>
      </c>
      <c r="E3151" s="456">
        <f>IFERROR(IF(Table10[[#This Row],[Year]]&gt;0,$E$1-Table10[[#This Row],[Year]],0),"")</f>
        <v>0</v>
      </c>
      <c r="F3151" s="456"/>
      <c r="G3151" s="456"/>
      <c r="H3151" s="456"/>
    </row>
    <row r="3152" spans="1:8">
      <c r="A3152" s="471">
        <v>4149</v>
      </c>
      <c r="B3152" s="493" t="s">
        <v>4925</v>
      </c>
      <c r="C3152" s="472" t="s">
        <v>362</v>
      </c>
      <c r="D3152" s="456">
        <f>IF(Table10[[#This Row],[Current Age]]&gt;19,"Men's",IF(E3152&gt;15,"U19",IF(E3152&gt;13,"U15",IF(E3152&gt;11,"U13",IF(E3152&gt;0,"U11",0)))))</f>
        <v>0</v>
      </c>
      <c r="E3152" s="456">
        <f>IFERROR(IF(Table10[[#This Row],[Year]]&gt;0,$E$1-Table10[[#This Row],[Year]],0),"")</f>
        <v>0</v>
      </c>
      <c r="F3152" s="456"/>
      <c r="G3152" s="456"/>
      <c r="H3152" s="456"/>
    </row>
    <row r="3153" spans="1:8">
      <c r="A3153" s="456">
        <v>4150</v>
      </c>
      <c r="B3153" s="469" t="s">
        <v>4926</v>
      </c>
      <c r="C3153" s="458" t="s">
        <v>361</v>
      </c>
      <c r="D3153" s="456">
        <f>IF(Table10[[#This Row],[Current Age]]&gt;19,"Men's",IF(E3153&gt;15,"U19",IF(E3153&gt;13,"U15",IF(E3153&gt;11,"U13",IF(E3153&gt;0,"U11",0)))))</f>
        <v>0</v>
      </c>
      <c r="E3153" s="456">
        <f>IFERROR(IF(Table10[[#This Row],[Year]]&gt;0,$E$1-Table10[[#This Row],[Year]],0),"")</f>
        <v>0</v>
      </c>
      <c r="F3153" s="456"/>
      <c r="G3153" s="456"/>
      <c r="H3153" s="456"/>
    </row>
    <row r="3154" spans="1:8">
      <c r="A3154" s="471">
        <v>4151</v>
      </c>
      <c r="B3154" s="493" t="s">
        <v>4927</v>
      </c>
      <c r="C3154" s="472" t="s">
        <v>361</v>
      </c>
      <c r="D3154" s="456">
        <f>IF(Table10[[#This Row],[Current Age]]&gt;19,"Men's",IF(E3154&gt;15,"U19",IF(E3154&gt;13,"U15",IF(E3154&gt;11,"U13",IF(E3154&gt;0,"U11",0)))))</f>
        <v>0</v>
      </c>
      <c r="E3154" s="456">
        <f>IFERROR(IF(Table10[[#This Row],[Year]]&gt;0,$E$1-Table10[[#This Row],[Year]],0),"")</f>
        <v>0</v>
      </c>
      <c r="F3154" s="456"/>
      <c r="G3154" s="456"/>
      <c r="H3154" s="456"/>
    </row>
    <row r="3155" spans="1:8">
      <c r="A3155" s="456">
        <v>4152</v>
      </c>
      <c r="B3155" s="469" t="s">
        <v>4928</v>
      </c>
      <c r="C3155" s="458" t="s">
        <v>362</v>
      </c>
      <c r="D3155" s="456">
        <f>IF(Table10[[#This Row],[Current Age]]&gt;19,"Men's",IF(E3155&gt;15,"U19",IF(E3155&gt;13,"U15",IF(E3155&gt;11,"U13",IF(E3155&gt;0,"U11",0)))))</f>
        <v>0</v>
      </c>
      <c r="E3155" s="456">
        <f>IFERROR(IF(Table10[[#This Row],[Year]]&gt;0,$E$1-Table10[[#This Row],[Year]],0),"")</f>
        <v>0</v>
      </c>
      <c r="F3155" s="456"/>
      <c r="G3155" s="456"/>
      <c r="H3155" s="456"/>
    </row>
    <row r="3156" spans="1:8">
      <c r="A3156" s="471">
        <v>4153</v>
      </c>
      <c r="B3156" s="493" t="s">
        <v>4929</v>
      </c>
      <c r="C3156" s="472" t="s">
        <v>361</v>
      </c>
      <c r="D3156" s="456">
        <f>IF(Table10[[#This Row],[Current Age]]&gt;19,"Men's",IF(E3156&gt;15,"U19",IF(E3156&gt;13,"U15",IF(E3156&gt;11,"U13",IF(E3156&gt;0,"U11",0)))))</f>
        <v>0</v>
      </c>
      <c r="E3156" s="456">
        <f>IFERROR(IF(Table10[[#This Row],[Year]]&gt;0,$E$1-Table10[[#This Row],[Year]],0),"")</f>
        <v>0</v>
      </c>
      <c r="F3156" s="456"/>
      <c r="G3156" s="456"/>
      <c r="H3156" s="456"/>
    </row>
    <row r="3157" spans="1:8">
      <c r="A3157" s="456">
        <v>4154</v>
      </c>
      <c r="B3157" s="469" t="s">
        <v>4951</v>
      </c>
      <c r="C3157" s="458" t="s">
        <v>361</v>
      </c>
      <c r="D3157" s="456">
        <f>IF(Table10[[#This Row],[Current Age]]&gt;19,"Men's",IF(E3157&gt;15,"U19",IF(E3157&gt;13,"U15",IF(E3157&gt;11,"U13",IF(E3157&gt;0,"U11",0)))))</f>
        <v>0</v>
      </c>
      <c r="E3157" s="456">
        <f>IFERROR(IF(Table10[[#This Row],[Year]]&gt;0,$E$1-Table10[[#This Row],[Year]],0),"")</f>
        <v>0</v>
      </c>
      <c r="F3157" s="456"/>
      <c r="G3157" s="456"/>
      <c r="H3157" s="456"/>
    </row>
    <row r="3158" spans="1:8">
      <c r="A3158" s="471">
        <v>4155</v>
      </c>
      <c r="B3158" s="493" t="s">
        <v>4952</v>
      </c>
      <c r="C3158" s="472" t="s">
        <v>361</v>
      </c>
      <c r="D3158" s="456">
        <f>IF(Table10[[#This Row],[Current Age]]&gt;19,"Men's",IF(E3158&gt;15,"U19",IF(E3158&gt;13,"U15",IF(E3158&gt;11,"U13",IF(E3158&gt;0,"U11",0)))))</f>
        <v>0</v>
      </c>
      <c r="E3158" s="456">
        <f>IFERROR(IF(Table10[[#This Row],[Year]]&gt;0,$E$1-Table10[[#This Row],[Year]],0),"")</f>
        <v>0</v>
      </c>
      <c r="F3158" s="456"/>
      <c r="G3158" s="456"/>
      <c r="H3158" s="456"/>
    </row>
    <row r="3159" spans="1:8">
      <c r="A3159" s="456">
        <v>4156</v>
      </c>
      <c r="B3159" s="469" t="s">
        <v>4953</v>
      </c>
      <c r="C3159" s="458" t="s">
        <v>361</v>
      </c>
      <c r="D3159" s="456">
        <f>IF(Table10[[#This Row],[Current Age]]&gt;19,"Men's",IF(E3159&gt;15,"U19",IF(E3159&gt;13,"U15",IF(E3159&gt;11,"U13",IF(E3159&gt;0,"U11",0)))))</f>
        <v>0</v>
      </c>
      <c r="E3159" s="456">
        <f>IFERROR(IF(Table10[[#This Row],[Year]]&gt;0,$E$1-Table10[[#This Row],[Year]],0),"")</f>
        <v>0</v>
      </c>
      <c r="F3159" s="456"/>
      <c r="G3159" s="456"/>
      <c r="H3159" s="456"/>
    </row>
    <row r="3160" spans="1:8">
      <c r="A3160" s="471">
        <v>4157</v>
      </c>
      <c r="B3160" s="493" t="s">
        <v>4954</v>
      </c>
      <c r="C3160" s="472" t="s">
        <v>361</v>
      </c>
      <c r="D3160" s="456">
        <f>IF(Table10[[#This Row],[Current Age]]&gt;19,"Men's",IF(E3160&gt;15,"U19",IF(E3160&gt;13,"U15",IF(E3160&gt;11,"U13",IF(E3160&gt;0,"U11",0)))))</f>
        <v>0</v>
      </c>
      <c r="E3160" s="456">
        <f>IFERROR(IF(Table10[[#This Row],[Year]]&gt;0,$E$1-Table10[[#This Row],[Year]],0),"")</f>
        <v>0</v>
      </c>
      <c r="F3160" s="456"/>
      <c r="G3160" s="456"/>
      <c r="H3160" s="456"/>
    </row>
    <row r="3161" spans="1:8">
      <c r="A3161" s="456">
        <v>4158</v>
      </c>
      <c r="B3161" s="469" t="s">
        <v>4955</v>
      </c>
      <c r="C3161" s="458" t="s">
        <v>361</v>
      </c>
      <c r="D3161" s="456">
        <f>IF(Table10[[#This Row],[Current Age]]&gt;19,"Men's",IF(E3161&gt;15,"U19",IF(E3161&gt;13,"U15",IF(E3161&gt;11,"U13",IF(E3161&gt;0,"U11",0)))))</f>
        <v>0</v>
      </c>
      <c r="E3161" s="456">
        <f>IFERROR(IF(Table10[[#This Row],[Year]]&gt;0,$E$1-Table10[[#This Row],[Year]],0),"")</f>
        <v>0</v>
      </c>
      <c r="F3161" s="456"/>
      <c r="G3161" s="456"/>
      <c r="H3161" s="456"/>
    </row>
    <row r="3162" spans="1:8">
      <c r="A3162" s="471">
        <v>4159</v>
      </c>
      <c r="B3162" s="493" t="s">
        <v>4956</v>
      </c>
      <c r="C3162" s="472" t="s">
        <v>361</v>
      </c>
      <c r="D3162" s="456">
        <f>IF(Table10[[#This Row],[Current Age]]&gt;19,"Men's",IF(E3162&gt;15,"U19",IF(E3162&gt;13,"U15",IF(E3162&gt;11,"U13",IF(E3162&gt;0,"U11",0)))))</f>
        <v>0</v>
      </c>
      <c r="E3162" s="456">
        <f>IFERROR(IF(Table10[[#This Row],[Year]]&gt;0,$E$1-Table10[[#This Row],[Year]],0),"")</f>
        <v>0</v>
      </c>
      <c r="F3162" s="456"/>
      <c r="G3162" s="456"/>
      <c r="H3162" s="456"/>
    </row>
    <row r="3163" spans="1:8">
      <c r="A3163" s="456">
        <v>4160</v>
      </c>
      <c r="B3163" s="469" t="s">
        <v>4957</v>
      </c>
      <c r="C3163" s="458" t="s">
        <v>361</v>
      </c>
      <c r="D3163" s="456">
        <f>IF(Table10[[#This Row],[Current Age]]&gt;19,"Men's",IF(E3163&gt;15,"U19",IF(E3163&gt;13,"U15",IF(E3163&gt;11,"U13",IF(E3163&gt;0,"U11",0)))))</f>
        <v>0</v>
      </c>
      <c r="E3163" s="456">
        <f>IFERROR(IF(Table10[[#This Row],[Year]]&gt;0,$E$1-Table10[[#This Row],[Year]],0),"")</f>
        <v>0</v>
      </c>
      <c r="F3163" s="456"/>
      <c r="G3163" s="456"/>
      <c r="H3163" s="456"/>
    </row>
    <row r="3164" spans="1:8">
      <c r="A3164" s="471">
        <v>4161</v>
      </c>
      <c r="B3164" s="493" t="s">
        <v>4958</v>
      </c>
      <c r="C3164" s="472" t="s">
        <v>361</v>
      </c>
      <c r="D3164" s="456">
        <f>IF(Table10[[#This Row],[Current Age]]&gt;19,"Men's",IF(E3164&gt;15,"U19",IF(E3164&gt;13,"U15",IF(E3164&gt;11,"U13",IF(E3164&gt;0,"U11",0)))))</f>
        <v>0</v>
      </c>
      <c r="E3164" s="456">
        <f>IFERROR(IF(Table10[[#This Row],[Year]]&gt;0,$E$1-Table10[[#This Row],[Year]],0),"")</f>
        <v>0</v>
      </c>
      <c r="F3164" s="456"/>
      <c r="G3164" s="456"/>
      <c r="H3164" s="456"/>
    </row>
    <row r="3165" spans="1:8">
      <c r="A3165" s="456">
        <v>4162</v>
      </c>
      <c r="B3165" s="469" t="s">
        <v>4959</v>
      </c>
      <c r="C3165" s="458" t="s">
        <v>361</v>
      </c>
      <c r="D3165" s="456">
        <f>IF(Table10[[#This Row],[Current Age]]&gt;19,"Men's",IF(E3165&gt;15,"U19",IF(E3165&gt;13,"U15",IF(E3165&gt;11,"U13",IF(E3165&gt;0,"U11",0)))))</f>
        <v>0</v>
      </c>
      <c r="E3165" s="456">
        <f>IFERROR(IF(Table10[[#This Row],[Year]]&gt;0,$E$1-Table10[[#This Row],[Year]],0),"")</f>
        <v>0</v>
      </c>
      <c r="F3165" s="456"/>
      <c r="G3165" s="456"/>
      <c r="H3165" s="456"/>
    </row>
    <row r="3166" spans="1:8">
      <c r="A3166" s="471">
        <v>4163</v>
      </c>
      <c r="B3166" s="493" t="s">
        <v>4960</v>
      </c>
      <c r="C3166" s="472" t="s">
        <v>361</v>
      </c>
      <c r="D3166" s="456">
        <f>IF(Table10[[#This Row],[Current Age]]&gt;19,"Men's",IF(E3166&gt;15,"U19",IF(E3166&gt;13,"U15",IF(E3166&gt;11,"U13",IF(E3166&gt;0,"U11",0)))))</f>
        <v>0</v>
      </c>
      <c r="E3166" s="456">
        <f>IFERROR(IF(Table10[[#This Row],[Year]]&gt;0,$E$1-Table10[[#This Row],[Year]],0),"")</f>
        <v>0</v>
      </c>
      <c r="F3166" s="456"/>
      <c r="G3166" s="456"/>
      <c r="H3166" s="456"/>
    </row>
    <row r="3167" spans="1:8">
      <c r="A3167" s="456">
        <v>4164</v>
      </c>
      <c r="B3167" s="469" t="s">
        <v>4961</v>
      </c>
      <c r="C3167" s="458" t="s">
        <v>361</v>
      </c>
      <c r="D3167" s="456">
        <f>IF(Table10[[#This Row],[Current Age]]&gt;19,"Men's",IF(E3167&gt;15,"U19",IF(E3167&gt;13,"U15",IF(E3167&gt;11,"U13",IF(E3167&gt;0,"U11",0)))))</f>
        <v>0</v>
      </c>
      <c r="E3167" s="456">
        <f>IFERROR(IF(Table10[[#This Row],[Year]]&gt;0,$E$1-Table10[[#This Row],[Year]],0),"")</f>
        <v>0</v>
      </c>
      <c r="F3167" s="456"/>
      <c r="G3167" s="456"/>
      <c r="H3167" s="456"/>
    </row>
    <row r="3168" spans="1:8">
      <c r="A3168" s="471">
        <v>4165</v>
      </c>
      <c r="B3168" s="493" t="s">
        <v>4962</v>
      </c>
      <c r="C3168" s="472" t="s">
        <v>361</v>
      </c>
      <c r="D3168" s="456">
        <f>IF(Table10[[#This Row],[Current Age]]&gt;19,"Men's",IF(E3168&gt;15,"U19",IF(E3168&gt;13,"U15",IF(E3168&gt;11,"U13",IF(E3168&gt;0,"U11",0)))))</f>
        <v>0</v>
      </c>
      <c r="E3168" s="456">
        <f>IFERROR(IF(Table10[[#This Row],[Year]]&gt;0,$E$1-Table10[[#This Row],[Year]],0),"")</f>
        <v>0</v>
      </c>
      <c r="F3168" s="456"/>
      <c r="G3168" s="456"/>
      <c r="H3168" s="456"/>
    </row>
    <row r="3169" spans="1:8">
      <c r="A3169" s="456">
        <v>4166</v>
      </c>
      <c r="B3169" s="469" t="s">
        <v>4963</v>
      </c>
      <c r="C3169" s="458" t="s">
        <v>361</v>
      </c>
      <c r="D3169" s="456">
        <f>IF(Table10[[#This Row],[Current Age]]&gt;19,"Men's",IF(E3169&gt;15,"U19",IF(E3169&gt;13,"U15",IF(E3169&gt;11,"U13",IF(E3169&gt;0,"U11",0)))))</f>
        <v>0</v>
      </c>
      <c r="E3169" s="456">
        <f>IFERROR(IF(Table10[[#This Row],[Year]]&gt;0,$E$1-Table10[[#This Row],[Year]],0),"")</f>
        <v>0</v>
      </c>
      <c r="F3169" s="456"/>
      <c r="G3169" s="456"/>
      <c r="H3169" s="456"/>
    </row>
    <row r="3170" spans="1:8">
      <c r="A3170" s="471">
        <v>4167</v>
      </c>
      <c r="B3170" s="493" t="s">
        <v>4964</v>
      </c>
      <c r="C3170" s="472" t="s">
        <v>361</v>
      </c>
      <c r="D3170" s="456">
        <f>IF(Table10[[#This Row],[Current Age]]&gt;19,"Men's",IF(E3170&gt;15,"U19",IF(E3170&gt;13,"U15",IF(E3170&gt;11,"U13",IF(E3170&gt;0,"U11",0)))))</f>
        <v>0</v>
      </c>
      <c r="E3170" s="456">
        <f>IFERROR(IF(Table10[[#This Row],[Year]]&gt;0,$E$1-Table10[[#This Row],[Year]],0),"")</f>
        <v>0</v>
      </c>
      <c r="F3170" s="456"/>
      <c r="G3170" s="456"/>
      <c r="H3170" s="456"/>
    </row>
    <row r="3171" spans="1:8">
      <c r="A3171" s="456">
        <v>4168</v>
      </c>
      <c r="B3171" s="469" t="s">
        <v>4965</v>
      </c>
      <c r="C3171" s="458" t="s">
        <v>361</v>
      </c>
      <c r="D3171" s="456">
        <f>IF(Table10[[#This Row],[Current Age]]&gt;19,"Men's",IF(E3171&gt;15,"U19",IF(E3171&gt;13,"U15",IF(E3171&gt;11,"U13",IF(E3171&gt;0,"U11",0)))))</f>
        <v>0</v>
      </c>
      <c r="E3171" s="456">
        <f>IFERROR(IF(Table10[[#This Row],[Year]]&gt;0,$E$1-Table10[[#This Row],[Year]],0),"")</f>
        <v>0</v>
      </c>
      <c r="F3171" s="456"/>
      <c r="G3171" s="456"/>
      <c r="H3171" s="456"/>
    </row>
    <row r="3172" spans="1:8">
      <c r="A3172" s="471">
        <v>4169</v>
      </c>
      <c r="B3172" s="493" t="s">
        <v>4966</v>
      </c>
      <c r="C3172" s="472" t="s">
        <v>361</v>
      </c>
      <c r="D3172" s="456">
        <f>IF(Table10[[#This Row],[Current Age]]&gt;19,"Men's",IF(E3172&gt;15,"U19",IF(E3172&gt;13,"U15",IF(E3172&gt;11,"U13",IF(E3172&gt;0,"U11",0)))))</f>
        <v>0</v>
      </c>
      <c r="E3172" s="456">
        <f>IFERROR(IF(Table10[[#This Row],[Year]]&gt;0,$E$1-Table10[[#This Row],[Year]],0),"")</f>
        <v>0</v>
      </c>
      <c r="F3172" s="456"/>
      <c r="G3172" s="456"/>
      <c r="H3172" s="456"/>
    </row>
    <row r="3173" spans="1:8">
      <c r="A3173" s="456">
        <v>4170</v>
      </c>
      <c r="B3173" s="469" t="s">
        <v>4967</v>
      </c>
      <c r="C3173" s="458" t="s">
        <v>361</v>
      </c>
      <c r="D3173" s="456">
        <f>IF(Table10[[#This Row],[Current Age]]&gt;19,"Men's",IF(E3173&gt;15,"U19",IF(E3173&gt;13,"U15",IF(E3173&gt;11,"U13",IF(E3173&gt;0,"U11",0)))))</f>
        <v>0</v>
      </c>
      <c r="E3173" s="456">
        <f>IFERROR(IF(Table10[[#This Row],[Year]]&gt;0,$E$1-Table10[[#This Row],[Year]],0),"")</f>
        <v>0</v>
      </c>
      <c r="F3173" s="456"/>
      <c r="G3173" s="456"/>
      <c r="H3173" s="456"/>
    </row>
    <row r="3174" spans="1:8">
      <c r="A3174" s="471">
        <v>4171</v>
      </c>
      <c r="B3174" s="493" t="s">
        <v>4968</v>
      </c>
      <c r="C3174" s="472" t="s">
        <v>361</v>
      </c>
      <c r="D3174" s="456">
        <f>IF(Table10[[#This Row],[Current Age]]&gt;19,"Men's",IF(E3174&gt;15,"U19",IF(E3174&gt;13,"U15",IF(E3174&gt;11,"U13",IF(E3174&gt;0,"U11",0)))))</f>
        <v>0</v>
      </c>
      <c r="E3174" s="456">
        <f>IFERROR(IF(Table10[[#This Row],[Year]]&gt;0,$E$1-Table10[[#This Row],[Year]],0),"")</f>
        <v>0</v>
      </c>
      <c r="F3174" s="456"/>
      <c r="G3174" s="456"/>
      <c r="H3174" s="456"/>
    </row>
    <row r="3175" spans="1:8">
      <c r="A3175" s="456">
        <v>4172</v>
      </c>
      <c r="B3175" s="469" t="s">
        <v>4969</v>
      </c>
      <c r="C3175" s="458" t="s">
        <v>361</v>
      </c>
      <c r="D3175" s="456">
        <f>IF(Table10[[#This Row],[Current Age]]&gt;19,"Men's",IF(E3175&gt;15,"U19",IF(E3175&gt;13,"U15",IF(E3175&gt;11,"U13",IF(E3175&gt;0,"U11",0)))))</f>
        <v>0</v>
      </c>
      <c r="E3175" s="456">
        <f>IFERROR(IF(Table10[[#This Row],[Year]]&gt;0,$E$1-Table10[[#This Row],[Year]],0),"")</f>
        <v>0</v>
      </c>
      <c r="F3175" s="456"/>
      <c r="G3175" s="456"/>
      <c r="H3175" s="456"/>
    </row>
    <row r="3176" spans="1:8">
      <c r="A3176" s="471">
        <v>4173</v>
      </c>
      <c r="B3176" s="493" t="s">
        <v>4970</v>
      </c>
      <c r="C3176" s="472" t="s">
        <v>361</v>
      </c>
      <c r="D3176" s="456">
        <f>IF(Table10[[#This Row],[Current Age]]&gt;19,"Men's",IF(E3176&gt;15,"U19",IF(E3176&gt;13,"U15",IF(E3176&gt;11,"U13",IF(E3176&gt;0,"U11",0)))))</f>
        <v>0</v>
      </c>
      <c r="E3176" s="456">
        <f>IFERROR(IF(Table10[[#This Row],[Year]]&gt;0,$E$1-Table10[[#This Row],[Year]],0),"")</f>
        <v>0</v>
      </c>
      <c r="F3176" s="456"/>
      <c r="G3176" s="456"/>
      <c r="H3176" s="456"/>
    </row>
    <row r="3177" spans="1:8">
      <c r="A3177" s="456">
        <v>4174</v>
      </c>
      <c r="B3177" s="469" t="s">
        <v>4971</v>
      </c>
      <c r="C3177" s="458" t="s">
        <v>361</v>
      </c>
      <c r="D3177" s="456">
        <f>IF(Table10[[#This Row],[Current Age]]&gt;19,"Men's",IF(E3177&gt;15,"U19",IF(E3177&gt;13,"U15",IF(E3177&gt;11,"U13",IF(E3177&gt;0,"U11",0)))))</f>
        <v>0</v>
      </c>
      <c r="E3177" s="456">
        <f>IFERROR(IF(Table10[[#This Row],[Year]]&gt;0,$E$1-Table10[[#This Row],[Year]],0),"")</f>
        <v>0</v>
      </c>
      <c r="F3177" s="456"/>
      <c r="G3177" s="456"/>
      <c r="H3177" s="456"/>
    </row>
    <row r="3178" spans="1:8">
      <c r="A3178" s="471">
        <v>4175</v>
      </c>
      <c r="B3178" s="493" t="s">
        <v>4972</v>
      </c>
      <c r="C3178" s="472" t="s">
        <v>361</v>
      </c>
      <c r="D3178" s="456">
        <f>IF(Table10[[#This Row],[Current Age]]&gt;19,"Men's",IF(E3178&gt;15,"U19",IF(E3178&gt;13,"U15",IF(E3178&gt;11,"U13",IF(E3178&gt;0,"U11",0)))))</f>
        <v>0</v>
      </c>
      <c r="E3178" s="456">
        <f>IFERROR(IF(Table10[[#This Row],[Year]]&gt;0,$E$1-Table10[[#This Row],[Year]],0),"")</f>
        <v>0</v>
      </c>
      <c r="F3178" s="456"/>
      <c r="G3178" s="456"/>
      <c r="H3178" s="456"/>
    </row>
    <row r="3179" spans="1:8">
      <c r="A3179" s="456">
        <v>4176</v>
      </c>
      <c r="B3179" s="469" t="s">
        <v>4973</v>
      </c>
      <c r="C3179" s="458" t="s">
        <v>361</v>
      </c>
      <c r="D3179" s="456">
        <f>IF(Table10[[#This Row],[Current Age]]&gt;19,"Men's",IF(E3179&gt;15,"U19",IF(E3179&gt;13,"U15",IF(E3179&gt;11,"U13",IF(E3179&gt;0,"U11",0)))))</f>
        <v>0</v>
      </c>
      <c r="E3179" s="456">
        <f>IFERROR(IF(Table10[[#This Row],[Year]]&gt;0,$E$1-Table10[[#This Row],[Year]],0),"")</f>
        <v>0</v>
      </c>
      <c r="F3179" s="456"/>
      <c r="G3179" s="456"/>
      <c r="H3179" s="456"/>
    </row>
    <row r="3180" spans="1:8">
      <c r="A3180" s="471">
        <v>4177</v>
      </c>
      <c r="B3180" s="493" t="s">
        <v>4974</v>
      </c>
      <c r="C3180" s="472" t="s">
        <v>361</v>
      </c>
      <c r="D3180" s="456">
        <f>IF(Table10[[#This Row],[Current Age]]&gt;19,"Men's",IF(E3180&gt;15,"U19",IF(E3180&gt;13,"U15",IF(E3180&gt;11,"U13",IF(E3180&gt;0,"U11",0)))))</f>
        <v>0</v>
      </c>
      <c r="E3180" s="456">
        <f>IFERROR(IF(Table10[[#This Row],[Year]]&gt;0,$E$1-Table10[[#This Row],[Year]],0),"")</f>
        <v>0</v>
      </c>
      <c r="F3180" s="456"/>
      <c r="G3180" s="456"/>
      <c r="H3180" s="456"/>
    </row>
    <row r="3181" spans="1:8">
      <c r="A3181" s="456">
        <v>4178</v>
      </c>
      <c r="B3181" s="469" t="s">
        <v>4975</v>
      </c>
      <c r="C3181" s="458" t="s">
        <v>361</v>
      </c>
      <c r="D3181" s="456">
        <f>IF(Table10[[#This Row],[Current Age]]&gt;19,"Men's",IF(E3181&gt;15,"U19",IF(E3181&gt;13,"U15",IF(E3181&gt;11,"U13",IF(E3181&gt;0,"U11",0)))))</f>
        <v>0</v>
      </c>
      <c r="E3181" s="456">
        <f>IFERROR(IF(Table10[[#This Row],[Year]]&gt;0,$E$1-Table10[[#This Row],[Year]],0),"")</f>
        <v>0</v>
      </c>
      <c r="F3181" s="456"/>
      <c r="G3181" s="456"/>
      <c r="H3181" s="456"/>
    </row>
    <row r="3182" spans="1:8">
      <c r="A3182" s="471">
        <v>4179</v>
      </c>
      <c r="B3182" s="493" t="s">
        <v>4976</v>
      </c>
      <c r="C3182" s="472" t="s">
        <v>361</v>
      </c>
      <c r="D3182" s="456">
        <f>IF(Table10[[#This Row],[Current Age]]&gt;19,"Men's",IF(E3182&gt;15,"U19",IF(E3182&gt;13,"U15",IF(E3182&gt;11,"U13",IF(E3182&gt;0,"U11",0)))))</f>
        <v>0</v>
      </c>
      <c r="E3182" s="456">
        <f>IFERROR(IF(Table10[[#This Row],[Year]]&gt;0,$E$1-Table10[[#This Row],[Year]],0),"")</f>
        <v>0</v>
      </c>
      <c r="F3182" s="456"/>
      <c r="G3182" s="456"/>
      <c r="H3182" s="456"/>
    </row>
    <row r="3183" spans="1:8">
      <c r="A3183" s="456">
        <v>4180</v>
      </c>
      <c r="B3183" s="469" t="s">
        <v>4977</v>
      </c>
      <c r="C3183" s="458" t="s">
        <v>361</v>
      </c>
      <c r="D3183" s="456">
        <f>IF(Table10[[#This Row],[Current Age]]&gt;19,"Men's",IF(E3183&gt;15,"U19",IF(E3183&gt;13,"U15",IF(E3183&gt;11,"U13",IF(E3183&gt;0,"U11",0)))))</f>
        <v>0</v>
      </c>
      <c r="E3183" s="456">
        <f>IFERROR(IF(Table10[[#This Row],[Year]]&gt;0,$E$1-Table10[[#This Row],[Year]],0),"")</f>
        <v>0</v>
      </c>
      <c r="F3183" s="456"/>
      <c r="G3183" s="456"/>
      <c r="H3183" s="456"/>
    </row>
    <row r="3184" spans="1:8">
      <c r="A3184" s="471">
        <v>4181</v>
      </c>
      <c r="B3184" s="493" t="s">
        <v>4978</v>
      </c>
      <c r="C3184" s="472" t="s">
        <v>361</v>
      </c>
      <c r="D3184" s="456">
        <f>IF(Table10[[#This Row],[Current Age]]&gt;19,"Men's",IF(E3184&gt;15,"U19",IF(E3184&gt;13,"U15",IF(E3184&gt;11,"U13",IF(E3184&gt;0,"U11",0)))))</f>
        <v>0</v>
      </c>
      <c r="E3184" s="456">
        <f>IFERROR(IF(Table10[[#This Row],[Year]]&gt;0,$E$1-Table10[[#This Row],[Year]],0),"")</f>
        <v>0</v>
      </c>
      <c r="F3184" s="456"/>
      <c r="G3184" s="456"/>
      <c r="H3184" s="456"/>
    </row>
    <row r="3185" spans="1:8">
      <c r="A3185" s="456">
        <v>4182</v>
      </c>
      <c r="B3185" s="469" t="s">
        <v>4979</v>
      </c>
      <c r="C3185" s="458" t="s">
        <v>361</v>
      </c>
      <c r="D3185" s="456">
        <f>IF(Table10[[#This Row],[Current Age]]&gt;19,"Men's",IF(E3185&gt;15,"U19",IF(E3185&gt;13,"U15",IF(E3185&gt;11,"U13",IF(E3185&gt;0,"U11",0)))))</f>
        <v>0</v>
      </c>
      <c r="E3185" s="456">
        <f>IFERROR(IF(Table10[[#This Row],[Year]]&gt;0,$E$1-Table10[[#This Row],[Year]],0),"")</f>
        <v>0</v>
      </c>
      <c r="F3185" s="456"/>
      <c r="G3185" s="456"/>
      <c r="H3185" s="456"/>
    </row>
    <row r="3186" spans="1:8">
      <c r="A3186" s="473">
        <v>4183</v>
      </c>
      <c r="B3186" s="498" t="s">
        <v>4980</v>
      </c>
      <c r="C3186" s="472" t="s">
        <v>361</v>
      </c>
      <c r="D3186" s="456" t="str">
        <f>IF(Table10[[#This Row],[Current Age]]&gt;19,"Men's",IF(E3186&gt;15,"U19",IF(E3186&gt;13,"U15",IF(E3186&gt;11,"U13",IF(E3186&gt;0,"U11",0)))))</f>
        <v>Men's</v>
      </c>
      <c r="E3186" s="456">
        <f>IFERROR(IF(Table10[[#This Row],[Year]]&gt;0,$E$1-Table10[[#This Row],[Year]],0),"")</f>
        <v>37</v>
      </c>
      <c r="F3186" s="456">
        <v>1988</v>
      </c>
      <c r="G3186" s="456">
        <v>2</v>
      </c>
      <c r="H3186" s="456">
        <v>22</v>
      </c>
    </row>
    <row r="3187" spans="1:8">
      <c r="A3187" s="466">
        <v>4184</v>
      </c>
      <c r="B3187" s="499" t="s">
        <v>4981</v>
      </c>
      <c r="C3187" s="458" t="s">
        <v>361</v>
      </c>
      <c r="D3187" s="456" t="str">
        <f>IF(Table10[[#This Row],[Current Age]]&gt;19,"Men's",IF(E3187&gt;15,"U19",IF(E3187&gt;13,"U15",IF(E3187&gt;11,"U13",IF(E3187&gt;0,"U11",0)))))</f>
        <v>Men's</v>
      </c>
      <c r="E3187" s="456">
        <f>IFERROR(IF(Table10[[#This Row],[Year]]&gt;0,$E$1-Table10[[#This Row],[Year]],0),"")</f>
        <v>38</v>
      </c>
      <c r="F3187" s="456">
        <v>1987</v>
      </c>
      <c r="G3187" s="456">
        <v>6</v>
      </c>
      <c r="H3187" s="456">
        <v>23</v>
      </c>
    </row>
    <row r="3188" spans="1:8">
      <c r="A3188" s="473">
        <v>4185</v>
      </c>
      <c r="B3188" s="498" t="s">
        <v>4982</v>
      </c>
      <c r="C3188" s="472" t="s">
        <v>361</v>
      </c>
      <c r="D3188" s="456" t="str">
        <f>IF(Table10[[#This Row],[Current Age]]&gt;19,"Men's",IF(E3188&gt;15,"U19",IF(E3188&gt;13,"U15",IF(E3188&gt;11,"U13",IF(E3188&gt;0,"U11",0)))))</f>
        <v>Men's</v>
      </c>
      <c r="E3188" s="456">
        <f>IFERROR(IF(Table10[[#This Row],[Year]]&gt;0,$E$1-Table10[[#This Row],[Year]],0),"")</f>
        <v>47</v>
      </c>
      <c r="F3188" s="456">
        <v>1978</v>
      </c>
      <c r="G3188" s="456">
        <v>11</v>
      </c>
      <c r="H3188" s="456">
        <v>17</v>
      </c>
    </row>
    <row r="3189" spans="1:8">
      <c r="A3189" s="466">
        <v>4186</v>
      </c>
      <c r="B3189" s="499" t="s">
        <v>4983</v>
      </c>
      <c r="C3189" s="458" t="s">
        <v>361</v>
      </c>
      <c r="D3189" s="456" t="str">
        <f>IF(Table10[[#This Row],[Current Age]]&gt;19,"Men's",IF(E3189&gt;15,"U19",IF(E3189&gt;13,"U15",IF(E3189&gt;11,"U13",IF(E3189&gt;0,"U11",0)))))</f>
        <v>Men's</v>
      </c>
      <c r="E3189" s="456">
        <f>IFERROR(IF(Table10[[#This Row],[Year]]&gt;0,$E$1-Table10[[#This Row],[Year]],0),"")</f>
        <v>30</v>
      </c>
      <c r="F3189" s="456">
        <v>1995</v>
      </c>
      <c r="G3189" s="456">
        <v>1</v>
      </c>
      <c r="H3189" s="456">
        <v>7</v>
      </c>
    </row>
    <row r="3190" spans="1:8">
      <c r="A3190" s="473">
        <v>4187</v>
      </c>
      <c r="B3190" s="498" t="s">
        <v>4984</v>
      </c>
      <c r="C3190" s="472" t="s">
        <v>361</v>
      </c>
      <c r="D3190" s="456" t="str">
        <f>IF(Table10[[#This Row],[Current Age]]&gt;19,"Men's",IF(E3190&gt;15,"U19",IF(E3190&gt;13,"U15",IF(E3190&gt;11,"U13",IF(E3190&gt;0,"U11",0)))))</f>
        <v>Men's</v>
      </c>
      <c r="E3190" s="456">
        <f>IFERROR(IF(Table10[[#This Row],[Year]]&gt;0,$E$1-Table10[[#This Row],[Year]],0),"")</f>
        <v>50</v>
      </c>
      <c r="F3190" s="456">
        <v>1975</v>
      </c>
      <c r="G3190" s="456">
        <v>10</v>
      </c>
      <c r="H3190" s="456">
        <v>30</v>
      </c>
    </row>
    <row r="3191" spans="1:8">
      <c r="A3191" s="466">
        <v>4188</v>
      </c>
      <c r="B3191" s="499" t="s">
        <v>4985</v>
      </c>
      <c r="C3191" s="458" t="s">
        <v>361</v>
      </c>
      <c r="D3191" s="456" t="str">
        <f>IF(Table10[[#This Row],[Current Age]]&gt;19,"Men's",IF(E3191&gt;15,"U19",IF(E3191&gt;13,"U15",IF(E3191&gt;11,"U13",IF(E3191&gt;0,"U11",0)))))</f>
        <v>Men's</v>
      </c>
      <c r="E3191" s="456">
        <f>IFERROR(IF(Table10[[#This Row],[Year]]&gt;0,$E$1-Table10[[#This Row],[Year]],0),"")</f>
        <v>60</v>
      </c>
      <c r="F3191" s="456">
        <v>1965</v>
      </c>
      <c r="G3191" s="456">
        <v>1</v>
      </c>
      <c r="H3191" s="456">
        <v>16</v>
      </c>
    </row>
    <row r="3192" spans="1:8">
      <c r="A3192" s="473">
        <v>4189</v>
      </c>
      <c r="B3192" s="498" t="s">
        <v>4986</v>
      </c>
      <c r="C3192" s="472" t="s">
        <v>361</v>
      </c>
      <c r="D3192" s="456" t="str">
        <f>IF(Table10[[#This Row],[Current Age]]&gt;19,"Men's",IF(E3192&gt;15,"U19",IF(E3192&gt;13,"U15",IF(E3192&gt;11,"U13",IF(E3192&gt;0,"U11",0)))))</f>
        <v>Men's</v>
      </c>
      <c r="E3192" s="456">
        <f>IFERROR(IF(Table10[[#This Row],[Year]]&gt;0,$E$1-Table10[[#This Row],[Year]],0),"")</f>
        <v>44</v>
      </c>
      <c r="F3192" s="456">
        <v>1981</v>
      </c>
      <c r="G3192" s="456">
        <v>7</v>
      </c>
      <c r="H3192" s="456">
        <v>21</v>
      </c>
    </row>
    <row r="3193" spans="1:8">
      <c r="A3193" s="466">
        <v>4190</v>
      </c>
      <c r="B3193" s="499" t="s">
        <v>4987</v>
      </c>
      <c r="C3193" s="458" t="s">
        <v>361</v>
      </c>
      <c r="D3193" s="456" t="str">
        <f>IF(Table10[[#This Row],[Current Age]]&gt;19,"Men's",IF(E3193&gt;15,"U19",IF(E3193&gt;13,"U15",IF(E3193&gt;11,"U13",IF(E3193&gt;0,"U11",0)))))</f>
        <v>Men's</v>
      </c>
      <c r="E3193" s="456">
        <f>IFERROR(IF(Table10[[#This Row],[Year]]&gt;0,$E$1-Table10[[#This Row],[Year]],0),"")</f>
        <v>39</v>
      </c>
      <c r="F3193" s="456">
        <v>1986</v>
      </c>
      <c r="G3193" s="456">
        <v>5</v>
      </c>
      <c r="H3193" s="456">
        <v>28</v>
      </c>
    </row>
    <row r="3194" spans="1:8">
      <c r="A3194" s="473">
        <v>4191</v>
      </c>
      <c r="B3194" s="498" t="s">
        <v>4988</v>
      </c>
      <c r="C3194" s="472" t="s">
        <v>361</v>
      </c>
      <c r="D3194" s="456" t="str">
        <f>IF(Table10[[#This Row],[Current Age]]&gt;19,"Men's",IF(E3194&gt;15,"U19",IF(E3194&gt;13,"U15",IF(E3194&gt;11,"U13",IF(E3194&gt;0,"U11",0)))))</f>
        <v>Men's</v>
      </c>
      <c r="E3194" s="456">
        <f>IFERROR(IF(Table10[[#This Row],[Year]]&gt;0,$E$1-Table10[[#This Row],[Year]],0),"")</f>
        <v>30</v>
      </c>
      <c r="F3194" s="456">
        <v>1995</v>
      </c>
      <c r="G3194" s="456">
        <v>7</v>
      </c>
      <c r="H3194" s="456">
        <v>11</v>
      </c>
    </row>
    <row r="3195" spans="1:8">
      <c r="A3195" s="466">
        <v>4192</v>
      </c>
      <c r="B3195" s="499" t="s">
        <v>4989</v>
      </c>
      <c r="C3195" s="458" t="s">
        <v>361</v>
      </c>
      <c r="D3195" s="456" t="str">
        <f>IF(Table10[[#This Row],[Current Age]]&gt;19,"Men's",IF(E3195&gt;15,"U19",IF(E3195&gt;13,"U15",IF(E3195&gt;11,"U13",IF(E3195&gt;0,"U11",0)))))</f>
        <v>Men's</v>
      </c>
      <c r="E3195" s="456">
        <f>IFERROR(IF(Table10[[#This Row],[Year]]&gt;0,$E$1-Table10[[#This Row],[Year]],0),"")</f>
        <v>34</v>
      </c>
      <c r="F3195" s="456">
        <v>1991</v>
      </c>
      <c r="G3195" s="456">
        <v>4</v>
      </c>
      <c r="H3195" s="456">
        <v>6</v>
      </c>
    </row>
    <row r="3196" spans="1:8">
      <c r="A3196" s="473">
        <v>4193</v>
      </c>
      <c r="B3196" s="498" t="s">
        <v>4990</v>
      </c>
      <c r="C3196" s="472" t="s">
        <v>361</v>
      </c>
      <c r="D3196" s="456" t="str">
        <f>IF(Table10[[#This Row],[Current Age]]&gt;19,"Men's",IF(E3196&gt;15,"U19",IF(E3196&gt;13,"U15",IF(E3196&gt;11,"U13",IF(E3196&gt;0,"U11",0)))))</f>
        <v>Men's</v>
      </c>
      <c r="E3196" s="456">
        <f>IFERROR(IF(Table10[[#This Row],[Year]]&gt;0,$E$1-Table10[[#This Row],[Year]],0),"")</f>
        <v>38</v>
      </c>
      <c r="F3196" s="456">
        <v>1987</v>
      </c>
      <c r="G3196" s="456">
        <v>1</v>
      </c>
      <c r="H3196" s="456">
        <v>18</v>
      </c>
    </row>
    <row r="3197" spans="1:8">
      <c r="A3197" s="466">
        <v>4194</v>
      </c>
      <c r="B3197" s="499" t="s">
        <v>4991</v>
      </c>
      <c r="C3197" s="458" t="s">
        <v>361</v>
      </c>
      <c r="D3197" s="456" t="str">
        <f>IF(Table10[[#This Row],[Current Age]]&gt;19,"Men's",IF(E3197&gt;15,"U19",IF(E3197&gt;13,"U15",IF(E3197&gt;11,"U13",IF(E3197&gt;0,"U11",0)))))</f>
        <v>Men's</v>
      </c>
      <c r="E3197" s="456">
        <f>IFERROR(IF(Table10[[#This Row],[Year]]&gt;0,$E$1-Table10[[#This Row],[Year]],0),"")</f>
        <v>53</v>
      </c>
      <c r="F3197" s="456">
        <v>1972</v>
      </c>
      <c r="G3197" s="456">
        <v>2</v>
      </c>
      <c r="H3197" s="456">
        <v>11</v>
      </c>
    </row>
    <row r="3198" spans="1:8">
      <c r="A3198" s="473">
        <v>4195</v>
      </c>
      <c r="B3198" s="498" t="s">
        <v>4992</v>
      </c>
      <c r="C3198" s="472" t="s">
        <v>361</v>
      </c>
      <c r="D3198" s="456" t="str">
        <f>IF(Table10[[#This Row],[Current Age]]&gt;19,"Men's",IF(E3198&gt;15,"U19",IF(E3198&gt;13,"U15",IF(E3198&gt;11,"U13",IF(E3198&gt;0,"U11",0)))))</f>
        <v>U11</v>
      </c>
      <c r="E3198" s="456">
        <f>IFERROR(IF(Table10[[#This Row],[Year]]&gt;0,$E$1-Table10[[#This Row],[Year]],0),"")</f>
        <v>8</v>
      </c>
      <c r="F3198" s="456">
        <v>2017</v>
      </c>
      <c r="G3198" s="456">
        <v>6</v>
      </c>
      <c r="H3198" s="456">
        <v>23</v>
      </c>
    </row>
    <row r="3199" spans="1:8">
      <c r="A3199" s="466">
        <v>4196</v>
      </c>
      <c r="B3199" s="499" t="s">
        <v>4993</v>
      </c>
      <c r="C3199" s="458" t="s">
        <v>361</v>
      </c>
      <c r="D3199" s="456" t="str">
        <f>IF(Table10[[#This Row],[Current Age]]&gt;19,"Men's",IF(E3199&gt;15,"U19",IF(E3199&gt;13,"U15",IF(E3199&gt;11,"U13",IF(E3199&gt;0,"U11",0)))))</f>
        <v>U13</v>
      </c>
      <c r="E3199" s="456">
        <f>IFERROR(IF(Table10[[#This Row],[Year]]&gt;0,$E$1-Table10[[#This Row],[Year]],0),"")</f>
        <v>13</v>
      </c>
      <c r="F3199" s="456">
        <v>2012</v>
      </c>
      <c r="G3199" s="456">
        <v>10</v>
      </c>
      <c r="H3199" s="456">
        <v>1</v>
      </c>
    </row>
    <row r="3200" spans="1:8">
      <c r="A3200" s="473">
        <v>4197</v>
      </c>
      <c r="B3200" s="498" t="s">
        <v>4994</v>
      </c>
      <c r="C3200" s="472" t="s">
        <v>361</v>
      </c>
      <c r="D3200" s="456" t="str">
        <f>IF(Table10[[#This Row],[Current Age]]&gt;19,"Men's",IF(E3200&gt;15,"U19",IF(E3200&gt;13,"U15",IF(E3200&gt;11,"U13",IF(E3200&gt;0,"U11",0)))))</f>
        <v>U15</v>
      </c>
      <c r="E3200" s="456">
        <f>IFERROR(IF(Table10[[#This Row],[Year]]&gt;0,$E$1-Table10[[#This Row],[Year]],0),"")</f>
        <v>14</v>
      </c>
      <c r="F3200" s="456">
        <v>2011</v>
      </c>
      <c r="G3200" s="456">
        <v>10</v>
      </c>
      <c r="H3200" s="456">
        <v>1</v>
      </c>
    </row>
    <row r="3201" spans="1:8">
      <c r="A3201" s="475">
        <v>4198</v>
      </c>
      <c r="B3201" s="511" t="s">
        <v>5436</v>
      </c>
      <c r="C3201" s="458" t="s">
        <v>243</v>
      </c>
      <c r="D3201" s="456">
        <f>IF(Table10[[#This Row],[Current Age]]&gt;19,"Men's",IF(E3201&gt;15,"U19",IF(E3201&gt;13,"U15",IF(E3201&gt;11,"U13",IF(E3201&gt;0,"U11",0)))))</f>
        <v>0</v>
      </c>
      <c r="E3201" s="456">
        <f>IFERROR(IF(Table10[[#This Row],[Year]]&gt;0,$E$1-Table10[[#This Row],[Year]],0),"")</f>
        <v>0</v>
      </c>
      <c r="F3201" s="456"/>
      <c r="G3201" s="456"/>
      <c r="H3201" s="456"/>
    </row>
    <row r="3202" spans="1:8">
      <c r="A3202" s="476">
        <v>4199</v>
      </c>
      <c r="B3202" s="521" t="s">
        <v>4997</v>
      </c>
      <c r="C3202" s="472" t="s">
        <v>243</v>
      </c>
      <c r="D3202" s="456">
        <f>IF(Table10[[#This Row],[Current Age]]&gt;19,"Men's",IF(E3202&gt;15,"U19",IF(E3202&gt;13,"U15",IF(E3202&gt;11,"U13",IF(E3202&gt;0,"U11",0)))))</f>
        <v>0</v>
      </c>
      <c r="E3202" s="456">
        <f>IFERROR(IF(Table10[[#This Row],[Year]]&gt;0,$E$1-Table10[[#This Row],[Year]],0),"")</f>
        <v>0</v>
      </c>
      <c r="F3202" s="456"/>
      <c r="G3202" s="456"/>
      <c r="H3202" s="456"/>
    </row>
    <row r="3203" spans="1:8">
      <c r="A3203" s="475">
        <v>4200</v>
      </c>
      <c r="B3203" s="522" t="s">
        <v>4998</v>
      </c>
      <c r="C3203" s="458" t="s">
        <v>243</v>
      </c>
      <c r="D3203" s="456">
        <f>IF(Table10[[#This Row],[Current Age]]&gt;19,"Men's",IF(E3203&gt;15,"U19",IF(E3203&gt;13,"U15",IF(E3203&gt;11,"U13",IF(E3203&gt;0,"U11",0)))))</f>
        <v>0</v>
      </c>
      <c r="E3203" s="456">
        <f>IFERROR(IF(Table10[[#This Row],[Year]]&gt;0,$E$1-Table10[[#This Row],[Year]],0),"")</f>
        <v>0</v>
      </c>
      <c r="F3203" s="456"/>
      <c r="G3203" s="456"/>
      <c r="H3203" s="456"/>
    </row>
    <row r="3204" spans="1:8">
      <c r="A3204" s="471">
        <v>4201</v>
      </c>
      <c r="B3204" s="493" t="s">
        <v>5001</v>
      </c>
      <c r="C3204" s="472" t="s">
        <v>249</v>
      </c>
      <c r="D3204" s="456" t="str">
        <f>IF(Table10[[#This Row],[Current Age]]&gt;19,"Men's",IF(E3204&gt;15,"U19",IF(E3204&gt;13,"U15",IF(E3204&gt;11,"U13",IF(E3204&gt;0,"U11",0)))))</f>
        <v>Men's</v>
      </c>
      <c r="E3204" s="456">
        <f>IFERROR(IF(Table10[[#This Row],[Year]]&gt;0,$E$1-Table10[[#This Row],[Year]],0),"")</f>
        <v>23</v>
      </c>
      <c r="F3204" s="456">
        <v>2002</v>
      </c>
      <c r="G3204" s="456">
        <v>9</v>
      </c>
      <c r="H3204" s="456">
        <v>20</v>
      </c>
    </row>
    <row r="3205" spans="1:8">
      <c r="A3205" s="456">
        <v>4202</v>
      </c>
      <c r="B3205" s="495" t="s">
        <v>5509</v>
      </c>
      <c r="C3205" s="464" t="s">
        <v>4745</v>
      </c>
      <c r="D3205" s="456">
        <f>IF(Table10[[#This Row],[Current Age]]&gt;19,"Men's",IF(E3205&gt;15,"U19",IF(E3205&gt;13,"U15",IF(E3205&gt;11,"U13",IF(E3205&gt;0,"U11",0)))))</f>
        <v>0</v>
      </c>
      <c r="E3205" s="456">
        <f>IFERROR(IF(Table10[[#This Row],[Year]]&gt;0,$E$1-Table10[[#This Row],[Year]],0),"")</f>
        <v>0</v>
      </c>
      <c r="F3205" s="456"/>
      <c r="G3205" s="456"/>
      <c r="H3205" s="456"/>
    </row>
    <row r="3206" spans="1:8">
      <c r="A3206" s="471">
        <v>4203</v>
      </c>
      <c r="B3206" s="493" t="s">
        <v>5002</v>
      </c>
      <c r="C3206" s="472" t="s">
        <v>249</v>
      </c>
      <c r="D3206" s="456">
        <f>IF(Table10[[#This Row],[Current Age]]&gt;19,"Men's",IF(E3206&gt;15,"U19",IF(E3206&gt;13,"U15",IF(E3206&gt;11,"U13",IF(E3206&gt;0,"U11",0)))))</f>
        <v>0</v>
      </c>
      <c r="E3206" s="456">
        <f>IFERROR(IF(Table10[[#This Row],[Year]]&gt;0,$E$1-Table10[[#This Row],[Year]],0),"")</f>
        <v>0</v>
      </c>
      <c r="F3206" s="456"/>
      <c r="G3206" s="456"/>
      <c r="H3206" s="456"/>
    </row>
    <row r="3207" spans="1:8">
      <c r="A3207" s="456">
        <v>4204</v>
      </c>
      <c r="B3207" s="469" t="s">
        <v>5003</v>
      </c>
      <c r="C3207" s="458" t="s">
        <v>249</v>
      </c>
      <c r="D3207" s="456" t="str">
        <f>IF(Table10[[#This Row],[Current Age]]&gt;19,"Men's",IF(E3207&gt;15,"U19",IF(E3207&gt;13,"U15",IF(E3207&gt;11,"U13",IF(E3207&gt;0,"U11",0)))))</f>
        <v>Men's</v>
      </c>
      <c r="E3207" s="456">
        <f>IFERROR(IF(Table10[[#This Row],[Year]]&gt;0,$E$1-Table10[[#This Row],[Year]],0),"")</f>
        <v>25</v>
      </c>
      <c r="F3207" s="456">
        <v>2000</v>
      </c>
      <c r="G3207" s="456">
        <v>6</v>
      </c>
      <c r="H3207" s="456">
        <v>14</v>
      </c>
    </row>
    <row r="3208" spans="1:8">
      <c r="A3208" s="471">
        <v>4205</v>
      </c>
      <c r="B3208" s="493" t="s">
        <v>5004</v>
      </c>
      <c r="C3208" s="472" t="s">
        <v>249</v>
      </c>
      <c r="D3208" s="456" t="str">
        <f>IF(Table10[[#This Row],[Current Age]]&gt;19,"Men's",IF(E3208&gt;15,"U19",IF(E3208&gt;13,"U15",IF(E3208&gt;11,"U13",IF(E3208&gt;0,"U11",0)))))</f>
        <v>Men's</v>
      </c>
      <c r="E3208" s="456">
        <f>IFERROR(IF(Table10[[#This Row],[Year]]&gt;0,$E$1-Table10[[#This Row],[Year]],0),"")</f>
        <v>24</v>
      </c>
      <c r="F3208" s="456">
        <v>2001</v>
      </c>
      <c r="G3208" s="456">
        <v>5</v>
      </c>
      <c r="H3208" s="456">
        <v>3</v>
      </c>
    </row>
    <row r="3209" spans="1:8">
      <c r="A3209" s="456">
        <v>4206</v>
      </c>
      <c r="B3209" s="469" t="s">
        <v>5005</v>
      </c>
      <c r="C3209" s="458" t="s">
        <v>249</v>
      </c>
      <c r="D3209" s="456">
        <f>IF(Table10[[#This Row],[Current Age]]&gt;19,"Men's",IF(E3209&gt;15,"U19",IF(E3209&gt;13,"U15",IF(E3209&gt;11,"U13",IF(E3209&gt;0,"U11",0)))))</f>
        <v>0</v>
      </c>
      <c r="E3209" s="456">
        <f>IFERROR(IF(Table10[[#This Row],[Year]]&gt;0,$E$1-Table10[[#This Row],[Year]],0),"")</f>
        <v>0</v>
      </c>
      <c r="F3209" s="456"/>
      <c r="G3209" s="456"/>
      <c r="H3209" s="456"/>
    </row>
    <row r="3210" spans="1:8">
      <c r="A3210" s="471">
        <v>4207</v>
      </c>
      <c r="B3210" s="493" t="s">
        <v>5006</v>
      </c>
      <c r="C3210" s="472" t="s">
        <v>249</v>
      </c>
      <c r="D3210" s="456" t="str">
        <f>IF(Table10[[#This Row],[Current Age]]&gt;19,"Men's",IF(E3210&gt;15,"U19",IF(E3210&gt;13,"U15",IF(E3210&gt;11,"U13",IF(E3210&gt;0,"U11",0)))))</f>
        <v>Men's</v>
      </c>
      <c r="E3210" s="456">
        <f>IFERROR(IF(Table10[[#This Row],[Year]]&gt;0,$E$1-Table10[[#This Row],[Year]],0),"")</f>
        <v>25</v>
      </c>
      <c r="F3210" s="456">
        <v>2000</v>
      </c>
      <c r="G3210" s="456">
        <v>3</v>
      </c>
      <c r="H3210" s="456">
        <v>8</v>
      </c>
    </row>
    <row r="3211" spans="1:8">
      <c r="A3211" s="456">
        <v>4208</v>
      </c>
      <c r="B3211" s="469" t="s">
        <v>5007</v>
      </c>
      <c r="C3211" s="458" t="s">
        <v>249</v>
      </c>
      <c r="D3211" s="456" t="str">
        <f>IF(Table10[[#This Row],[Current Age]]&gt;19,"Men's",IF(E3211&gt;15,"U19",IF(E3211&gt;13,"U15",IF(E3211&gt;11,"U13",IF(E3211&gt;0,"U11",0)))))</f>
        <v>Men's</v>
      </c>
      <c r="E3211" s="456">
        <f>IFERROR(IF(Table10[[#This Row],[Year]]&gt;0,$E$1-Table10[[#This Row],[Year]],0),"")</f>
        <v>45</v>
      </c>
      <c r="F3211" s="456">
        <v>1980</v>
      </c>
      <c r="G3211" s="456">
        <v>1</v>
      </c>
      <c r="H3211" s="456">
        <v>1</v>
      </c>
    </row>
    <row r="3212" spans="1:8">
      <c r="A3212" s="471">
        <v>4209</v>
      </c>
      <c r="B3212" s="493" t="s">
        <v>5024</v>
      </c>
      <c r="C3212" s="472" t="s">
        <v>762</v>
      </c>
      <c r="D3212" s="456" t="str">
        <f>IF(Table10[[#This Row],[Current Age]]&gt;19,"Men's",IF(E3212&gt;15,"U19",IF(E3212&gt;13,"U15",IF(E3212&gt;11,"U13",IF(E3212&gt;0,"U11",0)))))</f>
        <v>Men's</v>
      </c>
      <c r="E3212" s="456">
        <f>IFERROR(IF(Table10[[#This Row],[Year]]&gt;0,$E$1-Table10[[#This Row],[Year]],0),"")</f>
        <v>29</v>
      </c>
      <c r="F3212" s="456">
        <v>1996</v>
      </c>
      <c r="G3212" s="456">
        <v>6</v>
      </c>
      <c r="H3212" s="456">
        <v>5</v>
      </c>
    </row>
    <row r="3213" spans="1:8">
      <c r="A3213" s="456">
        <v>4210</v>
      </c>
      <c r="B3213" s="469" t="s">
        <v>5025</v>
      </c>
      <c r="C3213" s="458" t="s">
        <v>762</v>
      </c>
      <c r="D3213" s="456">
        <f>IF(Table10[[#This Row],[Current Age]]&gt;19,"Men's",IF(E3213&gt;15,"U19",IF(E3213&gt;13,"U15",IF(E3213&gt;11,"U13",IF(E3213&gt;0,"U11",0)))))</f>
        <v>0</v>
      </c>
      <c r="E3213" s="456">
        <f>IFERROR(IF(Table10[[#This Row],[Year]]&gt;0,$E$1-Table10[[#This Row],[Year]],0),"")</f>
        <v>0</v>
      </c>
      <c r="F3213" s="456"/>
      <c r="G3213" s="456"/>
      <c r="H3213" s="456"/>
    </row>
    <row r="3214" spans="1:8">
      <c r="A3214" s="471">
        <v>4211</v>
      </c>
      <c r="B3214" s="493" t="s">
        <v>5026</v>
      </c>
      <c r="C3214" s="472" t="s">
        <v>762</v>
      </c>
      <c r="D3214" s="456" t="str">
        <f>IF(Table10[[#This Row],[Current Age]]&gt;19,"Men's",IF(E3214&gt;15,"U19",IF(E3214&gt;13,"U15",IF(E3214&gt;11,"U13",IF(E3214&gt;0,"U11",0)))))</f>
        <v>U13</v>
      </c>
      <c r="E3214" s="456">
        <f>IFERROR(IF(Table10[[#This Row],[Year]]&gt;0,$E$1-Table10[[#This Row],[Year]],0),"")</f>
        <v>13</v>
      </c>
      <c r="F3214" s="456">
        <v>2012</v>
      </c>
      <c r="G3214" s="456">
        <v>8</v>
      </c>
      <c r="H3214" s="456">
        <v>12</v>
      </c>
    </row>
    <row r="3215" spans="1:8">
      <c r="A3215" s="456">
        <v>4212</v>
      </c>
      <c r="B3215" s="469" t="s">
        <v>5027</v>
      </c>
      <c r="C3215" s="458" t="s">
        <v>762</v>
      </c>
      <c r="D3215" s="456">
        <f>IF(Table10[[#This Row],[Current Age]]&gt;19,"Men's",IF(E3215&gt;15,"U19",IF(E3215&gt;13,"U15",IF(E3215&gt;11,"U13",IF(E3215&gt;0,"U11",0)))))</f>
        <v>0</v>
      </c>
      <c r="E3215" s="456">
        <f>IFERROR(IF(Table10[[#This Row],[Year]]&gt;0,$E$1-Table10[[#This Row],[Year]],0),"")</f>
        <v>0</v>
      </c>
      <c r="F3215" s="456"/>
      <c r="G3215" s="456"/>
      <c r="H3215" s="456"/>
    </row>
    <row r="3216" spans="1:8">
      <c r="A3216" s="471">
        <v>4213</v>
      </c>
      <c r="B3216" s="493" t="s">
        <v>5028</v>
      </c>
      <c r="C3216" s="472" t="s">
        <v>762</v>
      </c>
      <c r="D3216" s="456" t="str">
        <f>IF(Table10[[#This Row],[Current Age]]&gt;19,"Men's",IF(E3216&gt;15,"U19",IF(E3216&gt;13,"U15",IF(E3216&gt;11,"U13",IF(E3216&gt;0,"U11",0)))))</f>
        <v>U15</v>
      </c>
      <c r="E3216" s="456">
        <f>IFERROR(IF(Table10[[#This Row],[Year]]&gt;0,$E$1-Table10[[#This Row],[Year]],0),"")</f>
        <v>14</v>
      </c>
      <c r="F3216" s="456">
        <v>2011</v>
      </c>
      <c r="G3216" s="456">
        <v>8</v>
      </c>
      <c r="H3216" s="456">
        <v>3</v>
      </c>
    </row>
    <row r="3217" spans="1:8">
      <c r="A3217" s="456">
        <v>4214</v>
      </c>
      <c r="B3217" s="469" t="s">
        <v>5029</v>
      </c>
      <c r="C3217" s="458" t="s">
        <v>762</v>
      </c>
      <c r="D3217" s="456" t="str">
        <f>IF(Table10[[#This Row],[Current Age]]&gt;19,"Men's",IF(E3217&gt;15,"U19",IF(E3217&gt;13,"U15",IF(E3217&gt;11,"U13",IF(E3217&gt;0,"U11",0)))))</f>
        <v>U15</v>
      </c>
      <c r="E3217" s="456">
        <f>IFERROR(IF(Table10[[#This Row],[Year]]&gt;0,$E$1-Table10[[#This Row],[Year]],0),"")</f>
        <v>14</v>
      </c>
      <c r="F3217" s="456">
        <v>2011</v>
      </c>
      <c r="G3217" s="456">
        <v>6</v>
      </c>
      <c r="H3217" s="456">
        <v>7</v>
      </c>
    </row>
    <row r="3218" spans="1:8">
      <c r="A3218" s="471">
        <v>4215</v>
      </c>
      <c r="B3218" s="493" t="s">
        <v>5030</v>
      </c>
      <c r="C3218" s="472" t="s">
        <v>762</v>
      </c>
      <c r="D3218" s="456" t="str">
        <f>IF(Table10[[#This Row],[Current Age]]&gt;19,"Men's",IF(E3218&gt;15,"U19",IF(E3218&gt;13,"U15",IF(E3218&gt;11,"U13",IF(E3218&gt;0,"U11",0)))))</f>
        <v>U19</v>
      </c>
      <c r="E3218" s="456">
        <f>IFERROR(IF(Table10[[#This Row],[Year]]&gt;0,$E$1-Table10[[#This Row],[Year]],0),"")</f>
        <v>18</v>
      </c>
      <c r="F3218" s="456">
        <v>2007</v>
      </c>
      <c r="G3218" s="456">
        <v>9</v>
      </c>
      <c r="H3218" s="456">
        <v>28</v>
      </c>
    </row>
    <row r="3219" spans="1:8">
      <c r="A3219" s="456">
        <v>4216</v>
      </c>
      <c r="B3219" s="469" t="s">
        <v>5031</v>
      </c>
      <c r="C3219" s="458" t="s">
        <v>762</v>
      </c>
      <c r="D3219" s="456" t="str">
        <f>IF(Table10[[#This Row],[Current Age]]&gt;19,"Men's",IF(E3219&gt;15,"U19",IF(E3219&gt;13,"U15",IF(E3219&gt;11,"U13",IF(E3219&gt;0,"U11",0)))))</f>
        <v>U19</v>
      </c>
      <c r="E3219" s="456">
        <f>IFERROR(IF(Table10[[#This Row],[Year]]&gt;0,$E$1-Table10[[#This Row],[Year]],0),"")</f>
        <v>18</v>
      </c>
      <c r="F3219" s="456">
        <v>2007</v>
      </c>
      <c r="G3219" s="456">
        <v>12</v>
      </c>
      <c r="H3219" s="456">
        <v>27</v>
      </c>
    </row>
    <row r="3220" spans="1:8">
      <c r="A3220" s="471">
        <v>4217</v>
      </c>
      <c r="B3220" s="493" t="s">
        <v>5032</v>
      </c>
      <c r="C3220" s="472" t="s">
        <v>762</v>
      </c>
      <c r="D3220" s="456" t="str">
        <f>IF(Table10[[#This Row],[Current Age]]&gt;19,"Men's",IF(E3220&gt;15,"U19",IF(E3220&gt;13,"U15",IF(E3220&gt;11,"U13",IF(E3220&gt;0,"U11",0)))))</f>
        <v>U19</v>
      </c>
      <c r="E3220" s="456">
        <f>IFERROR(IF(Table10[[#This Row],[Year]]&gt;0,$E$1-Table10[[#This Row],[Year]],0),"")</f>
        <v>18</v>
      </c>
      <c r="F3220" s="456">
        <v>2007</v>
      </c>
      <c r="G3220" s="456">
        <v>12</v>
      </c>
      <c r="H3220" s="456">
        <v>9</v>
      </c>
    </row>
    <row r="3221" spans="1:8">
      <c r="A3221" s="456">
        <v>4218</v>
      </c>
      <c r="B3221" s="469" t="s">
        <v>5033</v>
      </c>
      <c r="C3221" s="458" t="s">
        <v>762</v>
      </c>
      <c r="D3221" s="456" t="str">
        <f>IF(Table10[[#This Row],[Current Age]]&gt;19,"Men's",IF(E3221&gt;15,"U19",IF(E3221&gt;13,"U15",IF(E3221&gt;11,"U13",IF(E3221&gt;0,"U11",0)))))</f>
        <v>U19</v>
      </c>
      <c r="E3221" s="456">
        <f>IFERROR(IF(Table10[[#This Row],[Year]]&gt;0,$E$1-Table10[[#This Row],[Year]],0),"")</f>
        <v>17</v>
      </c>
      <c r="F3221" s="456">
        <v>2008</v>
      </c>
      <c r="G3221" s="456">
        <v>6</v>
      </c>
      <c r="H3221" s="456">
        <v>7</v>
      </c>
    </row>
    <row r="3222" spans="1:8">
      <c r="A3222" s="471">
        <v>4219</v>
      </c>
      <c r="B3222" s="493" t="s">
        <v>5034</v>
      </c>
      <c r="C3222" s="472" t="s">
        <v>762</v>
      </c>
      <c r="D3222" s="456">
        <f>IF(Table10[[#This Row],[Current Age]]&gt;19,"Men's",IF(E3222&gt;15,"U19",IF(E3222&gt;13,"U15",IF(E3222&gt;11,"U13",IF(E3222&gt;0,"U11",0)))))</f>
        <v>0</v>
      </c>
      <c r="E3222" s="456">
        <f>IFERROR(IF(Table10[[#This Row],[Year]]&gt;0,$E$1-Table10[[#This Row],[Year]],0),"")</f>
        <v>0</v>
      </c>
      <c r="F3222" s="456"/>
      <c r="G3222" s="456"/>
      <c r="H3222" s="456"/>
    </row>
    <row r="3223" spans="1:8">
      <c r="A3223" s="456">
        <v>4220</v>
      </c>
      <c r="B3223" s="469" t="s">
        <v>5035</v>
      </c>
      <c r="C3223" s="458" t="s">
        <v>762</v>
      </c>
      <c r="D3223" s="456" t="str">
        <f>IF(Table10[[#This Row],[Current Age]]&gt;19,"Men's",IF(E3223&gt;15,"U19",IF(E3223&gt;13,"U15",IF(E3223&gt;11,"U13",IF(E3223&gt;0,"U11",0)))))</f>
        <v>U19</v>
      </c>
      <c r="E3223" s="456">
        <f>IFERROR(IF(Table10[[#This Row],[Year]]&gt;0,$E$1-Table10[[#This Row],[Year]],0),"")</f>
        <v>18</v>
      </c>
      <c r="F3223" s="456">
        <v>2007</v>
      </c>
      <c r="G3223" s="456">
        <v>7</v>
      </c>
      <c r="H3223" s="456">
        <v>30</v>
      </c>
    </row>
    <row r="3224" spans="1:8">
      <c r="A3224" s="471">
        <v>4221</v>
      </c>
      <c r="B3224" s="493" t="s">
        <v>5036</v>
      </c>
      <c r="C3224" s="472" t="s">
        <v>762</v>
      </c>
      <c r="D3224" s="456" t="str">
        <f>IF(Table10[[#This Row],[Current Age]]&gt;19,"Men's",IF(E3224&gt;15,"U19",IF(E3224&gt;13,"U15",IF(E3224&gt;11,"U13",IF(E3224&gt;0,"U11",0)))))</f>
        <v>Men's</v>
      </c>
      <c r="E3224" s="456">
        <f>IFERROR(IF(Table10[[#This Row],[Year]]&gt;0,$E$1-Table10[[#This Row],[Year]],0),"")</f>
        <v>30</v>
      </c>
      <c r="F3224" s="456">
        <v>1995</v>
      </c>
      <c r="G3224" s="456">
        <v>10</v>
      </c>
      <c r="H3224" s="456">
        <v>28</v>
      </c>
    </row>
    <row r="3225" spans="1:8">
      <c r="A3225" s="456">
        <v>4222</v>
      </c>
      <c r="B3225" s="469" t="s">
        <v>5037</v>
      </c>
      <c r="C3225" s="458" t="s">
        <v>762</v>
      </c>
      <c r="D3225" s="456" t="str">
        <f>IF(Table10[[#This Row],[Current Age]]&gt;19,"Men's",IF(E3225&gt;15,"U19",IF(E3225&gt;13,"U15",IF(E3225&gt;11,"U13",IF(E3225&gt;0,"U11",0)))))</f>
        <v>U19</v>
      </c>
      <c r="E3225" s="456">
        <f>IFERROR(IF(Table10[[#This Row],[Year]]&gt;0,$E$1-Table10[[#This Row],[Year]],0),"")</f>
        <v>16</v>
      </c>
      <c r="F3225" s="456">
        <v>2009</v>
      </c>
      <c r="G3225" s="456">
        <v>3</v>
      </c>
      <c r="H3225" s="456">
        <v>6</v>
      </c>
    </row>
    <row r="3226" spans="1:8">
      <c r="A3226" s="471">
        <v>4223</v>
      </c>
      <c r="B3226" s="493" t="s">
        <v>5038</v>
      </c>
      <c r="C3226" s="472" t="s">
        <v>762</v>
      </c>
      <c r="D3226" s="456" t="str">
        <f>IF(Table10[[#This Row],[Current Age]]&gt;19,"Men's",IF(E3226&gt;15,"U19",IF(E3226&gt;13,"U15",IF(E3226&gt;11,"U13",IF(E3226&gt;0,"U11",0)))))</f>
        <v>U11</v>
      </c>
      <c r="E3226" s="456">
        <f>IFERROR(IF(Table10[[#This Row],[Year]]&gt;0,$E$1-Table10[[#This Row],[Year]],0),"")</f>
        <v>10</v>
      </c>
      <c r="F3226" s="456">
        <v>2015</v>
      </c>
      <c r="G3226" s="456">
        <v>4</v>
      </c>
      <c r="H3226" s="456">
        <v>1</v>
      </c>
    </row>
    <row r="3227" spans="1:8">
      <c r="A3227" s="456">
        <v>4224</v>
      </c>
      <c r="B3227" s="469" t="s">
        <v>5039</v>
      </c>
      <c r="C3227" s="458" t="s">
        <v>762</v>
      </c>
      <c r="D3227" s="456" t="str">
        <f>IF(Table10[[#This Row],[Current Age]]&gt;19,"Men's",IF(E3227&gt;15,"U19",IF(E3227&gt;13,"U15",IF(E3227&gt;11,"U13",IF(E3227&gt;0,"U11",0)))))</f>
        <v>U13</v>
      </c>
      <c r="E3227" s="456">
        <f>IFERROR(IF(Table10[[#This Row],[Year]]&gt;0,$E$1-Table10[[#This Row],[Year]],0),"")</f>
        <v>12</v>
      </c>
      <c r="F3227" s="456">
        <v>2013</v>
      </c>
      <c r="G3227" s="456">
        <v>10</v>
      </c>
      <c r="H3227" s="456">
        <v>18</v>
      </c>
    </row>
    <row r="3228" spans="1:8">
      <c r="A3228" s="471">
        <v>4225</v>
      </c>
      <c r="B3228" s="493" t="s">
        <v>5040</v>
      </c>
      <c r="C3228" s="472" t="s">
        <v>762</v>
      </c>
      <c r="D3228" s="456">
        <f>IF(Table10[[#This Row],[Current Age]]&gt;19,"Men's",IF(E3228&gt;15,"U19",IF(E3228&gt;13,"U15",IF(E3228&gt;11,"U13",IF(E3228&gt;0,"U11",0)))))</f>
        <v>0</v>
      </c>
      <c r="E3228" s="456">
        <f>IFERROR(IF(Table10[[#This Row],[Year]]&gt;0,$E$1-Table10[[#This Row],[Year]],0),"")</f>
        <v>0</v>
      </c>
      <c r="F3228" s="456"/>
      <c r="G3228" s="456"/>
      <c r="H3228" s="456"/>
    </row>
    <row r="3229" spans="1:8">
      <c r="A3229" s="456">
        <v>4226</v>
      </c>
      <c r="B3229" s="522" t="s">
        <v>5065</v>
      </c>
      <c r="C3229" s="458" t="s">
        <v>243</v>
      </c>
      <c r="D3229" s="456">
        <f>IF(Table10[[#This Row],[Current Age]]&gt;19,"Men's",IF(E3229&gt;15,"U19",IF(E3229&gt;13,"U15",IF(E3229&gt;11,"U13",IF(E3229&gt;0,"U11",0)))))</f>
        <v>0</v>
      </c>
      <c r="E3229" s="456">
        <f>IFERROR(IF(Table10[[#This Row],[Year]]&gt;0,$E$1-Table10[[#This Row],[Year]],0),"")</f>
        <v>0</v>
      </c>
      <c r="F3229" s="456"/>
      <c r="G3229" s="456"/>
      <c r="H3229" s="456"/>
    </row>
    <row r="3230" spans="1:8">
      <c r="A3230" s="471">
        <v>4227</v>
      </c>
      <c r="B3230" s="521" t="s">
        <v>5066</v>
      </c>
      <c r="C3230" s="472" t="s">
        <v>243</v>
      </c>
      <c r="D3230" s="456">
        <f>IF(Table10[[#This Row],[Current Age]]&gt;19,"Men's",IF(E3230&gt;15,"U19",IF(E3230&gt;13,"U15",IF(E3230&gt;11,"U13",IF(E3230&gt;0,"U11",0)))))</f>
        <v>0</v>
      </c>
      <c r="E3230" s="456">
        <f>IFERROR(IF(Table10[[#This Row],[Year]]&gt;0,$E$1-Table10[[#This Row],[Year]],0),"")</f>
        <v>0</v>
      </c>
      <c r="F3230" s="456"/>
      <c r="G3230" s="456"/>
      <c r="H3230" s="456"/>
    </row>
    <row r="3231" spans="1:8">
      <c r="A3231" s="456">
        <v>4228</v>
      </c>
      <c r="B3231" s="522" t="s">
        <v>6158</v>
      </c>
      <c r="C3231" s="458" t="s">
        <v>243</v>
      </c>
      <c r="D3231" s="456">
        <f>IF(Table10[[#This Row],[Current Age]]&gt;19,"Men's",IF(E3231&gt;15,"U19",IF(E3231&gt;13,"U15",IF(E3231&gt;11,"U13",IF(E3231&gt;0,"U11",0)))))</f>
        <v>0</v>
      </c>
      <c r="E3231" s="456">
        <f>IFERROR(IF(Table10[[#This Row],[Year]]&gt;0,$E$1-Table10[[#This Row],[Year]],0),"")</f>
        <v>0</v>
      </c>
      <c r="F3231" s="456"/>
      <c r="G3231" s="456"/>
      <c r="H3231" s="456"/>
    </row>
    <row r="3232" spans="1:8">
      <c r="A3232" s="471">
        <v>4229</v>
      </c>
      <c r="B3232" s="521" t="s">
        <v>6159</v>
      </c>
      <c r="C3232" s="472" t="s">
        <v>243</v>
      </c>
      <c r="D3232" s="456">
        <f>IF(Table10[[#This Row],[Current Age]]&gt;19,"Men's",IF(E3232&gt;15,"U19",IF(E3232&gt;13,"U15",IF(E3232&gt;11,"U13",IF(E3232&gt;0,"U11",0)))))</f>
        <v>0</v>
      </c>
      <c r="E3232" s="456">
        <f>IFERROR(IF(Table10[[#This Row],[Year]]&gt;0,$E$1-Table10[[#This Row],[Year]],0),"")</f>
        <v>0</v>
      </c>
      <c r="F3232" s="456"/>
      <c r="G3232" s="456"/>
      <c r="H3232" s="456"/>
    </row>
    <row r="3233" spans="1:10">
      <c r="A3233" s="456">
        <v>4230</v>
      </c>
      <c r="B3233" s="522" t="s">
        <v>6160</v>
      </c>
      <c r="C3233" s="458" t="s">
        <v>243</v>
      </c>
      <c r="D3233" s="456">
        <f>IF(Table10[[#This Row],[Current Age]]&gt;19,"Men's",IF(E3233&gt;15,"U19",IF(E3233&gt;13,"U15",IF(E3233&gt;11,"U13",IF(E3233&gt;0,"U11",0)))))</f>
        <v>0</v>
      </c>
      <c r="E3233" s="456">
        <f>IFERROR(IF(Table10[[#This Row],[Year]]&gt;0,$E$1-Table10[[#This Row],[Year]],0),"")</f>
        <v>0</v>
      </c>
      <c r="F3233" s="456"/>
      <c r="G3233" s="456"/>
      <c r="H3233" s="456"/>
    </row>
    <row r="3234" spans="1:10">
      <c r="A3234" s="471">
        <v>4231</v>
      </c>
      <c r="B3234" s="521" t="s">
        <v>6161</v>
      </c>
      <c r="C3234" s="472" t="s">
        <v>243</v>
      </c>
      <c r="D3234" s="456">
        <f>IF(Table10[[#This Row],[Current Age]]&gt;19,"Men's",IF(E3234&gt;15,"U19",IF(E3234&gt;13,"U15",IF(E3234&gt;11,"U13",IF(E3234&gt;0,"U11",0)))))</f>
        <v>0</v>
      </c>
      <c r="E3234" s="456">
        <f>IFERROR(IF(Table10[[#This Row],[Year]]&gt;0,$E$1-Table10[[#This Row],[Year]],0),"")</f>
        <v>0</v>
      </c>
      <c r="F3234" s="456"/>
      <c r="G3234" s="456"/>
      <c r="H3234" s="456"/>
    </row>
    <row r="3235" spans="1:10">
      <c r="A3235" s="456">
        <v>4232</v>
      </c>
      <c r="B3235" s="522" t="s">
        <v>6162</v>
      </c>
      <c r="C3235" s="458" t="s">
        <v>243</v>
      </c>
      <c r="D3235" s="456">
        <f>IF(Table10[[#This Row],[Current Age]]&gt;19,"Men's",IF(E3235&gt;15,"U19",IF(E3235&gt;13,"U15",IF(E3235&gt;11,"U13",IF(E3235&gt;0,"U11",0)))))</f>
        <v>0</v>
      </c>
      <c r="E3235" s="456">
        <f>IFERROR(IF(Table10[[#This Row],[Year]]&gt;0,$E$1-Table10[[#This Row],[Year]],0),"")</f>
        <v>0</v>
      </c>
      <c r="F3235" s="456"/>
      <c r="G3235" s="456"/>
      <c r="H3235" s="456"/>
    </row>
    <row r="3236" spans="1:10">
      <c r="A3236" s="471">
        <v>4233</v>
      </c>
      <c r="B3236" s="521" t="s">
        <v>6163</v>
      </c>
      <c r="C3236" s="472" t="s">
        <v>243</v>
      </c>
      <c r="D3236" s="456">
        <f>IF(Table10[[#This Row],[Current Age]]&gt;19,"Men's",IF(E3236&gt;15,"U19",IF(E3236&gt;13,"U15",IF(E3236&gt;11,"U13",IF(E3236&gt;0,"U11",0)))))</f>
        <v>0</v>
      </c>
      <c r="E3236" s="456">
        <f>IFERROR(IF(Table10[[#This Row],[Year]]&gt;0,$E$1-Table10[[#This Row],[Year]],0),"")</f>
        <v>0</v>
      </c>
      <c r="F3236" s="456"/>
      <c r="G3236" s="456"/>
      <c r="H3236" s="456"/>
      <c r="J3236" s="916"/>
    </row>
    <row r="3237" spans="1:10">
      <c r="A3237" s="456">
        <v>4234</v>
      </c>
      <c r="B3237" s="522" t="s">
        <v>6164</v>
      </c>
      <c r="C3237" s="458" t="s">
        <v>243</v>
      </c>
      <c r="D3237" s="456">
        <f>IF(Table10[[#This Row],[Current Age]]&gt;19,"Men's",IF(E3237&gt;15,"U19",IF(E3237&gt;13,"U15",IF(E3237&gt;11,"U13",IF(E3237&gt;0,"U11",0)))))</f>
        <v>0</v>
      </c>
      <c r="E3237" s="456">
        <f>IFERROR(IF(Table10[[#This Row],[Year]]&gt;0,$E$1-Table10[[#This Row],[Year]],0),"")</f>
        <v>0</v>
      </c>
      <c r="F3237" s="456"/>
      <c r="G3237" s="456"/>
      <c r="H3237" s="456"/>
      <c r="J3237" s="916"/>
    </row>
    <row r="3238" spans="1:10">
      <c r="A3238" s="471">
        <v>4235</v>
      </c>
      <c r="B3238" s="521" t="s">
        <v>6165</v>
      </c>
      <c r="C3238" s="472" t="s">
        <v>243</v>
      </c>
      <c r="D3238" s="456">
        <f>IF(Table10[[#This Row],[Current Age]]&gt;19,"Men's",IF(E3238&gt;15,"U19",IF(E3238&gt;13,"U15",IF(E3238&gt;11,"U13",IF(E3238&gt;0,"U11",0)))))</f>
        <v>0</v>
      </c>
      <c r="E3238" s="456">
        <f>IFERROR(IF(Table10[[#This Row],[Year]]&gt;0,$E$1-Table10[[#This Row],[Year]],0),"")</f>
        <v>0</v>
      </c>
      <c r="F3238" s="456"/>
      <c r="G3238" s="456"/>
      <c r="H3238" s="456"/>
      <c r="J3238" s="916"/>
    </row>
    <row r="3239" spans="1:10">
      <c r="A3239" s="456">
        <v>4236</v>
      </c>
      <c r="B3239" s="469" t="s">
        <v>6166</v>
      </c>
      <c r="C3239" s="458" t="s">
        <v>243</v>
      </c>
      <c r="D3239" s="456">
        <f>IF(Table10[[#This Row],[Current Age]]&gt;19,"Men's",IF(E3239&gt;15,"U19",IF(E3239&gt;13,"U15",IF(E3239&gt;11,"U13",IF(E3239&gt;0,"U11",0)))))</f>
        <v>0</v>
      </c>
      <c r="E3239" s="456">
        <f>IFERROR(IF(Table10[[#This Row],[Year]]&gt;0,$E$1-Table10[[#This Row],[Year]],0),"")</f>
        <v>0</v>
      </c>
      <c r="F3239" s="456"/>
      <c r="G3239" s="456"/>
      <c r="H3239" s="456"/>
      <c r="J3239" s="916"/>
    </row>
    <row r="3240" spans="1:10">
      <c r="A3240" s="471">
        <v>4237</v>
      </c>
      <c r="B3240" s="493" t="s">
        <v>6167</v>
      </c>
      <c r="C3240" s="472" t="s">
        <v>243</v>
      </c>
      <c r="D3240" s="456">
        <f>IF(Table10[[#This Row],[Current Age]]&gt;19,"Men's",IF(E3240&gt;15,"U19",IF(E3240&gt;13,"U15",IF(E3240&gt;11,"U13",IF(E3240&gt;0,"U11",0)))))</f>
        <v>0</v>
      </c>
      <c r="E3240" s="456">
        <f>IFERROR(IF(Table10[[#This Row],[Year]]&gt;0,$E$1-Table10[[#This Row],[Year]],0),"")</f>
        <v>0</v>
      </c>
      <c r="F3240" s="456"/>
      <c r="G3240" s="456"/>
      <c r="H3240" s="456"/>
      <c r="J3240" s="916"/>
    </row>
    <row r="3241" spans="1:10">
      <c r="A3241" s="456">
        <v>4238</v>
      </c>
      <c r="B3241" s="522" t="s">
        <v>6168</v>
      </c>
      <c r="C3241" s="458" t="s">
        <v>243</v>
      </c>
      <c r="D3241" s="456">
        <f>IF(Table10[[#This Row],[Current Age]]&gt;19,"Men's",IF(E3241&gt;15,"U19",IF(E3241&gt;13,"U15",IF(E3241&gt;11,"U13",IF(E3241&gt;0,"U11",0)))))</f>
        <v>0</v>
      </c>
      <c r="E3241" s="456">
        <f>IFERROR(IF(Table10[[#This Row],[Year]]&gt;0,$E$1-Table10[[#This Row],[Year]],0),"")</f>
        <v>0</v>
      </c>
      <c r="F3241" s="456"/>
      <c r="G3241" s="456"/>
      <c r="H3241" s="456"/>
      <c r="J3241" s="916"/>
    </row>
    <row r="3242" spans="1:10">
      <c r="A3242" s="471">
        <v>4239</v>
      </c>
      <c r="B3242" s="521" t="s">
        <v>6169</v>
      </c>
      <c r="C3242" s="472" t="s">
        <v>243</v>
      </c>
      <c r="D3242" s="456">
        <f>IF(Table10[[#This Row],[Current Age]]&gt;19,"Men's",IF(E3242&gt;15,"U19",IF(E3242&gt;13,"U15",IF(E3242&gt;11,"U13",IF(E3242&gt;0,"U11",0)))))</f>
        <v>0</v>
      </c>
      <c r="E3242" s="456">
        <f>IFERROR(IF(Table10[[#This Row],[Year]]&gt;0,$E$1-Table10[[#This Row],[Year]],0),"")</f>
        <v>0</v>
      </c>
      <c r="F3242" s="456"/>
      <c r="G3242" s="456"/>
      <c r="H3242" s="456"/>
      <c r="J3242" s="917"/>
    </row>
    <row r="3243" spans="1:10">
      <c r="A3243" s="456">
        <v>4240</v>
      </c>
      <c r="B3243" s="522" t="s">
        <v>6170</v>
      </c>
      <c r="C3243" s="458" t="s">
        <v>243</v>
      </c>
      <c r="D3243" s="456">
        <f>IF(Table10[[#This Row],[Current Age]]&gt;19,"Men's",IF(E3243&gt;15,"U19",IF(E3243&gt;13,"U15",IF(E3243&gt;11,"U13",IF(E3243&gt;0,"U11",0)))))</f>
        <v>0</v>
      </c>
      <c r="E3243" s="456">
        <f>IFERROR(IF(Table10[[#This Row],[Year]]&gt;0,$E$1-Table10[[#This Row],[Year]],0),"")</f>
        <v>0</v>
      </c>
      <c r="F3243" s="456"/>
      <c r="G3243" s="456"/>
      <c r="H3243" s="456"/>
      <c r="J3243" s="917"/>
    </row>
    <row r="3244" spans="1:10">
      <c r="A3244" s="471">
        <v>4241</v>
      </c>
      <c r="B3244" s="521" t="s">
        <v>6171</v>
      </c>
      <c r="C3244" s="472" t="s">
        <v>243</v>
      </c>
      <c r="D3244" s="456">
        <f>IF(Table10[[#This Row],[Current Age]]&gt;19,"Men's",IF(E3244&gt;15,"U19",IF(E3244&gt;13,"U15",IF(E3244&gt;11,"U13",IF(E3244&gt;0,"U11",0)))))</f>
        <v>0</v>
      </c>
      <c r="E3244" s="456">
        <f>IFERROR(IF(Table10[[#This Row],[Year]]&gt;0,$E$1-Table10[[#This Row],[Year]],0),"")</f>
        <v>0</v>
      </c>
      <c r="F3244" s="456"/>
      <c r="G3244" s="456"/>
      <c r="H3244" s="456"/>
      <c r="J3244" s="916"/>
    </row>
    <row r="3245" spans="1:10">
      <c r="A3245" s="456">
        <v>4242</v>
      </c>
      <c r="B3245" s="522" t="s">
        <v>6172</v>
      </c>
      <c r="C3245" s="458" t="s">
        <v>243</v>
      </c>
      <c r="D3245" s="456">
        <f>IF(Table10[[#This Row],[Current Age]]&gt;19,"Men's",IF(E3245&gt;15,"U19",IF(E3245&gt;13,"U15",IF(E3245&gt;11,"U13",IF(E3245&gt;0,"U11",0)))))</f>
        <v>0</v>
      </c>
      <c r="E3245" s="456">
        <f>IFERROR(IF(Table10[[#This Row],[Year]]&gt;0,$E$1-Table10[[#This Row],[Year]],0),"")</f>
        <v>0</v>
      </c>
      <c r="F3245" s="456"/>
      <c r="G3245" s="456"/>
      <c r="H3245" s="456"/>
      <c r="J3245" s="916"/>
    </row>
    <row r="3246" spans="1:10">
      <c r="A3246" s="471">
        <v>4243</v>
      </c>
      <c r="B3246" s="521" t="s">
        <v>6173</v>
      </c>
      <c r="C3246" s="472" t="s">
        <v>243</v>
      </c>
      <c r="D3246" s="456">
        <f>IF(Table10[[#This Row],[Current Age]]&gt;19,"Men's",IF(E3246&gt;15,"U19",IF(E3246&gt;13,"U15",IF(E3246&gt;11,"U13",IF(E3246&gt;0,"U11",0)))))</f>
        <v>0</v>
      </c>
      <c r="E3246" s="456">
        <f>IFERROR(IF(Table10[[#This Row],[Year]]&gt;0,$E$1-Table10[[#This Row],[Year]],0),"")</f>
        <v>0</v>
      </c>
      <c r="F3246" s="456"/>
      <c r="G3246" s="456"/>
      <c r="H3246" s="456"/>
      <c r="J3246" s="916"/>
    </row>
    <row r="3247" spans="1:10">
      <c r="A3247" s="456">
        <v>4244</v>
      </c>
      <c r="B3247" s="469" t="s">
        <v>6174</v>
      </c>
      <c r="C3247" s="458" t="s">
        <v>243</v>
      </c>
      <c r="D3247" s="456">
        <f>IF(Table10[[#This Row],[Current Age]]&gt;19,"Men's",IF(E3247&gt;15,"U19",IF(E3247&gt;13,"U15",IF(E3247&gt;11,"U13",IF(E3247&gt;0,"U11",0)))))</f>
        <v>0</v>
      </c>
      <c r="E3247" s="456">
        <f>IFERROR(IF(Table10[[#This Row],[Year]]&gt;0,$E$1-Table10[[#This Row],[Year]],0),"")</f>
        <v>0</v>
      </c>
      <c r="F3247" s="456"/>
      <c r="G3247" s="456"/>
      <c r="H3247" s="456"/>
      <c r="J3247" s="916"/>
    </row>
    <row r="3248" spans="1:10">
      <c r="A3248" s="471">
        <v>4245</v>
      </c>
      <c r="B3248" s="507" t="s">
        <v>5343</v>
      </c>
      <c r="C3248" s="472" t="s">
        <v>243</v>
      </c>
      <c r="D3248" s="456">
        <f>IF(Table10[[#This Row],[Current Age]]&gt;19,"Men's",IF(E3248&gt;15,"U19",IF(E3248&gt;13,"U15",IF(E3248&gt;11,"U13",IF(E3248&gt;0,"U11",0)))))</f>
        <v>0</v>
      </c>
      <c r="E3248" s="456">
        <f>IFERROR(IF(Table10[[#This Row],[Year]]&gt;0,$E$1-Table10[[#This Row],[Year]],0),"")</f>
        <v>0</v>
      </c>
      <c r="F3248" s="456"/>
      <c r="G3248" s="456"/>
      <c r="H3248" s="456"/>
      <c r="J3248" s="916"/>
    </row>
    <row r="3249" spans="1:10">
      <c r="A3249" s="456">
        <v>4246</v>
      </c>
      <c r="B3249" s="469" t="s">
        <v>5093</v>
      </c>
      <c r="C3249" s="458" t="s">
        <v>253</v>
      </c>
      <c r="D3249" s="456" t="str">
        <f>IF(Table10[[#This Row],[Current Age]]&gt;19,"Men's",IF(E3249&gt;15,"U19",IF(E3249&gt;13,"U15",IF(E3249&gt;11,"U13",IF(E3249&gt;0,"U11",0)))))</f>
        <v>U11</v>
      </c>
      <c r="E3249" s="456">
        <f>IFERROR(IF(Table10[[#This Row],[Year]]&gt;0,$E$1-Table10[[#This Row],[Year]],0),"")</f>
        <v>9</v>
      </c>
      <c r="F3249" s="456">
        <v>2016</v>
      </c>
      <c r="G3249" s="456">
        <v>7</v>
      </c>
      <c r="H3249" s="456">
        <v>4</v>
      </c>
      <c r="J3249" s="916"/>
    </row>
    <row r="3250" spans="1:10">
      <c r="A3250" s="471">
        <v>4247</v>
      </c>
      <c r="B3250" s="493" t="s">
        <v>5094</v>
      </c>
      <c r="C3250" s="472" t="s">
        <v>253</v>
      </c>
      <c r="D3250" s="456" t="str">
        <f>IF(Table10[[#This Row],[Current Age]]&gt;19,"Men's",IF(E3250&gt;15,"U19",IF(E3250&gt;13,"U15",IF(E3250&gt;11,"U13",IF(E3250&gt;0,"U11",0)))))</f>
        <v>U13</v>
      </c>
      <c r="E3250" s="456">
        <f>IFERROR(IF(Table10[[#This Row],[Year]]&gt;0,$E$1-Table10[[#This Row],[Year]],0),"")</f>
        <v>12</v>
      </c>
      <c r="F3250" s="456">
        <v>2013</v>
      </c>
      <c r="G3250" s="456">
        <v>11</v>
      </c>
      <c r="H3250" s="456">
        <v>4</v>
      </c>
      <c r="J3250" s="917"/>
    </row>
    <row r="3251" spans="1:10">
      <c r="A3251" s="456">
        <v>4248</v>
      </c>
      <c r="B3251" s="469" t="s">
        <v>5095</v>
      </c>
      <c r="C3251" s="458" t="s">
        <v>253</v>
      </c>
      <c r="D3251" s="456" t="str">
        <f>IF(Table10[[#This Row],[Current Age]]&gt;19,"Men's",IF(E3251&gt;15,"U19",IF(E3251&gt;13,"U15",IF(E3251&gt;11,"U13",IF(E3251&gt;0,"U11",0)))))</f>
        <v>U13</v>
      </c>
      <c r="E3251" s="456">
        <f>IFERROR(IF(Table10[[#This Row],[Year]]&gt;0,$E$1-Table10[[#This Row],[Year]],0),"")</f>
        <v>12</v>
      </c>
      <c r="F3251" s="456">
        <v>2013</v>
      </c>
      <c r="G3251" s="456">
        <v>8</v>
      </c>
      <c r="H3251" s="456">
        <v>30</v>
      </c>
    </row>
    <row r="3252" spans="1:10">
      <c r="A3252" s="471">
        <v>4249</v>
      </c>
      <c r="B3252" s="493" t="s">
        <v>5096</v>
      </c>
      <c r="C3252" s="472" t="s">
        <v>253</v>
      </c>
      <c r="D3252" s="456" t="str">
        <f>IF(Table10[[#This Row],[Current Age]]&gt;19,"Men's",IF(E3252&gt;15,"U19",IF(E3252&gt;13,"U15",IF(E3252&gt;11,"U13",IF(E3252&gt;0,"U11",0)))))</f>
        <v>U13</v>
      </c>
      <c r="E3252" s="456">
        <f>IFERROR(IF(Table10[[#This Row],[Year]]&gt;0,$E$1-Table10[[#This Row],[Year]],0),"")</f>
        <v>13</v>
      </c>
      <c r="F3252" s="456">
        <v>2012</v>
      </c>
      <c r="G3252" s="456">
        <v>8</v>
      </c>
      <c r="H3252" s="456">
        <v>17</v>
      </c>
    </row>
    <row r="3253" spans="1:10">
      <c r="A3253" s="456">
        <v>4250</v>
      </c>
      <c r="B3253" s="469" t="s">
        <v>5097</v>
      </c>
      <c r="C3253" s="458" t="s">
        <v>253</v>
      </c>
      <c r="D3253" s="456" t="str">
        <f>IF(Table10[[#This Row],[Current Age]]&gt;19,"Men's",IF(E3253&gt;15,"U19",IF(E3253&gt;13,"U15",IF(E3253&gt;11,"U13",IF(E3253&gt;0,"U11",0)))))</f>
        <v>U11</v>
      </c>
      <c r="E3253" s="456">
        <f>IFERROR(IF(Table10[[#This Row],[Year]]&gt;0,$E$1-Table10[[#This Row],[Year]],0),"")</f>
        <v>9</v>
      </c>
      <c r="F3253" s="456">
        <v>2016</v>
      </c>
      <c r="G3253" s="456">
        <v>12</v>
      </c>
      <c r="H3253" s="456">
        <v>2</v>
      </c>
    </row>
    <row r="3254" spans="1:10">
      <c r="A3254" s="471">
        <v>4251</v>
      </c>
      <c r="B3254" s="493" t="s">
        <v>5098</v>
      </c>
      <c r="C3254" s="472" t="s">
        <v>253</v>
      </c>
      <c r="D3254" s="456" t="str">
        <f>IF(Table10[[#This Row],[Current Age]]&gt;19,"Men's",IF(E3254&gt;15,"U19",IF(E3254&gt;13,"U15",IF(E3254&gt;11,"U13",IF(E3254&gt;0,"U11",0)))))</f>
        <v>U13</v>
      </c>
      <c r="E3254" s="456">
        <f>IFERROR(IF(Table10[[#This Row],[Year]]&gt;0,$E$1-Table10[[#This Row],[Year]],0),"")</f>
        <v>13</v>
      </c>
      <c r="F3254" s="456">
        <v>2012</v>
      </c>
      <c r="G3254" s="456">
        <v>8</v>
      </c>
      <c r="H3254" s="456">
        <v>18</v>
      </c>
    </row>
    <row r="3255" spans="1:10">
      <c r="A3255" s="456">
        <v>4252</v>
      </c>
      <c r="B3255" s="469" t="s">
        <v>5099</v>
      </c>
      <c r="C3255" s="458" t="s">
        <v>253</v>
      </c>
      <c r="D3255" s="456" t="str">
        <f>IF(Table10[[#This Row],[Current Age]]&gt;19,"Men's",IF(E3255&gt;15,"U19",IF(E3255&gt;13,"U15",IF(E3255&gt;11,"U13",IF(E3255&gt;0,"U11",0)))))</f>
        <v>U13</v>
      </c>
      <c r="E3255" s="456">
        <f>IFERROR(IF(Table10[[#This Row],[Year]]&gt;0,$E$1-Table10[[#This Row],[Year]],0),"")</f>
        <v>13</v>
      </c>
      <c r="F3255" s="456">
        <v>2012</v>
      </c>
      <c r="G3255" s="456">
        <v>6</v>
      </c>
      <c r="H3255" s="456">
        <v>30</v>
      </c>
    </row>
    <row r="3256" spans="1:10">
      <c r="A3256" s="471">
        <v>4253</v>
      </c>
      <c r="B3256" s="493" t="s">
        <v>5100</v>
      </c>
      <c r="C3256" s="472" t="s">
        <v>253</v>
      </c>
      <c r="D3256" s="456" t="str">
        <f>IF(Table10[[#This Row],[Current Age]]&gt;19,"Men's",IF(E3256&gt;15,"U19",IF(E3256&gt;13,"U15",IF(E3256&gt;11,"U13",IF(E3256&gt;0,"U11",0)))))</f>
        <v>U15</v>
      </c>
      <c r="E3256" s="456">
        <f>IFERROR(IF(Table10[[#This Row],[Year]]&gt;0,$E$1-Table10[[#This Row],[Year]],0),"")</f>
        <v>14</v>
      </c>
      <c r="F3256" s="456">
        <v>2011</v>
      </c>
      <c r="G3256" s="456">
        <v>9</v>
      </c>
      <c r="H3256" s="456">
        <v>1</v>
      </c>
    </row>
    <row r="3257" spans="1:10">
      <c r="A3257" s="456">
        <v>4254</v>
      </c>
      <c r="B3257" s="469" t="s">
        <v>5101</v>
      </c>
      <c r="C3257" s="458" t="s">
        <v>253</v>
      </c>
      <c r="D3257" s="456" t="str">
        <f>IF(Table10[[#This Row],[Current Age]]&gt;19,"Men's",IF(E3257&gt;15,"U19",IF(E3257&gt;13,"U15",IF(E3257&gt;11,"U13",IF(E3257&gt;0,"U11",0)))))</f>
        <v>U13</v>
      </c>
      <c r="E3257" s="456">
        <f>IFERROR(IF(Table10[[#This Row],[Year]]&gt;0,$E$1-Table10[[#This Row],[Year]],0),"")</f>
        <v>13</v>
      </c>
      <c r="F3257" s="456">
        <v>2012</v>
      </c>
      <c r="G3257" s="456">
        <v>5</v>
      </c>
      <c r="H3257" s="456">
        <v>6</v>
      </c>
    </row>
    <row r="3258" spans="1:10">
      <c r="A3258" s="471">
        <v>4255</v>
      </c>
      <c r="B3258" s="493" t="s">
        <v>5102</v>
      </c>
      <c r="C3258" s="472" t="s">
        <v>253</v>
      </c>
      <c r="D3258" s="456" t="str">
        <f>IF(Table10[[#This Row],[Current Age]]&gt;19,"Men's",IF(E3258&gt;15,"U19",IF(E3258&gt;13,"U15",IF(E3258&gt;11,"U13",IF(E3258&gt;0,"U11",0)))))</f>
        <v>U15</v>
      </c>
      <c r="E3258" s="456">
        <f>IFERROR(IF(Table10[[#This Row],[Year]]&gt;0,$E$1-Table10[[#This Row],[Year]],0),"")</f>
        <v>14</v>
      </c>
      <c r="F3258" s="456">
        <v>2011</v>
      </c>
      <c r="G3258" s="456">
        <v>12</v>
      </c>
      <c r="H3258" s="456">
        <v>3</v>
      </c>
    </row>
    <row r="3259" spans="1:10">
      <c r="A3259" s="456">
        <v>4256</v>
      </c>
      <c r="B3259" s="469" t="s">
        <v>5103</v>
      </c>
      <c r="C3259" s="458" t="s">
        <v>253</v>
      </c>
      <c r="D3259" s="456" t="str">
        <f>IF(Table10[[#This Row],[Current Age]]&gt;19,"Men's",IF(E3259&gt;15,"U19",IF(E3259&gt;13,"U15",IF(E3259&gt;11,"U13",IF(E3259&gt;0,"U11",0)))))</f>
        <v>U13</v>
      </c>
      <c r="E3259" s="456">
        <f>IFERROR(IF(Table10[[#This Row],[Year]]&gt;0,$E$1-Table10[[#This Row],[Year]],0),"")</f>
        <v>13</v>
      </c>
      <c r="F3259" s="456">
        <v>2012</v>
      </c>
      <c r="G3259" s="456">
        <v>5</v>
      </c>
      <c r="H3259" s="456">
        <v>12</v>
      </c>
    </row>
    <row r="3260" spans="1:10">
      <c r="A3260" s="471">
        <v>4257</v>
      </c>
      <c r="B3260" s="493" t="s">
        <v>5104</v>
      </c>
      <c r="C3260" s="472" t="s">
        <v>253</v>
      </c>
      <c r="D3260" s="456" t="str">
        <f>IF(Table10[[#This Row],[Current Age]]&gt;19,"Men's",IF(E3260&gt;15,"U19",IF(E3260&gt;13,"U15",IF(E3260&gt;11,"U13",IF(E3260&gt;0,"U11",0)))))</f>
        <v>U13</v>
      </c>
      <c r="E3260" s="456">
        <f>IFERROR(IF(Table10[[#This Row],[Year]]&gt;0,$E$1-Table10[[#This Row],[Year]],0),"")</f>
        <v>13</v>
      </c>
      <c r="F3260" s="456">
        <v>2012</v>
      </c>
      <c r="G3260" s="456">
        <v>5</v>
      </c>
      <c r="H3260" s="456">
        <v>28</v>
      </c>
    </row>
    <row r="3261" spans="1:10">
      <c r="A3261" s="456">
        <v>4258</v>
      </c>
      <c r="B3261" s="469" t="s">
        <v>5105</v>
      </c>
      <c r="C3261" s="458" t="s">
        <v>253</v>
      </c>
      <c r="D3261" s="456" t="str">
        <f>IF(Table10[[#This Row],[Current Age]]&gt;19,"Men's",IF(E3261&gt;15,"U19",IF(E3261&gt;13,"U15",IF(E3261&gt;11,"U13",IF(E3261&gt;0,"U11",0)))))</f>
        <v>U13</v>
      </c>
      <c r="E3261" s="456">
        <f>IFERROR(IF(Table10[[#This Row],[Year]]&gt;0,$E$1-Table10[[#This Row],[Year]],0),"")</f>
        <v>13</v>
      </c>
      <c r="F3261" s="456">
        <v>2012</v>
      </c>
      <c r="G3261" s="456">
        <v>1</v>
      </c>
      <c r="H3261" s="456">
        <v>14</v>
      </c>
    </row>
    <row r="3262" spans="1:10">
      <c r="A3262" s="471">
        <v>4259</v>
      </c>
      <c r="B3262" s="493" t="s">
        <v>5108</v>
      </c>
      <c r="C3262" s="472" t="s">
        <v>4720</v>
      </c>
      <c r="D3262" s="456" t="str">
        <f>IF(Table10[[#This Row],[Current Age]]&gt;19,"Men's",IF(E3262&gt;15,"U19",IF(E3262&gt;13,"U15",IF(E3262&gt;11,"U13",IF(E3262&gt;0,"U11",0)))))</f>
        <v>Men's</v>
      </c>
      <c r="E3262" s="456">
        <f>IFERROR(IF(Table10[[#This Row],[Year]]&gt;0,$E$1-Table10[[#This Row],[Year]],0),"")</f>
        <v>43</v>
      </c>
      <c r="F3262" s="456" t="s">
        <v>5109</v>
      </c>
      <c r="G3262" s="456" t="s">
        <v>4280</v>
      </c>
      <c r="H3262" s="456" t="s">
        <v>4266</v>
      </c>
    </row>
    <row r="3263" spans="1:10">
      <c r="A3263" s="456">
        <v>4260</v>
      </c>
      <c r="B3263" s="469" t="s">
        <v>5110</v>
      </c>
      <c r="C3263" s="458" t="s">
        <v>4720</v>
      </c>
      <c r="D3263" s="456" t="str">
        <f>IF(Table10[[#This Row],[Current Age]]&gt;19,"Men's",IF(E3263&gt;15,"U19",IF(E3263&gt;13,"U15",IF(E3263&gt;11,"U13",IF(E3263&gt;0,"U11",0)))))</f>
        <v>Men's</v>
      </c>
      <c r="E3263" s="456">
        <f>IFERROR(IF(Table10[[#This Row],[Year]]&gt;0,$E$1-Table10[[#This Row],[Year]],0),"")</f>
        <v>28</v>
      </c>
      <c r="F3263" s="456" t="s">
        <v>5111</v>
      </c>
      <c r="G3263" s="456" t="s">
        <v>4266</v>
      </c>
      <c r="H3263" s="456" t="s">
        <v>5112</v>
      </c>
    </row>
    <row r="3264" spans="1:10">
      <c r="A3264" s="471">
        <v>4261</v>
      </c>
      <c r="B3264" s="493" t="s">
        <v>5113</v>
      </c>
      <c r="C3264" s="472" t="s">
        <v>4720</v>
      </c>
      <c r="D3264" s="456" t="str">
        <f>IF(Table10[[#This Row],[Current Age]]&gt;19,"Men's",IF(E3264&gt;15,"U19",IF(E3264&gt;13,"U15",IF(E3264&gt;11,"U13",IF(E3264&gt;0,"U11",0)))))</f>
        <v>Men's</v>
      </c>
      <c r="E3264" s="456">
        <f>IFERROR(IF(Table10[[#This Row],[Year]]&gt;0,$E$1-Table10[[#This Row],[Year]],0),"")</f>
        <v>29</v>
      </c>
      <c r="F3264" s="456" t="s">
        <v>5114</v>
      </c>
      <c r="G3264" s="456" t="s">
        <v>4253</v>
      </c>
      <c r="H3264" s="456" t="s">
        <v>4250</v>
      </c>
    </row>
    <row r="3265" spans="1:8">
      <c r="A3265" s="456">
        <v>4262</v>
      </c>
      <c r="B3265" s="469" t="s">
        <v>5115</v>
      </c>
      <c r="C3265" s="458" t="s">
        <v>4720</v>
      </c>
      <c r="D3265" s="456" t="str">
        <f>IF(Table10[[#This Row],[Current Age]]&gt;19,"Men's",IF(E3265&gt;15,"U19",IF(E3265&gt;13,"U15",IF(E3265&gt;11,"U13",IF(E3265&gt;0,"U11",0)))))</f>
        <v>Men's</v>
      </c>
      <c r="E3265" s="456">
        <f>IFERROR(IF(Table10[[#This Row],[Year]]&gt;0,$E$1-Table10[[#This Row],[Year]],0),"")</f>
        <v>41</v>
      </c>
      <c r="F3265" s="456" t="s">
        <v>5116</v>
      </c>
      <c r="G3265" s="456" t="s">
        <v>4279</v>
      </c>
      <c r="H3265" s="456" t="s">
        <v>4323</v>
      </c>
    </row>
    <row r="3266" spans="1:8">
      <c r="A3266" s="471">
        <v>4263</v>
      </c>
      <c r="B3266" s="493" t="s">
        <v>5117</v>
      </c>
      <c r="C3266" s="472" t="s">
        <v>4720</v>
      </c>
      <c r="D3266" s="456" t="str">
        <f>IF(Table10[[#This Row],[Current Age]]&gt;19,"Men's",IF(E3266&gt;15,"U19",IF(E3266&gt;13,"U15",IF(E3266&gt;11,"U13",IF(E3266&gt;0,"U11",0)))))</f>
        <v>U19</v>
      </c>
      <c r="E3266" s="456">
        <f>IFERROR(IF(Table10[[#This Row],[Year]]&gt;0,$E$1-Table10[[#This Row],[Year]],0),"")</f>
        <v>17</v>
      </c>
      <c r="F3266" s="456" t="s">
        <v>5118</v>
      </c>
      <c r="G3266" s="456" t="s">
        <v>4250</v>
      </c>
      <c r="H3266" s="456" t="s">
        <v>4249</v>
      </c>
    </row>
    <row r="3267" spans="1:8">
      <c r="A3267" s="456">
        <v>4264</v>
      </c>
      <c r="B3267" s="469" t="s">
        <v>5119</v>
      </c>
      <c r="C3267" s="458" t="s">
        <v>4720</v>
      </c>
      <c r="D3267" s="456" t="str">
        <f>IF(Table10[[#This Row],[Current Age]]&gt;19,"Men's",IF(E3267&gt;15,"U19",IF(E3267&gt;13,"U15",IF(E3267&gt;11,"U13",IF(E3267&gt;0,"U11",0)))))</f>
        <v>Men's</v>
      </c>
      <c r="E3267" s="456">
        <f>IFERROR(IF(Table10[[#This Row],[Year]]&gt;0,$E$1-Table10[[#This Row],[Year]],0),"")</f>
        <v>46</v>
      </c>
      <c r="F3267" s="456">
        <v>1979</v>
      </c>
      <c r="G3267" s="456">
        <v>1</v>
      </c>
      <c r="H3267" s="456">
        <v>3</v>
      </c>
    </row>
    <row r="3268" spans="1:8">
      <c r="A3268" s="471">
        <v>4265</v>
      </c>
      <c r="B3268" s="493" t="s">
        <v>5123</v>
      </c>
      <c r="C3268" s="472" t="s">
        <v>4720</v>
      </c>
      <c r="D3268" s="456" t="str">
        <f>IF(Table10[[#This Row],[Current Age]]&gt;19,"Men's",IF(E3268&gt;15,"U19",IF(E3268&gt;13,"U15",IF(E3268&gt;11,"U13",IF(E3268&gt;0,"U11",0)))))</f>
        <v>Men's</v>
      </c>
      <c r="E3268" s="456">
        <f>IFERROR(IF(Table10[[#This Row],[Year]]&gt;0,$E$1-Table10[[#This Row],[Year]],0),"")</f>
        <v>45</v>
      </c>
      <c r="F3268" s="456" t="s">
        <v>5121</v>
      </c>
      <c r="G3268" s="456" t="s">
        <v>4305</v>
      </c>
      <c r="H3268" s="456" t="s">
        <v>4323</v>
      </c>
    </row>
    <row r="3269" spans="1:8">
      <c r="A3269" s="456">
        <v>4266</v>
      </c>
      <c r="B3269" s="469" t="s">
        <v>5124</v>
      </c>
      <c r="C3269" s="458" t="s">
        <v>4720</v>
      </c>
      <c r="D3269" s="456" t="str">
        <f>IF(Table10[[#This Row],[Current Age]]&gt;19,"Men's",IF(E3269&gt;15,"U19",IF(E3269&gt;13,"U15",IF(E3269&gt;11,"U13",IF(E3269&gt;0,"U11",0)))))</f>
        <v>U15</v>
      </c>
      <c r="E3269" s="456">
        <f>IFERROR(IF(Table10[[#This Row],[Year]]&gt;0,$E$1-Table10[[#This Row],[Year]],0),"")</f>
        <v>15</v>
      </c>
      <c r="F3269" s="456" t="s">
        <v>4265</v>
      </c>
      <c r="G3269" s="456" t="s">
        <v>4279</v>
      </c>
      <c r="H3269" s="456" t="s">
        <v>4304</v>
      </c>
    </row>
    <row r="3270" spans="1:8">
      <c r="A3270" s="471">
        <v>4267</v>
      </c>
      <c r="B3270" s="493" t="s">
        <v>5125</v>
      </c>
      <c r="C3270" s="472" t="s">
        <v>4720</v>
      </c>
      <c r="D3270" s="456" t="str">
        <f>IF(Table10[[#This Row],[Current Age]]&gt;19,"Men's",IF(E3270&gt;15,"U19",IF(E3270&gt;13,"U15",IF(E3270&gt;11,"U13",IF(E3270&gt;0,"U11",0)))))</f>
        <v>Men's</v>
      </c>
      <c r="E3270" s="456">
        <f>IFERROR(IF(Table10[[#This Row],[Year]]&gt;0,$E$1-Table10[[#This Row],[Year]],0),"")</f>
        <v>46</v>
      </c>
      <c r="F3270" s="456" t="s">
        <v>5120</v>
      </c>
      <c r="G3270" s="456" t="s">
        <v>4256</v>
      </c>
      <c r="H3270" s="456" t="s">
        <v>4256</v>
      </c>
    </row>
    <row r="3271" spans="1:8">
      <c r="A3271" s="456">
        <v>4268</v>
      </c>
      <c r="B3271" s="469" t="s">
        <v>5126</v>
      </c>
      <c r="C3271" s="458" t="s">
        <v>4720</v>
      </c>
      <c r="D3271" s="456" t="str">
        <f>IF(Table10[[#This Row],[Current Age]]&gt;19,"Men's",IF(E3271&gt;15,"U19",IF(E3271&gt;13,"U15",IF(E3271&gt;11,"U13",IF(E3271&gt;0,"U11",0)))))</f>
        <v>Men's</v>
      </c>
      <c r="E3271" s="456">
        <f>IFERROR(IF(Table10[[#This Row],[Year]]&gt;0,$E$1-Table10[[#This Row],[Year]],0),"")</f>
        <v>49</v>
      </c>
      <c r="F3271" s="456" t="s">
        <v>5127</v>
      </c>
      <c r="G3271" s="456" t="s">
        <v>4304</v>
      </c>
      <c r="H3271" s="456" t="s">
        <v>5128</v>
      </c>
    </row>
    <row r="3272" spans="1:8">
      <c r="A3272" s="471">
        <v>4269</v>
      </c>
      <c r="B3272" s="493" t="s">
        <v>5129</v>
      </c>
      <c r="C3272" s="472" t="s">
        <v>4720</v>
      </c>
      <c r="D3272" s="456" t="str">
        <f>IF(Table10[[#This Row],[Current Age]]&gt;19,"Men's",IF(E3272&gt;15,"U19",IF(E3272&gt;13,"U15",IF(E3272&gt;11,"U13",IF(E3272&gt;0,"U11",0)))))</f>
        <v>Men's</v>
      </c>
      <c r="E3272" s="456">
        <f>IFERROR(IF(Table10[[#This Row],[Year]]&gt;0,$E$1-Table10[[#This Row],[Year]],0),"")</f>
        <v>45</v>
      </c>
      <c r="F3272" s="456" t="s">
        <v>5121</v>
      </c>
      <c r="G3272" s="456" t="s">
        <v>4304</v>
      </c>
      <c r="H3272" s="456" t="s">
        <v>5130</v>
      </c>
    </row>
    <row r="3273" spans="1:8">
      <c r="A3273" s="456">
        <v>4270</v>
      </c>
      <c r="B3273" s="469" t="s">
        <v>5131</v>
      </c>
      <c r="C3273" s="458" t="s">
        <v>4720</v>
      </c>
      <c r="D3273" s="456" t="str">
        <f>IF(Table10[[#This Row],[Current Age]]&gt;19,"Men's",IF(E3273&gt;15,"U19",IF(E3273&gt;13,"U15",IF(E3273&gt;11,"U13",IF(E3273&gt;0,"U11",0)))))</f>
        <v>Men's</v>
      </c>
      <c r="E3273" s="456">
        <f>IFERROR(IF(Table10[[#This Row],[Year]]&gt;0,$E$1-Table10[[#This Row],[Year]],0),"")</f>
        <v>80</v>
      </c>
      <c r="F3273" s="456" t="s">
        <v>5132</v>
      </c>
      <c r="G3273" s="456" t="s">
        <v>4280</v>
      </c>
      <c r="H3273" s="456" t="s">
        <v>5133</v>
      </c>
    </row>
    <row r="3274" spans="1:8">
      <c r="A3274" s="471">
        <v>4271</v>
      </c>
      <c r="B3274" s="493" t="s">
        <v>5134</v>
      </c>
      <c r="C3274" s="472" t="s">
        <v>4720</v>
      </c>
      <c r="D3274" s="456" t="str">
        <f>IF(Table10[[#This Row],[Current Age]]&gt;19,"Men's",IF(E3274&gt;15,"U19",IF(E3274&gt;13,"U15",IF(E3274&gt;11,"U13",IF(E3274&gt;0,"U11",0)))))</f>
        <v>Men's</v>
      </c>
      <c r="E3274" s="456">
        <f>IFERROR(IF(Table10[[#This Row],[Year]]&gt;0,$E$1-Table10[[#This Row],[Year]],0),"")</f>
        <v>25</v>
      </c>
      <c r="F3274" s="456" t="s">
        <v>6084</v>
      </c>
      <c r="G3274" s="456" t="s">
        <v>4304</v>
      </c>
      <c r="H3274" s="456" t="s">
        <v>4306</v>
      </c>
    </row>
    <row r="3275" spans="1:8">
      <c r="A3275" s="697">
        <v>4272</v>
      </c>
      <c r="B3275" s="469" t="s">
        <v>6090</v>
      </c>
      <c r="C3275" s="458" t="s">
        <v>248</v>
      </c>
      <c r="D3275" s="456">
        <f>IF(Table10[[#This Row],[Current Age]]&gt;19,"Men's",IF(E3275&gt;15,"U19",IF(E3275&gt;13,"U15",IF(E3275&gt;11,"U13",IF(E3275&gt;0,"U11",0)))))</f>
        <v>0</v>
      </c>
      <c r="E3275" s="456">
        <f>IFERROR(IF(Table10[[#This Row],[Year]]&gt;0,$E$1-Table10[[#This Row],[Year]],0),"")</f>
        <v>0</v>
      </c>
      <c r="F3275" s="456"/>
      <c r="G3275" s="456"/>
      <c r="H3275" s="456"/>
    </row>
    <row r="3276" spans="1:8">
      <c r="A3276" s="471">
        <v>4273</v>
      </c>
      <c r="B3276" s="493" t="s">
        <v>5135</v>
      </c>
      <c r="C3276" s="472" t="s">
        <v>4720</v>
      </c>
      <c r="D3276" s="456" t="str">
        <f>IF(Table10[[#This Row],[Current Age]]&gt;19,"Men's",IF(E3276&gt;15,"U19",IF(E3276&gt;13,"U15",IF(E3276&gt;11,"U13",IF(E3276&gt;0,"U11",0)))))</f>
        <v>Men's</v>
      </c>
      <c r="E3276" s="456">
        <f>IFERROR(IF(Table10[[#This Row],[Year]]&gt;0,$E$1-Table10[[#This Row],[Year]],0),"")</f>
        <v>35</v>
      </c>
      <c r="F3276" s="456" t="s">
        <v>5122</v>
      </c>
      <c r="G3276" s="456" t="s">
        <v>4268</v>
      </c>
      <c r="H3276" s="456" t="s">
        <v>4249</v>
      </c>
    </row>
    <row r="3277" spans="1:8">
      <c r="A3277" s="456">
        <v>4274</v>
      </c>
      <c r="B3277" s="469" t="s">
        <v>5136</v>
      </c>
      <c r="C3277" s="458" t="s">
        <v>4720</v>
      </c>
      <c r="D3277" s="456" t="str">
        <f>IF(Table10[[#This Row],[Current Age]]&gt;19,"Men's",IF(E3277&gt;15,"U19",IF(E3277&gt;13,"U15",IF(E3277&gt;11,"U13",IF(E3277&gt;0,"U11",0)))))</f>
        <v>Men's</v>
      </c>
      <c r="E3277" s="456">
        <f>IFERROR(IF(Table10[[#This Row],[Year]]&gt;0,$E$1-Table10[[#This Row],[Year]],0),"")</f>
        <v>42</v>
      </c>
      <c r="F3277" s="456" t="s">
        <v>5137</v>
      </c>
      <c r="G3277" s="456" t="s">
        <v>4263</v>
      </c>
      <c r="H3277" s="456" t="s">
        <v>5138</v>
      </c>
    </row>
    <row r="3278" spans="1:8">
      <c r="A3278" s="471">
        <v>4275</v>
      </c>
      <c r="B3278" s="493" t="s">
        <v>5139</v>
      </c>
      <c r="C3278" s="472" t="s">
        <v>4720</v>
      </c>
      <c r="D3278" s="456" t="str">
        <f>IF(Table10[[#This Row],[Current Age]]&gt;19,"Men's",IF(E3278&gt;15,"U19",IF(E3278&gt;13,"U15",IF(E3278&gt;11,"U13",IF(E3278&gt;0,"U11",0)))))</f>
        <v>Men's</v>
      </c>
      <c r="E3278" s="456">
        <f>IFERROR(IF(Table10[[#This Row],[Year]]&gt;0,$E$1-Table10[[#This Row],[Year]],0),"")</f>
        <v>43</v>
      </c>
      <c r="F3278" s="456" t="s">
        <v>5109</v>
      </c>
      <c r="G3278" s="456" t="s">
        <v>4263</v>
      </c>
      <c r="H3278" s="456" t="s">
        <v>4248</v>
      </c>
    </row>
    <row r="3279" spans="1:8">
      <c r="A3279" s="456">
        <v>4276</v>
      </c>
      <c r="B3279" s="469" t="s">
        <v>5140</v>
      </c>
      <c r="C3279" s="458" t="s">
        <v>4720</v>
      </c>
      <c r="D3279" s="456" t="str">
        <f>IF(Table10[[#This Row],[Current Age]]&gt;19,"Men's",IF(E3279&gt;15,"U19",IF(E3279&gt;13,"U15",IF(E3279&gt;11,"U13",IF(E3279&gt;0,"U11",0)))))</f>
        <v>Men's</v>
      </c>
      <c r="E3279" s="456">
        <f>IFERROR(IF(Table10[[#This Row],[Year]]&gt;0,$E$1-Table10[[#This Row],[Year]],0),"")</f>
        <v>43</v>
      </c>
      <c r="F3279" s="456" t="s">
        <v>5109</v>
      </c>
      <c r="G3279" s="456" t="s">
        <v>4268</v>
      </c>
      <c r="H3279" s="456" t="s">
        <v>4323</v>
      </c>
    </row>
    <row r="3280" spans="1:8">
      <c r="A3280" s="471">
        <v>4277</v>
      </c>
      <c r="B3280" s="493" t="s">
        <v>5141</v>
      </c>
      <c r="C3280" s="472" t="s">
        <v>4720</v>
      </c>
      <c r="D3280" s="456" t="str">
        <f>IF(Table10[[#This Row],[Current Age]]&gt;19,"Men's",IF(E3280&gt;15,"U19",IF(E3280&gt;13,"U15",IF(E3280&gt;11,"U13",IF(E3280&gt;0,"U11",0)))))</f>
        <v>Men's</v>
      </c>
      <c r="E3280" s="456">
        <f>IFERROR(IF(Table10[[#This Row],[Year]]&gt;0,$E$1-Table10[[#This Row],[Year]],0),"")</f>
        <v>64</v>
      </c>
      <c r="F3280" s="456" t="s">
        <v>5142</v>
      </c>
      <c r="G3280" s="456" t="s">
        <v>4280</v>
      </c>
      <c r="H3280" s="456" t="s">
        <v>4250</v>
      </c>
    </row>
    <row r="3281" spans="1:8">
      <c r="A3281" s="456">
        <v>4278</v>
      </c>
      <c r="B3281" s="469" t="s">
        <v>5143</v>
      </c>
      <c r="C3281" s="458" t="s">
        <v>4720</v>
      </c>
      <c r="D3281" s="456" t="str">
        <f>IF(Table10[[#This Row],[Current Age]]&gt;19,"Men's",IF(E3281&gt;15,"U19",IF(E3281&gt;13,"U15",IF(E3281&gt;11,"U13",IF(E3281&gt;0,"U11",0)))))</f>
        <v>Men's</v>
      </c>
      <c r="E3281" s="456">
        <f>IFERROR(IF(Table10[[#This Row],[Year]]&gt;0,$E$1-Table10[[#This Row],[Year]],0),"")</f>
        <v>64</v>
      </c>
      <c r="F3281" s="456" t="s">
        <v>5142</v>
      </c>
      <c r="G3281" s="456" t="s">
        <v>4268</v>
      </c>
      <c r="H3281" s="456" t="s">
        <v>5133</v>
      </c>
    </row>
    <row r="3282" spans="1:8">
      <c r="A3282" s="471">
        <v>4279</v>
      </c>
      <c r="B3282" s="493" t="s">
        <v>5144</v>
      </c>
      <c r="C3282" s="472" t="s">
        <v>4720</v>
      </c>
      <c r="D3282" s="456" t="str">
        <f>IF(Table10[[#This Row],[Current Age]]&gt;19,"Men's",IF(E3282&gt;15,"U19",IF(E3282&gt;13,"U15",IF(E3282&gt;11,"U13",IF(E3282&gt;0,"U11",0)))))</f>
        <v>Men's</v>
      </c>
      <c r="E3282" s="456">
        <f>IFERROR(IF(Table10[[#This Row],[Year]]&gt;0,$E$1-Table10[[#This Row],[Year]],0),"")</f>
        <v>62</v>
      </c>
      <c r="F3282" s="456" t="s">
        <v>5145</v>
      </c>
      <c r="G3282" s="456" t="s">
        <v>4280</v>
      </c>
      <c r="H3282" s="456" t="s">
        <v>4250</v>
      </c>
    </row>
    <row r="3283" spans="1:8">
      <c r="A3283" s="456">
        <v>4280</v>
      </c>
      <c r="B3283" s="469" t="s">
        <v>5146</v>
      </c>
      <c r="C3283" s="458" t="s">
        <v>4720</v>
      </c>
      <c r="D3283" s="456" t="str">
        <f>IF(Table10[[#This Row],[Current Age]]&gt;19,"Men's",IF(E3283&gt;15,"U19",IF(E3283&gt;13,"U15",IF(E3283&gt;11,"U13",IF(E3283&gt;0,"U11",0)))))</f>
        <v>Men's</v>
      </c>
      <c r="E3283" s="456">
        <f>IFERROR(IF(Table10[[#This Row],[Year]]&gt;0,$E$1-Table10[[#This Row],[Year]],0),"")</f>
        <v>63</v>
      </c>
      <c r="F3283" s="456" t="s">
        <v>5147</v>
      </c>
      <c r="G3283" s="456" t="s">
        <v>4304</v>
      </c>
      <c r="H3283" s="456" t="s">
        <v>4250</v>
      </c>
    </row>
    <row r="3284" spans="1:8">
      <c r="A3284" s="471">
        <v>4281</v>
      </c>
      <c r="B3284" s="493" t="s">
        <v>5148</v>
      </c>
      <c r="C3284" s="472" t="s">
        <v>4720</v>
      </c>
      <c r="D3284" s="456" t="str">
        <f>IF(Table10[[#This Row],[Current Age]]&gt;19,"Men's",IF(E3284&gt;15,"U19",IF(E3284&gt;13,"U15",IF(E3284&gt;11,"U13",IF(E3284&gt;0,"U11",0)))))</f>
        <v>Men's</v>
      </c>
      <c r="E3284" s="456">
        <f>IFERROR(IF(Table10[[#This Row],[Year]]&gt;0,$E$1-Table10[[#This Row],[Year]],0),"")</f>
        <v>45</v>
      </c>
      <c r="F3284" s="456" t="s">
        <v>5121</v>
      </c>
      <c r="G3284" s="456" t="s">
        <v>4304</v>
      </c>
      <c r="H3284" s="456" t="s">
        <v>4253</v>
      </c>
    </row>
    <row r="3285" spans="1:8">
      <c r="A3285" s="456">
        <v>4282</v>
      </c>
      <c r="B3285" s="469" t="s">
        <v>5149</v>
      </c>
      <c r="C3285" s="458" t="s">
        <v>4720</v>
      </c>
      <c r="D3285" s="456" t="str">
        <f>IF(Table10[[#This Row],[Current Age]]&gt;19,"Men's",IF(E3285&gt;15,"U19",IF(E3285&gt;13,"U15",IF(E3285&gt;11,"U13",IF(E3285&gt;0,"U11",0)))))</f>
        <v>Men's</v>
      </c>
      <c r="E3285" s="456">
        <f>IFERROR(IF(Table10[[#This Row],[Year]]&gt;0,$E$1-Table10[[#This Row],[Year]],0),"")</f>
        <v>49</v>
      </c>
      <c r="F3285" s="456" t="s">
        <v>5127</v>
      </c>
      <c r="G3285" s="456" t="s">
        <v>4256</v>
      </c>
      <c r="H3285" s="456" t="s">
        <v>4268</v>
      </c>
    </row>
    <row r="3286" spans="1:8">
      <c r="A3286" s="471">
        <v>4283</v>
      </c>
      <c r="B3286" s="493" t="s">
        <v>5150</v>
      </c>
      <c r="C3286" s="472" t="s">
        <v>4720</v>
      </c>
      <c r="D3286" s="456" t="str">
        <f>IF(Table10[[#This Row],[Current Age]]&gt;19,"Men's",IF(E3286&gt;15,"U19",IF(E3286&gt;13,"U15",IF(E3286&gt;11,"U13",IF(E3286&gt;0,"U11",0)))))</f>
        <v>Men's</v>
      </c>
      <c r="E3286" s="456">
        <f>IFERROR(IF(Table10[[#This Row],[Year]]&gt;0,$E$1-Table10[[#This Row],[Year]],0),"")</f>
        <v>43</v>
      </c>
      <c r="F3286" s="456" t="s">
        <v>5109</v>
      </c>
      <c r="G3286" s="456" t="s">
        <v>4280</v>
      </c>
      <c r="H3286" s="456" t="s">
        <v>4306</v>
      </c>
    </row>
    <row r="3287" spans="1:8">
      <c r="A3287" s="456">
        <v>4284</v>
      </c>
      <c r="B3287" s="469" t="s">
        <v>5151</v>
      </c>
      <c r="C3287" s="458" t="s">
        <v>4720</v>
      </c>
      <c r="D3287" s="456" t="str">
        <f>IF(Table10[[#This Row],[Current Age]]&gt;19,"Men's",IF(E3287&gt;15,"U19",IF(E3287&gt;13,"U15",IF(E3287&gt;11,"U13",IF(E3287&gt;0,"U11",0)))))</f>
        <v>Men's</v>
      </c>
      <c r="E3287" s="456">
        <f>IFERROR(IF(Table10[[#This Row],[Year]]&gt;0,$E$1-Table10[[#This Row],[Year]],0),"")</f>
        <v>53</v>
      </c>
      <c r="F3287" s="456" t="s">
        <v>5152</v>
      </c>
      <c r="G3287" s="456" t="s">
        <v>4250</v>
      </c>
      <c r="H3287" s="456" t="s">
        <v>4280</v>
      </c>
    </row>
    <row r="3288" spans="1:8">
      <c r="A3288" s="471">
        <v>4285</v>
      </c>
      <c r="B3288" s="493" t="s">
        <v>5153</v>
      </c>
      <c r="C3288" s="472" t="s">
        <v>4720</v>
      </c>
      <c r="D3288" s="456" t="str">
        <f>IF(Table10[[#This Row],[Current Age]]&gt;19,"Men's",IF(E3288&gt;15,"U19",IF(E3288&gt;13,"U15",IF(E3288&gt;11,"U13",IF(E3288&gt;0,"U11",0)))))</f>
        <v>Men's</v>
      </c>
      <c r="E3288" s="456">
        <f>IFERROR(IF(Table10[[#This Row],[Year]]&gt;0,$E$1-Table10[[#This Row],[Year]],0),"")</f>
        <v>38</v>
      </c>
      <c r="F3288" s="456" t="s">
        <v>5154</v>
      </c>
      <c r="G3288" s="456" t="s">
        <v>4255</v>
      </c>
      <c r="H3288" s="456" t="s">
        <v>5155</v>
      </c>
    </row>
    <row r="3289" spans="1:8">
      <c r="A3289" s="456">
        <v>4286</v>
      </c>
      <c r="B3289" s="469" t="s">
        <v>5156</v>
      </c>
      <c r="C3289" s="458" t="s">
        <v>4720</v>
      </c>
      <c r="D3289" s="456" t="str">
        <f>IF(Table10[[#This Row],[Current Age]]&gt;19,"Men's",IF(E3289&gt;15,"U19",IF(E3289&gt;13,"U15",IF(E3289&gt;11,"U13",IF(E3289&gt;0,"U11",0)))))</f>
        <v>Men's</v>
      </c>
      <c r="E3289" s="456">
        <f>IFERROR(IF(Table10[[#This Row],[Year]]&gt;0,$E$1-Table10[[#This Row],[Year]],0),"")</f>
        <v>29</v>
      </c>
      <c r="F3289" s="456" t="s">
        <v>5114</v>
      </c>
      <c r="G3289" s="456" t="s">
        <v>4268</v>
      </c>
      <c r="H3289" s="456" t="s">
        <v>4251</v>
      </c>
    </row>
    <row r="3290" spans="1:8">
      <c r="A3290" s="471">
        <v>4287</v>
      </c>
      <c r="B3290" s="493" t="s">
        <v>5157</v>
      </c>
      <c r="C3290" s="472" t="s">
        <v>4720</v>
      </c>
      <c r="D3290" s="456" t="str">
        <f>IF(Table10[[#This Row],[Current Age]]&gt;19,"Men's",IF(E3290&gt;15,"U19",IF(E3290&gt;13,"U15",IF(E3290&gt;11,"U13",IF(E3290&gt;0,"U11",0)))))</f>
        <v>Men's</v>
      </c>
      <c r="E3290" s="456">
        <f>IFERROR(IF(Table10[[#This Row],[Year]]&gt;0,$E$1-Table10[[#This Row],[Year]],0),"")</f>
        <v>41</v>
      </c>
      <c r="F3290" s="456" t="s">
        <v>5116</v>
      </c>
      <c r="G3290" s="456" t="s">
        <v>4268</v>
      </c>
      <c r="H3290" s="456" t="s">
        <v>4249</v>
      </c>
    </row>
    <row r="3291" spans="1:8">
      <c r="A3291" s="456">
        <v>4288</v>
      </c>
      <c r="B3291" s="469" t="s">
        <v>5158</v>
      </c>
      <c r="C3291" s="458" t="s">
        <v>4720</v>
      </c>
      <c r="D3291" s="456" t="str">
        <f>IF(Table10[[#This Row],[Current Age]]&gt;19,"Men's",IF(E3291&gt;15,"U19",IF(E3291&gt;13,"U15",IF(E3291&gt;11,"U13",IF(E3291&gt;0,"U11",0)))))</f>
        <v>Men's</v>
      </c>
      <c r="E3291" s="456">
        <f>IFERROR(IF(Table10[[#This Row],[Year]]&gt;0,$E$1-Table10[[#This Row],[Year]],0),"")</f>
        <v>52</v>
      </c>
      <c r="F3291" s="456" t="s">
        <v>5159</v>
      </c>
      <c r="G3291" s="456" t="s">
        <v>4250</v>
      </c>
      <c r="H3291" s="456" t="s">
        <v>4276</v>
      </c>
    </row>
    <row r="3292" spans="1:8">
      <c r="A3292" s="471">
        <v>4289</v>
      </c>
      <c r="B3292" s="493" t="s">
        <v>5160</v>
      </c>
      <c r="C3292" s="472" t="s">
        <v>4720</v>
      </c>
      <c r="D3292" s="456" t="str">
        <f>IF(Table10[[#This Row],[Current Age]]&gt;19,"Men's",IF(E3292&gt;15,"U19",IF(E3292&gt;13,"U15",IF(E3292&gt;11,"U13",IF(E3292&gt;0,"U11",0)))))</f>
        <v>Men's</v>
      </c>
      <c r="E3292" s="456">
        <f>IFERROR(IF(Table10[[#This Row],[Year]]&gt;0,$E$1-Table10[[#This Row],[Year]],0),"")</f>
        <v>53</v>
      </c>
      <c r="F3292" s="456" t="s">
        <v>5152</v>
      </c>
      <c r="G3292" s="456" t="s">
        <v>4279</v>
      </c>
      <c r="H3292" s="456" t="s">
        <v>4255</v>
      </c>
    </row>
    <row r="3293" spans="1:8">
      <c r="A3293" s="456">
        <v>4290</v>
      </c>
      <c r="B3293" s="469" t="s">
        <v>5169</v>
      </c>
      <c r="C3293" s="458" t="s">
        <v>251</v>
      </c>
      <c r="D3293" s="456">
        <f>IF(Table10[[#This Row],[Current Age]]&gt;19,"Men's",IF(E3293&gt;15,"U19",IF(E3293&gt;13,"U15",IF(E3293&gt;11,"U13",IF(E3293&gt;0,"U11",0)))))</f>
        <v>0</v>
      </c>
      <c r="E3293" s="456">
        <f>IFERROR(IF(Table10[[#This Row],[Year]]&gt;0,$E$1-Table10[[#This Row],[Year]],0),"")</f>
        <v>0</v>
      </c>
      <c r="F3293" s="456"/>
      <c r="G3293" s="456"/>
      <c r="H3293" s="456"/>
    </row>
    <row r="3294" spans="1:8">
      <c r="A3294" s="471">
        <v>4291</v>
      </c>
      <c r="B3294" s="493" t="s">
        <v>5170</v>
      </c>
      <c r="C3294" s="472" t="s">
        <v>251</v>
      </c>
      <c r="D3294" s="456">
        <f>IF(Table10[[#This Row],[Current Age]]&gt;19,"Men's",IF(E3294&gt;15,"U19",IF(E3294&gt;13,"U15",IF(E3294&gt;11,"U13",IF(E3294&gt;0,"U11",0)))))</f>
        <v>0</v>
      </c>
      <c r="E3294" s="456">
        <f>IFERROR(IF(Table10[[#This Row],[Year]]&gt;0,$E$1-Table10[[#This Row],[Year]],0),"")</f>
        <v>0</v>
      </c>
      <c r="F3294" s="456"/>
      <c r="G3294" s="456"/>
      <c r="H3294" s="456"/>
    </row>
    <row r="3295" spans="1:8">
      <c r="A3295" s="456">
        <v>4292</v>
      </c>
      <c r="B3295" s="469" t="s">
        <v>5171</v>
      </c>
      <c r="C3295" s="458" t="s">
        <v>251</v>
      </c>
      <c r="D3295" s="456">
        <f>IF(Table10[[#This Row],[Current Age]]&gt;19,"Men's",IF(E3295&gt;15,"U19",IF(E3295&gt;13,"U15",IF(E3295&gt;11,"U13",IF(E3295&gt;0,"U11",0)))))</f>
        <v>0</v>
      </c>
      <c r="E3295" s="456">
        <f>IFERROR(IF(Table10[[#This Row],[Year]]&gt;0,$E$1-Table10[[#This Row],[Year]],0),"")</f>
        <v>0</v>
      </c>
      <c r="F3295" s="456"/>
      <c r="G3295" s="456"/>
      <c r="H3295" s="456"/>
    </row>
    <row r="3296" spans="1:8">
      <c r="A3296" s="471">
        <v>4293</v>
      </c>
      <c r="B3296" s="493" t="s">
        <v>5172</v>
      </c>
      <c r="C3296" s="472" t="s">
        <v>251</v>
      </c>
      <c r="D3296" s="456">
        <f>IF(Table10[[#This Row],[Current Age]]&gt;19,"Men's",IF(E3296&gt;15,"U19",IF(E3296&gt;13,"U15",IF(E3296&gt;11,"U13",IF(E3296&gt;0,"U11",0)))))</f>
        <v>0</v>
      </c>
      <c r="E3296" s="456">
        <f>IFERROR(IF(Table10[[#This Row],[Year]]&gt;0,$E$1-Table10[[#This Row],[Year]],0),"")</f>
        <v>0</v>
      </c>
      <c r="F3296" s="456"/>
      <c r="G3296" s="456"/>
      <c r="H3296" s="456"/>
    </row>
    <row r="3297" spans="1:8">
      <c r="A3297" s="456">
        <v>4294</v>
      </c>
      <c r="B3297" s="469" t="s">
        <v>5173</v>
      </c>
      <c r="C3297" s="458" t="s">
        <v>251</v>
      </c>
      <c r="D3297" s="456">
        <f>IF(Table10[[#This Row],[Current Age]]&gt;19,"Men's",IF(E3297&gt;15,"U19",IF(E3297&gt;13,"U15",IF(E3297&gt;11,"U13",IF(E3297&gt;0,"U11",0)))))</f>
        <v>0</v>
      </c>
      <c r="E3297" s="456">
        <f>IFERROR(IF(Table10[[#This Row],[Year]]&gt;0,$E$1-Table10[[#This Row],[Year]],0),"")</f>
        <v>0</v>
      </c>
      <c r="F3297" s="456"/>
      <c r="G3297" s="456"/>
      <c r="H3297" s="456"/>
    </row>
    <row r="3298" spans="1:8">
      <c r="A3298" s="471">
        <v>4295</v>
      </c>
      <c r="B3298" s="493" t="s">
        <v>5174</v>
      </c>
      <c r="C3298" s="472" t="s">
        <v>251</v>
      </c>
      <c r="D3298" s="456">
        <f>IF(Table10[[#This Row],[Current Age]]&gt;19,"Men's",IF(E3298&gt;15,"U19",IF(E3298&gt;13,"U15",IF(E3298&gt;11,"U13",IF(E3298&gt;0,"U11",0)))))</f>
        <v>0</v>
      </c>
      <c r="E3298" s="456">
        <f>IFERROR(IF(Table10[[#This Row],[Year]]&gt;0,$E$1-Table10[[#This Row],[Year]],0),"")</f>
        <v>0</v>
      </c>
      <c r="F3298" s="456"/>
      <c r="G3298" s="456"/>
      <c r="H3298" s="456"/>
    </row>
    <row r="3299" spans="1:8">
      <c r="A3299" s="456">
        <v>4296</v>
      </c>
      <c r="B3299" s="469" t="s">
        <v>5177</v>
      </c>
      <c r="C3299" s="458" t="s">
        <v>251</v>
      </c>
      <c r="D3299" s="456">
        <f>IF(Table10[[#This Row],[Current Age]]&gt;19,"Men's",IF(E3299&gt;15,"U19",IF(E3299&gt;13,"U15",IF(E3299&gt;11,"U13",IF(E3299&gt;0,"U11",0)))))</f>
        <v>0</v>
      </c>
      <c r="E3299" s="456">
        <f>IFERROR(IF(Table10[[#This Row],[Year]]&gt;0,$E$1-Table10[[#This Row],[Year]],0),"")</f>
        <v>0</v>
      </c>
      <c r="F3299" s="456"/>
      <c r="G3299" s="456"/>
      <c r="H3299" s="456"/>
    </row>
    <row r="3300" spans="1:8">
      <c r="A3300" s="471">
        <v>4297</v>
      </c>
      <c r="B3300" s="493" t="s">
        <v>6067</v>
      </c>
      <c r="C3300" s="472" t="s">
        <v>251</v>
      </c>
      <c r="D3300" s="456">
        <f>IF(Table10[[#This Row],[Current Age]]&gt;19,"Men's",IF(E3300&gt;15,"U19",IF(E3300&gt;13,"U15",IF(E3300&gt;11,"U13",IF(E3300&gt;0,"U11",0)))))</f>
        <v>0</v>
      </c>
      <c r="E3300" s="456">
        <f>IFERROR(IF(Table10[[#This Row],[Year]]&gt;0,$E$1-Table10[[#This Row],[Year]],0),"")</f>
        <v>0</v>
      </c>
      <c r="F3300" s="456"/>
      <c r="G3300" s="456"/>
      <c r="H3300" s="456"/>
    </row>
    <row r="3301" spans="1:8">
      <c r="A3301" s="456">
        <v>4298</v>
      </c>
      <c r="B3301" s="469" t="s">
        <v>5175</v>
      </c>
      <c r="C3301" s="458" t="s">
        <v>251</v>
      </c>
      <c r="D3301" s="456">
        <f>IF(Table10[[#This Row],[Current Age]]&gt;19,"Men's",IF(E3301&gt;15,"U19",IF(E3301&gt;13,"U15",IF(E3301&gt;11,"U13",IF(E3301&gt;0,"U11",0)))))</f>
        <v>0</v>
      </c>
      <c r="E3301" s="456">
        <f>IFERROR(IF(Table10[[#This Row],[Year]]&gt;0,$E$1-Table10[[#This Row],[Year]],0),"")</f>
        <v>0</v>
      </c>
      <c r="F3301" s="456"/>
      <c r="G3301" s="456"/>
      <c r="H3301" s="456"/>
    </row>
    <row r="3302" spans="1:8">
      <c r="A3302" s="471">
        <v>4299</v>
      </c>
      <c r="B3302" s="493" t="s">
        <v>5176</v>
      </c>
      <c r="C3302" s="472" t="s">
        <v>251</v>
      </c>
      <c r="D3302" s="456">
        <f>IF(Table10[[#This Row],[Current Age]]&gt;19,"Men's",IF(E3302&gt;15,"U19",IF(E3302&gt;13,"U15",IF(E3302&gt;11,"U13",IF(E3302&gt;0,"U11",0)))))</f>
        <v>0</v>
      </c>
      <c r="E3302" s="456">
        <f>IFERROR(IF(Table10[[#This Row],[Year]]&gt;0,$E$1-Table10[[#This Row],[Year]],0),"")</f>
        <v>0</v>
      </c>
      <c r="F3302" s="456"/>
      <c r="G3302" s="456"/>
      <c r="H3302" s="456"/>
    </row>
    <row r="3303" spans="1:8">
      <c r="A3303" s="697">
        <v>4300</v>
      </c>
      <c r="B3303" s="469" t="s">
        <v>6091</v>
      </c>
      <c r="C3303" s="458" t="s">
        <v>248</v>
      </c>
      <c r="D3303" s="456">
        <f>IF(Table10[[#This Row],[Current Age]]&gt;19,"Men's",IF(E3303&gt;15,"U19",IF(E3303&gt;13,"U15",IF(E3303&gt;11,"U13",IF(E3303&gt;0,"U11",0)))))</f>
        <v>0</v>
      </c>
      <c r="E3303" s="456">
        <f>IFERROR(IF(Table10[[#This Row],[Year]]&gt;0,$E$1-Table10[[#This Row],[Year]],0),"")</f>
        <v>0</v>
      </c>
      <c r="F3303" s="456"/>
      <c r="G3303" s="456"/>
      <c r="H3303" s="456"/>
    </row>
    <row r="3304" spans="1:8">
      <c r="A3304" s="471">
        <v>4301</v>
      </c>
      <c r="B3304" s="493" t="s">
        <v>5178</v>
      </c>
      <c r="C3304" s="472" t="s">
        <v>251</v>
      </c>
      <c r="D3304" s="456">
        <f>IF(Table10[[#This Row],[Current Age]]&gt;19,"Men's",IF(E3304&gt;15,"U19",IF(E3304&gt;13,"U15",IF(E3304&gt;11,"U13",IF(E3304&gt;0,"U11",0)))))</f>
        <v>0</v>
      </c>
      <c r="E3304" s="456">
        <f>IFERROR(IF(Table10[[#This Row],[Year]]&gt;0,$E$1-Table10[[#This Row],[Year]],0),"")</f>
        <v>0</v>
      </c>
      <c r="F3304" s="456"/>
      <c r="G3304" s="456"/>
      <c r="H3304" s="456"/>
    </row>
    <row r="3305" spans="1:8">
      <c r="A3305" s="456">
        <v>4302</v>
      </c>
      <c r="B3305" s="469" t="s">
        <v>5179</v>
      </c>
      <c r="C3305" s="458" t="s">
        <v>251</v>
      </c>
      <c r="D3305" s="456">
        <f>IF(Table10[[#This Row],[Current Age]]&gt;19,"Men's",IF(E3305&gt;15,"U19",IF(E3305&gt;13,"U15",IF(E3305&gt;11,"U13",IF(E3305&gt;0,"U11",0)))))</f>
        <v>0</v>
      </c>
      <c r="E3305" s="456">
        <f>IFERROR(IF(Table10[[#This Row],[Year]]&gt;0,$E$1-Table10[[#This Row],[Year]],0),"")</f>
        <v>0</v>
      </c>
      <c r="F3305" s="456"/>
      <c r="G3305" s="456"/>
      <c r="H3305" s="456"/>
    </row>
    <row r="3306" spans="1:8">
      <c r="A3306" s="471">
        <v>4303</v>
      </c>
      <c r="B3306" s="520" t="s">
        <v>5180</v>
      </c>
      <c r="C3306" s="472" t="s">
        <v>251</v>
      </c>
      <c r="D3306" s="456">
        <f>IF(Table10[[#This Row],[Current Age]]&gt;19,"Men's",IF(E3306&gt;15,"U19",IF(E3306&gt;13,"U15",IF(E3306&gt;11,"U13",IF(E3306&gt;0,"U11",0)))))</f>
        <v>0</v>
      </c>
      <c r="E3306" s="456">
        <f>IFERROR(IF(Table10[[#This Row],[Year]]&gt;0,$E$1-Table10[[#This Row],[Year]],0),"")</f>
        <v>0</v>
      </c>
      <c r="F3306" s="456"/>
      <c r="G3306" s="456"/>
      <c r="H3306" s="456"/>
    </row>
    <row r="3307" spans="1:8">
      <c r="A3307" s="456">
        <v>4304</v>
      </c>
      <c r="B3307" s="469" t="s">
        <v>5181</v>
      </c>
      <c r="C3307" s="458" t="s">
        <v>251</v>
      </c>
      <c r="D3307" s="456">
        <f>IF(Table10[[#This Row],[Current Age]]&gt;19,"Men's",IF(E3307&gt;15,"U19",IF(E3307&gt;13,"U15",IF(E3307&gt;11,"U13",IF(E3307&gt;0,"U11",0)))))</f>
        <v>0</v>
      </c>
      <c r="E3307" s="456">
        <f>IFERROR(IF(Table10[[#This Row],[Year]]&gt;0,$E$1-Table10[[#This Row],[Year]],0),"")</f>
        <v>0</v>
      </c>
      <c r="F3307" s="456"/>
      <c r="G3307" s="456"/>
      <c r="H3307" s="456"/>
    </row>
    <row r="3308" spans="1:8">
      <c r="A3308" s="471">
        <v>4305</v>
      </c>
      <c r="B3308" s="493" t="s">
        <v>6070</v>
      </c>
      <c r="C3308" s="472" t="s">
        <v>251</v>
      </c>
      <c r="D3308" s="456">
        <f>IF(Table10[[#This Row],[Current Age]]&gt;19,"Men's",IF(E3308&gt;15,"U19",IF(E3308&gt;13,"U15",IF(E3308&gt;11,"U13",IF(E3308&gt;0,"U11",0)))))</f>
        <v>0</v>
      </c>
      <c r="E3308" s="456">
        <f>IFERROR(IF(Table10[[#This Row],[Year]]&gt;0,$E$1-Table10[[#This Row],[Year]],0),"")</f>
        <v>0</v>
      </c>
      <c r="F3308" s="456"/>
      <c r="G3308" s="456"/>
      <c r="H3308" s="456"/>
    </row>
    <row r="3309" spans="1:8">
      <c r="A3309" s="456">
        <v>4306</v>
      </c>
      <c r="B3309" s="469" t="s">
        <v>5182</v>
      </c>
      <c r="C3309" s="458" t="s">
        <v>251</v>
      </c>
      <c r="D3309" s="456">
        <f>IF(Table10[[#This Row],[Current Age]]&gt;19,"Men's",IF(E3309&gt;15,"U19",IF(E3309&gt;13,"U15",IF(E3309&gt;11,"U13",IF(E3309&gt;0,"U11",0)))))</f>
        <v>0</v>
      </c>
      <c r="E3309" s="456">
        <f>IFERROR(IF(Table10[[#This Row],[Year]]&gt;0,$E$1-Table10[[#This Row],[Year]],0),"")</f>
        <v>0</v>
      </c>
      <c r="F3309" s="456"/>
      <c r="G3309" s="456"/>
      <c r="H3309" s="456"/>
    </row>
    <row r="3310" spans="1:8">
      <c r="A3310" s="471">
        <v>4307</v>
      </c>
      <c r="B3310" s="493" t="s">
        <v>5183</v>
      </c>
      <c r="C3310" s="472" t="s">
        <v>251</v>
      </c>
      <c r="D3310" s="456">
        <f>IF(Table10[[#This Row],[Current Age]]&gt;19,"Men's",IF(E3310&gt;15,"U19",IF(E3310&gt;13,"U15",IF(E3310&gt;11,"U13",IF(E3310&gt;0,"U11",0)))))</f>
        <v>0</v>
      </c>
      <c r="E3310" s="456">
        <f>IFERROR(IF(Table10[[#This Row],[Year]]&gt;0,$E$1-Table10[[#This Row],[Year]],0),"")</f>
        <v>0</v>
      </c>
      <c r="F3310" s="456"/>
      <c r="G3310" s="456"/>
      <c r="H3310" s="456"/>
    </row>
    <row r="3311" spans="1:8">
      <c r="A3311" s="456">
        <v>4308</v>
      </c>
      <c r="B3311" s="469" t="s">
        <v>5184</v>
      </c>
      <c r="C3311" s="458" t="s">
        <v>251</v>
      </c>
      <c r="D3311" s="456">
        <f>IF(Table10[[#This Row],[Current Age]]&gt;19,"Men's",IF(E3311&gt;15,"U19",IF(E3311&gt;13,"U15",IF(E3311&gt;11,"U13",IF(E3311&gt;0,"U11",0)))))</f>
        <v>0</v>
      </c>
      <c r="E3311" s="456">
        <f>IFERROR(IF(Table10[[#This Row],[Year]]&gt;0,$E$1-Table10[[#This Row],[Year]],0),"")</f>
        <v>0</v>
      </c>
      <c r="F3311" s="456"/>
      <c r="G3311" s="456"/>
      <c r="H3311" s="456"/>
    </row>
    <row r="3312" spans="1:8">
      <c r="A3312" s="471">
        <v>4309</v>
      </c>
      <c r="B3312" s="493" t="s">
        <v>5185</v>
      </c>
      <c r="C3312" s="472" t="s">
        <v>251</v>
      </c>
      <c r="D3312" s="456">
        <f>IF(Table10[[#This Row],[Current Age]]&gt;19,"Men's",IF(E3312&gt;15,"U19",IF(E3312&gt;13,"U15",IF(E3312&gt;11,"U13",IF(E3312&gt;0,"U11",0)))))</f>
        <v>0</v>
      </c>
      <c r="E3312" s="456">
        <f>IFERROR(IF(Table10[[#This Row],[Year]]&gt;0,$E$1-Table10[[#This Row],[Year]],0),"")</f>
        <v>0</v>
      </c>
      <c r="F3312" s="456"/>
      <c r="G3312" s="456"/>
      <c r="H3312" s="456"/>
    </row>
    <row r="3313" spans="1:8">
      <c r="A3313" s="456">
        <v>4310</v>
      </c>
      <c r="B3313" s="469" t="s">
        <v>5542</v>
      </c>
      <c r="C3313" s="458" t="s">
        <v>251</v>
      </c>
      <c r="D3313" s="456">
        <f>IF(Table10[[#This Row],[Current Age]]&gt;19,"Men's",IF(E3313&gt;15,"U19",IF(E3313&gt;13,"U15",IF(E3313&gt;11,"U13",IF(E3313&gt;0,"U11",0)))))</f>
        <v>0</v>
      </c>
      <c r="E3313" s="456">
        <f>IFERROR(IF(Table10[[#This Row],[Year]]&gt;0,$E$1-Table10[[#This Row],[Year]],0),"")</f>
        <v>0</v>
      </c>
      <c r="F3313" s="456"/>
      <c r="G3313" s="456"/>
      <c r="H3313" s="456"/>
    </row>
    <row r="3314" spans="1:8">
      <c r="A3314" s="471">
        <v>4311</v>
      </c>
      <c r="B3314" s="493" t="s">
        <v>5186</v>
      </c>
      <c r="C3314" s="472" t="s">
        <v>251</v>
      </c>
      <c r="D3314" s="456">
        <f>IF(Table10[[#This Row],[Current Age]]&gt;19,"Men's",IF(E3314&gt;15,"U19",IF(E3314&gt;13,"U15",IF(E3314&gt;11,"U13",IF(E3314&gt;0,"U11",0)))))</f>
        <v>0</v>
      </c>
      <c r="E3314" s="456">
        <f>IFERROR(IF(Table10[[#This Row],[Year]]&gt;0,$E$1-Table10[[#This Row],[Year]],0),"")</f>
        <v>0</v>
      </c>
      <c r="F3314" s="456"/>
      <c r="G3314" s="456"/>
      <c r="H3314" s="456"/>
    </row>
    <row r="3315" spans="1:8">
      <c r="A3315" s="456">
        <v>4312</v>
      </c>
      <c r="B3315" s="469" t="s">
        <v>5187</v>
      </c>
      <c r="C3315" s="458" t="s">
        <v>251</v>
      </c>
      <c r="D3315" s="456">
        <f>IF(Table10[[#This Row],[Current Age]]&gt;19,"Men's",IF(E3315&gt;15,"U19",IF(E3315&gt;13,"U15",IF(E3315&gt;11,"U13",IF(E3315&gt;0,"U11",0)))))</f>
        <v>0</v>
      </c>
      <c r="E3315" s="456">
        <f>IFERROR(IF(Table10[[#This Row],[Year]]&gt;0,$E$1-Table10[[#This Row],[Year]],0),"")</f>
        <v>0</v>
      </c>
      <c r="F3315" s="456"/>
      <c r="G3315" s="456"/>
      <c r="H3315" s="456"/>
    </row>
    <row r="3316" spans="1:8">
      <c r="A3316" s="471">
        <v>4313</v>
      </c>
      <c r="B3316" s="493" t="s">
        <v>5188</v>
      </c>
      <c r="C3316" s="472" t="s">
        <v>251</v>
      </c>
      <c r="D3316" s="456">
        <f>IF(Table10[[#This Row],[Current Age]]&gt;19,"Men's",IF(E3316&gt;15,"U19",IF(E3316&gt;13,"U15",IF(E3316&gt;11,"U13",IF(E3316&gt;0,"U11",0)))))</f>
        <v>0</v>
      </c>
      <c r="E3316" s="456">
        <f>IFERROR(IF(Table10[[#This Row],[Year]]&gt;0,$E$1-Table10[[#This Row],[Year]],0),"")</f>
        <v>0</v>
      </c>
      <c r="F3316" s="456"/>
      <c r="G3316" s="456"/>
      <c r="H3316" s="456"/>
    </row>
    <row r="3317" spans="1:8">
      <c r="A3317" s="456">
        <v>4314</v>
      </c>
      <c r="B3317" s="469" t="s">
        <v>5189</v>
      </c>
      <c r="C3317" s="458" t="s">
        <v>251</v>
      </c>
      <c r="D3317" s="456">
        <f>IF(Table10[[#This Row],[Current Age]]&gt;19,"Men's",IF(E3317&gt;15,"U19",IF(E3317&gt;13,"U15",IF(E3317&gt;11,"U13",IF(E3317&gt;0,"U11",0)))))</f>
        <v>0</v>
      </c>
      <c r="E3317" s="456">
        <f>IFERROR(IF(Table10[[#This Row],[Year]]&gt;0,$E$1-Table10[[#This Row],[Year]],0),"")</f>
        <v>0</v>
      </c>
      <c r="F3317" s="456"/>
      <c r="G3317" s="456"/>
      <c r="H3317" s="456"/>
    </row>
    <row r="3318" spans="1:8">
      <c r="A3318" s="471">
        <v>4315</v>
      </c>
      <c r="B3318" s="493" t="s">
        <v>5190</v>
      </c>
      <c r="C3318" s="472" t="s">
        <v>251</v>
      </c>
      <c r="D3318" s="456">
        <f>IF(Table10[[#This Row],[Current Age]]&gt;19,"Men's",IF(E3318&gt;15,"U19",IF(E3318&gt;13,"U15",IF(E3318&gt;11,"U13",IF(E3318&gt;0,"U11",0)))))</f>
        <v>0</v>
      </c>
      <c r="E3318" s="456">
        <f>IFERROR(IF(Table10[[#This Row],[Year]]&gt;0,$E$1-Table10[[#This Row],[Year]],0),"")</f>
        <v>0</v>
      </c>
      <c r="F3318" s="456"/>
      <c r="G3318" s="456"/>
      <c r="H3318" s="456"/>
    </row>
    <row r="3319" spans="1:8">
      <c r="A3319" s="456">
        <v>4316</v>
      </c>
      <c r="B3319" s="469" t="s">
        <v>5222</v>
      </c>
      <c r="C3319" s="458" t="s">
        <v>251</v>
      </c>
      <c r="D3319" s="456">
        <f>IF(Table10[[#This Row],[Current Age]]&gt;19,"Men's",IF(E3319&gt;15,"U19",IF(E3319&gt;13,"U15",IF(E3319&gt;11,"U13",IF(E3319&gt;0,"U11",0)))))</f>
        <v>0</v>
      </c>
      <c r="E3319" s="456">
        <f>IFERROR(IF(Table10[[#This Row],[Year]]&gt;0,$E$1-Table10[[#This Row],[Year]],0),"")</f>
        <v>0</v>
      </c>
      <c r="F3319" s="456"/>
      <c r="G3319" s="456"/>
      <c r="H3319" s="456"/>
    </row>
    <row r="3320" spans="1:8">
      <c r="A3320" s="471">
        <v>4317</v>
      </c>
      <c r="B3320" s="519" t="s">
        <v>6066</v>
      </c>
      <c r="C3320" s="472" t="s">
        <v>251</v>
      </c>
      <c r="D3320" s="456">
        <f>IF(Table10[[#This Row],[Current Age]]&gt;19,"Men's",IF(E3320&gt;15,"U19",IF(E3320&gt;13,"U15",IF(E3320&gt;11,"U13",IF(E3320&gt;0,"U11",0)))))</f>
        <v>0</v>
      </c>
      <c r="E3320" s="456">
        <f>IFERROR(IF(Table10[[#This Row],[Year]]&gt;0,$E$1-Table10[[#This Row],[Year]],0),"")</f>
        <v>0</v>
      </c>
      <c r="F3320" s="456"/>
      <c r="G3320" s="456"/>
      <c r="H3320" s="456"/>
    </row>
    <row r="3321" spans="1:8">
      <c r="A3321" s="456">
        <v>4318</v>
      </c>
      <c r="B3321" s="469" t="s">
        <v>5231</v>
      </c>
      <c r="C3321" s="458" t="s">
        <v>251</v>
      </c>
      <c r="D3321" s="456">
        <f>IF(Table10[[#This Row],[Current Age]]&gt;19,"Men's",IF(E3321&gt;15,"U19",IF(E3321&gt;13,"U15",IF(E3321&gt;11,"U13",IF(E3321&gt;0,"U11",0)))))</f>
        <v>0</v>
      </c>
      <c r="E3321" s="456">
        <f>IFERROR(IF(Table10[[#This Row],[Year]]&gt;0,$E$1-Table10[[#This Row],[Year]],0),"")</f>
        <v>0</v>
      </c>
      <c r="F3321" s="456"/>
      <c r="G3321" s="456"/>
      <c r="H3321" s="456"/>
    </row>
    <row r="3322" spans="1:8">
      <c r="A3322" s="471">
        <v>4319</v>
      </c>
      <c r="B3322" s="493" t="s">
        <v>5224</v>
      </c>
      <c r="C3322" s="472" t="s">
        <v>4720</v>
      </c>
      <c r="D3322" s="456">
        <f>IF(Table10[[#This Row],[Current Age]]&gt;19,"Men's",IF(E3322&gt;15,"U19",IF(E3322&gt;13,"U15",IF(E3322&gt;11,"U13",IF(E3322&gt;0,"U11",0)))))</f>
        <v>0</v>
      </c>
      <c r="E3322" s="456">
        <f>IFERROR(IF(Table10[[#This Row],[Year]]&gt;0,$E$1-Table10[[#This Row],[Year]],0),"")</f>
        <v>0</v>
      </c>
      <c r="F3322" s="456"/>
      <c r="G3322" s="456"/>
      <c r="H3322" s="456"/>
    </row>
    <row r="3323" spans="1:8">
      <c r="A3323" s="456">
        <v>4320</v>
      </c>
      <c r="B3323" s="469" t="s">
        <v>5225</v>
      </c>
      <c r="C3323" s="458" t="s">
        <v>4720</v>
      </c>
      <c r="D3323" s="456">
        <f>IF(Table10[[#This Row],[Current Age]]&gt;19,"Men's",IF(E3323&gt;15,"U19",IF(E3323&gt;13,"U15",IF(E3323&gt;11,"U13",IF(E3323&gt;0,"U11",0)))))</f>
        <v>0</v>
      </c>
      <c r="E3323" s="456">
        <f>IFERROR(IF(Table10[[#This Row],[Year]]&gt;0,$E$1-Table10[[#This Row],[Year]],0),"")</f>
        <v>0</v>
      </c>
      <c r="F3323" s="456"/>
      <c r="G3323" s="456"/>
      <c r="H3323" s="456"/>
    </row>
    <row r="3324" spans="1:8">
      <c r="A3324" s="471">
        <v>4321</v>
      </c>
      <c r="B3324" s="493" t="s">
        <v>5226</v>
      </c>
      <c r="C3324" s="472" t="s">
        <v>4720</v>
      </c>
      <c r="D3324" s="456">
        <f>IF(Table10[[#This Row],[Current Age]]&gt;19,"Men's",IF(E3324&gt;15,"U19",IF(E3324&gt;13,"U15",IF(E3324&gt;11,"U13",IF(E3324&gt;0,"U11",0)))))</f>
        <v>0</v>
      </c>
      <c r="E3324" s="456">
        <f>IFERROR(IF(Table10[[#This Row],[Year]]&gt;0,$E$1-Table10[[#This Row],[Year]],0),"")</f>
        <v>0</v>
      </c>
      <c r="F3324" s="456"/>
      <c r="G3324" s="456"/>
      <c r="H3324" s="456"/>
    </row>
    <row r="3325" spans="1:8">
      <c r="A3325" s="456">
        <v>4322</v>
      </c>
      <c r="B3325" s="469" t="s">
        <v>5227</v>
      </c>
      <c r="C3325" s="458" t="s">
        <v>4658</v>
      </c>
      <c r="D3325" s="456">
        <f>IF(Table10[[#This Row],[Current Age]]&gt;19,"Men's",IF(E3325&gt;15,"U19",IF(E3325&gt;13,"U15",IF(E3325&gt;11,"U13",IF(E3325&gt;0,"U11",0)))))</f>
        <v>0</v>
      </c>
      <c r="E3325" s="456">
        <f>IFERROR(IF(Table10[[#This Row],[Year]]&gt;0,$E$1-Table10[[#This Row],[Year]],0),"")</f>
        <v>0</v>
      </c>
      <c r="F3325" s="456"/>
      <c r="G3325" s="456"/>
      <c r="H3325" s="456"/>
    </row>
    <row r="3326" spans="1:8">
      <c r="A3326" s="471">
        <v>4323</v>
      </c>
      <c r="B3326" s="493" t="s">
        <v>5228</v>
      </c>
      <c r="C3326" s="472" t="s">
        <v>4720</v>
      </c>
      <c r="D3326" s="456">
        <f>IF(Table10[[#This Row],[Current Age]]&gt;19,"Men's",IF(E3326&gt;15,"U19",IF(E3326&gt;13,"U15",IF(E3326&gt;11,"U13",IF(E3326&gt;0,"U11",0)))))</f>
        <v>0</v>
      </c>
      <c r="E3326" s="456">
        <f>IFERROR(IF(Table10[[#This Row],[Year]]&gt;0,$E$1-Table10[[#This Row],[Year]],0),"")</f>
        <v>0</v>
      </c>
      <c r="F3326" s="456"/>
      <c r="G3326" s="456"/>
      <c r="H3326" s="456"/>
    </row>
    <row r="3327" spans="1:8">
      <c r="A3327" s="456">
        <v>4324</v>
      </c>
      <c r="B3327" s="469" t="s">
        <v>6134</v>
      </c>
      <c r="C3327" s="458" t="s">
        <v>251</v>
      </c>
      <c r="D3327" s="456">
        <f>IF(Table10[[#This Row],[Current Age]]&gt;19,"Men's",IF(E3327&gt;15,"U19",IF(E3327&gt;13,"U15",IF(E3327&gt;11,"U13",IF(E3327&gt;0,"U11",0)))))</f>
        <v>0</v>
      </c>
      <c r="E3327" s="456">
        <f>IFERROR(IF(Table10[[#This Row],[Year]]&gt;0,$E$1-Table10[[#This Row],[Year]],0),"")</f>
        <v>0</v>
      </c>
      <c r="F3327" s="456"/>
      <c r="G3327" s="456"/>
      <c r="H3327" s="456"/>
    </row>
    <row r="3328" spans="1:8">
      <c r="A3328" s="471">
        <v>4325</v>
      </c>
      <c r="B3328" s="493" t="s">
        <v>5229</v>
      </c>
      <c r="C3328" s="472" t="s">
        <v>4720</v>
      </c>
      <c r="D3328" s="456">
        <f>IF(Table10[[#This Row],[Current Age]]&gt;19,"Men's",IF(E3328&gt;15,"U19",IF(E3328&gt;13,"U15",IF(E3328&gt;11,"U13",IF(E3328&gt;0,"U11",0)))))</f>
        <v>0</v>
      </c>
      <c r="E3328" s="456">
        <f>IFERROR(IF(Table10[[#This Row],[Year]]&gt;0,$E$1-Table10[[#This Row],[Year]],0),"")</f>
        <v>0</v>
      </c>
      <c r="F3328" s="456"/>
      <c r="G3328" s="456"/>
      <c r="H3328" s="456"/>
    </row>
    <row r="3329" spans="1:8">
      <c r="A3329" s="456">
        <v>4326</v>
      </c>
      <c r="B3329" s="469" t="s">
        <v>5230</v>
      </c>
      <c r="C3329" s="458" t="s">
        <v>4720</v>
      </c>
      <c r="D3329" s="456">
        <f>IF(Table10[[#This Row],[Current Age]]&gt;19,"Men's",IF(E3329&gt;15,"U19",IF(E3329&gt;13,"U15",IF(E3329&gt;11,"U13",IF(E3329&gt;0,"U11",0)))))</f>
        <v>0</v>
      </c>
      <c r="E3329" s="456">
        <f>IFERROR(IF(Table10[[#This Row],[Year]]&gt;0,$E$1-Table10[[#This Row],[Year]],0),"")</f>
        <v>0</v>
      </c>
      <c r="F3329" s="456"/>
      <c r="G3329" s="456"/>
      <c r="H3329" s="456"/>
    </row>
    <row r="3330" spans="1:8" ht="15.5">
      <c r="A3330" s="471">
        <v>4327</v>
      </c>
      <c r="B3330" s="518" t="s">
        <v>5235</v>
      </c>
      <c r="C3330" s="472" t="s">
        <v>4720</v>
      </c>
      <c r="D3330" s="456">
        <f>IF(Table10[[#This Row],[Current Age]]&gt;19,"Men's",IF(E3330&gt;15,"U19",IF(E3330&gt;13,"U15",IF(E3330&gt;11,"U13",IF(E3330&gt;0,"U11",0)))))</f>
        <v>0</v>
      </c>
      <c r="E3330" s="456">
        <f>IFERROR(IF(Table10[[#This Row],[Year]]&gt;0,$E$1-Table10[[#This Row],[Year]],0),"")</f>
        <v>0</v>
      </c>
      <c r="F3330" s="456"/>
      <c r="G3330" s="456"/>
      <c r="H3330" s="456"/>
    </row>
    <row r="3331" spans="1:8" ht="15.5">
      <c r="A3331" s="456">
        <v>4328</v>
      </c>
      <c r="B3331" s="517" t="s">
        <v>5236</v>
      </c>
      <c r="C3331" s="458" t="s">
        <v>4720</v>
      </c>
      <c r="D3331" s="456">
        <f>IF(Table10[[#This Row],[Current Age]]&gt;19,"Men's",IF(E3331&gt;15,"U19",IF(E3331&gt;13,"U15",IF(E3331&gt;11,"U13",IF(E3331&gt;0,"U11",0)))))</f>
        <v>0</v>
      </c>
      <c r="E3331" s="456">
        <f>IFERROR(IF(Table10[[#This Row],[Year]]&gt;0,$E$1-Table10[[#This Row],[Year]],0),"")</f>
        <v>0</v>
      </c>
      <c r="F3331" s="456"/>
      <c r="G3331" s="456"/>
      <c r="H3331" s="456"/>
    </row>
    <row r="3332" spans="1:8" ht="15.5">
      <c r="A3332" s="471">
        <v>4329</v>
      </c>
      <c r="B3332" s="518" t="s">
        <v>5237</v>
      </c>
      <c r="C3332" s="472" t="s">
        <v>4720</v>
      </c>
      <c r="D3332" s="456">
        <f>IF(Table10[[#This Row],[Current Age]]&gt;19,"Men's",IF(E3332&gt;15,"U19",IF(E3332&gt;13,"U15",IF(E3332&gt;11,"U13",IF(E3332&gt;0,"U11",0)))))</f>
        <v>0</v>
      </c>
      <c r="E3332" s="456">
        <f>IFERROR(IF(Table10[[#This Row],[Year]]&gt;0,$E$1-Table10[[#This Row],[Year]],0),"")</f>
        <v>0</v>
      </c>
      <c r="F3332" s="456"/>
      <c r="G3332" s="456"/>
      <c r="H3332" s="456"/>
    </row>
    <row r="3333" spans="1:8" ht="15.5">
      <c r="A3333" s="456">
        <v>4330</v>
      </c>
      <c r="B3333" s="517" t="s">
        <v>5238</v>
      </c>
      <c r="C3333" s="458" t="s">
        <v>4720</v>
      </c>
      <c r="D3333" s="456">
        <f>IF(Table10[[#This Row],[Current Age]]&gt;19,"Men's",IF(E3333&gt;15,"U19",IF(E3333&gt;13,"U15",IF(E3333&gt;11,"U13",IF(E3333&gt;0,"U11",0)))))</f>
        <v>0</v>
      </c>
      <c r="E3333" s="456">
        <f>IFERROR(IF(Table10[[#This Row],[Year]]&gt;0,$E$1-Table10[[#This Row],[Year]],0),"")</f>
        <v>0</v>
      </c>
      <c r="F3333" s="456"/>
      <c r="G3333" s="456"/>
      <c r="H3333" s="456"/>
    </row>
    <row r="3334" spans="1:8" ht="15.5">
      <c r="A3334" s="471">
        <v>4331</v>
      </c>
      <c r="B3334" s="518" t="s">
        <v>5241</v>
      </c>
      <c r="C3334" s="472" t="s">
        <v>4720</v>
      </c>
      <c r="D3334" s="456">
        <f>IF(Table10[[#This Row],[Current Age]]&gt;19,"Men's",IF(E3334&gt;15,"U19",IF(E3334&gt;13,"U15",IF(E3334&gt;11,"U13",IF(E3334&gt;0,"U11",0)))))</f>
        <v>0</v>
      </c>
      <c r="E3334" s="456">
        <f>IFERROR(IF(Table10[[#This Row],[Year]]&gt;0,$E$1-Table10[[#This Row],[Year]],0),"")</f>
        <v>0</v>
      </c>
      <c r="F3334" s="456"/>
      <c r="G3334" s="456"/>
      <c r="H3334" s="456"/>
    </row>
    <row r="3335" spans="1:8" ht="15.5">
      <c r="A3335" s="456">
        <v>4332</v>
      </c>
      <c r="B3335" s="517" t="s">
        <v>5242</v>
      </c>
      <c r="C3335" s="458" t="s">
        <v>4720</v>
      </c>
      <c r="D3335" s="456">
        <f>IF(Table10[[#This Row],[Current Age]]&gt;19,"Men's",IF(E3335&gt;15,"U19",IF(E3335&gt;13,"U15",IF(E3335&gt;11,"U13",IF(E3335&gt;0,"U11",0)))))</f>
        <v>0</v>
      </c>
      <c r="E3335" s="456">
        <f>IFERROR(IF(Table10[[#This Row],[Year]]&gt;0,$E$1-Table10[[#This Row],[Year]],0),"")</f>
        <v>0</v>
      </c>
      <c r="F3335" s="456"/>
      <c r="G3335" s="456"/>
      <c r="H3335" s="456"/>
    </row>
    <row r="3336" spans="1:8" ht="15.5">
      <c r="A3336" s="471">
        <v>4333</v>
      </c>
      <c r="B3336" s="518" t="s">
        <v>5243</v>
      </c>
      <c r="C3336" s="472" t="s">
        <v>4720</v>
      </c>
      <c r="D3336" s="456">
        <f>IF(Table10[[#This Row],[Current Age]]&gt;19,"Men's",IF(E3336&gt;15,"U19",IF(E3336&gt;13,"U15",IF(E3336&gt;11,"U13",IF(E3336&gt;0,"U11",0)))))</f>
        <v>0</v>
      </c>
      <c r="E3336" s="456">
        <f>IFERROR(IF(Table10[[#This Row],[Year]]&gt;0,$E$1-Table10[[#This Row],[Year]],0),"")</f>
        <v>0</v>
      </c>
      <c r="F3336" s="456"/>
      <c r="G3336" s="456"/>
      <c r="H3336" s="456"/>
    </row>
    <row r="3337" spans="1:8" ht="15.5">
      <c r="A3337" s="456">
        <v>4334</v>
      </c>
      <c r="B3337" s="517" t="s">
        <v>5244</v>
      </c>
      <c r="C3337" s="458" t="s">
        <v>4720</v>
      </c>
      <c r="D3337" s="456">
        <f>IF(Table10[[#This Row],[Current Age]]&gt;19,"Men's",IF(E3337&gt;15,"U19",IF(E3337&gt;13,"U15",IF(E3337&gt;11,"U13",IF(E3337&gt;0,"U11",0)))))</f>
        <v>0</v>
      </c>
      <c r="E3337" s="456">
        <f>IFERROR(IF(Table10[[#This Row],[Year]]&gt;0,$E$1-Table10[[#This Row],[Year]],0),"")</f>
        <v>0</v>
      </c>
      <c r="F3337" s="456"/>
      <c r="G3337" s="456"/>
      <c r="H3337" s="456"/>
    </row>
    <row r="3338" spans="1:8" ht="15.5">
      <c r="A3338" s="471">
        <v>4335</v>
      </c>
      <c r="B3338" s="518" t="s">
        <v>5245</v>
      </c>
      <c r="C3338" s="472" t="s">
        <v>4720</v>
      </c>
      <c r="D3338" s="456">
        <f>IF(Table10[[#This Row],[Current Age]]&gt;19,"Men's",IF(E3338&gt;15,"U19",IF(E3338&gt;13,"U15",IF(E3338&gt;11,"U13",IF(E3338&gt;0,"U11",0)))))</f>
        <v>0</v>
      </c>
      <c r="E3338" s="456">
        <f>IFERROR(IF(Table10[[#This Row],[Year]]&gt;0,$E$1-Table10[[#This Row],[Year]],0),"")</f>
        <v>0</v>
      </c>
      <c r="F3338" s="456"/>
      <c r="G3338" s="456"/>
      <c r="H3338" s="456"/>
    </row>
    <row r="3339" spans="1:8" ht="15.5">
      <c r="A3339" s="456">
        <v>4336</v>
      </c>
      <c r="B3339" s="517" t="s">
        <v>5246</v>
      </c>
      <c r="C3339" s="458" t="s">
        <v>4720</v>
      </c>
      <c r="D3339" s="456">
        <f>IF(Table10[[#This Row],[Current Age]]&gt;19,"Men's",IF(E3339&gt;15,"U19",IF(E3339&gt;13,"U15",IF(E3339&gt;11,"U13",IF(E3339&gt;0,"U11",0)))))</f>
        <v>0</v>
      </c>
      <c r="E3339" s="456">
        <f>IFERROR(IF(Table10[[#This Row],[Year]]&gt;0,$E$1-Table10[[#This Row],[Year]],0),"")</f>
        <v>0</v>
      </c>
      <c r="F3339" s="456"/>
      <c r="G3339" s="456"/>
      <c r="H3339" s="456"/>
    </row>
    <row r="3340" spans="1:8">
      <c r="A3340" s="471">
        <v>4337</v>
      </c>
      <c r="B3340" s="493" t="s">
        <v>5292</v>
      </c>
      <c r="C3340" s="472" t="s">
        <v>4552</v>
      </c>
      <c r="D3340" s="456" t="str">
        <f>IF(Table10[[#This Row],[Current Age]]&gt;19,"Men's",IF(E3340&gt;15,"U19",IF(E3340&gt;13,"U15",IF(E3340&gt;11,"U13",IF(E3340&gt;0,"U11",0)))))</f>
        <v>U15</v>
      </c>
      <c r="E3340" s="456">
        <f>IFERROR(IF(Table10[[#This Row],[Year]]&gt;0,$E$1-Table10[[#This Row],[Year]],0),"")</f>
        <v>14</v>
      </c>
      <c r="F3340" s="456">
        <v>2011</v>
      </c>
      <c r="G3340" s="456">
        <v>2</v>
      </c>
      <c r="H3340" s="456">
        <v>15</v>
      </c>
    </row>
    <row r="3341" spans="1:8">
      <c r="A3341" s="456">
        <v>4338</v>
      </c>
      <c r="B3341" s="469" t="s">
        <v>5293</v>
      </c>
      <c r="C3341" s="458" t="s">
        <v>4552</v>
      </c>
      <c r="D3341" s="456" t="str">
        <f>IF(Table10[[#This Row],[Current Age]]&gt;19,"Men's",IF(E3341&gt;15,"U19",IF(E3341&gt;13,"U15",IF(E3341&gt;11,"U13",IF(E3341&gt;0,"U11",0)))))</f>
        <v>Men's</v>
      </c>
      <c r="E3341" s="456">
        <f>IFERROR(IF(Table10[[#This Row],[Year]]&gt;0,$E$1-Table10[[#This Row],[Year]],0),"")</f>
        <v>22</v>
      </c>
      <c r="F3341" s="456">
        <v>2003</v>
      </c>
      <c r="G3341" s="456">
        <v>8</v>
      </c>
      <c r="H3341" s="456">
        <v>27</v>
      </c>
    </row>
    <row r="3342" spans="1:8">
      <c r="A3342" s="471">
        <v>4339</v>
      </c>
      <c r="B3342" s="493" t="s">
        <v>5294</v>
      </c>
      <c r="C3342" s="472" t="s">
        <v>4552</v>
      </c>
      <c r="D3342" s="456" t="str">
        <f>IF(Table10[[#This Row],[Current Age]]&gt;19,"Men's",IF(E3342&gt;15,"U19",IF(E3342&gt;13,"U15",IF(E3342&gt;11,"U13",IF(E3342&gt;0,"U11",0)))))</f>
        <v>U11</v>
      </c>
      <c r="E3342" s="456">
        <f>IFERROR(IF(Table10[[#This Row],[Year]]&gt;0,$E$1-Table10[[#This Row],[Year]],0),"")</f>
        <v>8</v>
      </c>
      <c r="F3342" s="456">
        <v>2017</v>
      </c>
      <c r="G3342" s="456">
        <v>4</v>
      </c>
      <c r="H3342" s="456">
        <v>21</v>
      </c>
    </row>
    <row r="3343" spans="1:8">
      <c r="A3343" s="456">
        <v>4340</v>
      </c>
      <c r="B3343" s="469" t="s">
        <v>5295</v>
      </c>
      <c r="C3343" s="458" t="s">
        <v>4552</v>
      </c>
      <c r="D3343" s="456" t="str">
        <f>IF(Table10[[#This Row],[Current Age]]&gt;19,"Men's",IF(E3343&gt;15,"U19",IF(E3343&gt;13,"U15",IF(E3343&gt;11,"U13",IF(E3343&gt;0,"U11",0)))))</f>
        <v>U19</v>
      </c>
      <c r="E3343" s="456">
        <f>IFERROR(IF(Table10[[#This Row],[Year]]&gt;0,$E$1-Table10[[#This Row],[Year]],0),"")</f>
        <v>18</v>
      </c>
      <c r="F3343" s="456">
        <v>2007</v>
      </c>
      <c r="G3343" s="456">
        <v>9</v>
      </c>
      <c r="H3343" s="456">
        <v>17</v>
      </c>
    </row>
    <row r="3344" spans="1:8">
      <c r="A3344" s="471">
        <v>4341</v>
      </c>
      <c r="B3344" s="493" t="s">
        <v>5296</v>
      </c>
      <c r="C3344" s="472" t="s">
        <v>4552</v>
      </c>
      <c r="D3344" s="456" t="str">
        <f>IF(Table10[[#This Row],[Current Age]]&gt;19,"Men's",IF(E3344&gt;15,"U19",IF(E3344&gt;13,"U15",IF(E3344&gt;11,"U13",IF(E3344&gt;0,"U11",0)))))</f>
        <v>U15</v>
      </c>
      <c r="E3344" s="456">
        <f>IFERROR(IF(Table10[[#This Row],[Year]]&gt;0,$E$1-Table10[[#This Row],[Year]],0),"")</f>
        <v>15</v>
      </c>
      <c r="F3344" s="456">
        <v>2010</v>
      </c>
      <c r="G3344" s="456">
        <v>6</v>
      </c>
      <c r="H3344" s="456">
        <v>19</v>
      </c>
    </row>
    <row r="3345" spans="1:8">
      <c r="A3345" s="456">
        <v>4342</v>
      </c>
      <c r="B3345" s="469" t="s">
        <v>5297</v>
      </c>
      <c r="C3345" s="458" t="s">
        <v>4552</v>
      </c>
      <c r="D3345" s="456" t="str">
        <f>IF(Table10[[#This Row],[Current Age]]&gt;19,"Men's",IF(E3345&gt;15,"U19",IF(E3345&gt;13,"U15",IF(E3345&gt;11,"U13",IF(E3345&gt;0,"U11",0)))))</f>
        <v>Men's</v>
      </c>
      <c r="E3345" s="456">
        <f>IFERROR(IF(Table10[[#This Row],[Year]]&gt;0,$E$1-Table10[[#This Row],[Year]],0),"")</f>
        <v>48</v>
      </c>
      <c r="F3345" s="456">
        <v>1977</v>
      </c>
      <c r="G3345" s="456">
        <v>12</v>
      </c>
      <c r="H3345" s="456">
        <v>30</v>
      </c>
    </row>
    <row r="3346" spans="1:8">
      <c r="A3346" s="471">
        <v>4343</v>
      </c>
      <c r="B3346" s="493" t="s">
        <v>5298</v>
      </c>
      <c r="C3346" s="472" t="s">
        <v>4552</v>
      </c>
      <c r="D3346" s="456" t="str">
        <f>IF(Table10[[#This Row],[Current Age]]&gt;19,"Men's",IF(E3346&gt;15,"U19",IF(E3346&gt;13,"U15",IF(E3346&gt;11,"U13",IF(E3346&gt;0,"U11",0)))))</f>
        <v>Men's</v>
      </c>
      <c r="E3346" s="456">
        <f>IFERROR(IF(Table10[[#This Row],[Year]]&gt;0,$E$1-Table10[[#This Row],[Year]],0),"")</f>
        <v>48</v>
      </c>
      <c r="F3346" s="456">
        <v>1977</v>
      </c>
      <c r="G3346" s="456">
        <v>4</v>
      </c>
      <c r="H3346" s="456">
        <v>15</v>
      </c>
    </row>
    <row r="3347" spans="1:8">
      <c r="A3347" s="456">
        <v>4344</v>
      </c>
      <c r="B3347" s="469" t="s">
        <v>5299</v>
      </c>
      <c r="C3347" s="458" t="s">
        <v>4552</v>
      </c>
      <c r="D3347" s="456" t="str">
        <f>IF(Table10[[#This Row],[Current Age]]&gt;19,"Men's",IF(E3347&gt;15,"U19",IF(E3347&gt;13,"U15",IF(E3347&gt;11,"U13",IF(E3347&gt;0,"U11",0)))))</f>
        <v>Men's</v>
      </c>
      <c r="E3347" s="456">
        <f>IFERROR(IF(Table10[[#This Row],[Year]]&gt;0,$E$1-Table10[[#This Row],[Year]],0),"")</f>
        <v>40</v>
      </c>
      <c r="F3347" s="456">
        <v>1985</v>
      </c>
      <c r="G3347" s="456">
        <v>3</v>
      </c>
      <c r="H3347" s="456">
        <v>17</v>
      </c>
    </row>
    <row r="3348" spans="1:8">
      <c r="A3348" s="471">
        <v>4345</v>
      </c>
      <c r="B3348" s="493" t="s">
        <v>5300</v>
      </c>
      <c r="C3348" s="472" t="s">
        <v>4552</v>
      </c>
      <c r="D3348" s="456" t="str">
        <f>IF(Table10[[#This Row],[Current Age]]&gt;19,"Men's",IF(E3348&gt;15,"U19",IF(E3348&gt;13,"U15",IF(E3348&gt;11,"U13",IF(E3348&gt;0,"U11",0)))))</f>
        <v>Men's</v>
      </c>
      <c r="E3348" s="456">
        <f>IFERROR(IF(Table10[[#This Row],[Year]]&gt;0,$E$1-Table10[[#This Row],[Year]],0),"")</f>
        <v>48</v>
      </c>
      <c r="F3348" s="456">
        <v>1977</v>
      </c>
      <c r="G3348" s="456">
        <v>3</v>
      </c>
      <c r="H3348" s="456">
        <v>31</v>
      </c>
    </row>
    <row r="3349" spans="1:8">
      <c r="A3349" s="456">
        <v>4346</v>
      </c>
      <c r="B3349" s="469" t="s">
        <v>5301</v>
      </c>
      <c r="C3349" s="458" t="s">
        <v>4552</v>
      </c>
      <c r="D3349" s="456" t="str">
        <f>IF(Table10[[#This Row],[Current Age]]&gt;19,"Men's",IF(E3349&gt;15,"U19",IF(E3349&gt;13,"U15",IF(E3349&gt;11,"U13",IF(E3349&gt;0,"U11",0)))))</f>
        <v>U15</v>
      </c>
      <c r="E3349" s="456">
        <f>IFERROR(IF(Table10[[#This Row],[Year]]&gt;0,$E$1-Table10[[#This Row],[Year]],0),"")</f>
        <v>14</v>
      </c>
      <c r="F3349" s="456">
        <v>2011</v>
      </c>
      <c r="G3349" s="456">
        <v>1</v>
      </c>
      <c r="H3349" s="456">
        <v>3</v>
      </c>
    </row>
    <row r="3350" spans="1:8">
      <c r="A3350" s="471">
        <v>4347</v>
      </c>
      <c r="B3350" s="493" t="s">
        <v>5302</v>
      </c>
      <c r="C3350" s="472" t="s">
        <v>4552</v>
      </c>
      <c r="D3350" s="456" t="str">
        <f>IF(Table10[[#This Row],[Current Age]]&gt;19,"Men's",IF(E3350&gt;15,"U19",IF(E3350&gt;13,"U15",IF(E3350&gt;11,"U13",IF(E3350&gt;0,"U11",0)))))</f>
        <v>U11</v>
      </c>
      <c r="E3350" s="456">
        <f>IFERROR(IF(Table10[[#This Row],[Year]]&gt;0,$E$1-Table10[[#This Row],[Year]],0),"")</f>
        <v>11</v>
      </c>
      <c r="F3350" s="456">
        <v>2014</v>
      </c>
      <c r="G3350" s="456">
        <v>1</v>
      </c>
      <c r="H3350" s="456">
        <v>6</v>
      </c>
    </row>
    <row r="3351" spans="1:8">
      <c r="A3351" s="456">
        <v>4348</v>
      </c>
      <c r="B3351" s="469" t="s">
        <v>5303</v>
      </c>
      <c r="C3351" s="458" t="s">
        <v>4552</v>
      </c>
      <c r="D3351" s="456" t="str">
        <f>IF(Table10[[#This Row],[Current Age]]&gt;19,"Men's",IF(E3351&gt;15,"U19",IF(E3351&gt;13,"U15",IF(E3351&gt;11,"U13",IF(E3351&gt;0,"U11",0)))))</f>
        <v>U15</v>
      </c>
      <c r="E3351" s="456">
        <f>IFERROR(IF(Table10[[#This Row],[Year]]&gt;0,$E$1-Table10[[#This Row],[Year]],0),"")</f>
        <v>14</v>
      </c>
      <c r="F3351" s="456">
        <v>2011</v>
      </c>
      <c r="G3351" s="456">
        <v>2</v>
      </c>
      <c r="H3351" s="456">
        <v>4</v>
      </c>
    </row>
    <row r="3352" spans="1:8">
      <c r="A3352" s="471">
        <v>4349</v>
      </c>
      <c r="B3352" s="493" t="s">
        <v>5304</v>
      </c>
      <c r="C3352" s="472" t="s">
        <v>4552</v>
      </c>
      <c r="D3352" s="456" t="str">
        <f>IF(Table10[[#This Row],[Current Age]]&gt;19,"Men's",IF(E3352&gt;15,"U19",IF(E3352&gt;13,"U15",IF(E3352&gt;11,"U13",IF(E3352&gt;0,"U11",0)))))</f>
        <v>U13</v>
      </c>
      <c r="E3352" s="456">
        <f>IFERROR(IF(Table10[[#This Row],[Year]]&gt;0,$E$1-Table10[[#This Row],[Year]],0),"")</f>
        <v>12</v>
      </c>
      <c r="F3352" s="456">
        <v>2013</v>
      </c>
      <c r="G3352" s="456">
        <v>8</v>
      </c>
      <c r="H3352" s="456">
        <v>18</v>
      </c>
    </row>
    <row r="3353" spans="1:8">
      <c r="A3353" s="456">
        <v>4350</v>
      </c>
      <c r="B3353" s="469" t="s">
        <v>5305</v>
      </c>
      <c r="C3353" s="458" t="s">
        <v>4552</v>
      </c>
      <c r="D3353" s="456" t="str">
        <f>IF(Table10[[#This Row],[Current Age]]&gt;19,"Men's",IF(E3353&gt;15,"U19",IF(E3353&gt;13,"U15",IF(E3353&gt;11,"U13",IF(E3353&gt;0,"U11",0)))))</f>
        <v>U13</v>
      </c>
      <c r="E3353" s="456">
        <f>IFERROR(IF(Table10[[#This Row],[Year]]&gt;0,$E$1-Table10[[#This Row],[Year]],0),"")</f>
        <v>12</v>
      </c>
      <c r="F3353" s="456">
        <v>2013</v>
      </c>
      <c r="G3353" s="456">
        <v>10</v>
      </c>
      <c r="H3353" s="456">
        <v>24</v>
      </c>
    </row>
    <row r="3354" spans="1:8">
      <c r="A3354" s="471">
        <v>4351</v>
      </c>
      <c r="B3354" s="493" t="s">
        <v>5306</v>
      </c>
      <c r="C3354" s="472" t="s">
        <v>4552</v>
      </c>
      <c r="D3354" s="456" t="str">
        <f>IF(Table10[[#This Row],[Current Age]]&gt;19,"Men's",IF(E3354&gt;15,"U19",IF(E3354&gt;13,"U15",IF(E3354&gt;11,"U13",IF(E3354&gt;0,"U11",0)))))</f>
        <v>Men's</v>
      </c>
      <c r="E3354" s="456">
        <f>IFERROR(IF(Table10[[#This Row],[Year]]&gt;0,$E$1-Table10[[#This Row],[Year]],0),"")</f>
        <v>37</v>
      </c>
      <c r="F3354" s="456">
        <v>1988</v>
      </c>
      <c r="G3354" s="456">
        <v>5</v>
      </c>
      <c r="H3354" s="456">
        <v>17</v>
      </c>
    </row>
    <row r="3355" spans="1:8">
      <c r="A3355" s="456">
        <v>4352</v>
      </c>
      <c r="B3355" s="469" t="s">
        <v>5307</v>
      </c>
      <c r="C3355" s="458" t="s">
        <v>4552</v>
      </c>
      <c r="D3355" s="456" t="str">
        <f>IF(Table10[[#This Row],[Current Age]]&gt;19,"Men's",IF(E3355&gt;15,"U19",IF(E3355&gt;13,"U15",IF(E3355&gt;11,"U13",IF(E3355&gt;0,"U11",0)))))</f>
        <v>U19</v>
      </c>
      <c r="E3355" s="456">
        <f>IFERROR(IF(Table10[[#This Row],[Year]]&gt;0,$E$1-Table10[[#This Row],[Year]],0),"")</f>
        <v>17</v>
      </c>
      <c r="F3355" s="456">
        <v>2008</v>
      </c>
      <c r="G3355" s="456">
        <v>7</v>
      </c>
      <c r="H3355" s="456">
        <v>30</v>
      </c>
    </row>
    <row r="3356" spans="1:8">
      <c r="A3356" s="471">
        <v>4353</v>
      </c>
      <c r="B3356" s="493" t="s">
        <v>5308</v>
      </c>
      <c r="C3356" s="472" t="s">
        <v>4552</v>
      </c>
      <c r="D3356" s="456" t="str">
        <f>IF(Table10[[#This Row],[Current Age]]&gt;19,"Men's",IF(E3356&gt;15,"U19",IF(E3356&gt;13,"U15",IF(E3356&gt;11,"U13",IF(E3356&gt;0,"U11",0)))))</f>
        <v>U15</v>
      </c>
      <c r="E3356" s="456">
        <f>IFERROR(IF(Table10[[#This Row],[Year]]&gt;0,$E$1-Table10[[#This Row],[Year]],0),"")</f>
        <v>14</v>
      </c>
      <c r="F3356" s="456">
        <v>2011</v>
      </c>
      <c r="G3356" s="456">
        <v>11</v>
      </c>
      <c r="H3356" s="456">
        <v>21</v>
      </c>
    </row>
    <row r="3357" spans="1:8">
      <c r="A3357" s="456">
        <v>4354</v>
      </c>
      <c r="B3357" s="469" t="s">
        <v>5309</v>
      </c>
      <c r="C3357" s="458" t="s">
        <v>4552</v>
      </c>
      <c r="D3357" s="456" t="str">
        <f>IF(Table10[[#This Row],[Current Age]]&gt;19,"Men's",IF(E3357&gt;15,"U19",IF(E3357&gt;13,"U15",IF(E3357&gt;11,"U13",IF(E3357&gt;0,"U11",0)))))</f>
        <v>U11</v>
      </c>
      <c r="E3357" s="456">
        <f>IFERROR(IF(Table10[[#This Row],[Year]]&gt;0,$E$1-Table10[[#This Row],[Year]],0),"")</f>
        <v>11</v>
      </c>
      <c r="F3357" s="456">
        <v>2014</v>
      </c>
      <c r="G3357" s="456">
        <v>5</v>
      </c>
      <c r="H3357" s="456">
        <v>12</v>
      </c>
    </row>
    <row r="3358" spans="1:8">
      <c r="A3358" s="471">
        <v>4355</v>
      </c>
      <c r="B3358" s="493" t="s">
        <v>5310</v>
      </c>
      <c r="C3358" s="472" t="s">
        <v>4552</v>
      </c>
      <c r="D3358" s="456" t="str">
        <f>IF(Table10[[#This Row],[Current Age]]&gt;19,"Men's",IF(E3358&gt;15,"U19",IF(E3358&gt;13,"U15",IF(E3358&gt;11,"U13",IF(E3358&gt;0,"U11",0)))))</f>
        <v>Men's</v>
      </c>
      <c r="E3358" s="456">
        <f>IFERROR(IF(Table10[[#This Row],[Year]]&gt;0,$E$1-Table10[[#This Row],[Year]],0),"")</f>
        <v>37</v>
      </c>
      <c r="F3358" s="456">
        <v>1988</v>
      </c>
      <c r="G3358" s="456">
        <v>9</v>
      </c>
      <c r="H3358" s="456">
        <v>30</v>
      </c>
    </row>
    <row r="3359" spans="1:8">
      <c r="A3359" s="456">
        <v>4356</v>
      </c>
      <c r="B3359" s="469" t="s">
        <v>5311</v>
      </c>
      <c r="C3359" s="458" t="s">
        <v>4552</v>
      </c>
      <c r="D3359" s="456" t="str">
        <f>IF(Table10[[#This Row],[Current Age]]&gt;19,"Men's",IF(E3359&gt;15,"U19",IF(E3359&gt;13,"U15",IF(E3359&gt;11,"U13",IF(E3359&gt;0,"U11",0)))))</f>
        <v>Men's</v>
      </c>
      <c r="E3359" s="456">
        <f>IFERROR(IF(Table10[[#This Row],[Year]]&gt;0,$E$1-Table10[[#This Row],[Year]],0),"")</f>
        <v>44</v>
      </c>
      <c r="F3359" s="456">
        <v>1981</v>
      </c>
      <c r="G3359" s="456">
        <v>9</v>
      </c>
      <c r="H3359" s="456">
        <v>15</v>
      </c>
    </row>
    <row r="3360" spans="1:8">
      <c r="A3360" s="471">
        <v>4357</v>
      </c>
      <c r="B3360" s="493" t="s">
        <v>5312</v>
      </c>
      <c r="C3360" s="472" t="s">
        <v>4552</v>
      </c>
      <c r="D3360" s="456" t="str">
        <f>IF(Table10[[#This Row],[Current Age]]&gt;19,"Men's",IF(E3360&gt;15,"U19",IF(E3360&gt;13,"U15",IF(E3360&gt;11,"U13",IF(E3360&gt;0,"U11",0)))))</f>
        <v>U11</v>
      </c>
      <c r="E3360" s="456">
        <f>IFERROR(IF(Table10[[#This Row],[Year]]&gt;0,$E$1-Table10[[#This Row],[Year]],0),"")</f>
        <v>11</v>
      </c>
      <c r="F3360" s="456">
        <v>2014</v>
      </c>
      <c r="G3360" s="456">
        <v>2</v>
      </c>
      <c r="H3360" s="456">
        <v>24</v>
      </c>
    </row>
    <row r="3361" spans="1:8">
      <c r="A3361" s="456">
        <v>4358</v>
      </c>
      <c r="B3361" s="469" t="s">
        <v>5313</v>
      </c>
      <c r="C3361" s="458" t="s">
        <v>4552</v>
      </c>
      <c r="D3361" s="456" t="str">
        <f>IF(Table10[[#This Row],[Current Age]]&gt;19,"Men's",IF(E3361&gt;15,"U19",IF(E3361&gt;13,"U15",IF(E3361&gt;11,"U13",IF(E3361&gt;0,"U11",0)))))</f>
        <v>Men's</v>
      </c>
      <c r="E3361" s="456">
        <f>IFERROR(IF(Table10[[#This Row],[Year]]&gt;0,$E$1-Table10[[#This Row],[Year]],0),"")</f>
        <v>47</v>
      </c>
      <c r="F3361" s="456">
        <v>1978</v>
      </c>
      <c r="G3361" s="456">
        <v>7</v>
      </c>
      <c r="H3361" s="456">
        <v>27</v>
      </c>
    </row>
    <row r="3362" spans="1:8">
      <c r="A3362" s="471">
        <v>4359</v>
      </c>
      <c r="B3362" s="493" t="s">
        <v>5314</v>
      </c>
      <c r="C3362" s="472" t="s">
        <v>4552</v>
      </c>
      <c r="D3362" s="456" t="str">
        <f>IF(Table10[[#This Row],[Current Age]]&gt;19,"Men's",IF(E3362&gt;15,"U19",IF(E3362&gt;13,"U15",IF(E3362&gt;11,"U13",IF(E3362&gt;0,"U11",0)))))</f>
        <v>Men's</v>
      </c>
      <c r="E3362" s="456">
        <f>IFERROR(IF(Table10[[#This Row],[Year]]&gt;0,$E$1-Table10[[#This Row],[Year]],0),"")</f>
        <v>26</v>
      </c>
      <c r="F3362" s="456">
        <v>1999</v>
      </c>
      <c r="G3362" s="456">
        <v>8</v>
      </c>
      <c r="H3362" s="456">
        <v>2</v>
      </c>
    </row>
    <row r="3363" spans="1:8">
      <c r="A3363" s="456">
        <v>4360</v>
      </c>
      <c r="B3363" s="469" t="s">
        <v>5315</v>
      </c>
      <c r="C3363" s="458" t="s">
        <v>4552</v>
      </c>
      <c r="D3363" s="456" t="str">
        <f>IF(Table10[[#This Row],[Current Age]]&gt;19,"Men's",IF(E3363&gt;15,"U19",IF(E3363&gt;13,"U15",IF(E3363&gt;11,"U13",IF(E3363&gt;0,"U11",0)))))</f>
        <v>U15</v>
      </c>
      <c r="E3363" s="456">
        <f>IFERROR(IF(Table10[[#This Row],[Year]]&gt;0,$E$1-Table10[[#This Row],[Year]],0),"")</f>
        <v>14</v>
      </c>
      <c r="F3363" s="456">
        <v>2011</v>
      </c>
      <c r="G3363" s="456">
        <v>10</v>
      </c>
      <c r="H3363" s="456">
        <v>23</v>
      </c>
    </row>
    <row r="3364" spans="1:8">
      <c r="A3364" s="471">
        <v>4361</v>
      </c>
      <c r="B3364" s="493" t="s">
        <v>5316</v>
      </c>
      <c r="C3364" s="472" t="s">
        <v>4552</v>
      </c>
      <c r="D3364" s="456" t="str">
        <f>IF(Table10[[#This Row],[Current Age]]&gt;19,"Men's",IF(E3364&gt;15,"U19",IF(E3364&gt;13,"U15",IF(E3364&gt;11,"U13",IF(E3364&gt;0,"U11",0)))))</f>
        <v>U13</v>
      </c>
      <c r="E3364" s="456">
        <f>IFERROR(IF(Table10[[#This Row],[Year]]&gt;0,$E$1-Table10[[#This Row],[Year]],0),"")</f>
        <v>12</v>
      </c>
      <c r="F3364" s="456">
        <v>2013</v>
      </c>
      <c r="G3364" s="456">
        <v>2</v>
      </c>
      <c r="H3364" s="456">
        <v>4</v>
      </c>
    </row>
    <row r="3365" spans="1:8">
      <c r="A3365" s="456">
        <v>4362</v>
      </c>
      <c r="B3365" s="469" t="s">
        <v>5317</v>
      </c>
      <c r="C3365" s="458" t="s">
        <v>4552</v>
      </c>
      <c r="D3365" s="456" t="str">
        <f>IF(Table10[[#This Row],[Current Age]]&gt;19,"Men's",IF(E3365&gt;15,"U19",IF(E3365&gt;13,"U15",IF(E3365&gt;11,"U13",IF(E3365&gt;0,"U11",0)))))</f>
        <v>U19</v>
      </c>
      <c r="E3365" s="456">
        <f>IFERROR(IF(Table10[[#This Row],[Year]]&gt;0,$E$1-Table10[[#This Row],[Year]],0),"")</f>
        <v>16</v>
      </c>
      <c r="F3365" s="456">
        <v>2009</v>
      </c>
      <c r="G3365" s="456">
        <v>8</v>
      </c>
      <c r="H3365" s="456">
        <v>19</v>
      </c>
    </row>
    <row r="3366" spans="1:8">
      <c r="A3366" s="471">
        <v>4363</v>
      </c>
      <c r="B3366" s="493" t="s">
        <v>5318</v>
      </c>
      <c r="C3366" s="472" t="s">
        <v>4552</v>
      </c>
      <c r="D3366" s="456" t="str">
        <f>IF(Table10[[#This Row],[Current Age]]&gt;19,"Men's",IF(E3366&gt;15,"U19",IF(E3366&gt;13,"U15",IF(E3366&gt;11,"U13",IF(E3366&gt;0,"U11",0)))))</f>
        <v>U11</v>
      </c>
      <c r="E3366" s="456">
        <f>IFERROR(IF(Table10[[#This Row],[Year]]&gt;0,$E$1-Table10[[#This Row],[Year]],0),"")</f>
        <v>8</v>
      </c>
      <c r="F3366" s="456">
        <v>2017</v>
      </c>
      <c r="G3366" s="456">
        <v>1</v>
      </c>
      <c r="H3366" s="456">
        <v>7</v>
      </c>
    </row>
    <row r="3367" spans="1:8">
      <c r="A3367" s="456">
        <v>4364</v>
      </c>
      <c r="B3367" s="469" t="s">
        <v>5319</v>
      </c>
      <c r="C3367" s="458" t="s">
        <v>4552</v>
      </c>
      <c r="D3367" s="456" t="str">
        <f>IF(Table10[[#This Row],[Current Age]]&gt;19,"Men's",IF(E3367&gt;15,"U19",IF(E3367&gt;13,"U15",IF(E3367&gt;11,"U13",IF(E3367&gt;0,"U11",0)))))</f>
        <v>U13</v>
      </c>
      <c r="E3367" s="456">
        <f>IFERROR(IF(Table10[[#This Row],[Year]]&gt;0,$E$1-Table10[[#This Row],[Year]],0),"")</f>
        <v>12</v>
      </c>
      <c r="F3367" s="456">
        <v>2013</v>
      </c>
      <c r="G3367" s="456">
        <v>1</v>
      </c>
      <c r="H3367" s="456">
        <v>15</v>
      </c>
    </row>
    <row r="3368" spans="1:8">
      <c r="A3368" s="471">
        <v>4365</v>
      </c>
      <c r="B3368" s="493" t="s">
        <v>5320</v>
      </c>
      <c r="C3368" s="472" t="s">
        <v>4552</v>
      </c>
      <c r="D3368" s="456" t="str">
        <f>IF(Table10[[#This Row],[Current Age]]&gt;19,"Men's",IF(E3368&gt;15,"U19",IF(E3368&gt;13,"U15",IF(E3368&gt;11,"U13",IF(E3368&gt;0,"U11",0)))))</f>
        <v>Men's</v>
      </c>
      <c r="E3368" s="456">
        <f>IFERROR(IF(Table10[[#This Row],[Year]]&gt;0,$E$1-Table10[[#This Row],[Year]],0),"")</f>
        <v>41</v>
      </c>
      <c r="F3368" s="456">
        <v>1984</v>
      </c>
      <c r="G3368" s="456">
        <v>10</v>
      </c>
      <c r="H3368" s="456">
        <v>22</v>
      </c>
    </row>
    <row r="3369" spans="1:8">
      <c r="A3369" s="456">
        <v>4366</v>
      </c>
      <c r="B3369" s="469" t="s">
        <v>5321</v>
      </c>
      <c r="C3369" s="458" t="s">
        <v>4552</v>
      </c>
      <c r="D3369" s="456" t="str">
        <f>IF(Table10[[#This Row],[Current Age]]&gt;19,"Men's",IF(E3369&gt;15,"U19",IF(E3369&gt;13,"U15",IF(E3369&gt;11,"U13",IF(E3369&gt;0,"U11",0)))))</f>
        <v>Men's</v>
      </c>
      <c r="E3369" s="456">
        <f>IFERROR(IF(Table10[[#This Row],[Year]]&gt;0,$E$1-Table10[[#This Row],[Year]],0),"")</f>
        <v>25</v>
      </c>
      <c r="F3369" s="456">
        <v>2000</v>
      </c>
      <c r="G3369" s="456">
        <v>11</v>
      </c>
      <c r="H3369" s="456">
        <v>15</v>
      </c>
    </row>
    <row r="3370" spans="1:8">
      <c r="A3370" s="471">
        <v>4367</v>
      </c>
      <c r="B3370" s="493" t="s">
        <v>5322</v>
      </c>
      <c r="C3370" s="472" t="s">
        <v>4552</v>
      </c>
      <c r="D3370" s="456" t="str">
        <f>IF(Table10[[#This Row],[Current Age]]&gt;19,"Men's",IF(E3370&gt;15,"U19",IF(E3370&gt;13,"U15",IF(E3370&gt;11,"U13",IF(E3370&gt;0,"U11",0)))))</f>
        <v>U19</v>
      </c>
      <c r="E3370" s="456">
        <f>IFERROR(IF(Table10[[#This Row],[Year]]&gt;0,$E$1-Table10[[#This Row],[Year]],0),"")</f>
        <v>16</v>
      </c>
      <c r="F3370" s="456">
        <v>2009</v>
      </c>
      <c r="G3370" s="456">
        <v>9</v>
      </c>
      <c r="H3370" s="456">
        <v>30</v>
      </c>
    </row>
    <row r="3371" spans="1:8">
      <c r="A3371" s="456">
        <v>4368</v>
      </c>
      <c r="B3371" s="469" t="s">
        <v>5323</v>
      </c>
      <c r="C3371" s="458" t="s">
        <v>4552</v>
      </c>
      <c r="D3371" s="456" t="str">
        <f>IF(Table10[[#This Row],[Current Age]]&gt;19,"Men's",IF(E3371&gt;15,"U19",IF(E3371&gt;13,"U15",IF(E3371&gt;11,"U13",IF(E3371&gt;0,"U11",0)))))</f>
        <v>Men's</v>
      </c>
      <c r="E3371" s="456">
        <f>IFERROR(IF(Table10[[#This Row],[Year]]&gt;0,$E$1-Table10[[#This Row],[Year]],0),"")</f>
        <v>21</v>
      </c>
      <c r="F3371" s="456">
        <v>2004</v>
      </c>
      <c r="G3371" s="456">
        <v>1</v>
      </c>
      <c r="H3371" s="456">
        <v>19</v>
      </c>
    </row>
    <row r="3372" spans="1:8">
      <c r="A3372" s="471">
        <v>4369</v>
      </c>
      <c r="B3372" s="493" t="s">
        <v>5324</v>
      </c>
      <c r="C3372" s="472" t="s">
        <v>4552</v>
      </c>
      <c r="D3372" s="456" t="str">
        <f>IF(Table10[[#This Row],[Current Age]]&gt;19,"Men's",IF(E3372&gt;15,"U19",IF(E3372&gt;13,"U15",IF(E3372&gt;11,"U13",IF(E3372&gt;0,"U11",0)))))</f>
        <v>Men's</v>
      </c>
      <c r="E3372" s="456">
        <f>IFERROR(IF(Table10[[#This Row],[Year]]&gt;0,$E$1-Table10[[#This Row],[Year]],0),"")</f>
        <v>55</v>
      </c>
      <c r="F3372" s="456">
        <v>1970</v>
      </c>
      <c r="G3372" s="456">
        <v>12</v>
      </c>
      <c r="H3372" s="456">
        <v>19</v>
      </c>
    </row>
    <row r="3373" spans="1:8">
      <c r="A3373" s="456">
        <v>4370</v>
      </c>
      <c r="B3373" s="469" t="s">
        <v>5325</v>
      </c>
      <c r="C3373" s="458" t="s">
        <v>4552</v>
      </c>
      <c r="D3373" s="456" t="str">
        <f>IF(Table10[[#This Row],[Current Age]]&gt;19,"Men's",IF(E3373&gt;15,"U19",IF(E3373&gt;13,"U15",IF(E3373&gt;11,"U13",IF(E3373&gt;0,"U11",0)))))</f>
        <v>Men's</v>
      </c>
      <c r="E3373" s="456">
        <f>IFERROR(IF(Table10[[#This Row],[Year]]&gt;0,$E$1-Table10[[#This Row],[Year]],0),"")</f>
        <v>28</v>
      </c>
      <c r="F3373" s="456">
        <v>1997</v>
      </c>
      <c r="G3373" s="456">
        <v>10</v>
      </c>
      <c r="H3373" s="456">
        <v>15</v>
      </c>
    </row>
    <row r="3374" spans="1:8">
      <c r="A3374" s="471">
        <v>4371</v>
      </c>
      <c r="B3374" s="493" t="s">
        <v>5326</v>
      </c>
      <c r="C3374" s="472" t="s">
        <v>4552</v>
      </c>
      <c r="D3374" s="456" t="str">
        <f>IF(Table10[[#This Row],[Current Age]]&gt;19,"Men's",IF(E3374&gt;15,"U19",IF(E3374&gt;13,"U15",IF(E3374&gt;11,"U13",IF(E3374&gt;0,"U11",0)))))</f>
        <v>U15</v>
      </c>
      <c r="E3374" s="456">
        <f>IFERROR(IF(Table10[[#This Row],[Year]]&gt;0,$E$1-Table10[[#This Row],[Year]],0),"")</f>
        <v>14</v>
      </c>
      <c r="F3374" s="456">
        <v>2011</v>
      </c>
      <c r="G3374" s="456">
        <v>6</v>
      </c>
      <c r="H3374" s="456">
        <v>25</v>
      </c>
    </row>
    <row r="3375" spans="1:8">
      <c r="A3375" s="456">
        <v>4372</v>
      </c>
      <c r="B3375" s="469" t="s">
        <v>5327</v>
      </c>
      <c r="C3375" s="458" t="s">
        <v>4552</v>
      </c>
      <c r="D3375" s="456" t="str">
        <f>IF(Table10[[#This Row],[Current Age]]&gt;19,"Men's",IF(E3375&gt;15,"U19",IF(E3375&gt;13,"U15",IF(E3375&gt;11,"U13",IF(E3375&gt;0,"U11",0)))))</f>
        <v>U11</v>
      </c>
      <c r="E3375" s="456">
        <f>IFERROR(IF(Table10[[#This Row],[Year]]&gt;0,$E$1-Table10[[#This Row],[Year]],0),"")</f>
        <v>11</v>
      </c>
      <c r="F3375" s="456">
        <v>2014</v>
      </c>
      <c r="G3375" s="456">
        <v>3</v>
      </c>
      <c r="H3375" s="456">
        <v>20</v>
      </c>
    </row>
    <row r="3376" spans="1:8">
      <c r="A3376" s="471">
        <v>4373</v>
      </c>
      <c r="B3376" s="493" t="s">
        <v>5328</v>
      </c>
      <c r="C3376" s="472" t="s">
        <v>4552</v>
      </c>
      <c r="D3376" s="456" t="str">
        <f>IF(Table10[[#This Row],[Current Age]]&gt;19,"Men's",IF(E3376&gt;15,"U19",IF(E3376&gt;13,"U15",IF(E3376&gt;11,"U13",IF(E3376&gt;0,"U11",0)))))</f>
        <v>U11</v>
      </c>
      <c r="E3376" s="456">
        <f>IFERROR(IF(Table10[[#This Row],[Year]]&gt;0,$E$1-Table10[[#This Row],[Year]],0),"")</f>
        <v>9</v>
      </c>
      <c r="F3376" s="456">
        <v>2016</v>
      </c>
      <c r="G3376" s="456">
        <v>4</v>
      </c>
      <c r="H3376" s="456">
        <v>11</v>
      </c>
    </row>
    <row r="3377" spans="1:8">
      <c r="A3377" s="456">
        <v>4374</v>
      </c>
      <c r="B3377" s="469" t="s">
        <v>5329</v>
      </c>
      <c r="C3377" s="458" t="s">
        <v>4552</v>
      </c>
      <c r="D3377" s="456" t="str">
        <f>IF(Table10[[#This Row],[Current Age]]&gt;19,"Men's",IF(E3377&gt;15,"U19",IF(E3377&gt;13,"U15",IF(E3377&gt;11,"U13",IF(E3377&gt;0,"U11",0)))))</f>
        <v>Men's</v>
      </c>
      <c r="E3377" s="456">
        <f>IFERROR(IF(Table10[[#This Row],[Year]]&gt;0,$E$1-Table10[[#This Row],[Year]],0),"")</f>
        <v>53</v>
      </c>
      <c r="F3377" s="456">
        <v>1972</v>
      </c>
      <c r="G3377" s="456">
        <v>9</v>
      </c>
      <c r="H3377" s="456">
        <v>18</v>
      </c>
    </row>
    <row r="3378" spans="1:8">
      <c r="A3378" s="471">
        <v>4375</v>
      </c>
      <c r="B3378" s="493" t="s">
        <v>5330</v>
      </c>
      <c r="C3378" s="472" t="s">
        <v>4552</v>
      </c>
      <c r="D3378" s="456" t="str">
        <f>IF(Table10[[#This Row],[Current Age]]&gt;19,"Men's",IF(E3378&gt;15,"U19",IF(E3378&gt;13,"U15",IF(E3378&gt;11,"U13",IF(E3378&gt;0,"U11",0)))))</f>
        <v>Men's</v>
      </c>
      <c r="E3378" s="456">
        <f>IFERROR(IF(Table10[[#This Row],[Year]]&gt;0,$E$1-Table10[[#This Row],[Year]],0),"")</f>
        <v>21</v>
      </c>
      <c r="F3378" s="456">
        <v>2004</v>
      </c>
      <c r="G3378" s="456">
        <v>2</v>
      </c>
      <c r="H3378" s="456">
        <v>16</v>
      </c>
    </row>
    <row r="3379" spans="1:8">
      <c r="A3379" s="456">
        <v>4376</v>
      </c>
      <c r="B3379" s="469" t="s">
        <v>5331</v>
      </c>
      <c r="C3379" s="458" t="s">
        <v>4552</v>
      </c>
      <c r="D3379" s="456" t="str">
        <f>IF(Table10[[#This Row],[Current Age]]&gt;19,"Men's",IF(E3379&gt;15,"U19",IF(E3379&gt;13,"U15",IF(E3379&gt;11,"U13",IF(E3379&gt;0,"U11",0)))))</f>
        <v>U15</v>
      </c>
      <c r="E3379" s="456">
        <f>IFERROR(IF(Table10[[#This Row],[Year]]&gt;0,$E$1-Table10[[#This Row],[Year]],0),"")</f>
        <v>14</v>
      </c>
      <c r="F3379" s="456">
        <v>2011</v>
      </c>
      <c r="G3379" s="456">
        <v>8</v>
      </c>
      <c r="H3379" s="456">
        <v>16</v>
      </c>
    </row>
    <row r="3380" spans="1:8">
      <c r="A3380" s="471">
        <v>4377</v>
      </c>
      <c r="B3380" s="493" t="s">
        <v>5332</v>
      </c>
      <c r="C3380" s="472" t="s">
        <v>4552</v>
      </c>
      <c r="D3380" s="456" t="str">
        <f>IF(Table10[[#This Row],[Current Age]]&gt;19,"Men's",IF(E3380&gt;15,"U19",IF(E3380&gt;13,"U15",IF(E3380&gt;11,"U13",IF(E3380&gt;0,"U11",0)))))</f>
        <v>U11</v>
      </c>
      <c r="E3380" s="456">
        <f>IFERROR(IF(Table10[[#This Row],[Year]]&gt;0,$E$1-Table10[[#This Row],[Year]],0),"")</f>
        <v>9</v>
      </c>
      <c r="F3380" s="456">
        <v>2016</v>
      </c>
      <c r="G3380" s="456">
        <v>8</v>
      </c>
      <c r="H3380" s="456">
        <v>26</v>
      </c>
    </row>
    <row r="3381" spans="1:8">
      <c r="A3381" s="456">
        <v>4378</v>
      </c>
      <c r="B3381" s="511" t="s">
        <v>5334</v>
      </c>
      <c r="C3381" s="458" t="s">
        <v>4552</v>
      </c>
      <c r="D3381" s="456">
        <f>IF(Table10[[#This Row],[Current Age]]&gt;19,"Men's",IF(E3381&gt;15,"U19",IF(E3381&gt;13,"U15",IF(E3381&gt;11,"U13",IF(E3381&gt;0,"U11",0)))))</f>
        <v>0</v>
      </c>
      <c r="E3381" s="456">
        <f>IFERROR(IF(Table10[[#This Row],[Year]]&gt;0,$E$1-Table10[[#This Row],[Year]],0),"")</f>
        <v>0</v>
      </c>
      <c r="F3381" s="456"/>
      <c r="G3381" s="456"/>
      <c r="H3381" s="456"/>
    </row>
    <row r="3382" spans="1:8">
      <c r="A3382" s="471">
        <v>4379</v>
      </c>
      <c r="B3382" s="507" t="s">
        <v>5335</v>
      </c>
      <c r="C3382" s="472" t="s">
        <v>243</v>
      </c>
      <c r="D3382" s="456">
        <f>IF(Table10[[#This Row],[Current Age]]&gt;19,"Men's",IF(E3382&gt;15,"U19",IF(E3382&gt;13,"U15",IF(E3382&gt;11,"U13",IF(E3382&gt;0,"U11",0)))))</f>
        <v>0</v>
      </c>
      <c r="E3382" s="456">
        <f>IFERROR(IF(Table10[[#This Row],[Year]]&gt;0,$E$1-Table10[[#This Row],[Year]],0),"")</f>
        <v>0</v>
      </c>
      <c r="F3382" s="456"/>
      <c r="G3382" s="456"/>
      <c r="H3382" s="456"/>
    </row>
    <row r="3383" spans="1:8">
      <c r="A3383" s="456">
        <v>4380</v>
      </c>
      <c r="B3383" s="511" t="s">
        <v>5336</v>
      </c>
      <c r="C3383" s="458" t="s">
        <v>243</v>
      </c>
      <c r="D3383" s="456">
        <f>IF(Table10[[#This Row],[Current Age]]&gt;19,"Men's",IF(E3383&gt;15,"U19",IF(E3383&gt;13,"U15",IF(E3383&gt;11,"U13",IF(E3383&gt;0,"U11",0)))))</f>
        <v>0</v>
      </c>
      <c r="E3383" s="456">
        <f>IFERROR(IF(Table10[[#This Row],[Year]]&gt;0,$E$1-Table10[[#This Row],[Year]],0),"")</f>
        <v>0</v>
      </c>
      <c r="F3383" s="456"/>
      <c r="G3383" s="456"/>
      <c r="H3383" s="456"/>
    </row>
    <row r="3384" spans="1:8">
      <c r="A3384" s="474">
        <v>4381</v>
      </c>
      <c r="B3384" s="507" t="s">
        <v>5337</v>
      </c>
      <c r="C3384" s="472" t="s">
        <v>243</v>
      </c>
      <c r="D3384" s="456">
        <f>IF(Table10[[#This Row],[Current Age]]&gt;19,"Men's",IF(E3384&gt;15,"U19",IF(E3384&gt;13,"U15",IF(E3384&gt;11,"U13",IF(E3384&gt;0,"U11",0)))))</f>
        <v>0</v>
      </c>
      <c r="E3384" s="456">
        <f>IFERROR(IF(Table10[[#This Row],[Year]]&gt;0,$E$1-Table10[[#This Row],[Year]],0),"")</f>
        <v>0</v>
      </c>
      <c r="F3384" s="456"/>
      <c r="G3384" s="456"/>
      <c r="H3384" s="456"/>
    </row>
    <row r="3385" spans="1:8">
      <c r="A3385" s="456">
        <v>4382</v>
      </c>
      <c r="B3385" s="511" t="s">
        <v>5338</v>
      </c>
      <c r="C3385" s="458" t="s">
        <v>243</v>
      </c>
      <c r="D3385" s="456">
        <f>IF(Table10[[#This Row],[Current Age]]&gt;19,"Men's",IF(E3385&gt;15,"U19",IF(E3385&gt;13,"U15",IF(E3385&gt;11,"U13",IF(E3385&gt;0,"U11",0)))))</f>
        <v>0</v>
      </c>
      <c r="E3385" s="456">
        <f>IFERROR(IF(Table10[[#This Row],[Year]]&gt;0,$E$1-Table10[[#This Row],[Year]],0),"")</f>
        <v>0</v>
      </c>
      <c r="F3385" s="456"/>
      <c r="G3385" s="456"/>
      <c r="H3385" s="456"/>
    </row>
    <row r="3386" spans="1:8">
      <c r="A3386" s="471">
        <v>4383</v>
      </c>
      <c r="B3386" s="507" t="s">
        <v>5349</v>
      </c>
      <c r="C3386" s="472" t="s">
        <v>4552</v>
      </c>
      <c r="D3386" s="456">
        <f>IF(Table10[[#This Row],[Current Age]]&gt;19,"Men's",IF(E3386&gt;15,"U19",IF(E3386&gt;13,"U15",IF(E3386&gt;11,"U13",IF(E3386&gt;0,"U11",0)))))</f>
        <v>0</v>
      </c>
      <c r="E3386" s="456">
        <f>IFERROR(IF(Table10[[#This Row],[Year]]&gt;0,$E$1-Table10[[#This Row],[Year]],0),"")</f>
        <v>0</v>
      </c>
      <c r="F3386" s="456"/>
      <c r="G3386" s="456"/>
      <c r="H3386" s="456"/>
    </row>
    <row r="3387" spans="1:8">
      <c r="A3387" s="456">
        <v>4384</v>
      </c>
      <c r="B3387" s="506" t="s">
        <v>5351</v>
      </c>
      <c r="C3387" s="458" t="s">
        <v>243</v>
      </c>
      <c r="D3387" s="456">
        <f>IF(Table10[[#This Row],[Current Age]]&gt;19,"Men's",IF(E3387&gt;15,"U19",IF(E3387&gt;13,"U15",IF(E3387&gt;11,"U13",IF(E3387&gt;0,"U11",0)))))</f>
        <v>0</v>
      </c>
      <c r="E3387" s="456">
        <f>IFERROR(IF(Table10[[#This Row],[Year]]&gt;0,$E$1-Table10[[#This Row],[Year]],0),"")</f>
        <v>0</v>
      </c>
      <c r="F3387" s="456"/>
      <c r="G3387" s="456"/>
      <c r="H3387" s="456"/>
    </row>
    <row r="3388" spans="1:8">
      <c r="A3388" s="471">
        <v>4385</v>
      </c>
      <c r="B3388" s="507" t="s">
        <v>5352</v>
      </c>
      <c r="C3388" s="516" t="s">
        <v>243</v>
      </c>
      <c r="D3388" s="456">
        <f>IF(Table10[[#This Row],[Current Age]]&gt;19,"Men's",IF(E3388&gt;15,"U19",IF(E3388&gt;13,"U15",IF(E3388&gt;11,"U13",IF(E3388&gt;0,"U11",0)))))</f>
        <v>0</v>
      </c>
      <c r="E3388" s="456">
        <f>IFERROR(IF(Table10[[#This Row],[Year]]&gt;0,$E$1-Table10[[#This Row],[Year]],0),"")</f>
        <v>0</v>
      </c>
      <c r="F3388" s="456"/>
      <c r="G3388" s="456"/>
      <c r="H3388" s="456"/>
    </row>
    <row r="3389" spans="1:8">
      <c r="A3389" s="456">
        <v>4386</v>
      </c>
      <c r="B3389" s="469" t="s">
        <v>5353</v>
      </c>
      <c r="C3389" s="458" t="s">
        <v>244</v>
      </c>
      <c r="D3389" s="456">
        <f>IF(Table10[[#This Row],[Current Age]]&gt;19,"Men's",IF(E3389&gt;15,"U19",IF(E3389&gt;13,"U15",IF(E3389&gt;11,"U13",IF(E3389&gt;0,"U11",0)))))</f>
        <v>0</v>
      </c>
      <c r="E3389" s="456">
        <f>IFERROR(IF(Table10[[#This Row],[Year]]&gt;0,$E$1-Table10[[#This Row],[Year]],0),"")</f>
        <v>0</v>
      </c>
      <c r="F3389" s="456"/>
      <c r="G3389" s="456"/>
      <c r="H3389" s="456"/>
    </row>
    <row r="3390" spans="1:8">
      <c r="A3390" s="471">
        <v>4387</v>
      </c>
      <c r="B3390" s="493" t="s">
        <v>5354</v>
      </c>
      <c r="C3390" s="472" t="s">
        <v>5357</v>
      </c>
      <c r="D3390" s="456">
        <f>IF(Table10[[#This Row],[Current Age]]&gt;19,"Men's",IF(E3390&gt;15,"U19",IF(E3390&gt;13,"U15",IF(E3390&gt;11,"U13",IF(E3390&gt;0,"U11",0)))))</f>
        <v>0</v>
      </c>
      <c r="E3390" s="456">
        <f>IFERROR(IF(Table10[[#This Row],[Year]]&gt;0,$E$1-Table10[[#This Row],[Year]],0),"")</f>
        <v>0</v>
      </c>
      <c r="F3390" s="456"/>
      <c r="G3390" s="456"/>
      <c r="H3390" s="456"/>
    </row>
    <row r="3391" spans="1:8">
      <c r="A3391" s="456">
        <v>4388</v>
      </c>
      <c r="B3391" s="469" t="s">
        <v>5355</v>
      </c>
      <c r="C3391" s="458" t="s">
        <v>4720</v>
      </c>
      <c r="D3391" s="456">
        <f>IF(Table10[[#This Row],[Current Age]]&gt;19,"Men's",IF(E3391&gt;15,"U19",IF(E3391&gt;13,"U15",IF(E3391&gt;11,"U13",IF(E3391&gt;0,"U11",0)))))</f>
        <v>0</v>
      </c>
      <c r="E3391" s="456">
        <f>IFERROR(IF(Table10[[#This Row],[Year]]&gt;0,$E$1-Table10[[#This Row],[Year]],0),"")</f>
        <v>0</v>
      </c>
      <c r="F3391" s="456"/>
      <c r="G3391" s="456"/>
      <c r="H3391" s="456"/>
    </row>
    <row r="3392" spans="1:8">
      <c r="A3392" s="471">
        <v>4389</v>
      </c>
      <c r="B3392" s="493" t="s">
        <v>5356</v>
      </c>
      <c r="C3392" s="472" t="s">
        <v>5357</v>
      </c>
      <c r="D3392" s="456">
        <f>IF(Table10[[#This Row],[Current Age]]&gt;19,"Men's",IF(E3392&gt;15,"U19",IF(E3392&gt;13,"U15",IF(E3392&gt;11,"U13",IF(E3392&gt;0,"U11",0)))))</f>
        <v>0</v>
      </c>
      <c r="E3392" s="456">
        <f>IFERROR(IF(Table10[[#This Row],[Year]]&gt;0,$E$1-Table10[[#This Row],[Year]],0),"")</f>
        <v>0</v>
      </c>
      <c r="F3392" s="456"/>
      <c r="G3392" s="456"/>
      <c r="H3392" s="456"/>
    </row>
    <row r="3393" spans="1:8">
      <c r="A3393" s="456">
        <v>4390</v>
      </c>
      <c r="B3393" s="469" t="s">
        <v>5358</v>
      </c>
      <c r="C3393" s="458" t="s">
        <v>4720</v>
      </c>
      <c r="D3393" s="456">
        <f>IF(Table10[[#This Row],[Current Age]]&gt;19,"Men's",IF(E3393&gt;15,"U19",IF(E3393&gt;13,"U15",IF(E3393&gt;11,"U13",IF(E3393&gt;0,"U11",0)))))</f>
        <v>0</v>
      </c>
      <c r="E3393" s="456">
        <f>IFERROR(IF(Table10[[#This Row],[Year]]&gt;0,$E$1-Table10[[#This Row],[Year]],0),"")</f>
        <v>0</v>
      </c>
      <c r="F3393" s="456"/>
      <c r="G3393" s="456"/>
      <c r="H3393" s="456"/>
    </row>
    <row r="3394" spans="1:8">
      <c r="A3394" s="471">
        <v>4391</v>
      </c>
      <c r="B3394" s="493" t="s">
        <v>5362</v>
      </c>
      <c r="C3394" s="472" t="s">
        <v>4658</v>
      </c>
      <c r="D3394" s="456">
        <f>IF(Table10[[#This Row],[Current Age]]&gt;19,"Men's",IF(E3394&gt;15,"U19",IF(E3394&gt;13,"U15",IF(E3394&gt;11,"U13",IF(E3394&gt;0,"U11",0)))))</f>
        <v>0</v>
      </c>
      <c r="E3394" s="456">
        <f>IFERROR(IF(Table10[[#This Row],[Year]]&gt;0,$E$1-Table10[[#This Row],[Year]],0),"")</f>
        <v>0</v>
      </c>
      <c r="F3394" s="456"/>
      <c r="G3394" s="456"/>
      <c r="H3394" s="456"/>
    </row>
    <row r="3395" spans="1:8">
      <c r="A3395" s="456">
        <v>4392</v>
      </c>
      <c r="B3395" s="469" t="s">
        <v>5363</v>
      </c>
      <c r="C3395" s="458" t="s">
        <v>4720</v>
      </c>
      <c r="D3395" s="456">
        <f>IF(Table10[[#This Row],[Current Age]]&gt;19,"Men's",IF(E3395&gt;15,"U19",IF(E3395&gt;13,"U15",IF(E3395&gt;11,"U13",IF(E3395&gt;0,"U11",0)))))</f>
        <v>0</v>
      </c>
      <c r="E3395" s="456">
        <f>IFERROR(IF(Table10[[#This Row],[Year]]&gt;0,$E$1-Table10[[#This Row],[Year]],0),"")</f>
        <v>0</v>
      </c>
      <c r="F3395" s="456"/>
      <c r="G3395" s="456"/>
      <c r="H3395" s="456"/>
    </row>
    <row r="3396" spans="1:8">
      <c r="A3396" s="471">
        <v>4393</v>
      </c>
      <c r="B3396" s="493" t="s">
        <v>5368</v>
      </c>
      <c r="C3396" s="472" t="s">
        <v>4720</v>
      </c>
      <c r="D3396" s="456">
        <f>IF(Table10[[#This Row],[Current Age]]&gt;19,"Men's",IF(E3396&gt;15,"U19",IF(E3396&gt;13,"U15",IF(E3396&gt;11,"U13",IF(E3396&gt;0,"U11",0)))))</f>
        <v>0</v>
      </c>
      <c r="E3396" s="456">
        <f>IFERROR(IF(Table10[[#This Row],[Year]]&gt;0,$E$1-Table10[[#This Row],[Year]],0),"")</f>
        <v>0</v>
      </c>
      <c r="F3396" s="456"/>
      <c r="G3396" s="456"/>
      <c r="H3396" s="456"/>
    </row>
    <row r="3397" spans="1:8">
      <c r="A3397" s="456">
        <v>4394</v>
      </c>
      <c r="B3397" s="469" t="s">
        <v>5367</v>
      </c>
      <c r="C3397" s="458" t="s">
        <v>4658</v>
      </c>
      <c r="D3397" s="456">
        <f>IF(Table10[[#This Row],[Current Age]]&gt;19,"Men's",IF(E3397&gt;15,"U19",IF(E3397&gt;13,"U15",IF(E3397&gt;11,"U13",IF(E3397&gt;0,"U11",0)))))</f>
        <v>0</v>
      </c>
      <c r="E3397" s="456">
        <f>IFERROR(IF(Table10[[#This Row],[Year]]&gt;0,$E$1-Table10[[#This Row],[Year]],0),"")</f>
        <v>0</v>
      </c>
      <c r="F3397" s="456"/>
      <c r="G3397" s="456"/>
      <c r="H3397" s="456"/>
    </row>
    <row r="3398" spans="1:8">
      <c r="A3398" s="471">
        <v>4395</v>
      </c>
      <c r="B3398" s="493" t="s">
        <v>5369</v>
      </c>
      <c r="C3398" s="472" t="s">
        <v>244</v>
      </c>
      <c r="D3398" s="456">
        <f>IF(Table10[[#This Row],[Current Age]]&gt;19,"Men's",IF(E3398&gt;15,"U19",IF(E3398&gt;13,"U15",IF(E3398&gt;11,"U13",IF(E3398&gt;0,"U11",0)))))</f>
        <v>0</v>
      </c>
      <c r="E3398" s="456">
        <f>IFERROR(IF(Table10[[#This Row],[Year]]&gt;0,$E$1-Table10[[#This Row],[Year]],0),"")</f>
        <v>0</v>
      </c>
      <c r="F3398" s="456"/>
      <c r="G3398" s="456"/>
      <c r="H3398" s="456"/>
    </row>
    <row r="3399" spans="1:8">
      <c r="A3399" s="456">
        <v>4396</v>
      </c>
      <c r="B3399" s="469" t="s">
        <v>5372</v>
      </c>
      <c r="C3399" s="458" t="s">
        <v>252</v>
      </c>
      <c r="D3399" s="456">
        <f>IF(Table10[[#This Row],[Current Age]]&gt;19,"Men's",IF(E3399&gt;15,"U19",IF(E3399&gt;13,"U15",IF(E3399&gt;11,"U13",IF(E3399&gt;0,"U11",0)))))</f>
        <v>0</v>
      </c>
      <c r="E3399" s="456">
        <f>IFERROR(IF(Table10[[#This Row],[Year]]&gt;0,$E$1-Table10[[#This Row],[Year]],0),"")</f>
        <v>0</v>
      </c>
      <c r="F3399" s="456"/>
      <c r="G3399" s="456"/>
      <c r="H3399" s="456"/>
    </row>
    <row r="3400" spans="1:8">
      <c r="A3400" s="471">
        <v>4397</v>
      </c>
      <c r="B3400" s="493" t="s">
        <v>5373</v>
      </c>
      <c r="C3400" s="472" t="s">
        <v>4720</v>
      </c>
      <c r="D3400" s="456">
        <f>IF(Table10[[#This Row],[Current Age]]&gt;19,"Men's",IF(E3400&gt;15,"U19",IF(E3400&gt;13,"U15",IF(E3400&gt;11,"U13",IF(E3400&gt;0,"U11",0)))))</f>
        <v>0</v>
      </c>
      <c r="E3400" s="456">
        <f>IFERROR(IF(Table10[[#This Row],[Year]]&gt;0,$E$1-Table10[[#This Row],[Year]],0),"")</f>
        <v>0</v>
      </c>
      <c r="F3400" s="456"/>
      <c r="G3400" s="456"/>
      <c r="H3400" s="456"/>
    </row>
    <row r="3401" spans="1:8">
      <c r="A3401" s="456">
        <v>4398</v>
      </c>
      <c r="B3401" s="469" t="s">
        <v>5374</v>
      </c>
      <c r="C3401" s="458" t="s">
        <v>4720</v>
      </c>
      <c r="D3401" s="456">
        <f>IF(Table10[[#This Row],[Current Age]]&gt;19,"Men's",IF(E3401&gt;15,"U19",IF(E3401&gt;13,"U15",IF(E3401&gt;11,"U13",IF(E3401&gt;0,"U11",0)))))</f>
        <v>0</v>
      </c>
      <c r="E3401" s="456">
        <f>IFERROR(IF(Table10[[#This Row],[Year]]&gt;0,$E$1-Table10[[#This Row],[Year]],0),"")</f>
        <v>0</v>
      </c>
      <c r="F3401" s="456"/>
      <c r="G3401" s="456"/>
      <c r="H3401" s="456"/>
    </row>
    <row r="3402" spans="1:8">
      <c r="A3402" s="471">
        <v>4399</v>
      </c>
      <c r="B3402" s="493" t="s">
        <v>5377</v>
      </c>
      <c r="C3402" s="472" t="s">
        <v>244</v>
      </c>
      <c r="D3402" s="456">
        <f>IF(Table10[[#This Row],[Current Age]]&gt;19,"Men's",IF(E3402&gt;15,"U19",IF(E3402&gt;13,"U15",IF(E3402&gt;11,"U13",IF(E3402&gt;0,"U11",0)))))</f>
        <v>0</v>
      </c>
      <c r="E3402" s="456">
        <f>IFERROR(IF(Table10[[#This Row],[Year]]&gt;0,$E$1-Table10[[#This Row],[Year]],0),"")</f>
        <v>0</v>
      </c>
      <c r="F3402" s="570"/>
      <c r="G3402" s="570"/>
      <c r="H3402" s="570"/>
    </row>
    <row r="3403" spans="1:8">
      <c r="A3403" s="456">
        <v>4400</v>
      </c>
      <c r="B3403" s="469" t="s">
        <v>5378</v>
      </c>
      <c r="C3403" s="458" t="s">
        <v>252</v>
      </c>
      <c r="D3403" s="456">
        <f>IF(Table10[[#This Row],[Current Age]]&gt;19,"Men's",IF(E3403&gt;15,"U19",IF(E3403&gt;13,"U15",IF(E3403&gt;11,"U13",IF(E3403&gt;0,"U11",0)))))</f>
        <v>0</v>
      </c>
      <c r="E3403" s="456">
        <f>IFERROR(IF(Table10[[#This Row],[Year]]&gt;0,$E$1-Table10[[#This Row],[Year]],0),"")</f>
        <v>0</v>
      </c>
      <c r="F3403" s="456"/>
      <c r="G3403" s="456"/>
      <c r="H3403" s="456"/>
    </row>
    <row r="3404" spans="1:8">
      <c r="A3404" s="471">
        <v>4401</v>
      </c>
      <c r="B3404" s="493" t="s">
        <v>5379</v>
      </c>
      <c r="C3404" s="472" t="s">
        <v>4720</v>
      </c>
      <c r="D3404" s="456">
        <f>IF(Table10[[#This Row],[Current Age]]&gt;19,"Men's",IF(E3404&gt;15,"U19",IF(E3404&gt;13,"U15",IF(E3404&gt;11,"U13",IF(E3404&gt;0,"U11",0)))))</f>
        <v>0</v>
      </c>
      <c r="E3404" s="456">
        <f>IFERROR(IF(Table10[[#This Row],[Year]]&gt;0,$E$1-Table10[[#This Row],[Year]],0),"")</f>
        <v>0</v>
      </c>
      <c r="F3404" s="456"/>
      <c r="G3404" s="456"/>
      <c r="H3404" s="456"/>
    </row>
    <row r="3405" spans="1:8">
      <c r="A3405" s="456">
        <v>4402</v>
      </c>
      <c r="B3405" s="469" t="s">
        <v>5380</v>
      </c>
      <c r="C3405" s="458" t="s">
        <v>4720</v>
      </c>
      <c r="D3405" s="456">
        <f>IF(Table10[[#This Row],[Current Age]]&gt;19,"Men's",IF(E3405&gt;15,"U19",IF(E3405&gt;13,"U15",IF(E3405&gt;11,"U13",IF(E3405&gt;0,"U11",0)))))</f>
        <v>0</v>
      </c>
      <c r="E3405" s="456">
        <f>IFERROR(IF(Table10[[#This Row],[Year]]&gt;0,$E$1-Table10[[#This Row],[Year]],0),"")</f>
        <v>0</v>
      </c>
      <c r="F3405" s="456"/>
      <c r="G3405" s="456"/>
      <c r="H3405" s="456"/>
    </row>
    <row r="3406" spans="1:8">
      <c r="A3406" s="471">
        <v>4403</v>
      </c>
      <c r="B3406" s="493" t="s">
        <v>5381</v>
      </c>
      <c r="C3406" s="472" t="s">
        <v>243</v>
      </c>
      <c r="D3406" s="456">
        <f>IF(Table10[[#This Row],[Current Age]]&gt;19,"Men's",IF(E3406&gt;15,"U19",IF(E3406&gt;13,"U15",IF(E3406&gt;11,"U13",IF(E3406&gt;0,"U11",0)))))</f>
        <v>0</v>
      </c>
      <c r="E3406" s="456">
        <f>IFERROR(IF(Table10[[#This Row],[Year]]&gt;0,$E$1-Table10[[#This Row],[Year]],0),"")</f>
        <v>0</v>
      </c>
      <c r="F3406" s="456"/>
      <c r="G3406" s="456"/>
      <c r="H3406" s="456"/>
    </row>
    <row r="3407" spans="1:8">
      <c r="A3407" s="456">
        <v>4404</v>
      </c>
      <c r="B3407" s="469" t="s">
        <v>5382</v>
      </c>
      <c r="C3407" s="458" t="s">
        <v>244</v>
      </c>
      <c r="D3407" s="456" t="str">
        <f>IF(Table10[[#This Row],[Current Age]]&gt;19,"Men's",IF(E3407&gt;15,"U19",IF(E3407&gt;13,"U15",IF(E3407&gt;11,"U13",IF(E3407&gt;0,"U11",0)))))</f>
        <v>U15</v>
      </c>
      <c r="E3407" s="456">
        <f>IFERROR(IF(Table10[[#This Row],[Year]]&gt;0,$E$1-Table10[[#This Row],[Year]],0),"")</f>
        <v>15</v>
      </c>
      <c r="F3407" s="456">
        <v>2010</v>
      </c>
      <c r="G3407" s="456">
        <v>9</v>
      </c>
      <c r="H3407" s="456">
        <v>17</v>
      </c>
    </row>
    <row r="3408" spans="1:8">
      <c r="A3408" s="471">
        <v>4405</v>
      </c>
      <c r="B3408" s="493" t="s">
        <v>5383</v>
      </c>
      <c r="C3408" s="472" t="s">
        <v>244</v>
      </c>
      <c r="D3408" s="456">
        <f>IF(Table10[[#This Row],[Current Age]]&gt;19,"Men's",IF(E3408&gt;15,"U19",IF(E3408&gt;13,"U15",IF(E3408&gt;11,"U13",IF(E3408&gt;0,"U11",0)))))</f>
        <v>0</v>
      </c>
      <c r="E3408" s="456">
        <f>IFERROR(IF(Table10[[#This Row],[Year]]&gt;0,$E$1-Table10[[#This Row],[Year]],0),"")</f>
        <v>0</v>
      </c>
      <c r="F3408" s="456"/>
      <c r="G3408" s="456"/>
      <c r="H3408" s="456"/>
    </row>
    <row r="3409" spans="1:8">
      <c r="A3409" s="456">
        <v>4406</v>
      </c>
      <c r="B3409" s="469" t="s">
        <v>5384</v>
      </c>
      <c r="C3409" s="458" t="s">
        <v>5357</v>
      </c>
      <c r="D3409" s="456">
        <f>IF(Table10[[#This Row],[Current Age]]&gt;19,"Men's",IF(E3409&gt;15,"U19",IF(E3409&gt;13,"U15",IF(E3409&gt;11,"U13",IF(E3409&gt;0,"U11",0)))))</f>
        <v>0</v>
      </c>
      <c r="E3409" s="456">
        <f>IFERROR(IF(Table10[[#This Row],[Year]]&gt;0,$E$1-Table10[[#This Row],[Year]],0),"")</f>
        <v>0</v>
      </c>
      <c r="F3409" s="456"/>
      <c r="G3409" s="456"/>
      <c r="H3409" s="456"/>
    </row>
    <row r="3410" spans="1:8">
      <c r="A3410" s="471">
        <v>4407</v>
      </c>
      <c r="B3410" s="493" t="s">
        <v>5385</v>
      </c>
      <c r="C3410" s="472" t="s">
        <v>244</v>
      </c>
      <c r="D3410" s="456">
        <f>IF(Table10[[#This Row],[Current Age]]&gt;19,"Men's",IF(E3410&gt;15,"U19",IF(E3410&gt;13,"U15",IF(E3410&gt;11,"U13",IF(E3410&gt;0,"U11",0)))))</f>
        <v>0</v>
      </c>
      <c r="E3410" s="456">
        <f>IFERROR(IF(Table10[[#This Row],[Year]]&gt;0,$E$1-Table10[[#This Row],[Year]],0),"")</f>
        <v>0</v>
      </c>
      <c r="F3410" s="456"/>
      <c r="G3410" s="456"/>
      <c r="H3410" s="456"/>
    </row>
    <row r="3411" spans="1:8">
      <c r="A3411" s="456">
        <v>4408</v>
      </c>
      <c r="B3411" s="469" t="s">
        <v>5386</v>
      </c>
      <c r="C3411" s="458" t="s">
        <v>4720</v>
      </c>
      <c r="D3411" s="456">
        <f>IF(Table10[[#This Row],[Current Age]]&gt;19,"Men's",IF(E3411&gt;15,"U19",IF(E3411&gt;13,"U15",IF(E3411&gt;11,"U13",IF(E3411&gt;0,"U11",0)))))</f>
        <v>0</v>
      </c>
      <c r="E3411" s="456">
        <f>IFERROR(IF(Table10[[#This Row],[Year]]&gt;0,$E$1-Table10[[#This Row],[Year]],0),"")</f>
        <v>0</v>
      </c>
      <c r="F3411" s="456"/>
      <c r="G3411" s="456"/>
      <c r="H3411" s="456"/>
    </row>
    <row r="3412" spans="1:8">
      <c r="A3412" s="471">
        <v>4409</v>
      </c>
      <c r="B3412" s="493" t="s">
        <v>5387</v>
      </c>
      <c r="C3412" s="472" t="s">
        <v>4720</v>
      </c>
      <c r="D3412" s="456">
        <f>IF(Table10[[#This Row],[Current Age]]&gt;19,"Men's",IF(E3412&gt;15,"U19",IF(E3412&gt;13,"U15",IF(E3412&gt;11,"U13",IF(E3412&gt;0,"U11",0)))))</f>
        <v>0</v>
      </c>
      <c r="E3412" s="456">
        <f>IFERROR(IF(Table10[[#This Row],[Year]]&gt;0,$E$1-Table10[[#This Row],[Year]],0),"")</f>
        <v>0</v>
      </c>
      <c r="F3412" s="456"/>
      <c r="G3412" s="456"/>
      <c r="H3412" s="456"/>
    </row>
    <row r="3413" spans="1:8">
      <c r="A3413" s="456">
        <v>4410</v>
      </c>
      <c r="B3413" s="469" t="s">
        <v>5389</v>
      </c>
      <c r="C3413" s="458" t="s">
        <v>5388</v>
      </c>
      <c r="D3413" s="456">
        <f>IF(Table10[[#This Row],[Current Age]]&gt;19,"Men's",IF(E3413&gt;15,"U19",IF(E3413&gt;13,"U15",IF(E3413&gt;11,"U13",IF(E3413&gt;0,"U11",0)))))</f>
        <v>0</v>
      </c>
      <c r="E3413" s="456">
        <f>IFERROR(IF(Table10[[#This Row],[Year]]&gt;0,$E$1-Table10[[#This Row],[Year]],0),"")</f>
        <v>0</v>
      </c>
      <c r="F3413" s="456"/>
      <c r="G3413" s="456"/>
      <c r="H3413" s="456"/>
    </row>
    <row r="3414" spans="1:8">
      <c r="A3414" s="471">
        <v>4411</v>
      </c>
      <c r="B3414" s="493" t="s">
        <v>5420</v>
      </c>
      <c r="C3414" s="472" t="s">
        <v>4720</v>
      </c>
      <c r="D3414" s="456">
        <f>IF(Table10[[#This Row],[Current Age]]&gt;19,"Men's",IF(E3414&gt;15,"U19",IF(E3414&gt;13,"U15",IF(E3414&gt;11,"U13",IF(E3414&gt;0,"U11",0)))))</f>
        <v>0</v>
      </c>
      <c r="E3414" s="456">
        <f>IFERROR(IF(Table10[[#This Row],[Year]]&gt;0,$E$1-Table10[[#This Row],[Year]],0),"")</f>
        <v>0</v>
      </c>
      <c r="F3414" s="456"/>
      <c r="G3414" s="456"/>
      <c r="H3414" s="456"/>
    </row>
    <row r="3415" spans="1:8">
      <c r="A3415" s="456">
        <v>4412</v>
      </c>
      <c r="B3415" s="515" t="s">
        <v>5406</v>
      </c>
      <c r="C3415" s="458" t="s">
        <v>4720</v>
      </c>
      <c r="D3415" s="456">
        <f>IF(Table10[[#This Row],[Current Age]]&gt;19,"Men's",IF(E3415&gt;15,"U19",IF(E3415&gt;13,"U15",IF(E3415&gt;11,"U13",IF(E3415&gt;0,"U11",0)))))</f>
        <v>0</v>
      </c>
      <c r="E3415" s="456">
        <f>IFERROR(IF(Table10[[#This Row],[Year]]&gt;0,$E$1-Table10[[#This Row],[Year]],0),"")</f>
        <v>0</v>
      </c>
      <c r="F3415" s="456"/>
      <c r="G3415" s="456"/>
      <c r="H3415" s="456"/>
    </row>
    <row r="3416" spans="1:8">
      <c r="A3416" s="471">
        <v>4413</v>
      </c>
      <c r="B3416" s="493" t="s">
        <v>5407</v>
      </c>
      <c r="C3416" s="472" t="s">
        <v>4720</v>
      </c>
      <c r="D3416" s="456">
        <f>IF(Table10[[#This Row],[Current Age]]&gt;19,"Men's",IF(E3416&gt;15,"U19",IF(E3416&gt;13,"U15",IF(E3416&gt;11,"U13",IF(E3416&gt;0,"U11",0)))))</f>
        <v>0</v>
      </c>
      <c r="E3416" s="456">
        <f>IFERROR(IF(Table10[[#This Row],[Year]]&gt;0,$E$1-Table10[[#This Row],[Year]],0),"")</f>
        <v>0</v>
      </c>
      <c r="F3416" s="456"/>
      <c r="G3416" s="456"/>
      <c r="H3416" s="456"/>
    </row>
    <row r="3417" spans="1:8">
      <c r="A3417" s="456">
        <v>4414</v>
      </c>
      <c r="B3417" s="513" t="s">
        <v>5422</v>
      </c>
      <c r="C3417" s="478" t="s">
        <v>4720</v>
      </c>
      <c r="D3417" s="456">
        <f>IF(Table10[[#This Row],[Current Age]]&gt;19,"Men's",IF(E3417&gt;15,"U19",IF(E3417&gt;13,"U15",IF(E3417&gt;11,"U13",IF(E3417&gt;0,"U11",0)))))</f>
        <v>0</v>
      </c>
      <c r="E3417" s="456">
        <f>IFERROR(IF(Table10[[#This Row],[Year]]&gt;0,$E$1-Table10[[#This Row],[Year]],0),"")</f>
        <v>0</v>
      </c>
      <c r="F3417" s="456"/>
      <c r="G3417" s="456"/>
      <c r="H3417" s="456"/>
    </row>
    <row r="3418" spans="1:8">
      <c r="A3418" s="471">
        <v>4415</v>
      </c>
      <c r="B3418" s="514" t="s">
        <v>5423</v>
      </c>
      <c r="C3418" s="480" t="s">
        <v>4720</v>
      </c>
      <c r="D3418" s="456">
        <f>IF(Table10[[#This Row],[Current Age]]&gt;19,"Men's",IF(E3418&gt;15,"U19",IF(E3418&gt;13,"U15",IF(E3418&gt;11,"U13",IF(E3418&gt;0,"U11",0)))))</f>
        <v>0</v>
      </c>
      <c r="E3418" s="456">
        <f>IFERROR(IF(Table10[[#This Row],[Year]]&gt;0,$E$1-Table10[[#This Row],[Year]],0),"")</f>
        <v>0</v>
      </c>
      <c r="F3418" s="456"/>
      <c r="G3418" s="456"/>
      <c r="H3418" s="456"/>
    </row>
    <row r="3419" spans="1:8">
      <c r="A3419" s="456">
        <v>4416</v>
      </c>
      <c r="B3419" s="513" t="s">
        <v>5424</v>
      </c>
      <c r="C3419" s="458" t="s">
        <v>251</v>
      </c>
      <c r="D3419" s="456">
        <f>IF(Table10[[#This Row],[Current Age]]&gt;19,"Men's",IF(E3419&gt;15,"U19",IF(E3419&gt;13,"U15",IF(E3419&gt;11,"U13",IF(E3419&gt;0,"U11",0)))))</f>
        <v>0</v>
      </c>
      <c r="E3419" s="456">
        <f>IFERROR(IF(Table10[[#This Row],[Year]]&gt;0,$E$1-Table10[[#This Row],[Year]],0),"")</f>
        <v>0</v>
      </c>
      <c r="F3419" s="456"/>
      <c r="G3419" s="456"/>
      <c r="H3419" s="456"/>
    </row>
    <row r="3420" spans="1:8">
      <c r="A3420" s="471">
        <v>4417</v>
      </c>
      <c r="B3420" s="512" t="s">
        <v>5427</v>
      </c>
      <c r="C3420" s="472" t="s">
        <v>4720</v>
      </c>
      <c r="D3420" s="456">
        <f>IF(Table10[[#This Row],[Current Age]]&gt;19,"Men's",IF(E3420&gt;15,"U19",IF(E3420&gt;13,"U15",IF(E3420&gt;11,"U13",IF(E3420&gt;0,"U11",0)))))</f>
        <v>0</v>
      </c>
      <c r="E3420" s="456">
        <f>IFERROR(IF(Table10[[#This Row],[Year]]&gt;0,$E$1-Table10[[#This Row],[Year]],0),"")</f>
        <v>0</v>
      </c>
      <c r="F3420" s="456"/>
      <c r="G3420" s="456"/>
      <c r="H3420" s="456"/>
    </row>
    <row r="3421" spans="1:8">
      <c r="A3421" s="456">
        <v>4418</v>
      </c>
      <c r="B3421" s="469" t="s">
        <v>5401</v>
      </c>
      <c r="C3421" s="458" t="s">
        <v>4552</v>
      </c>
      <c r="D3421" s="456">
        <f>IF(Table10[[#This Row],[Current Age]]&gt;19,"Men's",IF(E3421&gt;15,"U19",IF(E3421&gt;13,"U15",IF(E3421&gt;11,"U13",IF(E3421&gt;0,"U11",0)))))</f>
        <v>0</v>
      </c>
      <c r="E3421" s="456">
        <f>IFERROR(IF(Table10[[#This Row],[Year]]&gt;0,$E$1-Table10[[#This Row],[Year]],0),"")</f>
        <v>0</v>
      </c>
      <c r="F3421" s="456"/>
      <c r="G3421" s="456"/>
      <c r="H3421" s="456"/>
    </row>
    <row r="3422" spans="1:8">
      <c r="A3422" s="471">
        <v>4419</v>
      </c>
      <c r="B3422" s="507" t="s">
        <v>5491</v>
      </c>
      <c r="C3422" s="472" t="s">
        <v>243</v>
      </c>
      <c r="D3422" s="456">
        <f>IF(Table10[[#This Row],[Current Age]]&gt;19,"Men's",IF(E3422&gt;15,"U19",IF(E3422&gt;13,"U15",IF(E3422&gt;11,"U13",IF(E3422&gt;0,"U11",0)))))</f>
        <v>0</v>
      </c>
      <c r="E3422" s="456">
        <f>IFERROR(IF(Table10[[#This Row],[Year]]&gt;0,$E$1-Table10[[#This Row],[Year]],0),"")</f>
        <v>0</v>
      </c>
      <c r="F3422" s="456"/>
      <c r="G3422" s="456"/>
      <c r="H3422" s="456"/>
    </row>
    <row r="3423" spans="1:8">
      <c r="A3423" s="456">
        <v>4420</v>
      </c>
      <c r="B3423" s="511" t="s">
        <v>5435</v>
      </c>
      <c r="C3423" s="458" t="s">
        <v>243</v>
      </c>
      <c r="D3423" s="456">
        <f>IF(Table10[[#This Row],[Current Age]]&gt;19,"Men's",IF(E3423&gt;15,"U19",IF(E3423&gt;13,"U15",IF(E3423&gt;11,"U13",IF(E3423&gt;0,"U11",0)))))</f>
        <v>0</v>
      </c>
      <c r="E3423" s="456">
        <f>IFERROR(IF(Table10[[#This Row],[Year]]&gt;0,$E$1-Table10[[#This Row],[Year]],0),"")</f>
        <v>0</v>
      </c>
      <c r="F3423" s="456"/>
      <c r="G3423" s="456"/>
      <c r="H3423" s="456"/>
    </row>
    <row r="3424" spans="1:8">
      <c r="A3424" s="471">
        <v>4421</v>
      </c>
      <c r="B3424" s="507" t="s">
        <v>5725</v>
      </c>
      <c r="C3424" s="472" t="s">
        <v>361</v>
      </c>
      <c r="D3424" s="456">
        <f>IF(Table10[[#This Row],[Current Age]]&gt;19,"Men's",IF(E3424&gt;15,"U19",IF(E3424&gt;13,"U15",IF(E3424&gt;11,"U13",IF(E3424&gt;0,"U11",0)))))</f>
        <v>0</v>
      </c>
      <c r="E3424" s="456">
        <f>IFERROR(IF(Table10[[#This Row],[Year]]&gt;0,$E$1-Table10[[#This Row],[Year]],0),"")</f>
        <v>0</v>
      </c>
      <c r="F3424" s="456"/>
      <c r="G3424" s="456"/>
      <c r="H3424" s="456"/>
    </row>
    <row r="3425" spans="1:8">
      <c r="A3425" s="456">
        <v>4422</v>
      </c>
      <c r="B3425" s="511" t="s">
        <v>5437</v>
      </c>
      <c r="C3425" s="458" t="s">
        <v>243</v>
      </c>
      <c r="D3425" s="456">
        <f>IF(Table10[[#This Row],[Current Age]]&gt;19,"Men's",IF(E3425&gt;15,"U19",IF(E3425&gt;13,"U15",IF(E3425&gt;11,"U13",IF(E3425&gt;0,"U11",0)))))</f>
        <v>0</v>
      </c>
      <c r="E3425" s="456">
        <f>IFERROR(IF(Table10[[#This Row],[Year]]&gt;0,$E$1-Table10[[#This Row],[Year]],0),"")</f>
        <v>0</v>
      </c>
      <c r="F3425" s="456"/>
      <c r="G3425" s="456"/>
      <c r="H3425" s="456"/>
    </row>
    <row r="3426" spans="1:8">
      <c r="A3426" s="471">
        <v>4423</v>
      </c>
      <c r="B3426" s="507" t="s">
        <v>5438</v>
      </c>
      <c r="C3426" s="472" t="s">
        <v>243</v>
      </c>
      <c r="D3426" s="456">
        <f>IF(Table10[[#This Row],[Current Age]]&gt;19,"Men's",IF(E3426&gt;15,"U19",IF(E3426&gt;13,"U15",IF(E3426&gt;11,"U13",IF(E3426&gt;0,"U11",0)))))</f>
        <v>0</v>
      </c>
      <c r="E3426" s="456">
        <f>IFERROR(IF(Table10[[#This Row],[Year]]&gt;0,$E$1-Table10[[#This Row],[Year]],0),"")</f>
        <v>0</v>
      </c>
      <c r="F3426" s="456"/>
      <c r="G3426" s="456"/>
      <c r="H3426" s="456"/>
    </row>
    <row r="3427" spans="1:8">
      <c r="A3427" s="456">
        <v>4424</v>
      </c>
      <c r="B3427" s="511" t="s">
        <v>5439</v>
      </c>
      <c r="C3427" s="458" t="s">
        <v>2857</v>
      </c>
      <c r="D3427" s="456">
        <f>IF(Table10[[#This Row],[Current Age]]&gt;19,"Men's",IF(E3427&gt;15,"U19",IF(E3427&gt;13,"U15",IF(E3427&gt;11,"U13",IF(E3427&gt;0,"U11",0)))))</f>
        <v>0</v>
      </c>
      <c r="E3427" s="456">
        <f>IFERROR(IF(Table10[[#This Row],[Year]]&gt;0,$E$1-Table10[[#This Row],[Year]],0),"")</f>
        <v>0</v>
      </c>
      <c r="F3427" s="456"/>
      <c r="G3427" s="456"/>
      <c r="H3427" s="456"/>
    </row>
    <row r="3428" spans="1:8">
      <c r="A3428" s="471">
        <v>4425</v>
      </c>
      <c r="B3428" s="507" t="s">
        <v>5440</v>
      </c>
      <c r="C3428" s="472" t="s">
        <v>2857</v>
      </c>
      <c r="D3428" s="456">
        <f>IF(Table10[[#This Row],[Current Age]]&gt;19,"Men's",IF(E3428&gt;15,"U19",IF(E3428&gt;13,"U15",IF(E3428&gt;11,"U13",IF(E3428&gt;0,"U11",0)))))</f>
        <v>0</v>
      </c>
      <c r="E3428" s="456">
        <f>IFERROR(IF(Table10[[#This Row],[Year]]&gt;0,$E$1-Table10[[#This Row],[Year]],0),"")</f>
        <v>0</v>
      </c>
      <c r="F3428" s="456"/>
      <c r="G3428" s="456"/>
      <c r="H3428" s="456"/>
    </row>
    <row r="3429" spans="1:8">
      <c r="A3429" s="456">
        <v>4426</v>
      </c>
      <c r="B3429" s="511" t="s">
        <v>5441</v>
      </c>
      <c r="C3429" s="458" t="s">
        <v>243</v>
      </c>
      <c r="D3429" s="456">
        <f>IF(Table10[[#This Row],[Current Age]]&gt;19,"Men's",IF(E3429&gt;15,"U19",IF(E3429&gt;13,"U15",IF(E3429&gt;11,"U13",IF(E3429&gt;0,"U11",0)))))</f>
        <v>0</v>
      </c>
      <c r="E3429" s="456">
        <f>IFERROR(IF(Table10[[#This Row],[Year]]&gt;0,$E$1-Table10[[#This Row],[Year]],0),"")</f>
        <v>0</v>
      </c>
      <c r="F3429" s="456"/>
      <c r="G3429" s="456"/>
      <c r="H3429" s="456"/>
    </row>
    <row r="3430" spans="1:8">
      <c r="A3430" s="471">
        <v>4427</v>
      </c>
      <c r="B3430" s="507" t="s">
        <v>5442</v>
      </c>
      <c r="C3430" s="472" t="s">
        <v>2857</v>
      </c>
      <c r="D3430" s="456">
        <f>IF(Table10[[#This Row],[Current Age]]&gt;19,"Men's",IF(E3430&gt;15,"U19",IF(E3430&gt;13,"U15",IF(E3430&gt;11,"U13",IF(E3430&gt;0,"U11",0)))))</f>
        <v>0</v>
      </c>
      <c r="E3430" s="456">
        <f>IFERROR(IF(Table10[[#This Row],[Year]]&gt;0,$E$1-Table10[[#This Row],[Year]],0),"")</f>
        <v>0</v>
      </c>
      <c r="F3430" s="456"/>
      <c r="G3430" s="456"/>
      <c r="H3430" s="456"/>
    </row>
    <row r="3431" spans="1:8">
      <c r="A3431" s="456">
        <v>4428</v>
      </c>
      <c r="B3431" s="511" t="s">
        <v>5443</v>
      </c>
      <c r="C3431" s="458" t="s">
        <v>243</v>
      </c>
      <c r="D3431" s="456">
        <f>IF(Table10[[#This Row],[Current Age]]&gt;19,"Men's",IF(E3431&gt;15,"U19",IF(E3431&gt;13,"U15",IF(E3431&gt;11,"U13",IF(E3431&gt;0,"U11",0)))))</f>
        <v>0</v>
      </c>
      <c r="E3431" s="456">
        <f>IFERROR(IF(Table10[[#This Row],[Year]]&gt;0,$E$1-Table10[[#This Row],[Year]],0),"")</f>
        <v>0</v>
      </c>
      <c r="F3431" s="456"/>
      <c r="G3431" s="456"/>
      <c r="H3431" s="456"/>
    </row>
    <row r="3432" spans="1:8">
      <c r="A3432" s="471">
        <v>4429</v>
      </c>
      <c r="B3432" s="507" t="s">
        <v>6137</v>
      </c>
      <c r="C3432" s="472" t="s">
        <v>243</v>
      </c>
      <c r="D3432" s="456">
        <f>IF(Table10[[#This Row],[Current Age]]&gt;19,"Men's",IF(E3432&gt;15,"U19",IF(E3432&gt;13,"U15",IF(E3432&gt;11,"U13",IF(E3432&gt;0,"U11",0)))))</f>
        <v>0</v>
      </c>
      <c r="E3432" s="456">
        <f>IFERROR(IF(Table10[[#This Row],[Year]]&gt;0,$E$1-Table10[[#This Row],[Year]],0),"")</f>
        <v>0</v>
      </c>
      <c r="F3432" s="456"/>
      <c r="G3432" s="456"/>
      <c r="H3432" s="456"/>
    </row>
    <row r="3433" spans="1:8">
      <c r="A3433" s="456">
        <v>4430</v>
      </c>
      <c r="B3433" s="511" t="s">
        <v>5444</v>
      </c>
      <c r="C3433" s="458" t="s">
        <v>243</v>
      </c>
      <c r="D3433" s="456">
        <f>IF(Table10[[#This Row],[Current Age]]&gt;19,"Men's",IF(E3433&gt;15,"U19",IF(E3433&gt;13,"U15",IF(E3433&gt;11,"U13",IF(E3433&gt;0,"U11",0)))))</f>
        <v>0</v>
      </c>
      <c r="E3433" s="456">
        <f>IFERROR(IF(Table10[[#This Row],[Year]]&gt;0,$E$1-Table10[[#This Row],[Year]],0),"")</f>
        <v>0</v>
      </c>
      <c r="F3433" s="456"/>
      <c r="G3433" s="456"/>
      <c r="H3433" s="456"/>
    </row>
    <row r="3434" spans="1:8">
      <c r="A3434" s="471">
        <v>4431</v>
      </c>
      <c r="B3434" s="507" t="s">
        <v>5445</v>
      </c>
      <c r="C3434" s="472" t="s">
        <v>243</v>
      </c>
      <c r="D3434" s="456">
        <f>IF(Table10[[#This Row],[Current Age]]&gt;19,"Men's",IF(E3434&gt;15,"U19",IF(E3434&gt;13,"U15",IF(E3434&gt;11,"U13",IF(E3434&gt;0,"U11",0)))))</f>
        <v>0</v>
      </c>
      <c r="E3434" s="456">
        <f>IFERROR(IF(Table10[[#This Row],[Year]]&gt;0,$E$1-Table10[[#This Row],[Year]],0),"")</f>
        <v>0</v>
      </c>
      <c r="F3434" s="570"/>
      <c r="G3434" s="570"/>
      <c r="H3434" s="570"/>
    </row>
    <row r="3435" spans="1:8">
      <c r="A3435" s="456">
        <v>4432</v>
      </c>
      <c r="B3435" s="511" t="s">
        <v>5446</v>
      </c>
      <c r="C3435" s="458" t="s">
        <v>243</v>
      </c>
      <c r="D3435" s="456">
        <f>IF(Table10[[#This Row],[Current Age]]&gt;19,"Men's",IF(E3435&gt;15,"U19",IF(E3435&gt;13,"U15",IF(E3435&gt;11,"U13",IF(E3435&gt;0,"U11",0)))))</f>
        <v>0</v>
      </c>
      <c r="E3435" s="456">
        <f>IFERROR(IF(Table10[[#This Row],[Year]]&gt;0,$E$1-Table10[[#This Row],[Year]],0),"")</f>
        <v>0</v>
      </c>
      <c r="F3435" s="570"/>
      <c r="G3435" s="570"/>
      <c r="H3435" s="570"/>
    </row>
    <row r="3436" spans="1:8">
      <c r="A3436" s="471">
        <v>4433</v>
      </c>
      <c r="B3436" s="507" t="s">
        <v>5447</v>
      </c>
      <c r="C3436" s="472" t="s">
        <v>243</v>
      </c>
      <c r="D3436" s="456">
        <f>IF(Table10[[#This Row],[Current Age]]&gt;19,"Men's",IF(E3436&gt;15,"U19",IF(E3436&gt;13,"U15",IF(E3436&gt;11,"U13",IF(E3436&gt;0,"U11",0)))))</f>
        <v>0</v>
      </c>
      <c r="E3436" s="456">
        <f>IFERROR(IF(Table10[[#This Row],[Year]]&gt;0,$E$1-Table10[[#This Row],[Year]],0),"")</f>
        <v>0</v>
      </c>
      <c r="F3436" s="570"/>
      <c r="G3436" s="570"/>
      <c r="H3436" s="570"/>
    </row>
    <row r="3437" spans="1:8">
      <c r="A3437" s="456">
        <v>4434</v>
      </c>
      <c r="B3437" s="511" t="s">
        <v>6135</v>
      </c>
      <c r="C3437" s="458" t="s">
        <v>243</v>
      </c>
      <c r="D3437" s="456">
        <f>IF(Table10[[#This Row],[Current Age]]&gt;19,"Men's",IF(E3437&gt;15,"U19",IF(E3437&gt;13,"U15",IF(E3437&gt;11,"U13",IF(E3437&gt;0,"U11",0)))))</f>
        <v>0</v>
      </c>
      <c r="E3437" s="456">
        <f>IFERROR(IF(Table10[[#This Row],[Year]]&gt;0,$E$1-Table10[[#This Row],[Year]],0),"")</f>
        <v>0</v>
      </c>
      <c r="F3437" s="570"/>
      <c r="G3437" s="570"/>
      <c r="H3437" s="570"/>
    </row>
    <row r="3438" spans="1:8">
      <c r="A3438" s="471">
        <v>4435</v>
      </c>
      <c r="B3438" s="507" t="s">
        <v>6136</v>
      </c>
      <c r="C3438" s="472" t="s">
        <v>243</v>
      </c>
      <c r="D3438" s="456">
        <f>IF(Table10[[#This Row],[Current Age]]&gt;19,"Men's",IF(E3438&gt;15,"U19",IF(E3438&gt;13,"U15",IF(E3438&gt;11,"U13",IF(E3438&gt;0,"U11",0)))))</f>
        <v>0</v>
      </c>
      <c r="E3438" s="456">
        <f>IFERROR(IF(Table10[[#This Row],[Year]]&gt;0,$E$1-Table10[[#This Row],[Year]],0),"")</f>
        <v>0</v>
      </c>
      <c r="F3438" s="570"/>
      <c r="G3438" s="570"/>
      <c r="H3438" s="570"/>
    </row>
    <row r="3439" spans="1:8">
      <c r="A3439" s="456">
        <v>4436</v>
      </c>
      <c r="B3439" s="509" t="s">
        <v>5430</v>
      </c>
      <c r="C3439" s="481" t="s">
        <v>4734</v>
      </c>
      <c r="D3439" s="456" t="str">
        <f>IF(Table10[[#This Row],[Current Age]]&gt;19,"Men's",IF(E3439&gt;15,"U19",IF(E3439&gt;13,"U15",IF(E3439&gt;11,"U13",IF(E3439&gt;0,"U11",0)))))</f>
        <v>Men's</v>
      </c>
      <c r="E3439" s="456">
        <f>IFERROR(IF(Table10[[#This Row],[Year]]&gt;0,$E$1-Table10[[#This Row],[Year]],0),"")</f>
        <v>29</v>
      </c>
      <c r="F3439" s="570">
        <v>1996</v>
      </c>
      <c r="G3439" s="570">
        <v>2</v>
      </c>
      <c r="H3439" s="570">
        <v>6</v>
      </c>
    </row>
    <row r="3440" spans="1:8">
      <c r="A3440" s="471">
        <v>4437</v>
      </c>
      <c r="B3440" s="510" t="s">
        <v>5505</v>
      </c>
      <c r="C3440" s="482" t="s">
        <v>4658</v>
      </c>
      <c r="D3440" s="456" t="str">
        <f>IF(Table10[[#This Row],[Current Age]]&gt;19,"Men's",IF(E3440&gt;15,"U19",IF(E3440&gt;13,"U15",IF(E3440&gt;11,"U13",IF(E3440&gt;0,"U11",0)))))</f>
        <v>Men's</v>
      </c>
      <c r="E3440" s="456" t="str">
        <f>IFERROR(IF(Table10[[#This Row],[Year]]&gt;0,$E$1-Table10[[#This Row],[Year]],0),"")</f>
        <v/>
      </c>
      <c r="F3440" s="456" t="s">
        <v>4722</v>
      </c>
      <c r="G3440" s="456" t="s">
        <v>4722</v>
      </c>
      <c r="H3440" s="456" t="s">
        <v>4722</v>
      </c>
    </row>
    <row r="3441" spans="1:8">
      <c r="A3441" s="456">
        <v>4438</v>
      </c>
      <c r="B3441" s="509" t="s">
        <v>5431</v>
      </c>
      <c r="C3441" s="481" t="s">
        <v>4734</v>
      </c>
      <c r="D3441" s="456" t="str">
        <f>IF(Table10[[#This Row],[Current Age]]&gt;19,"Men's",IF(E3441&gt;15,"U19",IF(E3441&gt;13,"U15",IF(E3441&gt;11,"U13",IF(E3441&gt;0,"U11",0)))))</f>
        <v>Men's</v>
      </c>
      <c r="E3441" s="456">
        <f>IFERROR(IF(Table10[[#This Row],[Year]]&gt;0,$E$1-Table10[[#This Row],[Year]],0),"")</f>
        <v>23</v>
      </c>
      <c r="F3441" s="456">
        <v>2002</v>
      </c>
      <c r="G3441" s="456">
        <v>9</v>
      </c>
      <c r="H3441" s="456">
        <v>18</v>
      </c>
    </row>
    <row r="3442" spans="1:8">
      <c r="A3442" s="471">
        <v>4439</v>
      </c>
      <c r="B3442" s="508" t="s">
        <v>5432</v>
      </c>
      <c r="C3442" s="482" t="s">
        <v>4734</v>
      </c>
      <c r="D3442" s="456" t="str">
        <f>IF(Table10[[#This Row],[Current Age]]&gt;19,"Men's",IF(E3442&gt;15,"U19",IF(E3442&gt;13,"U15",IF(E3442&gt;11,"U13",IF(E3442&gt;0,"U11",0)))))</f>
        <v>Men's</v>
      </c>
      <c r="E3442" s="456">
        <f>IFERROR(IF(Table10[[#This Row],[Year]]&gt;0,$E$1-Table10[[#This Row],[Year]],0),"")</f>
        <v>23</v>
      </c>
      <c r="F3442" s="456">
        <v>2002</v>
      </c>
      <c r="G3442" s="456">
        <v>1</v>
      </c>
      <c r="H3442" s="456">
        <v>25</v>
      </c>
    </row>
    <row r="3443" spans="1:8">
      <c r="A3443" s="456">
        <v>4440</v>
      </c>
      <c r="B3443" s="509" t="s">
        <v>5433</v>
      </c>
      <c r="C3443" s="481" t="s">
        <v>4734</v>
      </c>
      <c r="D3443" s="456" t="str">
        <f>IF(Table10[[#This Row],[Current Age]]&gt;19,"Men's",IF(E3443&gt;15,"U19",IF(E3443&gt;13,"U15",IF(E3443&gt;11,"U13",IF(E3443&gt;0,"U11",0)))))</f>
        <v>Men's</v>
      </c>
      <c r="E3443" s="456">
        <f>IFERROR(IF(Table10[[#This Row],[Year]]&gt;0,$E$1-Table10[[#This Row],[Year]],0),"")</f>
        <v>45</v>
      </c>
      <c r="F3443" s="456">
        <v>1980</v>
      </c>
      <c r="G3443" s="456">
        <v>3</v>
      </c>
      <c r="H3443" s="456">
        <v>8</v>
      </c>
    </row>
    <row r="3444" spans="1:8">
      <c r="A3444" s="471">
        <v>4441</v>
      </c>
      <c r="B3444" s="508" t="s">
        <v>5434</v>
      </c>
      <c r="C3444" s="482" t="s">
        <v>4734</v>
      </c>
      <c r="D3444" s="456" t="str">
        <f>IF(Table10[[#This Row],[Current Age]]&gt;19,"Men's",IF(E3444&gt;15,"U19",IF(E3444&gt;13,"U15",IF(E3444&gt;11,"U13",IF(E3444&gt;0,"U11",0)))))</f>
        <v>Men's</v>
      </c>
      <c r="E3444" s="456">
        <f>IFERROR(IF(Table10[[#This Row],[Year]]&gt;0,$E$1-Table10[[#This Row],[Year]],0),"")</f>
        <v>53</v>
      </c>
      <c r="F3444" s="456">
        <v>1972</v>
      </c>
      <c r="G3444" s="456">
        <v>3</v>
      </c>
      <c r="H3444" s="456">
        <v>11</v>
      </c>
    </row>
    <row r="3445" spans="1:8">
      <c r="A3445" s="456">
        <v>4442</v>
      </c>
      <c r="B3445" s="469" t="s">
        <v>5451</v>
      </c>
      <c r="C3445" s="458" t="s">
        <v>243</v>
      </c>
      <c r="D3445" s="456">
        <f>IF(Table10[[#This Row],[Current Age]]&gt;19,"Men's",IF(E3445&gt;15,"U19",IF(E3445&gt;13,"U15",IF(E3445&gt;11,"U13",IF(E3445&gt;0,"U11",0)))))</f>
        <v>0</v>
      </c>
      <c r="E3445" s="456">
        <f>IFERROR(IF(Table10[[#This Row],[Year]]&gt;0,$E$1-Table10[[#This Row],[Year]],0),"")</f>
        <v>0</v>
      </c>
      <c r="F3445" s="456"/>
      <c r="G3445" s="456"/>
      <c r="H3445" s="456"/>
    </row>
    <row r="3446" spans="1:8">
      <c r="A3446" s="471">
        <v>4443</v>
      </c>
      <c r="B3446" s="493" t="s">
        <v>5452</v>
      </c>
      <c r="C3446" s="472" t="s">
        <v>243</v>
      </c>
      <c r="D3446" s="456">
        <f>IF(Table10[[#This Row],[Current Age]]&gt;19,"Men's",IF(E3446&gt;15,"U19",IF(E3446&gt;13,"U15",IF(E3446&gt;11,"U13",IF(E3446&gt;0,"U11",0)))))</f>
        <v>0</v>
      </c>
      <c r="E3446" s="456">
        <f>IFERROR(IF(Table10[[#This Row],[Year]]&gt;0,$E$1-Table10[[#This Row],[Year]],0),"")</f>
        <v>0</v>
      </c>
      <c r="F3446" s="456"/>
      <c r="G3446" s="456"/>
      <c r="H3446" s="456"/>
    </row>
    <row r="3447" spans="1:8">
      <c r="A3447" s="456">
        <v>4444</v>
      </c>
      <c r="B3447" s="469" t="s">
        <v>5453</v>
      </c>
      <c r="C3447" s="458" t="s">
        <v>243</v>
      </c>
      <c r="D3447" s="456">
        <f>IF(Table10[[#This Row],[Current Age]]&gt;19,"Men's",IF(E3447&gt;15,"U19",IF(E3447&gt;13,"U15",IF(E3447&gt;11,"U13",IF(E3447&gt;0,"U11",0)))))</f>
        <v>0</v>
      </c>
      <c r="E3447" s="456">
        <f>IFERROR(IF(Table10[[#This Row],[Year]]&gt;0,$E$1-Table10[[#This Row],[Year]],0),"")</f>
        <v>0</v>
      </c>
      <c r="F3447" s="456"/>
      <c r="G3447" s="456"/>
      <c r="H3447" s="456"/>
    </row>
    <row r="3448" spans="1:8">
      <c r="A3448" s="471">
        <v>4445</v>
      </c>
      <c r="B3448" s="507" t="s">
        <v>5492</v>
      </c>
      <c r="C3448" s="472" t="s">
        <v>4552</v>
      </c>
      <c r="D3448" s="456">
        <f>IF(Table10[[#This Row],[Current Age]]&gt;19,"Men's",IF(E3448&gt;15,"U19",IF(E3448&gt;13,"U15",IF(E3448&gt;11,"U13",IF(E3448&gt;0,"U11",0)))))</f>
        <v>0</v>
      </c>
      <c r="E3448" s="456">
        <f>IFERROR(IF(Table10[[#This Row],[Year]]&gt;0,$E$1-Table10[[#This Row],[Year]],0),"")</f>
        <v>0</v>
      </c>
      <c r="F3448" s="456"/>
      <c r="G3448" s="456"/>
      <c r="H3448" s="456"/>
    </row>
    <row r="3449" spans="1:8">
      <c r="A3449" s="456">
        <v>4446</v>
      </c>
      <c r="B3449" s="506" t="s">
        <v>5510</v>
      </c>
      <c r="C3449" s="458" t="s">
        <v>4552</v>
      </c>
      <c r="D3449" s="456" t="str">
        <f>IF(Table10[[#This Row],[Current Age]]&gt;19,"Men's",IF(E3449&gt;15,"U19",IF(E3449&gt;13,"U15",IF(E3449&gt;11,"U13",IF(E3449&gt;0,"U11",0)))))</f>
        <v>Men's</v>
      </c>
      <c r="E3449" s="456">
        <f>IFERROR(IF(Table10[[#This Row],[Year]]&gt;0,$E$1-Table10[[#This Row],[Year]],0),"")</f>
        <v>23</v>
      </c>
      <c r="F3449" s="456">
        <v>2002</v>
      </c>
      <c r="G3449" s="456">
        <v>12</v>
      </c>
      <c r="H3449" s="456">
        <v>180</v>
      </c>
    </row>
    <row r="3450" spans="1:8">
      <c r="A3450" s="471">
        <v>4447</v>
      </c>
      <c r="B3450" s="493" t="s">
        <v>5454</v>
      </c>
      <c r="C3450" s="472" t="s">
        <v>4658</v>
      </c>
      <c r="D3450" s="456">
        <f>IF(Table10[[#This Row],[Current Age]]&gt;19,"Men's",IF(E3450&gt;15,"U19",IF(E3450&gt;13,"U15",IF(E3450&gt;11,"U13",IF(E3450&gt;0,"U11",0)))))</f>
        <v>0</v>
      </c>
      <c r="E3450" s="456">
        <f>IFERROR(IF(Table10[[#This Row],[Year]]&gt;0,$E$1-Table10[[#This Row],[Year]],0),"")</f>
        <v>0</v>
      </c>
      <c r="F3450" s="456"/>
      <c r="G3450" s="456"/>
      <c r="H3450" s="456"/>
    </row>
    <row r="3451" spans="1:8">
      <c r="A3451" s="456">
        <v>4448</v>
      </c>
      <c r="B3451" s="469" t="s">
        <v>5455</v>
      </c>
      <c r="C3451" s="458" t="s">
        <v>4658</v>
      </c>
      <c r="D3451" s="456">
        <f>IF(Table10[[#This Row],[Current Age]]&gt;19,"Men's",IF(E3451&gt;15,"U19",IF(E3451&gt;13,"U15",IF(E3451&gt;11,"U13",IF(E3451&gt;0,"U11",0)))))</f>
        <v>0</v>
      </c>
      <c r="E3451" s="456">
        <f>IFERROR(IF(Table10[[#This Row],[Year]]&gt;0,$E$1-Table10[[#This Row],[Year]],0),"")</f>
        <v>0</v>
      </c>
      <c r="F3451" s="456"/>
      <c r="G3451" s="456"/>
      <c r="H3451" s="456"/>
    </row>
    <row r="3452" spans="1:8">
      <c r="A3452" s="471">
        <v>4449</v>
      </c>
      <c r="B3452" s="493" t="s">
        <v>5456</v>
      </c>
      <c r="C3452" s="472" t="s">
        <v>4658</v>
      </c>
      <c r="D3452" s="456">
        <f>IF(Table10[[#This Row],[Current Age]]&gt;19,"Men's",IF(E3452&gt;15,"U19",IF(E3452&gt;13,"U15",IF(E3452&gt;11,"U13",IF(E3452&gt;0,"U11",0)))))</f>
        <v>0</v>
      </c>
      <c r="E3452" s="456">
        <f>IFERROR(IF(Table10[[#This Row],[Year]]&gt;0,$E$1-Table10[[#This Row],[Year]],0),"")</f>
        <v>0</v>
      </c>
      <c r="F3452" s="456"/>
      <c r="G3452" s="456"/>
      <c r="H3452" s="456"/>
    </row>
    <row r="3453" spans="1:8">
      <c r="A3453" s="456">
        <v>4450</v>
      </c>
      <c r="B3453" s="469" t="s">
        <v>5457</v>
      </c>
      <c r="C3453" s="458" t="s">
        <v>4658</v>
      </c>
      <c r="D3453" s="456">
        <f>IF(Table10[[#This Row],[Current Age]]&gt;19,"Men's",IF(E3453&gt;15,"U19",IF(E3453&gt;13,"U15",IF(E3453&gt;11,"U13",IF(E3453&gt;0,"U11",0)))))</f>
        <v>0</v>
      </c>
      <c r="E3453" s="456">
        <f>IFERROR(IF(Table10[[#This Row],[Year]]&gt;0,$E$1-Table10[[#This Row],[Year]],0),"")</f>
        <v>0</v>
      </c>
      <c r="F3453" s="456"/>
      <c r="G3453" s="456"/>
      <c r="H3453" s="456"/>
    </row>
    <row r="3454" spans="1:8">
      <c r="A3454" s="471">
        <v>4451</v>
      </c>
      <c r="B3454" s="493" t="s">
        <v>5458</v>
      </c>
      <c r="C3454" s="472" t="s">
        <v>4658</v>
      </c>
      <c r="D3454" s="456">
        <f>IF(Table10[[#This Row],[Current Age]]&gt;19,"Men's",IF(E3454&gt;15,"U19",IF(E3454&gt;13,"U15",IF(E3454&gt;11,"U13",IF(E3454&gt;0,"U11",0)))))</f>
        <v>0</v>
      </c>
      <c r="E3454" s="456">
        <f>IFERROR(IF(Table10[[#This Row],[Year]]&gt;0,$E$1-Table10[[#This Row],[Year]],0),"")</f>
        <v>0</v>
      </c>
      <c r="F3454" s="456"/>
      <c r="G3454" s="456"/>
      <c r="H3454" s="456"/>
    </row>
    <row r="3455" spans="1:8">
      <c r="A3455" s="456">
        <v>4452</v>
      </c>
      <c r="B3455" s="469" t="s">
        <v>5459</v>
      </c>
      <c r="C3455" s="458" t="s">
        <v>4658</v>
      </c>
      <c r="D3455" s="456">
        <f>IF(Table10[[#This Row],[Current Age]]&gt;19,"Men's",IF(E3455&gt;15,"U19",IF(E3455&gt;13,"U15",IF(E3455&gt;11,"U13",IF(E3455&gt;0,"U11",0)))))</f>
        <v>0</v>
      </c>
      <c r="E3455" s="456">
        <f>IFERROR(IF(Table10[[#This Row],[Year]]&gt;0,$E$1-Table10[[#This Row],[Year]],0),"")</f>
        <v>0</v>
      </c>
      <c r="F3455" s="456"/>
      <c r="G3455" s="456"/>
      <c r="H3455" s="456"/>
    </row>
    <row r="3456" spans="1:8">
      <c r="A3456" s="471">
        <v>4453</v>
      </c>
      <c r="B3456" s="493" t="s">
        <v>5487</v>
      </c>
      <c r="C3456" s="472" t="s">
        <v>4720</v>
      </c>
      <c r="D3456" s="456">
        <f>IF(Table10[[#This Row],[Current Age]]&gt;19,"Men's",IF(E3456&gt;15,"U19",IF(E3456&gt;13,"U15",IF(E3456&gt;11,"U13",IF(E3456&gt;0,"U11",0)))))</f>
        <v>0</v>
      </c>
      <c r="E3456" s="456">
        <f>IFERROR(IF(Table10[[#This Row],[Year]]&gt;0,$E$1-Table10[[#This Row],[Year]],0),"")</f>
        <v>0</v>
      </c>
      <c r="F3456" s="456"/>
      <c r="G3456" s="456"/>
      <c r="H3456" s="456"/>
    </row>
    <row r="3457" spans="1:8">
      <c r="A3457" s="456">
        <v>4454</v>
      </c>
      <c r="B3457" s="469" t="s">
        <v>5486</v>
      </c>
      <c r="C3457" s="458" t="s">
        <v>4658</v>
      </c>
      <c r="D3457" s="456">
        <f>IF(Table10[[#This Row],[Current Age]]&gt;19,"Men's",IF(E3457&gt;15,"U19",IF(E3457&gt;13,"U15",IF(E3457&gt;11,"U13",IF(E3457&gt;0,"U11",0)))))</f>
        <v>0</v>
      </c>
      <c r="E3457" s="456">
        <f>IFERROR(IF(Table10[[#This Row],[Year]]&gt;0,$E$1-Table10[[#This Row],[Year]],0),"")</f>
        <v>0</v>
      </c>
      <c r="F3457" s="456"/>
      <c r="G3457" s="456"/>
      <c r="H3457" s="456"/>
    </row>
    <row r="3458" spans="1:8">
      <c r="A3458" s="471">
        <v>4455</v>
      </c>
      <c r="B3458" s="505" t="s">
        <v>5526</v>
      </c>
      <c r="C3458" s="472" t="s">
        <v>361</v>
      </c>
      <c r="D3458" s="456">
        <f>IF(Table10[[#This Row],[Current Age]]&gt;19,"Men's",IF(E3458&gt;15,"U19",IF(E3458&gt;13,"U15",IF(E3458&gt;11,"U13",IF(E3458&gt;0,"U11",0)))))</f>
        <v>0</v>
      </c>
      <c r="E3458" s="456">
        <f>IFERROR(IF(Table10[[#This Row],[Year]]&gt;0,$E$1-Table10[[#This Row],[Year]],0),"")</f>
        <v>0</v>
      </c>
      <c r="F3458" s="456"/>
      <c r="G3458" s="456"/>
      <c r="H3458" s="456"/>
    </row>
    <row r="3459" spans="1:8">
      <c r="A3459" s="456">
        <v>4456</v>
      </c>
      <c r="B3459" s="469" t="s">
        <v>5702</v>
      </c>
      <c r="C3459" s="458" t="s">
        <v>361</v>
      </c>
      <c r="D3459" s="456">
        <f>IF(Table10[[#This Row],[Current Age]]&gt;19,"Men's",IF(E3459&gt;15,"U19",IF(E3459&gt;13,"U15",IF(E3459&gt;11,"U13",IF(E3459&gt;0,"U11",0)))))</f>
        <v>0</v>
      </c>
      <c r="E3459" s="456">
        <f>IFERROR(IF(Table10[[#This Row],[Year]]&gt;0,$E$1-Table10[[#This Row],[Year]],0),"")</f>
        <v>0</v>
      </c>
      <c r="F3459" s="456"/>
      <c r="G3459" s="456"/>
      <c r="H3459" s="456"/>
    </row>
    <row r="3460" spans="1:8">
      <c r="A3460" s="471">
        <v>4457</v>
      </c>
      <c r="B3460" s="505" t="s">
        <v>5703</v>
      </c>
      <c r="C3460" s="472" t="s">
        <v>361</v>
      </c>
      <c r="D3460" s="456">
        <f>IF(Table10[[#This Row],[Current Age]]&gt;19,"Men's",IF(E3460&gt;15,"U19",IF(E3460&gt;13,"U15",IF(E3460&gt;11,"U13",IF(E3460&gt;0,"U11",0)))))</f>
        <v>0</v>
      </c>
      <c r="E3460" s="456">
        <f>IFERROR(IF(Table10[[#This Row],[Year]]&gt;0,$E$1-Table10[[#This Row],[Year]],0),"")</f>
        <v>0</v>
      </c>
      <c r="F3460" s="456"/>
      <c r="G3460" s="456"/>
      <c r="H3460" s="456"/>
    </row>
    <row r="3461" spans="1:8">
      <c r="A3461" s="456">
        <v>4458</v>
      </c>
      <c r="B3461" s="497" t="s">
        <v>5448</v>
      </c>
      <c r="C3461" s="458" t="s">
        <v>4552</v>
      </c>
      <c r="D3461" s="456">
        <f>IF(Table10[[#This Row],[Current Age]]&gt;19,"Men's",IF(E3461&gt;15,"U19",IF(E3461&gt;13,"U15",IF(E3461&gt;11,"U13",IF(E3461&gt;0,"U11",0)))))</f>
        <v>0</v>
      </c>
      <c r="E3461" s="456">
        <f>IFERROR(IF(Table10[[#This Row],[Year]]&gt;0,$E$1-Table10[[#This Row],[Year]],0),"")</f>
        <v>0</v>
      </c>
      <c r="F3461" s="456"/>
      <c r="G3461" s="456"/>
      <c r="H3461" s="456"/>
    </row>
    <row r="3462" spans="1:8">
      <c r="A3462" s="471">
        <v>4459</v>
      </c>
      <c r="B3462" s="493" t="s">
        <v>5498</v>
      </c>
      <c r="C3462" s="472" t="s">
        <v>4552</v>
      </c>
      <c r="D3462" s="456" t="str">
        <f>IF(Table10[[#This Row],[Current Age]]&gt;19,"Men's",IF(E3462&gt;15,"U19",IF(E3462&gt;13,"U15",IF(E3462&gt;11,"U13",IF(E3462&gt;0,"U11",0)))))</f>
        <v>Men's</v>
      </c>
      <c r="E3462" s="456">
        <f>IFERROR(IF(Table10[[#This Row],[Year]]&gt;0,$E$1-Table10[[#This Row],[Year]],0),"")</f>
        <v>51</v>
      </c>
      <c r="F3462" s="456">
        <v>1974</v>
      </c>
      <c r="G3462" s="456">
        <v>11</v>
      </c>
      <c r="H3462" s="456">
        <v>4</v>
      </c>
    </row>
    <row r="3463" spans="1:8">
      <c r="A3463" s="456">
        <v>4460</v>
      </c>
      <c r="B3463" s="469" t="s">
        <v>5499</v>
      </c>
      <c r="C3463" s="458" t="s">
        <v>4552</v>
      </c>
      <c r="D3463" s="456" t="str">
        <f>IF(Table10[[#This Row],[Current Age]]&gt;19,"Men's",IF(E3463&gt;15,"U19",IF(E3463&gt;13,"U15",IF(E3463&gt;11,"U13",IF(E3463&gt;0,"U11",0)))))</f>
        <v>Men's</v>
      </c>
      <c r="E3463" s="456">
        <f>IFERROR(IF(Table10[[#This Row],[Year]]&gt;0,$E$1-Table10[[#This Row],[Year]],0),"")</f>
        <v>50</v>
      </c>
      <c r="F3463" s="456">
        <v>1975</v>
      </c>
      <c r="G3463" s="456">
        <v>4</v>
      </c>
      <c r="H3463" s="456">
        <v>24</v>
      </c>
    </row>
    <row r="3464" spans="1:8">
      <c r="A3464" s="471">
        <v>4461</v>
      </c>
      <c r="B3464" s="493" t="s">
        <v>5500</v>
      </c>
      <c r="C3464" s="472" t="s">
        <v>4552</v>
      </c>
      <c r="D3464" s="456">
        <f>IF(Table10[[#This Row],[Current Age]]&gt;19,"Men's",IF(E3464&gt;15,"U19",IF(E3464&gt;13,"U15",IF(E3464&gt;11,"U13",IF(E3464&gt;0,"U11",0)))))</f>
        <v>0</v>
      </c>
      <c r="E3464" s="456">
        <f>IFERROR(IF(Table10[[#This Row],[Year]]&gt;0,$E$1-Table10[[#This Row],[Year]],0),"")</f>
        <v>0</v>
      </c>
      <c r="F3464" s="456"/>
      <c r="G3464" s="456"/>
      <c r="H3464" s="456"/>
    </row>
    <row r="3465" spans="1:8">
      <c r="A3465" s="456">
        <v>4462</v>
      </c>
      <c r="B3465" s="469" t="s">
        <v>5704</v>
      </c>
      <c r="C3465" s="458" t="s">
        <v>361</v>
      </c>
      <c r="D3465" s="456">
        <f>IF(Table10[[#This Row],[Current Age]]&gt;19,"Men's",IF(E3465&gt;15,"U19",IF(E3465&gt;13,"U15",IF(E3465&gt;11,"U13",IF(E3465&gt;0,"U11",0)))))</f>
        <v>0</v>
      </c>
      <c r="E3465" s="456">
        <f>IFERROR(IF(Table10[[#This Row],[Year]]&gt;0,$E$1-Table10[[#This Row],[Year]],0),"")</f>
        <v>0</v>
      </c>
      <c r="F3465" s="456"/>
      <c r="G3465" s="456"/>
      <c r="H3465" s="456"/>
    </row>
    <row r="3466" spans="1:8">
      <c r="A3466" s="471">
        <v>4463</v>
      </c>
      <c r="B3466" s="493" t="s">
        <v>5705</v>
      </c>
      <c r="C3466" s="472" t="s">
        <v>361</v>
      </c>
      <c r="D3466" s="456">
        <f>IF(Table10[[#This Row],[Current Age]]&gt;19,"Men's",IF(E3466&gt;15,"U19",IF(E3466&gt;13,"U15",IF(E3466&gt;11,"U13",IF(E3466&gt;0,"U11",0)))))</f>
        <v>0</v>
      </c>
      <c r="E3466" s="456">
        <f>IFERROR(IF(Table10[[#This Row],[Year]]&gt;0,$E$1-Table10[[#This Row],[Year]],0),"")</f>
        <v>0</v>
      </c>
      <c r="F3466" s="456"/>
      <c r="G3466" s="456"/>
      <c r="H3466" s="456"/>
    </row>
    <row r="3467" spans="1:8">
      <c r="A3467" s="456">
        <v>4464</v>
      </c>
      <c r="B3467" s="469" t="s">
        <v>5527</v>
      </c>
      <c r="C3467" s="458" t="s">
        <v>251</v>
      </c>
      <c r="D3467" s="456" t="str">
        <f>IF(Table10[[#This Row],[Current Age]]&gt;19,"Men's",IF(E3467&gt;15,"U19",IF(E3467&gt;13,"U15",IF(E3467&gt;11,"U13",IF(E3467&gt;0,"U11",0)))))</f>
        <v>Men's</v>
      </c>
      <c r="E3467" s="456">
        <f>IFERROR(IF(Table10[[#This Row],[Year]]&gt;0,$E$1-Table10[[#This Row],[Year]],0),"")</f>
        <v>76</v>
      </c>
      <c r="F3467" s="456">
        <v>1949</v>
      </c>
      <c r="G3467" s="456">
        <v>12</v>
      </c>
      <c r="H3467" s="456">
        <v>8</v>
      </c>
    </row>
    <row r="3468" spans="1:8">
      <c r="A3468" s="471">
        <v>4465</v>
      </c>
      <c r="B3468" s="493" t="s">
        <v>5528</v>
      </c>
      <c r="C3468" s="472" t="s">
        <v>251</v>
      </c>
      <c r="D3468" s="456" t="str">
        <f>IF(Table10[[#This Row],[Current Age]]&gt;19,"Men's",IF(E3468&gt;15,"U19",IF(E3468&gt;13,"U15",IF(E3468&gt;11,"U13",IF(E3468&gt;0,"U11",0)))))</f>
        <v>U15</v>
      </c>
      <c r="E3468" s="456">
        <f>IFERROR(IF(Table10[[#This Row],[Year]]&gt;0,$E$1-Table10[[#This Row],[Year]],0),"")</f>
        <v>15</v>
      </c>
      <c r="F3468" s="456">
        <v>2010</v>
      </c>
      <c r="G3468" s="456">
        <v>12</v>
      </c>
      <c r="H3468" s="456">
        <v>11</v>
      </c>
    </row>
    <row r="3469" spans="1:8">
      <c r="A3469" s="456">
        <v>4466</v>
      </c>
      <c r="B3469" s="469" t="s">
        <v>5529</v>
      </c>
      <c r="C3469" s="458" t="s">
        <v>251</v>
      </c>
      <c r="D3469" s="456" t="str">
        <f>IF(Table10[[#This Row],[Current Age]]&gt;19,"Men's",IF(E3469&gt;15,"U19",IF(E3469&gt;13,"U15",IF(E3469&gt;11,"U13",IF(E3469&gt;0,"U11",0)))))</f>
        <v>U11</v>
      </c>
      <c r="E3469" s="456">
        <f>IFERROR(IF(Table10[[#This Row],[Year]]&gt;0,$E$1-Table10[[#This Row],[Year]],0),"")</f>
        <v>11</v>
      </c>
      <c r="F3469" s="456">
        <v>2014</v>
      </c>
      <c r="G3469" s="456">
        <v>3</v>
      </c>
      <c r="H3469" s="456">
        <v>31</v>
      </c>
    </row>
    <row r="3470" spans="1:8">
      <c r="A3470" s="471">
        <v>4467</v>
      </c>
      <c r="B3470" s="493" t="s">
        <v>5530</v>
      </c>
      <c r="C3470" s="472" t="s">
        <v>251</v>
      </c>
      <c r="D3470" s="456">
        <f>IF(Table10[[#This Row],[Current Age]]&gt;19,"Men's",IF(E3470&gt;15,"U19",IF(E3470&gt;13,"U15",IF(E3470&gt;11,"U13",IF(E3470&gt;0,"U11",0)))))</f>
        <v>0</v>
      </c>
      <c r="E3470" s="456">
        <f>IFERROR(IF(Table10[[#This Row],[Year]]&gt;0,$E$1-Table10[[#This Row],[Year]],0),"")</f>
        <v>0</v>
      </c>
      <c r="F3470" s="456"/>
      <c r="G3470" s="456"/>
      <c r="H3470" s="456"/>
    </row>
    <row r="3471" spans="1:8">
      <c r="A3471" s="456">
        <v>4468</v>
      </c>
      <c r="B3471" s="469" t="s">
        <v>5531</v>
      </c>
      <c r="C3471" s="458" t="s">
        <v>251</v>
      </c>
      <c r="D3471" s="456" t="str">
        <f>IF(Table10[[#This Row],[Current Age]]&gt;19,"Men's",IF(E3471&gt;15,"U19",IF(E3471&gt;13,"U15",IF(E3471&gt;11,"U13",IF(E3471&gt;0,"U11",0)))))</f>
        <v>U13</v>
      </c>
      <c r="E3471" s="456">
        <f>IFERROR(IF(Table10[[#This Row],[Year]]&gt;0,$E$1-Table10[[#This Row],[Year]],0),"")</f>
        <v>13</v>
      </c>
      <c r="F3471" s="456">
        <v>2012</v>
      </c>
      <c r="G3471" s="456">
        <v>12</v>
      </c>
      <c r="H3471" s="456">
        <v>27</v>
      </c>
    </row>
    <row r="3472" spans="1:8">
      <c r="A3472" s="471">
        <v>4469</v>
      </c>
      <c r="B3472" s="493" t="s">
        <v>5723</v>
      </c>
      <c r="C3472" s="472" t="s">
        <v>361</v>
      </c>
      <c r="D3472" s="456">
        <f>IF(Table10[[#This Row],[Current Age]]&gt;19,"Men's",IF(E3472&gt;15,"U19",IF(E3472&gt;13,"U15",IF(E3472&gt;11,"U13",IF(E3472&gt;0,"U11",0)))))</f>
        <v>0</v>
      </c>
      <c r="E3472" s="456">
        <f>IFERROR(IF(Table10[[#This Row],[Year]]&gt;0,$E$1-Table10[[#This Row],[Year]],0),"")</f>
        <v>0</v>
      </c>
      <c r="F3472" s="456"/>
      <c r="G3472" s="456"/>
      <c r="H3472" s="456"/>
    </row>
    <row r="3473" spans="1:8">
      <c r="A3473" s="456">
        <v>4470</v>
      </c>
      <c r="B3473" s="469" t="s">
        <v>5532</v>
      </c>
      <c r="C3473" s="458" t="s">
        <v>251</v>
      </c>
      <c r="D3473" s="456" t="str">
        <f>IF(Table10[[#This Row],[Current Age]]&gt;19,"Men's",IF(E3473&gt;15,"U19",IF(E3473&gt;13,"U15",IF(E3473&gt;11,"U13",IF(E3473&gt;0,"U11",0)))))</f>
        <v>U15</v>
      </c>
      <c r="E3473" s="456">
        <f>IFERROR(IF(Table10[[#This Row],[Year]]&gt;0,$E$1-Table10[[#This Row],[Year]],0),"")</f>
        <v>15</v>
      </c>
      <c r="F3473" s="456">
        <v>2010</v>
      </c>
      <c r="G3473" s="456">
        <v>7</v>
      </c>
      <c r="H3473" s="456">
        <v>1</v>
      </c>
    </row>
    <row r="3474" spans="1:8">
      <c r="A3474" s="471">
        <v>4471</v>
      </c>
      <c r="B3474" s="493" t="s">
        <v>5533</v>
      </c>
      <c r="C3474" s="472" t="s">
        <v>251</v>
      </c>
      <c r="D3474" s="456" t="str">
        <f>IF(Table10[[#This Row],[Current Age]]&gt;19,"Men's",IF(E3474&gt;15,"U19",IF(E3474&gt;13,"U15",IF(E3474&gt;11,"U13",IF(E3474&gt;0,"U11",0)))))</f>
        <v>Men's</v>
      </c>
      <c r="E3474" s="456">
        <f>IFERROR(IF(Table10[[#This Row],[Year]]&gt;0,$E$1-Table10[[#This Row],[Year]],0),"")</f>
        <v>58</v>
      </c>
      <c r="F3474" s="456">
        <v>1967</v>
      </c>
      <c r="G3474" s="456">
        <v>6</v>
      </c>
      <c r="H3474" s="456">
        <v>3</v>
      </c>
    </row>
    <row r="3475" spans="1:8">
      <c r="A3475" s="456">
        <v>4472</v>
      </c>
      <c r="B3475" s="469" t="s">
        <v>5534</v>
      </c>
      <c r="C3475" s="458" t="s">
        <v>251</v>
      </c>
      <c r="D3475" s="456" t="str">
        <f>IF(Table10[[#This Row],[Current Age]]&gt;19,"Men's",IF(E3475&gt;15,"U19",IF(E3475&gt;13,"U15",IF(E3475&gt;11,"U13",IF(E3475&gt;0,"U11",0)))))</f>
        <v>U13</v>
      </c>
      <c r="E3475" s="456">
        <f>IFERROR(IF(Table10[[#This Row],[Year]]&gt;0,$E$1-Table10[[#This Row],[Year]],0),"")</f>
        <v>13</v>
      </c>
      <c r="F3475" s="456">
        <v>2012</v>
      </c>
      <c r="G3475" s="456">
        <v>9</v>
      </c>
      <c r="H3475" s="456">
        <v>13</v>
      </c>
    </row>
    <row r="3476" spans="1:8">
      <c r="A3476" s="471">
        <v>4473</v>
      </c>
      <c r="B3476" s="493" t="s">
        <v>5535</v>
      </c>
      <c r="C3476" s="472" t="s">
        <v>251</v>
      </c>
      <c r="D3476" s="456" t="str">
        <f>IF(Table10[[#This Row],[Current Age]]&gt;19,"Men's",IF(E3476&gt;15,"U19",IF(E3476&gt;13,"U15",IF(E3476&gt;11,"U13",IF(E3476&gt;0,"U11",0)))))</f>
        <v>U15</v>
      </c>
      <c r="E3476" s="456">
        <f>IFERROR(IF(Table10[[#This Row],[Year]]&gt;0,$E$1-Table10[[#This Row],[Year]],0),"")</f>
        <v>15</v>
      </c>
      <c r="F3476" s="456">
        <v>2010</v>
      </c>
      <c r="G3476" s="456">
        <v>11</v>
      </c>
      <c r="H3476" s="456">
        <v>1</v>
      </c>
    </row>
    <row r="3477" spans="1:8">
      <c r="A3477" s="456">
        <v>4474</v>
      </c>
      <c r="B3477" s="469" t="s">
        <v>5589</v>
      </c>
      <c r="C3477" s="458" t="s">
        <v>361</v>
      </c>
      <c r="D3477" s="456">
        <f>IF(Table10[[#This Row],[Current Age]]&gt;19,"Men's",IF(E3477&gt;15,"U19",IF(E3477&gt;13,"U15",IF(E3477&gt;11,"U13",IF(E3477&gt;0,"U11",0)))))</f>
        <v>0</v>
      </c>
      <c r="E3477" s="456">
        <f>IFERROR(IF(Table10[[#This Row],[Year]]&gt;0,$E$1-Table10[[#This Row],[Year]],0),"")</f>
        <v>0</v>
      </c>
      <c r="F3477" s="456"/>
      <c r="G3477" s="456"/>
      <c r="H3477" s="456"/>
    </row>
    <row r="3478" spans="1:8">
      <c r="A3478" s="471">
        <v>4475</v>
      </c>
      <c r="B3478" s="493" t="s">
        <v>5590</v>
      </c>
      <c r="C3478" s="472" t="s">
        <v>361</v>
      </c>
      <c r="D3478" s="456">
        <f>IF(Table10[[#This Row],[Current Age]]&gt;19,"Men's",IF(E3478&gt;15,"U19",IF(E3478&gt;13,"U15",IF(E3478&gt;11,"U13",IF(E3478&gt;0,"U11",0)))))</f>
        <v>0</v>
      </c>
      <c r="E3478" s="456">
        <f>IFERROR(IF(Table10[[#This Row],[Year]]&gt;0,$E$1-Table10[[#This Row],[Year]],0),"")</f>
        <v>0</v>
      </c>
      <c r="F3478" s="456"/>
      <c r="G3478" s="456"/>
      <c r="H3478" s="456"/>
    </row>
    <row r="3479" spans="1:8">
      <c r="A3479" s="456">
        <v>4476</v>
      </c>
      <c r="B3479" s="469" t="s">
        <v>5591</v>
      </c>
      <c r="C3479" s="458" t="s">
        <v>361</v>
      </c>
      <c r="D3479" s="456">
        <f>IF(Table10[[#This Row],[Current Age]]&gt;19,"Men's",IF(E3479&gt;15,"U19",IF(E3479&gt;13,"U15",IF(E3479&gt;11,"U13",IF(E3479&gt;0,"U11",0)))))</f>
        <v>0</v>
      </c>
      <c r="E3479" s="456">
        <f>IFERROR(IF(Table10[[#This Row],[Year]]&gt;0,$E$1-Table10[[#This Row],[Year]],0),"")</f>
        <v>0</v>
      </c>
      <c r="F3479" s="456"/>
      <c r="G3479" s="456"/>
      <c r="H3479" s="456"/>
    </row>
    <row r="3480" spans="1:8">
      <c r="A3480" s="471">
        <v>4477</v>
      </c>
      <c r="B3480" s="493" t="s">
        <v>5586</v>
      </c>
      <c r="C3480" s="472" t="s">
        <v>361</v>
      </c>
      <c r="D3480" s="456">
        <f>IF(Table10[[#This Row],[Current Age]]&gt;19,"Men's",IF(E3480&gt;15,"U19",IF(E3480&gt;13,"U15",IF(E3480&gt;11,"U13",IF(E3480&gt;0,"U11",0)))))</f>
        <v>0</v>
      </c>
      <c r="E3480" s="456">
        <f>IFERROR(IF(Table10[[#This Row],[Year]]&gt;0,$E$1-Table10[[#This Row],[Year]],0),"")</f>
        <v>0</v>
      </c>
      <c r="F3480" s="456"/>
      <c r="G3480" s="456"/>
      <c r="H3480" s="456"/>
    </row>
    <row r="3481" spans="1:8">
      <c r="A3481" s="456">
        <v>4478</v>
      </c>
      <c r="B3481" s="469" t="s">
        <v>5587</v>
      </c>
      <c r="C3481" s="458" t="s">
        <v>361</v>
      </c>
      <c r="D3481" s="456">
        <f>IF(Table10[[#This Row],[Current Age]]&gt;19,"Men's",IF(E3481&gt;15,"U19",IF(E3481&gt;13,"U15",IF(E3481&gt;11,"U13",IF(E3481&gt;0,"U11",0)))))</f>
        <v>0</v>
      </c>
      <c r="E3481" s="456">
        <f>IFERROR(IF(Table10[[#This Row],[Year]]&gt;0,$E$1-Table10[[#This Row],[Year]],0),"")</f>
        <v>0</v>
      </c>
      <c r="F3481" s="456"/>
      <c r="G3481" s="456"/>
      <c r="H3481" s="456"/>
    </row>
    <row r="3482" spans="1:8">
      <c r="A3482" s="471">
        <v>4479</v>
      </c>
      <c r="B3482" s="493" t="s">
        <v>5559</v>
      </c>
      <c r="C3482" s="472" t="s">
        <v>3793</v>
      </c>
      <c r="D3482" s="456">
        <f>IF(Table10[[#This Row],[Current Age]]&gt;19,"Men's",IF(E3482&gt;15,"U19",IF(E3482&gt;13,"U15",IF(E3482&gt;11,"U13",IF(E3482&gt;0,"U11",0)))))</f>
        <v>0</v>
      </c>
      <c r="E3482" s="456">
        <f>IFERROR(IF(Table10[[#This Row],[Year]]&gt;0,$E$1-Table10[[#This Row],[Year]],0),"")</f>
        <v>0</v>
      </c>
      <c r="F3482" s="456"/>
      <c r="G3482" s="456"/>
      <c r="H3482" s="456"/>
    </row>
    <row r="3483" spans="1:8">
      <c r="A3483" s="456">
        <v>4480</v>
      </c>
      <c r="B3483" s="469" t="s">
        <v>5724</v>
      </c>
      <c r="C3483" s="458" t="s">
        <v>361</v>
      </c>
      <c r="D3483" s="456">
        <f>IF(Table10[[#This Row],[Current Age]]&gt;19,"Men's",IF(E3483&gt;15,"U19",IF(E3483&gt;13,"U15",IF(E3483&gt;11,"U13",IF(E3483&gt;0,"U11",0)))))</f>
        <v>0</v>
      </c>
      <c r="E3483" s="456">
        <f>IFERROR(IF(Table10[[#This Row],[Year]]&gt;0,$E$1-Table10[[#This Row],[Year]],0),"")</f>
        <v>0</v>
      </c>
      <c r="F3483" s="456"/>
      <c r="G3483" s="456"/>
      <c r="H3483" s="456"/>
    </row>
    <row r="3484" spans="1:8">
      <c r="A3484" s="471">
        <v>4481</v>
      </c>
      <c r="B3484" s="493" t="s">
        <v>5632</v>
      </c>
      <c r="C3484" s="472" t="s">
        <v>251</v>
      </c>
      <c r="D3484" s="456">
        <f>IF(Table10[[#This Row],[Current Age]]&gt;19,"Men's",IF(E3484&gt;15,"U19",IF(E3484&gt;13,"U15",IF(E3484&gt;11,"U13",IF(E3484&gt;0,"U11",0)))))</f>
        <v>0</v>
      </c>
      <c r="E3484" s="456">
        <f>IFERROR(IF(Table10[[#This Row],[Year]]&gt;0,$E$1-Table10[[#This Row],[Year]],0),"")</f>
        <v>0</v>
      </c>
      <c r="F3484" s="456"/>
      <c r="G3484" s="456"/>
      <c r="H3484" s="456"/>
    </row>
    <row r="3485" spans="1:8">
      <c r="A3485" s="456">
        <v>4482</v>
      </c>
      <c r="B3485" s="469" t="s">
        <v>5633</v>
      </c>
      <c r="C3485" s="458" t="s">
        <v>251</v>
      </c>
      <c r="D3485" s="456">
        <f>IF(Table10[[#This Row],[Current Age]]&gt;19,"Men's",IF(E3485&gt;15,"U19",IF(E3485&gt;13,"U15",IF(E3485&gt;11,"U13",IF(E3485&gt;0,"U11",0)))))</f>
        <v>0</v>
      </c>
      <c r="E3485" s="456">
        <f>IFERROR(IF(Table10[[#This Row],[Year]]&gt;0,$E$1-Table10[[#This Row],[Year]],0),"")</f>
        <v>0</v>
      </c>
      <c r="F3485" s="456"/>
      <c r="G3485" s="456"/>
      <c r="H3485" s="456"/>
    </row>
    <row r="3486" spans="1:8">
      <c r="A3486" s="471">
        <v>4483</v>
      </c>
      <c r="B3486" s="493" t="s">
        <v>5634</v>
      </c>
      <c r="C3486" s="472" t="s">
        <v>251</v>
      </c>
      <c r="D3486" s="456">
        <f>IF(Table10[[#This Row],[Current Age]]&gt;19,"Men's",IF(E3486&gt;15,"U19",IF(E3486&gt;13,"U15",IF(E3486&gt;11,"U13",IF(E3486&gt;0,"U11",0)))))</f>
        <v>0</v>
      </c>
      <c r="E3486" s="456">
        <f>IFERROR(IF(Table10[[#This Row],[Year]]&gt;0,$E$1-Table10[[#This Row],[Year]],0),"")</f>
        <v>0</v>
      </c>
      <c r="F3486" s="456"/>
      <c r="G3486" s="456"/>
      <c r="H3486" s="456"/>
    </row>
    <row r="3487" spans="1:8">
      <c r="A3487" s="456">
        <v>4484</v>
      </c>
      <c r="B3487" s="469" t="s">
        <v>5548</v>
      </c>
      <c r="C3487" s="458" t="s">
        <v>251</v>
      </c>
      <c r="D3487" s="456">
        <f>IF(Table10[[#This Row],[Current Age]]&gt;19,"Men's",IF(E3487&gt;15,"U19",IF(E3487&gt;13,"U15",IF(E3487&gt;11,"U13",IF(E3487&gt;0,"U11",0)))))</f>
        <v>0</v>
      </c>
      <c r="E3487" s="456">
        <f>IFERROR(IF(Table10[[#This Row],[Year]]&gt;0,$E$1-Table10[[#This Row],[Year]],0),"")</f>
        <v>0</v>
      </c>
      <c r="F3487" s="456"/>
      <c r="G3487" s="456"/>
      <c r="H3487" s="456"/>
    </row>
    <row r="3488" spans="1:8">
      <c r="A3488" s="471">
        <v>4485</v>
      </c>
      <c r="B3488" s="493" t="s">
        <v>5635</v>
      </c>
      <c r="C3488" s="472" t="s">
        <v>251</v>
      </c>
      <c r="D3488" s="456">
        <f>IF(Table10[[#This Row],[Current Age]]&gt;19,"Men's",IF(E3488&gt;15,"U19",IF(E3488&gt;13,"U15",IF(E3488&gt;11,"U13",IF(E3488&gt;0,"U11",0)))))</f>
        <v>0</v>
      </c>
      <c r="E3488" s="456">
        <f>IFERROR(IF(Table10[[#This Row],[Year]]&gt;0,$E$1-Table10[[#This Row],[Year]],0),"")</f>
        <v>0</v>
      </c>
      <c r="F3488" s="456"/>
      <c r="G3488" s="456"/>
      <c r="H3488" s="456"/>
    </row>
    <row r="3489" spans="1:8">
      <c r="A3489" s="456">
        <v>4486</v>
      </c>
      <c r="B3489" s="469" t="s">
        <v>5639</v>
      </c>
      <c r="C3489" s="458" t="s">
        <v>3793</v>
      </c>
      <c r="D3489" s="456">
        <f>IF(Table10[[#This Row],[Current Age]]&gt;19,"Men's",IF(E3489&gt;15,"U19",IF(E3489&gt;13,"U15",IF(E3489&gt;11,"U13",IF(E3489&gt;0,"U11",0)))))</f>
        <v>0</v>
      </c>
      <c r="E3489" s="456">
        <f>IFERROR(IF(Table10[[#This Row],[Year]]&gt;0,$E$1-Table10[[#This Row],[Year]],0),"")</f>
        <v>0</v>
      </c>
      <c r="F3489" s="456"/>
      <c r="G3489" s="456"/>
      <c r="H3489" s="456"/>
    </row>
    <row r="3490" spans="1:8">
      <c r="A3490" s="471">
        <v>4487</v>
      </c>
      <c r="B3490" s="493" t="s">
        <v>5666</v>
      </c>
      <c r="C3490" s="472" t="s">
        <v>4720</v>
      </c>
      <c r="D3490" s="456" t="str">
        <f>IF(Table10[[#This Row],[Current Age]]&gt;19,"Men's",IF(E3490&gt;15,"U19",IF(E3490&gt;13,"U15",IF(E3490&gt;11,"U13",IF(E3490&gt;0,"U11",0)))))</f>
        <v>U13</v>
      </c>
      <c r="E3490" s="456">
        <f>IFERROR(IF(Table10[[#This Row],[Year]]&gt;0,$E$1-Table10[[#This Row],[Year]],0),"")</f>
        <v>13</v>
      </c>
      <c r="F3490" s="456">
        <v>2012</v>
      </c>
      <c r="G3490" s="456">
        <v>4</v>
      </c>
      <c r="H3490" s="456">
        <v>15</v>
      </c>
    </row>
    <row r="3491" spans="1:8">
      <c r="A3491" s="456">
        <v>4488</v>
      </c>
      <c r="B3491" s="469" t="s">
        <v>5667</v>
      </c>
      <c r="C3491" s="458" t="s">
        <v>4720</v>
      </c>
      <c r="D3491" s="456" t="str">
        <f>IF(Table10[[#This Row],[Current Age]]&gt;19,"Men's",IF(E3491&gt;15,"U19",IF(E3491&gt;13,"U15",IF(E3491&gt;11,"U13",IF(E3491&gt;0,"U11",0)))))</f>
        <v>U13</v>
      </c>
      <c r="E3491" s="456">
        <f>IFERROR(IF(Table10[[#This Row],[Year]]&gt;0,$E$1-Table10[[#This Row],[Year]],0),"")</f>
        <v>12</v>
      </c>
      <c r="F3491" s="456">
        <v>2013</v>
      </c>
      <c r="G3491" s="456">
        <v>3</v>
      </c>
      <c r="H3491" s="456">
        <v>1</v>
      </c>
    </row>
    <row r="3492" spans="1:8">
      <c r="A3492" s="471">
        <v>4489</v>
      </c>
      <c r="B3492" s="493" t="s">
        <v>5668</v>
      </c>
      <c r="C3492" s="472" t="s">
        <v>4720</v>
      </c>
      <c r="D3492" s="456" t="str">
        <f>IF(Table10[[#This Row],[Current Age]]&gt;19,"Men's",IF(E3492&gt;15,"U19",IF(E3492&gt;13,"U15",IF(E3492&gt;11,"U13",IF(E3492&gt;0,"U11",0)))))</f>
        <v>U13</v>
      </c>
      <c r="E3492" s="456">
        <f>IFERROR(IF(Table10[[#This Row],[Year]]&gt;0,$E$1-Table10[[#This Row],[Year]],0),"")</f>
        <v>12</v>
      </c>
      <c r="F3492" s="456">
        <v>2013</v>
      </c>
      <c r="G3492" s="456">
        <v>6</v>
      </c>
      <c r="H3492" s="456">
        <v>7</v>
      </c>
    </row>
    <row r="3493" spans="1:8">
      <c r="A3493" s="456">
        <v>4490</v>
      </c>
      <c r="B3493" s="469" t="s">
        <v>5669</v>
      </c>
      <c r="C3493" s="458" t="s">
        <v>4720</v>
      </c>
      <c r="D3493" s="456" t="str">
        <f>IF(Table10[[#This Row],[Current Age]]&gt;19,"Men's",IF(E3493&gt;15,"U19",IF(E3493&gt;13,"U15",IF(E3493&gt;11,"U13",IF(E3493&gt;0,"U11",0)))))</f>
        <v>U19</v>
      </c>
      <c r="E3493" s="456">
        <f>IFERROR(IF(Table10[[#This Row],[Year]]&gt;0,$E$1-Table10[[#This Row],[Year]],0),"")</f>
        <v>18</v>
      </c>
      <c r="F3493" s="456">
        <v>2007</v>
      </c>
      <c r="G3493" s="456">
        <v>3</v>
      </c>
      <c r="H3493" s="456">
        <v>24</v>
      </c>
    </row>
    <row r="3494" spans="1:8">
      <c r="A3494" s="471">
        <v>4491</v>
      </c>
      <c r="B3494" s="493" t="s">
        <v>5670</v>
      </c>
      <c r="C3494" s="472" t="s">
        <v>4720</v>
      </c>
      <c r="D3494" s="456" t="str">
        <f>IF(Table10[[#This Row],[Current Age]]&gt;19,"Men's",IF(E3494&gt;15,"U19",IF(E3494&gt;13,"U15",IF(E3494&gt;11,"U13",IF(E3494&gt;0,"U11",0)))))</f>
        <v>U19</v>
      </c>
      <c r="E3494" s="456">
        <f>IFERROR(IF(Table10[[#This Row],[Year]]&gt;0,$E$1-Table10[[#This Row],[Year]],0),"")</f>
        <v>16</v>
      </c>
      <c r="F3494" s="456">
        <v>2009</v>
      </c>
      <c r="G3494" s="456">
        <v>12</v>
      </c>
      <c r="H3494" s="456">
        <v>25</v>
      </c>
    </row>
    <row r="3495" spans="1:8">
      <c r="A3495" s="456">
        <v>4492</v>
      </c>
      <c r="B3495" s="469" t="s">
        <v>5671</v>
      </c>
      <c r="C3495" s="458" t="s">
        <v>4720</v>
      </c>
      <c r="D3495" s="456" t="str">
        <f>IF(Table10[[#This Row],[Current Age]]&gt;19,"Men's",IF(E3495&gt;15,"U19",IF(E3495&gt;13,"U15",IF(E3495&gt;11,"U13",IF(E3495&gt;0,"U11",0)))))</f>
        <v>Men's</v>
      </c>
      <c r="E3495" s="456">
        <f>IFERROR(IF(Table10[[#This Row],[Year]]&gt;0,$E$1-Table10[[#This Row],[Year]],0),"")</f>
        <v>54</v>
      </c>
      <c r="F3495" s="456">
        <v>1971</v>
      </c>
      <c r="G3495" s="456">
        <v>11</v>
      </c>
      <c r="H3495" s="456">
        <v>5</v>
      </c>
    </row>
    <row r="3496" spans="1:8">
      <c r="A3496" s="471">
        <v>4493</v>
      </c>
      <c r="B3496" s="493" t="s">
        <v>5672</v>
      </c>
      <c r="C3496" s="472" t="s">
        <v>4720</v>
      </c>
      <c r="D3496" s="456" t="str">
        <f>IF(Table10[[#This Row],[Current Age]]&gt;19,"Men's",IF(E3496&gt;15,"U19",IF(E3496&gt;13,"U15",IF(E3496&gt;11,"U13",IF(E3496&gt;0,"U11",0)))))</f>
        <v>Men's</v>
      </c>
      <c r="E3496" s="456">
        <f>IFERROR(IF(Table10[[#This Row],[Year]]&gt;0,$E$1-Table10[[#This Row],[Year]],0),"")</f>
        <v>40</v>
      </c>
      <c r="F3496" s="456">
        <v>1985</v>
      </c>
      <c r="G3496" s="456">
        <v>6</v>
      </c>
      <c r="H3496" s="456">
        <v>16</v>
      </c>
    </row>
    <row r="3497" spans="1:8">
      <c r="A3497" s="456">
        <v>4494</v>
      </c>
      <c r="B3497" s="469" t="s">
        <v>5673</v>
      </c>
      <c r="C3497" s="458" t="s">
        <v>4720</v>
      </c>
      <c r="D3497" s="456" t="str">
        <f>IF(Table10[[#This Row],[Current Age]]&gt;19,"Men's",IF(E3497&gt;15,"U19",IF(E3497&gt;13,"U15",IF(E3497&gt;11,"U13",IF(E3497&gt;0,"U11",0)))))</f>
        <v>Men's</v>
      </c>
      <c r="E3497" s="456">
        <f>IFERROR(IF(Table10[[#This Row],[Year]]&gt;0,$E$1-Table10[[#This Row],[Year]],0),"")</f>
        <v>24</v>
      </c>
      <c r="F3497" s="456">
        <v>2001</v>
      </c>
      <c r="G3497" s="456">
        <v>9</v>
      </c>
      <c r="H3497" s="456">
        <v>8</v>
      </c>
    </row>
    <row r="3498" spans="1:8">
      <c r="A3498" s="471">
        <v>4495</v>
      </c>
      <c r="B3498" s="493" t="s">
        <v>5674</v>
      </c>
      <c r="C3498" s="472" t="s">
        <v>4720</v>
      </c>
      <c r="D3498" s="456" t="str">
        <f>IF(Table10[[#This Row],[Current Age]]&gt;19,"Men's",IF(E3498&gt;15,"U19",IF(E3498&gt;13,"U15",IF(E3498&gt;11,"U13",IF(E3498&gt;0,"U11",0)))))</f>
        <v>U19</v>
      </c>
      <c r="E3498" s="456">
        <f>IFERROR(IF(Table10[[#This Row],[Year]]&gt;0,$E$1-Table10[[#This Row],[Year]],0),"")</f>
        <v>16</v>
      </c>
      <c r="F3498" s="456">
        <v>2009</v>
      </c>
      <c r="G3498" s="456">
        <v>11</v>
      </c>
      <c r="H3498" s="456">
        <v>25</v>
      </c>
    </row>
    <row r="3499" spans="1:8">
      <c r="A3499" s="456">
        <v>4496</v>
      </c>
      <c r="B3499" s="469" t="s">
        <v>5791</v>
      </c>
      <c r="C3499" s="458" t="s">
        <v>244</v>
      </c>
      <c r="D3499" s="456">
        <f>IF(Table10[[#This Row],[Current Age]]&gt;19,"Men's",IF(E3499&gt;15,"U19",IF(E3499&gt;13,"U15",IF(E3499&gt;11,"U13",IF(E3499&gt;0,"U11",0)))))</f>
        <v>0</v>
      </c>
      <c r="E3499" s="456">
        <f>IFERROR(IF(Table10[[#This Row],[Year]]&gt;0,$E$1-Table10[[#This Row],[Year]],0),"")</f>
        <v>0</v>
      </c>
      <c r="F3499" s="456"/>
      <c r="G3499" s="456"/>
      <c r="H3499" s="456"/>
    </row>
    <row r="3500" spans="1:8">
      <c r="A3500" s="471">
        <v>4497</v>
      </c>
      <c r="B3500" s="493" t="s">
        <v>5792</v>
      </c>
      <c r="C3500" s="472" t="s">
        <v>244</v>
      </c>
      <c r="D3500" s="456">
        <f>IF(Table10[[#This Row],[Current Age]]&gt;19,"Men's",IF(E3500&gt;15,"U19",IF(E3500&gt;13,"U15",IF(E3500&gt;11,"U13",IF(E3500&gt;0,"U11",0)))))</f>
        <v>0</v>
      </c>
      <c r="E3500" s="456">
        <f>IFERROR(IF(Table10[[#This Row],[Year]]&gt;0,$E$1-Table10[[#This Row],[Year]],0),"")</f>
        <v>0</v>
      </c>
      <c r="F3500" s="456"/>
      <c r="G3500" s="456"/>
      <c r="H3500" s="456"/>
    </row>
    <row r="3501" spans="1:8">
      <c r="A3501" s="456">
        <v>4498</v>
      </c>
      <c r="B3501" s="469" t="s">
        <v>5793</v>
      </c>
      <c r="C3501" s="458" t="s">
        <v>244</v>
      </c>
      <c r="D3501" s="456">
        <f>IF(Table10[[#This Row],[Current Age]]&gt;19,"Men's",IF(E3501&gt;15,"U19",IF(E3501&gt;13,"U15",IF(E3501&gt;11,"U13",IF(E3501&gt;0,"U11",0)))))</f>
        <v>0</v>
      </c>
      <c r="E3501" s="456">
        <f>IFERROR(IF(Table10[[#This Row],[Year]]&gt;0,$E$1-Table10[[#This Row],[Year]],0),"")</f>
        <v>0</v>
      </c>
      <c r="F3501" s="456"/>
      <c r="G3501" s="456"/>
      <c r="H3501" s="456"/>
    </row>
    <row r="3502" spans="1:8">
      <c r="A3502" s="471">
        <v>4499</v>
      </c>
      <c r="B3502" s="493" t="s">
        <v>5794</v>
      </c>
      <c r="C3502" s="472" t="s">
        <v>244</v>
      </c>
      <c r="D3502" s="456">
        <f>IF(Table10[[#This Row],[Current Age]]&gt;19,"Men's",IF(E3502&gt;15,"U19",IF(E3502&gt;13,"U15",IF(E3502&gt;11,"U13",IF(E3502&gt;0,"U11",0)))))</f>
        <v>0</v>
      </c>
      <c r="E3502" s="456">
        <f>IFERROR(IF(Table10[[#This Row],[Year]]&gt;0,$E$1-Table10[[#This Row],[Year]],0),"")</f>
        <v>0</v>
      </c>
      <c r="F3502" s="456"/>
      <c r="G3502" s="456"/>
      <c r="H3502" s="456"/>
    </row>
    <row r="3503" spans="1:8">
      <c r="A3503" s="456">
        <v>4500</v>
      </c>
      <c r="B3503" s="469" t="s">
        <v>4726</v>
      </c>
      <c r="C3503" s="458" t="s">
        <v>4720</v>
      </c>
      <c r="D3503" s="456">
        <f>IF(Table10[[#This Row],[Current Age]]&gt;19,"Men's",IF(E3503&gt;15,"U19",IF(E3503&gt;13,"U15",IF(E3503&gt;11,"U13",IF(E3503&gt;0,"U11",0)))))</f>
        <v>0</v>
      </c>
      <c r="E3503" s="456">
        <f>IFERROR(IF(Table10[[#This Row],[Year]]&gt;0,$E$1-Table10[[#This Row],[Year]],0),"")</f>
        <v>0</v>
      </c>
      <c r="F3503" s="456"/>
      <c r="G3503" s="456"/>
      <c r="H3503" s="456"/>
    </row>
    <row r="3504" spans="1:8">
      <c r="A3504" s="471">
        <v>4501</v>
      </c>
      <c r="B3504" s="914" t="s">
        <v>4727</v>
      </c>
      <c r="C3504" s="915" t="s">
        <v>4720</v>
      </c>
      <c r="D3504" s="456">
        <f>IF(Table10[[#This Row],[Current Age]]&gt;19,"Men's",IF(E3504&gt;15,"U19",IF(E3504&gt;13,"U15",IF(E3504&gt;11,"U13",IF(E3504&gt;0,"U11",0)))))</f>
        <v>0</v>
      </c>
      <c r="E3504" s="456">
        <f>IFERROR(IF(Table10[[#This Row],[Year]]&gt;0,$E$1-Table10[[#This Row],[Year]],0),"")</f>
        <v>0</v>
      </c>
      <c r="F3504" s="456"/>
      <c r="G3504" s="456"/>
      <c r="H3504" s="456"/>
    </row>
    <row r="3505" spans="1:8">
      <c r="A3505" s="456">
        <v>4502</v>
      </c>
      <c r="B3505" s="469" t="s">
        <v>4728</v>
      </c>
      <c r="C3505" s="458" t="s">
        <v>4720</v>
      </c>
      <c r="D3505" s="456">
        <f>IF(Table10[[#This Row],[Current Age]]&gt;19,"Men's",IF(E3505&gt;15,"U19",IF(E3505&gt;13,"U15",IF(E3505&gt;11,"U13",IF(E3505&gt;0,"U11",0)))))</f>
        <v>0</v>
      </c>
      <c r="E3505" s="456">
        <f>IFERROR(IF(Table10[[#This Row],[Year]]&gt;0,$E$1-Table10[[#This Row],[Year]],0),"")</f>
        <v>0</v>
      </c>
      <c r="F3505" s="456"/>
      <c r="G3505" s="456"/>
      <c r="H3505" s="456"/>
    </row>
    <row r="3506" spans="1:8">
      <c r="A3506" s="471">
        <v>4503</v>
      </c>
      <c r="B3506" s="493" t="s">
        <v>4736</v>
      </c>
      <c r="C3506" s="472" t="s">
        <v>4720</v>
      </c>
      <c r="D3506" s="456">
        <f>IF(Table10[[#This Row],[Current Age]]&gt;19,"Men's",IF(E3506&gt;15,"U19",IF(E3506&gt;13,"U15",IF(E3506&gt;11,"U13",IF(E3506&gt;0,"U11",0)))))</f>
        <v>0</v>
      </c>
      <c r="E3506" s="456">
        <f>IFERROR(IF(Table10[[#This Row],[Year]]&gt;0,$E$1-Table10[[#This Row],[Year]],0),"")</f>
        <v>0</v>
      </c>
      <c r="F3506" s="456"/>
      <c r="G3506" s="456"/>
      <c r="H3506" s="456"/>
    </row>
    <row r="3507" spans="1:8">
      <c r="A3507" s="456">
        <v>4504</v>
      </c>
      <c r="B3507" s="469" t="s">
        <v>4735</v>
      </c>
      <c r="C3507" s="458" t="s">
        <v>4734</v>
      </c>
      <c r="D3507" s="456">
        <f>IF(Table10[[#This Row],[Current Age]]&gt;19,"Men's",IF(E3507&gt;15,"U19",IF(E3507&gt;13,"U15",IF(E3507&gt;11,"U13",IF(E3507&gt;0,"U11",0)))))</f>
        <v>0</v>
      </c>
      <c r="E3507" s="456">
        <f>IFERROR(IF(Table10[[#This Row],[Year]]&gt;0,$E$1-Table10[[#This Row],[Year]],0),"")</f>
        <v>0</v>
      </c>
      <c r="F3507" s="456"/>
      <c r="G3507" s="456"/>
      <c r="H3507" s="456"/>
    </row>
    <row r="3508" spans="1:8">
      <c r="A3508" s="471">
        <v>4505</v>
      </c>
      <c r="B3508" s="493" t="s">
        <v>4733</v>
      </c>
      <c r="C3508" s="472" t="s">
        <v>4734</v>
      </c>
      <c r="D3508" s="456">
        <f>IF(Table10[[#This Row],[Current Age]]&gt;19,"Men's",IF(E3508&gt;15,"U19",IF(E3508&gt;13,"U15",IF(E3508&gt;11,"U13",IF(E3508&gt;0,"U11",0)))))</f>
        <v>0</v>
      </c>
      <c r="E3508" s="456">
        <f>IFERROR(IF(Table10[[#This Row],[Year]]&gt;0,$E$1-Table10[[#This Row],[Year]],0),"")</f>
        <v>0</v>
      </c>
      <c r="F3508" s="456"/>
      <c r="G3508" s="456"/>
      <c r="H3508" s="456"/>
    </row>
    <row r="3509" spans="1:8">
      <c r="A3509" s="456">
        <v>4506</v>
      </c>
      <c r="B3509" s="469" t="s">
        <v>4732</v>
      </c>
      <c r="C3509" s="458" t="s">
        <v>4720</v>
      </c>
      <c r="D3509" s="456">
        <f>IF(Table10[[#This Row],[Current Age]]&gt;19,"Men's",IF(E3509&gt;15,"U19",IF(E3509&gt;13,"U15",IF(E3509&gt;11,"U13",IF(E3509&gt;0,"U11",0)))))</f>
        <v>0</v>
      </c>
      <c r="E3509" s="456">
        <f>IFERROR(IF(Table10[[#This Row],[Year]]&gt;0,$E$1-Table10[[#This Row],[Year]],0),"")</f>
        <v>0</v>
      </c>
      <c r="F3509" s="456"/>
      <c r="G3509" s="456"/>
      <c r="H3509" s="456"/>
    </row>
    <row r="3510" spans="1:8">
      <c r="A3510" s="471">
        <v>4507</v>
      </c>
      <c r="B3510" s="493" t="s">
        <v>4730</v>
      </c>
      <c r="C3510" s="472" t="s">
        <v>4731</v>
      </c>
      <c r="D3510" s="456">
        <f>IF(Table10[[#This Row],[Current Age]]&gt;19,"Men's",IF(E3510&gt;15,"U19",IF(E3510&gt;13,"U15",IF(E3510&gt;11,"U13",IF(E3510&gt;0,"U11",0)))))</f>
        <v>0</v>
      </c>
      <c r="E3510" s="456">
        <f>IFERROR(IF(Table10[[#This Row],[Year]]&gt;0,$E$1-Table10[[#This Row],[Year]],0),"")</f>
        <v>0</v>
      </c>
      <c r="F3510" s="456"/>
      <c r="G3510" s="456"/>
      <c r="H3510" s="456"/>
    </row>
    <row r="3511" spans="1:8">
      <c r="A3511" s="456">
        <v>4508</v>
      </c>
      <c r="B3511" s="469" t="s">
        <v>4729</v>
      </c>
      <c r="C3511" s="458" t="s">
        <v>4720</v>
      </c>
      <c r="D3511" s="456">
        <f>IF(Table10[[#This Row],[Current Age]]&gt;19,"Men's",IF(E3511&gt;15,"U19",IF(E3511&gt;13,"U15",IF(E3511&gt;11,"U13",IF(E3511&gt;0,"U11",0)))))</f>
        <v>0</v>
      </c>
      <c r="E3511" s="456">
        <f>IFERROR(IF(Table10[[#This Row],[Year]]&gt;0,$E$1-Table10[[#This Row],[Year]],0),"")</f>
        <v>0</v>
      </c>
      <c r="F3511" s="456"/>
      <c r="G3511" s="456"/>
      <c r="H3511" s="456"/>
    </row>
    <row r="3512" spans="1:8">
      <c r="A3512" s="471">
        <v>4509</v>
      </c>
      <c r="B3512" s="493" t="s">
        <v>4737</v>
      </c>
      <c r="C3512" s="472" t="s">
        <v>4720</v>
      </c>
      <c r="D3512" s="456">
        <f>IF(Table10[[#This Row],[Current Age]]&gt;19,"Men's",IF(E3512&gt;15,"U19",IF(E3512&gt;13,"U15",IF(E3512&gt;11,"U13",IF(E3512&gt;0,"U11",0)))))</f>
        <v>0</v>
      </c>
      <c r="E3512" s="456">
        <f>IFERROR(IF(Table10[[#This Row],[Year]]&gt;0,$E$1-Table10[[#This Row],[Year]],0),"")</f>
        <v>0</v>
      </c>
      <c r="F3512" s="456"/>
      <c r="G3512" s="456"/>
      <c r="H3512" s="456"/>
    </row>
    <row r="3513" spans="1:8">
      <c r="A3513" s="456">
        <v>4510</v>
      </c>
      <c r="B3513" s="469" t="s">
        <v>4738</v>
      </c>
      <c r="C3513" s="458" t="s">
        <v>4720</v>
      </c>
      <c r="D3513" s="456">
        <f>IF(Table10[[#This Row],[Current Age]]&gt;19,"Men's",IF(E3513&gt;15,"U19",IF(E3513&gt;13,"U15",IF(E3513&gt;11,"U13",IF(E3513&gt;0,"U11",0)))))</f>
        <v>0</v>
      </c>
      <c r="E3513" s="456">
        <f>IFERROR(IF(Table10[[#This Row],[Year]]&gt;0,$E$1-Table10[[#This Row],[Year]],0),"")</f>
        <v>0</v>
      </c>
      <c r="F3513" s="456"/>
      <c r="G3513" s="456"/>
      <c r="H3513" s="456"/>
    </row>
    <row r="3514" spans="1:8">
      <c r="A3514" s="471">
        <v>4511</v>
      </c>
      <c r="B3514" s="494" t="s">
        <v>5790</v>
      </c>
      <c r="C3514" s="484" t="s">
        <v>244</v>
      </c>
      <c r="D3514" s="456">
        <f>IF(Table10[[#This Row],[Current Age]]&gt;19,"Men's",IF(E3514&gt;15,"U19",IF(E3514&gt;13,"U15",IF(E3514&gt;11,"U13",IF(E3514&gt;0,"U11",0)))))</f>
        <v>0</v>
      </c>
      <c r="E3514" s="456">
        <f>IFERROR(IF(Table10[[#This Row],[Year]]&gt;0,$E$1-Table10[[#This Row],[Year]],0),"")</f>
        <v>0</v>
      </c>
      <c r="F3514" s="456"/>
      <c r="G3514" s="456"/>
      <c r="H3514" s="456"/>
    </row>
    <row r="3515" spans="1:8">
      <c r="A3515" s="456">
        <v>4512</v>
      </c>
      <c r="B3515" s="469" t="s">
        <v>4739</v>
      </c>
      <c r="C3515" s="458" t="s">
        <v>4720</v>
      </c>
      <c r="D3515" s="456">
        <f>IF(Table10[[#This Row],[Current Age]]&gt;19,"Men's",IF(E3515&gt;15,"U19",IF(E3515&gt;13,"U15",IF(E3515&gt;11,"U13",IF(E3515&gt;0,"U11",0)))))</f>
        <v>0</v>
      </c>
      <c r="E3515" s="456">
        <f>IFERROR(IF(Table10[[#This Row],[Year]]&gt;0,$E$1-Table10[[#This Row],[Year]],0),"")</f>
        <v>0</v>
      </c>
      <c r="F3515" s="456"/>
      <c r="G3515" s="456"/>
      <c r="H3515" s="456"/>
    </row>
    <row r="3516" spans="1:8">
      <c r="A3516" s="471">
        <v>4513</v>
      </c>
      <c r="B3516" s="493" t="s">
        <v>4740</v>
      </c>
      <c r="C3516" s="472" t="s">
        <v>4720</v>
      </c>
      <c r="D3516" s="456">
        <f>IF(Table10[[#This Row],[Current Age]]&gt;19,"Men's",IF(E3516&gt;15,"U19",IF(E3516&gt;13,"U15",IF(E3516&gt;11,"U13",IF(E3516&gt;0,"U11",0)))))</f>
        <v>0</v>
      </c>
      <c r="E3516" s="456">
        <f>IFERROR(IF(Table10[[#This Row],[Year]]&gt;0,$E$1-Table10[[#This Row],[Year]],0),"")</f>
        <v>0</v>
      </c>
      <c r="F3516" s="456"/>
      <c r="G3516" s="456"/>
      <c r="H3516" s="456"/>
    </row>
    <row r="3517" spans="1:8">
      <c r="A3517" s="456">
        <v>4514</v>
      </c>
      <c r="B3517" s="495" t="s">
        <v>5804</v>
      </c>
      <c r="C3517" s="464" t="s">
        <v>5805</v>
      </c>
      <c r="D3517" s="456">
        <f>IF(Table10[[#This Row],[Current Age]]&gt;19,"Men's",IF(E3517&gt;15,"U19",IF(E3517&gt;13,"U15",IF(E3517&gt;11,"U13",IF(E3517&gt;0,"U11",0)))))</f>
        <v>0</v>
      </c>
      <c r="E3517" s="456">
        <f>IFERROR(IF(Table10[[#This Row],[Year]]&gt;0,$E$1-Table10[[#This Row],[Year]],0),"")</f>
        <v>0</v>
      </c>
      <c r="F3517" s="456"/>
      <c r="G3517" s="456"/>
      <c r="H3517" s="456"/>
    </row>
    <row r="3518" spans="1:8">
      <c r="A3518" s="471">
        <v>4515</v>
      </c>
      <c r="B3518" s="493" t="s">
        <v>4741</v>
      </c>
      <c r="C3518" s="472" t="s">
        <v>4720</v>
      </c>
      <c r="D3518" s="456">
        <f>IF(Table10[[#This Row],[Current Age]]&gt;19,"Men's",IF(E3518&gt;15,"U19",IF(E3518&gt;13,"U15",IF(E3518&gt;11,"U13",IF(E3518&gt;0,"U11",0)))))</f>
        <v>0</v>
      </c>
      <c r="E3518" s="456">
        <f>IFERROR(IF(Table10[[#This Row],[Year]]&gt;0,$E$1-Table10[[#This Row],[Year]],0),"")</f>
        <v>0</v>
      </c>
      <c r="F3518" s="456"/>
      <c r="G3518" s="456"/>
      <c r="H3518" s="456"/>
    </row>
    <row r="3519" spans="1:8">
      <c r="A3519" s="456">
        <v>4516</v>
      </c>
      <c r="B3519" s="469" t="s">
        <v>4742</v>
      </c>
      <c r="C3519" s="458" t="s">
        <v>4720</v>
      </c>
      <c r="D3519" s="456">
        <f>IF(Table10[[#This Row],[Current Age]]&gt;19,"Men's",IF(E3519&gt;15,"U19",IF(E3519&gt;13,"U15",IF(E3519&gt;11,"U13",IF(E3519&gt;0,"U11",0)))))</f>
        <v>0</v>
      </c>
      <c r="E3519" s="456">
        <f>IFERROR(IF(Table10[[#This Row],[Year]]&gt;0,$E$1-Table10[[#This Row],[Year]],0),"")</f>
        <v>0</v>
      </c>
      <c r="F3519" s="456"/>
      <c r="G3519" s="456"/>
      <c r="H3519" s="456"/>
    </row>
    <row r="3520" spans="1:8">
      <c r="A3520" s="471">
        <v>4517</v>
      </c>
      <c r="B3520" s="493" t="s">
        <v>4743</v>
      </c>
      <c r="C3520" s="472" t="s">
        <v>4722</v>
      </c>
      <c r="D3520" s="456">
        <f>IF(Table10[[#This Row],[Current Age]]&gt;19,"Men's",IF(E3520&gt;15,"U19",IF(E3520&gt;13,"U15",IF(E3520&gt;11,"U13",IF(E3520&gt;0,"U11",0)))))</f>
        <v>0</v>
      </c>
      <c r="E3520" s="456">
        <f>IFERROR(IF(Table10[[#This Row],[Year]]&gt;0,$E$1-Table10[[#This Row],[Year]],0),"")</f>
        <v>0</v>
      </c>
      <c r="F3520" s="456"/>
      <c r="G3520" s="456"/>
      <c r="H3520" s="456"/>
    </row>
    <row r="3521" spans="1:8">
      <c r="A3521" s="456">
        <v>4518</v>
      </c>
      <c r="B3521" s="469" t="s">
        <v>4744</v>
      </c>
      <c r="C3521" s="458" t="s">
        <v>4745</v>
      </c>
      <c r="D3521" s="456">
        <f>IF(Table10[[#This Row],[Current Age]]&gt;19,"Men's",IF(E3521&gt;15,"U19",IF(E3521&gt;13,"U15",IF(E3521&gt;11,"U13",IF(E3521&gt;0,"U11",0)))))</f>
        <v>0</v>
      </c>
      <c r="E3521" s="456">
        <f>IFERROR(IF(Table10[[#This Row],[Year]]&gt;0,$E$1-Table10[[#This Row],[Year]],0),"")</f>
        <v>0</v>
      </c>
      <c r="F3521" s="456"/>
      <c r="G3521" s="456"/>
      <c r="H3521" s="456"/>
    </row>
    <row r="3522" spans="1:8">
      <c r="A3522" s="471">
        <v>4519</v>
      </c>
      <c r="B3522" s="493" t="s">
        <v>4746</v>
      </c>
      <c r="C3522" s="472" t="s">
        <v>4745</v>
      </c>
      <c r="D3522" s="456">
        <f>IF(Table10[[#This Row],[Current Age]]&gt;19,"Men's",IF(E3522&gt;15,"U19",IF(E3522&gt;13,"U15",IF(E3522&gt;11,"U13",IF(E3522&gt;0,"U11",0)))))</f>
        <v>0</v>
      </c>
      <c r="E3522" s="456">
        <f>IFERROR(IF(Table10[[#This Row],[Year]]&gt;0,$E$1-Table10[[#This Row],[Year]],0),"")</f>
        <v>0</v>
      </c>
      <c r="F3522" s="456"/>
      <c r="G3522" s="456"/>
      <c r="H3522" s="456"/>
    </row>
    <row r="3523" spans="1:8">
      <c r="A3523" s="456">
        <v>4520</v>
      </c>
      <c r="B3523" s="469" t="s">
        <v>4747</v>
      </c>
      <c r="C3523" s="458" t="s">
        <v>4731</v>
      </c>
      <c r="D3523" s="456">
        <f>IF(Table10[[#This Row],[Current Age]]&gt;19,"Men's",IF(E3523&gt;15,"U19",IF(E3523&gt;13,"U15",IF(E3523&gt;11,"U13",IF(E3523&gt;0,"U11",0)))))</f>
        <v>0</v>
      </c>
      <c r="E3523" s="456">
        <f>IFERROR(IF(Table10[[#This Row],[Year]]&gt;0,$E$1-Table10[[#This Row],[Year]],0),"")</f>
        <v>0</v>
      </c>
      <c r="F3523" s="456"/>
      <c r="G3523" s="456"/>
      <c r="H3523" s="456"/>
    </row>
    <row r="3524" spans="1:8">
      <c r="A3524" s="471">
        <v>4521</v>
      </c>
      <c r="B3524" s="493" t="s">
        <v>4748</v>
      </c>
      <c r="C3524" s="472" t="s">
        <v>4720</v>
      </c>
      <c r="D3524" s="456">
        <f>IF(Table10[[#This Row],[Current Age]]&gt;19,"Men's",IF(E3524&gt;15,"U19",IF(E3524&gt;13,"U15",IF(E3524&gt;11,"U13",IF(E3524&gt;0,"U11",0)))))</f>
        <v>0</v>
      </c>
      <c r="E3524" s="456">
        <f>IFERROR(IF(Table10[[#This Row],[Year]]&gt;0,$E$1-Table10[[#This Row],[Year]],0),"")</f>
        <v>0</v>
      </c>
      <c r="F3524" s="456"/>
      <c r="G3524" s="456"/>
      <c r="H3524" s="456"/>
    </row>
    <row r="3525" spans="1:8">
      <c r="A3525" s="456">
        <v>4522</v>
      </c>
      <c r="B3525" s="469" t="s">
        <v>4749</v>
      </c>
      <c r="C3525" s="458" t="s">
        <v>4745</v>
      </c>
      <c r="D3525" s="456">
        <f>IF(Table10[[#This Row],[Current Age]]&gt;19,"Men's",IF(E3525&gt;15,"U19",IF(E3525&gt;13,"U15",IF(E3525&gt;11,"U13",IF(E3525&gt;0,"U11",0)))))</f>
        <v>0</v>
      </c>
      <c r="E3525" s="456">
        <f>IFERROR(IF(Table10[[#This Row],[Year]]&gt;0,$E$1-Table10[[#This Row],[Year]],0),"")</f>
        <v>0</v>
      </c>
      <c r="F3525" s="456"/>
      <c r="G3525" s="456"/>
      <c r="H3525" s="456"/>
    </row>
    <row r="3526" spans="1:8">
      <c r="A3526" s="471">
        <v>4523</v>
      </c>
      <c r="B3526" s="493" t="s">
        <v>4750</v>
      </c>
      <c r="C3526" s="472" t="s">
        <v>4720</v>
      </c>
      <c r="D3526" s="456">
        <f>IF(Table10[[#This Row],[Current Age]]&gt;19,"Men's",IF(E3526&gt;15,"U19",IF(E3526&gt;13,"U15",IF(E3526&gt;11,"U13",IF(E3526&gt;0,"U11",0)))))</f>
        <v>0</v>
      </c>
      <c r="E3526" s="456">
        <f>IFERROR(IF(Table10[[#This Row],[Year]]&gt;0,$E$1-Table10[[#This Row],[Year]],0),"")</f>
        <v>0</v>
      </c>
      <c r="F3526" s="456"/>
      <c r="G3526" s="456"/>
      <c r="H3526" s="456"/>
    </row>
    <row r="3527" spans="1:8">
      <c r="A3527" s="456">
        <v>4524</v>
      </c>
      <c r="B3527" s="469" t="s">
        <v>4751</v>
      </c>
      <c r="C3527" s="458" t="s">
        <v>4720</v>
      </c>
      <c r="D3527" s="456">
        <f>IF(Table10[[#This Row],[Current Age]]&gt;19,"Men's",IF(E3527&gt;15,"U19",IF(E3527&gt;13,"U15",IF(E3527&gt;11,"U13",IF(E3527&gt;0,"U11",0)))))</f>
        <v>0</v>
      </c>
      <c r="E3527" s="456">
        <f>IFERROR(IF(Table10[[#This Row],[Year]]&gt;0,$E$1-Table10[[#This Row],[Year]],0),"")</f>
        <v>0</v>
      </c>
      <c r="F3527" s="456"/>
      <c r="G3527" s="456"/>
      <c r="H3527" s="456"/>
    </row>
    <row r="3528" spans="1:8">
      <c r="A3528" s="471">
        <v>4525</v>
      </c>
      <c r="B3528" s="493" t="s">
        <v>4752</v>
      </c>
      <c r="C3528" s="472" t="s">
        <v>4720</v>
      </c>
      <c r="D3528" s="456">
        <f>IF(Table10[[#This Row],[Current Age]]&gt;19,"Men's",IF(E3528&gt;15,"U19",IF(E3528&gt;13,"U15",IF(E3528&gt;11,"U13",IF(E3528&gt;0,"U11",0)))))</f>
        <v>0</v>
      </c>
      <c r="E3528" s="456">
        <f>IFERROR(IF(Table10[[#This Row],[Year]]&gt;0,$E$1-Table10[[#This Row],[Year]],0),"")</f>
        <v>0</v>
      </c>
      <c r="F3528" s="456"/>
      <c r="G3528" s="456"/>
      <c r="H3528" s="456"/>
    </row>
    <row r="3529" spans="1:8">
      <c r="A3529" s="456">
        <v>4526</v>
      </c>
      <c r="B3529" s="469" t="s">
        <v>4753</v>
      </c>
      <c r="C3529" s="458" t="s">
        <v>4720</v>
      </c>
      <c r="D3529" s="456">
        <f>IF(Table10[[#This Row],[Current Age]]&gt;19,"Men's",IF(E3529&gt;15,"U19",IF(E3529&gt;13,"U15",IF(E3529&gt;11,"U13",IF(E3529&gt;0,"U11",0)))))</f>
        <v>0</v>
      </c>
      <c r="E3529" s="456">
        <f>IFERROR(IF(Table10[[#This Row],[Year]]&gt;0,$E$1-Table10[[#This Row],[Year]],0),"")</f>
        <v>0</v>
      </c>
      <c r="F3529" s="456"/>
      <c r="G3529" s="456"/>
      <c r="H3529" s="456"/>
    </row>
    <row r="3530" spans="1:8">
      <c r="A3530" s="471">
        <v>4527</v>
      </c>
      <c r="B3530" s="493" t="s">
        <v>4766</v>
      </c>
      <c r="C3530" s="472" t="s">
        <v>4720</v>
      </c>
      <c r="D3530" s="456">
        <f>IF(Table10[[#This Row],[Current Age]]&gt;19,"Men's",IF(E3530&gt;15,"U19",IF(E3530&gt;13,"U15",IF(E3530&gt;11,"U13",IF(E3530&gt;0,"U11",0)))))</f>
        <v>0</v>
      </c>
      <c r="E3530" s="456">
        <f>IFERROR(IF(Table10[[#This Row],[Year]]&gt;0,$E$1-Table10[[#This Row],[Year]],0),"")</f>
        <v>0</v>
      </c>
      <c r="F3530" s="456"/>
      <c r="G3530" s="456"/>
      <c r="H3530" s="456"/>
    </row>
    <row r="3531" spans="1:8">
      <c r="A3531" s="456">
        <v>4528</v>
      </c>
      <c r="B3531" s="469" t="s">
        <v>4767</v>
      </c>
      <c r="C3531" s="458" t="s">
        <v>4745</v>
      </c>
      <c r="D3531" s="456">
        <f>IF(Table10[[#This Row],[Current Age]]&gt;19,"Men's",IF(E3531&gt;15,"U19",IF(E3531&gt;13,"U15",IF(E3531&gt;11,"U13",IF(E3531&gt;0,"U11",0)))))</f>
        <v>0</v>
      </c>
      <c r="E3531" s="456">
        <f>IFERROR(IF(Table10[[#This Row],[Year]]&gt;0,$E$1-Table10[[#This Row],[Year]],0),"")</f>
        <v>0</v>
      </c>
      <c r="F3531" s="456"/>
      <c r="G3531" s="456"/>
      <c r="H3531" s="456"/>
    </row>
    <row r="3532" spans="1:8">
      <c r="A3532" s="471">
        <v>4529</v>
      </c>
      <c r="B3532" s="493" t="s">
        <v>4883</v>
      </c>
      <c r="C3532" s="472" t="s">
        <v>362</v>
      </c>
      <c r="D3532" s="456">
        <f>IF(Table10[[#This Row],[Current Age]]&gt;19,"Men's",IF(E3532&gt;15,"U19",IF(E3532&gt;13,"U15",IF(E3532&gt;11,"U13",IF(E3532&gt;0,"U11",0)))))</f>
        <v>0</v>
      </c>
      <c r="E3532" s="456">
        <f>IFERROR(IF(Table10[[#This Row],[Year]]&gt;0,$E$1-Table10[[#This Row],[Year]],0),"")</f>
        <v>0</v>
      </c>
      <c r="F3532" s="456"/>
      <c r="G3532" s="456"/>
      <c r="H3532" s="456"/>
    </row>
    <row r="3533" spans="1:8">
      <c r="A3533" s="456">
        <v>4530</v>
      </c>
      <c r="B3533" s="469" t="s">
        <v>4865</v>
      </c>
      <c r="C3533" s="458" t="s">
        <v>1914</v>
      </c>
      <c r="D3533" s="456">
        <f>IF(Table10[[#This Row],[Current Age]]&gt;19,"Men's",IF(E3533&gt;15,"U19",IF(E3533&gt;13,"U15",IF(E3533&gt;11,"U13",IF(E3533&gt;0,"U11",0)))))</f>
        <v>0</v>
      </c>
      <c r="E3533" s="456">
        <f>IFERROR(IF(Table10[[#This Row],[Year]]&gt;0,$E$1-Table10[[#This Row],[Year]],0),"")</f>
        <v>0</v>
      </c>
      <c r="F3533" s="456"/>
      <c r="G3533" s="456"/>
      <c r="H3533" s="456"/>
    </row>
    <row r="3534" spans="1:8">
      <c r="A3534" s="471">
        <v>4531</v>
      </c>
      <c r="B3534" s="493" t="s">
        <v>4901</v>
      </c>
      <c r="C3534" s="472" t="s">
        <v>362</v>
      </c>
      <c r="D3534" s="456">
        <f>IF(Table10[[#This Row],[Current Age]]&gt;19,"Men's",IF(E3534&gt;15,"U19",IF(E3534&gt;13,"U15",IF(E3534&gt;11,"U13",IF(E3534&gt;0,"U11",0)))))</f>
        <v>0</v>
      </c>
      <c r="E3534" s="456">
        <f>IFERROR(IF(Table10[[#This Row],[Year]]&gt;0,$E$1-Table10[[#This Row],[Year]],0),"")</f>
        <v>0</v>
      </c>
      <c r="F3534" s="456"/>
      <c r="G3534" s="456"/>
      <c r="H3534" s="456"/>
    </row>
    <row r="3535" spans="1:8">
      <c r="A3535" s="456">
        <v>4532</v>
      </c>
      <c r="B3535" s="469" t="s">
        <v>4866</v>
      </c>
      <c r="C3535" s="458" t="s">
        <v>361</v>
      </c>
      <c r="D3535" s="456">
        <f>IF(Table10[[#This Row],[Current Age]]&gt;19,"Men's",IF(E3535&gt;15,"U19",IF(E3535&gt;13,"U15",IF(E3535&gt;11,"U13",IF(E3535&gt;0,"U11",0)))))</f>
        <v>0</v>
      </c>
      <c r="E3535" s="456">
        <f>IFERROR(IF(Table10[[#This Row],[Year]]&gt;0,$E$1-Table10[[#This Row],[Year]],0),"")</f>
        <v>0</v>
      </c>
      <c r="F3535" s="456"/>
      <c r="G3535" s="456"/>
      <c r="H3535" s="456"/>
    </row>
    <row r="3536" spans="1:8">
      <c r="A3536" s="471">
        <v>4533</v>
      </c>
      <c r="B3536" s="493" t="s">
        <v>4867</v>
      </c>
      <c r="C3536" s="472" t="s">
        <v>361</v>
      </c>
      <c r="D3536" s="456">
        <f>IF(Table10[[#This Row],[Current Age]]&gt;19,"Men's",IF(E3536&gt;15,"U19",IF(E3536&gt;13,"U15",IF(E3536&gt;11,"U13",IF(E3536&gt;0,"U11",0)))))</f>
        <v>0</v>
      </c>
      <c r="E3536" s="456">
        <f>IFERROR(IF(Table10[[#This Row],[Year]]&gt;0,$E$1-Table10[[#This Row],[Year]],0),"")</f>
        <v>0</v>
      </c>
      <c r="F3536" s="456"/>
      <c r="G3536" s="456"/>
      <c r="H3536" s="456"/>
    </row>
    <row r="3537" spans="1:9">
      <c r="A3537" s="456">
        <v>4534</v>
      </c>
      <c r="B3537" s="469" t="s">
        <v>4868</v>
      </c>
      <c r="C3537" s="458" t="s">
        <v>361</v>
      </c>
      <c r="D3537" s="456">
        <f>IF(Table10[[#This Row],[Current Age]]&gt;19,"Men's",IF(E3537&gt;15,"U19",IF(E3537&gt;13,"U15",IF(E3537&gt;11,"U13",IF(E3537&gt;0,"U11",0)))))</f>
        <v>0</v>
      </c>
      <c r="E3537" s="456">
        <f>IFERROR(IF(Table10[[#This Row],[Year]]&gt;0,$E$1-Table10[[#This Row],[Year]],0),"")</f>
        <v>0</v>
      </c>
      <c r="F3537" s="456"/>
      <c r="G3537" s="456"/>
      <c r="H3537" s="456"/>
    </row>
    <row r="3538" spans="1:9">
      <c r="A3538" s="471">
        <v>4535</v>
      </c>
      <c r="B3538" s="493" t="s">
        <v>4869</v>
      </c>
      <c r="C3538" s="472" t="s">
        <v>361</v>
      </c>
      <c r="D3538" s="456">
        <f>IF(Table10[[#This Row],[Current Age]]&gt;19,"Men's",IF(E3538&gt;15,"U19",IF(E3538&gt;13,"U15",IF(E3538&gt;11,"U13",IF(E3538&gt;0,"U11",0)))))</f>
        <v>0</v>
      </c>
      <c r="E3538" s="456">
        <f>IFERROR(IF(Table10[[#This Row],[Year]]&gt;0,$E$1-Table10[[#This Row],[Year]],0),"")</f>
        <v>0</v>
      </c>
      <c r="F3538" s="456"/>
      <c r="G3538" s="456"/>
      <c r="H3538" s="456"/>
    </row>
    <row r="3539" spans="1:9">
      <c r="A3539" s="456">
        <v>4536</v>
      </c>
      <c r="B3539" s="469" t="s">
        <v>4870</v>
      </c>
      <c r="C3539" s="458" t="s">
        <v>361</v>
      </c>
      <c r="D3539" s="456">
        <f>IF(Table10[[#This Row],[Current Age]]&gt;19,"Men's",IF(E3539&gt;15,"U19",IF(E3539&gt;13,"U15",IF(E3539&gt;11,"U13",IF(E3539&gt;0,"U11",0)))))</f>
        <v>0</v>
      </c>
      <c r="E3539" s="456">
        <f>IFERROR(IF(Table10[[#This Row],[Year]]&gt;0,$E$1-Table10[[#This Row],[Year]],0),"")</f>
        <v>0</v>
      </c>
      <c r="F3539" s="456"/>
      <c r="G3539" s="456"/>
      <c r="H3539" s="456"/>
    </row>
    <row r="3540" spans="1:9">
      <c r="A3540" s="471">
        <v>4537</v>
      </c>
      <c r="B3540" s="493" t="s">
        <v>4871</v>
      </c>
      <c r="C3540" s="472" t="s">
        <v>361</v>
      </c>
      <c r="D3540" s="456">
        <f>IF(Table10[[#This Row],[Current Age]]&gt;19,"Men's",IF(E3540&gt;15,"U19",IF(E3540&gt;13,"U15",IF(E3540&gt;11,"U13",IF(E3540&gt;0,"U11",0)))))</f>
        <v>0</v>
      </c>
      <c r="E3540" s="456">
        <f>IFERROR(IF(Table10[[#This Row],[Year]]&gt;0,$E$1-Table10[[#This Row],[Year]],0),"")</f>
        <v>0</v>
      </c>
      <c r="F3540" s="456"/>
      <c r="G3540" s="456"/>
      <c r="H3540" s="456"/>
    </row>
    <row r="3541" spans="1:9">
      <c r="A3541" s="456">
        <v>4538</v>
      </c>
      <c r="B3541" s="469" t="s">
        <v>4872</v>
      </c>
      <c r="C3541" s="458" t="s">
        <v>1914</v>
      </c>
      <c r="D3541" s="456">
        <f>IF(Table10[[#This Row],[Current Age]]&gt;19,"Men's",IF(E3541&gt;15,"U19",IF(E3541&gt;13,"U15",IF(E3541&gt;11,"U13",IF(E3541&gt;0,"U11",0)))))</f>
        <v>0</v>
      </c>
      <c r="E3541" s="456">
        <f>IFERROR(IF(Table10[[#This Row],[Year]]&gt;0,$E$1-Table10[[#This Row],[Year]],0),"")</f>
        <v>0</v>
      </c>
      <c r="F3541" s="456"/>
      <c r="G3541" s="456"/>
      <c r="H3541" s="456"/>
    </row>
    <row r="3542" spans="1:9">
      <c r="A3542" s="471">
        <v>4539</v>
      </c>
      <c r="B3542" s="493" t="s">
        <v>4873</v>
      </c>
      <c r="C3542" s="472" t="s">
        <v>361</v>
      </c>
      <c r="D3542" s="456">
        <f>IF(Table10[[#This Row],[Current Age]]&gt;19,"Men's",IF(E3542&gt;15,"U19",IF(E3542&gt;13,"U15",IF(E3542&gt;11,"U13",IF(E3542&gt;0,"U11",0)))))</f>
        <v>0</v>
      </c>
      <c r="E3542" s="456">
        <f>IFERROR(IF(Table10[[#This Row],[Year]]&gt;0,$E$1-Table10[[#This Row],[Year]],0),"")</f>
        <v>0</v>
      </c>
      <c r="F3542" s="456"/>
      <c r="G3542" s="456"/>
      <c r="H3542" s="456"/>
    </row>
    <row r="3543" spans="1:9">
      <c r="A3543" s="456">
        <v>4540</v>
      </c>
      <c r="B3543" s="469" t="s">
        <v>4874</v>
      </c>
      <c r="C3543" s="458" t="s">
        <v>361</v>
      </c>
      <c r="D3543" s="456">
        <f>IF(Table10[[#This Row],[Current Age]]&gt;19,"Men's",IF(E3543&gt;15,"U19",IF(E3543&gt;13,"U15",IF(E3543&gt;11,"U13",IF(E3543&gt;0,"U11",0)))))</f>
        <v>0</v>
      </c>
      <c r="E3543" s="456">
        <f>IFERROR(IF(Table10[[#This Row],[Year]]&gt;0,$E$1-Table10[[#This Row],[Year]],0),"")</f>
        <v>0</v>
      </c>
      <c r="F3543" s="456"/>
      <c r="G3543" s="456"/>
      <c r="H3543" s="456"/>
    </row>
    <row r="3544" spans="1:9">
      <c r="A3544" s="471">
        <v>4541</v>
      </c>
      <c r="B3544" s="493" t="s">
        <v>4875</v>
      </c>
      <c r="C3544" s="472" t="s">
        <v>361</v>
      </c>
      <c r="D3544" s="456">
        <f>IF(Table10[[#This Row],[Current Age]]&gt;19,"Men's",IF(E3544&gt;15,"U19",IF(E3544&gt;13,"U15",IF(E3544&gt;11,"U13",IF(E3544&gt;0,"U11",0)))))</f>
        <v>0</v>
      </c>
      <c r="E3544" s="456">
        <f>IFERROR(IF(Table10[[#This Row],[Year]]&gt;0,$E$1-Table10[[#This Row],[Year]],0),"")</f>
        <v>0</v>
      </c>
      <c r="F3544" s="456"/>
      <c r="G3544" s="456"/>
      <c r="H3544" s="456"/>
    </row>
    <row r="3545" spans="1:9">
      <c r="A3545" s="799">
        <v>4542</v>
      </c>
      <c r="B3545" s="495" t="s">
        <v>5983</v>
      </c>
      <c r="C3545" s="470" t="s">
        <v>362</v>
      </c>
      <c r="D3545" s="456">
        <f>IF(Table10[[#This Row],[Current Age]]&gt;19,"Men's",IF(E3545&gt;15,"U19",IF(E3545&gt;13,"U15",IF(E3545&gt;11,"U13",IF(E3545&gt;0,"U11",0)))))</f>
        <v>0</v>
      </c>
      <c r="E3545" s="456">
        <f>IFERROR(IF(Table10[[#This Row],[Year]]&gt;0,$E$1-Table10[[#This Row],[Year]],0),"")</f>
        <v>0</v>
      </c>
      <c r="F3545" s="456"/>
      <c r="G3545" s="456"/>
      <c r="H3545" s="456"/>
    </row>
    <row r="3546" spans="1:9">
      <c r="A3546" s="456">
        <v>4543</v>
      </c>
      <c r="B3546" s="469" t="s">
        <v>4878</v>
      </c>
      <c r="C3546" s="458" t="s">
        <v>361</v>
      </c>
      <c r="D3546" s="456">
        <f>IF(Table10[[#This Row],[Current Age]]&gt;19,"Men's",IF(E3546&gt;15,"U19",IF(E3546&gt;13,"U15",IF(E3546&gt;11,"U13",IF(E3546&gt;0,"U11",0)))))</f>
        <v>0</v>
      </c>
      <c r="E3546" s="456">
        <f>IFERROR(IF(Table10[[#This Row],[Year]]&gt;0,$E$1-Table10[[#This Row],[Year]],0),"")</f>
        <v>0</v>
      </c>
      <c r="F3546" s="456"/>
      <c r="G3546" s="456"/>
      <c r="H3546" s="456"/>
    </row>
    <row r="3547" spans="1:9">
      <c r="A3547" s="471">
        <v>4544</v>
      </c>
      <c r="B3547" s="493" t="s">
        <v>4880</v>
      </c>
      <c r="C3547" s="472" t="s">
        <v>361</v>
      </c>
      <c r="D3547" s="456">
        <f>IF(Table10[[#This Row],[Current Age]]&gt;19,"Men's",IF(E3547&gt;15,"U19",IF(E3547&gt;13,"U15",IF(E3547&gt;11,"U13",IF(E3547&gt;0,"U11",0)))))</f>
        <v>0</v>
      </c>
      <c r="E3547" s="456">
        <f>IFERROR(IF(Table10[[#This Row],[Year]]&gt;0,$E$1-Table10[[#This Row],[Year]],0),"")</f>
        <v>0</v>
      </c>
      <c r="F3547" s="456"/>
      <c r="G3547" s="456"/>
      <c r="H3547" s="456"/>
    </row>
    <row r="3548" spans="1:9">
      <c r="A3548" s="456">
        <v>4545</v>
      </c>
      <c r="B3548" s="469" t="s">
        <v>4881</v>
      </c>
      <c r="C3548" s="458" t="s">
        <v>361</v>
      </c>
      <c r="D3548" s="456">
        <f>IF(Table10[[#This Row],[Current Age]]&gt;19,"Men's",IF(E3548&gt;15,"U19",IF(E3548&gt;13,"U15",IF(E3548&gt;11,"U13",IF(E3548&gt;0,"U11",0)))))</f>
        <v>0</v>
      </c>
      <c r="E3548" s="456">
        <f>IFERROR(IF(Table10[[#This Row],[Year]]&gt;0,$E$1-Table10[[#This Row],[Year]],0),"")</f>
        <v>0</v>
      </c>
      <c r="F3548" s="456"/>
      <c r="G3548" s="456"/>
      <c r="H3548" s="456"/>
    </row>
    <row r="3549" spans="1:9">
      <c r="A3549" s="471">
        <v>4546</v>
      </c>
      <c r="B3549" s="494" t="s">
        <v>5490</v>
      </c>
      <c r="C3549" s="484" t="s">
        <v>4720</v>
      </c>
      <c r="D3549" s="456">
        <f>IF(Table10[[#This Row],[Current Age]]&gt;19,"Men's",IF(E3549&gt;15,"U19",IF(E3549&gt;13,"U15",IF(E3549&gt;11,"U13",IF(E3549&gt;0,"U11",0)))))</f>
        <v>0</v>
      </c>
      <c r="E3549" s="456">
        <f>IFERROR(IF(Table10[[#This Row],[Year]]&gt;0,$E$1-Table10[[#This Row],[Year]],0),"")</f>
        <v>0</v>
      </c>
      <c r="F3549" s="456"/>
      <c r="G3549" s="456"/>
      <c r="H3549" s="456"/>
    </row>
    <row r="3550" spans="1:9">
      <c r="A3550" s="456">
        <v>4547</v>
      </c>
      <c r="B3550" s="469" t="s">
        <v>4884</v>
      </c>
      <c r="C3550" s="458" t="s">
        <v>361</v>
      </c>
      <c r="D3550" s="456">
        <f>IF(Table10[[#This Row],[Current Age]]&gt;19,"Men's",IF(E3550&gt;15,"U19",IF(E3550&gt;13,"U15",IF(E3550&gt;11,"U13",IF(E3550&gt;0,"U11",0)))))</f>
        <v>0</v>
      </c>
      <c r="E3550" s="456">
        <f>IFERROR(IF(Table10[[#This Row],[Year]]&gt;0,$E$1-Table10[[#This Row],[Year]],0),"")</f>
        <v>0</v>
      </c>
      <c r="F3550" s="456"/>
      <c r="G3550" s="456"/>
      <c r="H3550" s="456"/>
      <c r="I3550" t="s">
        <v>4722</v>
      </c>
    </row>
    <row r="3551" spans="1:9">
      <c r="A3551" s="471">
        <v>4548</v>
      </c>
      <c r="B3551" s="493" t="s">
        <v>4876</v>
      </c>
      <c r="C3551" s="472" t="s">
        <v>361</v>
      </c>
      <c r="D3551" s="456">
        <f>IF(Table10[[#This Row],[Current Age]]&gt;19,"Men's",IF(E3551&gt;15,"U19",IF(E3551&gt;13,"U15",IF(E3551&gt;11,"U13",IF(E3551&gt;0,"U11",0)))))</f>
        <v>0</v>
      </c>
      <c r="E3551" s="456">
        <f>IFERROR(IF(Table10[[#This Row],[Year]]&gt;0,$E$1-Table10[[#This Row],[Year]],0),"")</f>
        <v>0</v>
      </c>
      <c r="F3551" s="456"/>
      <c r="G3551" s="456"/>
      <c r="H3551" s="456"/>
    </row>
    <row r="3552" spans="1:9">
      <c r="A3552" s="456">
        <v>4549</v>
      </c>
      <c r="B3552" s="469" t="s">
        <v>5929</v>
      </c>
      <c r="C3552" s="458" t="s">
        <v>1914</v>
      </c>
      <c r="D3552" s="456">
        <f>IF(Table10[[#This Row],[Current Age]]&gt;19,"Men's",IF(E3552&gt;15,"U19",IF(E3552&gt;13,"U15",IF(E3552&gt;11,"U13",IF(E3552&gt;0,"U11",0)))))</f>
        <v>0</v>
      </c>
      <c r="E3552" s="456">
        <f>IFERROR(IF(Table10[[#This Row],[Year]]&gt;0,$E$1-Table10[[#This Row],[Year]],0),"")</f>
        <v>0</v>
      </c>
      <c r="F3552" s="456"/>
      <c r="G3552" s="456"/>
      <c r="H3552" s="456"/>
    </row>
    <row r="3553" spans="1:8">
      <c r="A3553" s="471">
        <v>4550</v>
      </c>
      <c r="B3553" s="493" t="s">
        <v>4877</v>
      </c>
      <c r="C3553" s="472" t="s">
        <v>361</v>
      </c>
      <c r="D3553" s="456">
        <f>IF(Table10[[#This Row],[Current Age]]&gt;19,"Men's",IF(E3553&gt;15,"U19",IF(E3553&gt;13,"U15",IF(E3553&gt;11,"U13",IF(E3553&gt;0,"U11",0)))))</f>
        <v>0</v>
      </c>
      <c r="E3553" s="456">
        <f>IFERROR(IF(Table10[[#This Row],[Year]]&gt;0,$E$1-Table10[[#This Row],[Year]],0),"")</f>
        <v>0</v>
      </c>
      <c r="F3553" s="456"/>
      <c r="G3553" s="456"/>
      <c r="H3553" s="456"/>
    </row>
    <row r="3554" spans="1:8">
      <c r="A3554" s="456">
        <v>4551</v>
      </c>
      <c r="B3554" s="469" t="s">
        <v>4885</v>
      </c>
      <c r="C3554" s="458" t="s">
        <v>361</v>
      </c>
      <c r="D3554" s="456">
        <f>IF(Table10[[#This Row],[Current Age]]&gt;19,"Men's",IF(E3554&gt;15,"U19",IF(E3554&gt;13,"U15",IF(E3554&gt;11,"U13",IF(E3554&gt;0,"U11",0)))))</f>
        <v>0</v>
      </c>
      <c r="E3554" s="456">
        <f>IFERROR(IF(Table10[[#This Row],[Year]]&gt;0,$E$1-Table10[[#This Row],[Year]],0),"")</f>
        <v>0</v>
      </c>
      <c r="F3554" s="456"/>
      <c r="G3554" s="456"/>
      <c r="H3554" s="456"/>
    </row>
    <row r="3555" spans="1:8">
      <c r="A3555" s="471">
        <v>4552</v>
      </c>
      <c r="B3555" s="493" t="s">
        <v>4879</v>
      </c>
      <c r="C3555" s="472" t="s">
        <v>361</v>
      </c>
      <c r="D3555" s="456">
        <f>IF(Table10[[#This Row],[Current Age]]&gt;19,"Men's",IF(E3555&gt;15,"U19",IF(E3555&gt;13,"U15",IF(E3555&gt;11,"U13",IF(E3555&gt;0,"U11",0)))))</f>
        <v>0</v>
      </c>
      <c r="E3555" s="456">
        <f>IFERROR(IF(Table10[[#This Row],[Year]]&gt;0,$E$1-Table10[[#This Row],[Year]],0),"")</f>
        <v>0</v>
      </c>
      <c r="F3555" s="456"/>
      <c r="G3555" s="456"/>
      <c r="H3555" s="456"/>
    </row>
    <row r="3556" spans="1:8">
      <c r="A3556" s="456">
        <v>4553</v>
      </c>
      <c r="B3556" s="469" t="s">
        <v>4886</v>
      </c>
      <c r="C3556" s="458" t="s">
        <v>361</v>
      </c>
      <c r="D3556" s="456">
        <f>IF(Table10[[#This Row],[Current Age]]&gt;19,"Men's",IF(E3556&gt;15,"U19",IF(E3556&gt;13,"U15",IF(E3556&gt;11,"U13",IF(E3556&gt;0,"U11",0)))))</f>
        <v>0</v>
      </c>
      <c r="E3556" s="456">
        <f>IFERROR(IF(Table10[[#This Row],[Year]]&gt;0,$E$1-Table10[[#This Row],[Year]],0),"")</f>
        <v>0</v>
      </c>
      <c r="F3556" s="456"/>
      <c r="G3556" s="456"/>
      <c r="H3556" s="456"/>
    </row>
    <row r="3557" spans="1:8">
      <c r="A3557" s="471">
        <v>4554</v>
      </c>
      <c r="B3557" s="493" t="s">
        <v>4887</v>
      </c>
      <c r="C3557" s="472" t="s">
        <v>362</v>
      </c>
      <c r="D3557" s="456">
        <f>IF(Table10[[#This Row],[Current Age]]&gt;19,"Men's",IF(E3557&gt;15,"U19",IF(E3557&gt;13,"U15",IF(E3557&gt;11,"U13",IF(E3557&gt;0,"U11",0)))))</f>
        <v>0</v>
      </c>
      <c r="E3557" s="456">
        <f>IFERROR(IF(Table10[[#This Row],[Year]]&gt;0,$E$1-Table10[[#This Row],[Year]],0),"")</f>
        <v>0</v>
      </c>
      <c r="F3557" s="456"/>
      <c r="G3557" s="456"/>
      <c r="H3557" s="456"/>
    </row>
    <row r="3558" spans="1:8">
      <c r="A3558" s="456">
        <v>4555</v>
      </c>
      <c r="B3558" s="469" t="s">
        <v>4888</v>
      </c>
      <c r="C3558" s="458" t="s">
        <v>361</v>
      </c>
      <c r="D3558" s="456">
        <f>IF(Table10[[#This Row],[Current Age]]&gt;19,"Men's",IF(E3558&gt;15,"U19",IF(E3558&gt;13,"U15",IF(E3558&gt;11,"U13",IF(E3558&gt;0,"U11",0)))))</f>
        <v>0</v>
      </c>
      <c r="E3558" s="456">
        <f>IFERROR(IF(Table10[[#This Row],[Year]]&gt;0,$E$1-Table10[[#This Row],[Year]],0),"")</f>
        <v>0</v>
      </c>
      <c r="F3558" s="456"/>
      <c r="G3558" s="456"/>
      <c r="H3558" s="456"/>
    </row>
    <row r="3559" spans="1:8">
      <c r="A3559" s="471">
        <v>4556</v>
      </c>
      <c r="B3559" s="493" t="s">
        <v>4882</v>
      </c>
      <c r="C3559" s="472" t="s">
        <v>362</v>
      </c>
      <c r="D3559" s="456">
        <f>IF(Table10[[#This Row],[Current Age]]&gt;19,"Men's",IF(E3559&gt;15,"U19",IF(E3559&gt;13,"U15",IF(E3559&gt;11,"U13",IF(E3559&gt;0,"U11",0)))))</f>
        <v>0</v>
      </c>
      <c r="E3559" s="456">
        <f>IFERROR(IF(Table10[[#This Row],[Year]]&gt;0,$E$1-Table10[[#This Row],[Year]],0),"")</f>
        <v>0</v>
      </c>
      <c r="F3559" s="456"/>
      <c r="G3559" s="456"/>
      <c r="H3559" s="456"/>
    </row>
    <row r="3560" spans="1:8">
      <c r="A3560" s="456">
        <v>4557</v>
      </c>
      <c r="B3560" s="469" t="s">
        <v>4889</v>
      </c>
      <c r="C3560" s="458" t="s">
        <v>361</v>
      </c>
      <c r="D3560" s="456">
        <f>IF(Table10[[#This Row],[Current Age]]&gt;19,"Men's",IF(E3560&gt;15,"U19",IF(E3560&gt;13,"U15",IF(E3560&gt;11,"U13",IF(E3560&gt;0,"U11",0)))))</f>
        <v>0</v>
      </c>
      <c r="E3560" s="456">
        <f>IFERROR(IF(Table10[[#This Row],[Year]]&gt;0,$E$1-Table10[[#This Row],[Year]],0),"")</f>
        <v>0</v>
      </c>
      <c r="F3560" s="456"/>
      <c r="G3560" s="456"/>
      <c r="H3560" s="456"/>
    </row>
    <row r="3561" spans="1:8">
      <c r="A3561" s="471">
        <v>4558</v>
      </c>
      <c r="B3561" s="493" t="s">
        <v>5518</v>
      </c>
      <c r="C3561" s="472" t="s">
        <v>361</v>
      </c>
      <c r="D3561" s="456">
        <f>IF(Table10[[#This Row],[Current Age]]&gt;19,"Men's",IF(E3561&gt;15,"U19",IF(E3561&gt;13,"U15",IF(E3561&gt;11,"U13",IF(E3561&gt;0,"U11",0)))))</f>
        <v>0</v>
      </c>
      <c r="E3561" s="456">
        <f>IFERROR(IF(Table10[[#This Row],[Year]]&gt;0,$E$1-Table10[[#This Row],[Year]],0),"")</f>
        <v>0</v>
      </c>
      <c r="F3561" s="456"/>
      <c r="G3561" s="456"/>
      <c r="H3561" s="456"/>
    </row>
    <row r="3562" spans="1:8">
      <c r="A3562" s="456">
        <v>4559</v>
      </c>
      <c r="B3562" s="497" t="s">
        <v>5519</v>
      </c>
      <c r="C3562" s="458" t="s">
        <v>361</v>
      </c>
      <c r="D3562" s="456">
        <f>IF(Table10[[#This Row],[Current Age]]&gt;19,"Men's",IF(E3562&gt;15,"U19",IF(E3562&gt;13,"U15",IF(E3562&gt;11,"U13",IF(E3562&gt;0,"U11",0)))))</f>
        <v>0</v>
      </c>
      <c r="E3562" s="456">
        <f>IFERROR(IF(Table10[[#This Row],[Year]]&gt;0,$E$1-Table10[[#This Row],[Year]],0),"")</f>
        <v>0</v>
      </c>
      <c r="F3562" s="456"/>
      <c r="G3562" s="456"/>
      <c r="H3562" s="456"/>
    </row>
    <row r="3563" spans="1:8">
      <c r="A3563" s="471">
        <v>4560</v>
      </c>
      <c r="B3563" s="496" t="s">
        <v>5520</v>
      </c>
      <c r="C3563" s="472" t="s">
        <v>361</v>
      </c>
      <c r="D3563" s="456">
        <f>IF(Table10[[#This Row],[Current Age]]&gt;19,"Men's",IF(E3563&gt;15,"U19",IF(E3563&gt;13,"U15",IF(E3563&gt;11,"U13",IF(E3563&gt;0,"U11",0)))))</f>
        <v>0</v>
      </c>
      <c r="E3563" s="456">
        <f>IFERROR(IF(Table10[[#This Row],[Year]]&gt;0,$E$1-Table10[[#This Row],[Year]],0),"")</f>
        <v>0</v>
      </c>
      <c r="F3563" s="456"/>
      <c r="G3563" s="456"/>
      <c r="H3563" s="456"/>
    </row>
    <row r="3564" spans="1:8">
      <c r="A3564" s="456">
        <v>4561</v>
      </c>
      <c r="B3564" s="469" t="s">
        <v>5521</v>
      </c>
      <c r="C3564" s="458" t="s">
        <v>361</v>
      </c>
      <c r="D3564" s="456">
        <f>IF(Table10[[#This Row],[Current Age]]&gt;19,"Men's",IF(E3564&gt;15,"U19",IF(E3564&gt;13,"U15",IF(E3564&gt;11,"U13",IF(E3564&gt;0,"U11",0)))))</f>
        <v>0</v>
      </c>
      <c r="E3564" s="456">
        <f>IFERROR(IF(Table10[[#This Row],[Year]]&gt;0,$E$1-Table10[[#This Row],[Year]],0),"")</f>
        <v>0</v>
      </c>
      <c r="F3564" s="456"/>
      <c r="G3564" s="456"/>
      <c r="H3564" s="456"/>
    </row>
    <row r="3565" spans="1:8">
      <c r="A3565" s="471">
        <v>4562</v>
      </c>
      <c r="B3565" s="493" t="s">
        <v>5522</v>
      </c>
      <c r="C3565" s="472" t="s">
        <v>361</v>
      </c>
      <c r="D3565" s="456">
        <f>IF(Table10[[#This Row],[Current Age]]&gt;19,"Men's",IF(E3565&gt;15,"U19",IF(E3565&gt;13,"U15",IF(E3565&gt;11,"U13",IF(E3565&gt;0,"U11",0)))))</f>
        <v>0</v>
      </c>
      <c r="E3565" s="456">
        <f>IFERROR(IF(Table10[[#This Row],[Year]]&gt;0,$E$1-Table10[[#This Row],[Year]],0),"")</f>
        <v>0</v>
      </c>
      <c r="F3565" s="456"/>
      <c r="G3565" s="456"/>
      <c r="H3565" s="456"/>
    </row>
    <row r="3566" spans="1:8">
      <c r="A3566" s="456">
        <v>4563</v>
      </c>
      <c r="B3566" s="469" t="s">
        <v>5523</v>
      </c>
      <c r="C3566" s="458" t="s">
        <v>361</v>
      </c>
      <c r="D3566" s="456">
        <f>IF(Table10[[#This Row],[Current Age]]&gt;19,"Men's",IF(E3566&gt;15,"U19",IF(E3566&gt;13,"U15",IF(E3566&gt;11,"U13",IF(E3566&gt;0,"U11",0)))))</f>
        <v>0</v>
      </c>
      <c r="E3566" s="456">
        <f>IFERROR(IF(Table10[[#This Row],[Year]]&gt;0,$E$1-Table10[[#This Row],[Year]],0),"")</f>
        <v>0</v>
      </c>
      <c r="F3566" s="456"/>
      <c r="G3566" s="456"/>
      <c r="H3566" s="456"/>
    </row>
    <row r="3567" spans="1:8">
      <c r="A3567" s="471">
        <v>4564</v>
      </c>
      <c r="B3567" s="493" t="s">
        <v>5524</v>
      </c>
      <c r="C3567" s="472" t="s">
        <v>361</v>
      </c>
      <c r="D3567" s="456">
        <f>IF(Table10[[#This Row],[Current Age]]&gt;19,"Men's",IF(E3567&gt;15,"U19",IF(E3567&gt;13,"U15",IF(E3567&gt;11,"U13",IF(E3567&gt;0,"U11",0)))))</f>
        <v>0</v>
      </c>
      <c r="E3567" s="456">
        <f>IFERROR(IF(Table10[[#This Row],[Year]]&gt;0,$E$1-Table10[[#This Row],[Year]],0),"")</f>
        <v>0</v>
      </c>
      <c r="F3567" s="456"/>
      <c r="G3567" s="456"/>
      <c r="H3567" s="456"/>
    </row>
    <row r="3568" spans="1:8">
      <c r="A3568" s="456">
        <v>4565</v>
      </c>
      <c r="B3568" s="469" t="s">
        <v>5525</v>
      </c>
      <c r="C3568" s="458" t="s">
        <v>361</v>
      </c>
      <c r="D3568" s="456">
        <f>IF(Table10[[#This Row],[Current Age]]&gt;19,"Men's",IF(E3568&gt;15,"U19",IF(E3568&gt;13,"U15",IF(E3568&gt;11,"U13",IF(E3568&gt;0,"U11",0)))))</f>
        <v>0</v>
      </c>
      <c r="E3568" s="456">
        <f>IFERROR(IF(Table10[[#This Row],[Year]]&gt;0,$E$1-Table10[[#This Row],[Year]],0),"")</f>
        <v>0</v>
      </c>
      <c r="F3568" s="456"/>
      <c r="G3568" s="456"/>
      <c r="H3568" s="456"/>
    </row>
    <row r="3569" spans="1:8">
      <c r="A3569" s="471">
        <v>4566</v>
      </c>
      <c r="B3569" s="493" t="s">
        <v>5545</v>
      </c>
      <c r="C3569" s="472" t="s">
        <v>251</v>
      </c>
      <c r="D3569" s="456">
        <f>IF(Table10[[#This Row],[Current Age]]&gt;19,"Men's",IF(E3569&gt;15,"U19",IF(E3569&gt;13,"U15",IF(E3569&gt;11,"U13",IF(E3569&gt;0,"U11",0)))))</f>
        <v>0</v>
      </c>
      <c r="E3569" s="456">
        <f>IFERROR(IF(Table10[[#This Row],[Year]]&gt;0,$E$1-Table10[[#This Row],[Year]],0),"")</f>
        <v>0</v>
      </c>
      <c r="F3569" s="456"/>
      <c r="G3569" s="456"/>
      <c r="H3569" s="456"/>
    </row>
    <row r="3570" spans="1:8">
      <c r="A3570" s="456">
        <v>4567</v>
      </c>
      <c r="B3570" s="495" t="s">
        <v>5546</v>
      </c>
      <c r="C3570" s="458" t="s">
        <v>251</v>
      </c>
      <c r="D3570" s="456">
        <f>IF(Table10[[#This Row],[Current Age]]&gt;19,"Men's",IF(E3570&gt;15,"U19",IF(E3570&gt;13,"U15",IF(E3570&gt;11,"U13",IF(E3570&gt;0,"U11",0)))))</f>
        <v>0</v>
      </c>
      <c r="E3570" s="456">
        <f>IFERROR(IF(Table10[[#This Row],[Year]]&gt;0,$E$1-Table10[[#This Row],[Year]],0),"")</f>
        <v>0</v>
      </c>
      <c r="F3570" s="456"/>
      <c r="G3570" s="456"/>
      <c r="H3570" s="456"/>
    </row>
    <row r="3571" spans="1:8">
      <c r="A3571" s="471">
        <v>4568</v>
      </c>
      <c r="B3571" s="574" t="s">
        <v>5547</v>
      </c>
      <c r="C3571" s="472" t="s">
        <v>251</v>
      </c>
      <c r="D3571" s="456">
        <f>IF(Table10[[#This Row],[Current Age]]&gt;19,"Men's",IF(E3571&gt;15,"U19",IF(E3571&gt;13,"U15",IF(E3571&gt;11,"U13",IF(E3571&gt;0,"U11",0)))))</f>
        <v>0</v>
      </c>
      <c r="E3571" s="456">
        <f>IFERROR(IF(Table10[[#This Row],[Year]]&gt;0,$E$1-Table10[[#This Row],[Year]],0),"")</f>
        <v>0</v>
      </c>
      <c r="F3571" s="456"/>
      <c r="G3571" s="456"/>
      <c r="H3571" s="456"/>
    </row>
    <row r="3572" spans="1:8">
      <c r="A3572" s="456">
        <v>4569</v>
      </c>
      <c r="B3572" s="575" t="s">
        <v>5638</v>
      </c>
      <c r="C3572" s="458" t="s">
        <v>251</v>
      </c>
      <c r="D3572" s="456">
        <f>IF(Table10[[#This Row],[Current Age]]&gt;19,"Men's",IF(E3572&gt;15,"U19",IF(E3572&gt;13,"U15",IF(E3572&gt;11,"U13",IF(E3572&gt;0,"U11",0)))))</f>
        <v>0</v>
      </c>
      <c r="E3572" s="456">
        <f>IFERROR(IF(Table10[[#This Row],[Year]]&gt;0,$E$1-Table10[[#This Row],[Year]],0),"")</f>
        <v>0</v>
      </c>
      <c r="F3572" s="456"/>
      <c r="G3572" s="456"/>
      <c r="H3572" s="456"/>
    </row>
    <row r="3573" spans="1:8">
      <c r="A3573" s="471">
        <v>4570</v>
      </c>
      <c r="B3573" s="493" t="s">
        <v>5560</v>
      </c>
      <c r="C3573" s="472" t="s">
        <v>251</v>
      </c>
      <c r="D3573" s="456">
        <f>IF(Table10[[#This Row],[Current Age]]&gt;19,"Men's",IF(E3573&gt;15,"U19",IF(E3573&gt;13,"U15",IF(E3573&gt;11,"U13",IF(E3573&gt;0,"U11",0)))))</f>
        <v>0</v>
      </c>
      <c r="E3573" s="456">
        <f>IFERROR(IF(Table10[[#This Row],[Year]]&gt;0,$E$1-Table10[[#This Row],[Year]],0),"")</f>
        <v>0</v>
      </c>
      <c r="F3573" s="456"/>
      <c r="G3573" s="456"/>
      <c r="H3573" s="456"/>
    </row>
    <row r="3574" spans="1:8">
      <c r="A3574" s="456">
        <v>4571</v>
      </c>
      <c r="B3574" s="469" t="s">
        <v>5549</v>
      </c>
      <c r="C3574" s="458" t="s">
        <v>251</v>
      </c>
      <c r="D3574" s="456">
        <f>IF(Table10[[#This Row],[Current Age]]&gt;19,"Men's",IF(E3574&gt;15,"U19",IF(E3574&gt;13,"U15",IF(E3574&gt;11,"U13",IF(E3574&gt;0,"U11",0)))))</f>
        <v>0</v>
      </c>
      <c r="E3574" s="456">
        <f>IFERROR(IF(Table10[[#This Row],[Year]]&gt;0,$E$1-Table10[[#This Row],[Year]],0),"")</f>
        <v>0</v>
      </c>
      <c r="F3574" s="456"/>
      <c r="G3574" s="456"/>
      <c r="H3574" s="456"/>
    </row>
    <row r="3575" spans="1:8">
      <c r="A3575" s="471">
        <v>4572</v>
      </c>
      <c r="B3575" s="493" t="s">
        <v>5550</v>
      </c>
      <c r="C3575" s="472" t="s">
        <v>251</v>
      </c>
      <c r="D3575" s="456">
        <f>IF(Table10[[#This Row],[Current Age]]&gt;19,"Men's",IF(E3575&gt;15,"U19",IF(E3575&gt;13,"U15",IF(E3575&gt;11,"U13",IF(E3575&gt;0,"U11",0)))))</f>
        <v>0</v>
      </c>
      <c r="E3575" s="456">
        <f>IFERROR(IF(Table10[[#This Row],[Year]]&gt;0,$E$1-Table10[[#This Row],[Year]],0),"")</f>
        <v>0</v>
      </c>
      <c r="F3575" s="456"/>
      <c r="G3575" s="456"/>
      <c r="H3575" s="456"/>
    </row>
    <row r="3576" spans="1:8">
      <c r="A3576" s="456">
        <v>4573</v>
      </c>
      <c r="B3576" s="469" t="s">
        <v>5551</v>
      </c>
      <c r="C3576" s="458" t="s">
        <v>251</v>
      </c>
      <c r="D3576" s="456">
        <f>IF(Table10[[#This Row],[Current Age]]&gt;19,"Men's",IF(E3576&gt;15,"U19",IF(E3576&gt;13,"U15",IF(E3576&gt;11,"U13",IF(E3576&gt;0,"U11",0)))))</f>
        <v>0</v>
      </c>
      <c r="E3576" s="456">
        <f>IFERROR(IF(Table10[[#This Row],[Year]]&gt;0,$E$1-Table10[[#This Row],[Year]],0),"")</f>
        <v>0</v>
      </c>
      <c r="F3576" s="456"/>
      <c r="G3576" s="456"/>
      <c r="H3576" s="456"/>
    </row>
    <row r="3577" spans="1:8">
      <c r="A3577" s="471">
        <v>4574</v>
      </c>
      <c r="B3577" s="493" t="s">
        <v>5554</v>
      </c>
      <c r="C3577" s="472" t="s">
        <v>251</v>
      </c>
      <c r="D3577" s="456">
        <f>IF(Table10[[#This Row],[Current Age]]&gt;19,"Men's",IF(E3577&gt;15,"U19",IF(E3577&gt;13,"U15",IF(E3577&gt;11,"U13",IF(E3577&gt;0,"U11",0)))))</f>
        <v>0</v>
      </c>
      <c r="E3577" s="456">
        <f>IFERROR(IF(Table10[[#This Row],[Year]]&gt;0,$E$1-Table10[[#This Row],[Year]],0),"")</f>
        <v>0</v>
      </c>
      <c r="F3577" s="456"/>
      <c r="G3577" s="456"/>
      <c r="H3577" s="456"/>
    </row>
    <row r="3578" spans="1:8">
      <c r="A3578" s="456">
        <v>4575</v>
      </c>
      <c r="B3578" s="469" t="s">
        <v>5636</v>
      </c>
      <c r="C3578" s="458" t="s">
        <v>251</v>
      </c>
      <c r="D3578" s="456">
        <f>IF(Table10[[#This Row],[Current Age]]&gt;19,"Men's",IF(E3578&gt;15,"U19",IF(E3578&gt;13,"U15",IF(E3578&gt;11,"U13",IF(E3578&gt;0,"U11",0)))))</f>
        <v>0</v>
      </c>
      <c r="E3578" s="456">
        <f>IFERROR(IF(Table10[[#This Row],[Year]]&gt;0,$E$1-Table10[[#This Row],[Year]],0),"")</f>
        <v>0</v>
      </c>
      <c r="F3578" s="456"/>
      <c r="G3578" s="456"/>
      <c r="H3578" s="456"/>
    </row>
    <row r="3579" spans="1:8">
      <c r="A3579" s="471">
        <v>4576</v>
      </c>
      <c r="B3579" s="493" t="s">
        <v>5637</v>
      </c>
      <c r="C3579" s="472" t="s">
        <v>251</v>
      </c>
      <c r="D3579" s="456">
        <f>IF(Table10[[#This Row],[Current Age]]&gt;19,"Men's",IF(E3579&gt;15,"U19",IF(E3579&gt;13,"U15",IF(E3579&gt;11,"U13",IF(E3579&gt;0,"U11",0)))))</f>
        <v>0</v>
      </c>
      <c r="E3579" s="456">
        <f>IFERROR(IF(Table10[[#This Row],[Year]]&gt;0,$E$1-Table10[[#This Row],[Year]],0),"")</f>
        <v>0</v>
      </c>
      <c r="F3579" s="456"/>
      <c r="G3579" s="456"/>
      <c r="H3579" s="456"/>
    </row>
    <row r="3580" spans="1:8">
      <c r="A3580" s="456">
        <v>4577</v>
      </c>
      <c r="B3580" s="469" t="s">
        <v>5555</v>
      </c>
      <c r="C3580" s="458" t="s">
        <v>251</v>
      </c>
      <c r="D3580" s="456">
        <f>IF(Table10[[#This Row],[Current Age]]&gt;19,"Men's",IF(E3580&gt;15,"U19",IF(E3580&gt;13,"U15",IF(E3580&gt;11,"U13",IF(E3580&gt;0,"U11",0)))))</f>
        <v>0</v>
      </c>
      <c r="E3580" s="456">
        <f>IFERROR(IF(Table10[[#This Row],[Year]]&gt;0,$E$1-Table10[[#This Row],[Year]],0),"")</f>
        <v>0</v>
      </c>
      <c r="F3580" s="456"/>
      <c r="G3580" s="456"/>
      <c r="H3580" s="456"/>
    </row>
    <row r="3581" spans="1:8">
      <c r="A3581" s="470">
        <v>4578</v>
      </c>
      <c r="B3581" s="494" t="s">
        <v>5986</v>
      </c>
      <c r="C3581" s="472" t="s">
        <v>4552</v>
      </c>
      <c r="D3581" s="456" t="str">
        <f>IF(Table10[[#This Row],[Current Age]]&gt;19,"Men's",IF(E3581&gt;15,"U19",IF(E3581&gt;13,"U15",IF(E3581&gt;11,"U13",IF(E3581&gt;0,"U11",0)))))</f>
        <v>U11</v>
      </c>
      <c r="E3581" s="456">
        <f>IFERROR(IF(Table10[[#This Row],[Year]]&gt;0,$E$1-Table10[[#This Row],[Year]],0),"")</f>
        <v>11</v>
      </c>
      <c r="F3581" s="456">
        <v>2014</v>
      </c>
      <c r="G3581" s="456">
        <v>2</v>
      </c>
      <c r="H3581" s="456">
        <v>24</v>
      </c>
    </row>
    <row r="3582" spans="1:8">
      <c r="A3582" s="471">
        <v>4579</v>
      </c>
      <c r="B3582" s="493" t="s">
        <v>5567</v>
      </c>
      <c r="C3582" s="472" t="s">
        <v>4552</v>
      </c>
      <c r="D3582" s="456" t="str">
        <f>IF(Table10[[#This Row],[Current Age]]&gt;19,"Men's",IF(E3582&gt;15,"U19",IF(E3582&gt;13,"U15",IF(E3582&gt;11,"U13",IF(E3582&gt;0,"U11",0)))))</f>
        <v>U11</v>
      </c>
      <c r="E3582" s="456">
        <f>IFERROR(IF(Table10[[#This Row],[Year]]&gt;0,$E$1-Table10[[#This Row],[Year]],0),"")</f>
        <v>10</v>
      </c>
      <c r="F3582" s="456">
        <v>2015</v>
      </c>
      <c r="G3582" s="456">
        <v>8</v>
      </c>
      <c r="H3582" s="456">
        <v>21</v>
      </c>
    </row>
    <row r="3583" spans="1:8">
      <c r="A3583" s="456">
        <v>4580</v>
      </c>
      <c r="B3583" s="469" t="s">
        <v>5568</v>
      </c>
      <c r="C3583" s="458" t="s">
        <v>4552</v>
      </c>
      <c r="D3583" s="456" t="str">
        <f>IF(Table10[[#This Row],[Current Age]]&gt;19,"Men's",IF(E3583&gt;15,"U19",IF(E3583&gt;13,"U15",IF(E3583&gt;11,"U13",IF(E3583&gt;0,"U11",0)))))</f>
        <v>U13</v>
      </c>
      <c r="E3583" s="456">
        <f>IFERROR(IF(Table10[[#This Row],[Year]]&gt;0,$E$1-Table10[[#This Row],[Year]],0),"")</f>
        <v>13</v>
      </c>
      <c r="F3583" s="456">
        <v>2012</v>
      </c>
      <c r="G3583" s="456">
        <v>9</v>
      </c>
      <c r="H3583" s="456">
        <v>12</v>
      </c>
    </row>
    <row r="3584" spans="1:8">
      <c r="A3584" s="471">
        <v>4581</v>
      </c>
      <c r="B3584" s="493" t="s">
        <v>5569</v>
      </c>
      <c r="C3584" s="472" t="s">
        <v>4552</v>
      </c>
      <c r="D3584" s="456" t="str">
        <f>IF(Table10[[#This Row],[Current Age]]&gt;19,"Men's",IF(E3584&gt;15,"U19",IF(E3584&gt;13,"U15",IF(E3584&gt;11,"U13",IF(E3584&gt;0,"U11",0)))))</f>
        <v>U13</v>
      </c>
      <c r="E3584" s="456">
        <f>IFERROR(IF(Table10[[#This Row],[Year]]&gt;0,$E$1-Table10[[#This Row],[Year]],0),"")</f>
        <v>12</v>
      </c>
      <c r="F3584" s="456">
        <v>2013</v>
      </c>
      <c r="G3584" s="456">
        <v>9</v>
      </c>
      <c r="H3584" s="456">
        <v>19</v>
      </c>
    </row>
    <row r="3585" spans="1:8">
      <c r="A3585" s="456">
        <v>4582</v>
      </c>
      <c r="B3585" s="469" t="s">
        <v>5570</v>
      </c>
      <c r="C3585" s="458" t="s">
        <v>4552</v>
      </c>
      <c r="D3585" s="456" t="str">
        <f>IF(Table10[[#This Row],[Current Age]]&gt;19,"Men's",IF(E3585&gt;15,"U19",IF(E3585&gt;13,"U15",IF(E3585&gt;11,"U13",IF(E3585&gt;0,"U11",0)))))</f>
        <v>U13</v>
      </c>
      <c r="E3585" s="456">
        <f>IFERROR(IF(Table10[[#This Row],[Year]]&gt;0,$E$1-Table10[[#This Row],[Year]],0),"")</f>
        <v>12</v>
      </c>
      <c r="F3585" s="456">
        <v>2013</v>
      </c>
      <c r="G3585" s="456">
        <v>11</v>
      </c>
      <c r="H3585" s="456">
        <v>1</v>
      </c>
    </row>
    <row r="3586" spans="1:8">
      <c r="A3586" s="471">
        <v>4583</v>
      </c>
      <c r="B3586" s="493" t="s">
        <v>5571</v>
      </c>
      <c r="C3586" s="472" t="s">
        <v>4552</v>
      </c>
      <c r="D3586" s="456" t="str">
        <f>IF(Table10[[#This Row],[Current Age]]&gt;19,"Men's",IF(E3586&gt;15,"U19",IF(E3586&gt;13,"U15",IF(E3586&gt;11,"U13",IF(E3586&gt;0,"U11",0)))))</f>
        <v>U13</v>
      </c>
      <c r="E3586" s="456">
        <f>IFERROR(IF(Table10[[#This Row],[Year]]&gt;0,$E$1-Table10[[#This Row],[Year]],0),"")</f>
        <v>13</v>
      </c>
      <c r="F3586" s="456">
        <v>2012</v>
      </c>
      <c r="G3586" s="456">
        <v>7</v>
      </c>
      <c r="H3586" s="456">
        <v>26</v>
      </c>
    </row>
    <row r="3587" spans="1:8">
      <c r="A3587" s="456">
        <v>4584</v>
      </c>
      <c r="B3587" s="469" t="s">
        <v>5572</v>
      </c>
      <c r="C3587" s="458" t="s">
        <v>4552</v>
      </c>
      <c r="D3587" s="456" t="str">
        <f>IF(Table10[[#This Row],[Current Age]]&gt;19,"Men's",IF(E3587&gt;15,"U19",IF(E3587&gt;13,"U15",IF(E3587&gt;11,"U13",IF(E3587&gt;0,"U11",0)))))</f>
        <v>U13</v>
      </c>
      <c r="E3587" s="456">
        <f>IFERROR(IF(Table10[[#This Row],[Year]]&gt;0,$E$1-Table10[[#This Row],[Year]],0),"")</f>
        <v>13</v>
      </c>
      <c r="F3587" s="456">
        <v>2012</v>
      </c>
      <c r="G3587" s="456">
        <v>1</v>
      </c>
      <c r="H3587" s="456">
        <v>13</v>
      </c>
    </row>
    <row r="3588" spans="1:8">
      <c r="A3588" s="471">
        <v>4585</v>
      </c>
      <c r="B3588" s="493" t="s">
        <v>5573</v>
      </c>
      <c r="C3588" s="472" t="s">
        <v>4552</v>
      </c>
      <c r="D3588" s="456" t="str">
        <f>IF(Table10[[#This Row],[Current Age]]&gt;19,"Men's",IF(E3588&gt;15,"U19",IF(E3588&gt;13,"U15",IF(E3588&gt;11,"U13",IF(E3588&gt;0,"U11",0)))))</f>
        <v>U13</v>
      </c>
      <c r="E3588" s="456">
        <f>IFERROR(IF(Table10[[#This Row],[Year]]&gt;0,$E$1-Table10[[#This Row],[Year]],0),"")</f>
        <v>13</v>
      </c>
      <c r="F3588" s="456">
        <v>2012</v>
      </c>
      <c r="G3588" s="456">
        <v>7</v>
      </c>
      <c r="H3588" s="456">
        <v>16</v>
      </c>
    </row>
    <row r="3589" spans="1:8">
      <c r="A3589" s="456">
        <v>4586</v>
      </c>
      <c r="B3589" s="469" t="s">
        <v>5574</v>
      </c>
      <c r="C3589" s="458" t="s">
        <v>4552</v>
      </c>
      <c r="D3589" s="456" t="str">
        <f>IF(Table10[[#This Row],[Current Age]]&gt;19,"Men's",IF(E3589&gt;15,"U19",IF(E3589&gt;13,"U15",IF(E3589&gt;11,"U13",IF(E3589&gt;0,"U11",0)))))</f>
        <v>U15</v>
      </c>
      <c r="E3589" s="456">
        <f>IFERROR(IF(Table10[[#This Row],[Year]]&gt;0,$E$1-Table10[[#This Row],[Year]],0),"")</f>
        <v>14</v>
      </c>
      <c r="F3589" s="456">
        <v>2011</v>
      </c>
      <c r="G3589" s="456">
        <v>4</v>
      </c>
      <c r="H3589" s="456">
        <v>6</v>
      </c>
    </row>
    <row r="3590" spans="1:8">
      <c r="A3590" s="471">
        <v>4587</v>
      </c>
      <c r="B3590" s="493" t="s">
        <v>5575</v>
      </c>
      <c r="C3590" s="472" t="s">
        <v>4552</v>
      </c>
      <c r="D3590" s="456" t="str">
        <f>IF(Table10[[#This Row],[Current Age]]&gt;19,"Men's",IF(E3590&gt;15,"U19",IF(E3590&gt;13,"U15",IF(E3590&gt;11,"U13",IF(E3590&gt;0,"U11",0)))))</f>
        <v>U15</v>
      </c>
      <c r="E3590" s="456">
        <f>IFERROR(IF(Table10[[#This Row],[Year]]&gt;0,$E$1-Table10[[#This Row],[Year]],0),"")</f>
        <v>14</v>
      </c>
      <c r="F3590" s="456">
        <v>2011</v>
      </c>
      <c r="G3590" s="456">
        <v>3</v>
      </c>
      <c r="H3590" s="456">
        <v>22</v>
      </c>
    </row>
    <row r="3591" spans="1:8">
      <c r="A3591" s="456">
        <v>4588</v>
      </c>
      <c r="B3591" s="469" t="s">
        <v>5576</v>
      </c>
      <c r="C3591" s="458" t="s">
        <v>4552</v>
      </c>
      <c r="D3591" s="456" t="str">
        <f>IF(Table10[[#This Row],[Current Age]]&gt;19,"Men's",IF(E3591&gt;15,"U19",IF(E3591&gt;13,"U15",IF(E3591&gt;11,"U13",IF(E3591&gt;0,"U11",0)))))</f>
        <v>U15</v>
      </c>
      <c r="E3591" s="456">
        <f>IFERROR(IF(Table10[[#This Row],[Year]]&gt;0,$E$1-Table10[[#This Row],[Year]],0),"")</f>
        <v>14</v>
      </c>
      <c r="F3591" s="456">
        <v>2011</v>
      </c>
      <c r="G3591" s="456">
        <v>10</v>
      </c>
      <c r="H3591" s="456">
        <v>27</v>
      </c>
    </row>
    <row r="3592" spans="1:8">
      <c r="A3592" s="471">
        <v>4589</v>
      </c>
      <c r="B3592" s="493" t="s">
        <v>5577</v>
      </c>
      <c r="C3592" s="472" t="s">
        <v>4552</v>
      </c>
      <c r="D3592" s="456" t="str">
        <f>IF(Table10[[#This Row],[Current Age]]&gt;19,"Men's",IF(E3592&gt;15,"U19",IF(E3592&gt;13,"U15",IF(E3592&gt;11,"U13",IF(E3592&gt;0,"U11",0)))))</f>
        <v>U15</v>
      </c>
      <c r="E3592" s="456">
        <f>IFERROR(IF(Table10[[#This Row],[Year]]&gt;0,$E$1-Table10[[#This Row],[Year]],0),"")</f>
        <v>15</v>
      </c>
      <c r="F3592" s="456">
        <v>2010</v>
      </c>
      <c r="G3592" s="456">
        <v>3</v>
      </c>
      <c r="H3592" s="456">
        <v>12</v>
      </c>
    </row>
    <row r="3593" spans="1:8">
      <c r="A3593" s="456">
        <v>4590</v>
      </c>
      <c r="B3593" s="469" t="s">
        <v>5578</v>
      </c>
      <c r="C3593" s="458" t="s">
        <v>4552</v>
      </c>
      <c r="D3593" s="456" t="str">
        <f>IF(Table10[[#This Row],[Current Age]]&gt;19,"Men's",IF(E3593&gt;15,"U19",IF(E3593&gt;13,"U15",IF(E3593&gt;11,"U13",IF(E3593&gt;0,"U11",0)))))</f>
        <v>Men's</v>
      </c>
      <c r="E3593" s="456">
        <f>IFERROR(IF(Table10[[#This Row],[Year]]&gt;0,$E$1-Table10[[#This Row],[Year]],0),"")</f>
        <v>46</v>
      </c>
      <c r="F3593" s="456">
        <v>1979</v>
      </c>
      <c r="G3593" s="456">
        <v>1</v>
      </c>
      <c r="H3593" s="456">
        <v>13</v>
      </c>
    </row>
    <row r="3594" spans="1:8">
      <c r="A3594" s="471">
        <v>4591</v>
      </c>
      <c r="B3594" s="493" t="s">
        <v>5579</v>
      </c>
      <c r="C3594" s="472" t="s">
        <v>4552</v>
      </c>
      <c r="D3594" s="456" t="str">
        <f>IF(Table10[[#This Row],[Current Age]]&gt;19,"Men's",IF(E3594&gt;15,"U19",IF(E3594&gt;13,"U15",IF(E3594&gt;11,"U13",IF(E3594&gt;0,"U11",0)))))</f>
        <v>Men's</v>
      </c>
      <c r="E3594" s="456">
        <f>IFERROR(IF(Table10[[#This Row],[Year]]&gt;0,$E$1-Table10[[#This Row],[Year]],0),"")</f>
        <v>47</v>
      </c>
      <c r="F3594" s="456">
        <v>1978</v>
      </c>
      <c r="G3594" s="456">
        <v>10</v>
      </c>
      <c r="H3594" s="456">
        <v>5</v>
      </c>
    </row>
    <row r="3595" spans="1:8">
      <c r="A3595" s="456">
        <v>4592</v>
      </c>
      <c r="B3595" s="469" t="s">
        <v>5580</v>
      </c>
      <c r="C3595" s="458" t="s">
        <v>4552</v>
      </c>
      <c r="D3595" s="456" t="str">
        <f>IF(Table10[[#This Row],[Current Age]]&gt;19,"Men's",IF(E3595&gt;15,"U19",IF(E3595&gt;13,"U15",IF(E3595&gt;11,"U13",IF(E3595&gt;0,"U11",0)))))</f>
        <v>Men's</v>
      </c>
      <c r="E3595" s="456">
        <f>IFERROR(IF(Table10[[#This Row],[Year]]&gt;0,$E$1-Table10[[#This Row],[Year]],0),"")</f>
        <v>45</v>
      </c>
      <c r="F3595" s="456">
        <v>1980</v>
      </c>
      <c r="G3595" s="456">
        <v>3</v>
      </c>
      <c r="H3595" s="456">
        <v>27</v>
      </c>
    </row>
    <row r="3596" spans="1:8">
      <c r="A3596" s="471">
        <v>4593</v>
      </c>
      <c r="B3596" s="494" t="s">
        <v>5581</v>
      </c>
      <c r="C3596" s="472" t="s">
        <v>4552</v>
      </c>
      <c r="D3596" s="456" t="str">
        <f>IF(Table10[[#This Row],[Current Age]]&gt;19,"Men's",IF(E3596&gt;15,"U19",IF(E3596&gt;13,"U15",IF(E3596&gt;11,"U13",IF(E3596&gt;0,"U11",0)))))</f>
        <v>Men's</v>
      </c>
      <c r="E3596" s="456">
        <f>IFERROR(IF(Table10[[#This Row],[Year]]&gt;0,$E$1-Table10[[#This Row],[Year]],0),"")</f>
        <v>49</v>
      </c>
      <c r="F3596" s="456">
        <v>1976</v>
      </c>
      <c r="G3596" s="456">
        <v>7</v>
      </c>
      <c r="H3596" s="456">
        <v>14</v>
      </c>
    </row>
    <row r="3597" spans="1:8">
      <c r="A3597" s="456">
        <v>4594</v>
      </c>
      <c r="B3597" s="504" t="s">
        <v>5646</v>
      </c>
      <c r="C3597" s="458" t="s">
        <v>4552</v>
      </c>
      <c r="D3597" s="456">
        <f>IF(Table10[[#This Row],[Current Age]]&gt;19,"Men's",IF(E3597&gt;15,"U19",IF(E3597&gt;13,"U15",IF(E3597&gt;11,"U13",IF(E3597&gt;0,"U11",0)))))</f>
        <v>0</v>
      </c>
      <c r="E3597" s="456">
        <f>IFERROR(IF(Table10[[#This Row],[Year]]&gt;0,$E$1-Table10[[#This Row],[Year]],0),"")</f>
        <v>0</v>
      </c>
      <c r="F3597" s="456"/>
      <c r="G3597" s="456"/>
      <c r="H3597" s="456"/>
    </row>
    <row r="3598" spans="1:8">
      <c r="A3598" s="471">
        <v>4595</v>
      </c>
      <c r="B3598" s="514" t="s">
        <v>5611</v>
      </c>
      <c r="C3598" s="472" t="s">
        <v>1004</v>
      </c>
      <c r="D3598" s="456" t="str">
        <f>IF(Table10[[#This Row],[Current Age]]&gt;19,"Men's",IF(E3598&gt;15,"U19",IF(E3598&gt;13,"U15",IF(E3598&gt;11,"U13",IF(E3598&gt;0,"U11",0)))))</f>
        <v>U19</v>
      </c>
      <c r="E3598" s="456">
        <f>IFERROR(IF(Table10[[#This Row],[Year]]&gt;0,$E$1-Table10[[#This Row],[Year]],0),"")</f>
        <v>16</v>
      </c>
      <c r="F3598" s="456">
        <v>2009</v>
      </c>
      <c r="G3598" s="456">
        <v>3</v>
      </c>
      <c r="H3598" s="456">
        <v>7</v>
      </c>
    </row>
    <row r="3599" spans="1:8">
      <c r="A3599" s="456">
        <v>4596</v>
      </c>
      <c r="B3599" s="513" t="s">
        <v>5612</v>
      </c>
      <c r="C3599" s="458" t="s">
        <v>1004</v>
      </c>
      <c r="D3599" s="456" t="str">
        <f>IF(Table10[[#This Row],[Current Age]]&gt;19,"Men's",IF(E3599&gt;15,"U19",IF(E3599&gt;13,"U15",IF(E3599&gt;11,"U13",IF(E3599&gt;0,"U11",0)))))</f>
        <v>U19</v>
      </c>
      <c r="E3599" s="456">
        <f>IFERROR(IF(Table10[[#This Row],[Year]]&gt;0,$E$1-Table10[[#This Row],[Year]],0),"")</f>
        <v>16</v>
      </c>
      <c r="F3599" s="456">
        <v>2009</v>
      </c>
      <c r="G3599" s="456">
        <v>1</v>
      </c>
      <c r="H3599" s="456">
        <v>11</v>
      </c>
    </row>
    <row r="3600" spans="1:8">
      <c r="A3600" s="471">
        <v>4597</v>
      </c>
      <c r="B3600" s="514" t="s">
        <v>5613</v>
      </c>
      <c r="C3600" s="472" t="s">
        <v>1004</v>
      </c>
      <c r="D3600" s="456" t="str">
        <f>IF(Table10[[#This Row],[Current Age]]&gt;19,"Men's",IF(E3600&gt;15,"U19",IF(E3600&gt;13,"U15",IF(E3600&gt;11,"U13",IF(E3600&gt;0,"U11",0)))))</f>
        <v>U13</v>
      </c>
      <c r="E3600" s="456">
        <f>IFERROR(IF(Table10[[#This Row],[Year]]&gt;0,$E$1-Table10[[#This Row],[Year]],0),"")</f>
        <v>13</v>
      </c>
      <c r="F3600" s="456">
        <v>2012</v>
      </c>
      <c r="G3600" s="456">
        <v>10</v>
      </c>
      <c r="H3600" s="456">
        <v>15</v>
      </c>
    </row>
    <row r="3601" spans="1:8">
      <c r="A3601" s="456">
        <v>4598</v>
      </c>
      <c r="B3601" s="513" t="s">
        <v>5593</v>
      </c>
      <c r="C3601" s="458" t="s">
        <v>1004</v>
      </c>
      <c r="D3601" s="456" t="str">
        <f>IF(Table10[[#This Row],[Current Age]]&gt;19,"Men's",IF(E3601&gt;15,"U19",IF(E3601&gt;13,"U15",IF(E3601&gt;11,"U13",IF(E3601&gt;0,"U11",0)))))</f>
        <v>U13</v>
      </c>
      <c r="E3601" s="456">
        <f>IFERROR(IF(Table10[[#This Row],[Year]]&gt;0,$E$1-Table10[[#This Row],[Year]],0),"")</f>
        <v>12</v>
      </c>
      <c r="F3601" s="456">
        <v>2013</v>
      </c>
      <c r="G3601" s="456">
        <v>12</v>
      </c>
      <c r="H3601" s="456">
        <v>10</v>
      </c>
    </row>
    <row r="3602" spans="1:8">
      <c r="A3602" s="471">
        <v>4599</v>
      </c>
      <c r="B3602" s="514" t="s">
        <v>5594</v>
      </c>
      <c r="C3602" s="472" t="s">
        <v>1004</v>
      </c>
      <c r="D3602" s="456" t="str">
        <f>IF(Table10[[#This Row],[Current Age]]&gt;19,"Men's",IF(E3602&gt;15,"U19",IF(E3602&gt;13,"U15",IF(E3602&gt;11,"U13",IF(E3602&gt;0,"U11",0)))))</f>
        <v>U11</v>
      </c>
      <c r="E3602" s="456">
        <f>IFERROR(IF(Table10[[#This Row],[Year]]&gt;0,$E$1-Table10[[#This Row],[Year]],0),"")</f>
        <v>11</v>
      </c>
      <c r="F3602" s="456">
        <v>2014</v>
      </c>
      <c r="G3602" s="456">
        <v>11</v>
      </c>
      <c r="H3602" s="456">
        <v>10</v>
      </c>
    </row>
    <row r="3603" spans="1:8">
      <c r="A3603" s="456">
        <v>4600</v>
      </c>
      <c r="B3603" s="513" t="s">
        <v>5595</v>
      </c>
      <c r="C3603" s="458" t="s">
        <v>1004</v>
      </c>
      <c r="D3603" s="456" t="str">
        <f>IF(Table10[[#This Row],[Current Age]]&gt;19,"Men's",IF(E3603&gt;15,"U19",IF(E3603&gt;13,"U15",IF(E3603&gt;11,"U13",IF(E3603&gt;0,"U11",0)))))</f>
        <v>U11</v>
      </c>
      <c r="E3603" s="456">
        <f>IFERROR(IF(Table10[[#This Row],[Year]]&gt;0,$E$1-Table10[[#This Row],[Year]],0),"")</f>
        <v>10</v>
      </c>
      <c r="F3603" s="456">
        <v>2015</v>
      </c>
      <c r="G3603" s="456">
        <v>7</v>
      </c>
      <c r="H3603" s="456">
        <v>2</v>
      </c>
    </row>
    <row r="3604" spans="1:8">
      <c r="A3604" s="471">
        <v>4601</v>
      </c>
      <c r="B3604" s="514" t="s">
        <v>5596</v>
      </c>
      <c r="C3604" s="472" t="s">
        <v>1004</v>
      </c>
      <c r="D3604" s="456" t="str">
        <f>IF(Table10[[#This Row],[Current Age]]&gt;19,"Men's",IF(E3604&gt;15,"U19",IF(E3604&gt;13,"U15",IF(E3604&gt;11,"U13",IF(E3604&gt;0,"U11",0)))))</f>
        <v>U13</v>
      </c>
      <c r="E3604" s="456">
        <f>IFERROR(IF(Table10[[#This Row],[Year]]&gt;0,$E$1-Table10[[#This Row],[Year]],0),"")</f>
        <v>12</v>
      </c>
      <c r="F3604" s="456">
        <v>2013</v>
      </c>
      <c r="G3604" s="456">
        <v>6</v>
      </c>
      <c r="H3604" s="456">
        <v>9</v>
      </c>
    </row>
    <row r="3605" spans="1:8">
      <c r="A3605" s="456">
        <v>4602</v>
      </c>
      <c r="B3605" s="469" t="s">
        <v>5605</v>
      </c>
      <c r="C3605" s="458" t="s">
        <v>1004</v>
      </c>
      <c r="D3605" s="456">
        <f>IF(Table10[[#This Row],[Current Age]]&gt;19,"Men's",IF(E3605&gt;15,"U19",IF(E3605&gt;13,"U15",IF(E3605&gt;11,"U13",IF(E3605&gt;0,"U11",0)))))</f>
        <v>0</v>
      </c>
      <c r="E3605" s="456">
        <f>IFERROR(IF(Table10[[#This Row],[Year]]&gt;0,$E$1-Table10[[#This Row],[Year]],0),"")</f>
        <v>0</v>
      </c>
      <c r="F3605" s="456"/>
      <c r="G3605" s="456"/>
      <c r="H3605" s="456"/>
    </row>
    <row r="3606" spans="1:8">
      <c r="A3606" s="471">
        <v>4603</v>
      </c>
      <c r="B3606" s="493" t="s">
        <v>5606</v>
      </c>
      <c r="C3606" s="472" t="s">
        <v>1004</v>
      </c>
      <c r="D3606" s="456">
        <f>IF(Table10[[#This Row],[Current Age]]&gt;19,"Men's",IF(E3606&gt;15,"U19",IF(E3606&gt;13,"U15",IF(E3606&gt;11,"U13",IF(E3606&gt;0,"U11",0)))))</f>
        <v>0</v>
      </c>
      <c r="E3606" s="456">
        <f>IFERROR(IF(Table10[[#This Row],[Year]]&gt;0,$E$1-Table10[[#This Row],[Year]],0),"")</f>
        <v>0</v>
      </c>
      <c r="F3606" s="456"/>
      <c r="G3606" s="456"/>
      <c r="H3606" s="456"/>
    </row>
    <row r="3607" spans="1:8">
      <c r="A3607" s="456">
        <v>4604</v>
      </c>
      <c r="B3607" s="469" t="s">
        <v>5607</v>
      </c>
      <c r="C3607" s="458" t="s">
        <v>1004</v>
      </c>
      <c r="D3607" s="456">
        <f>IF(Table10[[#This Row],[Current Age]]&gt;19,"Men's",IF(E3607&gt;15,"U19",IF(E3607&gt;13,"U15",IF(E3607&gt;11,"U13",IF(E3607&gt;0,"U11",0)))))</f>
        <v>0</v>
      </c>
      <c r="E3607" s="456">
        <f>IFERROR(IF(Table10[[#This Row],[Year]]&gt;0,$E$1-Table10[[#This Row],[Year]],0),"")</f>
        <v>0</v>
      </c>
      <c r="F3607" s="456"/>
      <c r="G3607" s="456"/>
      <c r="H3607" s="456"/>
    </row>
    <row r="3608" spans="1:8">
      <c r="A3608" s="471">
        <v>4605</v>
      </c>
      <c r="B3608" s="493" t="s">
        <v>5608</v>
      </c>
      <c r="C3608" s="472" t="s">
        <v>1004</v>
      </c>
      <c r="D3608" s="456">
        <f>IF(Table10[[#This Row],[Current Age]]&gt;19,"Men's",IF(E3608&gt;15,"U19",IF(E3608&gt;13,"U15",IF(E3608&gt;11,"U13",IF(E3608&gt;0,"U11",0)))))</f>
        <v>0</v>
      </c>
      <c r="E3608" s="456">
        <f>IFERROR(IF(Table10[[#This Row],[Year]]&gt;0,$E$1-Table10[[#This Row],[Year]],0),"")</f>
        <v>0</v>
      </c>
      <c r="F3608" s="456"/>
      <c r="G3608" s="456"/>
      <c r="H3608" s="456"/>
    </row>
    <row r="3609" spans="1:8">
      <c r="A3609" s="456">
        <v>4606</v>
      </c>
      <c r="B3609" s="469" t="s">
        <v>5609</v>
      </c>
      <c r="C3609" s="458" t="s">
        <v>1004</v>
      </c>
      <c r="D3609" s="456">
        <f>IF(Table10[[#This Row],[Current Age]]&gt;19,"Men's",IF(E3609&gt;15,"U19",IF(E3609&gt;13,"U15",IF(E3609&gt;11,"U13",IF(E3609&gt;0,"U11",0)))))</f>
        <v>0</v>
      </c>
      <c r="E3609" s="456">
        <f>IFERROR(IF(Table10[[#This Row],[Year]]&gt;0,$E$1-Table10[[#This Row],[Year]],0),"")</f>
        <v>0</v>
      </c>
      <c r="F3609" s="456"/>
      <c r="G3609" s="456"/>
      <c r="H3609" s="456"/>
    </row>
    <row r="3610" spans="1:8">
      <c r="A3610" s="471">
        <v>4607</v>
      </c>
      <c r="B3610" s="493" t="s">
        <v>5610</v>
      </c>
      <c r="C3610" s="472" t="s">
        <v>1004</v>
      </c>
      <c r="D3610" s="456">
        <f>IF(Table10[[#This Row],[Current Age]]&gt;19,"Men's",IF(E3610&gt;15,"U19",IF(E3610&gt;13,"U15",IF(E3610&gt;11,"U13",IF(E3610&gt;0,"U11",0)))))</f>
        <v>0</v>
      </c>
      <c r="E3610" s="456">
        <f>IFERROR(IF(Table10[[#This Row],[Year]]&gt;0,$E$1-Table10[[#This Row],[Year]],0),"")</f>
        <v>0</v>
      </c>
      <c r="F3610" s="456"/>
      <c r="G3610" s="456"/>
      <c r="H3610" s="456"/>
    </row>
    <row r="3611" spans="1:8">
      <c r="A3611" s="456">
        <v>4608</v>
      </c>
      <c r="B3611" s="469" t="s">
        <v>5592</v>
      </c>
      <c r="C3611" s="458" t="s">
        <v>1004</v>
      </c>
      <c r="D3611" s="456" t="str">
        <f>IF(Table10[[#This Row],[Current Age]]&gt;19,"Men's",IF(E3611&gt;15,"U19",IF(E3611&gt;13,"U15",IF(E3611&gt;11,"U13",IF(E3611&gt;0,"U11",0)))))</f>
        <v>U19</v>
      </c>
      <c r="E3611" s="456">
        <f>IFERROR(IF(Table10[[#This Row],[Year]]&gt;0,$E$1-Table10[[#This Row],[Year]],0),"")</f>
        <v>17</v>
      </c>
      <c r="F3611" s="456">
        <v>2008</v>
      </c>
      <c r="G3611" s="456">
        <v>6</v>
      </c>
      <c r="H3611" s="456">
        <v>9</v>
      </c>
    </row>
    <row r="3612" spans="1:8">
      <c r="A3612" s="471">
        <v>4609</v>
      </c>
      <c r="B3612" s="493" t="s">
        <v>5616</v>
      </c>
      <c r="C3612" s="472" t="s">
        <v>251</v>
      </c>
      <c r="D3612" s="456" t="str">
        <f>IF(Table10[[#This Row],[Current Age]]&gt;19,"Men's",IF(E3612&gt;15,"U19",IF(E3612&gt;13,"U15",IF(E3612&gt;11,"U13",IF(E3612&gt;0,"U11",0)))))</f>
        <v>Men's</v>
      </c>
      <c r="E3612" s="456">
        <f>IFERROR(IF(Table10[[#This Row],[Year]]&gt;0,$E$1-Table10[[#This Row],[Year]],0),"")</f>
        <v>40</v>
      </c>
      <c r="F3612" s="456">
        <v>1985</v>
      </c>
      <c r="G3612" s="456">
        <v>4</v>
      </c>
      <c r="H3612" s="456">
        <v>14</v>
      </c>
    </row>
    <row r="3613" spans="1:8">
      <c r="A3613" s="456">
        <v>4610</v>
      </c>
      <c r="B3613" s="469" t="s">
        <v>5617</v>
      </c>
      <c r="C3613" s="458" t="s">
        <v>251</v>
      </c>
      <c r="D3613" s="456" t="str">
        <f>IF(Table10[[#This Row],[Current Age]]&gt;19,"Men's",IF(E3613&gt;15,"U19",IF(E3613&gt;13,"U15",IF(E3613&gt;11,"U13",IF(E3613&gt;0,"U11",0)))))</f>
        <v>Men's</v>
      </c>
      <c r="E3613" s="456">
        <f>IFERROR(IF(Table10[[#This Row],[Year]]&gt;0,$E$1-Table10[[#This Row],[Year]],0),"")</f>
        <v>40</v>
      </c>
      <c r="F3613" s="456">
        <v>1985</v>
      </c>
      <c r="G3613" s="456">
        <v>11</v>
      </c>
      <c r="H3613" s="456">
        <v>30</v>
      </c>
    </row>
    <row r="3614" spans="1:8">
      <c r="A3614" s="471">
        <v>4611</v>
      </c>
      <c r="B3614" s="495" t="s">
        <v>5618</v>
      </c>
      <c r="C3614" s="470" t="s">
        <v>251</v>
      </c>
      <c r="D3614" s="456" t="str">
        <f>IF(Table10[[#This Row],[Current Age]]&gt;19,"Men's",IF(E3614&gt;15,"U19",IF(E3614&gt;13,"U15",IF(E3614&gt;11,"U13",IF(E3614&gt;0,"U11",0)))))</f>
        <v>Men's</v>
      </c>
      <c r="E3614" s="456">
        <f>IFERROR(IF(Table10[[#This Row],[Year]]&gt;0,$E$1-Table10[[#This Row],[Year]],0),"")</f>
        <v>36</v>
      </c>
      <c r="F3614" s="456">
        <v>1989</v>
      </c>
      <c r="G3614" s="456">
        <v>4</v>
      </c>
      <c r="H3614" s="456">
        <v>25</v>
      </c>
    </row>
    <row r="3615" spans="1:8">
      <c r="A3615" s="456">
        <v>4612</v>
      </c>
      <c r="B3615" s="494" t="s">
        <v>5619</v>
      </c>
      <c r="C3615" s="483" t="s">
        <v>251</v>
      </c>
      <c r="D3615" s="456" t="str">
        <f>IF(Table10[[#This Row],[Current Age]]&gt;19,"Men's",IF(E3615&gt;15,"U19",IF(E3615&gt;13,"U15",IF(E3615&gt;11,"U13",IF(E3615&gt;0,"U11",0)))))</f>
        <v>Men's</v>
      </c>
      <c r="E3615" s="456">
        <f>IFERROR(IF(Table10[[#This Row],[Year]]&gt;0,$E$1-Table10[[#This Row],[Year]],0),"")</f>
        <v>40</v>
      </c>
      <c r="F3615" s="456">
        <v>1985</v>
      </c>
      <c r="G3615" s="456">
        <v>1</v>
      </c>
      <c r="H3615" s="456">
        <v>23</v>
      </c>
    </row>
    <row r="3616" spans="1:8">
      <c r="A3616" s="471">
        <v>4613</v>
      </c>
      <c r="B3616" s="493" t="s">
        <v>5620</v>
      </c>
      <c r="C3616" s="472" t="s">
        <v>251</v>
      </c>
      <c r="D3616" s="456" t="str">
        <f>IF(Table10[[#This Row],[Current Age]]&gt;19,"Men's",IF(E3616&gt;15,"U19",IF(E3616&gt;13,"U15",IF(E3616&gt;11,"U13",IF(E3616&gt;0,"U11",0)))))</f>
        <v>Men's</v>
      </c>
      <c r="E3616" s="456">
        <f>IFERROR(IF(Table10[[#This Row],[Year]]&gt;0,$E$1-Table10[[#This Row],[Year]],0),"")</f>
        <v>40</v>
      </c>
      <c r="F3616" s="456">
        <v>1985</v>
      </c>
      <c r="G3616" s="456">
        <v>8</v>
      </c>
      <c r="H3616" s="456">
        <v>5</v>
      </c>
    </row>
    <row r="3617" spans="1:8">
      <c r="A3617" s="456">
        <v>4614</v>
      </c>
      <c r="B3617" s="504" t="s">
        <v>5649</v>
      </c>
      <c r="C3617" s="458" t="s">
        <v>4552</v>
      </c>
      <c r="D3617" s="456">
        <f>IF(Table10[[#This Row],[Current Age]]&gt;19,"Men's",IF(E3617&gt;15,"U19",IF(E3617&gt;13,"U15",IF(E3617&gt;11,"U13",IF(E3617&gt;0,"U11",0)))))</f>
        <v>0</v>
      </c>
      <c r="E3617" s="456">
        <f>IFERROR(IF(Table10[[#This Row],[Year]]&gt;0,$E$1-Table10[[#This Row],[Year]],0),"")</f>
        <v>0</v>
      </c>
      <c r="F3617" s="456"/>
      <c r="G3617" s="456"/>
      <c r="H3617" s="456"/>
    </row>
    <row r="3618" spans="1:8">
      <c r="A3618" s="471">
        <v>4615</v>
      </c>
      <c r="B3618" s="569" t="s">
        <v>5652</v>
      </c>
      <c r="C3618" s="472" t="s">
        <v>4552</v>
      </c>
      <c r="D3618" s="456">
        <f>IF(Table10[[#This Row],[Current Age]]&gt;19,"Men's",IF(E3618&gt;15,"U19",IF(E3618&gt;13,"U15",IF(E3618&gt;11,"U13",IF(E3618&gt;0,"U11",0)))))</f>
        <v>0</v>
      </c>
      <c r="E3618" s="456">
        <f>IFERROR(IF(Table10[[#This Row],[Year]]&gt;0,$E$1-Table10[[#This Row],[Year]],0),"")</f>
        <v>0</v>
      </c>
      <c r="F3618" s="456"/>
      <c r="G3618" s="456"/>
      <c r="H3618" s="456"/>
    </row>
    <row r="3619" spans="1:8">
      <c r="A3619" s="456">
        <v>4616</v>
      </c>
      <c r="B3619" s="504" t="s">
        <v>5653</v>
      </c>
      <c r="C3619" s="458" t="s">
        <v>4552</v>
      </c>
      <c r="D3619" s="456">
        <f>IF(Table10[[#This Row],[Current Age]]&gt;19,"Men's",IF(E3619&gt;15,"U19",IF(E3619&gt;13,"U15",IF(E3619&gt;11,"U13",IF(E3619&gt;0,"U11",0)))))</f>
        <v>0</v>
      </c>
      <c r="E3619" s="456">
        <f>IFERROR(IF(Table10[[#This Row],[Year]]&gt;0,$E$1-Table10[[#This Row],[Year]],0),"")</f>
        <v>0</v>
      </c>
      <c r="F3619" s="456"/>
      <c r="G3619" s="456"/>
      <c r="H3619" s="456"/>
    </row>
    <row r="3620" spans="1:8">
      <c r="A3620" s="471">
        <v>4617</v>
      </c>
      <c r="B3620" s="568" t="s">
        <v>5658</v>
      </c>
      <c r="C3620" s="472" t="s">
        <v>243</v>
      </c>
      <c r="D3620" s="456">
        <f>IF(Table10[[#This Row],[Current Age]]&gt;19,"Men's",IF(E3620&gt;15,"U19",IF(E3620&gt;13,"U15",IF(E3620&gt;11,"U13",IF(E3620&gt;0,"U11",0)))))</f>
        <v>0</v>
      </c>
      <c r="E3620" s="456">
        <f>IFERROR(IF(Table10[[#This Row],[Year]]&gt;0,$E$1-Table10[[#This Row],[Year]],0),"")</f>
        <v>0</v>
      </c>
      <c r="F3620" s="456"/>
      <c r="G3620" s="456"/>
      <c r="H3620" s="456"/>
    </row>
    <row r="3621" spans="1:8">
      <c r="A3621" s="456">
        <v>4618</v>
      </c>
      <c r="B3621" s="503" t="s">
        <v>5659</v>
      </c>
      <c r="C3621" s="458" t="s">
        <v>243</v>
      </c>
      <c r="D3621" s="456">
        <f>IF(Table10[[#This Row],[Current Age]]&gt;19,"Men's",IF(E3621&gt;15,"U19",IF(E3621&gt;13,"U15",IF(E3621&gt;11,"U13",IF(E3621&gt;0,"U11",0)))))</f>
        <v>0</v>
      </c>
      <c r="E3621" s="456">
        <f>IFERROR(IF(Table10[[#This Row],[Year]]&gt;0,$E$1-Table10[[#This Row],[Year]],0),"")</f>
        <v>0</v>
      </c>
      <c r="F3621" s="456"/>
      <c r="G3621" s="456"/>
      <c r="H3621" s="456"/>
    </row>
    <row r="3622" spans="1:8">
      <c r="A3622" s="471">
        <v>4619</v>
      </c>
      <c r="B3622" s="493" t="s">
        <v>5662</v>
      </c>
      <c r="C3622" s="472" t="s">
        <v>1004</v>
      </c>
      <c r="D3622" s="456" t="str">
        <f>IF(Table10[[#This Row],[Current Age]]&gt;19,"Men's",IF(E3622&gt;15,"U19",IF(E3622&gt;13,"U15",IF(E3622&gt;11,"U13",IF(E3622&gt;0,"U11",0)))))</f>
        <v>U19</v>
      </c>
      <c r="E3622" s="456">
        <f>IFERROR(IF(Table10[[#This Row],[Year]]&gt;0,$E$1-Table10[[#This Row],[Year]],0),"")</f>
        <v>16</v>
      </c>
      <c r="F3622" s="456">
        <v>2009</v>
      </c>
      <c r="G3622" s="456">
        <v>3</v>
      </c>
      <c r="H3622" s="456">
        <v>9</v>
      </c>
    </row>
    <row r="3623" spans="1:8">
      <c r="A3623" s="456">
        <v>4620</v>
      </c>
      <c r="B3623" s="469" t="s">
        <v>5663</v>
      </c>
      <c r="C3623" s="458" t="s">
        <v>1004</v>
      </c>
      <c r="D3623" s="456" t="str">
        <f>IF(Table10[[#This Row],[Current Age]]&gt;19,"Men's",IF(E3623&gt;15,"U19",IF(E3623&gt;13,"U15",IF(E3623&gt;11,"U13",IF(E3623&gt;0,"U11",0)))))</f>
        <v>Men's</v>
      </c>
      <c r="E3623" s="456">
        <f>IFERROR(IF(Table10[[#This Row],[Year]]&gt;0,$E$1-Table10[[#This Row],[Year]],0),"")</f>
        <v>45</v>
      </c>
      <c r="F3623" s="456">
        <v>1980</v>
      </c>
      <c r="G3623" s="456">
        <v>8</v>
      </c>
      <c r="H3623" s="456">
        <v>8</v>
      </c>
    </row>
    <row r="3624" spans="1:8">
      <c r="A3624" s="471">
        <v>4621</v>
      </c>
      <c r="B3624" s="493" t="s">
        <v>5664</v>
      </c>
      <c r="C3624" s="472" t="s">
        <v>1004</v>
      </c>
      <c r="D3624" s="456" t="str">
        <f>IF(Table10[[#This Row],[Current Age]]&gt;19,"Men's",IF(E3624&gt;15,"U19",IF(E3624&gt;13,"U15",IF(E3624&gt;11,"U13",IF(E3624&gt;0,"U11",0)))))</f>
        <v>Men's</v>
      </c>
      <c r="E3624" s="456">
        <f>IFERROR(IF(Table10[[#This Row],[Year]]&gt;0,$E$1-Table10[[#This Row],[Year]],0),"")</f>
        <v>58</v>
      </c>
      <c r="F3624" s="456">
        <v>1967</v>
      </c>
      <c r="G3624" s="456">
        <v>10</v>
      </c>
      <c r="H3624" s="456">
        <v>17</v>
      </c>
    </row>
    <row r="3625" spans="1:8">
      <c r="A3625" s="456">
        <v>4622</v>
      </c>
      <c r="B3625" s="503" t="s">
        <v>5680</v>
      </c>
      <c r="C3625" s="458" t="s">
        <v>243</v>
      </c>
      <c r="D3625" s="456">
        <f>IF(Table10[[#This Row],[Current Age]]&gt;19,"Men's",IF(E3625&gt;15,"U19",IF(E3625&gt;13,"U15",IF(E3625&gt;11,"U13",IF(E3625&gt;0,"U11",0)))))</f>
        <v>0</v>
      </c>
      <c r="E3625" s="456">
        <f>IFERROR(IF(Table10[[#This Row],[Year]]&gt;0,$E$1-Table10[[#This Row],[Year]],0),"")</f>
        <v>0</v>
      </c>
      <c r="F3625" s="456"/>
      <c r="G3625" s="456"/>
      <c r="H3625" s="456"/>
    </row>
    <row r="3626" spans="1:8">
      <c r="A3626" s="471">
        <v>4623</v>
      </c>
      <c r="B3626" s="493" t="s">
        <v>5683</v>
      </c>
      <c r="C3626" s="472" t="s">
        <v>4552</v>
      </c>
      <c r="D3626" s="456">
        <f>IF(Table10[[#This Row],[Current Age]]&gt;19,"Men's",IF(E3626&gt;15,"U19",IF(E3626&gt;13,"U15",IF(E3626&gt;11,"U13",IF(E3626&gt;0,"U11",0)))))</f>
        <v>0</v>
      </c>
      <c r="E3626" s="456">
        <f>IFERROR(IF(Table10[[#This Row],[Year]]&gt;0,$E$1-Table10[[#This Row],[Year]],0),"")</f>
        <v>0</v>
      </c>
      <c r="F3626" s="456"/>
      <c r="G3626" s="456"/>
      <c r="H3626" s="456"/>
    </row>
    <row r="3627" spans="1:8">
      <c r="A3627" s="456">
        <v>4624</v>
      </c>
      <c r="B3627" s="469" t="s">
        <v>5684</v>
      </c>
      <c r="C3627" s="458" t="s">
        <v>4552</v>
      </c>
      <c r="D3627" s="456">
        <f>IF(Table10[[#This Row],[Current Age]]&gt;19,"Men's",IF(E3627&gt;15,"U19",IF(E3627&gt;13,"U15",IF(E3627&gt;11,"U13",IF(E3627&gt;0,"U11",0)))))</f>
        <v>0</v>
      </c>
      <c r="E3627" s="456">
        <f>IFERROR(IF(Table10[[#This Row],[Year]]&gt;0,$E$1-Table10[[#This Row],[Year]],0),"")</f>
        <v>0</v>
      </c>
      <c r="F3627" s="456"/>
      <c r="G3627" s="456"/>
      <c r="H3627" s="456"/>
    </row>
    <row r="3628" spans="1:8">
      <c r="A3628" s="471">
        <v>4625</v>
      </c>
      <c r="B3628" s="493" t="s">
        <v>5685</v>
      </c>
      <c r="C3628" s="472" t="s">
        <v>4552</v>
      </c>
      <c r="D3628" s="456">
        <f>IF(Table10[[#This Row],[Current Age]]&gt;19,"Men's",IF(E3628&gt;15,"U19",IF(E3628&gt;13,"U15",IF(E3628&gt;11,"U13",IF(E3628&gt;0,"U11",0)))))</f>
        <v>0</v>
      </c>
      <c r="E3628" s="456">
        <f>IFERROR(IF(Table10[[#This Row],[Year]]&gt;0,$E$1-Table10[[#This Row],[Year]],0),"")</f>
        <v>0</v>
      </c>
      <c r="F3628" s="456"/>
      <c r="G3628" s="456"/>
      <c r="H3628" s="456"/>
    </row>
    <row r="3629" spans="1:8">
      <c r="A3629" s="456">
        <v>4626</v>
      </c>
      <c r="B3629" s="469" t="s">
        <v>5686</v>
      </c>
      <c r="C3629" s="458" t="s">
        <v>4552</v>
      </c>
      <c r="D3629" s="456">
        <f>IF(Table10[[#This Row],[Current Age]]&gt;19,"Men's",IF(E3629&gt;15,"U19",IF(E3629&gt;13,"U15",IF(E3629&gt;11,"U13",IF(E3629&gt;0,"U11",0)))))</f>
        <v>0</v>
      </c>
      <c r="E3629" s="456">
        <f>IFERROR(IF(Table10[[#This Row],[Year]]&gt;0,$E$1-Table10[[#This Row],[Year]],0),"")</f>
        <v>0</v>
      </c>
      <c r="F3629" s="456"/>
      <c r="G3629" s="456"/>
      <c r="H3629" s="456"/>
    </row>
    <row r="3630" spans="1:8">
      <c r="A3630" s="471">
        <v>4627</v>
      </c>
      <c r="B3630" s="493" t="s">
        <v>5687</v>
      </c>
      <c r="C3630" s="472" t="s">
        <v>4552</v>
      </c>
      <c r="D3630" s="456">
        <f>IF(Table10[[#This Row],[Current Age]]&gt;19,"Men's",IF(E3630&gt;15,"U19",IF(E3630&gt;13,"U15",IF(E3630&gt;11,"U13",IF(E3630&gt;0,"U11",0)))))</f>
        <v>0</v>
      </c>
      <c r="E3630" s="456">
        <f>IFERROR(IF(Table10[[#This Row],[Year]]&gt;0,$E$1-Table10[[#This Row],[Year]],0),"")</f>
        <v>0</v>
      </c>
      <c r="F3630" s="456"/>
      <c r="G3630" s="456"/>
      <c r="H3630" s="456"/>
    </row>
    <row r="3631" spans="1:8">
      <c r="A3631" s="456">
        <v>4628</v>
      </c>
      <c r="B3631" s="469" t="s">
        <v>5688</v>
      </c>
      <c r="C3631" s="458" t="s">
        <v>243</v>
      </c>
      <c r="D3631" s="456">
        <f>IF(Table10[[#This Row],[Current Age]]&gt;19,"Men's",IF(E3631&gt;15,"U19",IF(E3631&gt;13,"U15",IF(E3631&gt;11,"U13",IF(E3631&gt;0,"U11",0)))))</f>
        <v>0</v>
      </c>
      <c r="E3631" s="456">
        <f>IFERROR(IF(Table10[[#This Row],[Year]]&gt;0,$E$1-Table10[[#This Row],[Year]],0),"")</f>
        <v>0</v>
      </c>
      <c r="F3631" s="456"/>
      <c r="G3631" s="456"/>
      <c r="H3631" s="456"/>
    </row>
    <row r="3632" spans="1:8">
      <c r="A3632" s="471">
        <v>4629</v>
      </c>
      <c r="B3632" s="493" t="s">
        <v>5689</v>
      </c>
      <c r="C3632" s="472" t="s">
        <v>4552</v>
      </c>
      <c r="D3632" s="456">
        <f>IF(Table10[[#This Row],[Current Age]]&gt;19,"Men's",IF(E3632&gt;15,"U19",IF(E3632&gt;13,"U15",IF(E3632&gt;11,"U13",IF(E3632&gt;0,"U11",0)))))</f>
        <v>0</v>
      </c>
      <c r="E3632" s="456">
        <f>IFERROR(IF(Table10[[#This Row],[Year]]&gt;0,$E$1-Table10[[#This Row],[Year]],0),"")</f>
        <v>0</v>
      </c>
      <c r="F3632" s="456"/>
      <c r="G3632" s="456"/>
      <c r="H3632" s="456"/>
    </row>
    <row r="3633" spans="1:8">
      <c r="A3633" s="456">
        <v>4630</v>
      </c>
      <c r="B3633" s="469" t="s">
        <v>5690</v>
      </c>
      <c r="C3633" s="458" t="s">
        <v>4552</v>
      </c>
      <c r="D3633" s="456">
        <f>IF(Table10[[#This Row],[Current Age]]&gt;19,"Men's",IF(E3633&gt;15,"U19",IF(E3633&gt;13,"U15",IF(E3633&gt;11,"U13",IF(E3633&gt;0,"U11",0)))))</f>
        <v>0</v>
      </c>
      <c r="E3633" s="456">
        <f>IFERROR(IF(Table10[[#This Row],[Year]]&gt;0,$E$1-Table10[[#This Row],[Year]],0),"")</f>
        <v>0</v>
      </c>
      <c r="F3633" s="576"/>
      <c r="G3633" s="576"/>
      <c r="H3633" s="576"/>
    </row>
    <row r="3634" spans="1:8">
      <c r="A3634" s="471">
        <v>4631</v>
      </c>
      <c r="B3634" s="494" t="s">
        <v>5706</v>
      </c>
      <c r="C3634" s="472" t="s">
        <v>4552</v>
      </c>
      <c r="D3634" s="456">
        <f>IF(Table10[[#This Row],[Current Age]]&gt;19,"Men's",IF(E3634&gt;15,"U19",IF(E3634&gt;13,"U15",IF(E3634&gt;11,"U13",IF(E3634&gt;0,"U11",0)))))</f>
        <v>0</v>
      </c>
      <c r="E3634" s="456">
        <f>IFERROR(IF(Table10[[#This Row],[Year]]&gt;0,$E$1-Table10[[#This Row],[Year]],0),"")</f>
        <v>0</v>
      </c>
      <c r="F3634" s="576"/>
      <c r="G3634" s="576"/>
      <c r="H3634" s="576"/>
    </row>
    <row r="3635" spans="1:8">
      <c r="A3635" s="456">
        <v>4632</v>
      </c>
      <c r="B3635" s="495" t="s">
        <v>5707</v>
      </c>
      <c r="C3635" s="458" t="s">
        <v>4552</v>
      </c>
      <c r="D3635" s="456">
        <f>IF(Table10[[#This Row],[Current Age]]&gt;19,"Men's",IF(E3635&gt;15,"U19",IF(E3635&gt;13,"U15",IF(E3635&gt;11,"U13",IF(E3635&gt;0,"U11",0)))))</f>
        <v>0</v>
      </c>
      <c r="E3635" s="456">
        <f>IFERROR(IF(Table10[[#This Row],[Year]]&gt;0,$E$1-Table10[[#This Row],[Year]],0),"")</f>
        <v>0</v>
      </c>
      <c r="F3635" s="576"/>
      <c r="G3635" s="576"/>
      <c r="H3635" s="576"/>
    </row>
    <row r="3636" spans="1:8">
      <c r="A3636" s="471">
        <v>4633</v>
      </c>
      <c r="B3636" s="494" t="s">
        <v>5708</v>
      </c>
      <c r="C3636" s="472" t="s">
        <v>361</v>
      </c>
      <c r="D3636" s="456">
        <f>IF(Table10[[#This Row],[Current Age]]&gt;19,"Men's",IF(E3636&gt;15,"U19",IF(E3636&gt;13,"U15",IF(E3636&gt;11,"U13",IF(E3636&gt;0,"U11",0)))))</f>
        <v>0</v>
      </c>
      <c r="E3636" s="456">
        <f>IFERROR(IF(Table10[[#This Row],[Year]]&gt;0,$E$1-Table10[[#This Row],[Year]],0),"")</f>
        <v>0</v>
      </c>
      <c r="F3636" s="576"/>
      <c r="G3636" s="576"/>
      <c r="H3636" s="576"/>
    </row>
    <row r="3637" spans="1:8">
      <c r="A3637" s="456">
        <v>4634</v>
      </c>
      <c r="B3637" s="495" t="s">
        <v>5709</v>
      </c>
      <c r="C3637" s="458" t="s">
        <v>1914</v>
      </c>
      <c r="D3637" s="456">
        <f>IF(Table10[[#This Row],[Current Age]]&gt;19,"Men's",IF(E3637&gt;15,"U19",IF(E3637&gt;13,"U15",IF(E3637&gt;11,"U13",IF(E3637&gt;0,"U11",0)))))</f>
        <v>0</v>
      </c>
      <c r="E3637" s="456">
        <f>IFERROR(IF(Table10[[#This Row],[Year]]&gt;0,$E$1-Table10[[#This Row],[Year]],0),"")</f>
        <v>0</v>
      </c>
      <c r="F3637" s="576"/>
      <c r="G3637" s="576"/>
      <c r="H3637" s="576"/>
    </row>
    <row r="3638" spans="1:8">
      <c r="A3638" s="471">
        <v>4635</v>
      </c>
      <c r="B3638" s="494" t="s">
        <v>5710</v>
      </c>
      <c r="C3638" s="472" t="s">
        <v>361</v>
      </c>
      <c r="D3638" s="456">
        <f>IF(Table10[[#This Row],[Current Age]]&gt;19,"Men's",IF(E3638&gt;15,"U19",IF(E3638&gt;13,"U15",IF(E3638&gt;11,"U13",IF(E3638&gt;0,"U11",0)))))</f>
        <v>0</v>
      </c>
      <c r="E3638" s="456">
        <f>IFERROR(IF(Table10[[#This Row],[Year]]&gt;0,$E$1-Table10[[#This Row],[Year]],0),"")</f>
        <v>0</v>
      </c>
      <c r="F3638" s="576"/>
      <c r="G3638" s="576"/>
      <c r="H3638" s="576"/>
    </row>
    <row r="3639" spans="1:8">
      <c r="A3639" s="456">
        <v>4636</v>
      </c>
      <c r="B3639" s="469" t="s">
        <v>5711</v>
      </c>
      <c r="C3639" s="458" t="s">
        <v>361</v>
      </c>
      <c r="D3639" s="456">
        <f>IF(Table10[[#This Row],[Current Age]]&gt;19,"Men's",IF(E3639&gt;15,"U19",IF(E3639&gt;13,"U15",IF(E3639&gt;11,"U13",IF(E3639&gt;0,"U11",0)))))</f>
        <v>0</v>
      </c>
      <c r="E3639" s="456">
        <f>IFERROR(IF(Table10[[#This Row],[Year]]&gt;0,$E$1-Table10[[#This Row],[Year]],0),"")</f>
        <v>0</v>
      </c>
      <c r="F3639" s="576"/>
      <c r="G3639" s="576"/>
      <c r="H3639" s="576"/>
    </row>
    <row r="3640" spans="1:8">
      <c r="A3640" s="471">
        <v>4637</v>
      </c>
      <c r="B3640" s="494" t="s">
        <v>5712</v>
      </c>
      <c r="C3640" s="472" t="s">
        <v>1914</v>
      </c>
      <c r="D3640" s="456">
        <f>IF(Table10[[#This Row],[Current Age]]&gt;19,"Men's",IF(E3640&gt;15,"U19",IF(E3640&gt;13,"U15",IF(E3640&gt;11,"U13",IF(E3640&gt;0,"U11",0)))))</f>
        <v>0</v>
      </c>
      <c r="E3640" s="456">
        <f>IFERROR(IF(Table10[[#This Row],[Year]]&gt;0,$E$1-Table10[[#This Row],[Year]],0),"")</f>
        <v>0</v>
      </c>
      <c r="F3640" s="576"/>
      <c r="G3640" s="576"/>
      <c r="H3640" s="576"/>
    </row>
    <row r="3641" spans="1:8">
      <c r="A3641" s="456">
        <v>4638</v>
      </c>
      <c r="B3641" s="495" t="s">
        <v>5713</v>
      </c>
      <c r="C3641" s="458" t="s">
        <v>361</v>
      </c>
      <c r="D3641" s="456">
        <f>IF(Table10[[#This Row],[Current Age]]&gt;19,"Men's",IF(E3641&gt;15,"U19",IF(E3641&gt;13,"U15",IF(E3641&gt;11,"U13",IF(E3641&gt;0,"U11",0)))))</f>
        <v>0</v>
      </c>
      <c r="E3641" s="456">
        <f>IFERROR(IF(Table10[[#This Row],[Year]]&gt;0,$E$1-Table10[[#This Row],[Year]],0),"")</f>
        <v>0</v>
      </c>
      <c r="F3641" s="576"/>
      <c r="G3641" s="576"/>
      <c r="H3641" s="576"/>
    </row>
    <row r="3642" spans="1:8">
      <c r="A3642" s="471">
        <v>4639</v>
      </c>
      <c r="B3642" s="494" t="s">
        <v>5714</v>
      </c>
      <c r="C3642" s="472" t="s">
        <v>361</v>
      </c>
      <c r="D3642" s="456">
        <f>IF(Table10[[#This Row],[Current Age]]&gt;19,"Men's",IF(E3642&gt;15,"U19",IF(E3642&gt;13,"U15",IF(E3642&gt;11,"U13",IF(E3642&gt;0,"U11",0)))))</f>
        <v>0</v>
      </c>
      <c r="E3642" s="456">
        <f>IFERROR(IF(Table10[[#This Row],[Year]]&gt;0,$E$1-Table10[[#This Row],[Year]],0),"")</f>
        <v>0</v>
      </c>
      <c r="F3642" s="576"/>
      <c r="G3642" s="576"/>
      <c r="H3642" s="576"/>
    </row>
    <row r="3643" spans="1:8">
      <c r="A3643" s="456">
        <v>4640</v>
      </c>
      <c r="B3643" s="495" t="s">
        <v>5734</v>
      </c>
      <c r="C3643" s="458" t="s">
        <v>361</v>
      </c>
      <c r="D3643" s="456">
        <f>IF(Table10[[#This Row],[Current Age]]&gt;19,"Men's",IF(E3643&gt;15,"U19",IF(E3643&gt;13,"U15",IF(E3643&gt;11,"U13",IF(E3643&gt;0,"U11",0)))))</f>
        <v>0</v>
      </c>
      <c r="E3643" s="456">
        <f>IFERROR(IF(Table10[[#This Row],[Year]]&gt;0,$E$1-Table10[[#This Row],[Year]],0),"")</f>
        <v>0</v>
      </c>
      <c r="F3643" s="576"/>
      <c r="G3643" s="576"/>
      <c r="H3643" s="576"/>
    </row>
    <row r="3644" spans="1:8">
      <c r="A3644" s="471">
        <v>4641</v>
      </c>
      <c r="B3644" s="494" t="s">
        <v>5715</v>
      </c>
      <c r="C3644" s="472" t="s">
        <v>361</v>
      </c>
      <c r="D3644" s="456">
        <f>IF(Table10[[#This Row],[Current Age]]&gt;19,"Men's",IF(E3644&gt;15,"U19",IF(E3644&gt;13,"U15",IF(E3644&gt;11,"U13",IF(E3644&gt;0,"U11",0)))))</f>
        <v>0</v>
      </c>
      <c r="E3644" s="456">
        <f>IFERROR(IF(Table10[[#This Row],[Year]]&gt;0,$E$1-Table10[[#This Row],[Year]],0),"")</f>
        <v>0</v>
      </c>
      <c r="F3644" s="576"/>
      <c r="G3644" s="576"/>
      <c r="H3644" s="576"/>
    </row>
    <row r="3645" spans="1:8">
      <c r="A3645" s="456">
        <v>4642</v>
      </c>
      <c r="B3645" s="495" t="s">
        <v>5722</v>
      </c>
      <c r="C3645" s="458" t="s">
        <v>361</v>
      </c>
      <c r="D3645" s="456">
        <f>IF(Table10[[#This Row],[Current Age]]&gt;19,"Men's",IF(E3645&gt;15,"U19",IF(E3645&gt;13,"U15",IF(E3645&gt;11,"U13",IF(E3645&gt;0,"U11",0)))))</f>
        <v>0</v>
      </c>
      <c r="E3645" s="456">
        <f>IFERROR(IF(Table10[[#This Row],[Year]]&gt;0,$E$1-Table10[[#This Row],[Year]],0),"")</f>
        <v>0</v>
      </c>
      <c r="F3645" s="576"/>
      <c r="G3645" s="576"/>
      <c r="H3645" s="576"/>
    </row>
    <row r="3646" spans="1:8">
      <c r="A3646" s="471">
        <v>4643</v>
      </c>
      <c r="B3646" s="494" t="s">
        <v>5766</v>
      </c>
      <c r="C3646" s="472" t="s">
        <v>244</v>
      </c>
      <c r="D3646" s="456">
        <f>IF(Table10[[#This Row],[Current Age]]&gt;19,"Men's",IF(E3646&gt;15,"U19",IF(E3646&gt;13,"U15",IF(E3646&gt;11,"U13",IF(E3646&gt;0,"U11",0)))))</f>
        <v>0</v>
      </c>
      <c r="E3646" s="456">
        <f>IFERROR(IF(Table10[[#This Row],[Year]]&gt;0,$E$1-Table10[[#This Row],[Year]],0),"")</f>
        <v>0</v>
      </c>
      <c r="F3646" s="576"/>
      <c r="G3646" s="576"/>
      <c r="H3646" s="576"/>
    </row>
    <row r="3647" spans="1:8">
      <c r="A3647" s="456">
        <v>4644</v>
      </c>
      <c r="B3647" s="495" t="s">
        <v>5726</v>
      </c>
      <c r="C3647" s="458" t="s">
        <v>361</v>
      </c>
      <c r="D3647" s="456">
        <f>IF(Table10[[#This Row],[Current Age]]&gt;19,"Men's",IF(E3647&gt;15,"U19",IF(E3647&gt;13,"U15",IF(E3647&gt;11,"U13",IF(E3647&gt;0,"U11",0)))))</f>
        <v>0</v>
      </c>
      <c r="E3647" s="456">
        <f>IFERROR(IF(Table10[[#This Row],[Year]]&gt;0,$E$1-Table10[[#This Row],[Year]],0),"")</f>
        <v>0</v>
      </c>
      <c r="F3647" s="576"/>
      <c r="G3647" s="576"/>
      <c r="H3647" s="576"/>
    </row>
    <row r="3648" spans="1:8">
      <c r="A3648" s="471">
        <v>4645</v>
      </c>
      <c r="B3648" s="494" t="s">
        <v>5716</v>
      </c>
      <c r="C3648" s="472" t="s">
        <v>361</v>
      </c>
      <c r="D3648" s="456">
        <f>IF(Table10[[#This Row],[Current Age]]&gt;19,"Men's",IF(E3648&gt;15,"U19",IF(E3648&gt;13,"U15",IF(E3648&gt;11,"U13",IF(E3648&gt;0,"U11",0)))))</f>
        <v>0</v>
      </c>
      <c r="E3648" s="456">
        <f>IFERROR(IF(Table10[[#This Row],[Year]]&gt;0,$E$1-Table10[[#This Row],[Year]],0),"")</f>
        <v>0</v>
      </c>
      <c r="F3648" s="576"/>
      <c r="G3648" s="576"/>
      <c r="H3648" s="576"/>
    </row>
    <row r="3649" spans="1:8">
      <c r="A3649" s="456">
        <v>4646</v>
      </c>
      <c r="B3649" s="495" t="s">
        <v>5727</v>
      </c>
      <c r="C3649" s="458" t="s">
        <v>361</v>
      </c>
      <c r="D3649" s="456">
        <f>IF(Table10[[#This Row],[Current Age]]&gt;19,"Men's",IF(E3649&gt;15,"U19",IF(E3649&gt;13,"U15",IF(E3649&gt;11,"U13",IF(E3649&gt;0,"U11",0)))))</f>
        <v>0</v>
      </c>
      <c r="E3649" s="456">
        <f>IFERROR(IF(Table10[[#This Row],[Year]]&gt;0,$E$1-Table10[[#This Row],[Year]],0),"")</f>
        <v>0</v>
      </c>
      <c r="F3649" s="576"/>
      <c r="G3649" s="576"/>
      <c r="H3649" s="576"/>
    </row>
    <row r="3650" spans="1:8">
      <c r="A3650" s="471">
        <v>4647</v>
      </c>
      <c r="B3650" s="494" t="s">
        <v>5717</v>
      </c>
      <c r="C3650" s="472" t="s">
        <v>361</v>
      </c>
      <c r="D3650" s="456">
        <f>IF(Table10[[#This Row],[Current Age]]&gt;19,"Men's",IF(E3650&gt;15,"U19",IF(E3650&gt;13,"U15",IF(E3650&gt;11,"U13",IF(E3650&gt;0,"U11",0)))))</f>
        <v>0</v>
      </c>
      <c r="E3650" s="456">
        <f>IFERROR(IF(Table10[[#This Row],[Year]]&gt;0,$E$1-Table10[[#This Row],[Year]],0),"")</f>
        <v>0</v>
      </c>
      <c r="F3650" s="576"/>
      <c r="G3650" s="576"/>
      <c r="H3650" s="576"/>
    </row>
    <row r="3651" spans="1:8">
      <c r="A3651" s="456">
        <v>4648</v>
      </c>
      <c r="B3651" s="495" t="s">
        <v>5718</v>
      </c>
      <c r="C3651" s="458" t="s">
        <v>362</v>
      </c>
      <c r="D3651" s="456">
        <f>IF(Table10[[#This Row],[Current Age]]&gt;19,"Men's",IF(E3651&gt;15,"U19",IF(E3651&gt;13,"U15",IF(E3651&gt;11,"U13",IF(E3651&gt;0,"U11",0)))))</f>
        <v>0</v>
      </c>
      <c r="E3651" s="456">
        <f>IFERROR(IF(Table10[[#This Row],[Year]]&gt;0,$E$1-Table10[[#This Row],[Year]],0),"")</f>
        <v>0</v>
      </c>
      <c r="F3651" s="576"/>
      <c r="G3651" s="576"/>
      <c r="H3651" s="576"/>
    </row>
    <row r="3652" spans="1:8">
      <c r="A3652" s="471">
        <v>4649</v>
      </c>
      <c r="B3652" s="494" t="s">
        <v>5728</v>
      </c>
      <c r="C3652" s="472" t="s">
        <v>361</v>
      </c>
      <c r="D3652" s="456">
        <f>IF(Table10[[#This Row],[Current Age]]&gt;19,"Men's",IF(E3652&gt;15,"U19",IF(E3652&gt;13,"U15",IF(E3652&gt;11,"U13",IF(E3652&gt;0,"U11",0)))))</f>
        <v>0</v>
      </c>
      <c r="E3652" s="456">
        <f>IFERROR(IF(Table10[[#This Row],[Year]]&gt;0,$E$1-Table10[[#This Row],[Year]],0),"")</f>
        <v>0</v>
      </c>
      <c r="F3652" s="576"/>
      <c r="G3652" s="576"/>
      <c r="H3652" s="576"/>
    </row>
    <row r="3653" spans="1:8">
      <c r="A3653" s="456">
        <v>4650</v>
      </c>
      <c r="B3653" s="494" t="s">
        <v>5985</v>
      </c>
      <c r="C3653" s="483" t="s">
        <v>1914</v>
      </c>
      <c r="D3653" s="456">
        <f>IF(Table10[[#This Row],[Current Age]]&gt;19,"Men's",IF(E3653&gt;15,"U19",IF(E3653&gt;13,"U15",IF(E3653&gt;11,"U13",IF(E3653&gt;0,"U11",0)))))</f>
        <v>0</v>
      </c>
      <c r="E3653" s="456">
        <f>IFERROR(IF(Table10[[#This Row],[Year]]&gt;0,$E$1-Table10[[#This Row],[Year]],0),"")</f>
        <v>0</v>
      </c>
      <c r="F3653" s="576"/>
      <c r="G3653" s="576"/>
      <c r="H3653" s="576"/>
    </row>
    <row r="3654" spans="1:8">
      <c r="A3654" s="471">
        <v>4651</v>
      </c>
      <c r="B3654" s="494" t="s">
        <v>5719</v>
      </c>
      <c r="C3654" s="472" t="s">
        <v>361</v>
      </c>
      <c r="D3654" s="456">
        <f>IF(Table10[[#This Row],[Current Age]]&gt;19,"Men's",IF(E3654&gt;15,"U19",IF(E3654&gt;13,"U15",IF(E3654&gt;11,"U13",IF(E3654&gt;0,"U11",0)))))</f>
        <v>0</v>
      </c>
      <c r="E3654" s="456">
        <f>IFERROR(IF(Table10[[#This Row],[Year]]&gt;0,$E$1-Table10[[#This Row],[Year]],0),"")</f>
        <v>0</v>
      </c>
      <c r="F3654" s="576"/>
      <c r="G3654" s="576"/>
      <c r="H3654" s="576"/>
    </row>
    <row r="3655" spans="1:8">
      <c r="A3655" s="456">
        <v>4652</v>
      </c>
      <c r="B3655" s="495" t="s">
        <v>5730</v>
      </c>
      <c r="C3655" s="458" t="s">
        <v>5729</v>
      </c>
      <c r="D3655" s="456">
        <f>IF(Table10[[#This Row],[Current Age]]&gt;19,"Men's",IF(E3655&gt;15,"U19",IF(E3655&gt;13,"U15",IF(E3655&gt;11,"U13",IF(E3655&gt;0,"U11",0)))))</f>
        <v>0</v>
      </c>
      <c r="E3655" s="456">
        <f>IFERROR(IF(Table10[[#This Row],[Year]]&gt;0,$E$1-Table10[[#This Row],[Year]],0),"")</f>
        <v>0</v>
      </c>
      <c r="F3655" s="576"/>
      <c r="G3655" s="576"/>
      <c r="H3655" s="576"/>
    </row>
    <row r="3656" spans="1:8">
      <c r="A3656" s="471">
        <v>4653</v>
      </c>
      <c r="B3656" s="494" t="s">
        <v>5720</v>
      </c>
      <c r="C3656" s="472" t="s">
        <v>361</v>
      </c>
      <c r="D3656" s="456">
        <f>IF(Table10[[#This Row],[Current Age]]&gt;19,"Men's",IF(E3656&gt;15,"U19",IF(E3656&gt;13,"U15",IF(E3656&gt;11,"U13",IF(E3656&gt;0,"U11",0)))))</f>
        <v>0</v>
      </c>
      <c r="E3656" s="456">
        <f>IFERROR(IF(Table10[[#This Row],[Year]]&gt;0,$E$1-Table10[[#This Row],[Year]],0),"")</f>
        <v>0</v>
      </c>
      <c r="F3656" s="576"/>
      <c r="G3656" s="576"/>
      <c r="H3656" s="576"/>
    </row>
    <row r="3657" spans="1:8">
      <c r="A3657" s="456">
        <v>4654</v>
      </c>
      <c r="B3657" s="495" t="s">
        <v>5721</v>
      </c>
      <c r="C3657" s="458" t="s">
        <v>361</v>
      </c>
      <c r="D3657" s="456">
        <f>IF(Table10[[#This Row],[Current Age]]&gt;19,"Men's",IF(E3657&gt;15,"U19",IF(E3657&gt;13,"U15",IF(E3657&gt;11,"U13",IF(E3657&gt;0,"U11",0)))))</f>
        <v>0</v>
      </c>
      <c r="E3657" s="456">
        <f>IFERROR(IF(Table10[[#This Row],[Year]]&gt;0,$E$1-Table10[[#This Row],[Year]],0),"")</f>
        <v>0</v>
      </c>
      <c r="F3657" s="576"/>
      <c r="G3657" s="576"/>
      <c r="H3657" s="576"/>
    </row>
    <row r="3658" spans="1:8">
      <c r="A3658" s="471">
        <v>4655</v>
      </c>
      <c r="B3658" s="494" t="s">
        <v>5733</v>
      </c>
      <c r="C3658" s="472" t="s">
        <v>361</v>
      </c>
      <c r="D3658" s="456">
        <f>IF(Table10[[#This Row],[Current Age]]&gt;19,"Men's",IF(E3658&gt;15,"U19",IF(E3658&gt;13,"U15",IF(E3658&gt;11,"U13",IF(E3658&gt;0,"U11",0)))))</f>
        <v>0</v>
      </c>
      <c r="E3658" s="456">
        <f>IFERROR(IF(Table10[[#This Row],[Year]]&gt;0,$E$1-Table10[[#This Row],[Year]],0),"")</f>
        <v>0</v>
      </c>
      <c r="F3658" s="576"/>
      <c r="G3658" s="576"/>
      <c r="H3658" s="576"/>
    </row>
    <row r="3659" spans="1:8">
      <c r="A3659" s="456">
        <v>4656</v>
      </c>
      <c r="B3659" s="495" t="s">
        <v>5930</v>
      </c>
      <c r="C3659" s="458" t="s">
        <v>1914</v>
      </c>
      <c r="D3659" s="456">
        <f>IF(Table10[[#This Row],[Current Age]]&gt;19,"Men's",IF(E3659&gt;15,"U19",IF(E3659&gt;13,"U15",IF(E3659&gt;11,"U13",IF(E3659&gt;0,"U11",0)))))</f>
        <v>0</v>
      </c>
      <c r="E3659" s="456">
        <f>IFERROR(IF(Table10[[#This Row],[Year]]&gt;0,$E$1-Table10[[#This Row],[Year]],0),"")</f>
        <v>0</v>
      </c>
      <c r="F3659" s="576"/>
      <c r="G3659" s="576"/>
      <c r="H3659" s="576"/>
    </row>
    <row r="3660" spans="1:8">
      <c r="A3660" s="471">
        <v>4657</v>
      </c>
      <c r="B3660" s="494" t="s">
        <v>5731</v>
      </c>
      <c r="C3660" s="472" t="s">
        <v>361</v>
      </c>
      <c r="D3660" s="456">
        <f>IF(Table10[[#This Row],[Current Age]]&gt;19,"Men's",IF(E3660&gt;15,"U19",IF(E3660&gt;13,"U15",IF(E3660&gt;11,"U13",IF(E3660&gt;0,"U11",0)))))</f>
        <v>0</v>
      </c>
      <c r="E3660" s="456">
        <f>IFERROR(IF(Table10[[#This Row],[Year]]&gt;0,$E$1-Table10[[#This Row],[Year]],0),"")</f>
        <v>0</v>
      </c>
      <c r="F3660" s="456"/>
      <c r="G3660" s="456"/>
      <c r="H3660" s="456"/>
    </row>
    <row r="3661" spans="1:8">
      <c r="A3661" s="456">
        <v>4658</v>
      </c>
      <c r="B3661" s="469" t="s">
        <v>5732</v>
      </c>
      <c r="C3661" s="458" t="s">
        <v>362</v>
      </c>
      <c r="D3661" s="456">
        <f>IF(Table10[[#This Row],[Current Age]]&gt;19,"Men's",IF(E3661&gt;15,"U19",IF(E3661&gt;13,"U15",IF(E3661&gt;11,"U13",IF(E3661&gt;0,"U11",0)))))</f>
        <v>0</v>
      </c>
      <c r="E3661" s="456">
        <f>IFERROR(IF(Table10[[#This Row],[Year]]&gt;0,$E$1-Table10[[#This Row],[Year]],0),"")</f>
        <v>0</v>
      </c>
      <c r="F3661" s="456"/>
      <c r="G3661" s="456"/>
      <c r="H3661" s="456"/>
    </row>
    <row r="3662" spans="1:8">
      <c r="A3662" s="471">
        <v>4659</v>
      </c>
      <c r="B3662" s="494" t="s">
        <v>5798</v>
      </c>
      <c r="C3662" s="484" t="s">
        <v>4745</v>
      </c>
      <c r="D3662" s="456">
        <f>IF(Table10[[#This Row],[Current Age]]&gt;19,"Men's",IF(E3662&gt;15,"U19",IF(E3662&gt;13,"U15",IF(E3662&gt;11,"U13",IF(E3662&gt;0,"U11",0)))))</f>
        <v>0</v>
      </c>
      <c r="E3662" s="456">
        <f>IFERROR(IF(Table10[[#This Row],[Year]]&gt;0,$E$1-Table10[[#This Row],[Year]],0),"")</f>
        <v>0</v>
      </c>
      <c r="F3662" s="456"/>
      <c r="G3662" s="456"/>
      <c r="H3662" s="456"/>
    </row>
    <row r="3663" spans="1:8">
      <c r="A3663" s="456">
        <v>4660</v>
      </c>
      <c r="B3663" s="495" t="s">
        <v>5735</v>
      </c>
      <c r="C3663" s="458" t="s">
        <v>362</v>
      </c>
      <c r="D3663" s="456">
        <f>IF(Table10[[#This Row],[Current Age]]&gt;19,"Men's",IF(E3663&gt;15,"U19",IF(E3663&gt;13,"U15",IF(E3663&gt;11,"U13",IF(E3663&gt;0,"U11",0)))))</f>
        <v>0</v>
      </c>
      <c r="E3663" s="456">
        <f>IFERROR(IF(Table10[[#This Row],[Year]]&gt;0,$E$1-Table10[[#This Row],[Year]],0),"")</f>
        <v>0</v>
      </c>
      <c r="F3663" s="456"/>
      <c r="G3663" s="456"/>
      <c r="H3663" s="456"/>
    </row>
    <row r="3664" spans="1:8">
      <c r="A3664" s="471">
        <v>4661</v>
      </c>
      <c r="B3664" s="494" t="s">
        <v>5736</v>
      </c>
      <c r="C3664" s="472" t="s">
        <v>361</v>
      </c>
      <c r="D3664" s="456">
        <f>IF(Table10[[#This Row],[Current Age]]&gt;19,"Men's",IF(E3664&gt;15,"U19",IF(E3664&gt;13,"U15",IF(E3664&gt;11,"U13",IF(E3664&gt;0,"U11",0)))))</f>
        <v>0</v>
      </c>
      <c r="E3664" s="456">
        <f>IFERROR(IF(Table10[[#This Row],[Year]]&gt;0,$E$1-Table10[[#This Row],[Year]],0),"")</f>
        <v>0</v>
      </c>
      <c r="F3664" s="456"/>
      <c r="G3664" s="456"/>
      <c r="H3664" s="456"/>
    </row>
    <row r="3665" spans="1:8">
      <c r="A3665" s="456">
        <v>4662</v>
      </c>
      <c r="B3665" s="495" t="s">
        <v>5737</v>
      </c>
      <c r="C3665" s="458" t="s">
        <v>361</v>
      </c>
      <c r="D3665" s="456">
        <f>IF(Table10[[#This Row],[Current Age]]&gt;19,"Men's",IF(E3665&gt;15,"U19",IF(E3665&gt;13,"U15",IF(E3665&gt;11,"U13",IF(E3665&gt;0,"U11",0)))))</f>
        <v>0</v>
      </c>
      <c r="E3665" s="456">
        <f>IFERROR(IF(Table10[[#This Row],[Year]]&gt;0,$E$1-Table10[[#This Row],[Year]],0),"")</f>
        <v>0</v>
      </c>
      <c r="F3665" s="456"/>
      <c r="G3665" s="456"/>
      <c r="H3665" s="456"/>
    </row>
    <row r="3666" spans="1:8">
      <c r="A3666" s="471">
        <v>4663</v>
      </c>
      <c r="B3666" s="494" t="s">
        <v>5738</v>
      </c>
      <c r="C3666" s="472" t="s">
        <v>361</v>
      </c>
      <c r="D3666" s="456">
        <f>IF(Table10[[#This Row],[Current Age]]&gt;19,"Men's",IF(E3666&gt;15,"U19",IF(E3666&gt;13,"U15",IF(E3666&gt;11,"U13",IF(E3666&gt;0,"U11",0)))))</f>
        <v>0</v>
      </c>
      <c r="E3666" s="456">
        <f>IFERROR(IF(Table10[[#This Row],[Year]]&gt;0,$E$1-Table10[[#This Row],[Year]],0),"")</f>
        <v>0</v>
      </c>
      <c r="F3666" s="456"/>
      <c r="G3666" s="456"/>
      <c r="H3666" s="456"/>
    </row>
    <row r="3667" spans="1:8">
      <c r="A3667" s="456">
        <v>4664</v>
      </c>
      <c r="B3667" s="495" t="s">
        <v>5739</v>
      </c>
      <c r="C3667" s="458" t="s">
        <v>361</v>
      </c>
      <c r="D3667" s="456">
        <f>IF(Table10[[#This Row],[Current Age]]&gt;19,"Men's",IF(E3667&gt;15,"U19",IF(E3667&gt;13,"U15",IF(E3667&gt;11,"U13",IF(E3667&gt;0,"U11",0)))))</f>
        <v>0</v>
      </c>
      <c r="E3667" s="456">
        <f>IFERROR(IF(Table10[[#This Row],[Year]]&gt;0,$E$1-Table10[[#This Row],[Year]],0),"")</f>
        <v>0</v>
      </c>
      <c r="F3667" s="456"/>
      <c r="G3667" s="456"/>
      <c r="H3667" s="456"/>
    </row>
    <row r="3668" spans="1:8">
      <c r="A3668" s="471">
        <v>4665</v>
      </c>
      <c r="B3668" s="494" t="s">
        <v>5740</v>
      </c>
      <c r="C3668" s="472" t="s">
        <v>361</v>
      </c>
      <c r="D3668" s="456">
        <f>IF(Table10[[#This Row],[Current Age]]&gt;19,"Men's",IF(E3668&gt;15,"U19",IF(E3668&gt;13,"U15",IF(E3668&gt;11,"U13",IF(E3668&gt;0,"U11",0)))))</f>
        <v>0</v>
      </c>
      <c r="E3668" s="456">
        <f>IFERROR(IF(Table10[[#This Row],[Year]]&gt;0,$E$1-Table10[[#This Row],[Year]],0),"")</f>
        <v>0</v>
      </c>
      <c r="F3668" s="456"/>
      <c r="G3668" s="456"/>
      <c r="H3668" s="456"/>
    </row>
    <row r="3669" spans="1:8">
      <c r="A3669" s="456">
        <v>4666</v>
      </c>
      <c r="B3669" s="495" t="s">
        <v>5741</v>
      </c>
      <c r="C3669" s="458" t="s">
        <v>361</v>
      </c>
      <c r="D3669" s="456">
        <f>IF(Table10[[#This Row],[Current Age]]&gt;19,"Men's",IF(E3669&gt;15,"U19",IF(E3669&gt;13,"U15",IF(E3669&gt;11,"U13",IF(E3669&gt;0,"U11",0)))))</f>
        <v>0</v>
      </c>
      <c r="E3669" s="456">
        <f>IFERROR(IF(Table10[[#This Row],[Year]]&gt;0,$E$1-Table10[[#This Row],[Year]],0),"")</f>
        <v>0</v>
      </c>
      <c r="F3669" s="456"/>
      <c r="G3669" s="456"/>
      <c r="H3669" s="456"/>
    </row>
    <row r="3670" spans="1:8">
      <c r="A3670" s="471">
        <v>4667</v>
      </c>
      <c r="B3670" s="494" t="s">
        <v>5742</v>
      </c>
      <c r="C3670" s="472" t="s">
        <v>362</v>
      </c>
      <c r="D3670" s="456">
        <f>IF(Table10[[#This Row],[Current Age]]&gt;19,"Men's",IF(E3670&gt;15,"U19",IF(E3670&gt;13,"U15",IF(E3670&gt;11,"U13",IF(E3670&gt;0,"U11",0)))))</f>
        <v>0</v>
      </c>
      <c r="E3670" s="456">
        <f>IFERROR(IF(Table10[[#This Row],[Year]]&gt;0,$E$1-Table10[[#This Row],[Year]],0),"")</f>
        <v>0</v>
      </c>
      <c r="F3670" s="456"/>
      <c r="G3670" s="456"/>
      <c r="H3670" s="456"/>
    </row>
    <row r="3671" spans="1:8">
      <c r="A3671" s="456">
        <v>4668</v>
      </c>
      <c r="B3671" s="495" t="s">
        <v>5785</v>
      </c>
      <c r="C3671" s="464" t="s">
        <v>244</v>
      </c>
      <c r="D3671" s="456">
        <f>IF(Table10[[#This Row],[Current Age]]&gt;19,"Men's",IF(E3671&gt;15,"U19",IF(E3671&gt;13,"U15",IF(E3671&gt;11,"U13",IF(E3671&gt;0,"U11",0)))))</f>
        <v>0</v>
      </c>
      <c r="E3671" s="456">
        <f>IFERROR(IF(Table10[[#This Row],[Year]]&gt;0,$E$1-Table10[[#This Row],[Year]],0),"")</f>
        <v>0</v>
      </c>
      <c r="F3671" s="456"/>
      <c r="G3671" s="456"/>
      <c r="H3671" s="456"/>
    </row>
    <row r="3672" spans="1:8">
      <c r="A3672" s="471">
        <v>4669</v>
      </c>
      <c r="B3672" s="494" t="s">
        <v>5743</v>
      </c>
      <c r="C3672" s="472" t="s">
        <v>361</v>
      </c>
      <c r="D3672" s="456">
        <f>IF(Table10[[#This Row],[Current Age]]&gt;19,"Men's",IF(E3672&gt;15,"U19",IF(E3672&gt;13,"U15",IF(E3672&gt;11,"U13",IF(E3672&gt;0,"U11",0)))))</f>
        <v>0</v>
      </c>
      <c r="E3672" s="456">
        <f>IFERROR(IF(Table10[[#This Row],[Year]]&gt;0,$E$1-Table10[[#This Row],[Year]],0),"")</f>
        <v>0</v>
      </c>
      <c r="F3672" s="456"/>
      <c r="G3672" s="456"/>
      <c r="H3672" s="456"/>
    </row>
    <row r="3673" spans="1:8">
      <c r="A3673" s="456">
        <v>4670</v>
      </c>
      <c r="B3673" s="469" t="s">
        <v>5758</v>
      </c>
      <c r="C3673" s="458" t="s">
        <v>361</v>
      </c>
      <c r="D3673" s="456">
        <f>IF(Table10[[#This Row],[Current Age]]&gt;19,"Men's",IF(E3673&gt;15,"U19",IF(E3673&gt;13,"U15",IF(E3673&gt;11,"U13",IF(E3673&gt;0,"U11",0)))))</f>
        <v>0</v>
      </c>
      <c r="E3673" s="456">
        <f>IFERROR(IF(Table10[[#This Row],[Year]]&gt;0,$E$1-Table10[[#This Row],[Year]],0),"")</f>
        <v>0</v>
      </c>
      <c r="F3673" s="456"/>
      <c r="G3673" s="456"/>
      <c r="H3673" s="456"/>
    </row>
    <row r="3674" spans="1:8">
      <c r="A3674" s="471">
        <v>4671</v>
      </c>
      <c r="B3674" s="493" t="s">
        <v>5759</v>
      </c>
      <c r="C3674" s="472" t="s">
        <v>361</v>
      </c>
      <c r="D3674" s="456">
        <f>IF(Table10[[#This Row],[Current Age]]&gt;19,"Men's",IF(E3674&gt;15,"U19",IF(E3674&gt;13,"U15",IF(E3674&gt;11,"U13",IF(E3674&gt;0,"U11",0)))))</f>
        <v>0</v>
      </c>
      <c r="E3674" s="456">
        <f>IFERROR(IF(Table10[[#This Row],[Year]]&gt;0,$E$1-Table10[[#This Row],[Year]],0),"")</f>
        <v>0</v>
      </c>
      <c r="F3674" s="456"/>
      <c r="G3674" s="456"/>
      <c r="H3674" s="456"/>
    </row>
    <row r="3675" spans="1:8">
      <c r="A3675" s="456">
        <v>4672</v>
      </c>
      <c r="B3675" s="469" t="s">
        <v>5760</v>
      </c>
      <c r="C3675" s="458" t="s">
        <v>361</v>
      </c>
      <c r="D3675" s="456">
        <f>IF(Table10[[#This Row],[Current Age]]&gt;19,"Men's",IF(E3675&gt;15,"U19",IF(E3675&gt;13,"U15",IF(E3675&gt;11,"U13",IF(E3675&gt;0,"U11",0)))))</f>
        <v>0</v>
      </c>
      <c r="E3675" s="456">
        <f>IFERROR(IF(Table10[[#This Row],[Year]]&gt;0,$E$1-Table10[[#This Row],[Year]],0),"")</f>
        <v>0</v>
      </c>
      <c r="F3675" s="456"/>
      <c r="G3675" s="456"/>
      <c r="H3675" s="456"/>
    </row>
    <row r="3676" spans="1:8">
      <c r="A3676" s="471">
        <v>4673</v>
      </c>
      <c r="B3676" s="493" t="s">
        <v>5761</v>
      </c>
      <c r="C3676" s="472" t="s">
        <v>361</v>
      </c>
      <c r="D3676" s="456">
        <f>IF(Table10[[#This Row],[Current Age]]&gt;19,"Men's",IF(E3676&gt;15,"U19",IF(E3676&gt;13,"U15",IF(E3676&gt;11,"U13",IF(E3676&gt;0,"U11",0)))))</f>
        <v>0</v>
      </c>
      <c r="E3676" s="456">
        <f>IFERROR(IF(Table10[[#This Row],[Year]]&gt;0,$E$1-Table10[[#This Row],[Year]],0),"")</f>
        <v>0</v>
      </c>
      <c r="F3676" s="456"/>
      <c r="G3676" s="456"/>
      <c r="H3676" s="456"/>
    </row>
    <row r="3677" spans="1:8">
      <c r="A3677" s="456">
        <v>4674</v>
      </c>
      <c r="B3677" s="469" t="s">
        <v>5762</v>
      </c>
      <c r="C3677" s="458" t="s">
        <v>361</v>
      </c>
      <c r="D3677" s="456">
        <f>IF(Table10[[#This Row],[Current Age]]&gt;19,"Men's",IF(E3677&gt;15,"U19",IF(E3677&gt;13,"U15",IF(E3677&gt;11,"U13",IF(E3677&gt;0,"U11",0)))))</f>
        <v>0</v>
      </c>
      <c r="E3677" s="456">
        <f>IFERROR(IF(Table10[[#This Row],[Year]]&gt;0,$E$1-Table10[[#This Row],[Year]],0),"")</f>
        <v>0</v>
      </c>
      <c r="F3677" s="456"/>
      <c r="G3677" s="456"/>
      <c r="H3677" s="456"/>
    </row>
    <row r="3678" spans="1:8">
      <c r="A3678" s="471">
        <v>4675</v>
      </c>
      <c r="B3678" s="493" t="s">
        <v>5763</v>
      </c>
      <c r="C3678" s="472" t="s">
        <v>361</v>
      </c>
      <c r="D3678" s="456">
        <f>IF(Table10[[#This Row],[Current Age]]&gt;19,"Men's",IF(E3678&gt;15,"U19",IF(E3678&gt;13,"U15",IF(E3678&gt;11,"U13",IF(E3678&gt;0,"U11",0)))))</f>
        <v>0</v>
      </c>
      <c r="E3678" s="456">
        <f>IFERROR(IF(Table10[[#This Row],[Year]]&gt;0,$E$1-Table10[[#This Row],[Year]],0),"")</f>
        <v>0</v>
      </c>
      <c r="F3678" s="456"/>
      <c r="G3678" s="456"/>
      <c r="H3678" s="456"/>
    </row>
    <row r="3679" spans="1:8">
      <c r="A3679" s="456">
        <v>4676</v>
      </c>
      <c r="B3679" s="495" t="s">
        <v>5771</v>
      </c>
      <c r="C3679" s="464" t="s">
        <v>244</v>
      </c>
      <c r="D3679" s="456">
        <f>IF(Table10[[#This Row],[Current Age]]&gt;19,"Men's",IF(E3679&gt;15,"U19",IF(E3679&gt;13,"U15",IF(E3679&gt;11,"U13",IF(E3679&gt;0,"U11",0)))))</f>
        <v>0</v>
      </c>
      <c r="E3679" s="456">
        <f>IFERROR(IF(Table10[[#This Row],[Year]]&gt;0,$E$1-Table10[[#This Row],[Year]],0),"")</f>
        <v>0</v>
      </c>
      <c r="F3679" s="456"/>
      <c r="G3679" s="456"/>
      <c r="H3679" s="456"/>
    </row>
    <row r="3680" spans="1:8">
      <c r="A3680" s="471">
        <v>4677</v>
      </c>
      <c r="B3680" s="494" t="s">
        <v>5772</v>
      </c>
      <c r="C3680" s="484" t="s">
        <v>244</v>
      </c>
      <c r="D3680" s="456">
        <f>IF(Table10[[#This Row],[Current Age]]&gt;19,"Men's",IF(E3680&gt;15,"U19",IF(E3680&gt;13,"U15",IF(E3680&gt;11,"U13",IF(E3680&gt;0,"U11",0)))))</f>
        <v>0</v>
      </c>
      <c r="E3680" s="456">
        <f>IFERROR(IF(Table10[[#This Row],[Year]]&gt;0,$E$1-Table10[[#This Row],[Year]],0),"")</f>
        <v>0</v>
      </c>
      <c r="F3680" s="456"/>
      <c r="G3680" s="456"/>
      <c r="H3680" s="456"/>
    </row>
    <row r="3681" spans="1:8">
      <c r="A3681" s="456">
        <v>4678</v>
      </c>
      <c r="B3681" s="495" t="s">
        <v>5773</v>
      </c>
      <c r="C3681" s="464" t="s">
        <v>244</v>
      </c>
      <c r="D3681" s="456">
        <f>IF(Table10[[#This Row],[Current Age]]&gt;19,"Men's",IF(E3681&gt;15,"U19",IF(E3681&gt;13,"U15",IF(E3681&gt;11,"U13",IF(E3681&gt;0,"U11",0)))))</f>
        <v>0</v>
      </c>
      <c r="E3681" s="456">
        <f>IFERROR(IF(Table10[[#This Row],[Year]]&gt;0,$E$1-Table10[[#This Row],[Year]],0),"")</f>
        <v>0</v>
      </c>
      <c r="F3681" s="456"/>
      <c r="G3681" s="456"/>
      <c r="H3681" s="456"/>
    </row>
    <row r="3682" spans="1:8">
      <c r="A3682" s="471">
        <v>4679</v>
      </c>
      <c r="B3682" s="494" t="s">
        <v>5774</v>
      </c>
      <c r="C3682" s="484" t="s">
        <v>244</v>
      </c>
      <c r="D3682" s="456">
        <f>IF(Table10[[#This Row],[Current Age]]&gt;19,"Men's",IF(E3682&gt;15,"U19",IF(E3682&gt;13,"U15",IF(E3682&gt;11,"U13",IF(E3682&gt;0,"U11",0)))))</f>
        <v>0</v>
      </c>
      <c r="E3682" s="456">
        <f>IFERROR(IF(Table10[[#This Row],[Year]]&gt;0,$E$1-Table10[[#This Row],[Year]],0),"")</f>
        <v>0</v>
      </c>
      <c r="F3682" s="456"/>
      <c r="G3682" s="456"/>
      <c r="H3682" s="456"/>
    </row>
    <row r="3683" spans="1:8">
      <c r="A3683" s="456">
        <v>4680</v>
      </c>
      <c r="B3683" s="495" t="s">
        <v>5775</v>
      </c>
      <c r="C3683" s="464" t="s">
        <v>244</v>
      </c>
      <c r="D3683" s="456">
        <f>IF(Table10[[#This Row],[Current Age]]&gt;19,"Men's",IF(E3683&gt;15,"U19",IF(E3683&gt;13,"U15",IF(E3683&gt;11,"U13",IF(E3683&gt;0,"U11",0)))))</f>
        <v>0</v>
      </c>
      <c r="E3683" s="456">
        <f>IFERROR(IF(Table10[[#This Row],[Year]]&gt;0,$E$1-Table10[[#This Row],[Year]],0),"")</f>
        <v>0</v>
      </c>
      <c r="F3683" s="456"/>
      <c r="G3683" s="456"/>
      <c r="H3683" s="456"/>
    </row>
    <row r="3684" spans="1:8">
      <c r="A3684" s="471">
        <v>4681</v>
      </c>
      <c r="B3684" s="494" t="s">
        <v>5776</v>
      </c>
      <c r="C3684" s="484" t="s">
        <v>244</v>
      </c>
      <c r="D3684" s="456">
        <f>IF(Table10[[#This Row],[Current Age]]&gt;19,"Men's",IF(E3684&gt;15,"U19",IF(E3684&gt;13,"U15",IF(E3684&gt;11,"U13",IF(E3684&gt;0,"U11",0)))))</f>
        <v>0</v>
      </c>
      <c r="E3684" s="456">
        <f>IFERROR(IF(Table10[[#This Row],[Year]]&gt;0,$E$1-Table10[[#This Row],[Year]],0),"")</f>
        <v>0</v>
      </c>
      <c r="F3684" s="456"/>
      <c r="G3684" s="456"/>
      <c r="H3684" s="456"/>
    </row>
    <row r="3685" spans="1:8">
      <c r="A3685" s="456">
        <v>4682</v>
      </c>
      <c r="B3685" s="495" t="s">
        <v>5777</v>
      </c>
      <c r="C3685" s="464" t="s">
        <v>244</v>
      </c>
      <c r="D3685" s="456">
        <f>IF(Table10[[#This Row],[Current Age]]&gt;19,"Men's",IF(E3685&gt;15,"U19",IF(E3685&gt;13,"U15",IF(E3685&gt;11,"U13",IF(E3685&gt;0,"U11",0)))))</f>
        <v>0</v>
      </c>
      <c r="E3685" s="456">
        <f>IFERROR(IF(Table10[[#This Row],[Year]]&gt;0,$E$1-Table10[[#This Row],[Year]],0),"")</f>
        <v>0</v>
      </c>
      <c r="F3685" s="456"/>
      <c r="G3685" s="456"/>
      <c r="H3685" s="456"/>
    </row>
    <row r="3686" spans="1:8">
      <c r="A3686" s="471">
        <v>4683</v>
      </c>
      <c r="B3686" s="494" t="s">
        <v>5778</v>
      </c>
      <c r="C3686" s="484" t="s">
        <v>244</v>
      </c>
      <c r="D3686" s="456">
        <f>IF(Table10[[#This Row],[Current Age]]&gt;19,"Men's",IF(E3686&gt;15,"U19",IF(E3686&gt;13,"U15",IF(E3686&gt;11,"U13",IF(E3686&gt;0,"U11",0)))))</f>
        <v>0</v>
      </c>
      <c r="E3686" s="456">
        <f>IFERROR(IF(Table10[[#This Row],[Year]]&gt;0,$E$1-Table10[[#This Row],[Year]],0),"")</f>
        <v>0</v>
      </c>
      <c r="F3686" s="456"/>
      <c r="G3686" s="456"/>
      <c r="H3686" s="456"/>
    </row>
    <row r="3687" spans="1:8">
      <c r="A3687" s="456">
        <v>4684</v>
      </c>
      <c r="B3687" s="495" t="s">
        <v>5779</v>
      </c>
      <c r="C3687" s="464" t="s">
        <v>4720</v>
      </c>
      <c r="D3687" s="456">
        <f>IF(Table10[[#This Row],[Current Age]]&gt;19,"Men's",IF(E3687&gt;15,"U19",IF(E3687&gt;13,"U15",IF(E3687&gt;11,"U13",IF(E3687&gt;0,"U11",0)))))</f>
        <v>0</v>
      </c>
      <c r="E3687" s="456">
        <f>IFERROR(IF(Table10[[#This Row],[Year]]&gt;0,$E$1-Table10[[#This Row],[Year]],0),"")</f>
        <v>0</v>
      </c>
      <c r="F3687" s="456"/>
      <c r="G3687" s="456"/>
      <c r="H3687" s="456"/>
    </row>
    <row r="3688" spans="1:8">
      <c r="A3688" s="471">
        <v>4685</v>
      </c>
      <c r="B3688" s="494" t="s">
        <v>5780</v>
      </c>
      <c r="C3688" s="484" t="s">
        <v>244</v>
      </c>
      <c r="D3688" s="456">
        <f>IF(Table10[[#This Row],[Current Age]]&gt;19,"Men's",IF(E3688&gt;15,"U19",IF(E3688&gt;13,"U15",IF(E3688&gt;11,"U13",IF(E3688&gt;0,"U11",0)))))</f>
        <v>0</v>
      </c>
      <c r="E3688" s="456">
        <f>IFERROR(IF(Table10[[#This Row],[Year]]&gt;0,$E$1-Table10[[#This Row],[Year]],0),"")</f>
        <v>0</v>
      </c>
      <c r="F3688" s="456"/>
      <c r="G3688" s="456"/>
      <c r="H3688" s="456"/>
    </row>
    <row r="3689" spans="1:8">
      <c r="A3689" s="456">
        <v>4686</v>
      </c>
      <c r="B3689" s="495" t="s">
        <v>5781</v>
      </c>
      <c r="C3689" s="464" t="s">
        <v>5357</v>
      </c>
      <c r="D3689" s="456">
        <f>IF(Table10[[#This Row],[Current Age]]&gt;19,"Men's",IF(E3689&gt;15,"U19",IF(E3689&gt;13,"U15",IF(E3689&gt;11,"U13",IF(E3689&gt;0,"U11",0)))))</f>
        <v>0</v>
      </c>
      <c r="E3689" s="456">
        <f>IFERROR(IF(Table10[[#This Row],[Year]]&gt;0,$E$1-Table10[[#This Row],[Year]],0),"")</f>
        <v>0</v>
      </c>
      <c r="F3689" s="456"/>
      <c r="G3689" s="456"/>
      <c r="H3689" s="456"/>
    </row>
    <row r="3690" spans="1:8">
      <c r="A3690" s="471">
        <v>4687</v>
      </c>
      <c r="B3690" s="494" t="s">
        <v>5485</v>
      </c>
      <c r="C3690" s="484" t="s">
        <v>4658</v>
      </c>
      <c r="D3690" s="485">
        <f>IF(Table10[[#This Row],[Current Age]]&gt;19,"Men's",IF(E3690&gt;15,"U19",IF(E3690&gt;13,"U15",IF(E3690&gt;11,"U13",IF(E3690&gt;0,"U11",0)))))</f>
        <v>0</v>
      </c>
      <c r="E3690" s="456">
        <f>IFERROR(IF(Table10[[#This Row],[Year]]&gt;0,$E$1-Table10[[#This Row],[Year]],0),"")</f>
        <v>0</v>
      </c>
      <c r="F3690" s="485"/>
      <c r="G3690" s="485"/>
      <c r="H3690" s="485"/>
    </row>
    <row r="3691" spans="1:8">
      <c r="A3691" s="456">
        <v>4688</v>
      </c>
      <c r="B3691" s="495" t="s">
        <v>5783</v>
      </c>
      <c r="C3691" s="464" t="s">
        <v>244</v>
      </c>
      <c r="D3691" s="485">
        <f>IF(Table10[[#This Row],[Current Age]]&gt;19,"Men's",IF(E3691&gt;15,"U19",IF(E3691&gt;13,"U15",IF(E3691&gt;11,"U13",IF(E3691&gt;0,"U11",0)))))</f>
        <v>0</v>
      </c>
      <c r="E3691" s="456">
        <f>IFERROR(IF(Table10[[#This Row],[Year]]&gt;0,$E$1-Table10[[#This Row],[Year]],0),"")</f>
        <v>0</v>
      </c>
      <c r="F3691" s="485"/>
      <c r="G3691" s="485"/>
      <c r="H3691" s="485"/>
    </row>
    <row r="3692" spans="1:8">
      <c r="A3692" s="471">
        <v>4689</v>
      </c>
      <c r="B3692" s="494" t="s">
        <v>5784</v>
      </c>
      <c r="C3692" s="484" t="s">
        <v>244</v>
      </c>
      <c r="D3692" s="485">
        <f>IF(Table10[[#This Row],[Current Age]]&gt;19,"Men's",IF(E3692&gt;15,"U19",IF(E3692&gt;13,"U15",IF(E3692&gt;11,"U13",IF(E3692&gt;0,"U11",0)))))</f>
        <v>0</v>
      </c>
      <c r="E3692" s="456">
        <f>IFERROR(IF(Table10[[#This Row],[Year]]&gt;0,$E$1-Table10[[#This Row],[Year]],0),"")</f>
        <v>0</v>
      </c>
      <c r="F3692" s="485"/>
      <c r="G3692" s="485"/>
      <c r="H3692" s="485"/>
    </row>
    <row r="3693" spans="1:8">
      <c r="A3693" s="456">
        <v>4690</v>
      </c>
      <c r="B3693" s="495" t="s">
        <v>5901</v>
      </c>
      <c r="C3693" s="464" t="s">
        <v>1004</v>
      </c>
      <c r="D3693" s="485">
        <f>IF(Table10[[#This Row],[Current Age]]&gt;19,"Men's",IF(E3693&gt;15,"U19",IF(E3693&gt;13,"U15",IF(E3693&gt;11,"U13",IF(E3693&gt;0,"U11",0)))))</f>
        <v>0</v>
      </c>
      <c r="E3693" s="456">
        <f>IFERROR(IF(Table10[[#This Row],[Year]]&gt;0,$E$1-Table10[[#This Row],[Year]],0),"")</f>
        <v>0</v>
      </c>
      <c r="F3693" s="485"/>
      <c r="G3693" s="485"/>
      <c r="H3693" s="485"/>
    </row>
    <row r="3694" spans="1:8">
      <c r="A3694" s="471">
        <v>4691</v>
      </c>
      <c r="B3694" s="495" t="s">
        <v>5984</v>
      </c>
      <c r="C3694" s="484" t="s">
        <v>4720</v>
      </c>
      <c r="D3694" s="485">
        <f>IF(Table10[[#This Row],[Current Age]]&gt;19,"Men's",IF(E3694&gt;15,"U19",IF(E3694&gt;13,"U15",IF(E3694&gt;11,"U13",IF(E3694&gt;0,"U11",0)))))</f>
        <v>0</v>
      </c>
      <c r="E3694" s="456">
        <f>IFERROR(IF(Table10[[#This Row],[Year]]&gt;0,$E$1-Table10[[#This Row],[Year]],0),"")</f>
        <v>0</v>
      </c>
      <c r="F3694" s="485"/>
      <c r="G3694" s="485"/>
      <c r="H3694" s="485"/>
    </row>
    <row r="3695" spans="1:8">
      <c r="A3695" s="456">
        <v>4692</v>
      </c>
      <c r="B3695" s="469" t="s">
        <v>5799</v>
      </c>
      <c r="C3695" s="458" t="s">
        <v>361</v>
      </c>
      <c r="D3695" s="485">
        <f>IF(Table10[[#This Row],[Current Age]]&gt;19,"Men's",IF(E3695&gt;15,"U19",IF(E3695&gt;13,"U15",IF(E3695&gt;11,"U13",IF(E3695&gt;0,"U11",0)))))</f>
        <v>0</v>
      </c>
      <c r="E3695" s="456">
        <f>IFERROR(IF(Table10[[#This Row],[Year]]&gt;0,$E$1-Table10[[#This Row],[Year]],0),"")</f>
        <v>0</v>
      </c>
      <c r="F3695" s="485"/>
      <c r="G3695" s="485"/>
      <c r="H3695" s="485"/>
    </row>
    <row r="3696" spans="1:8">
      <c r="A3696" s="471">
        <v>4693</v>
      </c>
      <c r="B3696" s="494" t="s">
        <v>5796</v>
      </c>
      <c r="C3696" s="484" t="s">
        <v>244</v>
      </c>
      <c r="D3696" s="485">
        <f>IF(Table10[[#This Row],[Current Age]]&gt;19,"Men's",IF(E3696&gt;15,"U19",IF(E3696&gt;13,"U15",IF(E3696&gt;11,"U13",IF(E3696&gt;0,"U11",0)))))</f>
        <v>0</v>
      </c>
      <c r="E3696" s="456">
        <f>IFERROR(IF(Table10[[#This Row],[Year]]&gt;0,$E$1-Table10[[#This Row],[Year]],0),"")</f>
        <v>0</v>
      </c>
      <c r="F3696" s="485"/>
      <c r="G3696" s="485"/>
      <c r="H3696" s="485"/>
    </row>
    <row r="3697" spans="1:8" ht="15.5">
      <c r="A3697" s="468">
        <v>4694</v>
      </c>
      <c r="B3697" s="577" t="s">
        <v>5820</v>
      </c>
      <c r="C3697" s="468" t="s">
        <v>5956</v>
      </c>
      <c r="D3697" s="485" t="str">
        <f>IF(Table10[[#This Row],[Current Age]]&gt;19,"Men's",IF(E3697&gt;15,"U19",IF(E3697&gt;13,"U15",IF(E3697&gt;11,"U13",IF(E3697&gt;0,"U11",0)))))</f>
        <v>U11</v>
      </c>
      <c r="E3697" s="456">
        <f>IFERROR(IF(Table10[[#This Row],[Year]]&gt;0,$E$1-Table10[[#This Row],[Year]],0),"")</f>
        <v>11</v>
      </c>
      <c r="F3697" s="485">
        <v>2014</v>
      </c>
      <c r="G3697" s="485">
        <v>4</v>
      </c>
      <c r="H3697" s="485">
        <v>9</v>
      </c>
    </row>
    <row r="3698" spans="1:8" ht="15.5">
      <c r="A3698" s="560">
        <v>4695</v>
      </c>
      <c r="B3698" s="578" t="s">
        <v>5821</v>
      </c>
      <c r="C3698" s="560" t="s">
        <v>5956</v>
      </c>
      <c r="D3698" s="485" t="str">
        <f>IF(Table10[[#This Row],[Current Age]]&gt;19,"Men's",IF(E3698&gt;15,"U19",IF(E3698&gt;13,"U15",IF(E3698&gt;11,"U13",IF(E3698&gt;0,"U11",0)))))</f>
        <v>U11</v>
      </c>
      <c r="E3698" s="456">
        <f>IFERROR(IF(Table10[[#This Row],[Year]]&gt;0,$E$1-Table10[[#This Row],[Year]],0),"")</f>
        <v>10</v>
      </c>
      <c r="F3698" s="485">
        <v>2015</v>
      </c>
      <c r="G3698" s="485">
        <v>8</v>
      </c>
      <c r="H3698" s="485">
        <v>14</v>
      </c>
    </row>
    <row r="3699" spans="1:8" ht="15.5">
      <c r="A3699" s="468">
        <v>4696</v>
      </c>
      <c r="B3699" s="577" t="s">
        <v>5822</v>
      </c>
      <c r="C3699" s="468" t="s">
        <v>5957</v>
      </c>
      <c r="D3699" s="485" t="str">
        <f>IF(Table10[[#This Row],[Current Age]]&gt;19,"Men's",IF(E3699&gt;15,"U19",IF(E3699&gt;13,"U15",IF(E3699&gt;11,"U13",IF(E3699&gt;0,"U11",0)))))</f>
        <v>U11</v>
      </c>
      <c r="E3699" s="456">
        <f>IFERROR(IF(Table10[[#This Row],[Year]]&gt;0,$E$1-Table10[[#This Row],[Year]],0),"")</f>
        <v>11</v>
      </c>
      <c r="F3699" s="485">
        <v>2014</v>
      </c>
      <c r="G3699" s="485">
        <v>3</v>
      </c>
      <c r="H3699" s="485">
        <v>11</v>
      </c>
    </row>
    <row r="3700" spans="1:8" ht="15.5">
      <c r="A3700" s="560">
        <v>4697</v>
      </c>
      <c r="B3700" s="578" t="s">
        <v>5823</v>
      </c>
      <c r="C3700" s="560" t="s">
        <v>5958</v>
      </c>
      <c r="D3700" s="485" t="str">
        <f>IF(Table10[[#This Row],[Current Age]]&gt;19,"Men's",IF(E3700&gt;15,"U19",IF(E3700&gt;13,"U15",IF(E3700&gt;11,"U13",IF(E3700&gt;0,"U11",0)))))</f>
        <v>U11</v>
      </c>
      <c r="E3700" s="456">
        <f>IFERROR(IF(Table10[[#This Row],[Year]]&gt;0,$E$1-Table10[[#This Row],[Year]],0),"")</f>
        <v>11</v>
      </c>
      <c r="F3700" s="485">
        <v>2014</v>
      </c>
      <c r="G3700" s="485">
        <v>3</v>
      </c>
      <c r="H3700" s="485">
        <v>30</v>
      </c>
    </row>
    <row r="3701" spans="1:8" ht="15.5">
      <c r="A3701" s="468">
        <v>4698</v>
      </c>
      <c r="B3701" s="577" t="s">
        <v>5824</v>
      </c>
      <c r="C3701" s="468" t="s">
        <v>5957</v>
      </c>
      <c r="D3701" s="485" t="str">
        <f>IF(Table10[[#This Row],[Current Age]]&gt;19,"Men's",IF(E3701&gt;15,"U19",IF(E3701&gt;13,"U15",IF(E3701&gt;11,"U13",IF(E3701&gt;0,"U11",0)))))</f>
        <v>U11</v>
      </c>
      <c r="E3701" s="456">
        <f>IFERROR(IF(Table10[[#This Row],[Year]]&gt;0,$E$1-Table10[[#This Row],[Year]],0),"")</f>
        <v>11</v>
      </c>
      <c r="F3701" s="485">
        <v>2014</v>
      </c>
      <c r="G3701" s="485">
        <v>3</v>
      </c>
      <c r="H3701" s="485">
        <v>30</v>
      </c>
    </row>
    <row r="3702" spans="1:8" ht="15.5">
      <c r="A3702" s="560">
        <v>4699</v>
      </c>
      <c r="B3702" s="578" t="s">
        <v>5825</v>
      </c>
      <c r="C3702" s="560" t="s">
        <v>5957</v>
      </c>
      <c r="D3702" s="485" t="str">
        <f>IF(Table10[[#This Row],[Current Age]]&gt;19,"Men's",IF(E3702&gt;15,"U19",IF(E3702&gt;13,"U15",IF(E3702&gt;11,"U13",IF(E3702&gt;0,"U11",0)))))</f>
        <v>U13</v>
      </c>
      <c r="E3702" s="456">
        <f>IFERROR(IF(Table10[[#This Row],[Year]]&gt;0,$E$1-Table10[[#This Row],[Year]],0),"")</f>
        <v>13</v>
      </c>
      <c r="F3702" s="485">
        <v>2012</v>
      </c>
      <c r="G3702" s="485">
        <v>8</v>
      </c>
      <c r="H3702" s="485">
        <v>17</v>
      </c>
    </row>
    <row r="3703" spans="1:8" ht="15.5">
      <c r="A3703" s="468">
        <v>4700</v>
      </c>
      <c r="B3703" s="577" t="s">
        <v>5826</v>
      </c>
      <c r="C3703" s="468" t="s">
        <v>5958</v>
      </c>
      <c r="D3703" s="485" t="str">
        <f>IF(Table10[[#This Row],[Current Age]]&gt;19,"Men's",IF(E3703&gt;15,"U19",IF(E3703&gt;13,"U15",IF(E3703&gt;11,"U13",IF(E3703&gt;0,"U11",0)))))</f>
        <v>U15</v>
      </c>
      <c r="E3703" s="456">
        <f>IFERROR(IF(Table10[[#This Row],[Year]]&gt;0,$E$1-Table10[[#This Row],[Year]],0),"")</f>
        <v>15</v>
      </c>
      <c r="F3703" s="485">
        <v>2010</v>
      </c>
      <c r="G3703" s="485">
        <v>3</v>
      </c>
      <c r="H3703" s="485">
        <v>29</v>
      </c>
    </row>
    <row r="3704" spans="1:8" ht="15.5">
      <c r="A3704" s="560">
        <v>4701</v>
      </c>
      <c r="B3704" s="578" t="s">
        <v>5827</v>
      </c>
      <c r="C3704" s="560" t="s">
        <v>5957</v>
      </c>
      <c r="D3704" s="485" t="str">
        <f>IF(Table10[[#This Row],[Current Age]]&gt;19,"Men's",IF(E3704&gt;15,"U19",IF(E3704&gt;13,"U15",IF(E3704&gt;11,"U13",IF(E3704&gt;0,"U11",0)))))</f>
        <v>Men's</v>
      </c>
      <c r="E3704" s="456">
        <f>IFERROR(IF(Table10[[#This Row],[Year]]&gt;0,$E$1-Table10[[#This Row],[Year]],0),"")</f>
        <v>28</v>
      </c>
      <c r="F3704" s="485">
        <v>1997</v>
      </c>
      <c r="G3704" s="485">
        <v>6</v>
      </c>
      <c r="H3704" s="485">
        <v>20</v>
      </c>
    </row>
    <row r="3705" spans="1:8" ht="15.5">
      <c r="A3705" s="468">
        <v>4702</v>
      </c>
      <c r="B3705" s="577" t="s">
        <v>5828</v>
      </c>
      <c r="C3705" s="468" t="s">
        <v>5958</v>
      </c>
      <c r="D3705" s="485" t="str">
        <f>IF(Table10[[#This Row],[Current Age]]&gt;19,"Men's",IF(E3705&gt;15,"U19",IF(E3705&gt;13,"U15",IF(E3705&gt;11,"U13",IF(E3705&gt;0,"U11",0)))))</f>
        <v>U19</v>
      </c>
      <c r="E3705" s="456">
        <f>IFERROR(IF(Table10[[#This Row],[Year]]&gt;0,$E$1-Table10[[#This Row],[Year]],0),"")</f>
        <v>17</v>
      </c>
      <c r="F3705" s="485">
        <v>2008</v>
      </c>
      <c r="G3705" s="485">
        <v>6</v>
      </c>
      <c r="H3705" s="485">
        <v>12</v>
      </c>
    </row>
    <row r="3706" spans="1:8" ht="15.5">
      <c r="A3706" s="560">
        <v>4703</v>
      </c>
      <c r="B3706" s="578" t="s">
        <v>5829</v>
      </c>
      <c r="C3706" s="560" t="s">
        <v>5959</v>
      </c>
      <c r="D3706" s="485" t="str">
        <f>IF(Table10[[#This Row],[Current Age]]&gt;19,"Men's",IF(E3706&gt;15,"U19",IF(E3706&gt;13,"U15",IF(E3706&gt;11,"U13",IF(E3706&gt;0,"U11",0)))))</f>
        <v>U19</v>
      </c>
      <c r="E3706" s="456">
        <f>IFERROR(IF(Table10[[#This Row],[Year]]&gt;0,$E$1-Table10[[#This Row],[Year]],0),"")</f>
        <v>18</v>
      </c>
      <c r="F3706" s="485">
        <v>2007</v>
      </c>
      <c r="G3706" s="485">
        <v>7</v>
      </c>
      <c r="H3706" s="485">
        <v>23</v>
      </c>
    </row>
    <row r="3707" spans="1:8" ht="15.5">
      <c r="A3707" s="468">
        <v>4704</v>
      </c>
      <c r="B3707" s="577" t="s">
        <v>5830</v>
      </c>
      <c r="C3707" s="468" t="s">
        <v>5956</v>
      </c>
      <c r="D3707" s="485" t="str">
        <f>IF(Table10[[#This Row],[Current Age]]&gt;19,"Men's",IF(E3707&gt;15,"U19",IF(E3707&gt;13,"U15",IF(E3707&gt;11,"U13",IF(E3707&gt;0,"U11",0)))))</f>
        <v>Men's</v>
      </c>
      <c r="E3707" s="456">
        <f>IFERROR(IF(Table10[[#This Row],[Year]]&gt;0,$E$1-Table10[[#This Row],[Year]],0),"")</f>
        <v>43</v>
      </c>
      <c r="F3707" s="485">
        <v>1982</v>
      </c>
      <c r="G3707" s="485">
        <v>2</v>
      </c>
      <c r="H3707" s="485">
        <v>6</v>
      </c>
    </row>
    <row r="3708" spans="1:8" ht="15.5">
      <c r="A3708" s="560">
        <v>4705</v>
      </c>
      <c r="B3708" s="578" t="s">
        <v>5831</v>
      </c>
      <c r="C3708" s="560" t="s">
        <v>5957</v>
      </c>
      <c r="D3708" s="485" t="str">
        <f>IF(Table10[[#This Row],[Current Age]]&gt;19,"Men's",IF(E3708&gt;15,"U19",IF(E3708&gt;13,"U15",IF(E3708&gt;11,"U13",IF(E3708&gt;0,"U11",0)))))</f>
        <v>Men's</v>
      </c>
      <c r="E3708" s="456">
        <f>IFERROR(IF(Table10[[#This Row],[Year]]&gt;0,$E$1-Table10[[#This Row],[Year]],0),"")</f>
        <v>30</v>
      </c>
      <c r="F3708" s="485">
        <v>1995</v>
      </c>
      <c r="G3708" s="485">
        <v>1</v>
      </c>
      <c r="H3708" s="485">
        <v>6</v>
      </c>
    </row>
    <row r="3709" spans="1:8" ht="15.5">
      <c r="A3709" s="468">
        <v>4706</v>
      </c>
      <c r="B3709" s="577" t="s">
        <v>5832</v>
      </c>
      <c r="C3709" s="468" t="s">
        <v>5957</v>
      </c>
      <c r="D3709" s="485" t="str">
        <f>IF(Table10[[#This Row],[Current Age]]&gt;19,"Men's",IF(E3709&gt;15,"U19",IF(E3709&gt;13,"U15",IF(E3709&gt;11,"U13",IF(E3709&gt;0,"U11",0)))))</f>
        <v>Men's</v>
      </c>
      <c r="E3709" s="456">
        <f>IFERROR(IF(Table10[[#This Row],[Year]]&gt;0,$E$1-Table10[[#This Row],[Year]],0),"")</f>
        <v>34</v>
      </c>
      <c r="F3709" s="485">
        <v>1991</v>
      </c>
      <c r="G3709" s="485">
        <v>8</v>
      </c>
      <c r="H3709" s="485">
        <v>11</v>
      </c>
    </row>
    <row r="3710" spans="1:8" ht="15.5">
      <c r="A3710" s="560">
        <v>4707</v>
      </c>
      <c r="B3710" s="578" t="s">
        <v>5833</v>
      </c>
      <c r="C3710" s="560" t="s">
        <v>5959</v>
      </c>
      <c r="D3710" s="485" t="str">
        <f>IF(Table10[[#This Row],[Current Age]]&gt;19,"Men's",IF(E3710&gt;15,"U19",IF(E3710&gt;13,"U15",IF(E3710&gt;11,"U13",IF(E3710&gt;0,"U11",0)))))</f>
        <v>Men's</v>
      </c>
      <c r="E3710" s="456">
        <f>IFERROR(IF(Table10[[#This Row],[Year]]&gt;0,$E$1-Table10[[#This Row],[Year]],0),"")</f>
        <v>38</v>
      </c>
      <c r="F3710" s="485">
        <v>1987</v>
      </c>
      <c r="G3710" s="485">
        <v>2</v>
      </c>
      <c r="H3710" s="485">
        <v>22</v>
      </c>
    </row>
    <row r="3711" spans="1:8" ht="15.5">
      <c r="A3711" s="468">
        <v>4708</v>
      </c>
      <c r="B3711" s="577" t="s">
        <v>5834</v>
      </c>
      <c r="C3711" s="468" t="s">
        <v>5956</v>
      </c>
      <c r="D3711" s="485" t="str">
        <f>IF(Table10[[#This Row],[Current Age]]&gt;19,"Men's",IF(E3711&gt;15,"U19",IF(E3711&gt;13,"U15",IF(E3711&gt;11,"U13",IF(E3711&gt;0,"U11",0)))))</f>
        <v>Men's</v>
      </c>
      <c r="E3711" s="456">
        <f>IFERROR(IF(Table10[[#This Row],[Year]]&gt;0,$E$1-Table10[[#This Row],[Year]],0),"")</f>
        <v>37</v>
      </c>
      <c r="F3711" s="485">
        <v>1988</v>
      </c>
      <c r="G3711" s="485">
        <v>4</v>
      </c>
      <c r="H3711" s="485">
        <v>15</v>
      </c>
    </row>
    <row r="3712" spans="1:8" ht="15.5">
      <c r="A3712" s="560">
        <v>4709</v>
      </c>
      <c r="B3712" s="578" t="s">
        <v>5836</v>
      </c>
      <c r="C3712" s="560" t="s">
        <v>5958</v>
      </c>
      <c r="D3712" s="485" t="str">
        <f>IF(Table10[[#This Row],[Current Age]]&gt;19,"Men's",IF(E3712&gt;15,"U19",IF(E3712&gt;13,"U15",IF(E3712&gt;11,"U13",IF(E3712&gt;0,"U11",0)))))</f>
        <v>Men's</v>
      </c>
      <c r="E3712" s="456">
        <f>IFERROR(IF(Table10[[#This Row],[Year]]&gt;0,$E$1-Table10[[#This Row],[Year]],0),"")</f>
        <v>26</v>
      </c>
      <c r="F3712" s="485">
        <v>1999</v>
      </c>
      <c r="G3712" s="485">
        <v>9</v>
      </c>
      <c r="H3712" s="485">
        <v>9</v>
      </c>
    </row>
    <row r="3713" spans="1:8" ht="15.5">
      <c r="A3713" s="486">
        <v>4710</v>
      </c>
      <c r="B3713" s="502" t="s">
        <v>5837</v>
      </c>
      <c r="C3713" s="486" t="s">
        <v>5958</v>
      </c>
      <c r="D3713" s="485" t="str">
        <f>IF(Table10[[#This Row],[Current Age]]&gt;19,"Men's",IF(E3713&gt;15,"U19",IF(E3713&gt;13,"U15",IF(E3713&gt;11,"U13",IF(E3713&gt;0,"U11",0)))))</f>
        <v>U13</v>
      </c>
      <c r="E3713" s="456">
        <f>IFERROR(IF(Table10[[#This Row],[Year]]&gt;0,$E$1-Table10[[#This Row],[Year]],0),"")</f>
        <v>12</v>
      </c>
      <c r="F3713" s="485">
        <v>2013</v>
      </c>
      <c r="G3713" s="485">
        <v>2</v>
      </c>
      <c r="H3713" s="485">
        <v>3</v>
      </c>
    </row>
    <row r="3714" spans="1:8" ht="15.5">
      <c r="A3714" s="487">
        <v>4711</v>
      </c>
      <c r="B3714" s="501" t="s">
        <v>5838</v>
      </c>
      <c r="C3714" s="487" t="s">
        <v>5958</v>
      </c>
      <c r="D3714" s="485" t="str">
        <f>IF(Table10[[#This Row],[Current Age]]&gt;19,"Men's",IF(E3714&gt;15,"U19",IF(E3714&gt;13,"U15",IF(E3714&gt;11,"U13",IF(E3714&gt;0,"U11",0)))))</f>
        <v>Men's</v>
      </c>
      <c r="E3714" s="456">
        <f>IFERROR(IF(Table10[[#This Row],[Year]]&gt;0,$E$1-Table10[[#This Row],[Year]],0),"")</f>
        <v>53</v>
      </c>
      <c r="F3714" s="485">
        <v>1972</v>
      </c>
      <c r="G3714" s="485">
        <v>8</v>
      </c>
      <c r="H3714" s="485">
        <v>17</v>
      </c>
    </row>
    <row r="3715" spans="1:8" ht="15.5">
      <c r="A3715" s="486">
        <v>4712</v>
      </c>
      <c r="B3715" s="502" t="s">
        <v>5839</v>
      </c>
      <c r="C3715" s="486" t="s">
        <v>5958</v>
      </c>
      <c r="D3715" s="485" t="str">
        <f>IF(Table10[[#This Row],[Current Age]]&gt;19,"Men's",IF(E3715&gt;15,"U19",IF(E3715&gt;13,"U15",IF(E3715&gt;11,"U13",IF(E3715&gt;0,"U11",0)))))</f>
        <v>Men's</v>
      </c>
      <c r="E3715" s="456">
        <f>IFERROR(IF(Table10[[#This Row],[Year]]&gt;0,$E$1-Table10[[#This Row],[Year]],0),"")</f>
        <v>60</v>
      </c>
      <c r="F3715" s="456">
        <v>1965</v>
      </c>
      <c r="G3715" s="456">
        <v>4</v>
      </c>
      <c r="H3715" s="456">
        <v>29</v>
      </c>
    </row>
    <row r="3716" spans="1:8" ht="15.5">
      <c r="A3716" s="487">
        <v>4713</v>
      </c>
      <c r="B3716" s="501" t="s">
        <v>5840</v>
      </c>
      <c r="C3716" s="487" t="s">
        <v>5956</v>
      </c>
      <c r="D3716" s="456" t="str">
        <f>IF(Table10[[#This Row],[Current Age]]&gt;19,"Men's",IF(E3716&gt;15,"U19",IF(E3716&gt;13,"U15",IF(E3716&gt;11,"U13",IF(E3716&gt;0,"U11",0)))))</f>
        <v>Men's</v>
      </c>
      <c r="E3716" s="456">
        <f>IFERROR(IF(Table10[[#This Row],[Year]]&gt;0,$E$1-Table10[[#This Row],[Year]],0),"")</f>
        <v>55</v>
      </c>
      <c r="F3716" s="456">
        <v>1970</v>
      </c>
      <c r="G3716" s="456">
        <v>10</v>
      </c>
      <c r="H3716" s="456">
        <v>2</v>
      </c>
    </row>
    <row r="3717" spans="1:8" ht="15.5">
      <c r="A3717" s="486">
        <v>4714</v>
      </c>
      <c r="B3717" s="502" t="s">
        <v>5841</v>
      </c>
      <c r="C3717" s="486" t="s">
        <v>5958</v>
      </c>
      <c r="D3717" s="456" t="str">
        <f>IF(Table10[[#This Row],[Current Age]]&gt;19,"Men's",IF(E3717&gt;15,"U19",IF(E3717&gt;13,"U15",IF(E3717&gt;11,"U13",IF(E3717&gt;0,"U11",0)))))</f>
        <v>Men's</v>
      </c>
      <c r="E3717" s="456">
        <f>IFERROR(IF(Table10[[#This Row],[Year]]&gt;0,$E$1-Table10[[#This Row],[Year]],0),"")</f>
        <v>62</v>
      </c>
      <c r="F3717" s="456">
        <v>1963</v>
      </c>
      <c r="G3717" s="456">
        <v>5</v>
      </c>
      <c r="H3717" s="456">
        <v>27</v>
      </c>
    </row>
    <row r="3718" spans="1:8" ht="15.5">
      <c r="A3718" s="487">
        <v>4715</v>
      </c>
      <c r="B3718" s="501" t="s">
        <v>5842</v>
      </c>
      <c r="C3718" s="487" t="s">
        <v>5959</v>
      </c>
      <c r="D3718" s="456" t="str">
        <f>IF(Table10[[#This Row],[Current Age]]&gt;19,"Men's",IF(E3718&gt;15,"U19",IF(E3718&gt;13,"U15",IF(E3718&gt;11,"U13",IF(E3718&gt;0,"U11",0)))))</f>
        <v>Men's</v>
      </c>
      <c r="E3718" s="456">
        <f>IFERROR(IF(Table10[[#This Row],[Year]]&gt;0,$E$1-Table10[[#This Row],[Year]],0),"")</f>
        <v>24</v>
      </c>
      <c r="F3718" s="456">
        <v>2001</v>
      </c>
      <c r="G3718" s="456">
        <v>12</v>
      </c>
      <c r="H3718" s="456">
        <v>6</v>
      </c>
    </row>
    <row r="3719" spans="1:8">
      <c r="A3719" s="456">
        <v>4716</v>
      </c>
      <c r="B3719" s="469" t="s">
        <v>5843</v>
      </c>
      <c r="C3719" s="456" t="s">
        <v>5959</v>
      </c>
      <c r="D3719" s="456" t="str">
        <f>IF(Table10[[#This Row],[Current Age]]&gt;19,"Men's",IF(E3719&gt;15,"U19",IF(E3719&gt;13,"U15",IF(E3719&gt;11,"U13",IF(E3719&gt;0,"U11",0)))))</f>
        <v>Men's</v>
      </c>
      <c r="E3719" s="456">
        <f>IFERROR(IF(Table10[[#This Row],[Year]]&gt;0,$E$1-Table10[[#This Row],[Year]],0),"")</f>
        <v>39</v>
      </c>
      <c r="F3719" s="456">
        <v>1986</v>
      </c>
      <c r="G3719" s="456">
        <v>9</v>
      </c>
      <c r="H3719" s="456">
        <v>16</v>
      </c>
    </row>
    <row r="3720" spans="1:8">
      <c r="A3720" s="485">
        <v>4717</v>
      </c>
      <c r="B3720" s="500" t="s">
        <v>5844</v>
      </c>
      <c r="C3720" s="485" t="s">
        <v>5959</v>
      </c>
      <c r="D3720" s="456" t="str">
        <f>IF(Table10[[#This Row],[Current Age]]&gt;19,"Men's",IF(E3720&gt;15,"U19",IF(E3720&gt;13,"U15",IF(E3720&gt;11,"U13",IF(E3720&gt;0,"U11",0)))))</f>
        <v>Men's</v>
      </c>
      <c r="E3720" s="456">
        <f>IFERROR(IF(Table10[[#This Row],[Year]]&gt;0,$E$1-Table10[[#This Row],[Year]],0),"")</f>
        <v>22</v>
      </c>
      <c r="F3720" s="453">
        <v>2003</v>
      </c>
      <c r="G3720" s="453">
        <v>3</v>
      </c>
      <c r="H3720" s="453">
        <v>16</v>
      </c>
    </row>
    <row r="3721" spans="1:8">
      <c r="A3721" s="456">
        <v>4718</v>
      </c>
      <c r="B3721" s="469" t="s">
        <v>5845</v>
      </c>
      <c r="C3721" s="456" t="s">
        <v>5956</v>
      </c>
      <c r="D3721" s="456" t="str">
        <f>IF(Table10[[#This Row],[Current Age]]&gt;19,"Men's",IF(E3721&gt;15,"U19",IF(E3721&gt;13,"U15",IF(E3721&gt;11,"U13",IF(E3721&gt;0,"U11",0)))))</f>
        <v>Men's</v>
      </c>
      <c r="E3721" s="456">
        <f>IFERROR(IF(Table10[[#This Row],[Year]]&gt;0,$E$1-Table10[[#This Row],[Year]],0),"")</f>
        <v>22</v>
      </c>
      <c r="F3721" s="453">
        <v>2003</v>
      </c>
      <c r="G3721" s="453">
        <v>12</v>
      </c>
      <c r="H3721" s="453">
        <v>14</v>
      </c>
    </row>
    <row r="3722" spans="1:8" ht="15.5">
      <c r="A3722" s="560">
        <v>4719</v>
      </c>
      <c r="B3722" s="578" t="s">
        <v>5960</v>
      </c>
      <c r="C3722" s="472" t="s">
        <v>5958</v>
      </c>
      <c r="D3722" s="456" t="str">
        <f>IF(Table10[[#This Row],[Current Age]]&gt;19,"Men's",IF(E3722&gt;15,"U19",IF(E3722&gt;13,"U15",IF(E3722&gt;11,"U13",IF(E3722&gt;0,"U11",0)))))</f>
        <v>Men's</v>
      </c>
      <c r="E3722" s="456">
        <f>IFERROR(IF(Table10[[#This Row],[Year]]&gt;0,$E$1-Table10[[#This Row],[Year]],0),"")</f>
        <v>37</v>
      </c>
      <c r="F3722" s="456">
        <v>1988</v>
      </c>
      <c r="G3722" s="456">
        <v>4</v>
      </c>
      <c r="H3722" s="456">
        <v>27</v>
      </c>
    </row>
    <row r="3723" spans="1:8">
      <c r="A3723" s="456">
        <v>4720</v>
      </c>
      <c r="B3723" s="469" t="s">
        <v>5862</v>
      </c>
      <c r="C3723" s="458" t="s">
        <v>249</v>
      </c>
      <c r="D3723" s="456">
        <f>IF(Table10[[#This Row],[Current Age]]&gt;19,"Men's",IF(E3723&gt;15,"U19",IF(E3723&gt;13,"U15",IF(E3723&gt;11,"U13",IF(E3723&gt;0,"U11",0)))))</f>
        <v>0</v>
      </c>
      <c r="E3723" s="456">
        <f>IFERROR(IF(Table10[[#This Row],[Year]]&gt;0,$E$1-Table10[[#This Row],[Year]],0),"")</f>
        <v>0</v>
      </c>
      <c r="F3723" s="456"/>
      <c r="G3723" s="456"/>
      <c r="H3723" s="456"/>
    </row>
    <row r="3724" spans="1:8">
      <c r="A3724" s="471">
        <v>4721</v>
      </c>
      <c r="B3724" s="493" t="s">
        <v>5863</v>
      </c>
      <c r="C3724" s="472" t="s">
        <v>249</v>
      </c>
      <c r="D3724" s="456">
        <f>IF(Table10[[#This Row],[Current Age]]&gt;19,"Men's",IF(E3724&gt;15,"U19",IF(E3724&gt;13,"U15",IF(E3724&gt;11,"U13",IF(E3724&gt;0,"U11",0)))))</f>
        <v>0</v>
      </c>
      <c r="E3724" s="456">
        <f>IFERROR(IF(Table10[[#This Row],[Year]]&gt;0,$E$1-Table10[[#This Row],[Year]],0),"")</f>
        <v>0</v>
      </c>
      <c r="F3724" s="456"/>
      <c r="G3724" s="456"/>
      <c r="H3724" s="456"/>
    </row>
    <row r="3725" spans="1:8">
      <c r="A3725" s="456">
        <v>4722</v>
      </c>
      <c r="B3725" s="469" t="s">
        <v>5864</v>
      </c>
      <c r="C3725" s="458" t="s">
        <v>249</v>
      </c>
      <c r="D3725" s="456">
        <f>IF(Table10[[#This Row],[Current Age]]&gt;19,"Men's",IF(E3725&gt;15,"U19",IF(E3725&gt;13,"U15",IF(E3725&gt;11,"U13",IF(E3725&gt;0,"U11",0)))))</f>
        <v>0</v>
      </c>
      <c r="E3725" s="456">
        <f>IFERROR(IF(Table10[[#This Row],[Year]]&gt;0,$E$1-Table10[[#This Row],[Year]],0),"")</f>
        <v>0</v>
      </c>
      <c r="F3725" s="456"/>
      <c r="G3725" s="456"/>
      <c r="H3725" s="456"/>
    </row>
    <row r="3726" spans="1:8">
      <c r="A3726" s="471">
        <v>4723</v>
      </c>
      <c r="B3726" s="493" t="s">
        <v>5866</v>
      </c>
      <c r="C3726" s="472" t="s">
        <v>4720</v>
      </c>
      <c r="D3726" s="456" t="str">
        <f>IF(Table10[[#This Row],[Current Age]]&gt;19,"Men's",IF(E3726&gt;15,"U19",IF(E3726&gt;13,"U15",IF(E3726&gt;11,"U13",IF(E3726&gt;0,"U11",0)))))</f>
        <v>Men's</v>
      </c>
      <c r="E3726" s="456">
        <f>IFERROR(IF(Table10[[#This Row],[Year]]&gt;0,$E$1-Table10[[#This Row],[Year]],0),"")</f>
        <v>52</v>
      </c>
      <c r="F3726" s="454">
        <v>1973</v>
      </c>
      <c r="G3726" s="455">
        <v>5</v>
      </c>
      <c r="H3726" s="455">
        <v>8</v>
      </c>
    </row>
    <row r="3727" spans="1:8">
      <c r="A3727" s="456">
        <v>4724</v>
      </c>
      <c r="B3727" s="495" t="s">
        <v>5867</v>
      </c>
      <c r="C3727" s="464" t="s">
        <v>246</v>
      </c>
      <c r="D3727" s="456" t="str">
        <f>IF(Table10[[#This Row],[Current Age]]&gt;19,"Men's",IF(E3727&gt;15,"U19",IF(E3727&gt;13,"U15",IF(E3727&gt;11,"U13",IF(E3727&gt;0,"U11",0)))))</f>
        <v>Men's</v>
      </c>
      <c r="E3727" s="456">
        <f>IFERROR(IF(Table10[[#This Row],[Year]]&gt;0,$E$1-Table10[[#This Row],[Year]],0),"")</f>
        <v>51</v>
      </c>
      <c r="F3727" s="454">
        <v>1974</v>
      </c>
      <c r="G3727" s="455">
        <v>8</v>
      </c>
      <c r="H3727" s="455">
        <v>15</v>
      </c>
    </row>
    <row r="3728" spans="1:8">
      <c r="A3728" s="471">
        <v>4725</v>
      </c>
      <c r="B3728" s="494" t="s">
        <v>5868</v>
      </c>
      <c r="C3728" s="484" t="s">
        <v>246</v>
      </c>
      <c r="D3728" s="470" t="str">
        <f>IF(Table10[[#This Row],[Current Age]]&gt;19,"Men's",IF(E3728&gt;15,"U19",IF(E3728&gt;13,"U15",IF(E3728&gt;11,"U13",IF(E3728&gt;0,"U11",0)))))</f>
        <v>Men's</v>
      </c>
      <c r="E3728" s="470">
        <f>IFERROR(IF(Table10[[#This Row],[Year]]&gt;0,$E$1-Table10[[#This Row],[Year]],0),"")</f>
        <v>42</v>
      </c>
      <c r="F3728" s="470">
        <v>1983</v>
      </c>
      <c r="G3728" s="470">
        <v>10</v>
      </c>
      <c r="H3728" s="470">
        <v>18</v>
      </c>
    </row>
    <row r="3729" spans="1:8">
      <c r="A3729" s="697">
        <v>4726</v>
      </c>
      <c r="B3729" s="495" t="s">
        <v>6093</v>
      </c>
      <c r="C3729" s="470" t="s">
        <v>248</v>
      </c>
      <c r="D3729" s="456">
        <f>IF(Table10[[#This Row],[Current Age]]&gt;19,"Men's",IF(E3729&gt;15,"U19",IF(E3729&gt;13,"U15",IF(E3729&gt;11,"U13",IF(E3729&gt;0,"U11",0)))))</f>
        <v>0</v>
      </c>
      <c r="E3729" s="456">
        <f>IFERROR(IF(Table10[[#This Row],[Year]]&gt;0,$E$1-Table10[[#This Row],[Year]],0),"")</f>
        <v>0</v>
      </c>
      <c r="F3729" s="456"/>
      <c r="G3729" s="456"/>
      <c r="H3729" s="456"/>
    </row>
    <row r="3730" spans="1:8">
      <c r="A3730" s="456">
        <v>4727</v>
      </c>
      <c r="B3730" s="575" t="s">
        <v>5873</v>
      </c>
      <c r="C3730" s="458" t="s">
        <v>4552</v>
      </c>
      <c r="D3730" s="456" t="str">
        <f>IF(Table10[[#This Row],[Current Age]]&gt;19,"Men's",IF(E3730&gt;15,"U19",IF(E3730&gt;13,"U15",IF(E3730&gt;11,"U13",IF(E3730&gt;0,"U11",0)))))</f>
        <v>U19</v>
      </c>
      <c r="E3730" s="456">
        <f>IFERROR(IF(Table10[[#This Row],[Year]]&gt;0,$E$1-Table10[[#This Row],[Year]],0),"")</f>
        <v>18</v>
      </c>
      <c r="F3730" s="456">
        <v>2007</v>
      </c>
      <c r="G3730" s="456">
        <v>11</v>
      </c>
      <c r="H3730" s="456">
        <v>20</v>
      </c>
    </row>
    <row r="3731" spans="1:8">
      <c r="A3731" s="471">
        <v>4728</v>
      </c>
      <c r="B3731" s="493" t="s">
        <v>5874</v>
      </c>
      <c r="C3731" s="472" t="s">
        <v>4552</v>
      </c>
      <c r="D3731" s="456" t="str">
        <f>IF(Table10[[#This Row],[Current Age]]&gt;19,"Men's",IF(E3731&gt;15,"U19",IF(E3731&gt;13,"U15",IF(E3731&gt;11,"U13",IF(E3731&gt;0,"U11",0)))))</f>
        <v>U19</v>
      </c>
      <c r="E3731" s="456">
        <f>IFERROR(IF(Table10[[#This Row],[Year]]&gt;0,$E$1-Table10[[#This Row],[Year]],0),"")</f>
        <v>18</v>
      </c>
      <c r="F3731" s="456">
        <v>2007</v>
      </c>
      <c r="G3731" s="456">
        <v>7</v>
      </c>
      <c r="H3731" s="456">
        <v>21</v>
      </c>
    </row>
    <row r="3732" spans="1:8">
      <c r="A3732" s="456">
        <v>4729</v>
      </c>
      <c r="B3732" s="469" t="s">
        <v>5875</v>
      </c>
      <c r="C3732" s="458" t="s">
        <v>4552</v>
      </c>
      <c r="D3732" s="456" t="str">
        <f>IF(Table10[[#This Row],[Current Age]]&gt;19,"Men's",IF(E3732&gt;15,"U19",IF(E3732&gt;13,"U15",IF(E3732&gt;11,"U13",IF(E3732&gt;0,"U11",0)))))</f>
        <v>U19</v>
      </c>
      <c r="E3732" s="456">
        <f>IFERROR(IF(Table10[[#This Row],[Year]]&gt;0,$E$1-Table10[[#This Row],[Year]],0),"")</f>
        <v>17</v>
      </c>
      <c r="F3732" s="456">
        <v>2008</v>
      </c>
      <c r="G3732" s="456">
        <v>12</v>
      </c>
      <c r="H3732" s="456">
        <v>10</v>
      </c>
    </row>
    <row r="3733" spans="1:8">
      <c r="A3733" s="471">
        <v>4730</v>
      </c>
      <c r="B3733" s="496" t="s">
        <v>5876</v>
      </c>
      <c r="C3733" s="472" t="s">
        <v>4552</v>
      </c>
      <c r="D3733" s="456" t="str">
        <f>IF(Table10[[#This Row],[Current Age]]&gt;19,"Men's",IF(E3733&gt;15,"U19",IF(E3733&gt;13,"U15",IF(E3733&gt;11,"U13",IF(E3733&gt;0,"U11",0)))))</f>
        <v>U19</v>
      </c>
      <c r="E3733" s="456">
        <f>IFERROR(IF(Table10[[#This Row],[Year]]&gt;0,$E$1-Table10[[#This Row],[Year]],0),"")</f>
        <v>18</v>
      </c>
      <c r="F3733" s="470">
        <v>2007</v>
      </c>
      <c r="G3733" s="470">
        <v>4</v>
      </c>
      <c r="H3733" s="470">
        <v>1</v>
      </c>
    </row>
    <row r="3734" spans="1:8">
      <c r="A3734" s="456">
        <v>4731</v>
      </c>
      <c r="B3734" s="469" t="s">
        <v>5892</v>
      </c>
      <c r="C3734" s="458" t="s">
        <v>253</v>
      </c>
      <c r="D3734" s="456" t="str">
        <f>IF(Table10[[#This Row],[Current Age]]&gt;19,"Men's",IF(E3734&gt;15,"U19",IF(E3734&gt;13,"U15",IF(E3734&gt;11,"U13",IF(E3734&gt;0,"U11",0)))))</f>
        <v>U19</v>
      </c>
      <c r="E3734" s="456">
        <f>IFERROR(IF(Table10[[#This Row],[Year]]&gt;0,$E$1-Table10[[#This Row],[Year]],0),"")</f>
        <v>16</v>
      </c>
      <c r="F3734" s="456">
        <v>2009</v>
      </c>
      <c r="G3734" s="456">
        <v>12</v>
      </c>
      <c r="H3734" s="456">
        <v>25</v>
      </c>
    </row>
    <row r="3735" spans="1:8">
      <c r="A3735" s="471">
        <v>4732</v>
      </c>
      <c r="B3735" s="493" t="s">
        <v>5893</v>
      </c>
      <c r="C3735" s="472" t="s">
        <v>253</v>
      </c>
      <c r="D3735" s="456" t="str">
        <f>IF(Table10[[#This Row],[Current Age]]&gt;19,"Men's",IF(E3735&gt;15,"U19",IF(E3735&gt;13,"U15",IF(E3735&gt;11,"U13",IF(E3735&gt;0,"U11",0)))))</f>
        <v>U11</v>
      </c>
      <c r="E3735" s="456">
        <f>IFERROR(IF(Table10[[#This Row],[Year]]&gt;0,$E$1-Table10[[#This Row],[Year]],0),"")</f>
        <v>10</v>
      </c>
      <c r="F3735" s="456">
        <v>2015</v>
      </c>
      <c r="G3735" s="456">
        <v>5</v>
      </c>
      <c r="H3735" s="456">
        <v>16</v>
      </c>
    </row>
    <row r="3736" spans="1:8">
      <c r="A3736" s="697">
        <v>4733</v>
      </c>
      <c r="B3736" s="495" t="s">
        <v>6094</v>
      </c>
      <c r="C3736" s="464" t="s">
        <v>248</v>
      </c>
      <c r="D3736" s="456">
        <f>IF(Table10[[#This Row],[Current Age]]&gt;19,"Men's",IF(E3736&gt;15,"U19",IF(E3736&gt;13,"U15",IF(E3736&gt;11,"U13",IF(E3736&gt;0,"U11",0)))))</f>
        <v>0</v>
      </c>
      <c r="E3736" s="456">
        <f>IFERROR(IF(Table10[[#This Row],[Year]]&gt;0,$E$1-Table10[[#This Row],[Year]],0),"")</f>
        <v>0</v>
      </c>
      <c r="F3736" s="456"/>
      <c r="G3736" s="456"/>
      <c r="H3736" s="456"/>
    </row>
    <row r="3737" spans="1:8">
      <c r="A3737" s="471">
        <v>4734</v>
      </c>
      <c r="B3737" s="494" t="s">
        <v>5896</v>
      </c>
      <c r="C3737" s="484" t="s">
        <v>244</v>
      </c>
      <c r="D3737" s="456" t="str">
        <f>IF(Table10[[#This Row],[Current Age]]&gt;19,"Men's",IF(E3737&gt;15,"U19",IF(E3737&gt;13,"U15",IF(E3737&gt;11,"U13",IF(E3737&gt;0,"U11",0)))))</f>
        <v>U11</v>
      </c>
      <c r="E3737" s="456">
        <f>IFERROR(IF(Table10[[#This Row],[Year]]&gt;0,$E$1-Table10[[#This Row],[Year]],0),"")</f>
        <v>8</v>
      </c>
      <c r="F3737" s="456">
        <v>2017</v>
      </c>
      <c r="G3737" s="456">
        <v>3</v>
      </c>
      <c r="H3737" s="456">
        <v>13</v>
      </c>
    </row>
    <row r="3738" spans="1:8">
      <c r="A3738" s="456">
        <v>4735</v>
      </c>
      <c r="B3738" s="495" t="s">
        <v>5897</v>
      </c>
      <c r="C3738" s="464" t="s">
        <v>244</v>
      </c>
      <c r="D3738" s="456" t="str">
        <f>IF(Table10[[#This Row],[Current Age]]&gt;19,"Men's",IF(E3738&gt;15,"U19",IF(E3738&gt;13,"U15",IF(E3738&gt;11,"U13",IF(E3738&gt;0,"U11",0)))))</f>
        <v>U13</v>
      </c>
      <c r="E3738" s="456">
        <f>IFERROR(IF(Table10[[#This Row],[Year]]&gt;0,$E$1-Table10[[#This Row],[Year]],0),"")</f>
        <v>13</v>
      </c>
      <c r="F3738" s="456">
        <v>2012</v>
      </c>
      <c r="G3738" s="456">
        <v>5</v>
      </c>
      <c r="H3738" s="456">
        <v>1</v>
      </c>
    </row>
    <row r="3739" spans="1:8">
      <c r="A3739" s="471">
        <v>4736</v>
      </c>
      <c r="B3739" s="494" t="s">
        <v>5898</v>
      </c>
      <c r="C3739" s="484" t="s">
        <v>244</v>
      </c>
      <c r="D3739" s="456" t="str">
        <f>IF(Table10[[#This Row],[Current Age]]&gt;19,"Men's",IF(E3739&gt;15,"U19",IF(E3739&gt;13,"U15",IF(E3739&gt;11,"U13",IF(E3739&gt;0,"U11",0)))))</f>
        <v>U19</v>
      </c>
      <c r="E3739" s="456">
        <f>IFERROR(IF(Table10[[#This Row],[Year]]&gt;0,$E$1-Table10[[#This Row],[Year]],0),"")</f>
        <v>16</v>
      </c>
      <c r="F3739" s="456">
        <v>2009</v>
      </c>
      <c r="G3739" s="456">
        <v>6</v>
      </c>
      <c r="H3739" s="456">
        <v>27</v>
      </c>
    </row>
    <row r="3740" spans="1:8">
      <c r="A3740" s="456">
        <v>4737</v>
      </c>
      <c r="B3740" s="469" t="s">
        <v>5904</v>
      </c>
      <c r="C3740" s="458" t="s">
        <v>649</v>
      </c>
      <c r="D3740" s="456" t="str">
        <f>IF(Table10[[#This Row],[Current Age]]&gt;19,"Men's",IF(E3740&gt;15,"U19",IF(E3740&gt;13,"U15",IF(E3740&gt;11,"U13",IF(E3740&gt;0,"U11",0)))))</f>
        <v>Men's</v>
      </c>
      <c r="E3740" s="456">
        <f>IFERROR(IF(Table10[[#This Row],[Year]]&gt;0,$E$1-Table10[[#This Row],[Year]],0),"")</f>
        <v>23</v>
      </c>
      <c r="F3740" s="456">
        <v>2002</v>
      </c>
      <c r="G3740" s="456">
        <v>1</v>
      </c>
      <c r="H3740" s="456">
        <v>23</v>
      </c>
    </row>
    <row r="3741" spans="1:8">
      <c r="A3741" s="471">
        <v>4738</v>
      </c>
      <c r="B3741" s="494" t="s">
        <v>5900</v>
      </c>
      <c r="C3741" s="484" t="s">
        <v>1004</v>
      </c>
      <c r="D3741" s="456" t="str">
        <f>IF(Table10[[#This Row],[Current Age]]&gt;19,"Men's",IF(E3741&gt;15,"U19",IF(E3741&gt;13,"U15",IF(E3741&gt;11,"U13",IF(E3741&gt;0,"U11",0)))))</f>
        <v>Men's</v>
      </c>
      <c r="E3741" s="456">
        <f>IFERROR(IF(Table10[[#This Row],[Year]]&gt;0,$E$1-Table10[[#This Row],[Year]],0),"")</f>
        <v>50</v>
      </c>
      <c r="F3741" s="456">
        <v>1975</v>
      </c>
      <c r="G3741" s="456">
        <v>7</v>
      </c>
      <c r="H3741" s="456">
        <v>8</v>
      </c>
    </row>
    <row r="3742" spans="1:8">
      <c r="A3742" s="456">
        <v>4739</v>
      </c>
      <c r="B3742" s="495" t="s">
        <v>5902</v>
      </c>
      <c r="C3742" s="458" t="s">
        <v>1004</v>
      </c>
      <c r="D3742" s="456" t="str">
        <f>IF(Table10[[#This Row],[Current Age]]&gt;19,"Men's",IF(E3742&gt;15,"U19",IF(E3742&gt;13,"U15",IF(E3742&gt;11,"U13",IF(E3742&gt;0,"U11",0)))))</f>
        <v>Men's</v>
      </c>
      <c r="E3742" s="456">
        <f>IFERROR(IF(Table10[[#This Row],[Year]]&gt;0,$E$1-Table10[[#This Row],[Year]],0),"")</f>
        <v>27</v>
      </c>
      <c r="F3742" s="453">
        <v>1998</v>
      </c>
      <c r="G3742" s="453">
        <v>2</v>
      </c>
      <c r="H3742" s="453">
        <v>8</v>
      </c>
    </row>
    <row r="3743" spans="1:8">
      <c r="A3743" s="471">
        <v>4740</v>
      </c>
      <c r="B3743" s="493" t="s">
        <v>5903</v>
      </c>
      <c r="C3743" s="472" t="s">
        <v>1004</v>
      </c>
      <c r="D3743" s="456" t="str">
        <f>IF(Table10[[#This Row],[Current Age]]&gt;19,"Men's",IF(E3743&gt;15,"U19",IF(E3743&gt;13,"U15",IF(E3743&gt;11,"U13",IF(E3743&gt;0,"U11",0)))))</f>
        <v>U19</v>
      </c>
      <c r="E3743" s="456">
        <f>IFERROR(IF(Table10[[#This Row],[Year]]&gt;0,$E$1-Table10[[#This Row],[Year]],0),"")</f>
        <v>16</v>
      </c>
      <c r="F3743" s="456">
        <v>2009</v>
      </c>
      <c r="G3743" s="456">
        <v>8</v>
      </c>
      <c r="H3743" s="456">
        <v>2</v>
      </c>
    </row>
    <row r="3744" spans="1:8">
      <c r="A3744" s="456">
        <v>4741</v>
      </c>
      <c r="B3744" s="499" t="s">
        <v>5906</v>
      </c>
      <c r="C3744" s="458" t="s">
        <v>244</v>
      </c>
      <c r="D3744" s="456">
        <f>IF(Table10[[#This Row],[Current Age]]&gt;19,"Men's",IF(E3744&gt;15,"U19",IF(E3744&gt;13,"U15",IF(E3744&gt;11,"U13",IF(E3744&gt;0,"U11",0)))))</f>
        <v>0</v>
      </c>
      <c r="E3744" s="456">
        <f>IFERROR(IF(Table10[[#This Row],[Year]]&gt;0,$E$1-Table10[[#This Row],[Year]],0),"")</f>
        <v>0</v>
      </c>
      <c r="F3744" s="456"/>
      <c r="G3744" s="456"/>
      <c r="H3744" s="456"/>
    </row>
    <row r="3745" spans="1:8">
      <c r="A3745" s="471">
        <v>4742</v>
      </c>
      <c r="B3745" s="498" t="s">
        <v>5907</v>
      </c>
      <c r="C3745" s="472" t="s">
        <v>244</v>
      </c>
      <c r="D3745" s="456">
        <f>IF(Table10[[#This Row],[Current Age]]&gt;19,"Men's",IF(E3745&gt;15,"U19",IF(E3745&gt;13,"U15",IF(E3745&gt;11,"U13",IF(E3745&gt;0,"U11",0)))))</f>
        <v>0</v>
      </c>
      <c r="E3745" s="456">
        <f>IFERROR(IF(Table10[[#This Row],[Year]]&gt;0,$E$1-Table10[[#This Row],[Year]],0),"")</f>
        <v>0</v>
      </c>
      <c r="F3745" s="456"/>
      <c r="G3745" s="456"/>
      <c r="H3745" s="456"/>
    </row>
    <row r="3746" spans="1:8">
      <c r="A3746" s="456">
        <v>4743</v>
      </c>
      <c r="B3746" s="497" t="s">
        <v>5912</v>
      </c>
      <c r="C3746" s="458" t="s">
        <v>253</v>
      </c>
      <c r="D3746" s="456">
        <f>IF(Table10[[#This Row],[Current Age]]&gt;19,"Men's",IF(E3746&gt;15,"U19",IF(E3746&gt;13,"U15",IF(E3746&gt;11,"U13",IF(E3746&gt;0,"U11",0)))))</f>
        <v>0</v>
      </c>
      <c r="E3746" s="456">
        <f>IFERROR(IF(Table10[[#This Row],[Year]]&gt;0,$E$1-Table10[[#This Row],[Year]],0),"")</f>
        <v>0</v>
      </c>
      <c r="F3746" s="456"/>
      <c r="G3746" s="456"/>
      <c r="H3746" s="456"/>
    </row>
    <row r="3747" spans="1:8">
      <c r="A3747" s="471">
        <v>4744</v>
      </c>
      <c r="B3747" s="496" t="s">
        <v>5913</v>
      </c>
      <c r="C3747" s="472" t="s">
        <v>253</v>
      </c>
      <c r="D3747" s="456">
        <f>IF(Table10[[#This Row],[Current Age]]&gt;19,"Men's",IF(E3747&gt;15,"U19",IF(E3747&gt;13,"U15",IF(E3747&gt;11,"U13",IF(E3747&gt;0,"U11",0)))))</f>
        <v>0</v>
      </c>
      <c r="E3747" s="456">
        <f>IFERROR(IF(Table10[[#This Row],[Year]]&gt;0,$E$1-Table10[[#This Row],[Year]],0),"")</f>
        <v>0</v>
      </c>
      <c r="F3747" s="456"/>
      <c r="G3747" s="456"/>
      <c r="H3747" s="456"/>
    </row>
    <row r="3748" spans="1:8">
      <c r="A3748" s="456">
        <v>4745</v>
      </c>
      <c r="B3748" s="469" t="s">
        <v>5925</v>
      </c>
      <c r="C3748" s="458" t="s">
        <v>4552</v>
      </c>
      <c r="D3748" s="456">
        <f>IF(Table10[[#This Row],[Current Age]]&gt;19,"Men's",IF(E3748&gt;15,"U19",IF(E3748&gt;13,"U15",IF(E3748&gt;11,"U13",IF(E3748&gt;0,"U11",0)))))</f>
        <v>0</v>
      </c>
      <c r="E3748" s="456">
        <f>IFERROR(IF(Table10[[#This Row],[Year]]&gt;0,$E$1-Table10[[#This Row],[Year]],0),"")</f>
        <v>0</v>
      </c>
      <c r="F3748" s="456"/>
      <c r="G3748" s="456"/>
      <c r="H3748" s="456"/>
    </row>
    <row r="3749" spans="1:8">
      <c r="A3749" s="471">
        <v>4746</v>
      </c>
      <c r="B3749" s="493" t="s">
        <v>5926</v>
      </c>
      <c r="C3749" s="472" t="s">
        <v>4552</v>
      </c>
      <c r="D3749" s="456">
        <f>IF(Table10[[#This Row],[Current Age]]&gt;19,"Men's",IF(E3749&gt;15,"U19",IF(E3749&gt;13,"U15",IF(E3749&gt;11,"U13",IF(E3749&gt;0,"U11",0)))))</f>
        <v>0</v>
      </c>
      <c r="E3749" s="456">
        <f>IFERROR(IF(Table10[[#This Row],[Year]]&gt;0,$E$1-Table10[[#This Row],[Year]],0),"")</f>
        <v>0</v>
      </c>
      <c r="F3749" s="456"/>
      <c r="G3749" s="456"/>
      <c r="H3749" s="456"/>
    </row>
    <row r="3750" spans="1:8">
      <c r="A3750" s="456">
        <v>4747</v>
      </c>
      <c r="B3750" s="495" t="s">
        <v>5931</v>
      </c>
      <c r="C3750" s="464" t="s">
        <v>1914</v>
      </c>
      <c r="D3750" s="456">
        <f>IF(Table10[[#This Row],[Current Age]]&gt;19,"Men's",IF(E3750&gt;15,"U19",IF(E3750&gt;13,"U15",IF(E3750&gt;11,"U13",IF(E3750&gt;0,"U11",0)))))</f>
        <v>0</v>
      </c>
      <c r="E3750" s="456">
        <f>IFERROR(IF(Table10[[#This Row],[Year]]&gt;0,$E$1-Table10[[#This Row],[Year]],0),"")</f>
        <v>0</v>
      </c>
      <c r="F3750" s="456"/>
      <c r="G3750" s="456"/>
      <c r="H3750" s="456"/>
    </row>
    <row r="3751" spans="1:8">
      <c r="A3751" s="471">
        <v>4748</v>
      </c>
      <c r="B3751" s="493" t="s">
        <v>5932</v>
      </c>
      <c r="C3751" s="472" t="s">
        <v>1914</v>
      </c>
      <c r="D3751" s="456">
        <f>IF(Table10[[#This Row],[Current Age]]&gt;19,"Men's",IF(E3751&gt;15,"U19",IF(E3751&gt;13,"U15",IF(E3751&gt;11,"U13",IF(E3751&gt;0,"U11",0)))))</f>
        <v>0</v>
      </c>
      <c r="E3751" s="456">
        <f>IFERROR(IF(Table10[[#This Row],[Year]]&gt;0,$E$1-Table10[[#This Row],[Year]],0),"")</f>
        <v>0</v>
      </c>
      <c r="F3751" s="456"/>
      <c r="G3751" s="456"/>
      <c r="H3751" s="456"/>
    </row>
    <row r="3752" spans="1:8">
      <c r="A3752" s="456">
        <v>4749</v>
      </c>
      <c r="B3752" s="469" t="s">
        <v>5934</v>
      </c>
      <c r="C3752" s="458" t="s">
        <v>3750</v>
      </c>
      <c r="D3752" s="456">
        <f>IF(Table10[[#This Row],[Current Age]]&gt;19,"Men's",IF(E3752&gt;15,"U19",IF(E3752&gt;13,"U15",IF(E3752&gt;11,"U13",IF(E3752&gt;0,"U11",0)))))</f>
        <v>0</v>
      </c>
      <c r="E3752" s="456">
        <f>IFERROR(IF(Table10[[#This Row],[Year]]&gt;0,$E$1-Table10[[#This Row],[Year]],0),"")</f>
        <v>0</v>
      </c>
      <c r="F3752" s="456"/>
      <c r="G3752" s="456"/>
      <c r="H3752" s="456"/>
    </row>
    <row r="3753" spans="1:8">
      <c r="A3753" s="471">
        <v>4750</v>
      </c>
      <c r="B3753" s="493" t="s">
        <v>5935</v>
      </c>
      <c r="C3753" s="472" t="s">
        <v>3750</v>
      </c>
      <c r="D3753" s="456">
        <f>IF(Table10[[#This Row],[Current Age]]&gt;19,"Men's",IF(E3753&gt;15,"U19",IF(E3753&gt;13,"U15",IF(E3753&gt;11,"U13",IF(E3753&gt;0,"U11",0)))))</f>
        <v>0</v>
      </c>
      <c r="E3753" s="456">
        <f>IFERROR(IF(Table10[[#This Row],[Year]]&gt;0,$E$1-Table10[[#This Row],[Year]],0),"")</f>
        <v>0</v>
      </c>
      <c r="F3753" s="456"/>
      <c r="G3753" s="456"/>
      <c r="H3753" s="456"/>
    </row>
    <row r="3754" spans="1:8">
      <c r="A3754" s="456">
        <v>4751</v>
      </c>
      <c r="B3754" s="497"/>
      <c r="C3754" s="458"/>
      <c r="D3754" s="456">
        <f>IF(Table10[[#This Row],[Current Age]]&gt;19,"Men's",IF(E3754&gt;15,"U19",IF(E3754&gt;13,"U15",IF(E3754&gt;11,"U13",IF(E3754&gt;0,"U11",0)))))</f>
        <v>0</v>
      </c>
      <c r="E3754" s="456">
        <f>IFERROR(IF(Table10[[#This Row],[Year]]&gt;0,$E$1-Table10[[#This Row],[Year]],0),"")</f>
        <v>0</v>
      </c>
      <c r="F3754" s="456"/>
      <c r="G3754" s="456"/>
      <c r="H3754" s="456"/>
    </row>
    <row r="3755" spans="1:8">
      <c r="A3755" s="471">
        <v>4752</v>
      </c>
      <c r="B3755" s="496" t="s">
        <v>5949</v>
      </c>
      <c r="C3755" s="472" t="s">
        <v>253</v>
      </c>
      <c r="D3755" s="456">
        <f>IF(Table10[[#This Row],[Current Age]]&gt;19,"Men's",IF(E3755&gt;15,"U19",IF(E3755&gt;13,"U15",IF(E3755&gt;11,"U13",IF(E3755&gt;0,"U11",0)))))</f>
        <v>0</v>
      </c>
      <c r="E3755" s="456">
        <f>IFERROR(IF(Table10[[#This Row],[Year]]&gt;0,$E$1-Table10[[#This Row],[Year]],0),"")</f>
        <v>0</v>
      </c>
      <c r="F3755" s="456"/>
      <c r="G3755" s="456"/>
      <c r="H3755" s="456"/>
    </row>
    <row r="3756" spans="1:8">
      <c r="A3756" s="456">
        <v>4753</v>
      </c>
      <c r="B3756" s="495" t="s">
        <v>5952</v>
      </c>
      <c r="C3756" s="464" t="s">
        <v>361</v>
      </c>
      <c r="D3756" s="456">
        <f>IF(Table10[[#This Row],[Current Age]]&gt;19,"Men's",IF(E3756&gt;15,"U19",IF(E3756&gt;13,"U15",IF(E3756&gt;11,"U13",IF(E3756&gt;0,"U11",0)))))</f>
        <v>0</v>
      </c>
      <c r="E3756" s="456">
        <f>IFERROR(IF(Table10[[#This Row],[Year]]&gt;0,$E$1-Table10[[#This Row],[Year]],0),"")</f>
        <v>0</v>
      </c>
      <c r="F3756" s="456"/>
      <c r="G3756" s="456"/>
      <c r="H3756" s="456"/>
    </row>
    <row r="3757" spans="1:8">
      <c r="A3757" s="471">
        <v>4754</v>
      </c>
      <c r="B3757" s="494" t="s">
        <v>5953</v>
      </c>
      <c r="C3757" s="484" t="s">
        <v>361</v>
      </c>
      <c r="D3757" s="456">
        <f>IF(Table10[[#This Row],[Current Age]]&gt;19,"Men's",IF(E3757&gt;15,"U19",IF(E3757&gt;13,"U15",IF(E3757&gt;11,"U13",IF(E3757&gt;0,"U11",0)))))</f>
        <v>0</v>
      </c>
      <c r="E3757" s="456">
        <f>IFERROR(IF(Table10[[#This Row],[Year]]&gt;0,$E$1-Table10[[#This Row],[Year]],0),"")</f>
        <v>0</v>
      </c>
      <c r="F3757" s="456"/>
      <c r="G3757" s="456"/>
      <c r="H3757" s="456"/>
    </row>
    <row r="3758" spans="1:8">
      <c r="A3758" s="456">
        <v>4755</v>
      </c>
      <c r="B3758" s="495" t="s">
        <v>5954</v>
      </c>
      <c r="C3758" s="464" t="s">
        <v>361</v>
      </c>
      <c r="D3758" s="456">
        <f>IF(Table10[[#This Row],[Current Age]]&gt;19,"Men's",IF(E3758&gt;15,"U19",IF(E3758&gt;13,"U15",IF(E3758&gt;11,"U13",IF(E3758&gt;0,"U11",0)))))</f>
        <v>0</v>
      </c>
      <c r="E3758" s="456">
        <f>IFERROR(IF(Table10[[#This Row],[Year]]&gt;0,$E$1-Table10[[#This Row],[Year]],0),"")</f>
        <v>0</v>
      </c>
      <c r="F3758" s="456"/>
      <c r="G3758" s="456"/>
      <c r="H3758" s="456"/>
    </row>
    <row r="3759" spans="1:8">
      <c r="A3759" s="471">
        <v>4756</v>
      </c>
      <c r="B3759" s="494" t="s">
        <v>5955</v>
      </c>
      <c r="C3759" s="484" t="s">
        <v>361</v>
      </c>
      <c r="D3759" s="456">
        <f>IF(Table10[[#This Row],[Current Age]]&gt;19,"Men's",IF(E3759&gt;15,"U19",IF(E3759&gt;13,"U15",IF(E3759&gt;11,"U13",IF(E3759&gt;0,"U11",0)))))</f>
        <v>0</v>
      </c>
      <c r="E3759" s="456">
        <f>IFERROR(IF(Table10[[#This Row],[Year]]&gt;0,$E$1-Table10[[#This Row],[Year]],0),"")</f>
        <v>0</v>
      </c>
      <c r="F3759" s="456"/>
      <c r="G3759" s="456"/>
      <c r="H3759" s="456"/>
    </row>
    <row r="3760" spans="1:8">
      <c r="A3760" s="456">
        <v>4757</v>
      </c>
      <c r="B3760" s="469" t="s">
        <v>5961</v>
      </c>
      <c r="C3760" s="458" t="s">
        <v>5958</v>
      </c>
      <c r="D3760" s="456">
        <f>IF(Table10[[#This Row],[Current Age]]&gt;19,"Men's",IF(E3760&gt;15,"U19",IF(E3760&gt;13,"U15",IF(E3760&gt;11,"U13",IF(E3760&gt;0,"U11",0)))))</f>
        <v>0</v>
      </c>
      <c r="E3760" s="456">
        <f>IFERROR(IF(Table10[[#This Row],[Year]]&gt;0,$E$1-Table10[[#This Row],[Year]],0),"")</f>
        <v>0</v>
      </c>
      <c r="F3760" s="456"/>
      <c r="G3760" s="456"/>
      <c r="H3760" s="456"/>
    </row>
    <row r="3761" spans="1:8">
      <c r="A3761" s="471">
        <v>4758</v>
      </c>
      <c r="B3761" s="493" t="s">
        <v>5962</v>
      </c>
      <c r="C3761" s="472" t="s">
        <v>5958</v>
      </c>
      <c r="D3761" s="456">
        <f>IF(Table10[[#This Row],[Current Age]]&gt;19,"Men's",IF(E3761&gt;15,"U19",IF(E3761&gt;13,"U15",IF(E3761&gt;11,"U13",IF(E3761&gt;0,"U11",0)))))</f>
        <v>0</v>
      </c>
      <c r="E3761" s="456">
        <f>IFERROR(IF(Table10[[#This Row],[Year]]&gt;0,$E$1-Table10[[#This Row],[Year]],0),"")</f>
        <v>0</v>
      </c>
      <c r="F3761" s="456"/>
      <c r="G3761" s="456"/>
      <c r="H3761" s="456"/>
    </row>
    <row r="3762" spans="1:8">
      <c r="A3762" s="456">
        <v>4759</v>
      </c>
      <c r="B3762" s="575" t="s">
        <v>6000</v>
      </c>
      <c r="C3762" s="458" t="s">
        <v>248</v>
      </c>
      <c r="D3762" s="456" t="str">
        <f>IF(Table10[[#This Row],[Current Age]]&gt;19,"Men's",IF(E3762&gt;15,"U19",IF(E3762&gt;13,"U15",IF(E3762&gt;11,"U13",IF(E3762&gt;0,"U11",0)))))</f>
        <v>U11</v>
      </c>
      <c r="E3762" s="456">
        <f>IFERROR(IF(Table10[[#This Row],[Year]]&gt;0,$E$1-Table10[[#This Row],[Year]],0),"")</f>
        <v>11</v>
      </c>
      <c r="F3762" s="456">
        <v>2014</v>
      </c>
      <c r="G3762" s="456">
        <v>1</v>
      </c>
      <c r="H3762" s="456">
        <v>6</v>
      </c>
    </row>
    <row r="3763" spans="1:8">
      <c r="A3763" s="471">
        <v>4760</v>
      </c>
      <c r="B3763" s="575" t="s">
        <v>6001</v>
      </c>
      <c r="C3763" s="458" t="s">
        <v>248</v>
      </c>
      <c r="D3763" s="456" t="str">
        <f>IF(Table10[[#This Row],[Current Age]]&gt;19,"Men's",IF(E3763&gt;15,"U19",IF(E3763&gt;13,"U15",IF(E3763&gt;11,"U13",IF(E3763&gt;0,"U11",0)))))</f>
        <v>U11</v>
      </c>
      <c r="E3763" s="456">
        <f>IFERROR(IF(Table10[[#This Row],[Year]]&gt;0,$E$1-Table10[[#This Row],[Year]],0),"")</f>
        <v>11</v>
      </c>
      <c r="F3763" s="456">
        <v>2014</v>
      </c>
      <c r="G3763" s="456">
        <v>8</v>
      </c>
      <c r="H3763" s="456">
        <v>7</v>
      </c>
    </row>
    <row r="3764" spans="1:8">
      <c r="A3764" s="456">
        <v>4761</v>
      </c>
      <c r="B3764" s="575" t="s">
        <v>6002</v>
      </c>
      <c r="C3764" s="458" t="s">
        <v>248</v>
      </c>
      <c r="D3764" s="456" t="str">
        <f>IF(Table10[[#This Row],[Current Age]]&gt;19,"Men's",IF(E3764&gt;15,"U19",IF(E3764&gt;13,"U15",IF(E3764&gt;11,"U13",IF(E3764&gt;0,"U11",0)))))</f>
        <v>U11</v>
      </c>
      <c r="E3764" s="456">
        <f>IFERROR(IF(Table10[[#This Row],[Year]]&gt;0,$E$1-Table10[[#This Row],[Year]],0),"")</f>
        <v>11</v>
      </c>
      <c r="F3764" s="456">
        <v>2014</v>
      </c>
      <c r="G3764" s="456">
        <v>7</v>
      </c>
      <c r="H3764" s="456">
        <v>2</v>
      </c>
    </row>
    <row r="3765" spans="1:8">
      <c r="A3765" s="471">
        <v>4762</v>
      </c>
      <c r="B3765" s="575" t="s">
        <v>6003</v>
      </c>
      <c r="C3765" s="458" t="s">
        <v>248</v>
      </c>
      <c r="D3765" s="456" t="str">
        <f>IF(Table10[[#This Row],[Current Age]]&gt;19,"Men's",IF(E3765&gt;15,"U19",IF(E3765&gt;13,"U15",IF(E3765&gt;11,"U13",IF(E3765&gt;0,"U11",0)))))</f>
        <v>U11</v>
      </c>
      <c r="E3765" s="456">
        <f>IFERROR(IF(Table10[[#This Row],[Year]]&gt;0,$E$1-Table10[[#This Row],[Year]],0),"")</f>
        <v>11</v>
      </c>
      <c r="F3765" s="456">
        <v>2014</v>
      </c>
      <c r="G3765" s="456">
        <v>5</v>
      </c>
      <c r="H3765" s="456">
        <v>10</v>
      </c>
    </row>
    <row r="3766" spans="1:8">
      <c r="A3766" s="456">
        <v>4763</v>
      </c>
      <c r="B3766" s="575" t="s">
        <v>6004</v>
      </c>
      <c r="C3766" s="458" t="s">
        <v>248</v>
      </c>
      <c r="D3766" s="456" t="str">
        <f>IF(Table10[[#This Row],[Current Age]]&gt;19,"Men's",IF(E3766&gt;15,"U19",IF(E3766&gt;13,"U15",IF(E3766&gt;11,"U13",IF(E3766&gt;0,"U11",0)))))</f>
        <v>U11</v>
      </c>
      <c r="E3766" s="456">
        <f>IFERROR(IF(Table10[[#This Row],[Year]]&gt;0,$E$1-Table10[[#This Row],[Year]],0),"")</f>
        <v>11</v>
      </c>
      <c r="F3766" s="456">
        <v>2014</v>
      </c>
      <c r="G3766" s="456">
        <v>7</v>
      </c>
      <c r="H3766" s="456">
        <v>28</v>
      </c>
    </row>
    <row r="3767" spans="1:8">
      <c r="A3767" s="471">
        <v>4764</v>
      </c>
      <c r="B3767" s="575" t="s">
        <v>6005</v>
      </c>
      <c r="C3767" s="458" t="s">
        <v>248</v>
      </c>
      <c r="D3767" s="456" t="str">
        <f>IF(Table10[[#This Row],[Current Age]]&gt;19,"Men's",IF(E3767&gt;15,"U19",IF(E3767&gt;13,"U15",IF(E3767&gt;11,"U13",IF(E3767&gt;0,"U11",0)))))</f>
        <v>U13</v>
      </c>
      <c r="E3767" s="456">
        <f>IFERROR(IF(Table10[[#This Row],[Year]]&gt;0,$E$1-Table10[[#This Row],[Year]],0),"")</f>
        <v>13</v>
      </c>
      <c r="F3767" s="456">
        <v>2012</v>
      </c>
      <c r="G3767" s="456">
        <v>10</v>
      </c>
      <c r="H3767" s="456">
        <v>11</v>
      </c>
    </row>
    <row r="3768" spans="1:8">
      <c r="A3768" s="456">
        <v>4765</v>
      </c>
      <c r="B3768" s="575" t="s">
        <v>6006</v>
      </c>
      <c r="C3768" s="458" t="s">
        <v>248</v>
      </c>
      <c r="D3768" s="456" t="str">
        <f>IF(Table10[[#This Row],[Current Age]]&gt;19,"Men's",IF(E3768&gt;15,"U19",IF(E3768&gt;13,"U15",IF(E3768&gt;11,"U13",IF(E3768&gt;0,"U11",0)))))</f>
        <v>U11</v>
      </c>
      <c r="E3768" s="456">
        <f>IFERROR(IF(Table10[[#This Row],[Year]]&gt;0,$E$1-Table10[[#This Row],[Year]],0),"")</f>
        <v>10</v>
      </c>
      <c r="F3768" s="456">
        <v>2015</v>
      </c>
      <c r="G3768" s="456">
        <v>1</v>
      </c>
      <c r="H3768" s="456">
        <v>14</v>
      </c>
    </row>
    <row r="3769" spans="1:8">
      <c r="A3769" s="471">
        <v>4766</v>
      </c>
      <c r="B3769" s="575" t="s">
        <v>6007</v>
      </c>
      <c r="C3769" s="458" t="s">
        <v>248</v>
      </c>
      <c r="D3769" s="456" t="str">
        <f>IF(Table10[[#This Row],[Current Age]]&gt;19,"Men's",IF(E3769&gt;15,"U19",IF(E3769&gt;13,"U15",IF(E3769&gt;11,"U13",IF(E3769&gt;0,"U11",0)))))</f>
        <v>U11</v>
      </c>
      <c r="E3769" s="456">
        <f>IFERROR(IF(Table10[[#This Row],[Year]]&gt;0,$E$1-Table10[[#This Row],[Year]],0),"")</f>
        <v>11</v>
      </c>
      <c r="F3769" s="456">
        <v>2014</v>
      </c>
      <c r="G3769" s="456">
        <v>3</v>
      </c>
      <c r="H3769" s="456">
        <v>22</v>
      </c>
    </row>
    <row r="3770" spans="1:8">
      <c r="A3770" s="456">
        <v>4767</v>
      </c>
      <c r="B3770" s="575" t="s">
        <v>6008</v>
      </c>
      <c r="C3770" s="458" t="s">
        <v>248</v>
      </c>
      <c r="D3770" s="456" t="str">
        <f>IF(Table10[[#This Row],[Current Age]]&gt;19,"Men's",IF(E3770&gt;15,"U19",IF(E3770&gt;13,"U15",IF(E3770&gt;11,"U13",IF(E3770&gt;0,"U11",0)))))</f>
        <v>U15</v>
      </c>
      <c r="E3770" s="456">
        <f>IFERROR(IF(Table10[[#This Row],[Year]]&gt;0,$E$1-Table10[[#This Row],[Year]],0),"")</f>
        <v>14</v>
      </c>
      <c r="F3770" s="456">
        <v>2011</v>
      </c>
      <c r="G3770" s="456">
        <v>6</v>
      </c>
      <c r="H3770" s="456">
        <v>13</v>
      </c>
    </row>
    <row r="3771" spans="1:8">
      <c r="A3771" s="456">
        <v>4768</v>
      </c>
      <c r="B3771" s="575" t="s">
        <v>6009</v>
      </c>
      <c r="C3771" s="458" t="s">
        <v>248</v>
      </c>
      <c r="D3771" s="456" t="str">
        <f>IF(Table10[[#This Row],[Current Age]]&gt;19,"Men's",IF(E3771&gt;15,"U19",IF(E3771&gt;13,"U15",IF(E3771&gt;11,"U13",IF(E3771&gt;0,"U11",0)))))</f>
        <v>U15</v>
      </c>
      <c r="E3771" s="456">
        <f>IFERROR(IF(Table10[[#This Row],[Year]]&gt;0,$E$1-Table10[[#This Row],[Year]],0),"")</f>
        <v>14</v>
      </c>
      <c r="F3771" s="456">
        <v>2011</v>
      </c>
      <c r="G3771" s="456">
        <v>2</v>
      </c>
      <c r="H3771" s="456">
        <v>24</v>
      </c>
    </row>
    <row r="3772" spans="1:8">
      <c r="A3772" s="456">
        <v>4769</v>
      </c>
      <c r="B3772" s="575" t="s">
        <v>6010</v>
      </c>
      <c r="C3772" s="458" t="s">
        <v>248</v>
      </c>
      <c r="D3772" s="456" t="str">
        <f>IF(Table10[[#This Row],[Current Age]]&gt;19,"Men's",IF(E3772&gt;15,"U19",IF(E3772&gt;13,"U15",IF(E3772&gt;11,"U13",IF(E3772&gt;0,"U11",0)))))</f>
        <v>Men's</v>
      </c>
      <c r="E3772" s="456">
        <f>IFERROR(IF(Table10[[#This Row],[Year]]&gt;0,$E$1-Table10[[#This Row],[Year]],0),"")</f>
        <v>35</v>
      </c>
      <c r="F3772" s="456">
        <v>1990</v>
      </c>
      <c r="G3772" s="456">
        <v>1</v>
      </c>
      <c r="H3772" s="456">
        <v>13</v>
      </c>
    </row>
    <row r="3773" spans="1:8">
      <c r="A3773" s="456">
        <v>4770</v>
      </c>
      <c r="B3773" s="575" t="s">
        <v>6011</v>
      </c>
      <c r="C3773" s="458" t="s">
        <v>248</v>
      </c>
      <c r="D3773" s="456" t="str">
        <f>IF(Table10[[#This Row],[Current Age]]&gt;19,"Men's",IF(E3773&gt;15,"U19",IF(E3773&gt;13,"U15",IF(E3773&gt;11,"U13",IF(E3773&gt;0,"U11",0)))))</f>
        <v>Men's</v>
      </c>
      <c r="E3773" s="456">
        <f>IFERROR(IF(Table10[[#This Row],[Year]]&gt;0,$E$1-Table10[[#This Row],[Year]],0),"")</f>
        <v>28</v>
      </c>
      <c r="F3773" s="456">
        <v>1997</v>
      </c>
      <c r="G3773" s="456">
        <v>6</v>
      </c>
      <c r="H3773" s="456">
        <v>4</v>
      </c>
    </row>
    <row r="3774" spans="1:8">
      <c r="A3774" s="456">
        <v>4771</v>
      </c>
      <c r="B3774" s="575" t="s">
        <v>6012</v>
      </c>
      <c r="C3774" s="458" t="s">
        <v>248</v>
      </c>
      <c r="D3774" s="456" t="str">
        <f>IF(Table10[[#This Row],[Current Age]]&gt;19,"Men's",IF(E3774&gt;15,"U19",IF(E3774&gt;13,"U15",IF(E3774&gt;11,"U13",IF(E3774&gt;0,"U11",0)))))</f>
        <v>Men's</v>
      </c>
      <c r="E3774" s="456">
        <f>IFERROR(IF(Table10[[#This Row],[Year]]&gt;0,$E$1-Table10[[#This Row],[Year]],0),"")</f>
        <v>26</v>
      </c>
      <c r="F3774" s="456">
        <v>1999</v>
      </c>
      <c r="G3774" s="456">
        <v>11</v>
      </c>
      <c r="H3774" s="456">
        <v>15</v>
      </c>
    </row>
    <row r="3775" spans="1:8">
      <c r="A3775" s="456">
        <v>4772</v>
      </c>
      <c r="B3775" s="575" t="s">
        <v>2049</v>
      </c>
      <c r="C3775" s="458" t="s">
        <v>248</v>
      </c>
      <c r="D3775" s="456" t="str">
        <f>IF(Table10[[#This Row],[Current Age]]&gt;19,"Men's",IF(E3775&gt;15,"U19",IF(E3775&gt;13,"U15",IF(E3775&gt;11,"U13",IF(E3775&gt;0,"U11",0)))))</f>
        <v>Men's</v>
      </c>
      <c r="E3775" s="456">
        <f>IFERROR(IF(Table10[[#This Row],[Year]]&gt;0,$E$1-Table10[[#This Row],[Year]],0),"")</f>
        <v>25</v>
      </c>
      <c r="F3775" s="456">
        <v>2000</v>
      </c>
      <c r="G3775" s="456">
        <v>3</v>
      </c>
      <c r="H3775" s="456">
        <v>4</v>
      </c>
    </row>
    <row r="3776" spans="1:8">
      <c r="A3776" s="456">
        <v>4773</v>
      </c>
      <c r="B3776" s="575" t="s">
        <v>6013</v>
      </c>
      <c r="C3776" s="458" t="s">
        <v>248</v>
      </c>
      <c r="D3776" s="456" t="str">
        <f>IF(Table10[[#This Row],[Current Age]]&gt;19,"Men's",IF(E3776&gt;15,"U19",IF(E3776&gt;13,"U15",IF(E3776&gt;11,"U13",IF(E3776&gt;0,"U11",0)))))</f>
        <v>Men's</v>
      </c>
      <c r="E3776" s="456">
        <f>IFERROR(IF(Table10[[#This Row],[Year]]&gt;0,$E$1-Table10[[#This Row],[Year]],0),"")</f>
        <v>34</v>
      </c>
      <c r="F3776" s="456">
        <v>1991</v>
      </c>
      <c r="G3776" s="456">
        <v>3</v>
      </c>
      <c r="H3776" s="456">
        <v>18</v>
      </c>
    </row>
    <row r="3777" spans="1:8">
      <c r="A3777" s="456">
        <v>4774</v>
      </c>
      <c r="B3777" s="1112" t="s">
        <v>6044</v>
      </c>
      <c r="C3777" s="597" t="s">
        <v>3346</v>
      </c>
      <c r="D3777" s="456">
        <f>IF(Table10[[#This Row],[Current Age]]&gt;19,"Men's",IF(E3777&gt;15,"U19",IF(E3777&gt;13,"U15",IF(E3777&gt;11,"U13",IF(E3777&gt;0,"U11",0)))))</f>
        <v>0</v>
      </c>
      <c r="E3777" s="456">
        <f>IFERROR(IF(Table10[[#This Row],[Year]]&gt;0,$E$1-Table10[[#This Row],[Year]],0),"")</f>
        <v>0</v>
      </c>
      <c r="F3777" s="456"/>
      <c r="G3777" s="456"/>
      <c r="H3777" s="456"/>
    </row>
    <row r="3778" spans="1:8">
      <c r="A3778" s="456">
        <v>4775</v>
      </c>
      <c r="B3778" s="1112" t="s">
        <v>6045</v>
      </c>
      <c r="C3778" s="597" t="s">
        <v>3346</v>
      </c>
      <c r="D3778" s="456">
        <f>IF(Table10[[#This Row],[Current Age]]&gt;19,"Men's",IF(E3778&gt;15,"U19",IF(E3778&gt;13,"U15",IF(E3778&gt;11,"U13",IF(E3778&gt;0,"U11",0)))))</f>
        <v>0</v>
      </c>
      <c r="E3778" s="456">
        <f>IFERROR(IF(Table10[[#This Row],[Year]]&gt;0,$E$1-Table10[[#This Row],[Year]],0),"")</f>
        <v>0</v>
      </c>
      <c r="F3778" s="456"/>
      <c r="G3778" s="456"/>
      <c r="H3778" s="456"/>
    </row>
    <row r="3779" spans="1:8">
      <c r="A3779" s="799">
        <v>4776</v>
      </c>
      <c r="B3779" s="1112" t="s">
        <v>6095</v>
      </c>
      <c r="C3779" s="597" t="s">
        <v>248</v>
      </c>
      <c r="D3779" s="456">
        <f>IF(Table10[[#This Row],[Current Age]]&gt;19,"Men's",IF(E3779&gt;15,"U19",IF(E3779&gt;13,"U15",IF(E3779&gt;11,"U13",IF(E3779&gt;0,"U11",0)))))</f>
        <v>0</v>
      </c>
      <c r="E3779" s="456">
        <f>IFERROR(IF(Table10[[#This Row],[Year]]&gt;0,$E$1-Table10[[#This Row],[Year]],0),"")</f>
        <v>0</v>
      </c>
      <c r="F3779" s="456"/>
      <c r="G3779" s="456"/>
      <c r="H3779" s="456"/>
    </row>
    <row r="3780" spans="1:8">
      <c r="A3780" s="799">
        <v>4777</v>
      </c>
      <c r="B3780" s="1112" t="s">
        <v>6096</v>
      </c>
      <c r="C3780" s="597" t="s">
        <v>248</v>
      </c>
      <c r="D3780" s="456">
        <f>IF(Table10[[#This Row],[Current Age]]&gt;19,"Men's",IF(E3780&gt;15,"U19",IF(E3780&gt;13,"U15",IF(E3780&gt;11,"U13",IF(E3780&gt;0,"U11",0)))))</f>
        <v>0</v>
      </c>
      <c r="E3780" s="456">
        <f>IFERROR(IF(Table10[[#This Row],[Year]]&gt;0,$E$1-Table10[[#This Row],[Year]],0),"")</f>
        <v>0</v>
      </c>
      <c r="F3780" s="456"/>
      <c r="G3780" s="456"/>
      <c r="H3780" s="456"/>
    </row>
    <row r="3781" spans="1:8">
      <c r="A3781" s="799">
        <v>4778</v>
      </c>
      <c r="B3781" s="1112" t="s">
        <v>6092</v>
      </c>
      <c r="C3781" s="597" t="s">
        <v>248</v>
      </c>
      <c r="D3781" s="456">
        <f>IF(Table10[[#This Row],[Current Age]]&gt;19,"Men's",IF(E3781&gt;15,"U19",IF(E3781&gt;13,"U15",IF(E3781&gt;11,"U13",IF(E3781&gt;0,"U11",0)))))</f>
        <v>0</v>
      </c>
      <c r="E3781" s="456">
        <f>IFERROR(IF(Table10[[#This Row],[Year]]&gt;0,$E$1-Table10[[#This Row],[Year]],0),"")</f>
        <v>0</v>
      </c>
      <c r="F3781" s="456"/>
      <c r="G3781" s="456"/>
      <c r="H3781" s="456"/>
    </row>
    <row r="3782" spans="1:8">
      <c r="A3782" s="799">
        <v>4779</v>
      </c>
      <c r="B3782" s="1112" t="s">
        <v>6102</v>
      </c>
      <c r="C3782" s="597" t="s">
        <v>3750</v>
      </c>
      <c r="D3782" s="456">
        <f>IF(Table10[[#This Row],[Current Age]]&gt;19,"Men's",IF(E3782&gt;15,"U19",IF(E3782&gt;13,"U15",IF(E3782&gt;11,"U13",IF(E3782&gt;0,"U11",0)))))</f>
        <v>0</v>
      </c>
      <c r="E3782" s="456">
        <f>IFERROR(IF(Table10[[#This Row],[Year]]&gt;0,$E$1-Table10[[#This Row],[Year]],0),"")</f>
        <v>0</v>
      </c>
      <c r="F3782" s="456"/>
      <c r="G3782" s="456"/>
      <c r="H3782" s="456"/>
    </row>
    <row r="3783" spans="1:8">
      <c r="A3783" s="799">
        <v>4780</v>
      </c>
      <c r="B3783" s="1112" t="s">
        <v>6104</v>
      </c>
      <c r="C3783" s="597" t="s">
        <v>3750</v>
      </c>
      <c r="D3783" s="456">
        <f>IF(Table10[[#This Row],[Current Age]]&gt;19,"Men's",IF(E3783&gt;15,"U19",IF(E3783&gt;13,"U15",IF(E3783&gt;11,"U13",IF(E3783&gt;0,"U11",0)))))</f>
        <v>0</v>
      </c>
      <c r="E3783" s="456">
        <f>IFERROR(IF(Table10[[#This Row],[Year]]&gt;0,$E$1-Table10[[#This Row],[Year]],0),"")</f>
        <v>0</v>
      </c>
      <c r="F3783" s="456"/>
      <c r="G3783" s="456"/>
      <c r="H3783" s="456"/>
    </row>
    <row r="3784" spans="1:8">
      <c r="A3784" s="458">
        <v>4781</v>
      </c>
      <c r="B3784" s="1112" t="s">
        <v>6105</v>
      </c>
      <c r="C3784" s="597" t="s">
        <v>3750</v>
      </c>
      <c r="D3784" s="456">
        <f>IF(Table10[[#This Row],[Current Age]]&gt;19,"Men's",IF(E3784&gt;15,"U19",IF(E3784&gt;13,"U15",IF(E3784&gt;11,"U13",IF(E3784&gt;0,"U11",0)))))</f>
        <v>0</v>
      </c>
      <c r="E3784" s="456">
        <f>IFERROR(IF(Table10[[#This Row],[Year]]&gt;0,$E$1-Table10[[#This Row],[Year]],0),"")</f>
        <v>0</v>
      </c>
      <c r="F3784" s="456"/>
      <c r="G3784" s="456"/>
      <c r="H3784" s="456"/>
    </row>
    <row r="3785" spans="1:8">
      <c r="A3785" s="799">
        <v>4782</v>
      </c>
      <c r="B3785" s="1112" t="s">
        <v>6106</v>
      </c>
      <c r="C3785" s="597" t="s">
        <v>3750</v>
      </c>
      <c r="D3785" s="456">
        <f>IF(Table10[[#This Row],[Current Age]]&gt;19,"Men's",IF(E3785&gt;15,"U19",IF(E3785&gt;13,"U15",IF(E3785&gt;11,"U13",IF(E3785&gt;0,"U11",0)))))</f>
        <v>0</v>
      </c>
      <c r="E3785" s="456">
        <f>IFERROR(IF(Table10[[#This Row],[Year]]&gt;0,$E$1-Table10[[#This Row],[Year]],0),"")</f>
        <v>0</v>
      </c>
      <c r="F3785" s="456"/>
      <c r="G3785" s="456"/>
      <c r="H3785" s="456"/>
    </row>
    <row r="3786" spans="1:8">
      <c r="A3786" s="799">
        <v>4783</v>
      </c>
      <c r="B3786" s="1112" t="s">
        <v>6107</v>
      </c>
      <c r="C3786" s="597" t="s">
        <v>3750</v>
      </c>
      <c r="D3786" s="456">
        <f>IF(Table10[[#This Row],[Current Age]]&gt;19,"Men's",IF(E3786&gt;15,"U19",IF(E3786&gt;13,"U15",IF(E3786&gt;11,"U13",IF(E3786&gt;0,"U11",0)))))</f>
        <v>0</v>
      </c>
      <c r="E3786" s="456">
        <f>IFERROR(IF(Table10[[#This Row],[Year]]&gt;0,$E$1-Table10[[#This Row],[Year]],0),"")</f>
        <v>0</v>
      </c>
      <c r="F3786" s="456"/>
      <c r="G3786" s="456"/>
      <c r="H3786" s="456"/>
    </row>
    <row r="3787" spans="1:8">
      <c r="A3787" s="799">
        <v>4784</v>
      </c>
      <c r="B3787" s="1112" t="s">
        <v>6108</v>
      </c>
      <c r="C3787" s="597" t="s">
        <v>3750</v>
      </c>
      <c r="D3787" s="456">
        <f>IF(Table10[[#This Row],[Current Age]]&gt;19,"Men's",IF(E3787&gt;15,"U19",IF(E3787&gt;13,"U15",IF(E3787&gt;11,"U13",IF(E3787&gt;0,"U11",0)))))</f>
        <v>0</v>
      </c>
      <c r="E3787" s="456">
        <f>IFERROR(IF(Table10[[#This Row],[Year]]&gt;0,$E$1-Table10[[#This Row],[Year]],0),"")</f>
        <v>0</v>
      </c>
      <c r="F3787" s="456"/>
      <c r="G3787" s="456"/>
      <c r="H3787" s="456"/>
    </row>
    <row r="3788" spans="1:8">
      <c r="A3788" s="799">
        <v>4785</v>
      </c>
      <c r="B3788" s="1112" t="s">
        <v>6109</v>
      </c>
      <c r="C3788" s="597" t="s">
        <v>248</v>
      </c>
      <c r="D3788" s="456">
        <f>IF(Table10[[#This Row],[Current Age]]&gt;19,"Men's",IF(E3788&gt;15,"U19",IF(E3788&gt;13,"U15",IF(E3788&gt;11,"U13",IF(E3788&gt;0,"U11",0)))))</f>
        <v>0</v>
      </c>
      <c r="E3788" s="456">
        <f>IFERROR(IF(Table10[[#This Row],[Year]]&gt;0,$E$1-Table10[[#This Row],[Year]],0),"")</f>
        <v>0</v>
      </c>
      <c r="F3788" s="456"/>
      <c r="G3788" s="456"/>
      <c r="H3788" s="456"/>
    </row>
    <row r="3789" spans="1:8">
      <c r="A3789" s="799">
        <v>4786</v>
      </c>
      <c r="B3789" s="1112" t="s">
        <v>6110</v>
      </c>
      <c r="C3789" s="597" t="s">
        <v>3750</v>
      </c>
      <c r="D3789" s="456">
        <f>IF(Table10[[#This Row],[Current Age]]&gt;19,"Men's",IF(E3789&gt;15,"U19",IF(E3789&gt;13,"U15",IF(E3789&gt;11,"U13",IF(E3789&gt;0,"U11",0)))))</f>
        <v>0</v>
      </c>
      <c r="E3789" s="456">
        <f>IFERROR(IF(Table10[[#This Row],[Year]]&gt;0,$E$1-Table10[[#This Row],[Year]],0),"")</f>
        <v>0</v>
      </c>
      <c r="F3789" s="456"/>
      <c r="G3789" s="456"/>
      <c r="H3789" s="456"/>
    </row>
    <row r="3790" spans="1:8">
      <c r="A3790" s="799">
        <v>4787</v>
      </c>
      <c r="B3790" s="1112" t="s">
        <v>6111</v>
      </c>
      <c r="C3790" s="597" t="s">
        <v>3750</v>
      </c>
      <c r="D3790" s="456">
        <f>IF(Table10[[#This Row],[Current Age]]&gt;19,"Men's",IF(E3790&gt;15,"U19",IF(E3790&gt;13,"U15",IF(E3790&gt;11,"U13",IF(E3790&gt;0,"U11",0)))))</f>
        <v>0</v>
      </c>
      <c r="E3790" s="456">
        <f>IFERROR(IF(Table10[[#This Row],[Year]]&gt;0,$E$1-Table10[[#This Row],[Year]],0),"")</f>
        <v>0</v>
      </c>
      <c r="F3790" s="456"/>
      <c r="G3790" s="456"/>
      <c r="H3790" s="456"/>
    </row>
    <row r="3791" spans="1:8">
      <c r="A3791" s="799">
        <v>4788</v>
      </c>
      <c r="B3791" s="1112"/>
      <c r="C3791" s="597"/>
      <c r="D3791" s="456">
        <f>IF(Table10[[#This Row],[Current Age]]&gt;19,"Men's",IF(E3791&gt;15,"U19",IF(E3791&gt;13,"U15",IF(E3791&gt;11,"U13",IF(E3791&gt;0,"U11",0)))))</f>
        <v>0</v>
      </c>
      <c r="E3791" s="456">
        <f>IFERROR(IF(Table10[[#This Row],[Year]]&gt;0,$E$1-Table10[[#This Row],[Year]],0),"")</f>
        <v>0</v>
      </c>
      <c r="F3791" s="456"/>
      <c r="G3791" s="456"/>
      <c r="H3791" s="456"/>
    </row>
    <row r="3792" spans="1:8">
      <c r="A3792" s="799">
        <v>4789</v>
      </c>
      <c r="B3792" s="1112" t="s">
        <v>6112</v>
      </c>
      <c r="C3792" s="597" t="s">
        <v>3750</v>
      </c>
      <c r="D3792" s="456">
        <f>IF(Table10[[#This Row],[Current Age]]&gt;19,"Men's",IF(E3792&gt;15,"U19",IF(E3792&gt;13,"U15",IF(E3792&gt;11,"U13",IF(E3792&gt;0,"U11",0)))))</f>
        <v>0</v>
      </c>
      <c r="E3792" s="456">
        <f>IFERROR(IF(Table10[[#This Row],[Year]]&gt;0,$E$1-Table10[[#This Row],[Year]],0),"")</f>
        <v>0</v>
      </c>
      <c r="F3792" s="456"/>
      <c r="G3792" s="456"/>
      <c r="H3792" s="456"/>
    </row>
    <row r="3793" spans="1:8">
      <c r="A3793" s="799">
        <v>4790</v>
      </c>
      <c r="B3793" s="1112" t="s">
        <v>6124</v>
      </c>
      <c r="C3793" s="597" t="s">
        <v>1914</v>
      </c>
      <c r="D3793" s="456">
        <f>IF(Table10[[#This Row],[Current Age]]&gt;19,"Men's",IF(E3793&gt;15,"U19",IF(E3793&gt;13,"U15",IF(E3793&gt;11,"U13",IF(E3793&gt;0,"U11",0)))))</f>
        <v>0</v>
      </c>
      <c r="E3793" s="456">
        <f>IFERROR(IF(Table10[[#This Row],[Year]]&gt;0,$E$1-Table10[[#This Row],[Year]],0),"")</f>
        <v>0</v>
      </c>
      <c r="F3793" s="456"/>
      <c r="G3793" s="456"/>
      <c r="H3793" s="456"/>
    </row>
    <row r="3794" spans="1:8">
      <c r="A3794" s="799">
        <v>4791</v>
      </c>
      <c r="B3794" s="469" t="s">
        <v>6210</v>
      </c>
      <c r="C3794" s="458" t="s">
        <v>249</v>
      </c>
      <c r="D3794" s="456" t="str">
        <f>IF(Table10[[#This Row],[Current Age]]&gt;19,"Men's",IF(E3794&gt;15,"U19",IF(E3794&gt;13,"U15",IF(E3794&gt;11,"U13",IF(E3794&gt;0,"U11",0)))))</f>
        <v>U13</v>
      </c>
      <c r="E3794" s="456">
        <f>IFERROR(IF(Table10[[#This Row],[Year]]&gt;0,$E$1-Table10[[#This Row],[Year]],0),"")</f>
        <v>12</v>
      </c>
      <c r="F3794" s="456">
        <v>2013</v>
      </c>
      <c r="G3794" s="456">
        <v>10</v>
      </c>
      <c r="H3794" s="456">
        <v>3</v>
      </c>
    </row>
    <row r="3795" spans="1:8">
      <c r="A3795" s="799">
        <v>4792</v>
      </c>
      <c r="B3795" s="469" t="s">
        <v>6211</v>
      </c>
      <c r="C3795" s="458" t="s">
        <v>249</v>
      </c>
      <c r="D3795" s="456" t="str">
        <f>IF(Table10[[#This Row],[Current Age]]&gt;19,"Men's",IF(E3795&gt;15,"U19",IF(E3795&gt;13,"U15",IF(E3795&gt;11,"U13",IF(E3795&gt;0,"U11",0)))))</f>
        <v>U13</v>
      </c>
      <c r="E3795" s="456">
        <f>IFERROR(IF(Table10[[#This Row],[Year]]&gt;0,$E$1-Table10[[#This Row],[Year]],0),"")</f>
        <v>13</v>
      </c>
      <c r="F3795" s="456">
        <v>2012</v>
      </c>
      <c r="G3795" s="456">
        <v>9</v>
      </c>
      <c r="H3795" s="456">
        <v>18</v>
      </c>
    </row>
    <row r="3796" spans="1:8">
      <c r="A3796" s="799">
        <v>4793</v>
      </c>
      <c r="B3796" s="469" t="s">
        <v>6212</v>
      </c>
      <c r="C3796" s="458" t="s">
        <v>249</v>
      </c>
      <c r="D3796" s="456" t="str">
        <f>IF(Table10[[#This Row],[Current Age]]&gt;19,"Men's",IF(E3796&gt;15,"U19",IF(E3796&gt;13,"U15",IF(E3796&gt;11,"U13",IF(E3796&gt;0,"U11",0)))))</f>
        <v>Men's</v>
      </c>
      <c r="E3796" s="456">
        <f>IFERROR(IF(Table10[[#This Row],[Year]]&gt;0,$E$1-Table10[[#This Row],[Year]],0),"")</f>
        <v>70</v>
      </c>
      <c r="F3796" s="456">
        <v>1955</v>
      </c>
      <c r="G3796" s="456">
        <v>9</v>
      </c>
      <c r="H3796" s="456">
        <v>9</v>
      </c>
    </row>
    <row r="3797" spans="1:8">
      <c r="A3797" s="799">
        <v>4794</v>
      </c>
      <c r="B3797" s="469" t="s">
        <v>6213</v>
      </c>
      <c r="C3797" s="458" t="s">
        <v>249</v>
      </c>
      <c r="D3797" s="456" t="str">
        <f>IF(Table10[[#This Row],[Current Age]]&gt;19,"Men's",IF(E3797&gt;15,"U19",IF(E3797&gt;13,"U15",IF(E3797&gt;11,"U13",IF(E3797&gt;0,"U11",0)))))</f>
        <v>Men's</v>
      </c>
      <c r="E3797" s="456">
        <f>IFERROR(IF(Table10[[#This Row],[Year]]&gt;0,$E$1-Table10[[#This Row],[Year]],0),"")</f>
        <v>33</v>
      </c>
      <c r="F3797" s="456">
        <v>1992</v>
      </c>
      <c r="G3797" s="456">
        <v>6</v>
      </c>
      <c r="H3797" s="456">
        <v>13</v>
      </c>
    </row>
    <row r="3798" spans="1:8">
      <c r="A3798" s="799">
        <v>4795</v>
      </c>
      <c r="B3798" s="469" t="s">
        <v>6214</v>
      </c>
      <c r="C3798" s="458" t="s">
        <v>249</v>
      </c>
      <c r="D3798" s="456" t="str">
        <f>IF(Table10[[#This Row],[Current Age]]&gt;19,"Men's",IF(E3798&gt;15,"U19",IF(E3798&gt;13,"U15",IF(E3798&gt;11,"U13",IF(E3798&gt;0,"U11",0)))))</f>
        <v>Men's</v>
      </c>
      <c r="E3798" s="456">
        <f>IFERROR(IF(Table10[[#This Row],[Year]]&gt;0,$E$1-Table10[[#This Row],[Year]],0),"")</f>
        <v>52</v>
      </c>
      <c r="F3798" s="456">
        <v>1973</v>
      </c>
      <c r="G3798" s="456">
        <v>7</v>
      </c>
      <c r="H3798" s="456">
        <v>31</v>
      </c>
    </row>
    <row r="3799" spans="1:8">
      <c r="A3799" s="799">
        <v>4796</v>
      </c>
      <c r="B3799" s="469" t="s">
        <v>6215</v>
      </c>
      <c r="C3799" s="458" t="s">
        <v>249</v>
      </c>
      <c r="D3799" s="456" t="str">
        <f>IF(Table10[[#This Row],[Current Age]]&gt;19,"Men's",IF(E3799&gt;15,"U19",IF(E3799&gt;13,"U15",IF(E3799&gt;11,"U13",IF(E3799&gt;0,"U11",0)))))</f>
        <v>U11</v>
      </c>
      <c r="E3799" s="456">
        <f>IFERROR(IF(Table10[[#This Row],[Year]]&gt;0,$E$1-Table10[[#This Row],[Year]],0),"")</f>
        <v>10</v>
      </c>
      <c r="F3799" s="456">
        <v>2015</v>
      </c>
      <c r="G3799" s="456">
        <v>2</v>
      </c>
      <c r="H3799" s="456">
        <v>16</v>
      </c>
    </row>
    <row r="3800" spans="1:8">
      <c r="A3800" s="799">
        <v>4797</v>
      </c>
      <c r="B3800" s="469" t="s">
        <v>6216</v>
      </c>
      <c r="C3800" s="458" t="s">
        <v>249</v>
      </c>
      <c r="D3800" s="456" t="str">
        <f>IF(Table10[[#This Row],[Current Age]]&gt;19,"Men's",IF(E3800&gt;15,"U19",IF(E3800&gt;13,"U15",IF(E3800&gt;11,"U13",IF(E3800&gt;0,"U11",0)))))</f>
        <v>U11</v>
      </c>
      <c r="E3800" s="456">
        <f>IFERROR(IF(Table10[[#This Row],[Year]]&gt;0,$E$1-Table10[[#This Row],[Year]],0),"")</f>
        <v>9</v>
      </c>
      <c r="F3800" s="456">
        <v>2016</v>
      </c>
      <c r="G3800" s="456">
        <v>4</v>
      </c>
      <c r="H3800" s="456">
        <v>4</v>
      </c>
    </row>
    <row r="3801" spans="1:8">
      <c r="A3801" s="799">
        <v>4798</v>
      </c>
      <c r="B3801" s="469" t="s">
        <v>6217</v>
      </c>
      <c r="C3801" s="458" t="s">
        <v>249</v>
      </c>
      <c r="D3801" s="456" t="str">
        <f>IF(Table10[[#This Row],[Current Age]]&gt;19,"Men's",IF(E3801&gt;15,"U19",IF(E3801&gt;13,"U15",IF(E3801&gt;11,"U13",IF(E3801&gt;0,"U11",0)))))</f>
        <v>U11</v>
      </c>
      <c r="E3801" s="456">
        <f>IFERROR(IF(Table10[[#This Row],[Year]]&gt;0,$E$1-Table10[[#This Row],[Year]],0),"")</f>
        <v>10</v>
      </c>
      <c r="F3801" s="456">
        <v>2015</v>
      </c>
      <c r="G3801" s="456">
        <v>1</v>
      </c>
      <c r="H3801" s="456">
        <v>28</v>
      </c>
    </row>
    <row r="3802" spans="1:8">
      <c r="A3802" s="799">
        <v>4799</v>
      </c>
      <c r="B3802" s="469" t="s">
        <v>6218</v>
      </c>
      <c r="C3802" s="458" t="s">
        <v>249</v>
      </c>
      <c r="D3802" s="456" t="str">
        <f>IF(Table10[[#This Row],[Current Age]]&gt;19,"Men's",IF(E3802&gt;15,"U19",IF(E3802&gt;13,"U15",IF(E3802&gt;11,"U13",IF(E3802&gt;0,"U11",0)))))</f>
        <v>U13</v>
      </c>
      <c r="E3802" s="456">
        <f>IFERROR(IF(Table10[[#This Row],[Year]]&gt;0,$E$1-Table10[[#This Row],[Year]],0),"")</f>
        <v>12</v>
      </c>
      <c r="F3802" s="456">
        <v>2013</v>
      </c>
      <c r="G3802" s="456">
        <v>4</v>
      </c>
      <c r="H3802" s="456">
        <v>17</v>
      </c>
    </row>
    <row r="3803" spans="1:8">
      <c r="A3803" s="799">
        <v>4800</v>
      </c>
      <c r="B3803" s="497" t="s">
        <v>6219</v>
      </c>
      <c r="C3803" s="458" t="s">
        <v>249</v>
      </c>
      <c r="D3803" s="458" t="str">
        <f>IF(Table10[[#This Row],[Current Age]]&gt;19,"Men's",IF(E3803&gt;15,"U19",IF(E3803&gt;13,"U15",IF(E3803&gt;11,"U13",IF(E3803&gt;0,"U11",0)))))</f>
        <v>U11</v>
      </c>
      <c r="E3803" s="458">
        <f>IFERROR(IF(Table10[[#This Row],[Year]]&gt;0,$E$1-Table10[[#This Row],[Year]],0),"")</f>
        <v>11</v>
      </c>
      <c r="F3803" s="458">
        <v>2014</v>
      </c>
      <c r="G3803" s="458">
        <v>2</v>
      </c>
      <c r="H3803" s="458">
        <v>17</v>
      </c>
    </row>
    <row r="3804" spans="1:8">
      <c r="A3804" s="696">
        <v>4801</v>
      </c>
      <c r="B3804" s="469" t="s">
        <v>6179</v>
      </c>
      <c r="C3804" s="458" t="s">
        <v>243</v>
      </c>
      <c r="D3804" s="456">
        <f>IF(Table10[[#This Row],[Current Age]]&gt;19,"Men's",IF(E3804&gt;15,"U19",IF(E3804&gt;13,"U15",IF(E3804&gt;11,"U13",IF(E3804&gt;0,"U11",0)))))</f>
        <v>0</v>
      </c>
      <c r="E3804" s="456">
        <f>IFERROR(IF(Table10[[#This Row],[Year]]&gt;0,$E$1-Table10[[#This Row],[Year]],0),"")</f>
        <v>0</v>
      </c>
      <c r="F3804" s="456"/>
      <c r="G3804" s="456"/>
      <c r="H3804" s="456"/>
    </row>
    <row r="3805" spans="1:8">
      <c r="A3805" s="696">
        <v>4802</v>
      </c>
      <c r="B3805" s="469" t="s">
        <v>6180</v>
      </c>
      <c r="C3805" s="458" t="s">
        <v>243</v>
      </c>
      <c r="D3805" s="456">
        <f>IF(Table10[[#This Row],[Current Age]]&gt;19,"Men's",IF(E3805&gt;15,"U19",IF(E3805&gt;13,"U15",IF(E3805&gt;11,"U13",IF(E3805&gt;0,"U11",0)))))</f>
        <v>0</v>
      </c>
      <c r="E3805" s="456">
        <f>IFERROR(IF(Table10[[#This Row],[Year]]&gt;0,$E$1-Table10[[#This Row],[Year]],0),"")</f>
        <v>0</v>
      </c>
      <c r="F3805" s="456"/>
      <c r="G3805" s="456"/>
      <c r="H3805" s="456"/>
    </row>
    <row r="3806" spans="1:8">
      <c r="A3806" s="696">
        <v>4803</v>
      </c>
      <c r="B3806" s="469" t="s">
        <v>6181</v>
      </c>
      <c r="C3806" s="458" t="s">
        <v>243</v>
      </c>
      <c r="D3806" s="456">
        <f>IF(Table10[[#This Row],[Current Age]]&gt;19,"Men's",IF(E3806&gt;15,"U19",IF(E3806&gt;13,"U15",IF(E3806&gt;11,"U13",IF(E3806&gt;0,"U11",0)))))</f>
        <v>0</v>
      </c>
      <c r="E3806" s="456">
        <f>IFERROR(IF(Table10[[#This Row],[Year]]&gt;0,$E$1-Table10[[#This Row],[Year]],0),"")</f>
        <v>0</v>
      </c>
      <c r="F3806" s="456"/>
      <c r="G3806" s="456"/>
      <c r="H3806" s="456"/>
    </row>
    <row r="3807" spans="1:8">
      <c r="A3807" s="696">
        <v>4804</v>
      </c>
      <c r="B3807" s="469" t="s">
        <v>6182</v>
      </c>
      <c r="C3807" s="458" t="s">
        <v>243</v>
      </c>
      <c r="D3807" s="456">
        <f>IF(Table10[[#This Row],[Current Age]]&gt;19,"Men's",IF(E3807&gt;15,"U19",IF(E3807&gt;13,"U15",IF(E3807&gt;11,"U13",IF(E3807&gt;0,"U11",0)))))</f>
        <v>0</v>
      </c>
      <c r="E3807" s="456">
        <f>IFERROR(IF(Table10[[#This Row],[Year]]&gt;0,$E$1-Table10[[#This Row],[Year]],0),"")</f>
        <v>0</v>
      </c>
      <c r="F3807" s="456"/>
      <c r="G3807" s="456"/>
      <c r="H3807" s="456"/>
    </row>
    <row r="3808" spans="1:8">
      <c r="A3808" s="696">
        <v>4805</v>
      </c>
      <c r="B3808" s="469" t="s">
        <v>6183</v>
      </c>
      <c r="C3808" s="458" t="s">
        <v>4552</v>
      </c>
      <c r="D3808" s="456">
        <f>IF(Table10[[#This Row],[Current Age]]&gt;19,"Men's",IF(E3808&gt;15,"U19",IF(E3808&gt;13,"U15",IF(E3808&gt;11,"U13",IF(E3808&gt;0,"U11",0)))))</f>
        <v>0</v>
      </c>
      <c r="E3808" s="456">
        <f>IFERROR(IF(Table10[[#This Row],[Year]]&gt;0,$E$1-Table10[[#This Row],[Year]],0),"")</f>
        <v>0</v>
      </c>
      <c r="F3808" s="456"/>
      <c r="G3808" s="456"/>
      <c r="H3808" s="456"/>
    </row>
    <row r="3809" spans="1:8">
      <c r="A3809" s="696">
        <v>4806</v>
      </c>
      <c r="B3809" s="469" t="s">
        <v>5938</v>
      </c>
      <c r="C3809" s="458" t="s">
        <v>243</v>
      </c>
      <c r="D3809" s="456">
        <f>IF(Table10[[#This Row],[Current Age]]&gt;19,"Men's",IF(E3809&gt;15,"U19",IF(E3809&gt;13,"U15",IF(E3809&gt;11,"U13",IF(E3809&gt;0,"U11",0)))))</f>
        <v>0</v>
      </c>
      <c r="E3809" s="456">
        <f>IFERROR(IF(Table10[[#This Row],[Year]]&gt;0,$E$1-Table10[[#This Row],[Year]],0),"")</f>
        <v>0</v>
      </c>
      <c r="F3809" s="456"/>
      <c r="G3809" s="456"/>
      <c r="H3809" s="456"/>
    </row>
    <row r="3810" spans="1:8">
      <c r="A3810" s="696">
        <v>4807</v>
      </c>
      <c r="B3810" s="469" t="s">
        <v>6184</v>
      </c>
      <c r="C3810" s="458" t="s">
        <v>4552</v>
      </c>
      <c r="D3810" s="456">
        <f>IF(Table10[[#This Row],[Current Age]]&gt;19,"Men's",IF(E3810&gt;15,"U19",IF(E3810&gt;13,"U15",IF(E3810&gt;11,"U13",IF(E3810&gt;0,"U11",0)))))</f>
        <v>0</v>
      </c>
      <c r="E3810" s="456">
        <f>IFERROR(IF(Table10[[#This Row],[Year]]&gt;0,$E$1-Table10[[#This Row],[Year]],0),"")</f>
        <v>0</v>
      </c>
      <c r="F3810" s="456"/>
      <c r="G3810" s="456"/>
      <c r="H3810" s="456"/>
    </row>
    <row r="3811" spans="1:8">
      <c r="A3811" s="696">
        <v>4808</v>
      </c>
      <c r="B3811" s="469" t="s">
        <v>6185</v>
      </c>
      <c r="C3811" s="458" t="s">
        <v>4552</v>
      </c>
      <c r="D3811" s="456">
        <f>IF(Table10[[#This Row],[Current Age]]&gt;19,"Men's",IF(E3811&gt;15,"U19",IF(E3811&gt;13,"U15",IF(E3811&gt;11,"U13",IF(E3811&gt;0,"U11",0)))))</f>
        <v>0</v>
      </c>
      <c r="E3811" s="456">
        <f>IFERROR(IF(Table10[[#This Row],[Year]]&gt;0,$E$1-Table10[[#This Row],[Year]],0),"")</f>
        <v>0</v>
      </c>
      <c r="F3811" s="456"/>
      <c r="G3811" s="456"/>
      <c r="H3811" s="456"/>
    </row>
    <row r="3812" spans="1:8">
      <c r="A3812" s="696">
        <v>4809</v>
      </c>
      <c r="B3812" s="469" t="s">
        <v>6187</v>
      </c>
      <c r="C3812" s="458" t="s">
        <v>243</v>
      </c>
      <c r="D3812" s="456">
        <f>IF(Table10[[#This Row],[Current Age]]&gt;19,"Men's",IF(E3812&gt;15,"U19",IF(E3812&gt;13,"U15",IF(E3812&gt;11,"U13",IF(E3812&gt;0,"U11",0)))))</f>
        <v>0</v>
      </c>
      <c r="E3812" s="456">
        <f>IFERROR(IF(Table10[[#This Row],[Year]]&gt;0,$E$1-Table10[[#This Row],[Year]],0),"")</f>
        <v>0</v>
      </c>
      <c r="F3812" s="456"/>
      <c r="G3812" s="456"/>
      <c r="H3812" s="456"/>
    </row>
    <row r="3813" spans="1:8">
      <c r="A3813" s="696">
        <v>4810</v>
      </c>
      <c r="B3813" s="469" t="s">
        <v>6188</v>
      </c>
      <c r="C3813" s="458" t="s">
        <v>4552</v>
      </c>
      <c r="D3813" s="456">
        <f>IF(Table10[[#This Row],[Current Age]]&gt;19,"Men's",IF(E3813&gt;15,"U19",IF(E3813&gt;13,"U15",IF(E3813&gt;11,"U13",IF(E3813&gt;0,"U11",0)))))</f>
        <v>0</v>
      </c>
      <c r="E3813" s="456">
        <f>IFERROR(IF(Table10[[#This Row],[Year]]&gt;0,$E$1-Table10[[#This Row],[Year]],0),"")</f>
        <v>0</v>
      </c>
      <c r="F3813" s="456"/>
      <c r="G3813" s="456"/>
      <c r="H3813" s="456"/>
    </row>
    <row r="3814" spans="1:8">
      <c r="A3814" s="696">
        <v>4811</v>
      </c>
      <c r="B3814" s="469" t="s">
        <v>6190</v>
      </c>
      <c r="C3814" s="458" t="s">
        <v>243</v>
      </c>
      <c r="D3814" s="456">
        <f>IF(Table10[[#This Row],[Current Age]]&gt;19,"Men's",IF(E3814&gt;15,"U19",IF(E3814&gt;13,"U15",IF(E3814&gt;11,"U13",IF(E3814&gt;0,"U11",0)))))</f>
        <v>0</v>
      </c>
      <c r="E3814" s="456">
        <f>IFERROR(IF(Table10[[#This Row],[Year]]&gt;0,$E$1-Table10[[#This Row],[Year]],0),"")</f>
        <v>0</v>
      </c>
      <c r="F3814" s="456"/>
      <c r="G3814" s="456"/>
      <c r="H3814" s="456"/>
    </row>
    <row r="3815" spans="1:8">
      <c r="A3815" s="696">
        <v>4812</v>
      </c>
      <c r="B3815" s="469" t="s">
        <v>6192</v>
      </c>
      <c r="C3815" s="458" t="s">
        <v>244</v>
      </c>
      <c r="D3815" s="456">
        <f>IF(Table10[[#This Row],[Current Age]]&gt;19,"Men's",IF(E3815&gt;15,"U19",IF(E3815&gt;13,"U15",IF(E3815&gt;11,"U13",IF(E3815&gt;0,"U11",0)))))</f>
        <v>0</v>
      </c>
      <c r="E3815" s="456">
        <f>IFERROR(IF(Table10[[#This Row],[Year]]&gt;0,$E$1-Table10[[#This Row],[Year]],0),"")</f>
        <v>0</v>
      </c>
      <c r="F3815" s="456"/>
      <c r="G3815" s="456"/>
      <c r="H3815" s="456"/>
    </row>
    <row r="3816" spans="1:8">
      <c r="A3816" s="696">
        <v>4813</v>
      </c>
      <c r="B3816" s="469" t="s">
        <v>6194</v>
      </c>
      <c r="C3816" s="458" t="s">
        <v>244</v>
      </c>
      <c r="D3816" s="456">
        <f>IF(Table10[[#This Row],[Current Age]]&gt;19,"Men's",IF(E3816&gt;15,"U19",IF(E3816&gt;13,"U15",IF(E3816&gt;11,"U13",IF(E3816&gt;0,"U11",0)))))</f>
        <v>0</v>
      </c>
      <c r="E3816" s="456">
        <f>IFERROR(IF(Table10[[#This Row],[Year]]&gt;0,$E$1-Table10[[#This Row],[Year]],0),"")</f>
        <v>0</v>
      </c>
      <c r="F3816" s="456"/>
      <c r="G3816" s="456"/>
      <c r="H3816" s="456"/>
    </row>
    <row r="3817" spans="1:8">
      <c r="A3817" s="696">
        <v>4814</v>
      </c>
      <c r="B3817" s="469" t="s">
        <v>6195</v>
      </c>
      <c r="C3817" s="458" t="s">
        <v>244</v>
      </c>
      <c r="D3817" s="456">
        <f>IF(Table10[[#This Row],[Current Age]]&gt;19,"Men's",IF(E3817&gt;15,"U19",IF(E3817&gt;13,"U15",IF(E3817&gt;11,"U13",IF(E3817&gt;0,"U11",0)))))</f>
        <v>0</v>
      </c>
      <c r="E3817" s="456">
        <f>IFERROR(IF(Table10[[#This Row],[Year]]&gt;0,$E$1-Table10[[#This Row],[Year]],0),"")</f>
        <v>0</v>
      </c>
      <c r="F3817" s="456"/>
      <c r="G3817" s="456"/>
      <c r="H3817" s="456"/>
    </row>
    <row r="3818" spans="1:8">
      <c r="A3818" s="696">
        <v>4815</v>
      </c>
      <c r="B3818" s="469" t="s">
        <v>6196</v>
      </c>
      <c r="C3818" s="458" t="s">
        <v>244</v>
      </c>
      <c r="D3818" s="456">
        <f>IF(Table10[[#This Row],[Current Age]]&gt;19,"Men's",IF(E3818&gt;15,"U19",IF(E3818&gt;13,"U15",IF(E3818&gt;11,"U13",IF(E3818&gt;0,"U11",0)))))</f>
        <v>0</v>
      </c>
      <c r="E3818" s="456">
        <f>IFERROR(IF(Table10[[#This Row],[Year]]&gt;0,$E$1-Table10[[#This Row],[Year]],0),"")</f>
        <v>0</v>
      </c>
      <c r="F3818" s="456"/>
      <c r="G3818" s="456"/>
      <c r="H3818" s="456"/>
    </row>
    <row r="3819" spans="1:8">
      <c r="A3819" s="696">
        <v>4816</v>
      </c>
      <c r="B3819" s="469" t="s">
        <v>6197</v>
      </c>
      <c r="C3819" s="458" t="s">
        <v>244</v>
      </c>
      <c r="D3819" s="456">
        <f>IF(Table10[[#This Row],[Current Age]]&gt;19,"Men's",IF(E3819&gt;15,"U19",IF(E3819&gt;13,"U15",IF(E3819&gt;11,"U13",IF(E3819&gt;0,"U11",0)))))</f>
        <v>0</v>
      </c>
      <c r="E3819" s="456">
        <f>IFERROR(IF(Table10[[#This Row],[Year]]&gt;0,$E$1-Table10[[#This Row],[Year]],0),"")</f>
        <v>0</v>
      </c>
      <c r="F3819" s="456"/>
      <c r="G3819" s="456"/>
      <c r="H3819" s="456"/>
    </row>
    <row r="3820" spans="1:8">
      <c r="A3820" s="696">
        <v>4817</v>
      </c>
      <c r="B3820" s="469" t="s">
        <v>6198</v>
      </c>
      <c r="C3820" s="458" t="s">
        <v>244</v>
      </c>
      <c r="D3820" s="456">
        <f>IF(Table10[[#This Row],[Current Age]]&gt;19,"Men's",IF(E3820&gt;15,"U19",IF(E3820&gt;13,"U15",IF(E3820&gt;11,"U13",IF(E3820&gt;0,"U11",0)))))</f>
        <v>0</v>
      </c>
      <c r="E3820" s="456">
        <f>IFERROR(IF(Table10[[#This Row],[Year]]&gt;0,$E$1-Table10[[#This Row],[Year]],0),"")</f>
        <v>0</v>
      </c>
      <c r="F3820" s="456"/>
      <c r="G3820" s="456"/>
      <c r="H3820" s="456"/>
    </row>
    <row r="3821" spans="1:8">
      <c r="A3821" s="696">
        <v>4818</v>
      </c>
      <c r="B3821" s="469" t="s">
        <v>6199</v>
      </c>
      <c r="C3821" s="458" t="s">
        <v>251</v>
      </c>
      <c r="D3821" s="456">
        <f>IF(Table10[[#This Row],[Current Age]]&gt;19,"Men's",IF(E3821&gt;15,"U19",IF(E3821&gt;13,"U15",IF(E3821&gt;11,"U13",IF(E3821&gt;0,"U11",0)))))</f>
        <v>0</v>
      </c>
      <c r="E3821" s="456">
        <f>IFERROR(IF(Table10[[#This Row],[Year]]&gt;0,$E$1-Table10[[#This Row],[Year]],0),"")</f>
        <v>0</v>
      </c>
      <c r="F3821" s="456"/>
      <c r="G3821" s="456"/>
      <c r="H3821" s="456"/>
    </row>
    <row r="3822" spans="1:8">
      <c r="A3822" s="696">
        <v>4819</v>
      </c>
      <c r="B3822" s="469" t="s">
        <v>6200</v>
      </c>
      <c r="C3822" s="458" t="s">
        <v>244</v>
      </c>
      <c r="D3822" s="456">
        <f>IF(Table10[[#This Row],[Current Age]]&gt;19,"Men's",IF(E3822&gt;15,"U19",IF(E3822&gt;13,"U15",IF(E3822&gt;11,"U13",IF(E3822&gt;0,"U11",0)))))</f>
        <v>0</v>
      </c>
      <c r="E3822" s="456">
        <f>IFERROR(IF(Table10[[#This Row],[Year]]&gt;0,$E$1-Table10[[#This Row],[Year]],0),"")</f>
        <v>0</v>
      </c>
      <c r="F3822" s="456"/>
      <c r="G3822" s="456"/>
      <c r="H3822" s="456"/>
    </row>
    <row r="3823" spans="1:8">
      <c r="A3823" s="696">
        <v>4820</v>
      </c>
      <c r="B3823" s="469" t="s">
        <v>6201</v>
      </c>
      <c r="C3823" s="458" t="s">
        <v>244</v>
      </c>
      <c r="D3823" s="456">
        <f>IF(Table10[[#This Row],[Current Age]]&gt;19,"Men's",IF(E3823&gt;15,"U19",IF(E3823&gt;13,"U15",IF(E3823&gt;11,"U13",IF(E3823&gt;0,"U11",0)))))</f>
        <v>0</v>
      </c>
      <c r="E3823" s="456">
        <f>IFERROR(IF(Table10[[#This Row],[Year]]&gt;0,$E$1-Table10[[#This Row],[Year]],0),"")</f>
        <v>0</v>
      </c>
      <c r="F3823" s="456"/>
      <c r="G3823" s="456"/>
      <c r="H3823" s="456"/>
    </row>
    <row r="3824" spans="1:8">
      <c r="A3824" s="696">
        <v>4821</v>
      </c>
      <c r="B3824" s="469" t="s">
        <v>6202</v>
      </c>
      <c r="C3824" s="458" t="s">
        <v>244</v>
      </c>
      <c r="D3824" s="456">
        <f>IF(Table10[[#This Row],[Current Age]]&gt;19,"Men's",IF(E3824&gt;15,"U19",IF(E3824&gt;13,"U15",IF(E3824&gt;11,"U13",IF(E3824&gt;0,"U11",0)))))</f>
        <v>0</v>
      </c>
      <c r="E3824" s="456">
        <f>IFERROR(IF(Table10[[#This Row],[Year]]&gt;0,$E$1-Table10[[#This Row],[Year]],0),"")</f>
        <v>0</v>
      </c>
      <c r="F3824" s="456"/>
      <c r="G3824" s="456"/>
      <c r="H3824" s="456"/>
    </row>
    <row r="3825" spans="1:8">
      <c r="A3825" s="696">
        <v>4822</v>
      </c>
      <c r="B3825" s="469" t="s">
        <v>6203</v>
      </c>
      <c r="C3825" s="458" t="s">
        <v>4720</v>
      </c>
      <c r="D3825" s="456">
        <f>IF(Table10[[#This Row],[Current Age]]&gt;19,"Men's",IF(E3825&gt;15,"U19",IF(E3825&gt;13,"U15",IF(E3825&gt;11,"U13",IF(E3825&gt;0,"U11",0)))))</f>
        <v>0</v>
      </c>
      <c r="E3825" s="456">
        <f>IFERROR(IF(Table10[[#This Row],[Year]]&gt;0,$E$1-Table10[[#This Row],[Year]],0),"")</f>
        <v>0</v>
      </c>
      <c r="F3825" s="456"/>
      <c r="G3825" s="456"/>
      <c r="H3825" s="456"/>
    </row>
    <row r="3826" spans="1:8">
      <c r="A3826" s="696">
        <v>4823</v>
      </c>
      <c r="B3826" s="469" t="s">
        <v>6204</v>
      </c>
      <c r="C3826" s="458" t="s">
        <v>4720</v>
      </c>
      <c r="D3826" s="456" t="str">
        <f>IF(Table10[[#This Row],[Current Age]]&gt;19,"Men's",IF(E3826&gt;15,"U19",IF(E3826&gt;13,"U15",IF(E3826&gt;11,"U13",IF(E3826&gt;0,"U11",0)))))</f>
        <v>Men's</v>
      </c>
      <c r="E3826" s="456">
        <f>IFERROR(IF(Table10[[#This Row],[Year]]&gt;0,$E$1-Table10[[#This Row],[Year]],0),"")</f>
        <v>20</v>
      </c>
      <c r="F3826" s="456" t="s">
        <v>6306</v>
      </c>
      <c r="G3826" s="456" t="s">
        <v>4253</v>
      </c>
      <c r="H3826" s="456" t="s">
        <v>4253</v>
      </c>
    </row>
    <row r="3827" spans="1:8">
      <c r="A3827" s="696">
        <v>4824</v>
      </c>
      <c r="B3827" s="469" t="s">
        <v>6205</v>
      </c>
      <c r="C3827" s="458" t="s">
        <v>244</v>
      </c>
      <c r="D3827" s="456">
        <f>IF(Table10[[#This Row],[Current Age]]&gt;19,"Men's",IF(E3827&gt;15,"U19",IF(E3827&gt;13,"U15",IF(E3827&gt;11,"U13",IF(E3827&gt;0,"U11",0)))))</f>
        <v>0</v>
      </c>
      <c r="E3827" s="456">
        <f>IFERROR(IF(Table10[[#This Row],[Year]]&gt;0,$E$1-Table10[[#This Row],[Year]],0),"")</f>
        <v>0</v>
      </c>
      <c r="F3827" s="456"/>
      <c r="G3827" s="456"/>
      <c r="H3827" s="456"/>
    </row>
    <row r="3828" spans="1:8">
      <c r="A3828" s="696">
        <v>4825</v>
      </c>
      <c r="B3828" s="469" t="s">
        <v>6206</v>
      </c>
      <c r="C3828" s="458" t="s">
        <v>244</v>
      </c>
      <c r="D3828" s="456">
        <f>IF(Table10[[#This Row],[Current Age]]&gt;19,"Men's",IF(E3828&gt;15,"U19",IF(E3828&gt;13,"U15",IF(E3828&gt;11,"U13",IF(E3828&gt;0,"U11",0)))))</f>
        <v>0</v>
      </c>
      <c r="E3828" s="456">
        <f>IFERROR(IF(Table10[[#This Row],[Year]]&gt;0,$E$1-Table10[[#This Row],[Year]],0),"")</f>
        <v>0</v>
      </c>
      <c r="F3828" s="456"/>
      <c r="G3828" s="456"/>
      <c r="H3828" s="456"/>
    </row>
    <row r="3829" spans="1:8">
      <c r="A3829" s="696">
        <v>4826</v>
      </c>
      <c r="B3829" s="469"/>
      <c r="C3829" s="458"/>
      <c r="D3829" s="456">
        <f>IF(Table10[[#This Row],[Current Age]]&gt;19,"Men's",IF(E3829&gt;15,"U19",IF(E3829&gt;13,"U15",IF(E3829&gt;11,"U13",IF(E3829&gt;0,"U11",0)))))</f>
        <v>0</v>
      </c>
      <c r="E3829" s="456">
        <f>IFERROR(IF(Table10[[#This Row],[Year]]&gt;0,$E$1-Table10[[#This Row],[Year]],0),"")</f>
        <v>0</v>
      </c>
      <c r="F3829" s="456"/>
      <c r="G3829" s="456"/>
      <c r="H3829" s="456">
        <v>1</v>
      </c>
    </row>
    <row r="3830" spans="1:8">
      <c r="A3830" s="696">
        <v>4827</v>
      </c>
      <c r="B3830" s="469"/>
      <c r="C3830" s="458"/>
      <c r="D3830" s="456">
        <f>IF(Table10[[#This Row],[Current Age]]&gt;19,"Men's",IF(E3830&gt;15,"U19",IF(E3830&gt;13,"U15",IF(E3830&gt;11,"U13",IF(E3830&gt;0,"U11",0)))))</f>
        <v>0</v>
      </c>
      <c r="E3830" s="456">
        <f>IFERROR(IF(Table10[[#This Row],[Year]]&gt;0,$E$1-Table10[[#This Row],[Year]],0),"")</f>
        <v>0</v>
      </c>
      <c r="F3830" s="456"/>
      <c r="G3830" s="456"/>
      <c r="H3830" s="456"/>
    </row>
    <row r="3831" spans="1:8">
      <c r="A3831" s="696">
        <v>4828</v>
      </c>
      <c r="B3831" s="469" t="s">
        <v>6227</v>
      </c>
      <c r="C3831" s="458" t="s">
        <v>4720</v>
      </c>
      <c r="D3831" s="456" t="str">
        <f>IF(Table10[[#This Row],[Current Age]]&gt;19,"Men's",IF(E3831&gt;15,"U19",IF(E3831&gt;13,"U15",IF(E3831&gt;11,"U13",IF(E3831&gt;0,"U11",0)))))</f>
        <v>Men's</v>
      </c>
      <c r="E3831" s="456">
        <f>IFERROR(IF(Table10[[#This Row],[Year]]&gt;0,$E$1-Table10[[#This Row],[Year]],0),"")</f>
        <v>45</v>
      </c>
      <c r="F3831" s="456" t="s">
        <v>5121</v>
      </c>
      <c r="G3831" s="456" t="s">
        <v>6290</v>
      </c>
      <c r="H3831" s="456" t="s">
        <v>4267</v>
      </c>
    </row>
    <row r="3832" spans="1:8">
      <c r="A3832" s="696">
        <v>4829</v>
      </c>
      <c r="B3832" s="469" t="s">
        <v>6228</v>
      </c>
      <c r="C3832" s="458" t="s">
        <v>4720</v>
      </c>
      <c r="D3832" s="456" t="str">
        <f>IF(Table10[[#This Row],[Current Age]]&gt;19,"Men's",IF(E3832&gt;15,"U19",IF(E3832&gt;13,"U15",IF(E3832&gt;11,"U13",IF(E3832&gt;0,"U11",0)))))</f>
        <v>Men's</v>
      </c>
      <c r="E3832" s="456">
        <f>IFERROR(IF(Table10[[#This Row],[Year]]&gt;0,$E$1-Table10[[#This Row],[Year]],0),"")</f>
        <v>33</v>
      </c>
      <c r="F3832" s="456" t="s">
        <v>6291</v>
      </c>
      <c r="G3832" s="456" t="s">
        <v>6289</v>
      </c>
      <c r="H3832" s="456" t="s">
        <v>6292</v>
      </c>
    </row>
    <row r="3833" spans="1:8">
      <c r="A3833" s="696">
        <v>4830</v>
      </c>
      <c r="B3833" s="469" t="s">
        <v>6229</v>
      </c>
      <c r="C3833" s="458" t="s">
        <v>4720</v>
      </c>
      <c r="D3833" s="456" t="str">
        <f>IF(Table10[[#This Row],[Current Age]]&gt;19,"Men's",IF(E3833&gt;15,"U19",IF(E3833&gt;13,"U15",IF(E3833&gt;11,"U13",IF(E3833&gt;0,"U11",0)))))</f>
        <v>Men's</v>
      </c>
      <c r="E3833" s="456">
        <f>IFERROR(IF(Table10[[#This Row],[Year]]&gt;0,$E$1-Table10[[#This Row],[Year]],0),"")</f>
        <v>45</v>
      </c>
      <c r="F3833" s="456" t="s">
        <v>5121</v>
      </c>
      <c r="G3833" s="456" t="s">
        <v>6289</v>
      </c>
      <c r="H3833" s="456" t="s">
        <v>4308</v>
      </c>
    </row>
    <row r="3834" spans="1:8">
      <c r="A3834" s="696">
        <v>4831</v>
      </c>
      <c r="B3834" s="469" t="s">
        <v>6230</v>
      </c>
      <c r="C3834" s="458" t="s">
        <v>4720</v>
      </c>
      <c r="D3834" s="456" t="str">
        <f>IF(Table10[[#This Row],[Current Age]]&gt;19,"Men's",IF(E3834&gt;15,"U19",IF(E3834&gt;13,"U15",IF(E3834&gt;11,"U13",IF(E3834&gt;0,"U11",0)))))</f>
        <v>Men's</v>
      </c>
      <c r="E3834" s="456">
        <f>IFERROR(IF(Table10[[#This Row],[Year]]&gt;0,$E$1-Table10[[#This Row],[Year]],0),"")</f>
        <v>63</v>
      </c>
      <c r="F3834" s="456" t="s">
        <v>5147</v>
      </c>
      <c r="G3834" s="456" t="s">
        <v>6293</v>
      </c>
      <c r="H3834" s="456" t="s">
        <v>4264</v>
      </c>
    </row>
    <row r="3835" spans="1:8">
      <c r="A3835" s="696">
        <v>4832</v>
      </c>
      <c r="B3835" s="469" t="s">
        <v>6231</v>
      </c>
      <c r="C3835" s="458" t="s">
        <v>4720</v>
      </c>
      <c r="D3835" s="456" t="str">
        <f>IF(Table10[[#This Row],[Current Age]]&gt;19,"Men's",IF(E3835&gt;15,"U19",IF(E3835&gt;13,"U15",IF(E3835&gt;11,"U13",IF(E3835&gt;0,"U11",0)))))</f>
        <v>Men's</v>
      </c>
      <c r="E3835" s="456">
        <f>IFERROR(IF(Table10[[#This Row],[Year]]&gt;0,$E$1-Table10[[#This Row],[Year]],0),"")</f>
        <v>56</v>
      </c>
      <c r="F3835" s="456" t="s">
        <v>6294</v>
      </c>
      <c r="G3835" s="456" t="s">
        <v>6295</v>
      </c>
      <c r="H3835" s="456" t="s">
        <v>4309</v>
      </c>
    </row>
    <row r="3836" spans="1:8">
      <c r="A3836" s="696">
        <v>4833</v>
      </c>
      <c r="B3836" s="469" t="s">
        <v>6232</v>
      </c>
      <c r="C3836" s="458" t="s">
        <v>4720</v>
      </c>
      <c r="D3836" s="456" t="str">
        <f>IF(Table10[[#This Row],[Current Age]]&gt;19,"Men's",IF(E3836&gt;15,"U19",IF(E3836&gt;13,"U15",IF(E3836&gt;11,"U13",IF(E3836&gt;0,"U11",0)))))</f>
        <v>Men's</v>
      </c>
      <c r="E3836" s="456">
        <f>IFERROR(IF(Table10[[#This Row],[Year]]&gt;0,$E$1-Table10[[#This Row],[Year]],0),"")</f>
        <v>44</v>
      </c>
      <c r="F3836" s="456" t="s">
        <v>6296</v>
      </c>
      <c r="G3836" s="456" t="s">
        <v>6297</v>
      </c>
      <c r="H3836" s="456" t="s">
        <v>6293</v>
      </c>
    </row>
    <row r="3837" spans="1:8">
      <c r="A3837" s="696">
        <v>4834</v>
      </c>
      <c r="B3837" s="469" t="s">
        <v>6233</v>
      </c>
      <c r="C3837" s="458" t="s">
        <v>4720</v>
      </c>
      <c r="D3837" s="456" t="str">
        <f>IF(Table10[[#This Row],[Current Age]]&gt;19,"Men's",IF(E3837&gt;15,"U19",IF(E3837&gt;13,"U15",IF(E3837&gt;11,"U13",IF(E3837&gt;0,"U11",0)))))</f>
        <v>Men's</v>
      </c>
      <c r="E3837" s="456">
        <f>IFERROR(IF(Table10[[#This Row],[Year]]&gt;0,$E$1-Table10[[#This Row],[Year]],0),"")</f>
        <v>57</v>
      </c>
      <c r="F3837" s="456" t="s">
        <v>6298</v>
      </c>
      <c r="G3837" s="456" t="s">
        <v>6295</v>
      </c>
      <c r="H3837" s="456" t="s">
        <v>6299</v>
      </c>
    </row>
    <row r="3838" spans="1:8">
      <c r="A3838" s="696">
        <v>4835</v>
      </c>
      <c r="B3838" s="469" t="s">
        <v>6234</v>
      </c>
      <c r="C3838" s="458" t="s">
        <v>4720</v>
      </c>
      <c r="D3838" s="456" t="str">
        <f>IF(Table10[[#This Row],[Current Age]]&gt;19,"Men's",IF(E3838&gt;15,"U19",IF(E3838&gt;13,"U15",IF(E3838&gt;11,"U13",IF(E3838&gt;0,"U11",0)))))</f>
        <v>Men's</v>
      </c>
      <c r="E3838" s="456">
        <f>IFERROR(IF(Table10[[#This Row],[Year]]&gt;0,$E$1-Table10[[#This Row],[Year]],0),"")</f>
        <v>55</v>
      </c>
      <c r="F3838" s="456" t="s">
        <v>6300</v>
      </c>
      <c r="G3838" s="456" t="s">
        <v>6301</v>
      </c>
      <c r="H3838" s="456" t="s">
        <v>4303</v>
      </c>
    </row>
    <row r="3839" spans="1:8">
      <c r="A3839" s="696">
        <v>4836</v>
      </c>
      <c r="B3839" s="469" t="s">
        <v>6235</v>
      </c>
      <c r="C3839" s="458" t="s">
        <v>4720</v>
      </c>
      <c r="D3839" s="456" t="str">
        <f>IF(Table10[[#This Row],[Current Age]]&gt;19,"Men's",IF(E3839&gt;15,"U19",IF(E3839&gt;13,"U15",IF(E3839&gt;11,"U13",IF(E3839&gt;0,"U11",0)))))</f>
        <v>Men's</v>
      </c>
      <c r="E3839" s="456">
        <f>IFERROR(IF(Table10[[#This Row],[Year]]&gt;0,$E$1-Table10[[#This Row],[Year]],0),"")</f>
        <v>55</v>
      </c>
      <c r="F3839" s="456" t="s">
        <v>6300</v>
      </c>
      <c r="G3839" s="456" t="s">
        <v>6292</v>
      </c>
      <c r="H3839" s="456" t="s">
        <v>4307</v>
      </c>
    </row>
    <row r="3840" spans="1:8">
      <c r="A3840" s="696">
        <v>4837</v>
      </c>
      <c r="B3840" s="469" t="s">
        <v>6236</v>
      </c>
      <c r="C3840" s="458" t="s">
        <v>4720</v>
      </c>
      <c r="D3840" s="456" t="str">
        <f>IF(Table10[[#This Row],[Current Age]]&gt;19,"Men's",IF(E3840&gt;15,"U19",IF(E3840&gt;13,"U15",IF(E3840&gt;11,"U13",IF(E3840&gt;0,"U11",0)))))</f>
        <v>Men's</v>
      </c>
      <c r="E3840" s="456">
        <f>IFERROR(IF(Table10[[#This Row],[Year]]&gt;0,$E$1-Table10[[#This Row],[Year]],0),"")</f>
        <v>51</v>
      </c>
      <c r="F3840" s="456" t="s">
        <v>6303</v>
      </c>
      <c r="G3840" s="456" t="s">
        <v>6297</v>
      </c>
      <c r="H3840" s="456" t="s">
        <v>4308</v>
      </c>
    </row>
    <row r="3841" spans="1:8">
      <c r="A3841" s="696">
        <v>4838</v>
      </c>
      <c r="B3841" s="469" t="s">
        <v>6237</v>
      </c>
      <c r="C3841" s="458" t="s">
        <v>4720</v>
      </c>
      <c r="D3841" s="456" t="str">
        <f>IF(Table10[[#This Row],[Current Age]]&gt;19,"Men's",IF(E3841&gt;15,"U19",IF(E3841&gt;13,"U15",IF(E3841&gt;11,"U13",IF(E3841&gt;0,"U11",0)))))</f>
        <v>Men's</v>
      </c>
      <c r="E3841" s="456">
        <f>IFERROR(IF(Table10[[#This Row],[Year]]&gt;0,$E$1-Table10[[#This Row],[Year]],0),"")</f>
        <v>50</v>
      </c>
      <c r="F3841" s="456" t="s">
        <v>6304</v>
      </c>
      <c r="G3841" s="456" t="s">
        <v>6293</v>
      </c>
      <c r="H3841" s="456" t="s">
        <v>5138</v>
      </c>
    </row>
    <row r="3842" spans="1:8">
      <c r="A3842" s="696">
        <v>4839</v>
      </c>
      <c r="B3842" s="1109" t="s">
        <v>6238</v>
      </c>
      <c r="C3842" s="1110" t="s">
        <v>4720</v>
      </c>
      <c r="D3842" s="456" t="str">
        <f>IF(Table10[[#This Row],[Current Age]]&gt;19,"Men's",IF(E3842&gt;15,"U19",IF(E3842&gt;13,"U15",IF(E3842&gt;11,"U13",IF(E3842&gt;0,"U11",0)))))</f>
        <v>U19</v>
      </c>
      <c r="E3842" s="456">
        <f>IFERROR(IF(Table10[[#This Row],[Year]]&gt;0,$E$1-Table10[[#This Row],[Year]],0),"")</f>
        <v>17</v>
      </c>
      <c r="F3842" s="456" t="s">
        <v>5118</v>
      </c>
      <c r="G3842" s="456" t="s">
        <v>6295</v>
      </c>
      <c r="H3842" s="456" t="s">
        <v>6297</v>
      </c>
    </row>
    <row r="3843" spans="1:8">
      <c r="A3843" s="696">
        <v>4840</v>
      </c>
      <c r="B3843" s="1109" t="s">
        <v>6239</v>
      </c>
      <c r="C3843" s="1110" t="s">
        <v>4720</v>
      </c>
      <c r="D3843" s="456" t="str">
        <f>IF(Table10[[#This Row],[Current Age]]&gt;19,"Men's",IF(E3843&gt;15,"U19",IF(E3843&gt;13,"U15",IF(E3843&gt;11,"U13",IF(E3843&gt;0,"U11",0)))))</f>
        <v>Men's</v>
      </c>
      <c r="E3843" s="456">
        <f>IFERROR(IF(Table10[[#This Row],[Year]]&gt;0,$E$1-Table10[[#This Row],[Year]],0),"")</f>
        <v>61</v>
      </c>
      <c r="F3843" s="456" t="s">
        <v>6305</v>
      </c>
      <c r="G3843" s="456" t="s">
        <v>6292</v>
      </c>
      <c r="H3843" s="456" t="s">
        <v>5130</v>
      </c>
    </row>
    <row r="3844" spans="1:8">
      <c r="A3844" s="696">
        <v>4841</v>
      </c>
      <c r="B3844" s="1109" t="s">
        <v>6240</v>
      </c>
      <c r="C3844" s="1110" t="s">
        <v>4720</v>
      </c>
      <c r="D3844" s="456" t="str">
        <f>IF(Table10[[#This Row],[Current Age]]&gt;19,"Men's",IF(E3844&gt;15,"U19",IF(E3844&gt;13,"U15",IF(E3844&gt;11,"U13",IF(E3844&gt;0,"U11",0)))))</f>
        <v>Men's</v>
      </c>
      <c r="E3844" s="456">
        <f>IFERROR(IF(Table10[[#This Row],[Year]]&gt;0,$E$1-Table10[[#This Row],[Year]],0),"")</f>
        <v>20</v>
      </c>
      <c r="F3844" s="456" t="s">
        <v>6306</v>
      </c>
      <c r="G3844" s="456" t="s">
        <v>4253</v>
      </c>
      <c r="H3844" s="456" t="s">
        <v>4253</v>
      </c>
    </row>
    <row r="3845" spans="1:8">
      <c r="A3845" s="696">
        <v>4842</v>
      </c>
      <c r="B3845" s="1109" t="s">
        <v>6241</v>
      </c>
      <c r="C3845" s="1110" t="s">
        <v>4720</v>
      </c>
      <c r="D3845" s="456" t="str">
        <f>IF(Table10[[#This Row],[Current Age]]&gt;19,"Men's",IF(E3845&gt;15,"U19",IF(E3845&gt;13,"U15",IF(E3845&gt;11,"U13",IF(E3845&gt;0,"U11",0)))))</f>
        <v>Men's</v>
      </c>
      <c r="E3845" s="456">
        <f>IFERROR(IF(Table10[[#This Row],[Year]]&gt;0,$E$1-Table10[[#This Row],[Year]],0),"")</f>
        <v>20</v>
      </c>
      <c r="F3845" s="456" t="s">
        <v>6306</v>
      </c>
      <c r="G3845" s="456" t="s">
        <v>4253</v>
      </c>
      <c r="H3845" s="456" t="s">
        <v>4253</v>
      </c>
    </row>
    <row r="3846" spans="1:8">
      <c r="A3846" s="696">
        <v>4843</v>
      </c>
      <c r="B3846" s="469" t="s">
        <v>6242</v>
      </c>
      <c r="C3846" s="458" t="s">
        <v>4720</v>
      </c>
      <c r="D3846" s="456" t="str">
        <f>IF(Table10[[#This Row],[Current Age]]&gt;19,"Men's",IF(E3846&gt;15,"U19",IF(E3846&gt;13,"U15",IF(E3846&gt;11,"U13",IF(E3846&gt;0,"U11",0)))))</f>
        <v>Men's</v>
      </c>
      <c r="E3846" s="456">
        <f>IFERROR(IF(Table10[[#This Row],[Year]]&gt;0,$E$1-Table10[[#This Row],[Year]],0),"")</f>
        <v>56</v>
      </c>
      <c r="F3846" s="456" t="s">
        <v>6294</v>
      </c>
      <c r="G3846" s="456" t="s">
        <v>4266</v>
      </c>
      <c r="H3846" s="456" t="s">
        <v>6307</v>
      </c>
    </row>
    <row r="3847" spans="1:8">
      <c r="A3847" s="696">
        <v>4844</v>
      </c>
      <c r="B3847" s="469" t="s">
        <v>6243</v>
      </c>
      <c r="C3847" s="458" t="s">
        <v>4720</v>
      </c>
      <c r="D3847" s="456" t="str">
        <f>IF(Table10[[#This Row],[Current Age]]&gt;19,"Men's",IF(E3847&gt;15,"U19",IF(E3847&gt;13,"U15",IF(E3847&gt;11,"U13",IF(E3847&gt;0,"U11",0)))))</f>
        <v>U19</v>
      </c>
      <c r="E3847" s="456">
        <f>IFERROR(IF(Table10[[#This Row],[Year]]&gt;0,$E$1-Table10[[#This Row],[Year]],0),"")</f>
        <v>16</v>
      </c>
      <c r="F3847" s="456" t="s">
        <v>4270</v>
      </c>
      <c r="G3847" s="456" t="s">
        <v>4253</v>
      </c>
      <c r="H3847" s="456" t="s">
        <v>5138</v>
      </c>
    </row>
    <row r="3848" spans="1:8">
      <c r="A3848" s="696">
        <v>4845</v>
      </c>
      <c r="B3848" s="469" t="s">
        <v>6244</v>
      </c>
      <c r="C3848" s="458" t="s">
        <v>4720</v>
      </c>
      <c r="D3848" s="456" t="str">
        <f>IF(Table10[[#This Row],[Current Age]]&gt;19,"Men's",IF(E3848&gt;15,"U19",IF(E3848&gt;13,"U15",IF(E3848&gt;11,"U13",IF(E3848&gt;0,"U11",0)))))</f>
        <v>U19</v>
      </c>
      <c r="E3848" s="456">
        <f>IFERROR(IF(Table10[[#This Row],[Year]]&gt;0,$E$1-Table10[[#This Row],[Year]],0),"")</f>
        <v>16</v>
      </c>
      <c r="F3848" s="456" t="s">
        <v>4270</v>
      </c>
      <c r="G3848" s="456" t="s">
        <v>4253</v>
      </c>
      <c r="H3848" s="456" t="s">
        <v>6301</v>
      </c>
    </row>
    <row r="3849" spans="1:8">
      <c r="A3849" s="696">
        <v>4846</v>
      </c>
      <c r="B3849" s="1109" t="s">
        <v>6245</v>
      </c>
      <c r="C3849" s="1110" t="s">
        <v>4720</v>
      </c>
      <c r="D3849" s="456" t="str">
        <f>IF(Table10[[#This Row],[Current Age]]&gt;19,"Men's",IF(E3849&gt;15,"U19",IF(E3849&gt;13,"U15",IF(E3849&gt;11,"U13",IF(E3849&gt;0,"U11",0)))))</f>
        <v>Men's</v>
      </c>
      <c r="E3849" s="456">
        <f>IFERROR(IF(Table10[[#This Row],[Year]]&gt;0,$E$1-Table10[[#This Row],[Year]],0),"")</f>
        <v>25</v>
      </c>
      <c r="F3849" s="456" t="s">
        <v>6084</v>
      </c>
      <c r="G3849" s="456" t="s">
        <v>6289</v>
      </c>
      <c r="H3849" s="456" t="s">
        <v>6295</v>
      </c>
    </row>
    <row r="3850" spans="1:8">
      <c r="A3850" s="696">
        <v>4847</v>
      </c>
      <c r="B3850" s="1109" t="s">
        <v>6246</v>
      </c>
      <c r="C3850" s="1110" t="s">
        <v>4720</v>
      </c>
      <c r="D3850" s="456" t="str">
        <f>IF(Table10[[#This Row],[Current Age]]&gt;19,"Men's",IF(E3850&gt;15,"U19",IF(E3850&gt;13,"U15",IF(E3850&gt;11,"U13",IF(E3850&gt;0,"U11",0)))))</f>
        <v>Men's</v>
      </c>
      <c r="E3850" s="456">
        <f>IFERROR(IF(Table10[[#This Row],[Year]]&gt;0,$E$1-Table10[[#This Row],[Year]],0),"")</f>
        <v>54</v>
      </c>
      <c r="F3850" s="456" t="s">
        <v>6308</v>
      </c>
      <c r="G3850" s="456" t="s">
        <v>6295</v>
      </c>
      <c r="H3850" s="456" t="s">
        <v>4303</v>
      </c>
    </row>
    <row r="3851" spans="1:8">
      <c r="A3851" s="696">
        <v>4848</v>
      </c>
      <c r="B3851" s="1109" t="s">
        <v>6247</v>
      </c>
      <c r="C3851" s="1110" t="s">
        <v>4720</v>
      </c>
      <c r="D3851" s="456" t="str">
        <f>IF(Table10[[#This Row],[Current Age]]&gt;19,"Men's",IF(E3851&gt;15,"U19",IF(E3851&gt;13,"U15",IF(E3851&gt;11,"U13",IF(E3851&gt;0,"U11",0)))))</f>
        <v>U19</v>
      </c>
      <c r="E3851" s="456">
        <f>IFERROR(IF(Table10[[#This Row],[Year]]&gt;0,$E$1-Table10[[#This Row],[Year]],0),"")</f>
        <v>17</v>
      </c>
      <c r="F3851" s="456" t="s">
        <v>5118</v>
      </c>
      <c r="G3851" s="456" t="s">
        <v>6293</v>
      </c>
      <c r="H3851" s="456" t="s">
        <v>4266</v>
      </c>
    </row>
    <row r="3852" spans="1:8">
      <c r="A3852" s="696">
        <v>4849</v>
      </c>
      <c r="B3852" s="1109" t="s">
        <v>6248</v>
      </c>
      <c r="C3852" s="1110" t="s">
        <v>4720</v>
      </c>
      <c r="D3852" s="456" t="str">
        <f>IF(Table10[[#This Row],[Current Age]]&gt;19,"Men's",IF(E3852&gt;15,"U19",IF(E3852&gt;13,"U15",IF(E3852&gt;11,"U13",IF(E3852&gt;0,"U11",0)))))</f>
        <v>Men's</v>
      </c>
      <c r="E3852" s="456">
        <f>IFERROR(IF(Table10[[#This Row],[Year]]&gt;0,$E$1-Table10[[#This Row],[Year]],0),"")</f>
        <v>56</v>
      </c>
      <c r="F3852" s="456" t="s">
        <v>6294</v>
      </c>
      <c r="G3852" s="456" t="s">
        <v>4266</v>
      </c>
      <c r="H3852" s="456" t="s">
        <v>4303</v>
      </c>
    </row>
    <row r="3853" spans="1:8">
      <c r="A3853" s="696">
        <v>4850</v>
      </c>
      <c r="B3853" s="1109" t="s">
        <v>6249</v>
      </c>
      <c r="C3853" s="1110" t="s">
        <v>4720</v>
      </c>
      <c r="D3853" s="456" t="str">
        <f>IF(Table10[[#This Row],[Current Age]]&gt;19,"Men's",IF(E3853&gt;15,"U19",IF(E3853&gt;13,"U15",IF(E3853&gt;11,"U13",IF(E3853&gt;0,"U11",0)))))</f>
        <v>Men's</v>
      </c>
      <c r="E3853" s="456">
        <f>IFERROR(IF(Table10[[#This Row],[Year]]&gt;0,$E$1-Table10[[#This Row],[Year]],0),"")</f>
        <v>63</v>
      </c>
      <c r="F3853" s="456" t="s">
        <v>5147</v>
      </c>
      <c r="G3853" s="456" t="s">
        <v>6292</v>
      </c>
      <c r="H3853" s="456" t="s">
        <v>4307</v>
      </c>
    </row>
    <row r="3854" spans="1:8">
      <c r="A3854" s="696">
        <v>4851</v>
      </c>
      <c r="B3854" s="1109" t="s">
        <v>6250</v>
      </c>
      <c r="C3854" s="1110" t="s">
        <v>4720</v>
      </c>
      <c r="D3854" s="456" t="str">
        <f>IF(Table10[[#This Row],[Current Age]]&gt;19,"Men's",IF(E3854&gt;15,"U19",IF(E3854&gt;13,"U15",IF(E3854&gt;11,"U13",IF(E3854&gt;0,"U11",0)))))</f>
        <v>Men's</v>
      </c>
      <c r="E3854" s="456">
        <f>IFERROR(IF(Table10[[#This Row],[Year]]&gt;0,$E$1-Table10[[#This Row],[Year]],0),"")</f>
        <v>46</v>
      </c>
      <c r="F3854" s="456" t="s">
        <v>5120</v>
      </c>
      <c r="G3854" s="456" t="s">
        <v>6293</v>
      </c>
      <c r="H3854" s="456" t="s">
        <v>5128</v>
      </c>
    </row>
    <row r="3855" spans="1:8">
      <c r="A3855" s="696">
        <v>4852</v>
      </c>
      <c r="B3855" s="1109" t="s">
        <v>6251</v>
      </c>
      <c r="C3855" s="1110" t="s">
        <v>4720</v>
      </c>
      <c r="D3855" s="456" t="str">
        <f>IF(Table10[[#This Row],[Current Age]]&gt;19,"Men's",IF(E3855&gt;15,"U19",IF(E3855&gt;13,"U15",IF(E3855&gt;11,"U13",IF(E3855&gt;0,"U11",0)))))</f>
        <v>Men's</v>
      </c>
      <c r="E3855" s="456">
        <f>IFERROR(IF(Table10[[#This Row],[Year]]&gt;0,$E$1-Table10[[#This Row],[Year]],0),"")</f>
        <v>30</v>
      </c>
      <c r="F3855" s="456" t="s">
        <v>6309</v>
      </c>
      <c r="G3855" s="456" t="s">
        <v>6292</v>
      </c>
      <c r="H3855" s="456" t="s">
        <v>4303</v>
      </c>
    </row>
    <row r="3856" spans="1:8">
      <c r="A3856" s="696">
        <v>4853</v>
      </c>
      <c r="B3856" s="1109" t="s">
        <v>6252</v>
      </c>
      <c r="C3856" s="1110" t="s">
        <v>4720</v>
      </c>
      <c r="D3856" s="456" t="str">
        <f>IF(Table10[[#This Row],[Current Age]]&gt;19,"Men's",IF(E3856&gt;15,"U19",IF(E3856&gt;13,"U15",IF(E3856&gt;11,"U13",IF(E3856&gt;0,"U11",0)))))</f>
        <v>Men's</v>
      </c>
      <c r="E3856" s="456">
        <f>IFERROR(IF(Table10[[#This Row],[Year]]&gt;0,$E$1-Table10[[#This Row],[Year]],0),"")</f>
        <v>24</v>
      </c>
      <c r="F3856" s="456" t="s">
        <v>4278</v>
      </c>
      <c r="G3856" s="456" t="s">
        <v>6290</v>
      </c>
      <c r="H3856" s="456" t="s">
        <v>4306</v>
      </c>
    </row>
    <row r="3857" spans="1:8">
      <c r="A3857" s="696">
        <v>4854</v>
      </c>
      <c r="B3857" s="1109" t="s">
        <v>6253</v>
      </c>
      <c r="C3857" s="1110" t="s">
        <v>4720</v>
      </c>
      <c r="D3857" s="456" t="str">
        <f>IF(Table10[[#This Row],[Current Age]]&gt;19,"Men's",IF(E3857&gt;15,"U19",IF(E3857&gt;13,"U15",IF(E3857&gt;11,"U13",IF(E3857&gt;0,"U11",0)))))</f>
        <v>Men's</v>
      </c>
      <c r="E3857" s="456">
        <f>IFERROR(IF(Table10[[#This Row],[Year]]&gt;0,$E$1-Table10[[#This Row],[Year]],0),"")</f>
        <v>40</v>
      </c>
      <c r="F3857" s="456" t="s">
        <v>6310</v>
      </c>
      <c r="G3857" s="456" t="s">
        <v>6289</v>
      </c>
      <c r="H3857" s="456" t="s">
        <v>4303</v>
      </c>
    </row>
    <row r="3858" spans="1:8">
      <c r="A3858" s="696">
        <v>4855</v>
      </c>
      <c r="B3858" s="1109" t="s">
        <v>6254</v>
      </c>
      <c r="C3858" s="1110" t="s">
        <v>4720</v>
      </c>
      <c r="D3858" s="456" t="str">
        <f>IF(Table10[[#This Row],[Current Age]]&gt;19,"Men's",IF(E3858&gt;15,"U19",IF(E3858&gt;13,"U15",IF(E3858&gt;11,"U13",IF(E3858&gt;0,"U11",0)))))</f>
        <v>U19</v>
      </c>
      <c r="E3858" s="456">
        <f>IFERROR(IF(Table10[[#This Row],[Year]]&gt;0,$E$1-Table10[[#This Row],[Year]],0),"")</f>
        <v>19</v>
      </c>
      <c r="F3858" s="456" t="s">
        <v>6311</v>
      </c>
      <c r="G3858" s="456" t="s">
        <v>4250</v>
      </c>
      <c r="H3858" s="456" t="s">
        <v>4309</v>
      </c>
    </row>
    <row r="3859" spans="1:8">
      <c r="A3859" s="696">
        <v>4856</v>
      </c>
      <c r="B3859" s="1109" t="s">
        <v>6255</v>
      </c>
      <c r="C3859" s="1110" t="s">
        <v>4720</v>
      </c>
      <c r="D3859" s="456" t="str">
        <f>IF(Table10[[#This Row],[Current Age]]&gt;19,"Men's",IF(E3859&gt;15,"U19",IF(E3859&gt;13,"U15",IF(E3859&gt;11,"U13",IF(E3859&gt;0,"U11",0)))))</f>
        <v>Men's</v>
      </c>
      <c r="E3859" s="456">
        <f>IFERROR(IF(Table10[[#This Row],[Year]]&gt;0,$E$1-Table10[[#This Row],[Year]],0),"")</f>
        <v>22</v>
      </c>
      <c r="F3859" s="456" t="s">
        <v>6312</v>
      </c>
      <c r="G3859" s="456" t="s">
        <v>4266</v>
      </c>
      <c r="H3859" s="456" t="s">
        <v>6292</v>
      </c>
    </row>
    <row r="3860" spans="1:8">
      <c r="A3860" s="696">
        <v>4857</v>
      </c>
      <c r="B3860" s="1109" t="s">
        <v>6256</v>
      </c>
      <c r="C3860" s="1110" t="s">
        <v>4720</v>
      </c>
      <c r="D3860" s="456" t="str">
        <f>IF(Table10[[#This Row],[Current Age]]&gt;19,"Men's",IF(E3860&gt;15,"U19",IF(E3860&gt;13,"U15",IF(E3860&gt;11,"U13",IF(E3860&gt;0,"U11",0)))))</f>
        <v>Men's</v>
      </c>
      <c r="E3860" s="456">
        <f>IFERROR(IF(Table10[[#This Row],[Year]]&gt;0,$E$1-Table10[[#This Row],[Year]],0),"")</f>
        <v>20</v>
      </c>
      <c r="F3860" s="456" t="s">
        <v>6306</v>
      </c>
      <c r="G3860" s="456" t="s">
        <v>4253</v>
      </c>
      <c r="H3860" s="456" t="s">
        <v>6293</v>
      </c>
    </row>
    <row r="3861" spans="1:8">
      <c r="A3861" s="696">
        <v>4858</v>
      </c>
      <c r="B3861" s="1109" t="s">
        <v>6257</v>
      </c>
      <c r="C3861" s="1110" t="s">
        <v>4720</v>
      </c>
      <c r="D3861" s="456" t="str">
        <f>IF(Table10[[#This Row],[Current Age]]&gt;19,"Men's",IF(E3861&gt;15,"U19",IF(E3861&gt;13,"U15",IF(E3861&gt;11,"U13",IF(E3861&gt;0,"U11",0)))))</f>
        <v>Men's</v>
      </c>
      <c r="E3861" s="456">
        <f>IFERROR(IF(Table10[[#This Row],[Year]]&gt;0,$E$1-Table10[[#This Row],[Year]],0),"")</f>
        <v>20</v>
      </c>
      <c r="F3861" s="456" t="s">
        <v>6306</v>
      </c>
      <c r="G3861" s="456" t="s">
        <v>6292</v>
      </c>
      <c r="H3861" s="456" t="s">
        <v>4309</v>
      </c>
    </row>
    <row r="3862" spans="1:8">
      <c r="A3862" s="696">
        <v>4859</v>
      </c>
      <c r="B3862" s="1109" t="s">
        <v>6258</v>
      </c>
      <c r="C3862" s="1110" t="s">
        <v>4720</v>
      </c>
      <c r="D3862" s="456" t="str">
        <f>IF(Table10[[#This Row],[Current Age]]&gt;19,"Men's",IF(E3862&gt;15,"U19",IF(E3862&gt;13,"U15",IF(E3862&gt;11,"U13",IF(E3862&gt;0,"U11",0)))))</f>
        <v>Men's</v>
      </c>
      <c r="E3862" s="456">
        <f>IFERROR(IF(Table10[[#This Row],[Year]]&gt;0,$E$1-Table10[[#This Row],[Year]],0),"")</f>
        <v>20</v>
      </c>
      <c r="F3862" s="456" t="s">
        <v>6306</v>
      </c>
      <c r="G3862" s="456" t="s">
        <v>6297</v>
      </c>
      <c r="H3862" s="456" t="s">
        <v>4267</v>
      </c>
    </row>
    <row r="3863" spans="1:8">
      <c r="A3863" s="696">
        <v>4860</v>
      </c>
      <c r="B3863" s="1109" t="s">
        <v>6259</v>
      </c>
      <c r="C3863" s="1110" t="s">
        <v>4720</v>
      </c>
      <c r="D3863" s="456" t="str">
        <f>IF(Table10[[#This Row],[Current Age]]&gt;19,"Men's",IF(E3863&gt;15,"U19",IF(E3863&gt;13,"U15",IF(E3863&gt;11,"U13",IF(E3863&gt;0,"U11",0)))))</f>
        <v>U19</v>
      </c>
      <c r="E3863" s="456">
        <f>IFERROR(IF(Table10[[#This Row],[Year]]&gt;0,$E$1-Table10[[#This Row],[Year]],0),"")</f>
        <v>18</v>
      </c>
      <c r="F3863" s="456" t="s">
        <v>6313</v>
      </c>
      <c r="G3863" s="456" t="s">
        <v>4266</v>
      </c>
      <c r="H3863" s="456" t="s">
        <v>5130</v>
      </c>
    </row>
    <row r="3864" spans="1:8">
      <c r="A3864" s="696">
        <v>4861</v>
      </c>
      <c r="B3864" s="1109" t="s">
        <v>6260</v>
      </c>
      <c r="C3864" s="1110" t="s">
        <v>4720</v>
      </c>
      <c r="D3864" s="456" t="str">
        <f>IF(Table10[[#This Row],[Current Age]]&gt;19,"Men's",IF(E3864&gt;15,"U19",IF(E3864&gt;13,"U15",IF(E3864&gt;11,"U13",IF(E3864&gt;0,"U11",0)))))</f>
        <v>U11</v>
      </c>
      <c r="E3864" s="456">
        <f>IFERROR(IF(Table10[[#This Row],[Year]]&gt;0,$E$1-Table10[[#This Row],[Year]],0),"")</f>
        <v>11</v>
      </c>
      <c r="F3864" s="456" t="s">
        <v>6314</v>
      </c>
      <c r="G3864" s="456" t="s">
        <v>6299</v>
      </c>
      <c r="H3864" s="456" t="s">
        <v>4251</v>
      </c>
    </row>
    <row r="3865" spans="1:8">
      <c r="A3865" s="696">
        <v>4862</v>
      </c>
      <c r="B3865" s="1109" t="s">
        <v>6261</v>
      </c>
      <c r="C3865" s="1110" t="s">
        <v>4720</v>
      </c>
      <c r="D3865" s="456" t="str">
        <f>IF(Table10[[#This Row],[Current Age]]&gt;19,"Men's",IF(E3865&gt;15,"U19",IF(E3865&gt;13,"U15",IF(E3865&gt;11,"U13",IF(E3865&gt;0,"U11",0)))))</f>
        <v>U13</v>
      </c>
      <c r="E3865" s="456">
        <f>IFERROR(IF(Table10[[#This Row],[Year]]&gt;0,$E$1-Table10[[#This Row],[Year]],0),"")</f>
        <v>12</v>
      </c>
      <c r="F3865" s="456" t="s">
        <v>4252</v>
      </c>
      <c r="G3865" s="456" t="s">
        <v>6293</v>
      </c>
      <c r="H3865" s="456" t="s">
        <v>4306</v>
      </c>
    </row>
    <row r="3866" spans="1:8">
      <c r="A3866" s="696">
        <v>4863</v>
      </c>
      <c r="B3866" s="1109" t="s">
        <v>6262</v>
      </c>
      <c r="C3866" s="1110" t="s">
        <v>4720</v>
      </c>
      <c r="D3866" s="456" t="str">
        <f>IF(Table10[[#This Row],[Current Age]]&gt;19,"Men's",IF(E3866&gt;15,"U19",IF(E3866&gt;13,"U15",IF(E3866&gt;11,"U13",IF(E3866&gt;0,"U11",0)))))</f>
        <v>U13</v>
      </c>
      <c r="E3866" s="456">
        <f>IFERROR(IF(Table10[[#This Row],[Year]]&gt;0,$E$1-Table10[[#This Row],[Year]],0),"")</f>
        <v>13</v>
      </c>
      <c r="F3866" s="456" t="s">
        <v>4262</v>
      </c>
      <c r="G3866" s="456" t="s">
        <v>6295</v>
      </c>
      <c r="H3866" s="456" t="s">
        <v>4308</v>
      </c>
    </row>
    <row r="3867" spans="1:8">
      <c r="A3867" s="696">
        <v>4864</v>
      </c>
      <c r="B3867" s="1109" t="s">
        <v>6263</v>
      </c>
      <c r="C3867" s="1110" t="s">
        <v>4720</v>
      </c>
      <c r="D3867" s="456" t="str">
        <f>IF(Table10[[#This Row],[Current Age]]&gt;19,"Men's",IF(E3867&gt;15,"U19",IF(E3867&gt;13,"U15",IF(E3867&gt;11,"U13",IF(E3867&gt;0,"U11",0)))))</f>
        <v>U15</v>
      </c>
      <c r="E3867" s="456">
        <f>IFERROR(IF(Table10[[#This Row],[Year]]&gt;0,$E$1-Table10[[#This Row],[Year]],0),"")</f>
        <v>14</v>
      </c>
      <c r="F3867" s="456" t="s">
        <v>4261</v>
      </c>
      <c r="G3867" s="456" t="s">
        <v>6297</v>
      </c>
      <c r="H3867" s="456" t="s">
        <v>6301</v>
      </c>
    </row>
    <row r="3868" spans="1:8">
      <c r="A3868" s="696">
        <v>4865</v>
      </c>
      <c r="B3868" s="1109" t="s">
        <v>6264</v>
      </c>
      <c r="C3868" s="1110" t="s">
        <v>4720</v>
      </c>
      <c r="D3868" s="456" t="str">
        <f>IF(Table10[[#This Row],[Current Age]]&gt;19,"Men's",IF(E3868&gt;15,"U19",IF(E3868&gt;13,"U15",IF(E3868&gt;11,"U13",IF(E3868&gt;0,"U11",0)))))</f>
        <v>U15</v>
      </c>
      <c r="E3868" s="456">
        <f>IFERROR(IF(Table10[[#This Row],[Year]]&gt;0,$E$1-Table10[[#This Row],[Year]],0),"")</f>
        <v>14</v>
      </c>
      <c r="F3868" s="456" t="s">
        <v>4261</v>
      </c>
      <c r="G3868" s="456" t="s">
        <v>6289</v>
      </c>
      <c r="H3868" s="456" t="s">
        <v>6297</v>
      </c>
    </row>
    <row r="3869" spans="1:8">
      <c r="A3869" s="696">
        <v>4866</v>
      </c>
      <c r="B3869" s="1109" t="s">
        <v>6265</v>
      </c>
      <c r="C3869" s="1110" t="s">
        <v>4720</v>
      </c>
      <c r="D3869" s="456" t="str">
        <f>IF(Table10[[#This Row],[Current Age]]&gt;19,"Men's",IF(E3869&gt;15,"U19",IF(E3869&gt;13,"U15",IF(E3869&gt;11,"U13",IF(E3869&gt;0,"U11",0)))))</f>
        <v>U11</v>
      </c>
      <c r="E3869" s="456">
        <f>IFERROR(IF(Table10[[#This Row],[Year]]&gt;0,$E$1-Table10[[#This Row],[Year]],0),"")</f>
        <v>11</v>
      </c>
      <c r="F3869" s="456" t="s">
        <v>6314</v>
      </c>
      <c r="G3869" s="456" t="s">
        <v>6301</v>
      </c>
      <c r="H3869" s="456" t="s">
        <v>6299</v>
      </c>
    </row>
    <row r="3870" spans="1:8">
      <c r="A3870" s="696">
        <v>4867</v>
      </c>
      <c r="B3870" s="1109" t="s">
        <v>6266</v>
      </c>
      <c r="C3870" s="1110" t="s">
        <v>4720</v>
      </c>
      <c r="D3870" s="456" t="str">
        <f>IF(Table10[[#This Row],[Current Age]]&gt;19,"Men's",IF(E3870&gt;15,"U19",IF(E3870&gt;13,"U15",IF(E3870&gt;11,"U13",IF(E3870&gt;0,"U11",0)))))</f>
        <v>U11</v>
      </c>
      <c r="E3870" s="456">
        <f>IFERROR(IF(Table10[[#This Row],[Year]]&gt;0,$E$1-Table10[[#This Row],[Year]],0),"")</f>
        <v>11</v>
      </c>
      <c r="F3870" s="456" t="s">
        <v>6314</v>
      </c>
      <c r="G3870" s="456" t="s">
        <v>6299</v>
      </c>
      <c r="H3870" s="456" t="s">
        <v>6290</v>
      </c>
    </row>
    <row r="3871" spans="1:8">
      <c r="A3871" s="696">
        <v>4868</v>
      </c>
      <c r="B3871" s="1109" t="s">
        <v>6267</v>
      </c>
      <c r="C3871" s="1110" t="s">
        <v>4720</v>
      </c>
      <c r="D3871" s="456" t="str">
        <f>IF(Table10[[#This Row],[Current Age]]&gt;19,"Men's",IF(E3871&gt;15,"U19",IF(E3871&gt;13,"U15",IF(E3871&gt;11,"U13",IF(E3871&gt;0,"U11",0)))))</f>
        <v>U13</v>
      </c>
      <c r="E3871" s="456">
        <f>IFERROR(IF(Table10[[#This Row],[Year]]&gt;0,$E$1-Table10[[#This Row],[Year]],0),"")</f>
        <v>13</v>
      </c>
      <c r="F3871" s="456" t="s">
        <v>4262</v>
      </c>
      <c r="G3871" s="456" t="s">
        <v>6301</v>
      </c>
      <c r="H3871" s="456" t="s">
        <v>4251</v>
      </c>
    </row>
    <row r="3872" spans="1:8">
      <c r="A3872" s="696">
        <v>4869</v>
      </c>
      <c r="B3872" s="1109" t="s">
        <v>6268</v>
      </c>
      <c r="C3872" s="1110" t="s">
        <v>4720</v>
      </c>
      <c r="D3872" s="456" t="str">
        <f>IF(Table10[[#This Row],[Current Age]]&gt;19,"Men's",IF(E3872&gt;15,"U19",IF(E3872&gt;13,"U15",IF(E3872&gt;11,"U13",IF(E3872&gt;0,"U11",0)))))</f>
        <v>U11</v>
      </c>
      <c r="E3872" s="456">
        <f>IFERROR(IF(Table10[[#This Row],[Year]]&gt;0,$E$1-Table10[[#This Row],[Year]],0),"")</f>
        <v>9</v>
      </c>
      <c r="F3872" s="456" t="s">
        <v>6315</v>
      </c>
      <c r="G3872" s="456" t="s">
        <v>6290</v>
      </c>
      <c r="H3872" s="456" t="s">
        <v>5138</v>
      </c>
    </row>
    <row r="3873" spans="1:8">
      <c r="A3873" s="696">
        <v>4870</v>
      </c>
      <c r="B3873" s="1109" t="s">
        <v>6269</v>
      </c>
      <c r="C3873" s="1110" t="s">
        <v>4720</v>
      </c>
      <c r="D3873" s="456" t="str">
        <f>IF(Table10[[#This Row],[Current Age]]&gt;19,"Men's",IF(E3873&gt;15,"U19",IF(E3873&gt;13,"U15",IF(E3873&gt;11,"U13",IF(E3873&gt;0,"U11",0)))))</f>
        <v>U13</v>
      </c>
      <c r="E3873" s="456">
        <f>IFERROR(IF(Table10[[#This Row],[Year]]&gt;0,$E$1-Table10[[#This Row],[Year]],0),"")</f>
        <v>12</v>
      </c>
      <c r="F3873" s="456" t="s">
        <v>4252</v>
      </c>
      <c r="G3873" s="456" t="s">
        <v>6295</v>
      </c>
      <c r="H3873" s="456" t="s">
        <v>4253</v>
      </c>
    </row>
    <row r="3874" spans="1:8">
      <c r="A3874" s="696">
        <v>4871</v>
      </c>
      <c r="B3874" s="1109" t="s">
        <v>6270</v>
      </c>
      <c r="C3874" s="1110" t="s">
        <v>4720</v>
      </c>
      <c r="D3874" s="456" t="str">
        <f>IF(Table10[[#This Row],[Current Age]]&gt;19,"Men's",IF(E3874&gt;15,"U19",IF(E3874&gt;13,"U15",IF(E3874&gt;11,"U13",IF(E3874&gt;0,"U11",0)))))</f>
        <v>U13</v>
      </c>
      <c r="E3874" s="456">
        <f>IFERROR(IF(Table10[[#This Row],[Year]]&gt;0,$E$1-Table10[[#This Row],[Year]],0),"")</f>
        <v>12</v>
      </c>
      <c r="F3874" s="456" t="s">
        <v>4252</v>
      </c>
      <c r="G3874" s="456" t="s">
        <v>4250</v>
      </c>
      <c r="H3874" s="456" t="s">
        <v>5112</v>
      </c>
    </row>
    <row r="3875" spans="1:8">
      <c r="A3875" s="696">
        <v>4872</v>
      </c>
      <c r="B3875" s="1109" t="s">
        <v>6271</v>
      </c>
      <c r="C3875" s="1110" t="s">
        <v>4720</v>
      </c>
      <c r="D3875" s="456" t="str">
        <f>IF(Table10[[#This Row],[Current Age]]&gt;19,"Men's",IF(E3875&gt;15,"U19",IF(E3875&gt;13,"U15",IF(E3875&gt;11,"U13",IF(E3875&gt;0,"U11",0)))))</f>
        <v>U13</v>
      </c>
      <c r="E3875" s="456">
        <f>IFERROR(IF(Table10[[#This Row],[Year]]&gt;0,$E$1-Table10[[#This Row],[Year]],0),"")</f>
        <v>13</v>
      </c>
      <c r="F3875" s="456" t="s">
        <v>4262</v>
      </c>
      <c r="G3875" s="456" t="s">
        <v>6301</v>
      </c>
      <c r="H3875" s="456" t="s">
        <v>4249</v>
      </c>
    </row>
    <row r="3876" spans="1:8">
      <c r="A3876" s="696">
        <v>4873</v>
      </c>
      <c r="B3876" s="1109" t="s">
        <v>6272</v>
      </c>
      <c r="C3876" s="1110" t="s">
        <v>4720</v>
      </c>
      <c r="D3876" s="456" t="str">
        <f>IF(Table10[[#This Row],[Current Age]]&gt;19,"Men's",IF(E3876&gt;15,"U19",IF(E3876&gt;13,"U15",IF(E3876&gt;11,"U13",IF(E3876&gt;0,"U11",0)))))</f>
        <v>U11</v>
      </c>
      <c r="E3876" s="456">
        <f>IFERROR(IF(Table10[[#This Row],[Year]]&gt;0,$E$1-Table10[[#This Row],[Year]],0),"")</f>
        <v>11</v>
      </c>
      <c r="F3876" s="456" t="s">
        <v>6314</v>
      </c>
      <c r="G3876" s="456" t="s">
        <v>6301</v>
      </c>
      <c r="H3876" s="456" t="s">
        <v>5133</v>
      </c>
    </row>
    <row r="3877" spans="1:8">
      <c r="A3877" s="696">
        <v>4874</v>
      </c>
      <c r="B3877" s="1109" t="s">
        <v>6273</v>
      </c>
      <c r="C3877" s="1110" t="s">
        <v>4720</v>
      </c>
      <c r="D3877" s="456" t="str">
        <f>IF(Table10[[#This Row],[Current Age]]&gt;19,"Men's",IF(E3877&gt;15,"U19",IF(E3877&gt;13,"U15",IF(E3877&gt;11,"U13",IF(E3877&gt;0,"U11",0)))))</f>
        <v>U11</v>
      </c>
      <c r="E3877" s="456">
        <f>IFERROR(IF(Table10[[#This Row],[Year]]&gt;0,$E$1-Table10[[#This Row],[Year]],0),"")</f>
        <v>11</v>
      </c>
      <c r="F3877" s="456" t="s">
        <v>6314</v>
      </c>
      <c r="G3877" s="456" t="s">
        <v>6301</v>
      </c>
      <c r="H3877" s="456" t="s">
        <v>6299</v>
      </c>
    </row>
    <row r="3878" spans="1:8">
      <c r="A3878" s="696">
        <v>4875</v>
      </c>
      <c r="B3878" s="1109" t="s">
        <v>6274</v>
      </c>
      <c r="C3878" s="1110" t="s">
        <v>4720</v>
      </c>
      <c r="D3878" s="456" t="str">
        <f>IF(Table10[[#This Row],[Current Age]]&gt;19,"Men's",IF(E3878&gt;15,"U19",IF(E3878&gt;13,"U15",IF(E3878&gt;11,"U13",IF(E3878&gt;0,"U11",0)))))</f>
        <v>U13</v>
      </c>
      <c r="E3878" s="456">
        <f>IFERROR(IF(Table10[[#This Row],[Year]]&gt;0,$E$1-Table10[[#This Row],[Year]],0),"")</f>
        <v>13</v>
      </c>
      <c r="F3878" s="456" t="s">
        <v>4262</v>
      </c>
      <c r="G3878" s="456" t="s">
        <v>6297</v>
      </c>
      <c r="H3878" s="456" t="s">
        <v>6307</v>
      </c>
    </row>
    <row r="3879" spans="1:8">
      <c r="A3879" s="696">
        <v>4876</v>
      </c>
      <c r="B3879" s="1109" t="s">
        <v>6275</v>
      </c>
      <c r="C3879" s="1110" t="s">
        <v>4720</v>
      </c>
      <c r="D3879" s="456" t="str">
        <f>IF(Table10[[#This Row],[Current Age]]&gt;19,"Men's",IF(E3879&gt;15,"U19",IF(E3879&gt;13,"U15",IF(E3879&gt;11,"U13",IF(E3879&gt;0,"U11",0)))))</f>
        <v>U13</v>
      </c>
      <c r="E3879" s="456">
        <f>IFERROR(IF(Table10[[#This Row],[Year]]&gt;0,$E$1-Table10[[#This Row],[Year]],0),"")</f>
        <v>12</v>
      </c>
      <c r="F3879" s="456" t="s">
        <v>4252</v>
      </c>
      <c r="G3879" s="456" t="s">
        <v>6297</v>
      </c>
      <c r="H3879" s="456" t="s">
        <v>4303</v>
      </c>
    </row>
    <row r="3880" spans="1:8">
      <c r="A3880" s="696">
        <v>4877</v>
      </c>
      <c r="B3880" s="1109" t="s">
        <v>6276</v>
      </c>
      <c r="C3880" s="1110" t="s">
        <v>4720</v>
      </c>
      <c r="D3880" s="456" t="str">
        <f>IF(Table10[[#This Row],[Current Age]]&gt;19,"Men's",IF(E3880&gt;15,"U19",IF(E3880&gt;13,"U15",IF(E3880&gt;11,"U13",IF(E3880&gt;0,"U11",0)))))</f>
        <v>U13</v>
      </c>
      <c r="E3880" s="456">
        <f>IFERROR(IF(Table10[[#This Row],[Year]]&gt;0,$E$1-Table10[[#This Row],[Year]],0),"")</f>
        <v>12</v>
      </c>
      <c r="F3880" s="456" t="s">
        <v>4252</v>
      </c>
      <c r="G3880" s="456" t="s">
        <v>6297</v>
      </c>
      <c r="H3880" s="456" t="s">
        <v>4303</v>
      </c>
    </row>
    <row r="3881" spans="1:8">
      <c r="A3881" s="696">
        <v>4878</v>
      </c>
      <c r="B3881" s="1109" t="s">
        <v>6277</v>
      </c>
      <c r="C3881" s="1110" t="s">
        <v>4720</v>
      </c>
      <c r="D3881" s="456" t="str">
        <f>IF(Table10[[#This Row],[Current Age]]&gt;19,"Men's",IF(E3881&gt;15,"U19",IF(E3881&gt;13,"U15",IF(E3881&gt;11,"U13",IF(E3881&gt;0,"U11",0)))))</f>
        <v>U13</v>
      </c>
      <c r="E3881" s="456">
        <f>IFERROR(IF(Table10[[#This Row],[Year]]&gt;0,$E$1-Table10[[#This Row],[Year]],0),"")</f>
        <v>13</v>
      </c>
      <c r="F3881" s="456" t="s">
        <v>4262</v>
      </c>
      <c r="G3881" s="456" t="s">
        <v>6293</v>
      </c>
      <c r="H3881" s="456" t="s">
        <v>4306</v>
      </c>
    </row>
    <row r="3882" spans="1:8">
      <c r="A3882" s="696">
        <v>4879</v>
      </c>
      <c r="B3882" s="1109" t="s">
        <v>6278</v>
      </c>
      <c r="C3882" s="1110" t="s">
        <v>4720</v>
      </c>
      <c r="D3882" s="456" t="str">
        <f>IF(Table10[[#This Row],[Current Age]]&gt;19,"Men's",IF(E3882&gt;15,"U19",IF(E3882&gt;13,"U15",IF(E3882&gt;11,"U13",IF(E3882&gt;0,"U11",0)))))</f>
        <v>U13</v>
      </c>
      <c r="E3882" s="456">
        <f>IFERROR(IF(Table10[[#This Row],[Year]]&gt;0,$E$1-Table10[[#This Row],[Year]],0),"")</f>
        <v>13</v>
      </c>
      <c r="F3882" s="456" t="s">
        <v>4262</v>
      </c>
      <c r="G3882" s="456" t="s">
        <v>4266</v>
      </c>
      <c r="H3882" s="456" t="s">
        <v>4303</v>
      </c>
    </row>
    <row r="3883" spans="1:8">
      <c r="A3883" s="696">
        <v>4880</v>
      </c>
      <c r="B3883" s="1109" t="s">
        <v>6279</v>
      </c>
      <c r="C3883" s="1110" t="s">
        <v>4720</v>
      </c>
      <c r="D3883" s="456" t="str">
        <f>IF(Table10[[#This Row],[Current Age]]&gt;19,"Men's",IF(E3883&gt;15,"U19",IF(E3883&gt;13,"U15",IF(E3883&gt;11,"U13",IF(E3883&gt;0,"U11",0)))))</f>
        <v>U15</v>
      </c>
      <c r="E3883" s="456">
        <f>IFERROR(IF(Table10[[#This Row],[Year]]&gt;0,$E$1-Table10[[#This Row],[Year]],0),"")</f>
        <v>14</v>
      </c>
      <c r="F3883" s="456" t="s">
        <v>4261</v>
      </c>
      <c r="G3883" s="456" t="s">
        <v>4250</v>
      </c>
      <c r="H3883" s="456" t="s">
        <v>4250</v>
      </c>
    </row>
    <row r="3884" spans="1:8">
      <c r="A3884" s="696">
        <v>4881</v>
      </c>
      <c r="B3884" s="1109" t="s">
        <v>6280</v>
      </c>
      <c r="C3884" s="1110" t="s">
        <v>4720</v>
      </c>
      <c r="D3884" s="456" t="str">
        <f>IF(Table10[[#This Row],[Current Age]]&gt;19,"Men's",IF(E3884&gt;15,"U19",IF(E3884&gt;13,"U15",IF(E3884&gt;11,"U13",IF(E3884&gt;0,"U11",0)))))</f>
        <v>U15</v>
      </c>
      <c r="E3884" s="456">
        <f>IFERROR(IF(Table10[[#This Row],[Year]]&gt;0,$E$1-Table10[[#This Row],[Year]],0),"")</f>
        <v>15</v>
      </c>
      <c r="F3884" s="456" t="s">
        <v>4265</v>
      </c>
      <c r="G3884" s="456" t="s">
        <v>6290</v>
      </c>
      <c r="H3884" s="456" t="s">
        <v>6290</v>
      </c>
    </row>
    <row r="3885" spans="1:8">
      <c r="A3885" s="696">
        <v>4882</v>
      </c>
      <c r="B3885" s="1109" t="s">
        <v>6281</v>
      </c>
      <c r="C3885" s="1110" t="s">
        <v>4720</v>
      </c>
      <c r="D3885" s="456" t="str">
        <f>IF(Table10[[#This Row],[Current Age]]&gt;19,"Men's",IF(E3885&gt;15,"U19",IF(E3885&gt;13,"U15",IF(E3885&gt;11,"U13",IF(E3885&gt;0,"U11",0)))))</f>
        <v>U19</v>
      </c>
      <c r="E3885" s="456">
        <f>IFERROR(IF(Table10[[#This Row],[Year]]&gt;0,$E$1-Table10[[#This Row],[Year]],0),"")</f>
        <v>16</v>
      </c>
      <c r="F3885" s="456" t="s">
        <v>4270</v>
      </c>
      <c r="G3885" s="456" t="s">
        <v>4250</v>
      </c>
      <c r="H3885" s="456" t="s">
        <v>5112</v>
      </c>
    </row>
    <row r="3886" spans="1:8">
      <c r="A3886" s="696">
        <v>4883</v>
      </c>
      <c r="B3886" s="1109" t="s">
        <v>6282</v>
      </c>
      <c r="C3886" s="1110" t="s">
        <v>4720</v>
      </c>
      <c r="D3886" s="456" t="str">
        <f>IF(Table10[[#This Row],[Current Age]]&gt;19,"Men's",IF(E3886&gt;15,"U19",IF(E3886&gt;13,"U15",IF(E3886&gt;11,"U13",IF(E3886&gt;0,"U11",0)))))</f>
        <v>U15</v>
      </c>
      <c r="E3886" s="456">
        <f>IFERROR(IF(Table10[[#This Row],[Year]]&gt;0,$E$1-Table10[[#This Row],[Year]],0),"")</f>
        <v>14</v>
      </c>
      <c r="F3886" s="456" t="s">
        <v>4261</v>
      </c>
      <c r="G3886" s="456" t="s">
        <v>6289</v>
      </c>
      <c r="H3886" s="456" t="s">
        <v>6289</v>
      </c>
    </row>
    <row r="3887" spans="1:8">
      <c r="A3887" s="696">
        <v>4884</v>
      </c>
      <c r="B3887" s="1109" t="s">
        <v>6283</v>
      </c>
      <c r="C3887" s="1110" t="s">
        <v>4720</v>
      </c>
      <c r="D3887" s="456" t="str">
        <f>IF(Table10[[#This Row],[Current Age]]&gt;19,"Men's",IF(E3887&gt;15,"U19",IF(E3887&gt;13,"U15",IF(E3887&gt;11,"U13",IF(E3887&gt;0,"U11",0)))))</f>
        <v>U15</v>
      </c>
      <c r="E3887" s="456">
        <f>IFERROR(IF(Table10[[#This Row],[Year]]&gt;0,$E$1-Table10[[#This Row],[Year]],0),"")</f>
        <v>14</v>
      </c>
      <c r="F3887" s="456" t="s">
        <v>4261</v>
      </c>
      <c r="G3887" s="456" t="s">
        <v>6290</v>
      </c>
      <c r="H3887" s="456" t="s">
        <v>5133</v>
      </c>
    </row>
    <row r="3888" spans="1:8">
      <c r="A3888" s="696">
        <v>4885</v>
      </c>
      <c r="B3888" s="1109" t="s">
        <v>6284</v>
      </c>
      <c r="C3888" s="1110" t="s">
        <v>4720</v>
      </c>
      <c r="D3888" s="456" t="str">
        <f>IF(Table10[[#This Row],[Current Age]]&gt;19,"Men's",IF(E3888&gt;15,"U19",IF(E3888&gt;13,"U15",IF(E3888&gt;11,"U13",IF(E3888&gt;0,"U11",0)))))</f>
        <v>U15</v>
      </c>
      <c r="E3888" s="456">
        <f>IFERROR(IF(Table10[[#This Row],[Year]]&gt;0,$E$1-Table10[[#This Row],[Year]],0),"")</f>
        <v>14</v>
      </c>
      <c r="F3888" s="456" t="s">
        <v>4261</v>
      </c>
      <c r="G3888" s="456" t="s">
        <v>6292</v>
      </c>
      <c r="H3888" s="456" t="s">
        <v>5112</v>
      </c>
    </row>
    <row r="3889" spans="1:8">
      <c r="A3889" s="696">
        <v>4886</v>
      </c>
      <c r="B3889" s="1109" t="s">
        <v>6285</v>
      </c>
      <c r="C3889" s="1110" t="s">
        <v>4720</v>
      </c>
      <c r="D3889" s="456" t="str">
        <f>IF(Table10[[#This Row],[Current Age]]&gt;19,"Men's",IF(E3889&gt;15,"U19",IF(E3889&gt;13,"U15",IF(E3889&gt;11,"U13",IF(E3889&gt;0,"U11",0)))))</f>
        <v>U19</v>
      </c>
      <c r="E3889" s="456">
        <f>IFERROR(IF(Table10[[#This Row],[Year]]&gt;0,$E$1-Table10[[#This Row],[Year]],0),"")</f>
        <v>16</v>
      </c>
      <c r="F3889" s="456" t="s">
        <v>4270</v>
      </c>
      <c r="G3889" s="456" t="s">
        <v>6301</v>
      </c>
      <c r="H3889" s="456" t="s">
        <v>6292</v>
      </c>
    </row>
    <row r="3890" spans="1:8">
      <c r="A3890" s="696">
        <v>4887</v>
      </c>
      <c r="B3890" s="1109" t="s">
        <v>6286</v>
      </c>
      <c r="C3890" s="1110" t="s">
        <v>4720</v>
      </c>
      <c r="D3890" s="456" t="str">
        <f>IF(Table10[[#This Row],[Current Age]]&gt;19,"Men's",IF(E3890&gt;15,"U19",IF(E3890&gt;13,"U15",IF(E3890&gt;11,"U13",IF(E3890&gt;0,"U11",0)))))</f>
        <v>U15</v>
      </c>
      <c r="E3890" s="456">
        <f>IFERROR(IF(Table10[[#This Row],[Year]]&gt;0,$E$1-Table10[[#This Row],[Year]],0),"")</f>
        <v>15</v>
      </c>
      <c r="F3890" s="456" t="s">
        <v>4265</v>
      </c>
      <c r="G3890" s="456" t="s">
        <v>4253</v>
      </c>
      <c r="H3890" s="456" t="s">
        <v>6301</v>
      </c>
    </row>
    <row r="3891" spans="1:8">
      <c r="A3891" s="696">
        <v>4888</v>
      </c>
      <c r="B3891" s="1109" t="s">
        <v>6287</v>
      </c>
      <c r="C3891" s="1110" t="s">
        <v>4720</v>
      </c>
      <c r="D3891" s="456" t="str">
        <f>IF(Table10[[#This Row],[Current Age]]&gt;19,"Men's",IF(E3891&gt;15,"U19",IF(E3891&gt;13,"U15",IF(E3891&gt;11,"U13",IF(E3891&gt;0,"U11",0)))))</f>
        <v>U19</v>
      </c>
      <c r="E3891" s="456">
        <f>IFERROR(IF(Table10[[#This Row],[Year]]&gt;0,$E$1-Table10[[#This Row],[Year]],0),"")</f>
        <v>16</v>
      </c>
      <c r="F3891" s="456" t="s">
        <v>4270</v>
      </c>
      <c r="G3891" s="456" t="s">
        <v>6297</v>
      </c>
      <c r="H3891" s="456" t="s">
        <v>6293</v>
      </c>
    </row>
    <row r="3892" spans="1:8">
      <c r="A3892" s="696">
        <v>4889</v>
      </c>
      <c r="B3892" s="1109" t="s">
        <v>6288</v>
      </c>
      <c r="C3892" s="1110" t="s">
        <v>4720</v>
      </c>
      <c r="D3892" s="456" t="str">
        <f>IF(Table10[[#This Row],[Current Age]]&gt;19,"Men's",IF(E3892&gt;15,"U19",IF(E3892&gt;13,"U15",IF(E3892&gt;11,"U13",IF(E3892&gt;0,"U11",0)))))</f>
        <v>Men's</v>
      </c>
      <c r="E3892" s="456">
        <f>IFERROR(IF(Table10[[#This Row],[Year]]&gt;0,$E$1-Table10[[#This Row],[Year]],0),"")</f>
        <v>20</v>
      </c>
      <c r="F3892" s="456" t="s">
        <v>6306</v>
      </c>
      <c r="G3892" s="456" t="s">
        <v>6289</v>
      </c>
      <c r="H3892" s="456" t="s">
        <v>4250</v>
      </c>
    </row>
    <row r="3893" spans="1:8">
      <c r="A3893" s="696">
        <v>4890</v>
      </c>
      <c r="B3893" s="1115" t="s">
        <v>6321</v>
      </c>
      <c r="C3893" s="1116" t="s">
        <v>4720</v>
      </c>
      <c r="D3893" s="456" t="str">
        <f>IF(Table10[[#This Row],[Current Age]]&gt;19,"Men's",IF(E3893&gt;15,"U19",IF(E3893&gt;13,"U15",IF(E3893&gt;11,"U13",IF(E3893&gt;0,"U11",0)))))</f>
        <v>U19</v>
      </c>
      <c r="E3893" s="456">
        <f>IFERROR(IF(Table10[[#This Row],[Year]]&gt;0,$E$1-Table10[[#This Row],[Year]],0),"")</f>
        <v>17</v>
      </c>
      <c r="F3893" s="456" t="s">
        <v>5118</v>
      </c>
      <c r="G3893" s="456" t="s">
        <v>6299</v>
      </c>
      <c r="H3893" s="456" t="s">
        <v>6290</v>
      </c>
    </row>
    <row r="3894" spans="1:8">
      <c r="A3894" s="696">
        <v>4891</v>
      </c>
      <c r="B3894" s="1115" t="s">
        <v>6316</v>
      </c>
      <c r="C3894" s="1116" t="s">
        <v>4720</v>
      </c>
      <c r="D3894" s="456" t="str">
        <f>IF(Table10[[#This Row],[Current Age]]&gt;19,"Men's",IF(E3894&gt;15,"U19",IF(E3894&gt;13,"U15",IF(E3894&gt;11,"U13",IF(E3894&gt;0,"U11",0)))))</f>
        <v>U19</v>
      </c>
      <c r="E3894" s="456">
        <f>IFERROR(IF(Table10[[#This Row],[Year]]&gt;0,$E$1-Table10[[#This Row],[Year]],0),"")</f>
        <v>17</v>
      </c>
      <c r="F3894" s="456" t="s">
        <v>5118</v>
      </c>
      <c r="G3894" s="456" t="s">
        <v>6299</v>
      </c>
      <c r="H3894" s="456" t="s">
        <v>6290</v>
      </c>
    </row>
    <row r="3895" spans="1:8">
      <c r="A3895" s="696">
        <v>4892</v>
      </c>
      <c r="B3895" s="1115" t="s">
        <v>6317</v>
      </c>
      <c r="C3895" s="1116" t="s">
        <v>4720</v>
      </c>
      <c r="D3895" s="456" t="str">
        <f>IF(Table10[[#This Row],[Current Age]]&gt;19,"Men's",IF(E3895&gt;15,"U19",IF(E3895&gt;13,"U15",IF(E3895&gt;11,"U13",IF(E3895&gt;0,"U11",0)))))</f>
        <v>U19</v>
      </c>
      <c r="E3895" s="456">
        <f>IFERROR(IF(Table10[[#This Row],[Year]]&gt;0,$E$1-Table10[[#This Row],[Year]],0),"")</f>
        <v>19</v>
      </c>
      <c r="F3895" s="456" t="s">
        <v>6311</v>
      </c>
      <c r="G3895" s="456" t="s">
        <v>6307</v>
      </c>
      <c r="H3895" s="456" t="s">
        <v>4250</v>
      </c>
    </row>
    <row r="3896" spans="1:8">
      <c r="A3896" s="696">
        <v>4893</v>
      </c>
      <c r="B3896" s="1115" t="s">
        <v>6318</v>
      </c>
      <c r="C3896" s="1116" t="s">
        <v>4720</v>
      </c>
      <c r="D3896" s="456" t="str">
        <f>IF(Table10[[#This Row],[Current Age]]&gt;19,"Men's",IF(E3896&gt;15,"U19",IF(E3896&gt;13,"U15",IF(E3896&gt;11,"U13",IF(E3896&gt;0,"U11",0)))))</f>
        <v>U19</v>
      </c>
      <c r="E3896" s="456">
        <f>IFERROR(IF(Table10[[#This Row],[Year]]&gt;0,$E$1-Table10[[#This Row],[Year]],0),"")</f>
        <v>16</v>
      </c>
      <c r="F3896" s="456" t="s">
        <v>4270</v>
      </c>
      <c r="G3896" s="456" t="s">
        <v>6299</v>
      </c>
      <c r="H3896" s="456" t="s">
        <v>4309</v>
      </c>
    </row>
    <row r="3897" spans="1:8">
      <c r="A3897" s="696">
        <v>4894</v>
      </c>
      <c r="B3897" s="1115" t="s">
        <v>6319</v>
      </c>
      <c r="C3897" s="1116" t="s">
        <v>4720</v>
      </c>
      <c r="D3897" s="456" t="str">
        <f>IF(Table10[[#This Row],[Current Age]]&gt;19,"Men's",IF(E3897&gt;15,"U19",IF(E3897&gt;13,"U15",IF(E3897&gt;11,"U13",IF(E3897&gt;0,"U11",0)))))</f>
        <v>Men's</v>
      </c>
      <c r="E3897" s="456">
        <f>IFERROR(IF(Table10[[#This Row],[Year]]&gt;0,$E$1-Table10[[#This Row],[Year]],0),"")</f>
        <v>20</v>
      </c>
      <c r="F3897" s="456" t="s">
        <v>6306</v>
      </c>
      <c r="G3897" s="456" t="s">
        <v>6301</v>
      </c>
      <c r="H3897" s="456" t="s">
        <v>4303</v>
      </c>
    </row>
    <row r="3898" spans="1:8">
      <c r="A3898" s="696">
        <v>4895</v>
      </c>
      <c r="B3898" s="1115" t="s">
        <v>6320</v>
      </c>
      <c r="C3898" s="1116" t="s">
        <v>4720</v>
      </c>
      <c r="D3898" s="456" t="str">
        <f>IF(Table10[[#This Row],[Current Age]]&gt;19,"Men's",IF(E3898&gt;15,"U19",IF(E3898&gt;13,"U15",IF(E3898&gt;11,"U13",IF(E3898&gt;0,"U11",0)))))</f>
        <v>U19</v>
      </c>
      <c r="E3898" s="456">
        <f>IFERROR(IF(Table10[[#This Row],[Year]]&gt;0,$E$1-Table10[[#This Row],[Year]],0),"")</f>
        <v>19</v>
      </c>
      <c r="F3898" s="456" t="s">
        <v>6311</v>
      </c>
      <c r="G3898" s="456" t="s">
        <v>6292</v>
      </c>
      <c r="H3898" s="456" t="s">
        <v>4323</v>
      </c>
    </row>
    <row r="3899" spans="1:8">
      <c r="A3899" s="696">
        <v>4896</v>
      </c>
      <c r="B3899" s="469"/>
      <c r="C3899" s="458"/>
      <c r="D3899" s="456">
        <f>IF(Table10[[#This Row],[Current Age]]&gt;19,"Men's",IF(E3899&gt;15,"U19",IF(E3899&gt;13,"U15",IF(E3899&gt;11,"U13",IF(E3899&gt;0,"U11",0)))))</f>
        <v>0</v>
      </c>
      <c r="E3899" s="456">
        <f>IFERROR(IF(Table10[[#This Row],[Year]]&gt;0,$E$1-Table10[[#This Row],[Year]],0),"")</f>
        <v>0</v>
      </c>
      <c r="F3899" s="456"/>
      <c r="G3899" s="456"/>
      <c r="H3899" s="456"/>
    </row>
    <row r="3900" spans="1:8">
      <c r="A3900" s="696">
        <v>4897</v>
      </c>
      <c r="B3900" s="469"/>
      <c r="C3900" s="458"/>
      <c r="D3900" s="456">
        <f>IF(Table10[[#This Row],[Current Age]]&gt;19,"Men's",IF(E3900&gt;15,"U19",IF(E3900&gt;13,"U15",IF(E3900&gt;11,"U13",IF(E3900&gt;0,"U11",0)))))</f>
        <v>0</v>
      </c>
      <c r="E3900" s="456">
        <f>IFERROR(IF(Table10[[#This Row],[Year]]&gt;0,$E$1-Table10[[#This Row],[Year]],0),"")</f>
        <v>0</v>
      </c>
      <c r="F3900" s="456"/>
      <c r="G3900" s="456"/>
      <c r="H3900" s="456"/>
    </row>
    <row r="3901" spans="1:8">
      <c r="A3901" s="696">
        <v>4898</v>
      </c>
      <c r="B3901" s="469"/>
      <c r="C3901" s="458"/>
      <c r="D3901" s="456">
        <f>IF(Table10[[#This Row],[Current Age]]&gt;19,"Men's",IF(E3901&gt;15,"U19",IF(E3901&gt;13,"U15",IF(E3901&gt;11,"U13",IF(E3901&gt;0,"U11",0)))))</f>
        <v>0</v>
      </c>
      <c r="E3901" s="456">
        <f>IFERROR(IF(Table10[[#This Row],[Year]]&gt;0,$E$1-Table10[[#This Row],[Year]],0),"")</f>
        <v>0</v>
      </c>
      <c r="F3901" s="456"/>
      <c r="G3901" s="456"/>
      <c r="H3901" s="456"/>
    </row>
    <row r="3902" spans="1:8">
      <c r="A3902" s="696">
        <v>4899</v>
      </c>
      <c r="B3902" s="469"/>
      <c r="C3902" s="458"/>
      <c r="D3902" s="456">
        <f>IF(Table10[[#This Row],[Current Age]]&gt;19,"Men's",IF(E3902&gt;15,"U19",IF(E3902&gt;13,"U15",IF(E3902&gt;11,"U13",IF(E3902&gt;0,"U11",0)))))</f>
        <v>0</v>
      </c>
      <c r="E3902" s="456">
        <f>IFERROR(IF(Table10[[#This Row],[Year]]&gt;0,$E$1-Table10[[#This Row],[Year]],0),"")</f>
        <v>0</v>
      </c>
      <c r="F3902" s="456"/>
      <c r="G3902" s="456"/>
      <c r="H3902" s="456"/>
    </row>
    <row r="3903" spans="1:8">
      <c r="A3903" s="696">
        <v>4900</v>
      </c>
      <c r="B3903" s="469"/>
      <c r="C3903" s="458"/>
      <c r="D3903" s="456">
        <f>IF(Table10[[#This Row],[Current Age]]&gt;19,"Men's",IF(E3903&gt;15,"U19",IF(E3903&gt;13,"U15",IF(E3903&gt;11,"U13",IF(E3903&gt;0,"U11",0)))))</f>
        <v>0</v>
      </c>
      <c r="E3903" s="456">
        <f>IFERROR(IF(Table10[[#This Row],[Year]]&gt;0,$E$1-Table10[[#This Row],[Year]],0),"")</f>
        <v>0</v>
      </c>
      <c r="F3903" s="456"/>
      <c r="G3903" s="456"/>
      <c r="H3903" s="456"/>
    </row>
    <row r="3904" spans="1:8">
      <c r="A3904" s="696">
        <v>4901</v>
      </c>
      <c r="B3904" s="469"/>
      <c r="C3904" s="458"/>
      <c r="D3904" s="456">
        <f>IF(Table10[[#This Row],[Current Age]]&gt;19,"Men's",IF(E3904&gt;15,"U19",IF(E3904&gt;13,"U15",IF(E3904&gt;11,"U13",IF(E3904&gt;0,"U11",0)))))</f>
        <v>0</v>
      </c>
      <c r="E3904" s="456">
        <f>IFERROR(IF(Table10[[#This Row],[Year]]&gt;0,$E$1-Table10[[#This Row],[Year]],0),"")</f>
        <v>0</v>
      </c>
      <c r="F3904" s="456"/>
      <c r="G3904" s="456"/>
      <c r="H3904" s="456"/>
    </row>
    <row r="3905" spans="1:8">
      <c r="A3905" s="696">
        <v>4902</v>
      </c>
      <c r="B3905" s="469"/>
      <c r="C3905" s="458"/>
      <c r="D3905" s="456">
        <f>IF(Table10[[#This Row],[Current Age]]&gt;19,"Men's",IF(E3905&gt;15,"U19",IF(E3905&gt;13,"U15",IF(E3905&gt;11,"U13",IF(E3905&gt;0,"U11",0)))))</f>
        <v>0</v>
      </c>
      <c r="E3905" s="456">
        <f>IFERROR(IF(Table10[[#This Row],[Year]]&gt;0,$E$1-Table10[[#This Row],[Year]],0),"")</f>
        <v>0</v>
      </c>
      <c r="F3905" s="456"/>
      <c r="G3905" s="456"/>
      <c r="H3905" s="456"/>
    </row>
    <row r="3906" spans="1:8">
      <c r="A3906" s="696">
        <v>4903</v>
      </c>
      <c r="B3906" s="469"/>
      <c r="C3906" s="458"/>
      <c r="D3906" s="456">
        <f>IF(Table10[[#This Row],[Current Age]]&gt;19,"Men's",IF(E3906&gt;15,"U19",IF(E3906&gt;13,"U15",IF(E3906&gt;11,"U13",IF(E3906&gt;0,"U11",0)))))</f>
        <v>0</v>
      </c>
      <c r="E3906" s="456">
        <f>IFERROR(IF(Table10[[#This Row],[Year]]&gt;0,$E$1-Table10[[#This Row],[Year]],0),"")</f>
        <v>0</v>
      </c>
      <c r="F3906" s="456"/>
      <c r="G3906" s="456"/>
      <c r="H3906" s="456"/>
    </row>
    <row r="3907" spans="1:8">
      <c r="A3907" s="696">
        <v>4904</v>
      </c>
      <c r="B3907" s="469"/>
      <c r="C3907" s="458"/>
      <c r="D3907" s="456">
        <f>IF(Table10[[#This Row],[Current Age]]&gt;19,"Men's",IF(E3907&gt;15,"U19",IF(E3907&gt;13,"U15",IF(E3907&gt;11,"U13",IF(E3907&gt;0,"U11",0)))))</f>
        <v>0</v>
      </c>
      <c r="E3907" s="456">
        <f>IFERROR(IF(Table10[[#This Row],[Year]]&gt;0,$E$1-Table10[[#This Row],[Year]],0),"")</f>
        <v>0</v>
      </c>
      <c r="F3907" s="456"/>
      <c r="G3907" s="456"/>
      <c r="H3907" s="456"/>
    </row>
    <row r="3908" spans="1:8">
      <c r="A3908" s="696">
        <v>4905</v>
      </c>
      <c r="B3908" s="469"/>
      <c r="C3908" s="458"/>
      <c r="D3908" s="456">
        <f>IF(Table10[[#This Row],[Current Age]]&gt;19,"Men's",IF(E3908&gt;15,"U19",IF(E3908&gt;13,"U15",IF(E3908&gt;11,"U13",IF(E3908&gt;0,"U11",0)))))</f>
        <v>0</v>
      </c>
      <c r="E3908" s="456">
        <f>IFERROR(IF(Table10[[#This Row],[Year]]&gt;0,$E$1-Table10[[#This Row],[Year]],0),"")</f>
        <v>0</v>
      </c>
      <c r="F3908" s="456"/>
      <c r="G3908" s="456"/>
      <c r="H3908" s="456"/>
    </row>
    <row r="3909" spans="1:8">
      <c r="A3909" s="696">
        <v>4906</v>
      </c>
      <c r="B3909" s="469"/>
      <c r="C3909" s="458"/>
      <c r="D3909" s="456">
        <f>IF(Table10[[#This Row],[Current Age]]&gt;19,"Men's",IF(E3909&gt;15,"U19",IF(E3909&gt;13,"U15",IF(E3909&gt;11,"U13",IF(E3909&gt;0,"U11",0)))))</f>
        <v>0</v>
      </c>
      <c r="E3909" s="456">
        <f>IFERROR(IF(Table10[[#This Row],[Year]]&gt;0,$E$1-Table10[[#This Row],[Year]],0),"")</f>
        <v>0</v>
      </c>
      <c r="F3909" s="456"/>
      <c r="G3909" s="456"/>
      <c r="H3909" s="456"/>
    </row>
    <row r="3910" spans="1:8">
      <c r="A3910" s="696">
        <v>4907</v>
      </c>
      <c r="B3910" s="469"/>
      <c r="C3910" s="458"/>
      <c r="D3910" s="456">
        <f>IF(Table10[[#This Row],[Current Age]]&gt;19,"Men's",IF(E3910&gt;15,"U19",IF(E3910&gt;13,"U15",IF(E3910&gt;11,"U13",IF(E3910&gt;0,"U11",0)))))</f>
        <v>0</v>
      </c>
      <c r="E3910" s="456">
        <f>IFERROR(IF(Table10[[#This Row],[Year]]&gt;0,$E$1-Table10[[#This Row],[Year]],0),"")</f>
        <v>0</v>
      </c>
      <c r="F3910" s="456"/>
      <c r="G3910" s="456"/>
      <c r="H3910" s="456"/>
    </row>
    <row r="3911" spans="1:8">
      <c r="A3911" s="696">
        <v>4908</v>
      </c>
      <c r="B3911" s="469"/>
      <c r="C3911" s="458"/>
      <c r="D3911" s="456">
        <f>IF(Table10[[#This Row],[Current Age]]&gt;19,"Men's",IF(E3911&gt;15,"U19",IF(E3911&gt;13,"U15",IF(E3911&gt;11,"U13",IF(E3911&gt;0,"U11",0)))))</f>
        <v>0</v>
      </c>
      <c r="E3911" s="456">
        <f>IFERROR(IF(Table10[[#This Row],[Year]]&gt;0,$E$1-Table10[[#This Row],[Year]],0),"")</f>
        <v>0</v>
      </c>
      <c r="F3911" s="456"/>
      <c r="G3911" s="456"/>
      <c r="H3911" s="456"/>
    </row>
    <row r="3912" spans="1:8">
      <c r="A3912" s="696">
        <v>4909</v>
      </c>
      <c r="B3912" s="469"/>
      <c r="C3912" s="458"/>
      <c r="D3912" s="456">
        <f>IF(Table10[[#This Row],[Current Age]]&gt;19,"Men's",IF(E3912&gt;15,"U19",IF(E3912&gt;13,"U15",IF(E3912&gt;11,"U13",IF(E3912&gt;0,"U11",0)))))</f>
        <v>0</v>
      </c>
      <c r="E3912" s="456">
        <f>IFERROR(IF(Table10[[#This Row],[Year]]&gt;0,$E$1-Table10[[#This Row],[Year]],0),"")</f>
        <v>0</v>
      </c>
      <c r="F3912" s="456"/>
      <c r="G3912" s="456"/>
      <c r="H3912" s="456"/>
    </row>
    <row r="3913" spans="1:8">
      <c r="A3913" s="696">
        <v>4910</v>
      </c>
      <c r="B3913" s="469"/>
      <c r="C3913" s="458"/>
      <c r="D3913" s="456">
        <f>IF(Table10[[#This Row],[Current Age]]&gt;19,"Men's",IF(E3913&gt;15,"U19",IF(E3913&gt;13,"U15",IF(E3913&gt;11,"U13",IF(E3913&gt;0,"U11",0)))))</f>
        <v>0</v>
      </c>
      <c r="E3913" s="456">
        <f>IFERROR(IF(Table10[[#This Row],[Year]]&gt;0,$E$1-Table10[[#This Row],[Year]],0),"")</f>
        <v>0</v>
      </c>
      <c r="F3913" s="456"/>
      <c r="G3913" s="456"/>
      <c r="H3913" s="456"/>
    </row>
    <row r="3914" spans="1:8">
      <c r="A3914" s="696">
        <v>4911</v>
      </c>
      <c r="B3914" s="469"/>
      <c r="C3914" s="458"/>
      <c r="D3914" s="456">
        <f>IF(Table10[[#This Row],[Current Age]]&gt;19,"Men's",IF(E3914&gt;15,"U19",IF(E3914&gt;13,"U15",IF(E3914&gt;11,"U13",IF(E3914&gt;0,"U11",0)))))</f>
        <v>0</v>
      </c>
      <c r="E3914" s="456">
        <f>IFERROR(IF(Table10[[#This Row],[Year]]&gt;0,$E$1-Table10[[#This Row],[Year]],0),"")</f>
        <v>0</v>
      </c>
      <c r="F3914" s="456"/>
      <c r="G3914" s="456"/>
      <c r="H3914" s="456"/>
    </row>
    <row r="3915" spans="1:8">
      <c r="A3915" s="696">
        <v>4912</v>
      </c>
      <c r="B3915" s="469"/>
      <c r="C3915" s="458"/>
      <c r="D3915" s="456">
        <f>IF(Table10[[#This Row],[Current Age]]&gt;19,"Men's",IF(E3915&gt;15,"U19",IF(E3915&gt;13,"U15",IF(E3915&gt;11,"U13",IF(E3915&gt;0,"U11",0)))))</f>
        <v>0</v>
      </c>
      <c r="E3915" s="456">
        <f>IFERROR(IF(Table10[[#This Row],[Year]]&gt;0,$E$1-Table10[[#This Row],[Year]],0),"")</f>
        <v>0</v>
      </c>
      <c r="F3915" s="456"/>
      <c r="G3915" s="456"/>
      <c r="H3915" s="456"/>
    </row>
    <row r="3916" spans="1:8">
      <c r="A3916" s="696">
        <v>4913</v>
      </c>
      <c r="B3916" s="469"/>
      <c r="C3916" s="458"/>
      <c r="D3916" s="456">
        <f>IF(Table10[[#This Row],[Current Age]]&gt;19,"Men's",IF(E3916&gt;15,"U19",IF(E3916&gt;13,"U15",IF(E3916&gt;11,"U13",IF(E3916&gt;0,"U11",0)))))</f>
        <v>0</v>
      </c>
      <c r="E3916" s="456">
        <f>IFERROR(IF(Table10[[#This Row],[Year]]&gt;0,$E$1-Table10[[#This Row],[Year]],0),"")</f>
        <v>0</v>
      </c>
      <c r="F3916" s="456"/>
      <c r="G3916" s="456"/>
      <c r="H3916" s="456"/>
    </row>
    <row r="3917" spans="1:8">
      <c r="A3917" s="696">
        <v>4914</v>
      </c>
      <c r="B3917" s="469"/>
      <c r="C3917" s="458"/>
      <c r="D3917" s="456">
        <f>IF(Table10[[#This Row],[Current Age]]&gt;19,"Men's",IF(E3917&gt;15,"U19",IF(E3917&gt;13,"U15",IF(E3917&gt;11,"U13",IF(E3917&gt;0,"U11",0)))))</f>
        <v>0</v>
      </c>
      <c r="E3917" s="456">
        <f>IFERROR(IF(Table10[[#This Row],[Year]]&gt;0,$E$1-Table10[[#This Row],[Year]],0),"")</f>
        <v>0</v>
      </c>
      <c r="F3917" s="456"/>
      <c r="G3917" s="456"/>
      <c r="H3917" s="456"/>
    </row>
    <row r="3918" spans="1:8">
      <c r="A3918" s="696">
        <v>4915</v>
      </c>
      <c r="B3918" s="469"/>
      <c r="C3918" s="458"/>
      <c r="D3918" s="456">
        <f>IF(Table10[[#This Row],[Current Age]]&gt;19,"Men's",IF(E3918&gt;15,"U19",IF(E3918&gt;13,"U15",IF(E3918&gt;11,"U13",IF(E3918&gt;0,"U11",0)))))</f>
        <v>0</v>
      </c>
      <c r="E3918" s="456">
        <f>IFERROR(IF(Table10[[#This Row],[Year]]&gt;0,$E$1-Table10[[#This Row],[Year]],0),"")</f>
        <v>0</v>
      </c>
      <c r="F3918" s="456"/>
      <c r="G3918" s="456"/>
      <c r="H3918" s="456"/>
    </row>
    <row r="3919" spans="1:8">
      <c r="A3919" s="696">
        <v>4916</v>
      </c>
      <c r="B3919" s="469"/>
      <c r="C3919" s="458"/>
      <c r="D3919" s="456">
        <f>IF(Table10[[#This Row],[Current Age]]&gt;19,"Men's",IF(E3919&gt;15,"U19",IF(E3919&gt;13,"U15",IF(E3919&gt;11,"U13",IF(E3919&gt;0,"U11",0)))))</f>
        <v>0</v>
      </c>
      <c r="E3919" s="456">
        <f>IFERROR(IF(Table10[[#This Row],[Year]]&gt;0,$E$1-Table10[[#This Row],[Year]],0),"")</f>
        <v>0</v>
      </c>
      <c r="F3919" s="456"/>
      <c r="G3919" s="456"/>
      <c r="H3919" s="456"/>
    </row>
    <row r="3920" spans="1:8">
      <c r="A3920" s="696">
        <v>4917</v>
      </c>
      <c r="B3920" s="469"/>
      <c r="C3920" s="458"/>
      <c r="D3920" s="456">
        <f>IF(Table10[[#This Row],[Current Age]]&gt;19,"Men's",IF(E3920&gt;15,"U19",IF(E3920&gt;13,"U15",IF(E3920&gt;11,"U13",IF(E3920&gt;0,"U11",0)))))</f>
        <v>0</v>
      </c>
      <c r="E3920" s="456">
        <f>IFERROR(IF(Table10[[#This Row],[Year]]&gt;0,$E$1-Table10[[#This Row],[Year]],0),"")</f>
        <v>0</v>
      </c>
      <c r="F3920" s="456"/>
      <c r="G3920" s="456"/>
      <c r="H3920" s="456"/>
    </row>
    <row r="3921" spans="1:8">
      <c r="A3921" s="696">
        <v>4918</v>
      </c>
      <c r="B3921" s="469"/>
      <c r="C3921" s="458"/>
      <c r="D3921" s="456">
        <f>IF(Table10[[#This Row],[Current Age]]&gt;19,"Men's",IF(E3921&gt;15,"U19",IF(E3921&gt;13,"U15",IF(E3921&gt;11,"U13",IF(E3921&gt;0,"U11",0)))))</f>
        <v>0</v>
      </c>
      <c r="E3921" s="456">
        <f>IFERROR(IF(Table10[[#This Row],[Year]]&gt;0,$E$1-Table10[[#This Row],[Year]],0),"")</f>
        <v>0</v>
      </c>
      <c r="F3921" s="456"/>
      <c r="G3921" s="456"/>
      <c r="H3921" s="456"/>
    </row>
    <row r="3922" spans="1:8">
      <c r="A3922" s="696">
        <v>4919</v>
      </c>
      <c r="B3922" s="469"/>
      <c r="C3922" s="458"/>
      <c r="D3922" s="456">
        <f>IF(Table10[[#This Row],[Current Age]]&gt;19,"Men's",IF(E3922&gt;15,"U19",IF(E3922&gt;13,"U15",IF(E3922&gt;11,"U13",IF(E3922&gt;0,"U11",0)))))</f>
        <v>0</v>
      </c>
      <c r="E3922" s="456">
        <f>IFERROR(IF(Table10[[#This Row],[Year]]&gt;0,$E$1-Table10[[#This Row],[Year]],0),"")</f>
        <v>0</v>
      </c>
      <c r="F3922" s="456"/>
      <c r="G3922" s="456"/>
      <c r="H3922" s="456"/>
    </row>
    <row r="3923" spans="1:8">
      <c r="A3923" s="696">
        <v>4920</v>
      </c>
      <c r="B3923" s="469"/>
      <c r="C3923" s="458"/>
      <c r="D3923" s="456">
        <f>IF(Table10[[#This Row],[Current Age]]&gt;19,"Men's",IF(E3923&gt;15,"U19",IF(E3923&gt;13,"U15",IF(E3923&gt;11,"U13",IF(E3923&gt;0,"U11",0)))))</f>
        <v>0</v>
      </c>
      <c r="E3923" s="456">
        <f>IFERROR(IF(Table10[[#This Row],[Year]]&gt;0,$E$1-Table10[[#This Row],[Year]],0),"")</f>
        <v>0</v>
      </c>
      <c r="F3923" s="456"/>
      <c r="G3923" s="456"/>
      <c r="H3923" s="456"/>
    </row>
    <row r="3924" spans="1:8">
      <c r="A3924" s="696">
        <v>4921</v>
      </c>
      <c r="B3924" s="469"/>
      <c r="C3924" s="458"/>
      <c r="D3924" s="456">
        <f>IF(Table10[[#This Row],[Current Age]]&gt;19,"Men's",IF(E3924&gt;15,"U19",IF(E3924&gt;13,"U15",IF(E3924&gt;11,"U13",IF(E3924&gt;0,"U11",0)))))</f>
        <v>0</v>
      </c>
      <c r="E3924" s="456">
        <f>IFERROR(IF(Table10[[#This Row],[Year]]&gt;0,$E$1-Table10[[#This Row],[Year]],0),"")</f>
        <v>0</v>
      </c>
      <c r="F3924" s="456"/>
      <c r="G3924" s="456"/>
      <c r="H3924" s="456"/>
    </row>
    <row r="3925" spans="1:8">
      <c r="A3925" s="696">
        <v>4922</v>
      </c>
      <c r="B3925" s="469"/>
      <c r="C3925" s="458"/>
      <c r="D3925" s="456">
        <f>IF(Table10[[#This Row],[Current Age]]&gt;19,"Men's",IF(E3925&gt;15,"U19",IF(E3925&gt;13,"U15",IF(E3925&gt;11,"U13",IF(E3925&gt;0,"U11",0)))))</f>
        <v>0</v>
      </c>
      <c r="E3925" s="456">
        <f>IFERROR(IF(Table10[[#This Row],[Year]]&gt;0,$E$1-Table10[[#This Row],[Year]],0),"")</f>
        <v>0</v>
      </c>
      <c r="F3925" s="456"/>
      <c r="G3925" s="456"/>
      <c r="H3925" s="456"/>
    </row>
    <row r="3926" spans="1:8">
      <c r="A3926" s="696">
        <v>4923</v>
      </c>
      <c r="B3926" s="469"/>
      <c r="C3926" s="458"/>
      <c r="D3926" s="456">
        <f>IF(Table10[[#This Row],[Current Age]]&gt;19,"Men's",IF(E3926&gt;15,"U19",IF(E3926&gt;13,"U15",IF(E3926&gt;11,"U13",IF(E3926&gt;0,"U11",0)))))</f>
        <v>0</v>
      </c>
      <c r="E3926" s="456">
        <f>IFERROR(IF(Table10[[#This Row],[Year]]&gt;0,$E$1-Table10[[#This Row],[Year]],0),"")</f>
        <v>0</v>
      </c>
      <c r="F3926" s="456"/>
      <c r="G3926" s="456"/>
      <c r="H3926" s="456"/>
    </row>
    <row r="3927" spans="1:8">
      <c r="A3927" s="696">
        <v>4924</v>
      </c>
      <c r="B3927" s="469"/>
      <c r="C3927" s="458"/>
      <c r="D3927" s="456">
        <f>IF(Table10[[#This Row],[Current Age]]&gt;19,"Men's",IF(E3927&gt;15,"U19",IF(E3927&gt;13,"U15",IF(E3927&gt;11,"U13",IF(E3927&gt;0,"U11",0)))))</f>
        <v>0</v>
      </c>
      <c r="E3927" s="456">
        <f>IFERROR(IF(Table10[[#This Row],[Year]]&gt;0,$E$1-Table10[[#This Row],[Year]],0),"")</f>
        <v>0</v>
      </c>
      <c r="F3927" s="456"/>
      <c r="G3927" s="456"/>
      <c r="H3927" s="456"/>
    </row>
    <row r="3928" spans="1:8">
      <c r="A3928" s="696">
        <v>4925</v>
      </c>
      <c r="B3928" s="469"/>
      <c r="C3928" s="458"/>
      <c r="D3928" s="456">
        <f>IF(Table10[[#This Row],[Current Age]]&gt;19,"Men's",IF(E3928&gt;15,"U19",IF(E3928&gt;13,"U15",IF(E3928&gt;11,"U13",IF(E3928&gt;0,"U11",0)))))</f>
        <v>0</v>
      </c>
      <c r="E3928" s="456">
        <f>IFERROR(IF(Table10[[#This Row],[Year]]&gt;0,$E$1-Table10[[#This Row],[Year]],0),"")</f>
        <v>0</v>
      </c>
      <c r="F3928" s="456"/>
      <c r="G3928" s="456"/>
      <c r="H3928" s="456"/>
    </row>
    <row r="3929" spans="1:8">
      <c r="A3929" s="696">
        <v>4926</v>
      </c>
      <c r="B3929" s="469"/>
      <c r="C3929" s="458"/>
      <c r="D3929" s="456">
        <f>IF(Table10[[#This Row],[Current Age]]&gt;19,"Men's",IF(E3929&gt;15,"U19",IF(E3929&gt;13,"U15",IF(E3929&gt;11,"U13",IF(E3929&gt;0,"U11",0)))))</f>
        <v>0</v>
      </c>
      <c r="E3929" s="456">
        <f>IFERROR(IF(Table10[[#This Row],[Year]]&gt;0,$E$1-Table10[[#This Row],[Year]],0),"")</f>
        <v>0</v>
      </c>
      <c r="F3929" s="456"/>
      <c r="G3929" s="456"/>
      <c r="H3929" s="456"/>
    </row>
    <row r="3930" spans="1:8">
      <c r="A3930" s="696">
        <v>4927</v>
      </c>
      <c r="B3930" s="469"/>
      <c r="C3930" s="458"/>
      <c r="D3930" s="456">
        <f>IF(Table10[[#This Row],[Current Age]]&gt;19,"Men's",IF(E3930&gt;15,"U19",IF(E3930&gt;13,"U15",IF(E3930&gt;11,"U13",IF(E3930&gt;0,"U11",0)))))</f>
        <v>0</v>
      </c>
      <c r="E3930" s="456">
        <f>IFERROR(IF(Table10[[#This Row],[Year]]&gt;0,$E$1-Table10[[#This Row],[Year]],0),"")</f>
        <v>0</v>
      </c>
      <c r="F3930" s="456"/>
      <c r="G3930" s="456"/>
      <c r="H3930" s="456"/>
    </row>
    <row r="3931" spans="1:8">
      <c r="A3931" s="696">
        <v>4928</v>
      </c>
      <c r="B3931" s="469"/>
      <c r="C3931" s="458"/>
      <c r="D3931" s="456">
        <f>IF(Table10[[#This Row],[Current Age]]&gt;19,"Men's",IF(E3931&gt;15,"U19",IF(E3931&gt;13,"U15",IF(E3931&gt;11,"U13",IF(E3931&gt;0,"U11",0)))))</f>
        <v>0</v>
      </c>
      <c r="E3931" s="456">
        <f>IFERROR(IF(Table10[[#This Row],[Year]]&gt;0,$E$1-Table10[[#This Row],[Year]],0),"")</f>
        <v>0</v>
      </c>
      <c r="F3931" s="456"/>
      <c r="G3931" s="456"/>
      <c r="H3931" s="456"/>
    </row>
    <row r="3932" spans="1:8">
      <c r="A3932" s="696">
        <v>4929</v>
      </c>
      <c r="B3932" s="469"/>
      <c r="C3932" s="458"/>
      <c r="D3932" s="456">
        <f>IF(Table10[[#This Row],[Current Age]]&gt;19,"Men's",IF(E3932&gt;15,"U19",IF(E3932&gt;13,"U15",IF(E3932&gt;11,"U13",IF(E3932&gt;0,"U11",0)))))</f>
        <v>0</v>
      </c>
      <c r="E3932" s="456">
        <f>IFERROR(IF(Table10[[#This Row],[Year]]&gt;0,$E$1-Table10[[#This Row],[Year]],0),"")</f>
        <v>0</v>
      </c>
      <c r="F3932" s="456"/>
      <c r="G3932" s="456"/>
      <c r="H3932" s="456"/>
    </row>
    <row r="3933" spans="1:8">
      <c r="A3933" s="696">
        <v>4930</v>
      </c>
      <c r="B3933" s="469"/>
      <c r="C3933" s="458"/>
      <c r="D3933" s="456">
        <f>IF(Table10[[#This Row],[Current Age]]&gt;19,"Men's",IF(E3933&gt;15,"U19",IF(E3933&gt;13,"U15",IF(E3933&gt;11,"U13",IF(E3933&gt;0,"U11",0)))))</f>
        <v>0</v>
      </c>
      <c r="E3933" s="456">
        <f>IFERROR(IF(Table10[[#This Row],[Year]]&gt;0,$E$1-Table10[[#This Row],[Year]],0),"")</f>
        <v>0</v>
      </c>
      <c r="F3933" s="456"/>
      <c r="G3933" s="456"/>
      <c r="H3933" s="456"/>
    </row>
    <row r="3934" spans="1:8">
      <c r="A3934" s="696">
        <v>4931</v>
      </c>
      <c r="B3934" s="469"/>
      <c r="C3934" s="458"/>
      <c r="D3934" s="456">
        <f>IF(Table10[[#This Row],[Current Age]]&gt;19,"Men's",IF(E3934&gt;15,"U19",IF(E3934&gt;13,"U15",IF(E3934&gt;11,"U13",IF(E3934&gt;0,"U11",0)))))</f>
        <v>0</v>
      </c>
      <c r="E3934" s="456">
        <f>IFERROR(IF(Table10[[#This Row],[Year]]&gt;0,$E$1-Table10[[#This Row],[Year]],0),"")</f>
        <v>0</v>
      </c>
      <c r="F3934" s="456"/>
      <c r="G3934" s="456"/>
      <c r="H3934" s="456"/>
    </row>
    <row r="3935" spans="1:8">
      <c r="A3935" s="696">
        <v>4932</v>
      </c>
      <c r="B3935" s="469"/>
      <c r="C3935" s="458"/>
      <c r="D3935" s="456">
        <f>IF(Table10[[#This Row],[Current Age]]&gt;19,"Men's",IF(E3935&gt;15,"U19",IF(E3935&gt;13,"U15",IF(E3935&gt;11,"U13",IF(E3935&gt;0,"U11",0)))))</f>
        <v>0</v>
      </c>
      <c r="E3935" s="456">
        <f>IFERROR(IF(Table10[[#This Row],[Year]]&gt;0,$E$1-Table10[[#This Row],[Year]],0),"")</f>
        <v>0</v>
      </c>
      <c r="F3935" s="456"/>
      <c r="G3935" s="456"/>
      <c r="H3935" s="456"/>
    </row>
    <row r="3936" spans="1:8">
      <c r="A3936" s="696">
        <v>4933</v>
      </c>
      <c r="B3936" s="469"/>
      <c r="C3936" s="458"/>
      <c r="D3936" s="456">
        <f>IF(Table10[[#This Row],[Current Age]]&gt;19,"Men's",IF(E3936&gt;15,"U19",IF(E3936&gt;13,"U15",IF(E3936&gt;11,"U13",IF(E3936&gt;0,"U11",0)))))</f>
        <v>0</v>
      </c>
      <c r="E3936" s="456">
        <f>IFERROR(IF(Table10[[#This Row],[Year]]&gt;0,$E$1-Table10[[#This Row],[Year]],0),"")</f>
        <v>0</v>
      </c>
      <c r="F3936" s="456"/>
      <c r="G3936" s="456"/>
      <c r="H3936" s="456"/>
    </row>
    <row r="3937" spans="1:8">
      <c r="A3937" s="696">
        <v>4934</v>
      </c>
      <c r="B3937" s="469"/>
      <c r="C3937" s="458"/>
      <c r="D3937" s="456">
        <f>IF(Table10[[#This Row],[Current Age]]&gt;19,"Men's",IF(E3937&gt;15,"U19",IF(E3937&gt;13,"U15",IF(E3937&gt;11,"U13",IF(E3937&gt;0,"U11",0)))))</f>
        <v>0</v>
      </c>
      <c r="E3937" s="456">
        <f>IFERROR(IF(Table10[[#This Row],[Year]]&gt;0,$E$1-Table10[[#This Row],[Year]],0),"")</f>
        <v>0</v>
      </c>
      <c r="F3937" s="456"/>
      <c r="G3937" s="456"/>
      <c r="H3937" s="456"/>
    </row>
    <row r="3938" spans="1:8">
      <c r="A3938" s="696">
        <v>4935</v>
      </c>
      <c r="B3938" s="469"/>
      <c r="C3938" s="458"/>
      <c r="D3938" s="456">
        <f>IF(Table10[[#This Row],[Current Age]]&gt;19,"Men's",IF(E3938&gt;15,"U19",IF(E3938&gt;13,"U15",IF(E3938&gt;11,"U13",IF(E3938&gt;0,"U11",0)))))</f>
        <v>0</v>
      </c>
      <c r="E3938" s="456">
        <f>IFERROR(IF(Table10[[#This Row],[Year]]&gt;0,$E$1-Table10[[#This Row],[Year]],0),"")</f>
        <v>0</v>
      </c>
      <c r="F3938" s="456"/>
      <c r="G3938" s="456"/>
      <c r="H3938" s="456"/>
    </row>
    <row r="3939" spans="1:8">
      <c r="A3939" s="696">
        <v>4936</v>
      </c>
      <c r="B3939" s="469"/>
      <c r="C3939" s="458"/>
      <c r="D3939" s="456">
        <f>IF(Table10[[#This Row],[Current Age]]&gt;19,"Men's",IF(E3939&gt;15,"U19",IF(E3939&gt;13,"U15",IF(E3939&gt;11,"U13",IF(E3939&gt;0,"U11",0)))))</f>
        <v>0</v>
      </c>
      <c r="E3939" s="456">
        <f>IFERROR(IF(Table10[[#This Row],[Year]]&gt;0,$E$1-Table10[[#This Row],[Year]],0),"")</f>
        <v>0</v>
      </c>
      <c r="F3939" s="456"/>
      <c r="G3939" s="456"/>
      <c r="H3939" s="456"/>
    </row>
    <row r="3940" spans="1:8">
      <c r="A3940" s="696">
        <v>4937</v>
      </c>
      <c r="B3940" s="469"/>
      <c r="C3940" s="458"/>
      <c r="D3940" s="456">
        <f>IF(Table10[[#This Row],[Current Age]]&gt;19,"Men's",IF(E3940&gt;15,"U19",IF(E3940&gt;13,"U15",IF(E3940&gt;11,"U13",IF(E3940&gt;0,"U11",0)))))</f>
        <v>0</v>
      </c>
      <c r="E3940" s="456">
        <f>IFERROR(IF(Table10[[#This Row],[Year]]&gt;0,$E$1-Table10[[#This Row],[Year]],0),"")</f>
        <v>0</v>
      </c>
      <c r="F3940" s="456"/>
      <c r="G3940" s="456"/>
      <c r="H3940" s="456"/>
    </row>
    <row r="3941" spans="1:8">
      <c r="A3941" s="696">
        <v>4938</v>
      </c>
      <c r="B3941" s="469"/>
      <c r="C3941" s="458"/>
      <c r="D3941" s="456">
        <f>IF(Table10[[#This Row],[Current Age]]&gt;19,"Men's",IF(E3941&gt;15,"U19",IF(E3941&gt;13,"U15",IF(E3941&gt;11,"U13",IF(E3941&gt;0,"U11",0)))))</f>
        <v>0</v>
      </c>
      <c r="E3941" s="456">
        <f>IFERROR(IF(Table10[[#This Row],[Year]]&gt;0,$E$1-Table10[[#This Row],[Year]],0),"")</f>
        <v>0</v>
      </c>
      <c r="F3941" s="456"/>
      <c r="G3941" s="456"/>
      <c r="H3941" s="456"/>
    </row>
    <row r="3942" spans="1:8">
      <c r="A3942" s="696">
        <v>4939</v>
      </c>
      <c r="B3942" s="469"/>
      <c r="C3942" s="458"/>
      <c r="D3942" s="456">
        <f>IF(Table10[[#This Row],[Current Age]]&gt;19,"Men's",IF(E3942&gt;15,"U19",IF(E3942&gt;13,"U15",IF(E3942&gt;11,"U13",IF(E3942&gt;0,"U11",0)))))</f>
        <v>0</v>
      </c>
      <c r="E3942" s="456">
        <f>IFERROR(IF(Table10[[#This Row],[Year]]&gt;0,$E$1-Table10[[#This Row],[Year]],0),"")</f>
        <v>0</v>
      </c>
      <c r="F3942" s="456"/>
      <c r="G3942" s="456"/>
      <c r="H3942" s="456"/>
    </row>
    <row r="3943" spans="1:8">
      <c r="A3943" s="696">
        <v>4940</v>
      </c>
      <c r="B3943" s="469"/>
      <c r="C3943" s="458"/>
      <c r="D3943" s="456">
        <f>IF(Table10[[#This Row],[Current Age]]&gt;19,"Men's",IF(E3943&gt;15,"U19",IF(E3943&gt;13,"U15",IF(E3943&gt;11,"U13",IF(E3943&gt;0,"U11",0)))))</f>
        <v>0</v>
      </c>
      <c r="E3943" s="456">
        <f>IFERROR(IF(Table10[[#This Row],[Year]]&gt;0,$E$1-Table10[[#This Row],[Year]],0),"")</f>
        <v>0</v>
      </c>
      <c r="F3943" s="456"/>
      <c r="G3943" s="456"/>
      <c r="H3943" s="456"/>
    </row>
    <row r="3944" spans="1:8">
      <c r="A3944" s="696">
        <v>4941</v>
      </c>
      <c r="B3944" s="469"/>
      <c r="C3944" s="458"/>
      <c r="D3944" s="456">
        <f>IF(Table10[[#This Row],[Current Age]]&gt;19,"Men's",IF(E3944&gt;15,"U19",IF(E3944&gt;13,"U15",IF(E3944&gt;11,"U13",IF(E3944&gt;0,"U11",0)))))</f>
        <v>0</v>
      </c>
      <c r="E3944" s="456">
        <f>IFERROR(IF(Table10[[#This Row],[Year]]&gt;0,$E$1-Table10[[#This Row],[Year]],0),"")</f>
        <v>0</v>
      </c>
      <c r="F3944" s="456"/>
      <c r="G3944" s="456"/>
      <c r="H3944" s="456"/>
    </row>
    <row r="3945" spans="1:8">
      <c r="A3945" s="696">
        <v>4942</v>
      </c>
      <c r="B3945" s="469"/>
      <c r="C3945" s="458"/>
      <c r="D3945" s="456">
        <f>IF(Table10[[#This Row],[Current Age]]&gt;19,"Men's",IF(E3945&gt;15,"U19",IF(E3945&gt;13,"U15",IF(E3945&gt;11,"U13",IF(E3945&gt;0,"U11",0)))))</f>
        <v>0</v>
      </c>
      <c r="E3945" s="456">
        <f>IFERROR(IF(Table10[[#This Row],[Year]]&gt;0,$E$1-Table10[[#This Row],[Year]],0),"")</f>
        <v>0</v>
      </c>
      <c r="F3945" s="456"/>
      <c r="G3945" s="456"/>
      <c r="H3945" s="456"/>
    </row>
    <row r="3946" spans="1:8">
      <c r="A3946" s="696">
        <v>4943</v>
      </c>
      <c r="B3946" s="469"/>
      <c r="C3946" s="458"/>
      <c r="D3946" s="456">
        <f>IF(Table10[[#This Row],[Current Age]]&gt;19,"Men's",IF(E3946&gt;15,"U19",IF(E3946&gt;13,"U15",IF(E3946&gt;11,"U13",IF(E3946&gt;0,"U11",0)))))</f>
        <v>0</v>
      </c>
      <c r="E3946" s="456">
        <f>IFERROR(IF(Table10[[#This Row],[Year]]&gt;0,$E$1-Table10[[#This Row],[Year]],0),"")</f>
        <v>0</v>
      </c>
      <c r="F3946" s="456"/>
      <c r="G3946" s="456"/>
      <c r="H3946" s="456"/>
    </row>
    <row r="3947" spans="1:8">
      <c r="A3947" s="696">
        <v>4944</v>
      </c>
      <c r="B3947" s="469"/>
      <c r="C3947" s="458"/>
      <c r="D3947" s="456">
        <f>IF(Table10[[#This Row],[Current Age]]&gt;19,"Men's",IF(E3947&gt;15,"U19",IF(E3947&gt;13,"U15",IF(E3947&gt;11,"U13",IF(E3947&gt;0,"U11",0)))))</f>
        <v>0</v>
      </c>
      <c r="E3947" s="456">
        <f>IFERROR(IF(Table10[[#This Row],[Year]]&gt;0,$E$1-Table10[[#This Row],[Year]],0),"")</f>
        <v>0</v>
      </c>
      <c r="F3947" s="456"/>
      <c r="G3947" s="456"/>
      <c r="H3947" s="456"/>
    </row>
    <row r="3948" spans="1:8">
      <c r="A3948" s="696">
        <v>4945</v>
      </c>
      <c r="B3948" s="469"/>
      <c r="C3948" s="458"/>
      <c r="D3948" s="456">
        <f>IF(Table10[[#This Row],[Current Age]]&gt;19,"Men's",IF(E3948&gt;15,"U19",IF(E3948&gt;13,"U15",IF(E3948&gt;11,"U13",IF(E3948&gt;0,"U11",0)))))</f>
        <v>0</v>
      </c>
      <c r="E3948" s="456">
        <f>IFERROR(IF(Table10[[#This Row],[Year]]&gt;0,$E$1-Table10[[#This Row],[Year]],0),"")</f>
        <v>0</v>
      </c>
      <c r="F3948" s="456"/>
      <c r="G3948" s="456"/>
      <c r="H3948" s="456"/>
    </row>
    <row r="3949" spans="1:8">
      <c r="A3949" s="696">
        <v>4946</v>
      </c>
      <c r="B3949" s="469"/>
      <c r="C3949" s="458"/>
      <c r="D3949" s="456">
        <f>IF(Table10[[#This Row],[Current Age]]&gt;19,"Men's",IF(E3949&gt;15,"U19",IF(E3949&gt;13,"U15",IF(E3949&gt;11,"U13",IF(E3949&gt;0,"U11",0)))))</f>
        <v>0</v>
      </c>
      <c r="E3949" s="456">
        <f>IFERROR(IF(Table10[[#This Row],[Year]]&gt;0,$E$1-Table10[[#This Row],[Year]],0),"")</f>
        <v>0</v>
      </c>
      <c r="F3949" s="456"/>
      <c r="G3949" s="456"/>
      <c r="H3949" s="456"/>
    </row>
    <row r="3950" spans="1:8">
      <c r="A3950" s="696">
        <v>4947</v>
      </c>
      <c r="B3950" s="469"/>
      <c r="C3950" s="458"/>
      <c r="D3950" s="456">
        <f>IF(Table10[[#This Row],[Current Age]]&gt;19,"Men's",IF(E3950&gt;15,"U19",IF(E3950&gt;13,"U15",IF(E3950&gt;11,"U13",IF(E3950&gt;0,"U11",0)))))</f>
        <v>0</v>
      </c>
      <c r="E3950" s="456">
        <f>IFERROR(IF(Table10[[#This Row],[Year]]&gt;0,$E$1-Table10[[#This Row],[Year]],0),"")</f>
        <v>0</v>
      </c>
      <c r="F3950" s="456"/>
      <c r="G3950" s="456"/>
      <c r="H3950" s="456"/>
    </row>
    <row r="3951" spans="1:8">
      <c r="A3951" s="696">
        <v>4948</v>
      </c>
      <c r="B3951" s="469"/>
      <c r="C3951" s="458"/>
      <c r="D3951" s="456">
        <f>IF(Table10[[#This Row],[Current Age]]&gt;19,"Men's",IF(E3951&gt;15,"U19",IF(E3951&gt;13,"U15",IF(E3951&gt;11,"U13",IF(E3951&gt;0,"U11",0)))))</f>
        <v>0</v>
      </c>
      <c r="E3951" s="456">
        <f>IFERROR(IF(Table10[[#This Row],[Year]]&gt;0,$E$1-Table10[[#This Row],[Year]],0),"")</f>
        <v>0</v>
      </c>
      <c r="F3951" s="456"/>
      <c r="G3951" s="456"/>
      <c r="H3951" s="456"/>
    </row>
    <row r="3952" spans="1:8">
      <c r="A3952" s="696">
        <v>4949</v>
      </c>
      <c r="B3952" s="469"/>
      <c r="C3952" s="458"/>
      <c r="D3952" s="456">
        <f>IF(Table10[[#This Row],[Current Age]]&gt;19,"Men's",IF(E3952&gt;15,"U19",IF(E3952&gt;13,"U15",IF(E3952&gt;11,"U13",IF(E3952&gt;0,"U11",0)))))</f>
        <v>0</v>
      </c>
      <c r="E3952" s="456">
        <f>IFERROR(IF(Table10[[#This Row],[Year]]&gt;0,$E$1-Table10[[#This Row],[Year]],0),"")</f>
        <v>0</v>
      </c>
      <c r="F3952" s="456"/>
      <c r="G3952" s="456"/>
      <c r="H3952" s="456"/>
    </row>
    <row r="3953" spans="1:8">
      <c r="A3953" s="696">
        <v>4950</v>
      </c>
      <c r="B3953" s="469"/>
      <c r="C3953" s="458"/>
      <c r="D3953" s="456">
        <f>IF(Table10[[#This Row],[Current Age]]&gt;19,"Men's",IF(E3953&gt;15,"U19",IF(E3953&gt;13,"U15",IF(E3953&gt;11,"U13",IF(E3953&gt;0,"U11",0)))))</f>
        <v>0</v>
      </c>
      <c r="E3953" s="456">
        <f>IFERROR(IF(Table10[[#This Row],[Year]]&gt;0,$E$1-Table10[[#This Row],[Year]],0),"")</f>
        <v>0</v>
      </c>
      <c r="F3953" s="456"/>
      <c r="G3953" s="456"/>
      <c r="H3953" s="456"/>
    </row>
    <row r="3954" spans="1:8">
      <c r="A3954" s="696">
        <v>4951</v>
      </c>
      <c r="B3954" s="469"/>
      <c r="C3954" s="458"/>
      <c r="D3954" s="456">
        <f>IF(Table10[[#This Row],[Current Age]]&gt;19,"Men's",IF(E3954&gt;15,"U19",IF(E3954&gt;13,"U15",IF(E3954&gt;11,"U13",IF(E3954&gt;0,"U11",0)))))</f>
        <v>0</v>
      </c>
      <c r="E3954" s="456">
        <f>IFERROR(IF(Table10[[#This Row],[Year]]&gt;0,$E$1-Table10[[#This Row],[Year]],0),"")</f>
        <v>0</v>
      </c>
      <c r="F3954" s="456"/>
      <c r="G3954" s="456"/>
      <c r="H3954" s="456"/>
    </row>
    <row r="3955" spans="1:8">
      <c r="A3955" s="696">
        <v>4952</v>
      </c>
      <c r="B3955" s="469"/>
      <c r="C3955" s="458"/>
      <c r="D3955" s="456">
        <f>IF(Table10[[#This Row],[Current Age]]&gt;19,"Men's",IF(E3955&gt;15,"U19",IF(E3955&gt;13,"U15",IF(E3955&gt;11,"U13",IF(E3955&gt;0,"U11",0)))))</f>
        <v>0</v>
      </c>
      <c r="E3955" s="456">
        <f>IFERROR(IF(Table10[[#This Row],[Year]]&gt;0,$E$1-Table10[[#This Row],[Year]],0),"")</f>
        <v>0</v>
      </c>
      <c r="F3955" s="456"/>
      <c r="G3955" s="456"/>
      <c r="H3955" s="456"/>
    </row>
    <row r="3956" spans="1:8">
      <c r="A3956" s="696">
        <v>4953</v>
      </c>
      <c r="B3956" s="469"/>
      <c r="C3956" s="458"/>
      <c r="D3956" s="456">
        <f>IF(Table10[[#This Row],[Current Age]]&gt;19,"Men's",IF(E3956&gt;15,"U19",IF(E3956&gt;13,"U15",IF(E3956&gt;11,"U13",IF(E3956&gt;0,"U11",0)))))</f>
        <v>0</v>
      </c>
      <c r="E3956" s="456">
        <f>IFERROR(IF(Table10[[#This Row],[Year]]&gt;0,$E$1-Table10[[#This Row],[Year]],0),"")</f>
        <v>0</v>
      </c>
      <c r="F3956" s="456"/>
      <c r="G3956" s="456"/>
      <c r="H3956" s="456"/>
    </row>
    <row r="3957" spans="1:8">
      <c r="A3957" s="696">
        <v>4954</v>
      </c>
      <c r="B3957" s="469"/>
      <c r="C3957" s="458"/>
      <c r="D3957" s="456">
        <f>IF(Table10[[#This Row],[Current Age]]&gt;19,"Men's",IF(E3957&gt;15,"U19",IF(E3957&gt;13,"U15",IF(E3957&gt;11,"U13",IF(E3957&gt;0,"U11",0)))))</f>
        <v>0</v>
      </c>
      <c r="E3957" s="456">
        <f>IFERROR(IF(Table10[[#This Row],[Year]]&gt;0,$E$1-Table10[[#This Row],[Year]],0),"")</f>
        <v>0</v>
      </c>
      <c r="F3957" s="456"/>
      <c r="G3957" s="456"/>
      <c r="H3957" s="456"/>
    </row>
    <row r="3958" spans="1:8">
      <c r="A3958" s="696">
        <v>4955</v>
      </c>
      <c r="B3958" s="469"/>
      <c r="C3958" s="458"/>
      <c r="D3958" s="456">
        <f>IF(Table10[[#This Row],[Current Age]]&gt;19,"Men's",IF(E3958&gt;15,"U19",IF(E3958&gt;13,"U15",IF(E3958&gt;11,"U13",IF(E3958&gt;0,"U11",0)))))</f>
        <v>0</v>
      </c>
      <c r="E3958" s="456">
        <f>IFERROR(IF(Table10[[#This Row],[Year]]&gt;0,$E$1-Table10[[#This Row],[Year]],0),"")</f>
        <v>0</v>
      </c>
      <c r="F3958" s="456"/>
      <c r="G3958" s="456"/>
      <c r="H3958" s="456"/>
    </row>
    <row r="3959" spans="1:8">
      <c r="A3959" s="696">
        <v>4956</v>
      </c>
      <c r="B3959" s="469"/>
      <c r="C3959" s="458"/>
      <c r="D3959" s="456">
        <f>IF(Table10[[#This Row],[Current Age]]&gt;19,"Men's",IF(E3959&gt;15,"U19",IF(E3959&gt;13,"U15",IF(E3959&gt;11,"U13",IF(E3959&gt;0,"U11",0)))))</f>
        <v>0</v>
      </c>
      <c r="E3959" s="456">
        <f>IFERROR(IF(Table10[[#This Row],[Year]]&gt;0,$E$1-Table10[[#This Row],[Year]],0),"")</f>
        <v>0</v>
      </c>
      <c r="F3959" s="456"/>
      <c r="G3959" s="456"/>
      <c r="H3959" s="456"/>
    </row>
    <row r="3960" spans="1:8">
      <c r="A3960" s="696">
        <v>4957</v>
      </c>
      <c r="B3960" s="469"/>
      <c r="C3960" s="458"/>
      <c r="D3960" s="456">
        <f>IF(Table10[[#This Row],[Current Age]]&gt;19,"Men's",IF(E3960&gt;15,"U19",IF(E3960&gt;13,"U15",IF(E3960&gt;11,"U13",IF(E3960&gt;0,"U11",0)))))</f>
        <v>0</v>
      </c>
      <c r="E3960" s="456">
        <f>IFERROR(IF(Table10[[#This Row],[Year]]&gt;0,$E$1-Table10[[#This Row],[Year]],0),"")</f>
        <v>0</v>
      </c>
      <c r="F3960" s="456"/>
      <c r="G3960" s="456"/>
      <c r="H3960" s="456"/>
    </row>
    <row r="3961" spans="1:8">
      <c r="A3961" s="696">
        <v>4958</v>
      </c>
      <c r="B3961" s="469"/>
      <c r="C3961" s="458"/>
      <c r="D3961" s="456">
        <f>IF(Table10[[#This Row],[Current Age]]&gt;19,"Men's",IF(E3961&gt;15,"U19",IF(E3961&gt;13,"U15",IF(E3961&gt;11,"U13",IF(E3961&gt;0,"U11",0)))))</f>
        <v>0</v>
      </c>
      <c r="E3961" s="456">
        <f>IFERROR(IF(Table10[[#This Row],[Year]]&gt;0,$E$1-Table10[[#This Row],[Year]],0),"")</f>
        <v>0</v>
      </c>
      <c r="F3961" s="456"/>
      <c r="G3961" s="456"/>
      <c r="H3961" s="456"/>
    </row>
    <row r="3962" spans="1:8">
      <c r="A3962" s="696">
        <v>4959</v>
      </c>
      <c r="B3962" s="469"/>
      <c r="C3962" s="458"/>
      <c r="D3962" s="456">
        <f>IF(Table10[[#This Row],[Current Age]]&gt;19,"Men's",IF(E3962&gt;15,"U19",IF(E3962&gt;13,"U15",IF(E3962&gt;11,"U13",IF(E3962&gt;0,"U11",0)))))</f>
        <v>0</v>
      </c>
      <c r="E3962" s="456">
        <f>IFERROR(IF(Table10[[#This Row],[Year]]&gt;0,$E$1-Table10[[#This Row],[Year]],0),"")</f>
        <v>0</v>
      </c>
      <c r="F3962" s="456"/>
      <c r="G3962" s="456"/>
      <c r="H3962" s="456"/>
    </row>
    <row r="3963" spans="1:8">
      <c r="A3963" s="696">
        <v>4960</v>
      </c>
      <c r="B3963" s="469"/>
      <c r="C3963" s="458"/>
      <c r="D3963" s="456">
        <f>IF(Table10[[#This Row],[Current Age]]&gt;19,"Men's",IF(E3963&gt;15,"U19",IF(E3963&gt;13,"U15",IF(E3963&gt;11,"U13",IF(E3963&gt;0,"U11",0)))))</f>
        <v>0</v>
      </c>
      <c r="E3963" s="456">
        <f>IFERROR(IF(Table10[[#This Row],[Year]]&gt;0,$E$1-Table10[[#This Row],[Year]],0),"")</f>
        <v>0</v>
      </c>
      <c r="F3963" s="456"/>
      <c r="G3963" s="456"/>
      <c r="H3963" s="456"/>
    </row>
    <row r="3964" spans="1:8">
      <c r="A3964" s="696">
        <v>4961</v>
      </c>
      <c r="B3964" s="469"/>
      <c r="C3964" s="458"/>
      <c r="D3964" s="456">
        <f>IF(Table10[[#This Row],[Current Age]]&gt;19,"Men's",IF(E3964&gt;15,"U19",IF(E3964&gt;13,"U15",IF(E3964&gt;11,"U13",IF(E3964&gt;0,"U11",0)))))</f>
        <v>0</v>
      </c>
      <c r="E3964" s="456">
        <f>IFERROR(IF(Table10[[#This Row],[Year]]&gt;0,$E$1-Table10[[#This Row],[Year]],0),"")</f>
        <v>0</v>
      </c>
      <c r="F3964" s="456"/>
      <c r="G3964" s="456"/>
      <c r="H3964" s="456"/>
    </row>
    <row r="3965" spans="1:8">
      <c r="A3965" s="696">
        <v>4962</v>
      </c>
      <c r="B3965" s="469"/>
      <c r="C3965" s="458"/>
      <c r="D3965" s="456">
        <f>IF(Table10[[#This Row],[Current Age]]&gt;19,"Men's",IF(E3965&gt;15,"U19",IF(E3965&gt;13,"U15",IF(E3965&gt;11,"U13",IF(E3965&gt;0,"U11",0)))))</f>
        <v>0</v>
      </c>
      <c r="E3965" s="456">
        <f>IFERROR(IF(Table10[[#This Row],[Year]]&gt;0,$E$1-Table10[[#This Row],[Year]],0),"")</f>
        <v>0</v>
      </c>
      <c r="F3965" s="456"/>
      <c r="G3965" s="456"/>
      <c r="H3965" s="456"/>
    </row>
    <row r="3966" spans="1:8">
      <c r="A3966" s="696">
        <v>4963</v>
      </c>
      <c r="B3966" s="469"/>
      <c r="C3966" s="458"/>
      <c r="D3966" s="456">
        <f>IF(Table10[[#This Row],[Current Age]]&gt;19,"Men's",IF(E3966&gt;15,"U19",IF(E3966&gt;13,"U15",IF(E3966&gt;11,"U13",IF(E3966&gt;0,"U11",0)))))</f>
        <v>0</v>
      </c>
      <c r="E3966" s="456">
        <f>IFERROR(IF(Table10[[#This Row],[Year]]&gt;0,$E$1-Table10[[#This Row],[Year]],0),"")</f>
        <v>0</v>
      </c>
      <c r="F3966" s="456"/>
      <c r="G3966" s="456"/>
      <c r="H3966" s="456"/>
    </row>
    <row r="3967" spans="1:8">
      <c r="A3967" s="696">
        <v>4964</v>
      </c>
      <c r="B3967" s="469"/>
      <c r="C3967" s="458"/>
      <c r="D3967" s="456">
        <f>IF(Table10[[#This Row],[Current Age]]&gt;19,"Men's",IF(E3967&gt;15,"U19",IF(E3967&gt;13,"U15",IF(E3967&gt;11,"U13",IF(E3967&gt;0,"U11",0)))))</f>
        <v>0</v>
      </c>
      <c r="E3967" s="456">
        <f>IFERROR(IF(Table10[[#This Row],[Year]]&gt;0,$E$1-Table10[[#This Row],[Year]],0),"")</f>
        <v>0</v>
      </c>
      <c r="F3967" s="456"/>
      <c r="G3967" s="456"/>
      <c r="H3967" s="456"/>
    </row>
    <row r="3968" spans="1:8">
      <c r="A3968" s="696">
        <v>4965</v>
      </c>
      <c r="B3968" s="469"/>
      <c r="C3968" s="458"/>
      <c r="D3968" s="456">
        <f>IF(Table10[[#This Row],[Current Age]]&gt;19,"Men's",IF(E3968&gt;15,"U19",IF(E3968&gt;13,"U15",IF(E3968&gt;11,"U13",IF(E3968&gt;0,"U11",0)))))</f>
        <v>0</v>
      </c>
      <c r="E3968" s="456">
        <f>IFERROR(IF(Table10[[#This Row],[Year]]&gt;0,$E$1-Table10[[#This Row],[Year]],0),"")</f>
        <v>0</v>
      </c>
      <c r="F3968" s="456"/>
      <c r="G3968" s="456"/>
      <c r="H3968" s="456"/>
    </row>
    <row r="3969" spans="1:8">
      <c r="A3969" s="696">
        <v>4966</v>
      </c>
      <c r="B3969" s="469"/>
      <c r="C3969" s="458"/>
      <c r="D3969" s="456">
        <f>IF(Table10[[#This Row],[Current Age]]&gt;19,"Men's",IF(E3969&gt;15,"U19",IF(E3969&gt;13,"U15",IF(E3969&gt;11,"U13",IF(E3969&gt;0,"U11",0)))))</f>
        <v>0</v>
      </c>
      <c r="E3969" s="456">
        <f>IFERROR(IF(Table10[[#This Row],[Year]]&gt;0,$E$1-Table10[[#This Row],[Year]],0),"")</f>
        <v>0</v>
      </c>
      <c r="F3969" s="456"/>
      <c r="G3969" s="456"/>
      <c r="H3969" s="456"/>
    </row>
    <row r="3970" spans="1:8">
      <c r="A3970" s="696">
        <v>4967</v>
      </c>
      <c r="B3970" s="469"/>
      <c r="C3970" s="458"/>
      <c r="D3970" s="456">
        <f>IF(Table10[[#This Row],[Current Age]]&gt;19,"Men's",IF(E3970&gt;15,"U19",IF(E3970&gt;13,"U15",IF(E3970&gt;11,"U13",IF(E3970&gt;0,"U11",0)))))</f>
        <v>0</v>
      </c>
      <c r="E3970" s="456">
        <f>IFERROR(IF(Table10[[#This Row],[Year]]&gt;0,$E$1-Table10[[#This Row],[Year]],0),"")</f>
        <v>0</v>
      </c>
      <c r="F3970" s="456"/>
      <c r="G3970" s="456"/>
      <c r="H3970" s="456"/>
    </row>
    <row r="3971" spans="1:8">
      <c r="A3971" s="696">
        <v>4968</v>
      </c>
      <c r="B3971" s="469"/>
      <c r="C3971" s="458"/>
      <c r="D3971" s="456">
        <f>IF(Table10[[#This Row],[Current Age]]&gt;19,"Men's",IF(E3971&gt;15,"U19",IF(E3971&gt;13,"U15",IF(E3971&gt;11,"U13",IF(E3971&gt;0,"U11",0)))))</f>
        <v>0</v>
      </c>
      <c r="E3971" s="456">
        <f>IFERROR(IF(Table10[[#This Row],[Year]]&gt;0,$E$1-Table10[[#This Row],[Year]],0),"")</f>
        <v>0</v>
      </c>
      <c r="F3971" s="456"/>
      <c r="G3971" s="456"/>
      <c r="H3971" s="456"/>
    </row>
    <row r="3972" spans="1:8">
      <c r="A3972" s="696">
        <v>4969</v>
      </c>
      <c r="B3972" s="469"/>
      <c r="C3972" s="458"/>
      <c r="D3972" s="456">
        <f>IF(Table10[[#This Row],[Current Age]]&gt;19,"Men's",IF(E3972&gt;15,"U19",IF(E3972&gt;13,"U15",IF(E3972&gt;11,"U13",IF(E3972&gt;0,"U11",0)))))</f>
        <v>0</v>
      </c>
      <c r="E3972" s="456">
        <f>IFERROR(IF(Table10[[#This Row],[Year]]&gt;0,$E$1-Table10[[#This Row],[Year]],0),"")</f>
        <v>0</v>
      </c>
      <c r="F3972" s="456"/>
      <c r="G3972" s="456"/>
      <c r="H3972" s="456"/>
    </row>
    <row r="3973" spans="1:8">
      <c r="A3973" s="696">
        <v>4970</v>
      </c>
      <c r="B3973" s="469"/>
      <c r="C3973" s="458"/>
      <c r="D3973" s="456">
        <f>IF(Table10[[#This Row],[Current Age]]&gt;19,"Men's",IF(E3973&gt;15,"U19",IF(E3973&gt;13,"U15",IF(E3973&gt;11,"U13",IF(E3973&gt;0,"U11",0)))))</f>
        <v>0</v>
      </c>
      <c r="E3973" s="456">
        <f>IFERROR(IF(Table10[[#This Row],[Year]]&gt;0,$E$1-Table10[[#This Row],[Year]],0),"")</f>
        <v>0</v>
      </c>
      <c r="F3973" s="456"/>
      <c r="G3973" s="456"/>
      <c r="H3973" s="456"/>
    </row>
    <row r="3974" spans="1:8">
      <c r="A3974" s="696">
        <v>4971</v>
      </c>
      <c r="B3974" s="469"/>
      <c r="C3974" s="458"/>
      <c r="D3974" s="456">
        <f>IF(Table10[[#This Row],[Current Age]]&gt;19,"Men's",IF(E3974&gt;15,"U19",IF(E3974&gt;13,"U15",IF(E3974&gt;11,"U13",IF(E3974&gt;0,"U11",0)))))</f>
        <v>0</v>
      </c>
      <c r="E3974" s="456">
        <f>IFERROR(IF(Table10[[#This Row],[Year]]&gt;0,$E$1-Table10[[#This Row],[Year]],0),"")</f>
        <v>0</v>
      </c>
      <c r="F3974" s="456"/>
      <c r="G3974" s="456"/>
      <c r="H3974" s="456"/>
    </row>
    <row r="3975" spans="1:8">
      <c r="A3975" s="696">
        <v>4972</v>
      </c>
      <c r="B3975" s="469"/>
      <c r="C3975" s="458"/>
      <c r="D3975" s="456">
        <f>IF(Table10[[#This Row],[Current Age]]&gt;19,"Men's",IF(E3975&gt;15,"U19",IF(E3975&gt;13,"U15",IF(E3975&gt;11,"U13",IF(E3975&gt;0,"U11",0)))))</f>
        <v>0</v>
      </c>
      <c r="E3975" s="456">
        <f>IFERROR(IF(Table10[[#This Row],[Year]]&gt;0,$E$1-Table10[[#This Row],[Year]],0),"")</f>
        <v>0</v>
      </c>
      <c r="F3975" s="456"/>
      <c r="G3975" s="456"/>
      <c r="H3975" s="456"/>
    </row>
    <row r="3976" spans="1:8">
      <c r="A3976" s="696">
        <v>4973</v>
      </c>
      <c r="B3976" s="469"/>
      <c r="C3976" s="458"/>
      <c r="D3976" s="456">
        <f>IF(Table10[[#This Row],[Current Age]]&gt;19,"Men's",IF(E3976&gt;15,"U19",IF(E3976&gt;13,"U15",IF(E3976&gt;11,"U13",IF(E3976&gt;0,"U11",0)))))</f>
        <v>0</v>
      </c>
      <c r="E3976" s="456">
        <f>IFERROR(IF(Table10[[#This Row],[Year]]&gt;0,$E$1-Table10[[#This Row],[Year]],0),"")</f>
        <v>0</v>
      </c>
      <c r="F3976" s="456"/>
      <c r="G3976" s="456"/>
      <c r="H3976" s="456"/>
    </row>
    <row r="3977" spans="1:8">
      <c r="A3977" s="696">
        <v>4974</v>
      </c>
      <c r="B3977" s="469"/>
      <c r="C3977" s="458"/>
      <c r="D3977" s="456">
        <f>IF(Table10[[#This Row],[Current Age]]&gt;19,"Men's",IF(E3977&gt;15,"U19",IF(E3977&gt;13,"U15",IF(E3977&gt;11,"U13",IF(E3977&gt;0,"U11",0)))))</f>
        <v>0</v>
      </c>
      <c r="E3977" s="456">
        <f>IFERROR(IF(Table10[[#This Row],[Year]]&gt;0,$E$1-Table10[[#This Row],[Year]],0),"")</f>
        <v>0</v>
      </c>
      <c r="F3977" s="456"/>
      <c r="G3977" s="456"/>
      <c r="H3977" s="456"/>
    </row>
    <row r="3978" spans="1:8">
      <c r="A3978" s="696">
        <v>4975</v>
      </c>
      <c r="B3978" s="469"/>
      <c r="C3978" s="458"/>
      <c r="D3978" s="456">
        <f>IF(Table10[[#This Row],[Current Age]]&gt;19,"Men's",IF(E3978&gt;15,"U19",IF(E3978&gt;13,"U15",IF(E3978&gt;11,"U13",IF(E3978&gt;0,"U11",0)))))</f>
        <v>0</v>
      </c>
      <c r="E3978" s="456">
        <f>IFERROR(IF(Table10[[#This Row],[Year]]&gt;0,$E$1-Table10[[#This Row],[Year]],0),"")</f>
        <v>0</v>
      </c>
      <c r="F3978" s="456"/>
      <c r="G3978" s="456"/>
      <c r="H3978" s="456"/>
    </row>
    <row r="3979" spans="1:8">
      <c r="A3979" s="696">
        <v>4976</v>
      </c>
      <c r="B3979" s="469"/>
      <c r="C3979" s="458"/>
      <c r="D3979" s="456">
        <f>IF(Table10[[#This Row],[Current Age]]&gt;19,"Men's",IF(E3979&gt;15,"U19",IF(E3979&gt;13,"U15",IF(E3979&gt;11,"U13",IF(E3979&gt;0,"U11",0)))))</f>
        <v>0</v>
      </c>
      <c r="E3979" s="456">
        <f>IFERROR(IF(Table10[[#This Row],[Year]]&gt;0,$E$1-Table10[[#This Row],[Year]],0),"")</f>
        <v>0</v>
      </c>
      <c r="F3979" s="456"/>
      <c r="G3979" s="456"/>
      <c r="H3979" s="456"/>
    </row>
    <row r="3980" spans="1:8">
      <c r="A3980" s="696">
        <v>4977</v>
      </c>
      <c r="B3980" s="469"/>
      <c r="C3980" s="458"/>
      <c r="D3980" s="456">
        <f>IF(Table10[[#This Row],[Current Age]]&gt;19,"Men's",IF(E3980&gt;15,"U19",IF(E3980&gt;13,"U15",IF(E3980&gt;11,"U13",IF(E3980&gt;0,"U11",0)))))</f>
        <v>0</v>
      </c>
      <c r="E3980" s="456">
        <f>IFERROR(IF(Table10[[#This Row],[Year]]&gt;0,$E$1-Table10[[#This Row],[Year]],0),"")</f>
        <v>0</v>
      </c>
      <c r="F3980" s="456"/>
      <c r="G3980" s="456"/>
      <c r="H3980" s="456"/>
    </row>
    <row r="3981" spans="1:8">
      <c r="A3981" s="696">
        <v>4978</v>
      </c>
      <c r="B3981" s="469"/>
      <c r="C3981" s="458"/>
      <c r="D3981" s="456">
        <f>IF(Table10[[#This Row],[Current Age]]&gt;19,"Men's",IF(E3981&gt;15,"U19",IF(E3981&gt;13,"U15",IF(E3981&gt;11,"U13",IF(E3981&gt;0,"U11",0)))))</f>
        <v>0</v>
      </c>
      <c r="E3981" s="456">
        <f>IFERROR(IF(Table10[[#This Row],[Year]]&gt;0,$E$1-Table10[[#This Row],[Year]],0),"")</f>
        <v>0</v>
      </c>
      <c r="F3981" s="456"/>
      <c r="G3981" s="456"/>
      <c r="H3981" s="456"/>
    </row>
    <row r="3982" spans="1:8">
      <c r="A3982" s="696">
        <v>4979</v>
      </c>
      <c r="B3982" s="469"/>
      <c r="C3982" s="458"/>
      <c r="D3982" s="456">
        <f>IF(Table10[[#This Row],[Current Age]]&gt;19,"Men's",IF(E3982&gt;15,"U19",IF(E3982&gt;13,"U15",IF(E3982&gt;11,"U13",IF(E3982&gt;0,"U11",0)))))</f>
        <v>0</v>
      </c>
      <c r="E3982" s="456">
        <f>IFERROR(IF(Table10[[#This Row],[Year]]&gt;0,$E$1-Table10[[#This Row],[Year]],0),"")</f>
        <v>0</v>
      </c>
      <c r="F3982" s="456"/>
      <c r="G3982" s="456"/>
      <c r="H3982" s="456"/>
    </row>
    <row r="3983" spans="1:8">
      <c r="A3983" s="696">
        <v>4980</v>
      </c>
      <c r="B3983" s="469"/>
      <c r="C3983" s="458"/>
      <c r="D3983" s="456">
        <f>IF(Table10[[#This Row],[Current Age]]&gt;19,"Men's",IF(E3983&gt;15,"U19",IF(E3983&gt;13,"U15",IF(E3983&gt;11,"U13",IF(E3983&gt;0,"U11",0)))))</f>
        <v>0</v>
      </c>
      <c r="E3983" s="456">
        <f>IFERROR(IF(Table10[[#This Row],[Year]]&gt;0,$E$1-Table10[[#This Row],[Year]],0),"")</f>
        <v>0</v>
      </c>
      <c r="F3983" s="456"/>
      <c r="G3983" s="456"/>
      <c r="H3983" s="456"/>
    </row>
    <row r="3984" spans="1:8">
      <c r="A3984" s="696">
        <v>4981</v>
      </c>
      <c r="B3984" s="469"/>
      <c r="C3984" s="458"/>
      <c r="D3984" s="456">
        <f>IF(Table10[[#This Row],[Current Age]]&gt;19,"Men's",IF(E3984&gt;15,"U19",IF(E3984&gt;13,"U15",IF(E3984&gt;11,"U13",IF(E3984&gt;0,"U11",0)))))</f>
        <v>0</v>
      </c>
      <c r="E3984" s="456">
        <f>IFERROR(IF(Table10[[#This Row],[Year]]&gt;0,$E$1-Table10[[#This Row],[Year]],0),"")</f>
        <v>0</v>
      </c>
      <c r="F3984" s="456"/>
      <c r="G3984" s="456"/>
      <c r="H3984" s="456"/>
    </row>
    <row r="3985" spans="1:8">
      <c r="A3985" s="696">
        <v>4982</v>
      </c>
      <c r="B3985" s="469"/>
      <c r="C3985" s="458"/>
      <c r="D3985" s="456">
        <f>IF(Table10[[#This Row],[Current Age]]&gt;19,"Men's",IF(E3985&gt;15,"U19",IF(E3985&gt;13,"U15",IF(E3985&gt;11,"U13",IF(E3985&gt;0,"U11",0)))))</f>
        <v>0</v>
      </c>
      <c r="E3985" s="456">
        <f>IFERROR(IF(Table10[[#This Row],[Year]]&gt;0,$E$1-Table10[[#This Row],[Year]],0),"")</f>
        <v>0</v>
      </c>
      <c r="F3985" s="456"/>
      <c r="G3985" s="456"/>
      <c r="H3985" s="456"/>
    </row>
    <row r="3986" spans="1:8">
      <c r="A3986" s="696">
        <v>4983</v>
      </c>
      <c r="B3986" s="469"/>
      <c r="C3986" s="458"/>
      <c r="D3986" s="456">
        <f>IF(Table10[[#This Row],[Current Age]]&gt;19,"Men's",IF(E3986&gt;15,"U19",IF(E3986&gt;13,"U15",IF(E3986&gt;11,"U13",IF(E3986&gt;0,"U11",0)))))</f>
        <v>0</v>
      </c>
      <c r="E3986" s="456">
        <f>IFERROR(IF(Table10[[#This Row],[Year]]&gt;0,$E$1-Table10[[#This Row],[Year]],0),"")</f>
        <v>0</v>
      </c>
      <c r="F3986" s="456"/>
      <c r="G3986" s="456"/>
      <c r="H3986" s="456"/>
    </row>
    <row r="3987" spans="1:8">
      <c r="A3987" s="696">
        <v>4984</v>
      </c>
      <c r="B3987" s="469"/>
      <c r="C3987" s="458"/>
      <c r="D3987" s="456">
        <f>IF(Table10[[#This Row],[Current Age]]&gt;19,"Men's",IF(E3987&gt;15,"U19",IF(E3987&gt;13,"U15",IF(E3987&gt;11,"U13",IF(E3987&gt;0,"U11",0)))))</f>
        <v>0</v>
      </c>
      <c r="E3987" s="456">
        <f>IFERROR(IF(Table10[[#This Row],[Year]]&gt;0,$E$1-Table10[[#This Row],[Year]],0),"")</f>
        <v>0</v>
      </c>
      <c r="F3987" s="456"/>
      <c r="G3987" s="456"/>
      <c r="H3987" s="456"/>
    </row>
    <row r="3988" spans="1:8">
      <c r="A3988" s="696">
        <v>4985</v>
      </c>
      <c r="B3988" s="469"/>
      <c r="C3988" s="458"/>
      <c r="D3988" s="456">
        <f>IF(Table10[[#This Row],[Current Age]]&gt;19,"Men's",IF(E3988&gt;15,"U19",IF(E3988&gt;13,"U15",IF(E3988&gt;11,"U13",IF(E3988&gt;0,"U11",0)))))</f>
        <v>0</v>
      </c>
      <c r="E3988" s="456">
        <f>IFERROR(IF(Table10[[#This Row],[Year]]&gt;0,$E$1-Table10[[#This Row],[Year]],0),"")</f>
        <v>0</v>
      </c>
      <c r="F3988" s="456"/>
      <c r="G3988" s="456"/>
      <c r="H3988" s="456"/>
    </row>
    <row r="3989" spans="1:8">
      <c r="A3989" s="696">
        <v>4986</v>
      </c>
      <c r="B3989" s="469"/>
      <c r="C3989" s="458"/>
      <c r="D3989" s="456">
        <f>IF(Table10[[#This Row],[Current Age]]&gt;19,"Men's",IF(E3989&gt;15,"U19",IF(E3989&gt;13,"U15",IF(E3989&gt;11,"U13",IF(E3989&gt;0,"U11",0)))))</f>
        <v>0</v>
      </c>
      <c r="E3989" s="456">
        <f>IFERROR(IF(Table10[[#This Row],[Year]]&gt;0,$E$1-Table10[[#This Row],[Year]],0),"")</f>
        <v>0</v>
      </c>
      <c r="F3989" s="456"/>
      <c r="G3989" s="456"/>
      <c r="H3989" s="456"/>
    </row>
    <row r="3990" spans="1:8">
      <c r="A3990" s="696">
        <v>4987</v>
      </c>
      <c r="B3990" s="469"/>
      <c r="C3990" s="458"/>
      <c r="D3990" s="456">
        <f>IF(Table10[[#This Row],[Current Age]]&gt;19,"Men's",IF(E3990&gt;15,"U19",IF(E3990&gt;13,"U15",IF(E3990&gt;11,"U13",IF(E3990&gt;0,"U11",0)))))</f>
        <v>0</v>
      </c>
      <c r="E3990" s="456">
        <f>IFERROR(IF(Table10[[#This Row],[Year]]&gt;0,$E$1-Table10[[#This Row],[Year]],0),"")</f>
        <v>0</v>
      </c>
      <c r="F3990" s="456"/>
      <c r="G3990" s="456"/>
      <c r="H3990" s="456"/>
    </row>
    <row r="3991" spans="1:8">
      <c r="A3991" s="696">
        <v>4988</v>
      </c>
      <c r="B3991" s="469"/>
      <c r="C3991" s="458"/>
      <c r="D3991" s="456">
        <f>IF(Table10[[#This Row],[Current Age]]&gt;19,"Men's",IF(E3991&gt;15,"U19",IF(E3991&gt;13,"U15",IF(E3991&gt;11,"U13",IF(E3991&gt;0,"U11",0)))))</f>
        <v>0</v>
      </c>
      <c r="E3991" s="456">
        <f>IFERROR(IF(Table10[[#This Row],[Year]]&gt;0,$E$1-Table10[[#This Row],[Year]],0),"")</f>
        <v>0</v>
      </c>
      <c r="F3991" s="456"/>
      <c r="G3991" s="456"/>
      <c r="H3991" s="456"/>
    </row>
    <row r="3992" spans="1:8">
      <c r="A3992" s="696">
        <v>4989</v>
      </c>
      <c r="B3992" s="469"/>
      <c r="C3992" s="458"/>
      <c r="D3992" s="456">
        <f>IF(Table10[[#This Row],[Current Age]]&gt;19,"Men's",IF(E3992&gt;15,"U19",IF(E3992&gt;13,"U15",IF(E3992&gt;11,"U13",IF(E3992&gt;0,"U11",0)))))</f>
        <v>0</v>
      </c>
      <c r="E3992" s="456">
        <f>IFERROR(IF(Table10[[#This Row],[Year]]&gt;0,$E$1-Table10[[#This Row],[Year]],0),"")</f>
        <v>0</v>
      </c>
      <c r="F3992" s="456"/>
      <c r="G3992" s="456"/>
      <c r="H3992" s="456"/>
    </row>
    <row r="3993" spans="1:8">
      <c r="A3993" s="696">
        <v>4990</v>
      </c>
      <c r="B3993" s="469"/>
      <c r="C3993" s="458"/>
      <c r="D3993" s="456">
        <f>IF(Table10[[#This Row],[Current Age]]&gt;19,"Men's",IF(E3993&gt;15,"U19",IF(E3993&gt;13,"U15",IF(E3993&gt;11,"U13",IF(E3993&gt;0,"U11",0)))))</f>
        <v>0</v>
      </c>
      <c r="E3993" s="456">
        <f>IFERROR(IF(Table10[[#This Row],[Year]]&gt;0,$E$1-Table10[[#This Row],[Year]],0),"")</f>
        <v>0</v>
      </c>
      <c r="F3993" s="456"/>
      <c r="G3993" s="456"/>
      <c r="H3993" s="456"/>
    </row>
    <row r="3994" spans="1:8">
      <c r="A3994" s="696">
        <v>4991</v>
      </c>
      <c r="B3994" s="469"/>
      <c r="C3994" s="458"/>
      <c r="D3994" s="456">
        <f>IF(Table10[[#This Row],[Current Age]]&gt;19,"Men's",IF(E3994&gt;15,"U19",IF(E3994&gt;13,"U15",IF(E3994&gt;11,"U13",IF(E3994&gt;0,"U11",0)))))</f>
        <v>0</v>
      </c>
      <c r="E3994" s="456">
        <f>IFERROR(IF(Table10[[#This Row],[Year]]&gt;0,$E$1-Table10[[#This Row],[Year]],0),"")</f>
        <v>0</v>
      </c>
      <c r="F3994" s="456"/>
      <c r="G3994" s="456"/>
      <c r="H3994" s="456"/>
    </row>
    <row r="3995" spans="1:8">
      <c r="A3995" s="696">
        <v>4992</v>
      </c>
      <c r="B3995" s="469"/>
      <c r="C3995" s="458"/>
      <c r="D3995" s="456">
        <f>IF(Table10[[#This Row],[Current Age]]&gt;19,"Men's",IF(E3995&gt;15,"U19",IF(E3995&gt;13,"U15",IF(E3995&gt;11,"U13",IF(E3995&gt;0,"U11",0)))))</f>
        <v>0</v>
      </c>
      <c r="E3995" s="456">
        <f>IFERROR(IF(Table10[[#This Row],[Year]]&gt;0,$E$1-Table10[[#This Row],[Year]],0),"")</f>
        <v>0</v>
      </c>
      <c r="F3995" s="456"/>
      <c r="G3995" s="456"/>
      <c r="H3995" s="456"/>
    </row>
    <row r="3996" spans="1:8">
      <c r="A3996" s="696">
        <v>4993</v>
      </c>
      <c r="B3996" s="469"/>
      <c r="C3996" s="458"/>
      <c r="D3996" s="456">
        <f>IF(Table10[[#This Row],[Current Age]]&gt;19,"Men's",IF(E3996&gt;15,"U19",IF(E3996&gt;13,"U15",IF(E3996&gt;11,"U13",IF(E3996&gt;0,"U11",0)))))</f>
        <v>0</v>
      </c>
      <c r="E3996" s="456">
        <f>IFERROR(IF(Table10[[#This Row],[Year]]&gt;0,$E$1-Table10[[#This Row],[Year]],0),"")</f>
        <v>0</v>
      </c>
      <c r="F3996" s="456"/>
      <c r="G3996" s="456"/>
      <c r="H3996" s="456"/>
    </row>
    <row r="3997" spans="1:8">
      <c r="A3997" s="696">
        <v>4994</v>
      </c>
      <c r="B3997" s="469"/>
      <c r="C3997" s="458"/>
      <c r="D3997" s="456">
        <f>IF(Table10[[#This Row],[Current Age]]&gt;19,"Men's",IF(E3997&gt;15,"U19",IF(E3997&gt;13,"U15",IF(E3997&gt;11,"U13",IF(E3997&gt;0,"U11",0)))))</f>
        <v>0</v>
      </c>
      <c r="E3997" s="456">
        <f>IFERROR(IF(Table10[[#This Row],[Year]]&gt;0,$E$1-Table10[[#This Row],[Year]],0),"")</f>
        <v>0</v>
      </c>
      <c r="F3997" s="456"/>
      <c r="G3997" s="456"/>
      <c r="H3997" s="456"/>
    </row>
    <row r="3998" spans="1:8">
      <c r="A3998" s="696">
        <v>4995</v>
      </c>
      <c r="B3998" s="469"/>
      <c r="C3998" s="458"/>
      <c r="D3998" s="456">
        <f>IF(Table10[[#This Row],[Current Age]]&gt;19,"Men's",IF(E3998&gt;15,"U19",IF(E3998&gt;13,"U15",IF(E3998&gt;11,"U13",IF(E3998&gt;0,"U11",0)))))</f>
        <v>0</v>
      </c>
      <c r="E3998" s="456">
        <f>IFERROR(IF(Table10[[#This Row],[Year]]&gt;0,$E$1-Table10[[#This Row],[Year]],0),"")</f>
        <v>0</v>
      </c>
      <c r="F3998" s="456"/>
      <c r="G3998" s="456"/>
      <c r="H3998" s="456"/>
    </row>
    <row r="3999" spans="1:8">
      <c r="A3999" s="696">
        <v>4996</v>
      </c>
      <c r="B3999" s="469"/>
      <c r="C3999" s="458"/>
      <c r="D3999" s="456">
        <f>IF(Table10[[#This Row],[Current Age]]&gt;19,"Men's",IF(E3999&gt;15,"U19",IF(E3999&gt;13,"U15",IF(E3999&gt;11,"U13",IF(E3999&gt;0,"U11",0)))))</f>
        <v>0</v>
      </c>
      <c r="E3999" s="456">
        <f>IFERROR(IF(Table10[[#This Row],[Year]]&gt;0,$E$1-Table10[[#This Row],[Year]],0),"")</f>
        <v>0</v>
      </c>
      <c r="F3999" s="456"/>
      <c r="G3999" s="456"/>
      <c r="H3999" s="456"/>
    </row>
    <row r="4000" spans="1:8">
      <c r="A4000" s="696">
        <v>4997</v>
      </c>
      <c r="B4000" s="469"/>
      <c r="C4000" s="458"/>
      <c r="D4000" s="456">
        <f>IF(Table10[[#This Row],[Current Age]]&gt;19,"Men's",IF(E4000&gt;15,"U19",IF(E4000&gt;13,"U15",IF(E4000&gt;11,"U13",IF(E4000&gt;0,"U11",0)))))</f>
        <v>0</v>
      </c>
      <c r="E4000" s="456">
        <f>IFERROR(IF(Table10[[#This Row],[Year]]&gt;0,$E$1-Table10[[#This Row],[Year]],0),"")</f>
        <v>0</v>
      </c>
      <c r="F4000" s="456"/>
      <c r="G4000" s="456"/>
      <c r="H4000" s="456"/>
    </row>
    <row r="4001" spans="1:8">
      <c r="A4001" s="696">
        <v>4998</v>
      </c>
      <c r="B4001" s="469"/>
      <c r="C4001" s="458"/>
      <c r="D4001" s="456">
        <f>IF(Table10[[#This Row],[Current Age]]&gt;19,"Men's",IF(E4001&gt;15,"U19",IF(E4001&gt;13,"U15",IF(E4001&gt;11,"U13",IF(E4001&gt;0,"U11",0)))))</f>
        <v>0</v>
      </c>
      <c r="E4001" s="456">
        <f>IFERROR(IF(Table10[[#This Row],[Year]]&gt;0,$E$1-Table10[[#This Row],[Year]],0),"")</f>
        <v>0</v>
      </c>
      <c r="F4001" s="456"/>
      <c r="G4001" s="456"/>
      <c r="H4001" s="456"/>
    </row>
    <row r="4002" spans="1:8">
      <c r="A4002" s="696">
        <v>4999</v>
      </c>
      <c r="B4002" s="469"/>
      <c r="C4002" s="458"/>
      <c r="D4002" s="456">
        <f>IF(Table10[[#This Row],[Current Age]]&gt;19,"Men's",IF(E4002&gt;15,"U19",IF(E4002&gt;13,"U15",IF(E4002&gt;11,"U13",IF(E4002&gt;0,"U11",0)))))</f>
        <v>0</v>
      </c>
      <c r="E4002" s="456">
        <f>IFERROR(IF(Table10[[#This Row],[Year]]&gt;0,$E$1-Table10[[#This Row],[Year]],0),"")</f>
        <v>0</v>
      </c>
      <c r="F4002" s="456"/>
      <c r="G4002" s="456"/>
      <c r="H4002" s="456"/>
    </row>
    <row r="4003" spans="1:8">
      <c r="A4003" s="696">
        <v>5000</v>
      </c>
      <c r="B4003" s="469"/>
      <c r="C4003" s="458"/>
      <c r="D4003" s="456">
        <f>IF(Table10[[#This Row],[Current Age]]&gt;19,"Men's",IF(E4003&gt;15,"U19",IF(E4003&gt;13,"U15",IF(E4003&gt;11,"U13",IF(E4003&gt;0,"U11",0)))))</f>
        <v>0</v>
      </c>
      <c r="E4003" s="456">
        <f>IFERROR(IF(Table10[[#This Row],[Year]]&gt;0,$E$1-Table10[[#This Row],[Year]],0),"")</f>
        <v>0</v>
      </c>
      <c r="F4003" s="456"/>
      <c r="G4003" s="456"/>
      <c r="H4003" s="456"/>
    </row>
    <row r="4004" spans="1:8">
      <c r="A4004" s="696">
        <v>5001</v>
      </c>
      <c r="B4004" s="469"/>
      <c r="C4004" s="458"/>
      <c r="D4004" s="456">
        <f>IF(Table10[[#This Row],[Current Age]]&gt;19,"Men's",IF(E4004&gt;15,"U19",IF(E4004&gt;13,"U15",IF(E4004&gt;11,"U13",IF(E4004&gt;0,"U11",0)))))</f>
        <v>0</v>
      </c>
      <c r="E4004" s="456">
        <f>IFERROR(IF(Table10[[#This Row],[Year]]&gt;0,$E$1-Table10[[#This Row],[Year]],0),"")</f>
        <v>0</v>
      </c>
      <c r="F4004" s="456"/>
      <c r="G4004" s="456"/>
      <c r="H4004" s="456"/>
    </row>
    <row r="4005" spans="1:8">
      <c r="A4005" s="696">
        <v>5002</v>
      </c>
      <c r="B4005" s="469"/>
      <c r="C4005" s="458"/>
      <c r="D4005" s="456">
        <f>IF(Table10[[#This Row],[Current Age]]&gt;19,"Men's",IF(E4005&gt;15,"U19",IF(E4005&gt;13,"U15",IF(E4005&gt;11,"U13",IF(E4005&gt;0,"U11",0)))))</f>
        <v>0</v>
      </c>
      <c r="E4005" s="456">
        <f>IFERROR(IF(Table10[[#This Row],[Year]]&gt;0,$E$1-Table10[[#This Row],[Year]],0),"")</f>
        <v>0</v>
      </c>
      <c r="F4005" s="456"/>
      <c r="G4005" s="456"/>
      <c r="H4005" s="456"/>
    </row>
    <row r="4006" spans="1:8">
      <c r="A4006" s="696">
        <v>5003</v>
      </c>
      <c r="B4006" s="469"/>
      <c r="C4006" s="458"/>
      <c r="D4006" s="456">
        <f>IF(Table10[[#This Row],[Current Age]]&gt;19,"Men's",IF(E4006&gt;15,"U19",IF(E4006&gt;13,"U15",IF(E4006&gt;11,"U13",IF(E4006&gt;0,"U11",0)))))</f>
        <v>0</v>
      </c>
      <c r="E4006" s="456">
        <f>IFERROR(IF(Table10[[#This Row],[Year]]&gt;0,$E$1-Table10[[#This Row],[Year]],0),"")</f>
        <v>0</v>
      </c>
      <c r="F4006" s="456"/>
      <c r="G4006" s="456"/>
      <c r="H4006" s="456"/>
    </row>
    <row r="4007" spans="1:8">
      <c r="A4007" s="696">
        <v>5004</v>
      </c>
      <c r="B4007" s="469"/>
      <c r="C4007" s="458"/>
      <c r="D4007" s="456">
        <f>IF(Table10[[#This Row],[Current Age]]&gt;19,"Men's",IF(E4007&gt;15,"U19",IF(E4007&gt;13,"U15",IF(E4007&gt;11,"U13",IF(E4007&gt;0,"U11",0)))))</f>
        <v>0</v>
      </c>
      <c r="E4007" s="456">
        <f>IFERROR(IF(Table10[[#This Row],[Year]]&gt;0,$E$1-Table10[[#This Row],[Year]],0),"")</f>
        <v>0</v>
      </c>
      <c r="F4007" s="456"/>
      <c r="G4007" s="456"/>
      <c r="H4007" s="456"/>
    </row>
    <row r="4008" spans="1:8">
      <c r="A4008" s="696">
        <v>5005</v>
      </c>
      <c r="B4008" s="469"/>
      <c r="C4008" s="458"/>
      <c r="D4008" s="456">
        <f>IF(Table10[[#This Row],[Current Age]]&gt;19,"Men's",IF(E4008&gt;15,"U19",IF(E4008&gt;13,"U15",IF(E4008&gt;11,"U13",IF(E4008&gt;0,"U11",0)))))</f>
        <v>0</v>
      </c>
      <c r="E4008" s="456">
        <f>IFERROR(IF(Table10[[#This Row],[Year]]&gt;0,$E$1-Table10[[#This Row],[Year]],0),"")</f>
        <v>0</v>
      </c>
      <c r="F4008" s="456"/>
      <c r="G4008" s="456"/>
      <c r="H4008" s="456"/>
    </row>
    <row r="4009" spans="1:8">
      <c r="A4009" s="696">
        <v>5006</v>
      </c>
      <c r="B4009" s="469"/>
      <c r="C4009" s="458"/>
      <c r="D4009" s="456">
        <f>IF(Table10[[#This Row],[Current Age]]&gt;19,"Men's",IF(E4009&gt;15,"U19",IF(E4009&gt;13,"U15",IF(E4009&gt;11,"U13",IF(E4009&gt;0,"U11",0)))))</f>
        <v>0</v>
      </c>
      <c r="E4009" s="456">
        <f>IFERROR(IF(Table10[[#This Row],[Year]]&gt;0,$E$1-Table10[[#This Row],[Year]],0),"")</f>
        <v>0</v>
      </c>
      <c r="F4009" s="456"/>
      <c r="G4009" s="456"/>
      <c r="H4009" s="456"/>
    </row>
    <row r="4010" spans="1:8">
      <c r="A4010" s="696">
        <v>5007</v>
      </c>
      <c r="B4010" s="469"/>
      <c r="C4010" s="458"/>
      <c r="D4010" s="456">
        <f>IF(Table10[[#This Row],[Current Age]]&gt;19,"Men's",IF(E4010&gt;15,"U19",IF(E4010&gt;13,"U15",IF(E4010&gt;11,"U13",IF(E4010&gt;0,"U11",0)))))</f>
        <v>0</v>
      </c>
      <c r="E4010" s="456">
        <f>IFERROR(IF(Table10[[#This Row],[Year]]&gt;0,$E$1-Table10[[#This Row],[Year]],0),"")</f>
        <v>0</v>
      </c>
      <c r="F4010" s="456"/>
      <c r="G4010" s="456"/>
      <c r="H4010" s="456"/>
    </row>
    <row r="4011" spans="1:8">
      <c r="A4011" s="696">
        <v>5008</v>
      </c>
      <c r="B4011" s="469"/>
      <c r="C4011" s="458"/>
      <c r="D4011" s="456">
        <f>IF(Table10[[#This Row],[Current Age]]&gt;19,"Men's",IF(E4011&gt;15,"U19",IF(E4011&gt;13,"U15",IF(E4011&gt;11,"U13",IF(E4011&gt;0,"U11",0)))))</f>
        <v>0</v>
      </c>
      <c r="E4011" s="456">
        <f>IFERROR(IF(Table10[[#This Row],[Year]]&gt;0,$E$1-Table10[[#This Row],[Year]],0),"")</f>
        <v>0</v>
      </c>
      <c r="F4011" s="456"/>
      <c r="G4011" s="456"/>
      <c r="H4011" s="456"/>
    </row>
    <row r="4012" spans="1:8">
      <c r="A4012" s="696">
        <v>5009</v>
      </c>
      <c r="B4012" s="469"/>
      <c r="C4012" s="458"/>
      <c r="D4012" s="456">
        <f>IF(Table10[[#This Row],[Current Age]]&gt;19,"Men's",IF(E4012&gt;15,"U19",IF(E4012&gt;13,"U15",IF(E4012&gt;11,"U13",IF(E4012&gt;0,"U11",0)))))</f>
        <v>0</v>
      </c>
      <c r="E4012" s="456">
        <f>IFERROR(IF(Table10[[#This Row],[Year]]&gt;0,$E$1-Table10[[#This Row],[Year]],0),"")</f>
        <v>0</v>
      </c>
      <c r="F4012" s="456"/>
      <c r="G4012" s="456"/>
      <c r="H4012" s="456"/>
    </row>
    <row r="4013" spans="1:8">
      <c r="A4013" s="696">
        <v>5010</v>
      </c>
      <c r="B4013" s="469"/>
      <c r="C4013" s="458"/>
      <c r="D4013" s="456">
        <f>IF(Table10[[#This Row],[Current Age]]&gt;19,"Men's",IF(E4013&gt;15,"U19",IF(E4013&gt;13,"U15",IF(E4013&gt;11,"U13",IF(E4013&gt;0,"U11",0)))))</f>
        <v>0</v>
      </c>
      <c r="E4013" s="456">
        <f>IFERROR(IF(Table10[[#This Row],[Year]]&gt;0,$E$1-Table10[[#This Row],[Year]],0),"")</f>
        <v>0</v>
      </c>
      <c r="F4013" s="456"/>
      <c r="G4013" s="456"/>
      <c r="H4013" s="456"/>
    </row>
    <row r="4014" spans="1:8">
      <c r="A4014" s="696">
        <v>5011</v>
      </c>
      <c r="B4014" s="469"/>
      <c r="C4014" s="458"/>
      <c r="D4014" s="456">
        <f>IF(Table10[[#This Row],[Current Age]]&gt;19,"Men's",IF(E4014&gt;15,"U19",IF(E4014&gt;13,"U15",IF(E4014&gt;11,"U13",IF(E4014&gt;0,"U11",0)))))</f>
        <v>0</v>
      </c>
      <c r="E4014" s="456">
        <f>IFERROR(IF(Table10[[#This Row],[Year]]&gt;0,$E$1-Table10[[#This Row],[Year]],0),"")</f>
        <v>0</v>
      </c>
      <c r="F4014" s="456"/>
      <c r="G4014" s="456"/>
      <c r="H4014" s="456"/>
    </row>
    <row r="4015" spans="1:8">
      <c r="A4015" s="696">
        <v>5012</v>
      </c>
      <c r="B4015" s="469"/>
      <c r="C4015" s="458"/>
      <c r="D4015" s="456">
        <f>IF(Table10[[#This Row],[Current Age]]&gt;19,"Men's",IF(E4015&gt;15,"U19",IF(E4015&gt;13,"U15",IF(E4015&gt;11,"U13",IF(E4015&gt;0,"U11",0)))))</f>
        <v>0</v>
      </c>
      <c r="E4015" s="456">
        <f>IFERROR(IF(Table10[[#This Row],[Year]]&gt;0,$E$1-Table10[[#This Row],[Year]],0),"")</f>
        <v>0</v>
      </c>
      <c r="F4015" s="456"/>
      <c r="G4015" s="456"/>
      <c r="H4015" s="456"/>
    </row>
    <row r="4016" spans="1:8">
      <c r="A4016" s="696">
        <v>5013</v>
      </c>
      <c r="B4016" s="469"/>
      <c r="C4016" s="458"/>
      <c r="D4016" s="456">
        <f>IF(Table10[[#This Row],[Current Age]]&gt;19,"Men's",IF(E4016&gt;15,"U19",IF(E4016&gt;13,"U15",IF(E4016&gt;11,"U13",IF(E4016&gt;0,"U11",0)))))</f>
        <v>0</v>
      </c>
      <c r="E4016" s="456">
        <f>IFERROR(IF(Table10[[#This Row],[Year]]&gt;0,$E$1-Table10[[#This Row],[Year]],0),"")</f>
        <v>0</v>
      </c>
      <c r="F4016" s="456"/>
      <c r="G4016" s="456"/>
      <c r="H4016" s="456"/>
    </row>
    <row r="4017" spans="1:8">
      <c r="A4017" s="696">
        <v>5014</v>
      </c>
      <c r="B4017" s="469"/>
      <c r="C4017" s="458"/>
      <c r="D4017" s="456">
        <f>IF(Table10[[#This Row],[Current Age]]&gt;19,"Men's",IF(E4017&gt;15,"U19",IF(E4017&gt;13,"U15",IF(E4017&gt;11,"U13",IF(E4017&gt;0,"U11",0)))))</f>
        <v>0</v>
      </c>
      <c r="E4017" s="456">
        <f>IFERROR(IF(Table10[[#This Row],[Year]]&gt;0,$E$1-Table10[[#This Row],[Year]],0),"")</f>
        <v>0</v>
      </c>
      <c r="F4017" s="456"/>
      <c r="G4017" s="456"/>
      <c r="H4017" s="456"/>
    </row>
    <row r="4018" spans="1:8">
      <c r="A4018" s="696">
        <v>5015</v>
      </c>
      <c r="B4018" s="469"/>
      <c r="C4018" s="458"/>
      <c r="D4018" s="456">
        <f>IF(Table10[[#This Row],[Current Age]]&gt;19,"Men's",IF(E4018&gt;15,"U19",IF(E4018&gt;13,"U15",IF(E4018&gt;11,"U13",IF(E4018&gt;0,"U11",0)))))</f>
        <v>0</v>
      </c>
      <c r="E4018" s="456">
        <f>IFERROR(IF(Table10[[#This Row],[Year]]&gt;0,$E$1-Table10[[#This Row],[Year]],0),"")</f>
        <v>0</v>
      </c>
      <c r="F4018" s="456"/>
      <c r="G4018" s="456"/>
      <c r="H4018" s="456"/>
    </row>
    <row r="4019" spans="1:8">
      <c r="A4019" s="696">
        <v>5016</v>
      </c>
      <c r="B4019" s="469"/>
      <c r="C4019" s="458"/>
      <c r="D4019" s="456">
        <f>IF(Table10[[#This Row],[Current Age]]&gt;19,"Men's",IF(E4019&gt;15,"U19",IF(E4019&gt;13,"U15",IF(E4019&gt;11,"U13",IF(E4019&gt;0,"U11",0)))))</f>
        <v>0</v>
      </c>
      <c r="E4019" s="456">
        <f>IFERROR(IF(Table10[[#This Row],[Year]]&gt;0,$E$1-Table10[[#This Row],[Year]],0),"")</f>
        <v>0</v>
      </c>
      <c r="F4019" s="456"/>
      <c r="G4019" s="456"/>
      <c r="H4019" s="456"/>
    </row>
    <row r="4020" spans="1:8">
      <c r="A4020" s="696">
        <v>5017</v>
      </c>
      <c r="B4020" s="469"/>
      <c r="C4020" s="458"/>
      <c r="D4020" s="456">
        <f>IF(Table10[[#This Row],[Current Age]]&gt;19,"Men's",IF(E4020&gt;15,"U19",IF(E4020&gt;13,"U15",IF(E4020&gt;11,"U13",IF(E4020&gt;0,"U11",0)))))</f>
        <v>0</v>
      </c>
      <c r="E4020" s="456">
        <f>IFERROR(IF(Table10[[#This Row],[Year]]&gt;0,$E$1-Table10[[#This Row],[Year]],0),"")</f>
        <v>0</v>
      </c>
      <c r="F4020" s="456"/>
      <c r="G4020" s="456"/>
      <c r="H4020" s="456"/>
    </row>
    <row r="4021" spans="1:8">
      <c r="A4021" s="696">
        <v>5018</v>
      </c>
      <c r="B4021" s="469"/>
      <c r="C4021" s="458"/>
      <c r="D4021" s="456">
        <f>IF(Table10[[#This Row],[Current Age]]&gt;19,"Men's",IF(E4021&gt;15,"U19",IF(E4021&gt;13,"U15",IF(E4021&gt;11,"U13",IF(E4021&gt;0,"U11",0)))))</f>
        <v>0</v>
      </c>
      <c r="E4021" s="456">
        <f>IFERROR(IF(Table10[[#This Row],[Year]]&gt;0,$E$1-Table10[[#This Row],[Year]],0),"")</f>
        <v>0</v>
      </c>
      <c r="F4021" s="456"/>
      <c r="G4021" s="456"/>
      <c r="H4021" s="456"/>
    </row>
    <row r="4022" spans="1:8">
      <c r="A4022" s="696">
        <v>5019</v>
      </c>
      <c r="B4022" s="469"/>
      <c r="C4022" s="458"/>
      <c r="D4022" s="456">
        <f>IF(Table10[[#This Row],[Current Age]]&gt;19,"Men's",IF(E4022&gt;15,"U19",IF(E4022&gt;13,"U15",IF(E4022&gt;11,"U13",IF(E4022&gt;0,"U11",0)))))</f>
        <v>0</v>
      </c>
      <c r="E4022" s="456">
        <f>IFERROR(IF(Table10[[#This Row],[Year]]&gt;0,$E$1-Table10[[#This Row],[Year]],0),"")</f>
        <v>0</v>
      </c>
      <c r="F4022" s="456"/>
      <c r="G4022" s="456"/>
      <c r="H4022" s="456"/>
    </row>
    <row r="4023" spans="1:8">
      <c r="A4023" s="696">
        <v>5020</v>
      </c>
      <c r="B4023" s="469"/>
      <c r="C4023" s="458"/>
      <c r="D4023" s="456">
        <f>IF(Table10[[#This Row],[Current Age]]&gt;19,"Men's",IF(E4023&gt;15,"U19",IF(E4023&gt;13,"U15",IF(E4023&gt;11,"U13",IF(E4023&gt;0,"U11",0)))))</f>
        <v>0</v>
      </c>
      <c r="E4023" s="456">
        <f>IFERROR(IF(Table10[[#This Row],[Year]]&gt;0,$E$1-Table10[[#This Row],[Year]],0),"")</f>
        <v>0</v>
      </c>
      <c r="F4023" s="456"/>
      <c r="G4023" s="456"/>
      <c r="H4023" s="456"/>
    </row>
    <row r="4024" spans="1:8">
      <c r="A4024" s="696">
        <v>5021</v>
      </c>
      <c r="B4024" s="469"/>
      <c r="C4024" s="458"/>
      <c r="D4024" s="456">
        <f>IF(Table10[[#This Row],[Current Age]]&gt;19,"Men's",IF(E4024&gt;15,"U19",IF(E4024&gt;13,"U15",IF(E4024&gt;11,"U13",IF(E4024&gt;0,"U11",0)))))</f>
        <v>0</v>
      </c>
      <c r="E4024" s="456">
        <f>IFERROR(IF(Table10[[#This Row],[Year]]&gt;0,$E$1-Table10[[#This Row],[Year]],0),"")</f>
        <v>0</v>
      </c>
      <c r="F4024" s="456"/>
      <c r="G4024" s="456"/>
      <c r="H4024" s="456"/>
    </row>
    <row r="4025" spans="1:8">
      <c r="A4025" s="696">
        <v>5022</v>
      </c>
      <c r="B4025" s="469"/>
      <c r="C4025" s="458"/>
      <c r="D4025" s="456">
        <f>IF(Table10[[#This Row],[Current Age]]&gt;19,"Men's",IF(E4025&gt;15,"U19",IF(E4025&gt;13,"U15",IF(E4025&gt;11,"U13",IF(E4025&gt;0,"U11",0)))))</f>
        <v>0</v>
      </c>
      <c r="E4025" s="456">
        <f>IFERROR(IF(Table10[[#This Row],[Year]]&gt;0,$E$1-Table10[[#This Row],[Year]],0),"")</f>
        <v>0</v>
      </c>
      <c r="F4025" s="456"/>
      <c r="G4025" s="456"/>
      <c r="H4025" s="456"/>
    </row>
    <row r="4026" spans="1:8">
      <c r="A4026" s="696">
        <v>5023</v>
      </c>
      <c r="B4026" s="469"/>
      <c r="C4026" s="458"/>
      <c r="D4026" s="456">
        <f>IF(Table10[[#This Row],[Current Age]]&gt;19,"Men's",IF(E4026&gt;15,"U19",IF(E4026&gt;13,"U15",IF(E4026&gt;11,"U13",IF(E4026&gt;0,"U11",0)))))</f>
        <v>0</v>
      </c>
      <c r="E4026" s="456">
        <f>IFERROR(IF(Table10[[#This Row],[Year]]&gt;0,$E$1-Table10[[#This Row],[Year]],0),"")</f>
        <v>0</v>
      </c>
      <c r="F4026" s="456"/>
      <c r="G4026" s="456"/>
      <c r="H4026" s="456"/>
    </row>
    <row r="4027" spans="1:8">
      <c r="A4027" s="696">
        <v>5024</v>
      </c>
      <c r="B4027" s="469"/>
      <c r="C4027" s="458"/>
      <c r="D4027" s="456">
        <f>IF(Table10[[#This Row],[Current Age]]&gt;19,"Men's",IF(E4027&gt;15,"U19",IF(E4027&gt;13,"U15",IF(E4027&gt;11,"U13",IF(E4027&gt;0,"U11",0)))))</f>
        <v>0</v>
      </c>
      <c r="E4027" s="456">
        <f>IFERROR(IF(Table10[[#This Row],[Year]]&gt;0,$E$1-Table10[[#This Row],[Year]],0),"")</f>
        <v>0</v>
      </c>
      <c r="F4027" s="456"/>
      <c r="G4027" s="456"/>
      <c r="H4027" s="456"/>
    </row>
    <row r="4028" spans="1:8">
      <c r="A4028" s="696">
        <v>5025</v>
      </c>
      <c r="B4028" s="469"/>
      <c r="C4028" s="458"/>
      <c r="D4028" s="456">
        <f>IF(Table10[[#This Row],[Current Age]]&gt;19,"Men's",IF(E4028&gt;15,"U19",IF(E4028&gt;13,"U15",IF(E4028&gt;11,"U13",IF(E4028&gt;0,"U11",0)))))</f>
        <v>0</v>
      </c>
      <c r="E4028" s="456">
        <f>IFERROR(IF(Table10[[#This Row],[Year]]&gt;0,$E$1-Table10[[#This Row],[Year]],0),"")</f>
        <v>0</v>
      </c>
      <c r="F4028" s="456"/>
      <c r="G4028" s="456"/>
      <c r="H4028" s="456"/>
    </row>
    <row r="4029" spans="1:8">
      <c r="A4029" s="696">
        <v>5026</v>
      </c>
      <c r="B4029" s="469"/>
      <c r="C4029" s="458"/>
      <c r="D4029" s="456">
        <f>IF(Table10[[#This Row],[Current Age]]&gt;19,"Men's",IF(E4029&gt;15,"U19",IF(E4029&gt;13,"U15",IF(E4029&gt;11,"U13",IF(E4029&gt;0,"U11",0)))))</f>
        <v>0</v>
      </c>
      <c r="E4029" s="456">
        <f>IFERROR(IF(Table10[[#This Row],[Year]]&gt;0,$E$1-Table10[[#This Row],[Year]],0),"")</f>
        <v>0</v>
      </c>
      <c r="F4029" s="456"/>
      <c r="G4029" s="456"/>
      <c r="H4029" s="456"/>
    </row>
    <row r="4030" spans="1:8">
      <c r="A4030" s="696">
        <v>5027</v>
      </c>
      <c r="B4030" s="469"/>
      <c r="C4030" s="458"/>
      <c r="D4030" s="456">
        <f>IF(Table10[[#This Row],[Current Age]]&gt;19,"Men's",IF(E4030&gt;15,"U19",IF(E4030&gt;13,"U15",IF(E4030&gt;11,"U13",IF(E4030&gt;0,"U11",0)))))</f>
        <v>0</v>
      </c>
      <c r="E4030" s="456">
        <f>IFERROR(IF(Table10[[#This Row],[Year]]&gt;0,$E$1-Table10[[#This Row],[Year]],0),"")</f>
        <v>0</v>
      </c>
      <c r="F4030" s="456"/>
      <c r="G4030" s="456"/>
      <c r="H4030" s="456"/>
    </row>
    <row r="4031" spans="1:8">
      <c r="A4031" s="696">
        <v>5028</v>
      </c>
      <c r="B4031" s="469"/>
      <c r="C4031" s="458"/>
      <c r="D4031" s="456">
        <f>IF(Table10[[#This Row],[Current Age]]&gt;19,"Men's",IF(E4031&gt;15,"U19",IF(E4031&gt;13,"U15",IF(E4031&gt;11,"U13",IF(E4031&gt;0,"U11",0)))))</f>
        <v>0</v>
      </c>
      <c r="E4031" s="456">
        <f>IFERROR(IF(Table10[[#This Row],[Year]]&gt;0,$E$1-Table10[[#This Row],[Year]],0),"")</f>
        <v>0</v>
      </c>
      <c r="F4031" s="456"/>
      <c r="G4031" s="456"/>
      <c r="H4031" s="456"/>
    </row>
    <row r="4032" spans="1:8">
      <c r="A4032" s="696">
        <v>5029</v>
      </c>
      <c r="B4032" s="469"/>
      <c r="C4032" s="458"/>
      <c r="D4032" s="456">
        <f>IF(Table10[[#This Row],[Current Age]]&gt;19,"Men's",IF(E4032&gt;15,"U19",IF(E4032&gt;13,"U15",IF(E4032&gt;11,"U13",IF(E4032&gt;0,"U11",0)))))</f>
        <v>0</v>
      </c>
      <c r="E4032" s="456">
        <f>IFERROR(IF(Table10[[#This Row],[Year]]&gt;0,$E$1-Table10[[#This Row],[Year]],0),"")</f>
        <v>0</v>
      </c>
      <c r="F4032" s="456"/>
      <c r="G4032" s="456"/>
      <c r="H4032" s="456"/>
    </row>
    <row r="4033" spans="1:8">
      <c r="A4033" s="696">
        <v>5030</v>
      </c>
      <c r="B4033" s="469"/>
      <c r="C4033" s="458"/>
      <c r="D4033" s="456">
        <f>IF(Table10[[#This Row],[Current Age]]&gt;19,"Men's",IF(E4033&gt;15,"U19",IF(E4033&gt;13,"U15",IF(E4033&gt;11,"U13",IF(E4033&gt;0,"U11",0)))))</f>
        <v>0</v>
      </c>
      <c r="E4033" s="456">
        <f>IFERROR(IF(Table10[[#This Row],[Year]]&gt;0,$E$1-Table10[[#This Row],[Year]],0),"")</f>
        <v>0</v>
      </c>
      <c r="F4033" s="456"/>
      <c r="G4033" s="456"/>
      <c r="H4033" s="456"/>
    </row>
    <row r="4034" spans="1:8">
      <c r="A4034" s="696">
        <v>5031</v>
      </c>
      <c r="B4034" s="469"/>
      <c r="C4034" s="458"/>
      <c r="D4034" s="456">
        <f>IF(Table10[[#This Row],[Current Age]]&gt;19,"Men's",IF(E4034&gt;15,"U19",IF(E4034&gt;13,"U15",IF(E4034&gt;11,"U13",IF(E4034&gt;0,"U11",0)))))</f>
        <v>0</v>
      </c>
      <c r="E4034" s="456">
        <f>IFERROR(IF(Table10[[#This Row],[Year]]&gt;0,$E$1-Table10[[#This Row],[Year]],0),"")</f>
        <v>0</v>
      </c>
      <c r="F4034" s="456"/>
      <c r="G4034" s="456"/>
      <c r="H4034" s="456"/>
    </row>
    <row r="4035" spans="1:8">
      <c r="A4035" s="696">
        <v>5032</v>
      </c>
      <c r="B4035" s="469"/>
      <c r="C4035" s="458"/>
      <c r="D4035" s="456">
        <f>IF(Table10[[#This Row],[Current Age]]&gt;19,"Men's",IF(E4035&gt;15,"U19",IF(E4035&gt;13,"U15",IF(E4035&gt;11,"U13",IF(E4035&gt;0,"U11",0)))))</f>
        <v>0</v>
      </c>
      <c r="E4035" s="456">
        <f>IFERROR(IF(Table10[[#This Row],[Year]]&gt;0,$E$1-Table10[[#This Row],[Year]],0),"")</f>
        <v>0</v>
      </c>
      <c r="F4035" s="456"/>
      <c r="G4035" s="456"/>
      <c r="H4035" s="456"/>
    </row>
    <row r="4036" spans="1:8">
      <c r="A4036" s="696">
        <v>5033</v>
      </c>
      <c r="B4036" s="469"/>
      <c r="C4036" s="458"/>
      <c r="D4036" s="456">
        <f>IF(Table10[[#This Row],[Current Age]]&gt;19,"Men's",IF(E4036&gt;15,"U19",IF(E4036&gt;13,"U15",IF(E4036&gt;11,"U13",IF(E4036&gt;0,"U11",0)))))</f>
        <v>0</v>
      </c>
      <c r="E4036" s="456">
        <f>IFERROR(IF(Table10[[#This Row],[Year]]&gt;0,$E$1-Table10[[#This Row],[Year]],0),"")</f>
        <v>0</v>
      </c>
      <c r="F4036" s="456"/>
      <c r="G4036" s="456"/>
      <c r="H4036" s="456"/>
    </row>
    <row r="4037" spans="1:8">
      <c r="A4037" s="696">
        <v>5034</v>
      </c>
      <c r="B4037" s="469"/>
      <c r="C4037" s="458"/>
      <c r="D4037" s="456">
        <f>IF(Table10[[#This Row],[Current Age]]&gt;19,"Men's",IF(E4037&gt;15,"U19",IF(E4037&gt;13,"U15",IF(E4037&gt;11,"U13",IF(E4037&gt;0,"U11",0)))))</f>
        <v>0</v>
      </c>
      <c r="E4037" s="456">
        <f>IFERROR(IF(Table10[[#This Row],[Year]]&gt;0,$E$1-Table10[[#This Row],[Year]],0),"")</f>
        <v>0</v>
      </c>
      <c r="F4037" s="456"/>
      <c r="G4037" s="456"/>
      <c r="H4037" s="456"/>
    </row>
    <row r="4038" spans="1:8">
      <c r="A4038" s="696">
        <v>5035</v>
      </c>
      <c r="B4038" s="469"/>
      <c r="C4038" s="458"/>
      <c r="D4038" s="456">
        <f>IF(Table10[[#This Row],[Current Age]]&gt;19,"Men's",IF(E4038&gt;15,"U19",IF(E4038&gt;13,"U15",IF(E4038&gt;11,"U13",IF(E4038&gt;0,"U11",0)))))</f>
        <v>0</v>
      </c>
      <c r="E4038" s="456">
        <f>IFERROR(IF(Table10[[#This Row],[Year]]&gt;0,$E$1-Table10[[#This Row],[Year]],0),"")</f>
        <v>0</v>
      </c>
      <c r="F4038" s="456"/>
      <c r="G4038" s="456"/>
      <c r="H4038" s="456"/>
    </row>
    <row r="4039" spans="1:8">
      <c r="A4039" s="696">
        <v>5036</v>
      </c>
      <c r="B4039" s="469"/>
      <c r="C4039" s="458"/>
      <c r="D4039" s="456">
        <f>IF(Table10[[#This Row],[Current Age]]&gt;19,"Men's",IF(E4039&gt;15,"U19",IF(E4039&gt;13,"U15",IF(E4039&gt;11,"U13",IF(E4039&gt;0,"U11",0)))))</f>
        <v>0</v>
      </c>
      <c r="E4039" s="456">
        <f>IFERROR(IF(Table10[[#This Row],[Year]]&gt;0,$E$1-Table10[[#This Row],[Year]],0),"")</f>
        <v>0</v>
      </c>
      <c r="F4039" s="456"/>
      <c r="G4039" s="456"/>
      <c r="H4039" s="456"/>
    </row>
    <row r="4040" spans="1:8">
      <c r="A4040" s="696">
        <v>5037</v>
      </c>
      <c r="B4040" s="469"/>
      <c r="C4040" s="458"/>
      <c r="D4040" s="456">
        <f>IF(Table10[[#This Row],[Current Age]]&gt;19,"Men's",IF(E4040&gt;15,"U19",IF(E4040&gt;13,"U15",IF(E4040&gt;11,"U13",IF(E4040&gt;0,"U11",0)))))</f>
        <v>0</v>
      </c>
      <c r="E4040" s="456">
        <f>IFERROR(IF(Table10[[#This Row],[Year]]&gt;0,$E$1-Table10[[#This Row],[Year]],0),"")</f>
        <v>0</v>
      </c>
      <c r="F4040" s="456"/>
      <c r="G4040" s="456"/>
      <c r="H4040" s="456"/>
    </row>
    <row r="4041" spans="1:8">
      <c r="A4041" s="696">
        <v>5038</v>
      </c>
      <c r="B4041" s="469"/>
      <c r="C4041" s="458"/>
      <c r="D4041" s="456">
        <f>IF(Table10[[#This Row],[Current Age]]&gt;19,"Men's",IF(E4041&gt;15,"U19",IF(E4041&gt;13,"U15",IF(E4041&gt;11,"U13",IF(E4041&gt;0,"U11",0)))))</f>
        <v>0</v>
      </c>
      <c r="E4041" s="456">
        <f>IFERROR(IF(Table10[[#This Row],[Year]]&gt;0,$E$1-Table10[[#This Row],[Year]],0),"")</f>
        <v>0</v>
      </c>
      <c r="F4041" s="456"/>
      <c r="G4041" s="456"/>
      <c r="H4041" s="456"/>
    </row>
    <row r="4042" spans="1:8">
      <c r="A4042" s="696">
        <v>5039</v>
      </c>
      <c r="B4042" s="469"/>
      <c r="C4042" s="458"/>
      <c r="D4042" s="456">
        <f>IF(Table10[[#This Row],[Current Age]]&gt;19,"Men's",IF(E4042&gt;15,"U19",IF(E4042&gt;13,"U15",IF(E4042&gt;11,"U13",IF(E4042&gt;0,"U11",0)))))</f>
        <v>0</v>
      </c>
      <c r="E4042" s="456">
        <f>IFERROR(IF(Table10[[#This Row],[Year]]&gt;0,$E$1-Table10[[#This Row],[Year]],0),"")</f>
        <v>0</v>
      </c>
      <c r="F4042" s="456"/>
      <c r="G4042" s="456"/>
      <c r="H4042" s="456"/>
    </row>
    <row r="4043" spans="1:8">
      <c r="A4043" s="696">
        <v>5040</v>
      </c>
      <c r="B4043" s="469"/>
      <c r="C4043" s="458"/>
      <c r="D4043" s="456">
        <f>IF(Table10[[#This Row],[Current Age]]&gt;19,"Men's",IF(E4043&gt;15,"U19",IF(E4043&gt;13,"U15",IF(E4043&gt;11,"U13",IF(E4043&gt;0,"U11",0)))))</f>
        <v>0</v>
      </c>
      <c r="E4043" s="456">
        <f>IFERROR(IF(Table10[[#This Row],[Year]]&gt;0,$E$1-Table10[[#This Row],[Year]],0),"")</f>
        <v>0</v>
      </c>
      <c r="F4043" s="456"/>
      <c r="G4043" s="456"/>
      <c r="H4043" s="456"/>
    </row>
    <row r="4044" spans="1:8">
      <c r="A4044" s="696">
        <v>5041</v>
      </c>
      <c r="B4044" s="469"/>
      <c r="C4044" s="458"/>
      <c r="D4044" s="456">
        <f>IF(Table10[[#This Row],[Current Age]]&gt;19,"Men's",IF(E4044&gt;15,"U19",IF(E4044&gt;13,"U15",IF(E4044&gt;11,"U13",IF(E4044&gt;0,"U11",0)))))</f>
        <v>0</v>
      </c>
      <c r="E4044" s="456">
        <f>IFERROR(IF(Table10[[#This Row],[Year]]&gt;0,$E$1-Table10[[#This Row],[Year]],0),"")</f>
        <v>0</v>
      </c>
      <c r="F4044" s="456"/>
      <c r="G4044" s="456"/>
      <c r="H4044" s="456"/>
    </row>
    <row r="4045" spans="1:8">
      <c r="A4045" s="696">
        <v>5042</v>
      </c>
      <c r="B4045" s="469"/>
      <c r="C4045" s="458"/>
      <c r="D4045" s="456">
        <f>IF(Table10[[#This Row],[Current Age]]&gt;19,"Men's",IF(E4045&gt;15,"U19",IF(E4045&gt;13,"U15",IF(E4045&gt;11,"U13",IF(E4045&gt;0,"U11",0)))))</f>
        <v>0</v>
      </c>
      <c r="E4045" s="456">
        <f>IFERROR(IF(Table10[[#This Row],[Year]]&gt;0,$E$1-Table10[[#This Row],[Year]],0),"")</f>
        <v>0</v>
      </c>
      <c r="F4045" s="456"/>
      <c r="G4045" s="456"/>
      <c r="H4045" s="456"/>
    </row>
    <row r="4046" spans="1:8">
      <c r="A4046" s="696">
        <v>5043</v>
      </c>
      <c r="B4046" s="469"/>
      <c r="C4046" s="458"/>
      <c r="D4046" s="456">
        <f>IF(Table10[[#This Row],[Current Age]]&gt;19,"Men's",IF(E4046&gt;15,"U19",IF(E4046&gt;13,"U15",IF(E4046&gt;11,"U13",IF(E4046&gt;0,"U11",0)))))</f>
        <v>0</v>
      </c>
      <c r="E4046" s="456">
        <f>IFERROR(IF(Table10[[#This Row],[Year]]&gt;0,$E$1-Table10[[#This Row],[Year]],0),"")</f>
        <v>0</v>
      </c>
      <c r="F4046" s="456"/>
      <c r="G4046" s="456"/>
      <c r="H4046" s="456"/>
    </row>
    <row r="4047" spans="1:8">
      <c r="A4047" s="696">
        <v>5044</v>
      </c>
      <c r="B4047" s="469"/>
      <c r="C4047" s="458"/>
      <c r="D4047" s="456">
        <f>IF(Table10[[#This Row],[Current Age]]&gt;19,"Men's",IF(E4047&gt;15,"U19",IF(E4047&gt;13,"U15",IF(E4047&gt;11,"U13",IF(E4047&gt;0,"U11",0)))))</f>
        <v>0</v>
      </c>
      <c r="E4047" s="456">
        <f>IFERROR(IF(Table10[[#This Row],[Year]]&gt;0,$E$1-Table10[[#This Row],[Year]],0),"")</f>
        <v>0</v>
      </c>
      <c r="F4047" s="456"/>
      <c r="G4047" s="456"/>
      <c r="H4047" s="456"/>
    </row>
    <row r="4048" spans="1:8">
      <c r="A4048" s="696">
        <v>5045</v>
      </c>
      <c r="B4048" s="469"/>
      <c r="C4048" s="458"/>
      <c r="D4048" s="456">
        <f>IF(Table10[[#This Row],[Current Age]]&gt;19,"Men's",IF(E4048&gt;15,"U19",IF(E4048&gt;13,"U15",IF(E4048&gt;11,"U13",IF(E4048&gt;0,"U11",0)))))</f>
        <v>0</v>
      </c>
      <c r="E4048" s="456">
        <f>IFERROR(IF(Table10[[#This Row],[Year]]&gt;0,$E$1-Table10[[#This Row],[Year]],0),"")</f>
        <v>0</v>
      </c>
      <c r="F4048" s="456"/>
      <c r="G4048" s="456"/>
      <c r="H4048" s="456"/>
    </row>
    <row r="4049" spans="1:8">
      <c r="A4049" s="696">
        <v>5046</v>
      </c>
      <c r="B4049" s="469"/>
      <c r="C4049" s="458"/>
      <c r="D4049" s="456">
        <f>IF(Table10[[#This Row],[Current Age]]&gt;19,"Men's",IF(E4049&gt;15,"U19",IF(E4049&gt;13,"U15",IF(E4049&gt;11,"U13",IF(E4049&gt;0,"U11",0)))))</f>
        <v>0</v>
      </c>
      <c r="E4049" s="456">
        <f>IFERROR(IF(Table10[[#This Row],[Year]]&gt;0,$E$1-Table10[[#This Row],[Year]],0),"")</f>
        <v>0</v>
      </c>
      <c r="F4049" s="456"/>
      <c r="G4049" s="456"/>
      <c r="H4049" s="456"/>
    </row>
    <row r="4050" spans="1:8">
      <c r="A4050" s="696">
        <v>5047</v>
      </c>
      <c r="B4050" s="469"/>
      <c r="C4050" s="458"/>
      <c r="D4050" s="456">
        <f>IF(Table10[[#This Row],[Current Age]]&gt;19,"Men's",IF(E4050&gt;15,"U19",IF(E4050&gt;13,"U15",IF(E4050&gt;11,"U13",IF(E4050&gt;0,"U11",0)))))</f>
        <v>0</v>
      </c>
      <c r="E4050" s="456">
        <f>IFERROR(IF(Table10[[#This Row],[Year]]&gt;0,$E$1-Table10[[#This Row],[Year]],0),"")</f>
        <v>0</v>
      </c>
      <c r="F4050" s="456"/>
      <c r="G4050" s="456"/>
      <c r="H4050" s="456"/>
    </row>
    <row r="4051" spans="1:8">
      <c r="A4051" s="696">
        <v>5048</v>
      </c>
      <c r="B4051" s="469"/>
      <c r="C4051" s="458"/>
      <c r="D4051" s="456">
        <f>IF(Table10[[#This Row],[Current Age]]&gt;19,"Men's",IF(E4051&gt;15,"U19",IF(E4051&gt;13,"U15",IF(E4051&gt;11,"U13",IF(E4051&gt;0,"U11",0)))))</f>
        <v>0</v>
      </c>
      <c r="E4051" s="456">
        <f>IFERROR(IF(Table10[[#This Row],[Year]]&gt;0,$E$1-Table10[[#This Row],[Year]],0),"")</f>
        <v>0</v>
      </c>
      <c r="F4051" s="456"/>
      <c r="G4051" s="456"/>
      <c r="H4051" s="456"/>
    </row>
    <row r="4052" spans="1:8">
      <c r="A4052" s="696">
        <v>5049</v>
      </c>
      <c r="B4052" s="469"/>
      <c r="C4052" s="458"/>
      <c r="D4052" s="456">
        <f>IF(Table10[[#This Row],[Current Age]]&gt;19,"Men's",IF(E4052&gt;15,"U19",IF(E4052&gt;13,"U15",IF(E4052&gt;11,"U13",IF(E4052&gt;0,"U11",0)))))</f>
        <v>0</v>
      </c>
      <c r="E4052" s="456">
        <f>IFERROR(IF(Table10[[#This Row],[Year]]&gt;0,$E$1-Table10[[#This Row],[Year]],0),"")</f>
        <v>0</v>
      </c>
      <c r="F4052" s="456"/>
      <c r="G4052" s="456"/>
      <c r="H4052" s="456"/>
    </row>
    <row r="4053" spans="1:8">
      <c r="A4053" s="696">
        <v>5050</v>
      </c>
      <c r="B4053" s="469"/>
      <c r="C4053" s="458"/>
      <c r="D4053" s="456">
        <f>IF(Table10[[#This Row],[Current Age]]&gt;19,"Men's",IF(E4053&gt;15,"U19",IF(E4053&gt;13,"U15",IF(E4053&gt;11,"U13",IF(E4053&gt;0,"U11",0)))))</f>
        <v>0</v>
      </c>
      <c r="E4053" s="456">
        <f>IFERROR(IF(Table10[[#This Row],[Year]]&gt;0,$E$1-Table10[[#This Row],[Year]],0),"")</f>
        <v>0</v>
      </c>
      <c r="F4053" s="456"/>
      <c r="G4053" s="456"/>
      <c r="H4053" s="456"/>
    </row>
    <row r="4054" spans="1:8">
      <c r="A4054" s="696">
        <v>5051</v>
      </c>
      <c r="B4054" s="469"/>
      <c r="C4054" s="458"/>
      <c r="D4054" s="456">
        <f>IF(Table10[[#This Row],[Current Age]]&gt;19,"Men's",IF(E4054&gt;15,"U19",IF(E4054&gt;13,"U15",IF(E4054&gt;11,"U13",IF(E4054&gt;0,"U11",0)))))</f>
        <v>0</v>
      </c>
      <c r="E4054" s="456">
        <f>IFERROR(IF(Table10[[#This Row],[Year]]&gt;0,$E$1-Table10[[#This Row],[Year]],0),"")</f>
        <v>0</v>
      </c>
      <c r="F4054" s="456"/>
      <c r="G4054" s="456"/>
      <c r="H4054" s="456"/>
    </row>
    <row r="4055" spans="1:8">
      <c r="A4055" s="696">
        <v>5052</v>
      </c>
      <c r="B4055" s="469"/>
      <c r="C4055" s="458"/>
      <c r="D4055" s="456">
        <f>IF(Table10[[#This Row],[Current Age]]&gt;19,"Men's",IF(E4055&gt;15,"U19",IF(E4055&gt;13,"U15",IF(E4055&gt;11,"U13",IF(E4055&gt;0,"U11",0)))))</f>
        <v>0</v>
      </c>
      <c r="E4055" s="456">
        <f>IFERROR(IF(Table10[[#This Row],[Year]]&gt;0,$E$1-Table10[[#This Row],[Year]],0),"")</f>
        <v>0</v>
      </c>
      <c r="F4055" s="456"/>
      <c r="G4055" s="456"/>
      <c r="H4055" s="456"/>
    </row>
    <row r="4056" spans="1:8">
      <c r="A4056" s="696">
        <v>5053</v>
      </c>
      <c r="B4056" s="469"/>
      <c r="C4056" s="458"/>
      <c r="D4056" s="456">
        <f>IF(Table10[[#This Row],[Current Age]]&gt;19,"Men's",IF(E4056&gt;15,"U19",IF(E4056&gt;13,"U15",IF(E4056&gt;11,"U13",IF(E4056&gt;0,"U11",0)))))</f>
        <v>0</v>
      </c>
      <c r="E4056" s="456">
        <f>IFERROR(IF(Table10[[#This Row],[Year]]&gt;0,$E$1-Table10[[#This Row],[Year]],0),"")</f>
        <v>0</v>
      </c>
      <c r="F4056" s="456"/>
      <c r="G4056" s="456"/>
      <c r="H4056" s="456"/>
    </row>
    <row r="4057" spans="1:8">
      <c r="A4057" s="696">
        <v>5054</v>
      </c>
      <c r="B4057" s="469"/>
      <c r="C4057" s="458"/>
      <c r="D4057" s="456">
        <f>IF(Table10[[#This Row],[Current Age]]&gt;19,"Men's",IF(E4057&gt;15,"U19",IF(E4057&gt;13,"U15",IF(E4057&gt;11,"U13",IF(E4057&gt;0,"U11",0)))))</f>
        <v>0</v>
      </c>
      <c r="E4057" s="456">
        <f>IFERROR(IF(Table10[[#This Row],[Year]]&gt;0,$E$1-Table10[[#This Row],[Year]],0),"")</f>
        <v>0</v>
      </c>
      <c r="F4057" s="456"/>
      <c r="G4057" s="456"/>
      <c r="H4057" s="456"/>
    </row>
    <row r="4058" spans="1:8">
      <c r="A4058" s="696">
        <v>5055</v>
      </c>
      <c r="B4058" s="469"/>
      <c r="C4058" s="458"/>
      <c r="D4058" s="456">
        <f>IF(Table10[[#This Row],[Current Age]]&gt;19,"Men's",IF(E4058&gt;15,"U19",IF(E4058&gt;13,"U15",IF(E4058&gt;11,"U13",IF(E4058&gt;0,"U11",0)))))</f>
        <v>0</v>
      </c>
      <c r="E4058" s="456">
        <f>IFERROR(IF(Table10[[#This Row],[Year]]&gt;0,$E$1-Table10[[#This Row],[Year]],0),"")</f>
        <v>0</v>
      </c>
      <c r="F4058" s="456"/>
      <c r="G4058" s="456"/>
      <c r="H4058" s="456"/>
    </row>
    <row r="4059" spans="1:8">
      <c r="A4059" s="696">
        <v>5056</v>
      </c>
      <c r="B4059" s="469"/>
      <c r="C4059" s="458"/>
      <c r="D4059" s="456">
        <f>IF(Table10[[#This Row],[Current Age]]&gt;19,"Men's",IF(E4059&gt;15,"U19",IF(E4059&gt;13,"U15",IF(E4059&gt;11,"U13",IF(E4059&gt;0,"U11",0)))))</f>
        <v>0</v>
      </c>
      <c r="E4059" s="456">
        <f>IFERROR(IF(Table10[[#This Row],[Year]]&gt;0,$E$1-Table10[[#This Row],[Year]],0),"")</f>
        <v>0</v>
      </c>
      <c r="F4059" s="456"/>
      <c r="G4059" s="456"/>
      <c r="H4059" s="456"/>
    </row>
    <row r="4060" spans="1:8">
      <c r="A4060" s="696">
        <v>5057</v>
      </c>
      <c r="B4060" s="469"/>
      <c r="C4060" s="458"/>
      <c r="D4060" s="456">
        <f>IF(Table10[[#This Row],[Current Age]]&gt;19,"Men's",IF(E4060&gt;15,"U19",IF(E4060&gt;13,"U15",IF(E4060&gt;11,"U13",IF(E4060&gt;0,"U11",0)))))</f>
        <v>0</v>
      </c>
      <c r="E4060" s="456">
        <f>IFERROR(IF(Table10[[#This Row],[Year]]&gt;0,$E$1-Table10[[#This Row],[Year]],0),"")</f>
        <v>0</v>
      </c>
      <c r="F4060" s="456"/>
      <c r="G4060" s="456"/>
      <c r="H4060" s="456"/>
    </row>
    <row r="4061" spans="1:8">
      <c r="A4061" s="696">
        <v>5058</v>
      </c>
      <c r="B4061" s="469"/>
      <c r="C4061" s="458"/>
      <c r="D4061" s="456">
        <f>IF(Table10[[#This Row],[Current Age]]&gt;19,"Men's",IF(E4061&gt;15,"U19",IF(E4061&gt;13,"U15",IF(E4061&gt;11,"U13",IF(E4061&gt;0,"U11",0)))))</f>
        <v>0</v>
      </c>
      <c r="E4061" s="456">
        <f>IFERROR(IF(Table10[[#This Row],[Year]]&gt;0,$E$1-Table10[[#This Row],[Year]],0),"")</f>
        <v>0</v>
      </c>
      <c r="F4061" s="456"/>
      <c r="G4061" s="456"/>
      <c r="H4061" s="456"/>
    </row>
    <row r="4062" spans="1:8">
      <c r="A4062" s="696">
        <v>5059</v>
      </c>
      <c r="B4062" s="469"/>
      <c r="C4062" s="458"/>
      <c r="D4062" s="456">
        <f>IF(Table10[[#This Row],[Current Age]]&gt;19,"Men's",IF(E4062&gt;15,"U19",IF(E4062&gt;13,"U15",IF(E4062&gt;11,"U13",IF(E4062&gt;0,"U11",0)))))</f>
        <v>0</v>
      </c>
      <c r="E4062" s="456">
        <f>IFERROR(IF(Table10[[#This Row],[Year]]&gt;0,$E$1-Table10[[#This Row],[Year]],0),"")</f>
        <v>0</v>
      </c>
      <c r="F4062" s="456"/>
      <c r="G4062" s="456"/>
      <c r="H4062" s="456"/>
    </row>
    <row r="4063" spans="1:8">
      <c r="A4063" s="696">
        <v>5060</v>
      </c>
      <c r="B4063" s="469"/>
      <c r="C4063" s="458"/>
      <c r="D4063" s="456">
        <f>IF(Table10[[#This Row],[Current Age]]&gt;19,"Men's",IF(E4063&gt;15,"U19",IF(E4063&gt;13,"U15",IF(E4063&gt;11,"U13",IF(E4063&gt;0,"U11",0)))))</f>
        <v>0</v>
      </c>
      <c r="E4063" s="456">
        <f>IFERROR(IF(Table10[[#This Row],[Year]]&gt;0,$E$1-Table10[[#This Row],[Year]],0),"")</f>
        <v>0</v>
      </c>
      <c r="F4063" s="456"/>
      <c r="G4063" s="456"/>
      <c r="H4063" s="456"/>
    </row>
    <row r="4064" spans="1:8">
      <c r="A4064" s="696">
        <v>5061</v>
      </c>
      <c r="B4064" s="469"/>
      <c r="C4064" s="458"/>
      <c r="D4064" s="456">
        <f>IF(Table10[[#This Row],[Current Age]]&gt;19,"Men's",IF(E4064&gt;15,"U19",IF(E4064&gt;13,"U15",IF(E4064&gt;11,"U13",IF(E4064&gt;0,"U11",0)))))</f>
        <v>0</v>
      </c>
      <c r="E4064" s="456">
        <f>IFERROR(IF(Table10[[#This Row],[Year]]&gt;0,$E$1-Table10[[#This Row],[Year]],0),"")</f>
        <v>0</v>
      </c>
      <c r="F4064" s="456"/>
      <c r="G4064" s="456"/>
      <c r="H4064" s="456"/>
    </row>
    <row r="4065" spans="1:8">
      <c r="A4065" s="696">
        <v>5062</v>
      </c>
      <c r="B4065" s="469"/>
      <c r="C4065" s="458"/>
      <c r="D4065" s="456">
        <f>IF(Table10[[#This Row],[Current Age]]&gt;19,"Men's",IF(E4065&gt;15,"U19",IF(E4065&gt;13,"U15",IF(E4065&gt;11,"U13",IF(E4065&gt;0,"U11",0)))))</f>
        <v>0</v>
      </c>
      <c r="E4065" s="456">
        <f>IFERROR(IF(Table10[[#This Row],[Year]]&gt;0,$E$1-Table10[[#This Row],[Year]],0),"")</f>
        <v>0</v>
      </c>
      <c r="F4065" s="456"/>
      <c r="G4065" s="456"/>
      <c r="H4065" s="456"/>
    </row>
    <row r="4066" spans="1:8">
      <c r="A4066" s="696">
        <v>5063</v>
      </c>
      <c r="B4066" s="469"/>
      <c r="C4066" s="458"/>
      <c r="D4066" s="456">
        <f>IF(Table10[[#This Row],[Current Age]]&gt;19,"Men's",IF(E4066&gt;15,"U19",IF(E4066&gt;13,"U15",IF(E4066&gt;11,"U13",IF(E4066&gt;0,"U11",0)))))</f>
        <v>0</v>
      </c>
      <c r="E4066" s="456">
        <f>IFERROR(IF(Table10[[#This Row],[Year]]&gt;0,$E$1-Table10[[#This Row],[Year]],0),"")</f>
        <v>0</v>
      </c>
      <c r="F4066" s="456"/>
      <c r="G4066" s="456"/>
      <c r="H4066" s="456"/>
    </row>
    <row r="4067" spans="1:8">
      <c r="A4067" s="696">
        <v>5064</v>
      </c>
      <c r="B4067" s="469"/>
      <c r="C4067" s="458"/>
      <c r="D4067" s="456">
        <f>IF(Table10[[#This Row],[Current Age]]&gt;19,"Men's",IF(E4067&gt;15,"U19",IF(E4067&gt;13,"U15",IF(E4067&gt;11,"U13",IF(E4067&gt;0,"U11",0)))))</f>
        <v>0</v>
      </c>
      <c r="E4067" s="456">
        <f>IFERROR(IF(Table10[[#This Row],[Year]]&gt;0,$E$1-Table10[[#This Row],[Year]],0),"")</f>
        <v>0</v>
      </c>
      <c r="F4067" s="456"/>
      <c r="G4067" s="456"/>
      <c r="H4067" s="456"/>
    </row>
    <row r="4068" spans="1:8">
      <c r="A4068" s="696">
        <v>5065</v>
      </c>
      <c r="B4068" s="469"/>
      <c r="C4068" s="458"/>
      <c r="D4068" s="456">
        <f>IF(Table10[[#This Row],[Current Age]]&gt;19,"Men's",IF(E4068&gt;15,"U19",IF(E4068&gt;13,"U15",IF(E4068&gt;11,"U13",IF(E4068&gt;0,"U11",0)))))</f>
        <v>0</v>
      </c>
      <c r="E4068" s="456">
        <f>IFERROR(IF(Table10[[#This Row],[Year]]&gt;0,$E$1-Table10[[#This Row],[Year]],0),"")</f>
        <v>0</v>
      </c>
      <c r="F4068" s="456"/>
      <c r="G4068" s="456"/>
      <c r="H4068" s="456"/>
    </row>
    <row r="4069" spans="1:8">
      <c r="A4069" s="696">
        <v>5066</v>
      </c>
      <c r="B4069" s="469"/>
      <c r="C4069" s="458"/>
      <c r="D4069" s="456">
        <f>IF(Table10[[#This Row],[Current Age]]&gt;19,"Men's",IF(E4069&gt;15,"U19",IF(E4069&gt;13,"U15",IF(E4069&gt;11,"U13",IF(E4069&gt;0,"U11",0)))))</f>
        <v>0</v>
      </c>
      <c r="E4069" s="456">
        <f>IFERROR(IF(Table10[[#This Row],[Year]]&gt;0,$E$1-Table10[[#This Row],[Year]],0),"")</f>
        <v>0</v>
      </c>
      <c r="F4069" s="456"/>
      <c r="G4069" s="456"/>
      <c r="H4069" s="456"/>
    </row>
    <row r="4070" spans="1:8">
      <c r="A4070" s="696">
        <v>5067</v>
      </c>
      <c r="B4070" s="469"/>
      <c r="C4070" s="458"/>
      <c r="D4070" s="456">
        <f>IF(Table10[[#This Row],[Current Age]]&gt;19,"Men's",IF(E4070&gt;15,"U19",IF(E4070&gt;13,"U15",IF(E4070&gt;11,"U13",IF(E4070&gt;0,"U11",0)))))</f>
        <v>0</v>
      </c>
      <c r="E4070" s="456">
        <f>IFERROR(IF(Table10[[#This Row],[Year]]&gt;0,$E$1-Table10[[#This Row],[Year]],0),"")</f>
        <v>0</v>
      </c>
      <c r="F4070" s="456"/>
      <c r="G4070" s="456"/>
      <c r="H4070" s="456"/>
    </row>
    <row r="4071" spans="1:8">
      <c r="A4071" s="696">
        <v>5068</v>
      </c>
      <c r="B4071" s="469"/>
      <c r="C4071" s="458"/>
      <c r="D4071" s="456">
        <f>IF(Table10[[#This Row],[Current Age]]&gt;19,"Men's",IF(E4071&gt;15,"U19",IF(E4071&gt;13,"U15",IF(E4071&gt;11,"U13",IF(E4071&gt;0,"U11",0)))))</f>
        <v>0</v>
      </c>
      <c r="E4071" s="456">
        <f>IFERROR(IF(Table10[[#This Row],[Year]]&gt;0,$E$1-Table10[[#This Row],[Year]],0),"")</f>
        <v>0</v>
      </c>
      <c r="F4071" s="456"/>
      <c r="G4071" s="456"/>
      <c r="H4071" s="456"/>
    </row>
    <row r="4072" spans="1:8">
      <c r="A4072" s="696">
        <v>5069</v>
      </c>
      <c r="B4072" s="469"/>
      <c r="C4072" s="458"/>
      <c r="D4072" s="456">
        <f>IF(Table10[[#This Row],[Current Age]]&gt;19,"Men's",IF(E4072&gt;15,"U19",IF(E4072&gt;13,"U15",IF(E4072&gt;11,"U13",IF(E4072&gt;0,"U11",0)))))</f>
        <v>0</v>
      </c>
      <c r="E4072" s="456">
        <f>IFERROR(IF(Table10[[#This Row],[Year]]&gt;0,$E$1-Table10[[#This Row],[Year]],0),"")</f>
        <v>0</v>
      </c>
      <c r="F4072" s="456"/>
      <c r="G4072" s="456"/>
      <c r="H4072" s="456"/>
    </row>
    <row r="4073" spans="1:8">
      <c r="A4073" s="696">
        <v>5070</v>
      </c>
      <c r="B4073" s="469"/>
      <c r="C4073" s="458"/>
      <c r="D4073" s="456">
        <f>IF(Table10[[#This Row],[Current Age]]&gt;19,"Men's",IF(E4073&gt;15,"U19",IF(E4073&gt;13,"U15",IF(E4073&gt;11,"U13",IF(E4073&gt;0,"U11",0)))))</f>
        <v>0</v>
      </c>
      <c r="E4073" s="456">
        <f>IFERROR(IF(Table10[[#This Row],[Year]]&gt;0,$E$1-Table10[[#This Row],[Year]],0),"")</f>
        <v>0</v>
      </c>
      <c r="F4073" s="456"/>
      <c r="G4073" s="456"/>
      <c r="H4073" s="456"/>
    </row>
    <row r="4074" spans="1:8">
      <c r="A4074" s="696">
        <v>5071</v>
      </c>
      <c r="B4074" s="469"/>
      <c r="C4074" s="458"/>
      <c r="D4074" s="456">
        <f>IF(Table10[[#This Row],[Current Age]]&gt;19,"Men's",IF(E4074&gt;15,"U19",IF(E4074&gt;13,"U15",IF(E4074&gt;11,"U13",IF(E4074&gt;0,"U11",0)))))</f>
        <v>0</v>
      </c>
      <c r="E4074" s="456">
        <f>IFERROR(IF(Table10[[#This Row],[Year]]&gt;0,$E$1-Table10[[#This Row],[Year]],0),"")</f>
        <v>0</v>
      </c>
      <c r="F4074" s="456"/>
      <c r="G4074" s="456"/>
      <c r="H4074" s="456"/>
    </row>
    <row r="4075" spans="1:8">
      <c r="A4075" s="696">
        <v>5072</v>
      </c>
      <c r="B4075" s="469"/>
      <c r="C4075" s="458"/>
      <c r="D4075" s="456">
        <f>IF(Table10[[#This Row],[Current Age]]&gt;19,"Men's",IF(E4075&gt;15,"U19",IF(E4075&gt;13,"U15",IF(E4075&gt;11,"U13",IF(E4075&gt;0,"U11",0)))))</f>
        <v>0</v>
      </c>
      <c r="E4075" s="456">
        <f>IFERROR(IF(Table10[[#This Row],[Year]]&gt;0,$E$1-Table10[[#This Row],[Year]],0),"")</f>
        <v>0</v>
      </c>
      <c r="F4075" s="456"/>
      <c r="G4075" s="456"/>
      <c r="H4075" s="456"/>
    </row>
    <row r="4076" spans="1:8">
      <c r="A4076" s="696">
        <v>5073</v>
      </c>
      <c r="B4076" s="469"/>
      <c r="C4076" s="458"/>
      <c r="D4076" s="456">
        <f>IF(Table10[[#This Row],[Current Age]]&gt;19,"Men's",IF(E4076&gt;15,"U19",IF(E4076&gt;13,"U15",IF(E4076&gt;11,"U13",IF(E4076&gt;0,"U11",0)))))</f>
        <v>0</v>
      </c>
      <c r="E4076" s="456">
        <f>IFERROR(IF(Table10[[#This Row],[Year]]&gt;0,$E$1-Table10[[#This Row],[Year]],0),"")</f>
        <v>0</v>
      </c>
      <c r="F4076" s="456"/>
      <c r="G4076" s="456"/>
      <c r="H4076" s="456"/>
    </row>
    <row r="4077" spans="1:8">
      <c r="A4077" s="696">
        <v>5074</v>
      </c>
      <c r="B4077" s="469"/>
      <c r="C4077" s="458"/>
      <c r="D4077" s="456">
        <f>IF(Table10[[#This Row],[Current Age]]&gt;19,"Men's",IF(E4077&gt;15,"U19",IF(E4077&gt;13,"U15",IF(E4077&gt;11,"U13",IF(E4077&gt;0,"U11",0)))))</f>
        <v>0</v>
      </c>
      <c r="E4077" s="456">
        <f>IFERROR(IF(Table10[[#This Row],[Year]]&gt;0,$E$1-Table10[[#This Row],[Year]],0),"")</f>
        <v>0</v>
      </c>
      <c r="F4077" s="456"/>
      <c r="G4077" s="456"/>
      <c r="H4077" s="456"/>
    </row>
    <row r="4078" spans="1:8">
      <c r="A4078" s="696">
        <v>5075</v>
      </c>
      <c r="B4078" s="469"/>
      <c r="C4078" s="458"/>
      <c r="D4078" s="456">
        <f>IF(Table10[[#This Row],[Current Age]]&gt;19,"Men's",IF(E4078&gt;15,"U19",IF(E4078&gt;13,"U15",IF(E4078&gt;11,"U13",IF(E4078&gt;0,"U11",0)))))</f>
        <v>0</v>
      </c>
      <c r="E4078" s="456">
        <f>IFERROR(IF(Table10[[#This Row],[Year]]&gt;0,$E$1-Table10[[#This Row],[Year]],0),"")</f>
        <v>0</v>
      </c>
      <c r="F4078" s="456"/>
      <c r="G4078" s="456"/>
      <c r="H4078" s="456"/>
    </row>
    <row r="4079" spans="1:8">
      <c r="A4079" s="696">
        <v>5076</v>
      </c>
      <c r="B4079" s="469"/>
      <c r="C4079" s="458"/>
      <c r="D4079" s="456">
        <f>IF(Table10[[#This Row],[Current Age]]&gt;19,"Men's",IF(E4079&gt;15,"U19",IF(E4079&gt;13,"U15",IF(E4079&gt;11,"U13",IF(E4079&gt;0,"U11",0)))))</f>
        <v>0</v>
      </c>
      <c r="E4079" s="456">
        <f>IFERROR(IF(Table10[[#This Row],[Year]]&gt;0,$E$1-Table10[[#This Row],[Year]],0),"")</f>
        <v>0</v>
      </c>
      <c r="F4079" s="456"/>
      <c r="G4079" s="456"/>
      <c r="H4079" s="456"/>
    </row>
    <row r="4080" spans="1:8">
      <c r="A4080" s="696">
        <v>5077</v>
      </c>
      <c r="B4080" s="469"/>
      <c r="C4080" s="458"/>
      <c r="D4080" s="456">
        <f>IF(Table10[[#This Row],[Current Age]]&gt;19,"Men's",IF(E4080&gt;15,"U19",IF(E4080&gt;13,"U15",IF(E4080&gt;11,"U13",IF(E4080&gt;0,"U11",0)))))</f>
        <v>0</v>
      </c>
      <c r="E4080" s="456">
        <f>IFERROR(IF(Table10[[#This Row],[Year]]&gt;0,$E$1-Table10[[#This Row],[Year]],0),"")</f>
        <v>0</v>
      </c>
      <c r="F4080" s="456"/>
      <c r="G4080" s="456"/>
      <c r="H4080" s="456"/>
    </row>
    <row r="4081" spans="1:8">
      <c r="A4081" s="696">
        <v>5078</v>
      </c>
      <c r="B4081" s="469"/>
      <c r="C4081" s="458"/>
      <c r="D4081" s="456">
        <f>IF(Table10[[#This Row],[Current Age]]&gt;19,"Men's",IF(E4081&gt;15,"U19",IF(E4081&gt;13,"U15",IF(E4081&gt;11,"U13",IF(E4081&gt;0,"U11",0)))))</f>
        <v>0</v>
      </c>
      <c r="E4081" s="456">
        <f>IFERROR(IF(Table10[[#This Row],[Year]]&gt;0,$E$1-Table10[[#This Row],[Year]],0),"")</f>
        <v>0</v>
      </c>
      <c r="F4081" s="456"/>
      <c r="G4081" s="456"/>
      <c r="H4081" s="456"/>
    </row>
    <row r="4082" spans="1:8">
      <c r="A4082" s="696">
        <v>5079</v>
      </c>
      <c r="B4082" s="469"/>
      <c r="C4082" s="458"/>
      <c r="D4082" s="456">
        <f>IF(Table10[[#This Row],[Current Age]]&gt;19,"Men's",IF(E4082&gt;15,"U19",IF(E4082&gt;13,"U15",IF(E4082&gt;11,"U13",IF(E4082&gt;0,"U11",0)))))</f>
        <v>0</v>
      </c>
      <c r="E4082" s="456">
        <f>IFERROR(IF(Table10[[#This Row],[Year]]&gt;0,$E$1-Table10[[#This Row],[Year]],0),"")</f>
        <v>0</v>
      </c>
      <c r="F4082" s="456"/>
      <c r="G4082" s="456"/>
      <c r="H4082" s="456"/>
    </row>
    <row r="4083" spans="1:8">
      <c r="A4083" s="696">
        <v>5080</v>
      </c>
      <c r="B4083" s="469"/>
      <c r="C4083" s="458"/>
      <c r="D4083" s="456">
        <f>IF(Table10[[#This Row],[Current Age]]&gt;19,"Men's",IF(E4083&gt;15,"U19",IF(E4083&gt;13,"U15",IF(E4083&gt;11,"U13",IF(E4083&gt;0,"U11",0)))))</f>
        <v>0</v>
      </c>
      <c r="E4083" s="456">
        <f>IFERROR(IF(Table10[[#This Row],[Year]]&gt;0,$E$1-Table10[[#This Row],[Year]],0),"")</f>
        <v>0</v>
      </c>
      <c r="F4083" s="456"/>
      <c r="G4083" s="456"/>
      <c r="H4083" s="456"/>
    </row>
    <row r="4084" spans="1:8">
      <c r="A4084" s="696">
        <v>5081</v>
      </c>
      <c r="B4084" s="469"/>
      <c r="C4084" s="458"/>
      <c r="D4084" s="456">
        <f>IF(Table10[[#This Row],[Current Age]]&gt;19,"Men's",IF(E4084&gt;15,"U19",IF(E4084&gt;13,"U15",IF(E4084&gt;11,"U13",IF(E4084&gt;0,"U11",0)))))</f>
        <v>0</v>
      </c>
      <c r="E4084" s="456">
        <f>IFERROR(IF(Table10[[#This Row],[Year]]&gt;0,$E$1-Table10[[#This Row],[Year]],0),"")</f>
        <v>0</v>
      </c>
      <c r="F4084" s="456"/>
      <c r="G4084" s="456"/>
      <c r="H4084" s="456"/>
    </row>
    <row r="4085" spans="1:8">
      <c r="A4085" s="696">
        <v>5082</v>
      </c>
      <c r="B4085" s="469"/>
      <c r="C4085" s="458"/>
      <c r="D4085" s="456">
        <f>IF(Table10[[#This Row],[Current Age]]&gt;19,"Men's",IF(E4085&gt;15,"U19",IF(E4085&gt;13,"U15",IF(E4085&gt;11,"U13",IF(E4085&gt;0,"U11",0)))))</f>
        <v>0</v>
      </c>
      <c r="E4085" s="456">
        <f>IFERROR(IF(Table10[[#This Row],[Year]]&gt;0,$E$1-Table10[[#This Row],[Year]],0),"")</f>
        <v>0</v>
      </c>
      <c r="F4085" s="456"/>
      <c r="G4085" s="456"/>
      <c r="H4085" s="456"/>
    </row>
    <row r="4086" spans="1:8">
      <c r="A4086" s="696">
        <v>5083</v>
      </c>
      <c r="B4086" s="469"/>
      <c r="C4086" s="458"/>
      <c r="D4086" s="456">
        <f>IF(Table10[[#This Row],[Current Age]]&gt;19,"Men's",IF(E4086&gt;15,"U19",IF(E4086&gt;13,"U15",IF(E4086&gt;11,"U13",IF(E4086&gt;0,"U11",0)))))</f>
        <v>0</v>
      </c>
      <c r="E4086" s="456">
        <f>IFERROR(IF(Table10[[#This Row],[Year]]&gt;0,$E$1-Table10[[#This Row],[Year]],0),"")</f>
        <v>0</v>
      </c>
      <c r="F4086" s="456"/>
      <c r="G4086" s="456"/>
      <c r="H4086" s="456"/>
    </row>
    <row r="4087" spans="1:8">
      <c r="A4087" s="696">
        <v>5084</v>
      </c>
      <c r="B4087" s="469"/>
      <c r="C4087" s="458"/>
      <c r="D4087" s="456">
        <f>IF(Table10[[#This Row],[Current Age]]&gt;19,"Men's",IF(E4087&gt;15,"U19",IF(E4087&gt;13,"U15",IF(E4087&gt;11,"U13",IF(E4087&gt;0,"U11",0)))))</f>
        <v>0</v>
      </c>
      <c r="E4087" s="456">
        <f>IFERROR(IF(Table10[[#This Row],[Year]]&gt;0,$E$1-Table10[[#This Row],[Year]],0),"")</f>
        <v>0</v>
      </c>
      <c r="F4087" s="456"/>
      <c r="G4087" s="456"/>
      <c r="H4087" s="456"/>
    </row>
    <row r="4088" spans="1:8">
      <c r="A4088" s="696">
        <v>5085</v>
      </c>
      <c r="B4088" s="469"/>
      <c r="C4088" s="458"/>
      <c r="D4088" s="456">
        <f>IF(Table10[[#This Row],[Current Age]]&gt;19,"Men's",IF(E4088&gt;15,"U19",IF(E4088&gt;13,"U15",IF(E4088&gt;11,"U13",IF(E4088&gt;0,"U11",0)))))</f>
        <v>0</v>
      </c>
      <c r="E4088" s="456">
        <f>IFERROR(IF(Table10[[#This Row],[Year]]&gt;0,$E$1-Table10[[#This Row],[Year]],0),"")</f>
        <v>0</v>
      </c>
      <c r="F4088" s="456"/>
      <c r="G4088" s="456"/>
      <c r="H4088" s="456"/>
    </row>
    <row r="4089" spans="1:8">
      <c r="A4089" s="696">
        <v>5086</v>
      </c>
      <c r="B4089" s="469"/>
      <c r="C4089" s="458"/>
      <c r="D4089" s="456">
        <f>IF(Table10[[#This Row],[Current Age]]&gt;19,"Men's",IF(E4089&gt;15,"U19",IF(E4089&gt;13,"U15",IF(E4089&gt;11,"U13",IF(E4089&gt;0,"U11",0)))))</f>
        <v>0</v>
      </c>
      <c r="E4089" s="456">
        <f>IFERROR(IF(Table10[[#This Row],[Year]]&gt;0,$E$1-Table10[[#This Row],[Year]],0),"")</f>
        <v>0</v>
      </c>
      <c r="F4089" s="456"/>
      <c r="G4089" s="456"/>
      <c r="H4089" s="456"/>
    </row>
    <row r="4090" spans="1:8">
      <c r="A4090" s="696">
        <v>5087</v>
      </c>
      <c r="B4090" s="469"/>
      <c r="C4090" s="458"/>
      <c r="D4090" s="456">
        <f>IF(Table10[[#This Row],[Current Age]]&gt;19,"Men's",IF(E4090&gt;15,"U19",IF(E4090&gt;13,"U15",IF(E4090&gt;11,"U13",IF(E4090&gt;0,"U11",0)))))</f>
        <v>0</v>
      </c>
      <c r="E4090" s="456">
        <f>IFERROR(IF(Table10[[#This Row],[Year]]&gt;0,$E$1-Table10[[#This Row],[Year]],0),"")</f>
        <v>0</v>
      </c>
      <c r="F4090" s="456"/>
      <c r="G4090" s="456"/>
      <c r="H4090" s="456"/>
    </row>
    <row r="4091" spans="1:8">
      <c r="A4091" s="696">
        <v>5088</v>
      </c>
      <c r="B4091" s="469"/>
      <c r="C4091" s="458"/>
      <c r="D4091" s="456">
        <f>IF(Table10[[#This Row],[Current Age]]&gt;19,"Men's",IF(E4091&gt;15,"U19",IF(E4091&gt;13,"U15",IF(E4091&gt;11,"U13",IF(E4091&gt;0,"U11",0)))))</f>
        <v>0</v>
      </c>
      <c r="E4091" s="456">
        <f>IFERROR(IF(Table10[[#This Row],[Year]]&gt;0,$E$1-Table10[[#This Row],[Year]],0),"")</f>
        <v>0</v>
      </c>
      <c r="F4091" s="456"/>
      <c r="G4091" s="456"/>
      <c r="H4091" s="456"/>
    </row>
    <row r="4092" spans="1:8">
      <c r="A4092" s="696">
        <v>5089</v>
      </c>
      <c r="B4092" s="469"/>
      <c r="C4092" s="458"/>
      <c r="D4092" s="456">
        <f>IF(Table10[[#This Row],[Current Age]]&gt;19,"Men's",IF(E4092&gt;15,"U19",IF(E4092&gt;13,"U15",IF(E4092&gt;11,"U13",IF(E4092&gt;0,"U11",0)))))</f>
        <v>0</v>
      </c>
      <c r="E4092" s="456">
        <f>IFERROR(IF(Table10[[#This Row],[Year]]&gt;0,$E$1-Table10[[#This Row],[Year]],0),"")</f>
        <v>0</v>
      </c>
      <c r="F4092" s="456"/>
      <c r="G4092" s="456"/>
      <c r="H4092" s="456"/>
    </row>
    <row r="4093" spans="1:8">
      <c r="A4093" s="696">
        <v>5090</v>
      </c>
      <c r="B4093" s="469"/>
      <c r="C4093" s="458"/>
      <c r="D4093" s="456">
        <f>IF(Table10[[#This Row],[Current Age]]&gt;19,"Men's",IF(E4093&gt;15,"U19",IF(E4093&gt;13,"U15",IF(E4093&gt;11,"U13",IF(E4093&gt;0,"U11",0)))))</f>
        <v>0</v>
      </c>
      <c r="E4093" s="456">
        <f>IFERROR(IF(Table10[[#This Row],[Year]]&gt;0,$E$1-Table10[[#This Row],[Year]],0),"")</f>
        <v>0</v>
      </c>
      <c r="F4093" s="456"/>
      <c r="G4093" s="456"/>
      <c r="H4093" s="456"/>
    </row>
    <row r="4094" spans="1:8">
      <c r="A4094" s="696">
        <v>5091</v>
      </c>
      <c r="B4094" s="469"/>
      <c r="C4094" s="458"/>
      <c r="D4094" s="456">
        <f>IF(Table10[[#This Row],[Current Age]]&gt;19,"Men's",IF(E4094&gt;15,"U19",IF(E4094&gt;13,"U15",IF(E4094&gt;11,"U13",IF(E4094&gt;0,"U11",0)))))</f>
        <v>0</v>
      </c>
      <c r="E4094" s="456">
        <f>IFERROR(IF(Table10[[#This Row],[Year]]&gt;0,$E$1-Table10[[#This Row],[Year]],0),"")</f>
        <v>0</v>
      </c>
      <c r="F4094" s="456"/>
      <c r="G4094" s="456"/>
      <c r="H4094" s="456"/>
    </row>
    <row r="4095" spans="1:8">
      <c r="A4095" s="696">
        <v>5092</v>
      </c>
      <c r="B4095" s="469"/>
      <c r="C4095" s="458"/>
      <c r="D4095" s="456">
        <f>IF(Table10[[#This Row],[Current Age]]&gt;19,"Men's",IF(E4095&gt;15,"U19",IF(E4095&gt;13,"U15",IF(E4095&gt;11,"U13",IF(E4095&gt;0,"U11",0)))))</f>
        <v>0</v>
      </c>
      <c r="E4095" s="456">
        <f>IFERROR(IF(Table10[[#This Row],[Year]]&gt;0,$E$1-Table10[[#This Row],[Year]],0),"")</f>
        <v>0</v>
      </c>
      <c r="F4095" s="456"/>
      <c r="G4095" s="456"/>
      <c r="H4095" s="456"/>
    </row>
    <row r="4096" spans="1:8">
      <c r="A4096" s="696">
        <v>5093</v>
      </c>
      <c r="B4096" s="469"/>
      <c r="C4096" s="458"/>
      <c r="D4096" s="456">
        <f>IF(Table10[[#This Row],[Current Age]]&gt;19,"Men's",IF(E4096&gt;15,"U19",IF(E4096&gt;13,"U15",IF(E4096&gt;11,"U13",IF(E4096&gt;0,"U11",0)))))</f>
        <v>0</v>
      </c>
      <c r="E4096" s="456">
        <f>IFERROR(IF(Table10[[#This Row],[Year]]&gt;0,$E$1-Table10[[#This Row],[Year]],0),"")</f>
        <v>0</v>
      </c>
      <c r="F4096" s="456"/>
      <c r="G4096" s="456"/>
      <c r="H4096" s="456"/>
    </row>
    <row r="4097" spans="1:8">
      <c r="A4097" s="696">
        <v>5094</v>
      </c>
      <c r="B4097" s="469"/>
      <c r="C4097" s="458"/>
      <c r="D4097" s="456">
        <f>IF(Table10[[#This Row],[Current Age]]&gt;19,"Men's",IF(E4097&gt;15,"U19",IF(E4097&gt;13,"U15",IF(E4097&gt;11,"U13",IF(E4097&gt;0,"U11",0)))))</f>
        <v>0</v>
      </c>
      <c r="E4097" s="456">
        <f>IFERROR(IF(Table10[[#This Row],[Year]]&gt;0,$E$1-Table10[[#This Row],[Year]],0),"")</f>
        <v>0</v>
      </c>
      <c r="F4097" s="456"/>
      <c r="G4097" s="456"/>
      <c r="H4097" s="456"/>
    </row>
    <row r="4098" spans="1:8">
      <c r="A4098" s="696">
        <v>5095</v>
      </c>
      <c r="B4098" s="469"/>
      <c r="C4098" s="458"/>
      <c r="D4098" s="456">
        <f>IF(Table10[[#This Row],[Current Age]]&gt;19,"Men's",IF(E4098&gt;15,"U19",IF(E4098&gt;13,"U15",IF(E4098&gt;11,"U13",IF(E4098&gt;0,"U11",0)))))</f>
        <v>0</v>
      </c>
      <c r="E4098" s="456">
        <f>IFERROR(IF(Table10[[#This Row],[Year]]&gt;0,$E$1-Table10[[#This Row],[Year]],0),"")</f>
        <v>0</v>
      </c>
      <c r="F4098" s="456"/>
      <c r="G4098" s="456"/>
      <c r="H4098" s="456"/>
    </row>
    <row r="4099" spans="1:8">
      <c r="A4099" s="696">
        <v>5096</v>
      </c>
      <c r="B4099" s="469"/>
      <c r="C4099" s="458"/>
      <c r="D4099" s="456">
        <f>IF(Table10[[#This Row],[Current Age]]&gt;19,"Men's",IF(E4099&gt;15,"U19",IF(E4099&gt;13,"U15",IF(E4099&gt;11,"U13",IF(E4099&gt;0,"U11",0)))))</f>
        <v>0</v>
      </c>
      <c r="E4099" s="456">
        <f>IFERROR(IF(Table10[[#This Row],[Year]]&gt;0,$E$1-Table10[[#This Row],[Year]],0),"")</f>
        <v>0</v>
      </c>
      <c r="F4099" s="456"/>
      <c r="G4099" s="456"/>
      <c r="H4099" s="456"/>
    </row>
    <row r="4100" spans="1:8">
      <c r="A4100" s="696">
        <v>5097</v>
      </c>
      <c r="B4100" s="469"/>
      <c r="C4100" s="458"/>
      <c r="D4100" s="456">
        <f>IF(Table10[[#This Row],[Current Age]]&gt;19,"Men's",IF(E4100&gt;15,"U19",IF(E4100&gt;13,"U15",IF(E4100&gt;11,"U13",IF(E4100&gt;0,"U11",0)))))</f>
        <v>0</v>
      </c>
      <c r="E4100" s="456">
        <f>IFERROR(IF(Table10[[#This Row],[Year]]&gt;0,$E$1-Table10[[#This Row],[Year]],0),"")</f>
        <v>0</v>
      </c>
      <c r="F4100" s="456"/>
      <c r="G4100" s="456"/>
      <c r="H4100" s="456"/>
    </row>
    <row r="4101" spans="1:8">
      <c r="A4101" s="696">
        <v>5098</v>
      </c>
      <c r="B4101" s="469"/>
      <c r="C4101" s="458"/>
      <c r="D4101" s="456">
        <f>IF(Table10[[#This Row],[Current Age]]&gt;19,"Men's",IF(E4101&gt;15,"U19",IF(E4101&gt;13,"U15",IF(E4101&gt;11,"U13",IF(E4101&gt;0,"U11",0)))))</f>
        <v>0</v>
      </c>
      <c r="E4101" s="456">
        <f>IFERROR(IF(Table10[[#This Row],[Year]]&gt;0,$E$1-Table10[[#This Row],[Year]],0),"")</f>
        <v>0</v>
      </c>
      <c r="F4101" s="456"/>
      <c r="G4101" s="456"/>
      <c r="H4101" s="456"/>
    </row>
    <row r="4102" spans="1:8">
      <c r="A4102" s="696">
        <v>5099</v>
      </c>
      <c r="B4102" s="469"/>
      <c r="C4102" s="458"/>
      <c r="D4102" s="456">
        <f>IF(Table10[[#This Row],[Current Age]]&gt;19,"Men's",IF(E4102&gt;15,"U19",IF(E4102&gt;13,"U15",IF(E4102&gt;11,"U13",IF(E4102&gt;0,"U11",0)))))</f>
        <v>0</v>
      </c>
      <c r="E4102" s="456">
        <f>IFERROR(IF(Table10[[#This Row],[Year]]&gt;0,$E$1-Table10[[#This Row],[Year]],0),"")</f>
        <v>0</v>
      </c>
      <c r="F4102" s="456"/>
      <c r="G4102" s="456"/>
      <c r="H4102" s="456"/>
    </row>
    <row r="4103" spans="1:8">
      <c r="A4103" s="696">
        <v>5100</v>
      </c>
      <c r="B4103" s="469"/>
      <c r="C4103" s="458"/>
      <c r="D4103" s="456">
        <f>IF(Table10[[#This Row],[Current Age]]&gt;19,"Men's",IF(E4103&gt;15,"U19",IF(E4103&gt;13,"U15",IF(E4103&gt;11,"U13",IF(E4103&gt;0,"U11",0)))))</f>
        <v>0</v>
      </c>
      <c r="E4103" s="456">
        <f>IFERROR(IF(Table10[[#This Row],[Year]]&gt;0,$E$1-Table10[[#This Row],[Year]],0),"")</f>
        <v>0</v>
      </c>
      <c r="F4103" s="456"/>
      <c r="G4103" s="456"/>
      <c r="H4103" s="456"/>
    </row>
    <row r="4104" spans="1:8">
      <c r="A4104" s="696">
        <v>5101</v>
      </c>
      <c r="B4104" s="469"/>
      <c r="C4104" s="458"/>
      <c r="D4104" s="456">
        <f>IF(Table10[[#This Row],[Current Age]]&gt;19,"Men's",IF(E4104&gt;15,"U19",IF(E4104&gt;13,"U15",IF(E4104&gt;11,"U13",IF(E4104&gt;0,"U11",0)))))</f>
        <v>0</v>
      </c>
      <c r="E4104" s="456">
        <f>IFERROR(IF(Table10[[#This Row],[Year]]&gt;0,$E$1-Table10[[#This Row],[Year]],0),"")</f>
        <v>0</v>
      </c>
      <c r="F4104" s="456"/>
      <c r="G4104" s="456"/>
      <c r="H4104" s="456"/>
    </row>
    <row r="4105" spans="1:8">
      <c r="A4105" s="696">
        <v>5102</v>
      </c>
      <c r="B4105" s="469"/>
      <c r="C4105" s="458"/>
      <c r="D4105" s="456">
        <f>IF(Table10[[#This Row],[Current Age]]&gt;19,"Men's",IF(E4105&gt;15,"U19",IF(E4105&gt;13,"U15",IF(E4105&gt;11,"U13",IF(E4105&gt;0,"U11",0)))))</f>
        <v>0</v>
      </c>
      <c r="E4105" s="456">
        <f>IFERROR(IF(Table10[[#This Row],[Year]]&gt;0,$E$1-Table10[[#This Row],[Year]],0),"")</f>
        <v>0</v>
      </c>
      <c r="F4105" s="456"/>
      <c r="G4105" s="456"/>
      <c r="H4105" s="456"/>
    </row>
    <row r="4106" spans="1:8">
      <c r="A4106" s="696">
        <v>5103</v>
      </c>
      <c r="B4106" s="469"/>
      <c r="C4106" s="458"/>
      <c r="D4106" s="456">
        <f>IF(Table10[[#This Row],[Current Age]]&gt;19,"Men's",IF(E4106&gt;15,"U19",IF(E4106&gt;13,"U15",IF(E4106&gt;11,"U13",IF(E4106&gt;0,"U11",0)))))</f>
        <v>0</v>
      </c>
      <c r="E4106" s="456">
        <f>IFERROR(IF(Table10[[#This Row],[Year]]&gt;0,$E$1-Table10[[#This Row],[Year]],0),"")</f>
        <v>0</v>
      </c>
      <c r="F4106" s="456"/>
      <c r="G4106" s="456"/>
      <c r="H4106" s="456"/>
    </row>
    <row r="4107" spans="1:8">
      <c r="A4107" s="696">
        <v>5104</v>
      </c>
      <c r="B4107" s="469"/>
      <c r="C4107" s="458"/>
      <c r="D4107" s="456">
        <f>IF(Table10[[#This Row],[Current Age]]&gt;19,"Men's",IF(E4107&gt;15,"U19",IF(E4107&gt;13,"U15",IF(E4107&gt;11,"U13",IF(E4107&gt;0,"U11",0)))))</f>
        <v>0</v>
      </c>
      <c r="E4107" s="456">
        <f>IFERROR(IF(Table10[[#This Row],[Year]]&gt;0,$E$1-Table10[[#This Row],[Year]],0),"")</f>
        <v>0</v>
      </c>
      <c r="F4107" s="456"/>
      <c r="G4107" s="456"/>
      <c r="H4107" s="456"/>
    </row>
    <row r="4108" spans="1:8">
      <c r="A4108" s="696">
        <v>5105</v>
      </c>
      <c r="B4108" s="469"/>
      <c r="C4108" s="458"/>
      <c r="D4108" s="456">
        <f>IF(Table10[[#This Row],[Current Age]]&gt;19,"Men's",IF(E4108&gt;15,"U19",IF(E4108&gt;13,"U15",IF(E4108&gt;11,"U13",IF(E4108&gt;0,"U11",0)))))</f>
        <v>0</v>
      </c>
      <c r="E4108" s="456">
        <f>IFERROR(IF(Table10[[#This Row],[Year]]&gt;0,$E$1-Table10[[#This Row],[Year]],0),"")</f>
        <v>0</v>
      </c>
      <c r="F4108" s="456"/>
      <c r="G4108" s="456"/>
      <c r="H4108" s="456"/>
    </row>
    <row r="4109" spans="1:8">
      <c r="A4109" s="696">
        <v>5106</v>
      </c>
      <c r="B4109" s="469"/>
      <c r="C4109" s="458"/>
      <c r="D4109" s="456">
        <f>IF(Table10[[#This Row],[Current Age]]&gt;19,"Men's",IF(E4109&gt;15,"U19",IF(E4109&gt;13,"U15",IF(E4109&gt;11,"U13",IF(E4109&gt;0,"U11",0)))))</f>
        <v>0</v>
      </c>
      <c r="E4109" s="456">
        <f>IFERROR(IF(Table10[[#This Row],[Year]]&gt;0,$E$1-Table10[[#This Row],[Year]],0),"")</f>
        <v>0</v>
      </c>
      <c r="F4109" s="456"/>
      <c r="G4109" s="456"/>
      <c r="H4109" s="456"/>
    </row>
    <row r="4110" spans="1:8">
      <c r="A4110" s="696">
        <v>5107</v>
      </c>
      <c r="B4110" s="469"/>
      <c r="C4110" s="458"/>
      <c r="D4110" s="456">
        <f>IF(Table10[[#This Row],[Current Age]]&gt;19,"Men's",IF(E4110&gt;15,"U19",IF(E4110&gt;13,"U15",IF(E4110&gt;11,"U13",IF(E4110&gt;0,"U11",0)))))</f>
        <v>0</v>
      </c>
      <c r="E4110" s="456">
        <f>IFERROR(IF(Table10[[#This Row],[Year]]&gt;0,$E$1-Table10[[#This Row],[Year]],0),"")</f>
        <v>0</v>
      </c>
      <c r="F4110" s="456"/>
      <c r="G4110" s="456"/>
      <c r="H4110" s="456"/>
    </row>
    <row r="4111" spans="1:8">
      <c r="A4111" s="696">
        <v>5108</v>
      </c>
      <c r="B4111" s="469"/>
      <c r="C4111" s="458"/>
      <c r="D4111" s="456">
        <f>IF(Table10[[#This Row],[Current Age]]&gt;19,"Men's",IF(E4111&gt;15,"U19",IF(E4111&gt;13,"U15",IF(E4111&gt;11,"U13",IF(E4111&gt;0,"U11",0)))))</f>
        <v>0</v>
      </c>
      <c r="E4111" s="456">
        <f>IFERROR(IF(Table10[[#This Row],[Year]]&gt;0,$E$1-Table10[[#This Row],[Year]],0),"")</f>
        <v>0</v>
      </c>
      <c r="F4111" s="456"/>
      <c r="G4111" s="456"/>
      <c r="H4111" s="456"/>
    </row>
    <row r="4112" spans="1:8">
      <c r="A4112" s="696">
        <v>5109</v>
      </c>
      <c r="B4112" s="469"/>
      <c r="C4112" s="458"/>
      <c r="D4112" s="456">
        <f>IF(Table10[[#This Row],[Current Age]]&gt;19,"Men's",IF(E4112&gt;15,"U19",IF(E4112&gt;13,"U15",IF(E4112&gt;11,"U13",IF(E4112&gt;0,"U11",0)))))</f>
        <v>0</v>
      </c>
      <c r="E4112" s="456">
        <f>IFERROR(IF(Table10[[#This Row],[Year]]&gt;0,$E$1-Table10[[#This Row],[Year]],0),"")</f>
        <v>0</v>
      </c>
      <c r="F4112" s="456"/>
      <c r="G4112" s="456"/>
      <c r="H4112" s="456"/>
    </row>
    <row r="4113" spans="1:8">
      <c r="A4113" s="696">
        <v>5110</v>
      </c>
      <c r="B4113" s="469"/>
      <c r="C4113" s="458"/>
      <c r="D4113" s="456">
        <f>IF(Table10[[#This Row],[Current Age]]&gt;19,"Men's",IF(E4113&gt;15,"U19",IF(E4113&gt;13,"U15",IF(E4113&gt;11,"U13",IF(E4113&gt;0,"U11",0)))))</f>
        <v>0</v>
      </c>
      <c r="E4113" s="456">
        <f>IFERROR(IF(Table10[[#This Row],[Year]]&gt;0,$E$1-Table10[[#This Row],[Year]],0),"")</f>
        <v>0</v>
      </c>
      <c r="F4113" s="456"/>
      <c r="G4113" s="456"/>
      <c r="H4113" s="456"/>
    </row>
    <row r="4114" spans="1:8">
      <c r="A4114" s="696">
        <v>5111</v>
      </c>
      <c r="B4114" s="469"/>
      <c r="C4114" s="458"/>
      <c r="D4114" s="456">
        <f>IF(Table10[[#This Row],[Current Age]]&gt;19,"Men's",IF(E4114&gt;15,"U19",IF(E4114&gt;13,"U15",IF(E4114&gt;11,"U13",IF(E4114&gt;0,"U11",0)))))</f>
        <v>0</v>
      </c>
      <c r="E4114" s="456">
        <f>IFERROR(IF(Table10[[#This Row],[Year]]&gt;0,$E$1-Table10[[#This Row],[Year]],0),"")</f>
        <v>0</v>
      </c>
      <c r="F4114" s="456"/>
      <c r="G4114" s="456"/>
      <c r="H4114" s="456"/>
    </row>
    <row r="4115" spans="1:8">
      <c r="A4115" s="696">
        <v>5112</v>
      </c>
      <c r="B4115" s="469"/>
      <c r="C4115" s="458"/>
      <c r="D4115" s="456">
        <f>IF(Table10[[#This Row],[Current Age]]&gt;19,"Men's",IF(E4115&gt;15,"U19",IF(E4115&gt;13,"U15",IF(E4115&gt;11,"U13",IF(E4115&gt;0,"U11",0)))))</f>
        <v>0</v>
      </c>
      <c r="E4115" s="456">
        <f>IFERROR(IF(Table10[[#This Row],[Year]]&gt;0,$E$1-Table10[[#This Row],[Year]],0),"")</f>
        <v>0</v>
      </c>
      <c r="F4115" s="456"/>
      <c r="G4115" s="456"/>
      <c r="H4115" s="456"/>
    </row>
    <row r="4116" spans="1:8">
      <c r="A4116" s="696">
        <v>5113</v>
      </c>
      <c r="B4116" s="469"/>
      <c r="C4116" s="458"/>
      <c r="D4116" s="456">
        <f>IF(Table10[[#This Row],[Current Age]]&gt;19,"Men's",IF(E4116&gt;15,"U19",IF(E4116&gt;13,"U15",IF(E4116&gt;11,"U13",IF(E4116&gt;0,"U11",0)))))</f>
        <v>0</v>
      </c>
      <c r="E4116" s="456">
        <f>IFERROR(IF(Table10[[#This Row],[Year]]&gt;0,$E$1-Table10[[#This Row],[Year]],0),"")</f>
        <v>0</v>
      </c>
      <c r="F4116" s="456"/>
      <c r="G4116" s="456"/>
      <c r="H4116" s="456"/>
    </row>
    <row r="4117" spans="1:8">
      <c r="A4117" s="696">
        <v>5114</v>
      </c>
      <c r="B4117" s="469"/>
      <c r="C4117" s="458"/>
      <c r="D4117" s="456">
        <f>IF(Table10[[#This Row],[Current Age]]&gt;19,"Men's",IF(E4117&gt;15,"U19",IF(E4117&gt;13,"U15",IF(E4117&gt;11,"U13",IF(E4117&gt;0,"U11",0)))))</f>
        <v>0</v>
      </c>
      <c r="E4117" s="456">
        <f>IFERROR(IF(Table10[[#This Row],[Year]]&gt;0,$E$1-Table10[[#This Row],[Year]],0),"")</f>
        <v>0</v>
      </c>
      <c r="F4117" s="456"/>
      <c r="G4117" s="456"/>
      <c r="H4117" s="456"/>
    </row>
    <row r="4118" spans="1:8">
      <c r="A4118" s="696">
        <v>5115</v>
      </c>
      <c r="B4118" s="469"/>
      <c r="C4118" s="458"/>
      <c r="D4118" s="456">
        <f>IF(Table10[[#This Row],[Current Age]]&gt;19,"Men's",IF(E4118&gt;15,"U19",IF(E4118&gt;13,"U15",IF(E4118&gt;11,"U13",IF(E4118&gt;0,"U11",0)))))</f>
        <v>0</v>
      </c>
      <c r="E4118" s="456">
        <f>IFERROR(IF(Table10[[#This Row],[Year]]&gt;0,$E$1-Table10[[#This Row],[Year]],0),"")</f>
        <v>0</v>
      </c>
      <c r="F4118" s="456"/>
      <c r="G4118" s="456"/>
      <c r="H4118" s="456"/>
    </row>
    <row r="4119" spans="1:8">
      <c r="A4119" s="696">
        <v>5116</v>
      </c>
      <c r="B4119" s="469"/>
      <c r="C4119" s="458"/>
      <c r="D4119" s="456">
        <f>IF(Table10[[#This Row],[Current Age]]&gt;19,"Men's",IF(E4119&gt;15,"U19",IF(E4119&gt;13,"U15",IF(E4119&gt;11,"U13",IF(E4119&gt;0,"U11",0)))))</f>
        <v>0</v>
      </c>
      <c r="E4119" s="456">
        <f>IFERROR(IF(Table10[[#This Row],[Year]]&gt;0,$E$1-Table10[[#This Row],[Year]],0),"")</f>
        <v>0</v>
      </c>
      <c r="F4119" s="456"/>
      <c r="G4119" s="456"/>
      <c r="H4119" s="456"/>
    </row>
    <row r="4120" spans="1:8">
      <c r="A4120" s="696">
        <v>5117</v>
      </c>
      <c r="B4120" s="469"/>
      <c r="C4120" s="458"/>
      <c r="D4120" s="456">
        <f>IF(Table10[[#This Row],[Current Age]]&gt;19,"Men's",IF(E4120&gt;15,"U19",IF(E4120&gt;13,"U15",IF(E4120&gt;11,"U13",IF(E4120&gt;0,"U11",0)))))</f>
        <v>0</v>
      </c>
      <c r="E4120" s="456">
        <f>IFERROR(IF(Table10[[#This Row],[Year]]&gt;0,$E$1-Table10[[#This Row],[Year]],0),"")</f>
        <v>0</v>
      </c>
      <c r="F4120" s="456"/>
      <c r="G4120" s="456"/>
      <c r="H4120" s="456"/>
    </row>
    <row r="4121" spans="1:8">
      <c r="A4121" s="696">
        <v>5118</v>
      </c>
      <c r="B4121" s="469"/>
      <c r="C4121" s="458"/>
      <c r="D4121" s="456">
        <f>IF(Table10[[#This Row],[Current Age]]&gt;19,"Men's",IF(E4121&gt;15,"U19",IF(E4121&gt;13,"U15",IF(E4121&gt;11,"U13",IF(E4121&gt;0,"U11",0)))))</f>
        <v>0</v>
      </c>
      <c r="E4121" s="456">
        <f>IFERROR(IF(Table10[[#This Row],[Year]]&gt;0,$E$1-Table10[[#This Row],[Year]],0),"")</f>
        <v>0</v>
      </c>
      <c r="F4121" s="456"/>
      <c r="G4121" s="456"/>
      <c r="H4121" s="456"/>
    </row>
    <row r="4122" spans="1:8">
      <c r="A4122" s="696">
        <v>5119</v>
      </c>
      <c r="B4122" s="469"/>
      <c r="C4122" s="458"/>
      <c r="D4122" s="456">
        <f>IF(Table10[[#This Row],[Current Age]]&gt;19,"Men's",IF(E4122&gt;15,"U19",IF(E4122&gt;13,"U15",IF(E4122&gt;11,"U13",IF(E4122&gt;0,"U11",0)))))</f>
        <v>0</v>
      </c>
      <c r="E4122" s="456">
        <f>IFERROR(IF(Table10[[#This Row],[Year]]&gt;0,$E$1-Table10[[#This Row],[Year]],0),"")</f>
        <v>0</v>
      </c>
      <c r="F4122" s="456"/>
      <c r="G4122" s="456"/>
      <c r="H4122" s="456"/>
    </row>
    <row r="4123" spans="1:8">
      <c r="A4123" s="696">
        <v>5120</v>
      </c>
      <c r="B4123" s="469"/>
      <c r="C4123" s="458"/>
      <c r="D4123" s="456">
        <f>IF(Table10[[#This Row],[Current Age]]&gt;19,"Men's",IF(E4123&gt;15,"U19",IF(E4123&gt;13,"U15",IF(E4123&gt;11,"U13",IF(E4123&gt;0,"U11",0)))))</f>
        <v>0</v>
      </c>
      <c r="E4123" s="456">
        <f>IFERROR(IF(Table10[[#This Row],[Year]]&gt;0,$E$1-Table10[[#This Row],[Year]],0),"")</f>
        <v>0</v>
      </c>
      <c r="F4123" s="456"/>
      <c r="G4123" s="456"/>
      <c r="H4123" s="456"/>
    </row>
    <row r="4124" spans="1:8">
      <c r="A4124" s="696">
        <v>5121</v>
      </c>
      <c r="B4124" s="469"/>
      <c r="C4124" s="458"/>
      <c r="D4124" s="456">
        <f>IF(Table10[[#This Row],[Current Age]]&gt;19,"Men's",IF(E4124&gt;15,"U19",IF(E4124&gt;13,"U15",IF(E4124&gt;11,"U13",IF(E4124&gt;0,"U11",0)))))</f>
        <v>0</v>
      </c>
      <c r="E4124" s="456">
        <f>IFERROR(IF(Table10[[#This Row],[Year]]&gt;0,$E$1-Table10[[#This Row],[Year]],0),"")</f>
        <v>0</v>
      </c>
      <c r="F4124" s="456"/>
      <c r="G4124" s="456"/>
      <c r="H4124" s="456"/>
    </row>
    <row r="4125" spans="1:8">
      <c r="A4125" s="696">
        <v>5122</v>
      </c>
      <c r="B4125" s="469"/>
      <c r="C4125" s="458"/>
      <c r="D4125" s="456">
        <f>IF(Table10[[#This Row],[Current Age]]&gt;19,"Men's",IF(E4125&gt;15,"U19",IF(E4125&gt;13,"U15",IF(E4125&gt;11,"U13",IF(E4125&gt;0,"U11",0)))))</f>
        <v>0</v>
      </c>
      <c r="E4125" s="456">
        <f>IFERROR(IF(Table10[[#This Row],[Year]]&gt;0,$E$1-Table10[[#This Row],[Year]],0),"")</f>
        <v>0</v>
      </c>
      <c r="F4125" s="456"/>
      <c r="G4125" s="456"/>
      <c r="H4125" s="456"/>
    </row>
    <row r="4126" spans="1:8">
      <c r="A4126" s="696">
        <v>5123</v>
      </c>
      <c r="B4126" s="469"/>
      <c r="C4126" s="458"/>
      <c r="D4126" s="456">
        <f>IF(Table10[[#This Row],[Current Age]]&gt;19,"Men's",IF(E4126&gt;15,"U19",IF(E4126&gt;13,"U15",IF(E4126&gt;11,"U13",IF(E4126&gt;0,"U11",0)))))</f>
        <v>0</v>
      </c>
      <c r="E4126" s="456">
        <f>IFERROR(IF(Table10[[#This Row],[Year]]&gt;0,$E$1-Table10[[#This Row],[Year]],0),"")</f>
        <v>0</v>
      </c>
      <c r="F4126" s="456"/>
      <c r="G4126" s="456"/>
      <c r="H4126" s="456"/>
    </row>
    <row r="4127" spans="1:8">
      <c r="A4127" s="696">
        <v>5124</v>
      </c>
      <c r="B4127" s="469"/>
      <c r="C4127" s="458"/>
      <c r="D4127" s="456">
        <f>IF(Table10[[#This Row],[Current Age]]&gt;19,"Men's",IF(E4127&gt;15,"U19",IF(E4127&gt;13,"U15",IF(E4127&gt;11,"U13",IF(E4127&gt;0,"U11",0)))))</f>
        <v>0</v>
      </c>
      <c r="E4127" s="456">
        <f>IFERROR(IF(Table10[[#This Row],[Year]]&gt;0,$E$1-Table10[[#This Row],[Year]],0),"")</f>
        <v>0</v>
      </c>
      <c r="F4127" s="456"/>
      <c r="G4127" s="456"/>
      <c r="H4127" s="456"/>
    </row>
    <row r="4128" spans="1:8">
      <c r="A4128" s="696">
        <v>5125</v>
      </c>
      <c r="B4128" s="469"/>
      <c r="C4128" s="458"/>
      <c r="D4128" s="456">
        <f>IF(Table10[[#This Row],[Current Age]]&gt;19,"Men's",IF(E4128&gt;15,"U19",IF(E4128&gt;13,"U15",IF(E4128&gt;11,"U13",IF(E4128&gt;0,"U11",0)))))</f>
        <v>0</v>
      </c>
      <c r="E4128" s="456">
        <f>IFERROR(IF(Table10[[#This Row],[Year]]&gt;0,$E$1-Table10[[#This Row],[Year]],0),"")</f>
        <v>0</v>
      </c>
      <c r="F4128" s="456"/>
      <c r="G4128" s="456"/>
      <c r="H4128" s="456"/>
    </row>
    <row r="4129" spans="1:8">
      <c r="A4129" s="696">
        <v>5126</v>
      </c>
      <c r="B4129" s="469"/>
      <c r="C4129" s="458"/>
      <c r="D4129" s="456">
        <f>IF(Table10[[#This Row],[Current Age]]&gt;19,"Men's",IF(E4129&gt;15,"U19",IF(E4129&gt;13,"U15",IF(E4129&gt;11,"U13",IF(E4129&gt;0,"U11",0)))))</f>
        <v>0</v>
      </c>
      <c r="E4129" s="456">
        <f>IFERROR(IF(Table10[[#This Row],[Year]]&gt;0,$E$1-Table10[[#This Row],[Year]],0),"")</f>
        <v>0</v>
      </c>
      <c r="F4129" s="456"/>
      <c r="G4129" s="456"/>
      <c r="H4129" s="456"/>
    </row>
    <row r="4130" spans="1:8">
      <c r="A4130" s="696">
        <v>5127</v>
      </c>
      <c r="B4130" s="469"/>
      <c r="C4130" s="458"/>
      <c r="D4130" s="456">
        <f>IF(Table10[[#This Row],[Current Age]]&gt;19,"Men's",IF(E4130&gt;15,"U19",IF(E4130&gt;13,"U15",IF(E4130&gt;11,"U13",IF(E4130&gt;0,"U11",0)))))</f>
        <v>0</v>
      </c>
      <c r="E4130" s="456">
        <f>IFERROR(IF(Table10[[#This Row],[Year]]&gt;0,$E$1-Table10[[#This Row],[Year]],0),"")</f>
        <v>0</v>
      </c>
      <c r="F4130" s="456"/>
      <c r="G4130" s="456"/>
      <c r="H4130" s="456"/>
    </row>
    <row r="4131" spans="1:8">
      <c r="A4131" s="696">
        <v>5128</v>
      </c>
      <c r="B4131" s="469"/>
      <c r="C4131" s="458"/>
      <c r="D4131" s="456">
        <f>IF(Table10[[#This Row],[Current Age]]&gt;19,"Men's",IF(E4131&gt;15,"U19",IF(E4131&gt;13,"U15",IF(E4131&gt;11,"U13",IF(E4131&gt;0,"U11",0)))))</f>
        <v>0</v>
      </c>
      <c r="E4131" s="456">
        <f>IFERROR(IF(Table10[[#This Row],[Year]]&gt;0,$E$1-Table10[[#This Row],[Year]],0),"")</f>
        <v>0</v>
      </c>
      <c r="F4131" s="456"/>
      <c r="G4131" s="456"/>
      <c r="H4131" s="456"/>
    </row>
    <row r="4132" spans="1:8">
      <c r="A4132" s="696">
        <v>5129</v>
      </c>
      <c r="B4132" s="469"/>
      <c r="C4132" s="458"/>
      <c r="D4132" s="456">
        <f>IF(Table10[[#This Row],[Current Age]]&gt;19,"Men's",IF(E4132&gt;15,"U19",IF(E4132&gt;13,"U15",IF(E4132&gt;11,"U13",IF(E4132&gt;0,"U11",0)))))</f>
        <v>0</v>
      </c>
      <c r="E4132" s="456">
        <f>IFERROR(IF(Table10[[#This Row],[Year]]&gt;0,$E$1-Table10[[#This Row],[Year]],0),"")</f>
        <v>0</v>
      </c>
      <c r="F4132" s="456"/>
      <c r="G4132" s="456"/>
      <c r="H4132" s="456"/>
    </row>
    <row r="4133" spans="1:8">
      <c r="A4133" s="696">
        <v>5130</v>
      </c>
      <c r="B4133" s="469"/>
      <c r="C4133" s="458"/>
      <c r="D4133" s="456">
        <f>IF(Table10[[#This Row],[Current Age]]&gt;19,"Men's",IF(E4133&gt;15,"U19",IF(E4133&gt;13,"U15",IF(E4133&gt;11,"U13",IF(E4133&gt;0,"U11",0)))))</f>
        <v>0</v>
      </c>
      <c r="E4133" s="456">
        <f>IFERROR(IF(Table10[[#This Row],[Year]]&gt;0,$E$1-Table10[[#This Row],[Year]],0),"")</f>
        <v>0</v>
      </c>
      <c r="F4133" s="456"/>
      <c r="G4133" s="456"/>
      <c r="H4133" s="456"/>
    </row>
    <row r="4134" spans="1:8">
      <c r="A4134" s="696">
        <v>5131</v>
      </c>
      <c r="B4134" s="469"/>
      <c r="C4134" s="458"/>
      <c r="D4134" s="456">
        <f>IF(Table10[[#This Row],[Current Age]]&gt;19,"Men's",IF(E4134&gt;15,"U19",IF(E4134&gt;13,"U15",IF(E4134&gt;11,"U13",IF(E4134&gt;0,"U11",0)))))</f>
        <v>0</v>
      </c>
      <c r="E4134" s="456">
        <f>IFERROR(IF(Table10[[#This Row],[Year]]&gt;0,$E$1-Table10[[#This Row],[Year]],0),"")</f>
        <v>0</v>
      </c>
      <c r="F4134" s="456"/>
      <c r="G4134" s="456"/>
      <c r="H4134" s="456"/>
    </row>
    <row r="4135" spans="1:8">
      <c r="A4135" s="696">
        <v>5132</v>
      </c>
      <c r="B4135" s="469"/>
      <c r="C4135" s="458"/>
      <c r="D4135" s="456">
        <f>IF(Table10[[#This Row],[Current Age]]&gt;19,"Men's",IF(E4135&gt;15,"U19",IF(E4135&gt;13,"U15",IF(E4135&gt;11,"U13",IF(E4135&gt;0,"U11",0)))))</f>
        <v>0</v>
      </c>
      <c r="E4135" s="456">
        <f>IFERROR(IF(Table10[[#This Row],[Year]]&gt;0,$E$1-Table10[[#This Row],[Year]],0),"")</f>
        <v>0</v>
      </c>
      <c r="F4135" s="456"/>
      <c r="G4135" s="456"/>
      <c r="H4135" s="456"/>
    </row>
    <row r="4136" spans="1:8">
      <c r="A4136" s="696">
        <v>5133</v>
      </c>
      <c r="B4136" s="469"/>
      <c r="C4136" s="458"/>
      <c r="D4136" s="456">
        <f>IF(Table10[[#This Row],[Current Age]]&gt;19,"Men's",IF(E4136&gt;15,"U19",IF(E4136&gt;13,"U15",IF(E4136&gt;11,"U13",IF(E4136&gt;0,"U11",0)))))</f>
        <v>0</v>
      </c>
      <c r="E4136" s="456">
        <f>IFERROR(IF(Table10[[#This Row],[Year]]&gt;0,$E$1-Table10[[#This Row],[Year]],0),"")</f>
        <v>0</v>
      </c>
      <c r="F4136" s="456"/>
      <c r="G4136" s="456"/>
      <c r="H4136" s="456"/>
    </row>
    <row r="4137" spans="1:8">
      <c r="A4137" s="696">
        <v>5134</v>
      </c>
      <c r="B4137" s="469"/>
      <c r="C4137" s="458"/>
      <c r="D4137" s="456">
        <f>IF(Table10[[#This Row],[Current Age]]&gt;19,"Men's",IF(E4137&gt;15,"U19",IF(E4137&gt;13,"U15",IF(E4137&gt;11,"U13",IF(E4137&gt;0,"U11",0)))))</f>
        <v>0</v>
      </c>
      <c r="E4137" s="456">
        <f>IFERROR(IF(Table10[[#This Row],[Year]]&gt;0,$E$1-Table10[[#This Row],[Year]],0),"")</f>
        <v>0</v>
      </c>
      <c r="F4137" s="456"/>
      <c r="G4137" s="456"/>
      <c r="H4137" s="456"/>
    </row>
    <row r="4138" spans="1:8">
      <c r="A4138" s="696">
        <v>5135</v>
      </c>
      <c r="B4138" s="469"/>
      <c r="C4138" s="458"/>
      <c r="D4138" s="456">
        <f>IF(Table10[[#This Row],[Current Age]]&gt;19,"Men's",IF(E4138&gt;15,"U19",IF(E4138&gt;13,"U15",IF(E4138&gt;11,"U13",IF(E4138&gt;0,"U11",0)))))</f>
        <v>0</v>
      </c>
      <c r="E4138" s="456">
        <f>IFERROR(IF(Table10[[#This Row],[Year]]&gt;0,$E$1-Table10[[#This Row],[Year]],0),"")</f>
        <v>0</v>
      </c>
      <c r="F4138" s="456"/>
      <c r="G4138" s="456"/>
      <c r="H4138" s="456"/>
    </row>
    <row r="4139" spans="1:8">
      <c r="A4139" s="696">
        <v>5136</v>
      </c>
      <c r="B4139" s="469"/>
      <c r="C4139" s="458"/>
      <c r="D4139" s="456">
        <f>IF(Table10[[#This Row],[Current Age]]&gt;19,"Men's",IF(E4139&gt;15,"U19",IF(E4139&gt;13,"U15",IF(E4139&gt;11,"U13",IF(E4139&gt;0,"U11",0)))))</f>
        <v>0</v>
      </c>
      <c r="E4139" s="456">
        <f>IFERROR(IF(Table10[[#This Row],[Year]]&gt;0,$E$1-Table10[[#This Row],[Year]],0),"")</f>
        <v>0</v>
      </c>
      <c r="F4139" s="456"/>
      <c r="G4139" s="456"/>
      <c r="H4139" s="456"/>
    </row>
    <row r="4140" spans="1:8">
      <c r="A4140" s="696">
        <v>5137</v>
      </c>
      <c r="B4140" s="469"/>
      <c r="C4140" s="458"/>
      <c r="D4140" s="456">
        <f>IF(Table10[[#This Row],[Current Age]]&gt;19,"Men's",IF(E4140&gt;15,"U19",IF(E4140&gt;13,"U15",IF(E4140&gt;11,"U13",IF(E4140&gt;0,"U11",0)))))</f>
        <v>0</v>
      </c>
      <c r="E4140" s="456">
        <f>IFERROR(IF(Table10[[#This Row],[Year]]&gt;0,$E$1-Table10[[#This Row],[Year]],0),"")</f>
        <v>0</v>
      </c>
      <c r="F4140" s="456"/>
      <c r="G4140" s="456"/>
      <c r="H4140" s="456"/>
    </row>
    <row r="4141" spans="1:8">
      <c r="A4141" s="696">
        <v>5138</v>
      </c>
      <c r="B4141" s="469"/>
      <c r="C4141" s="458"/>
      <c r="D4141" s="456">
        <f>IF(Table10[[#This Row],[Current Age]]&gt;19,"Men's",IF(E4141&gt;15,"U19",IF(E4141&gt;13,"U15",IF(E4141&gt;11,"U13",IF(E4141&gt;0,"U11",0)))))</f>
        <v>0</v>
      </c>
      <c r="E4141" s="456">
        <f>IFERROR(IF(Table10[[#This Row],[Year]]&gt;0,$E$1-Table10[[#This Row],[Year]],0),"")</f>
        <v>0</v>
      </c>
      <c r="F4141" s="456"/>
      <c r="G4141" s="456"/>
      <c r="H4141" s="456"/>
    </row>
    <row r="4142" spans="1:8">
      <c r="A4142" s="696">
        <v>5139</v>
      </c>
      <c r="B4142" s="469"/>
      <c r="C4142" s="458"/>
      <c r="D4142" s="456">
        <f>IF(Table10[[#This Row],[Current Age]]&gt;19,"Men's",IF(E4142&gt;15,"U19",IF(E4142&gt;13,"U15",IF(E4142&gt;11,"U13",IF(E4142&gt;0,"U11",0)))))</f>
        <v>0</v>
      </c>
      <c r="E4142" s="456">
        <f>IFERROR(IF(Table10[[#This Row],[Year]]&gt;0,$E$1-Table10[[#This Row],[Year]],0),"")</f>
        <v>0</v>
      </c>
      <c r="F4142" s="456"/>
      <c r="G4142" s="456"/>
      <c r="H4142" s="456"/>
    </row>
    <row r="4143" spans="1:8">
      <c r="A4143" s="696">
        <v>5140</v>
      </c>
      <c r="B4143" s="469"/>
      <c r="C4143" s="458"/>
      <c r="D4143" s="456">
        <f>IF(Table10[[#This Row],[Current Age]]&gt;19,"Men's",IF(E4143&gt;15,"U19",IF(E4143&gt;13,"U15",IF(E4143&gt;11,"U13",IF(E4143&gt;0,"U11",0)))))</f>
        <v>0</v>
      </c>
      <c r="E4143" s="456">
        <f>IFERROR(IF(Table10[[#This Row],[Year]]&gt;0,$E$1-Table10[[#This Row],[Year]],0),"")</f>
        <v>0</v>
      </c>
      <c r="F4143" s="456"/>
      <c r="G4143" s="456"/>
      <c r="H4143" s="456"/>
    </row>
    <row r="4144" spans="1:8">
      <c r="A4144" s="696">
        <v>5141</v>
      </c>
      <c r="B4144" s="469"/>
      <c r="C4144" s="458"/>
      <c r="D4144" s="456">
        <f>IF(Table10[[#This Row],[Current Age]]&gt;19,"Men's",IF(E4144&gt;15,"U19",IF(E4144&gt;13,"U15",IF(E4144&gt;11,"U13",IF(E4144&gt;0,"U11",0)))))</f>
        <v>0</v>
      </c>
      <c r="E4144" s="456">
        <f>IFERROR(IF(Table10[[#This Row],[Year]]&gt;0,$E$1-Table10[[#This Row],[Year]],0),"")</f>
        <v>0</v>
      </c>
      <c r="F4144" s="456"/>
      <c r="G4144" s="456"/>
      <c r="H4144" s="456"/>
    </row>
    <row r="4145" spans="1:8">
      <c r="A4145" s="696">
        <v>5142</v>
      </c>
      <c r="B4145" s="469"/>
      <c r="C4145" s="458"/>
      <c r="D4145" s="456">
        <f>IF(Table10[[#This Row],[Current Age]]&gt;19,"Men's",IF(E4145&gt;15,"U19",IF(E4145&gt;13,"U15",IF(E4145&gt;11,"U13",IF(E4145&gt;0,"U11",0)))))</f>
        <v>0</v>
      </c>
      <c r="E4145" s="456">
        <f>IFERROR(IF(Table10[[#This Row],[Year]]&gt;0,$E$1-Table10[[#This Row],[Year]],0),"")</f>
        <v>0</v>
      </c>
      <c r="F4145" s="456"/>
      <c r="G4145" s="456"/>
      <c r="H4145" s="456"/>
    </row>
    <row r="4146" spans="1:8">
      <c r="A4146" s="696">
        <v>5143</v>
      </c>
      <c r="B4146" s="469"/>
      <c r="C4146" s="458"/>
      <c r="D4146" s="456">
        <f>IF(Table10[[#This Row],[Current Age]]&gt;19,"Men's",IF(E4146&gt;15,"U19",IF(E4146&gt;13,"U15",IF(E4146&gt;11,"U13",IF(E4146&gt;0,"U11",0)))))</f>
        <v>0</v>
      </c>
      <c r="E4146" s="456">
        <f>IFERROR(IF(Table10[[#This Row],[Year]]&gt;0,$E$1-Table10[[#This Row],[Year]],0),"")</f>
        <v>0</v>
      </c>
      <c r="F4146" s="456"/>
      <c r="G4146" s="456"/>
      <c r="H4146" s="456"/>
    </row>
    <row r="4147" spans="1:8">
      <c r="A4147" s="696">
        <v>5144</v>
      </c>
      <c r="B4147" s="469"/>
      <c r="C4147" s="458"/>
      <c r="D4147" s="456">
        <f>IF(Table10[[#This Row],[Current Age]]&gt;19,"Men's",IF(E4147&gt;15,"U19",IF(E4147&gt;13,"U15",IF(E4147&gt;11,"U13",IF(E4147&gt;0,"U11",0)))))</f>
        <v>0</v>
      </c>
      <c r="E4147" s="456">
        <f>IFERROR(IF(Table10[[#This Row],[Year]]&gt;0,$E$1-Table10[[#This Row],[Year]],0),"")</f>
        <v>0</v>
      </c>
      <c r="F4147" s="456"/>
      <c r="G4147" s="456"/>
      <c r="H4147" s="456"/>
    </row>
    <row r="4148" spans="1:8">
      <c r="A4148" s="696">
        <v>5145</v>
      </c>
      <c r="B4148" s="469"/>
      <c r="C4148" s="458"/>
      <c r="D4148" s="456">
        <f>IF(Table10[[#This Row],[Current Age]]&gt;19,"Men's",IF(E4148&gt;15,"U19",IF(E4148&gt;13,"U15",IF(E4148&gt;11,"U13",IF(E4148&gt;0,"U11",0)))))</f>
        <v>0</v>
      </c>
      <c r="E4148" s="456">
        <f>IFERROR(IF(Table10[[#This Row],[Year]]&gt;0,$E$1-Table10[[#This Row],[Year]],0),"")</f>
        <v>0</v>
      </c>
      <c r="F4148" s="456"/>
      <c r="G4148" s="456"/>
      <c r="H4148" s="456"/>
    </row>
    <row r="4149" spans="1:8">
      <c r="A4149" s="696">
        <v>5146</v>
      </c>
      <c r="B4149" s="469"/>
      <c r="C4149" s="458"/>
      <c r="D4149" s="456">
        <f>IF(Table10[[#This Row],[Current Age]]&gt;19,"Men's",IF(E4149&gt;15,"U19",IF(E4149&gt;13,"U15",IF(E4149&gt;11,"U13",IF(E4149&gt;0,"U11",0)))))</f>
        <v>0</v>
      </c>
      <c r="E4149" s="456">
        <f>IFERROR(IF(Table10[[#This Row],[Year]]&gt;0,$E$1-Table10[[#This Row],[Year]],0),"")</f>
        <v>0</v>
      </c>
      <c r="F4149" s="456"/>
      <c r="G4149" s="456"/>
      <c r="H4149" s="456"/>
    </row>
    <row r="4150" spans="1:8">
      <c r="A4150" s="696">
        <v>5147</v>
      </c>
      <c r="B4150" s="469"/>
      <c r="C4150" s="458"/>
      <c r="D4150" s="456">
        <f>IF(Table10[[#This Row],[Current Age]]&gt;19,"Men's",IF(E4150&gt;15,"U19",IF(E4150&gt;13,"U15",IF(E4150&gt;11,"U13",IF(E4150&gt;0,"U11",0)))))</f>
        <v>0</v>
      </c>
      <c r="E4150" s="456">
        <f>IFERROR(IF(Table10[[#This Row],[Year]]&gt;0,$E$1-Table10[[#This Row],[Year]],0),"")</f>
        <v>0</v>
      </c>
      <c r="F4150" s="456"/>
      <c r="G4150" s="456"/>
      <c r="H4150" s="456"/>
    </row>
    <row r="4151" spans="1:8">
      <c r="A4151" s="696">
        <v>5148</v>
      </c>
      <c r="B4151" s="469"/>
      <c r="C4151" s="458"/>
      <c r="D4151" s="456">
        <f>IF(Table10[[#This Row],[Current Age]]&gt;19,"Men's",IF(E4151&gt;15,"U19",IF(E4151&gt;13,"U15",IF(E4151&gt;11,"U13",IF(E4151&gt;0,"U11",0)))))</f>
        <v>0</v>
      </c>
      <c r="E4151" s="456">
        <f>IFERROR(IF(Table10[[#This Row],[Year]]&gt;0,$E$1-Table10[[#This Row],[Year]],0),"")</f>
        <v>0</v>
      </c>
      <c r="F4151" s="456"/>
      <c r="G4151" s="456"/>
      <c r="H4151" s="456"/>
    </row>
    <row r="4152" spans="1:8">
      <c r="A4152" s="696">
        <v>5149</v>
      </c>
      <c r="B4152" s="469"/>
      <c r="C4152" s="458"/>
      <c r="D4152" s="456">
        <f>IF(Table10[[#This Row],[Current Age]]&gt;19,"Men's",IF(E4152&gt;15,"U19",IF(E4152&gt;13,"U15",IF(E4152&gt;11,"U13",IF(E4152&gt;0,"U11",0)))))</f>
        <v>0</v>
      </c>
      <c r="E4152" s="456">
        <f>IFERROR(IF(Table10[[#This Row],[Year]]&gt;0,$E$1-Table10[[#This Row],[Year]],0),"")</f>
        <v>0</v>
      </c>
      <c r="F4152" s="456"/>
      <c r="G4152" s="456"/>
      <c r="H4152" s="456"/>
    </row>
    <row r="4153" spans="1:8">
      <c r="A4153" s="696">
        <v>5150</v>
      </c>
      <c r="B4153" s="469"/>
      <c r="C4153" s="458"/>
      <c r="D4153" s="456">
        <f>IF(Table10[[#This Row],[Current Age]]&gt;19,"Men's",IF(E4153&gt;15,"U19",IF(E4153&gt;13,"U15",IF(E4153&gt;11,"U13",IF(E4153&gt;0,"U11",0)))))</f>
        <v>0</v>
      </c>
      <c r="E4153" s="456">
        <f>IFERROR(IF(Table10[[#This Row],[Year]]&gt;0,$E$1-Table10[[#This Row],[Year]],0),"")</f>
        <v>0</v>
      </c>
      <c r="F4153" s="456"/>
      <c r="G4153" s="456"/>
      <c r="H4153" s="456"/>
    </row>
    <row r="4154" spans="1:8">
      <c r="A4154" s="696">
        <v>5151</v>
      </c>
      <c r="B4154" s="469"/>
      <c r="C4154" s="458"/>
      <c r="D4154" s="456">
        <f>IF(Table10[[#This Row],[Current Age]]&gt;19,"Men's",IF(E4154&gt;15,"U19",IF(E4154&gt;13,"U15",IF(E4154&gt;11,"U13",IF(E4154&gt;0,"U11",0)))))</f>
        <v>0</v>
      </c>
      <c r="E4154" s="456">
        <f>IFERROR(IF(Table10[[#This Row],[Year]]&gt;0,$E$1-Table10[[#This Row],[Year]],0),"")</f>
        <v>0</v>
      </c>
      <c r="F4154" s="456"/>
      <c r="G4154" s="456"/>
      <c r="H4154" s="456"/>
    </row>
    <row r="4155" spans="1:8">
      <c r="A4155" s="696">
        <v>5152</v>
      </c>
      <c r="B4155" s="469"/>
      <c r="C4155" s="458"/>
      <c r="D4155" s="456">
        <f>IF(Table10[[#This Row],[Current Age]]&gt;19,"Men's",IF(E4155&gt;15,"U19",IF(E4155&gt;13,"U15",IF(E4155&gt;11,"U13",IF(E4155&gt;0,"U11",0)))))</f>
        <v>0</v>
      </c>
      <c r="E4155" s="456">
        <f>IFERROR(IF(Table10[[#This Row],[Year]]&gt;0,$E$1-Table10[[#This Row],[Year]],0),"")</f>
        <v>0</v>
      </c>
      <c r="F4155" s="456"/>
      <c r="G4155" s="456"/>
      <c r="H4155" s="456"/>
    </row>
    <row r="4156" spans="1:8">
      <c r="A4156" s="696">
        <v>5153</v>
      </c>
      <c r="B4156" s="469"/>
      <c r="C4156" s="458"/>
      <c r="D4156" s="456">
        <f>IF(Table10[[#This Row],[Current Age]]&gt;19,"Men's",IF(E4156&gt;15,"U19",IF(E4156&gt;13,"U15",IF(E4156&gt;11,"U13",IF(E4156&gt;0,"U11",0)))))</f>
        <v>0</v>
      </c>
      <c r="E4156" s="456">
        <f>IFERROR(IF(Table10[[#This Row],[Year]]&gt;0,$E$1-Table10[[#This Row],[Year]],0),"")</f>
        <v>0</v>
      </c>
      <c r="F4156" s="456"/>
      <c r="G4156" s="456"/>
      <c r="H4156" s="456"/>
    </row>
    <row r="4157" spans="1:8">
      <c r="A4157" s="696">
        <v>5154</v>
      </c>
      <c r="B4157" s="469"/>
      <c r="C4157" s="458"/>
      <c r="D4157" s="456">
        <f>IF(Table10[[#This Row],[Current Age]]&gt;19,"Men's",IF(E4157&gt;15,"U19",IF(E4157&gt;13,"U15",IF(E4157&gt;11,"U13",IF(E4157&gt;0,"U11",0)))))</f>
        <v>0</v>
      </c>
      <c r="E4157" s="456">
        <f>IFERROR(IF(Table10[[#This Row],[Year]]&gt;0,$E$1-Table10[[#This Row],[Year]],0),"")</f>
        <v>0</v>
      </c>
      <c r="F4157" s="456"/>
      <c r="G4157" s="456"/>
      <c r="H4157" s="456"/>
    </row>
    <row r="4158" spans="1:8">
      <c r="A4158" s="696">
        <v>5155</v>
      </c>
      <c r="B4158" s="469"/>
      <c r="C4158" s="458"/>
      <c r="D4158" s="456">
        <f>IF(Table10[[#This Row],[Current Age]]&gt;19,"Men's",IF(E4158&gt;15,"U19",IF(E4158&gt;13,"U15",IF(E4158&gt;11,"U13",IF(E4158&gt;0,"U11",0)))))</f>
        <v>0</v>
      </c>
      <c r="E4158" s="456">
        <f>IFERROR(IF(Table10[[#This Row],[Year]]&gt;0,$E$1-Table10[[#This Row],[Year]],0),"")</f>
        <v>0</v>
      </c>
      <c r="F4158" s="456"/>
      <c r="G4158" s="456"/>
      <c r="H4158" s="456"/>
    </row>
    <row r="4159" spans="1:8">
      <c r="A4159" s="696">
        <v>5156</v>
      </c>
      <c r="B4159" s="469"/>
      <c r="C4159" s="458"/>
      <c r="D4159" s="456">
        <f>IF(Table10[[#This Row],[Current Age]]&gt;19,"Men's",IF(E4159&gt;15,"U19",IF(E4159&gt;13,"U15",IF(E4159&gt;11,"U13",IF(E4159&gt;0,"U11",0)))))</f>
        <v>0</v>
      </c>
      <c r="E4159" s="456">
        <f>IFERROR(IF(Table10[[#This Row],[Year]]&gt;0,$E$1-Table10[[#This Row],[Year]],0),"")</f>
        <v>0</v>
      </c>
      <c r="F4159" s="456"/>
      <c r="G4159" s="456"/>
      <c r="H4159" s="456"/>
    </row>
    <row r="4160" spans="1:8">
      <c r="A4160" s="696">
        <v>5157</v>
      </c>
      <c r="B4160" s="469"/>
      <c r="C4160" s="458"/>
      <c r="D4160" s="456">
        <f>IF(Table10[[#This Row],[Current Age]]&gt;19,"Men's",IF(E4160&gt;15,"U19",IF(E4160&gt;13,"U15",IF(E4160&gt;11,"U13",IF(E4160&gt;0,"U11",0)))))</f>
        <v>0</v>
      </c>
      <c r="E4160" s="456">
        <f>IFERROR(IF(Table10[[#This Row],[Year]]&gt;0,$E$1-Table10[[#This Row],[Year]],0),"")</f>
        <v>0</v>
      </c>
      <c r="F4160" s="456"/>
      <c r="G4160" s="456"/>
      <c r="H4160" s="456"/>
    </row>
    <row r="4161" spans="1:8">
      <c r="A4161" s="696">
        <v>5158</v>
      </c>
      <c r="B4161" s="469"/>
      <c r="C4161" s="458"/>
      <c r="D4161" s="456">
        <f>IF(Table10[[#This Row],[Current Age]]&gt;19,"Men's",IF(E4161&gt;15,"U19",IF(E4161&gt;13,"U15",IF(E4161&gt;11,"U13",IF(E4161&gt;0,"U11",0)))))</f>
        <v>0</v>
      </c>
      <c r="E4161" s="456">
        <f>IFERROR(IF(Table10[[#This Row],[Year]]&gt;0,$E$1-Table10[[#This Row],[Year]],0),"")</f>
        <v>0</v>
      </c>
      <c r="F4161" s="456"/>
      <c r="G4161" s="456"/>
      <c r="H4161" s="456"/>
    </row>
    <row r="4162" spans="1:8">
      <c r="A4162" s="696">
        <v>5159</v>
      </c>
      <c r="B4162" s="469"/>
      <c r="C4162" s="458"/>
      <c r="D4162" s="456">
        <f>IF(Table10[[#This Row],[Current Age]]&gt;19,"Men's",IF(E4162&gt;15,"U19",IF(E4162&gt;13,"U15",IF(E4162&gt;11,"U13",IF(E4162&gt;0,"U11",0)))))</f>
        <v>0</v>
      </c>
      <c r="E4162" s="456">
        <f>IFERROR(IF(Table10[[#This Row],[Year]]&gt;0,$E$1-Table10[[#This Row],[Year]],0),"")</f>
        <v>0</v>
      </c>
      <c r="F4162" s="456"/>
      <c r="G4162" s="456"/>
      <c r="H4162" s="456"/>
    </row>
    <row r="4163" spans="1:8">
      <c r="A4163" s="696">
        <v>5160</v>
      </c>
      <c r="B4163" s="469"/>
      <c r="C4163" s="458"/>
      <c r="D4163" s="456">
        <f>IF(Table10[[#This Row],[Current Age]]&gt;19,"Men's",IF(E4163&gt;15,"U19",IF(E4163&gt;13,"U15",IF(E4163&gt;11,"U13",IF(E4163&gt;0,"U11",0)))))</f>
        <v>0</v>
      </c>
      <c r="E4163" s="456">
        <f>IFERROR(IF(Table10[[#This Row],[Year]]&gt;0,$E$1-Table10[[#This Row],[Year]],0),"")</f>
        <v>0</v>
      </c>
      <c r="F4163" s="456"/>
      <c r="G4163" s="456"/>
      <c r="H4163" s="456"/>
    </row>
    <row r="4164" spans="1:8">
      <c r="A4164" s="696">
        <v>5161</v>
      </c>
      <c r="B4164" s="469"/>
      <c r="C4164" s="458"/>
      <c r="D4164" s="456">
        <f>IF(Table10[[#This Row],[Current Age]]&gt;19,"Men's",IF(E4164&gt;15,"U19",IF(E4164&gt;13,"U15",IF(E4164&gt;11,"U13",IF(E4164&gt;0,"U11",0)))))</f>
        <v>0</v>
      </c>
      <c r="E4164" s="456">
        <f>IFERROR(IF(Table10[[#This Row],[Year]]&gt;0,$E$1-Table10[[#This Row],[Year]],0),"")</f>
        <v>0</v>
      </c>
      <c r="F4164" s="456"/>
      <c r="G4164" s="456"/>
      <c r="H4164" s="456"/>
    </row>
    <row r="4165" spans="1:8">
      <c r="A4165" s="696">
        <v>5162</v>
      </c>
      <c r="B4165" s="469"/>
      <c r="C4165" s="458"/>
      <c r="D4165" s="456">
        <f>IF(Table10[[#This Row],[Current Age]]&gt;19,"Men's",IF(E4165&gt;15,"U19",IF(E4165&gt;13,"U15",IF(E4165&gt;11,"U13",IF(E4165&gt;0,"U11",0)))))</f>
        <v>0</v>
      </c>
      <c r="E4165" s="456">
        <f>IFERROR(IF(Table10[[#This Row],[Year]]&gt;0,$E$1-Table10[[#This Row],[Year]],0),"")</f>
        <v>0</v>
      </c>
      <c r="F4165" s="456"/>
      <c r="G4165" s="456"/>
      <c r="H4165" s="456"/>
    </row>
    <row r="4166" spans="1:8">
      <c r="A4166" s="696">
        <v>5163</v>
      </c>
      <c r="B4166" s="469"/>
      <c r="C4166" s="458"/>
      <c r="D4166" s="456">
        <f>IF(Table10[[#This Row],[Current Age]]&gt;19,"Men's",IF(E4166&gt;15,"U19",IF(E4166&gt;13,"U15",IF(E4166&gt;11,"U13",IF(E4166&gt;0,"U11",0)))))</f>
        <v>0</v>
      </c>
      <c r="E4166" s="456">
        <f>IFERROR(IF(Table10[[#This Row],[Year]]&gt;0,$E$1-Table10[[#This Row],[Year]],0),"")</f>
        <v>0</v>
      </c>
      <c r="F4166" s="456"/>
      <c r="G4166" s="456"/>
      <c r="H4166" s="456"/>
    </row>
    <row r="4167" spans="1:8">
      <c r="A4167" s="696">
        <v>5164</v>
      </c>
      <c r="B4167" s="469"/>
      <c r="C4167" s="458"/>
      <c r="D4167" s="456">
        <f>IF(Table10[[#This Row],[Current Age]]&gt;19,"Men's",IF(E4167&gt;15,"U19",IF(E4167&gt;13,"U15",IF(E4167&gt;11,"U13",IF(E4167&gt;0,"U11",0)))))</f>
        <v>0</v>
      </c>
      <c r="E4167" s="456">
        <f>IFERROR(IF(Table10[[#This Row],[Year]]&gt;0,$E$1-Table10[[#This Row],[Year]],0),"")</f>
        <v>0</v>
      </c>
      <c r="F4167" s="456"/>
      <c r="G4167" s="456"/>
      <c r="H4167" s="456"/>
    </row>
    <row r="4168" spans="1:8">
      <c r="A4168" s="696">
        <v>5165</v>
      </c>
      <c r="B4168" s="469"/>
      <c r="C4168" s="458"/>
      <c r="D4168" s="456">
        <f>IF(Table10[[#This Row],[Current Age]]&gt;19,"Men's",IF(E4168&gt;15,"U19",IF(E4168&gt;13,"U15",IF(E4168&gt;11,"U13",IF(E4168&gt;0,"U11",0)))))</f>
        <v>0</v>
      </c>
      <c r="E4168" s="456">
        <f>IFERROR(IF(Table10[[#This Row],[Year]]&gt;0,$E$1-Table10[[#This Row],[Year]],0),"")</f>
        <v>0</v>
      </c>
      <c r="F4168" s="456"/>
      <c r="G4168" s="456"/>
      <c r="H4168" s="456"/>
    </row>
    <row r="4169" spans="1:8">
      <c r="A4169" s="696">
        <v>5166</v>
      </c>
      <c r="B4169" s="469"/>
      <c r="C4169" s="458"/>
      <c r="D4169" s="456">
        <f>IF(Table10[[#This Row],[Current Age]]&gt;19,"Men's",IF(E4169&gt;15,"U19",IF(E4169&gt;13,"U15",IF(E4169&gt;11,"U13",IF(E4169&gt;0,"U11",0)))))</f>
        <v>0</v>
      </c>
      <c r="E4169" s="456">
        <f>IFERROR(IF(Table10[[#This Row],[Year]]&gt;0,$E$1-Table10[[#This Row],[Year]],0),"")</f>
        <v>0</v>
      </c>
      <c r="F4169" s="456"/>
      <c r="G4169" s="456"/>
      <c r="H4169" s="456"/>
    </row>
    <row r="4170" spans="1:8">
      <c r="A4170" s="696">
        <v>5167</v>
      </c>
      <c r="B4170" s="469"/>
      <c r="C4170" s="458"/>
      <c r="D4170" s="456">
        <f>IF(Table10[[#This Row],[Current Age]]&gt;19,"Men's",IF(E4170&gt;15,"U19",IF(E4170&gt;13,"U15",IF(E4170&gt;11,"U13",IF(E4170&gt;0,"U11",0)))))</f>
        <v>0</v>
      </c>
      <c r="E4170" s="456">
        <f>IFERROR(IF(Table10[[#This Row],[Year]]&gt;0,$E$1-Table10[[#This Row],[Year]],0),"")</f>
        <v>0</v>
      </c>
      <c r="F4170" s="456"/>
      <c r="G4170" s="456"/>
      <c r="H4170" s="456"/>
    </row>
    <row r="4171" spans="1:8">
      <c r="A4171" s="696">
        <v>5168</v>
      </c>
      <c r="B4171" s="469"/>
      <c r="C4171" s="458"/>
      <c r="D4171" s="456">
        <f>IF(Table10[[#This Row],[Current Age]]&gt;19,"Men's",IF(E4171&gt;15,"U19",IF(E4171&gt;13,"U15",IF(E4171&gt;11,"U13",IF(E4171&gt;0,"U11",0)))))</f>
        <v>0</v>
      </c>
      <c r="E4171" s="456">
        <f>IFERROR(IF(Table10[[#This Row],[Year]]&gt;0,$E$1-Table10[[#This Row],[Year]],0),"")</f>
        <v>0</v>
      </c>
      <c r="F4171" s="456"/>
      <c r="G4171" s="456"/>
      <c r="H4171" s="456"/>
    </row>
    <row r="4172" spans="1:8">
      <c r="A4172" s="696">
        <v>5169</v>
      </c>
      <c r="B4172" s="469"/>
      <c r="C4172" s="458"/>
      <c r="D4172" s="456">
        <f>IF(Table10[[#This Row],[Current Age]]&gt;19,"Men's",IF(E4172&gt;15,"U19",IF(E4172&gt;13,"U15",IF(E4172&gt;11,"U13",IF(E4172&gt;0,"U11",0)))))</f>
        <v>0</v>
      </c>
      <c r="E4172" s="456">
        <f>IFERROR(IF(Table10[[#This Row],[Year]]&gt;0,$E$1-Table10[[#This Row],[Year]],0),"")</f>
        <v>0</v>
      </c>
      <c r="F4172" s="456"/>
      <c r="G4172" s="456"/>
      <c r="H4172" s="456"/>
    </row>
    <row r="4173" spans="1:8">
      <c r="A4173" s="696">
        <v>5170</v>
      </c>
      <c r="B4173" s="469"/>
      <c r="C4173" s="458"/>
      <c r="D4173" s="456">
        <f>IF(Table10[[#This Row],[Current Age]]&gt;19,"Men's",IF(E4173&gt;15,"U19",IF(E4173&gt;13,"U15",IF(E4173&gt;11,"U13",IF(E4173&gt;0,"U11",0)))))</f>
        <v>0</v>
      </c>
      <c r="E4173" s="456">
        <f>IFERROR(IF(Table10[[#This Row],[Year]]&gt;0,$E$1-Table10[[#This Row],[Year]],0),"")</f>
        <v>0</v>
      </c>
      <c r="F4173" s="456"/>
      <c r="G4173" s="456"/>
      <c r="H4173" s="456"/>
    </row>
    <row r="4174" spans="1:8">
      <c r="A4174" s="696">
        <v>5171</v>
      </c>
      <c r="B4174" s="469"/>
      <c r="C4174" s="458"/>
      <c r="D4174" s="456">
        <f>IF(Table10[[#This Row],[Current Age]]&gt;19,"Men's",IF(E4174&gt;15,"U19",IF(E4174&gt;13,"U15",IF(E4174&gt;11,"U13",IF(E4174&gt;0,"U11",0)))))</f>
        <v>0</v>
      </c>
      <c r="E4174" s="456">
        <f>IFERROR(IF(Table10[[#This Row],[Year]]&gt;0,$E$1-Table10[[#This Row],[Year]],0),"")</f>
        <v>0</v>
      </c>
      <c r="F4174" s="456"/>
      <c r="G4174" s="456"/>
      <c r="H4174" s="456"/>
    </row>
    <row r="4175" spans="1:8">
      <c r="A4175" s="696">
        <v>5172</v>
      </c>
      <c r="B4175" s="469"/>
      <c r="C4175" s="458"/>
      <c r="D4175" s="456">
        <f>IF(Table10[[#This Row],[Current Age]]&gt;19,"Men's",IF(E4175&gt;15,"U19",IF(E4175&gt;13,"U15",IF(E4175&gt;11,"U13",IF(E4175&gt;0,"U11",0)))))</f>
        <v>0</v>
      </c>
      <c r="E4175" s="456">
        <f>IFERROR(IF(Table10[[#This Row],[Year]]&gt;0,$E$1-Table10[[#This Row],[Year]],0),"")</f>
        <v>0</v>
      </c>
      <c r="F4175" s="456"/>
      <c r="G4175" s="456"/>
      <c r="H4175" s="456"/>
    </row>
    <row r="4176" spans="1:8">
      <c r="A4176" s="696">
        <v>5173</v>
      </c>
      <c r="B4176" s="469"/>
      <c r="C4176" s="458"/>
      <c r="D4176" s="456">
        <f>IF(Table10[[#This Row],[Current Age]]&gt;19,"Men's",IF(E4176&gt;15,"U19",IF(E4176&gt;13,"U15",IF(E4176&gt;11,"U13",IF(E4176&gt;0,"U11",0)))))</f>
        <v>0</v>
      </c>
      <c r="E4176" s="456">
        <f>IFERROR(IF(Table10[[#This Row],[Year]]&gt;0,$E$1-Table10[[#This Row],[Year]],0),"")</f>
        <v>0</v>
      </c>
      <c r="F4176" s="456"/>
      <c r="G4176" s="456"/>
      <c r="H4176" s="456"/>
    </row>
    <row r="4177" spans="1:8">
      <c r="A4177" s="696">
        <v>5174</v>
      </c>
      <c r="B4177" s="469"/>
      <c r="C4177" s="458"/>
      <c r="D4177" s="456">
        <f>IF(Table10[[#This Row],[Current Age]]&gt;19,"Men's",IF(E4177&gt;15,"U19",IF(E4177&gt;13,"U15",IF(E4177&gt;11,"U13",IF(E4177&gt;0,"U11",0)))))</f>
        <v>0</v>
      </c>
      <c r="E4177" s="456">
        <f>IFERROR(IF(Table10[[#This Row],[Year]]&gt;0,$E$1-Table10[[#This Row],[Year]],0),"")</f>
        <v>0</v>
      </c>
      <c r="F4177" s="456"/>
      <c r="G4177" s="456"/>
      <c r="H4177" s="456"/>
    </row>
    <row r="4178" spans="1:8">
      <c r="A4178" s="696">
        <v>5175</v>
      </c>
      <c r="B4178" s="469"/>
      <c r="C4178" s="458"/>
      <c r="D4178" s="456">
        <f>IF(Table10[[#This Row],[Current Age]]&gt;19,"Men's",IF(E4178&gt;15,"U19",IF(E4178&gt;13,"U15",IF(E4178&gt;11,"U13",IF(E4178&gt;0,"U11",0)))))</f>
        <v>0</v>
      </c>
      <c r="E4178" s="456">
        <f>IFERROR(IF(Table10[[#This Row],[Year]]&gt;0,$E$1-Table10[[#This Row],[Year]],0),"")</f>
        <v>0</v>
      </c>
      <c r="F4178" s="456"/>
      <c r="G4178" s="456"/>
      <c r="H4178" s="456"/>
    </row>
    <row r="4179" spans="1:8">
      <c r="A4179" s="696">
        <v>5176</v>
      </c>
      <c r="B4179" s="469"/>
      <c r="C4179" s="458"/>
      <c r="D4179" s="456">
        <f>IF(Table10[[#This Row],[Current Age]]&gt;19,"Men's",IF(E4179&gt;15,"U19",IF(E4179&gt;13,"U15",IF(E4179&gt;11,"U13",IF(E4179&gt;0,"U11",0)))))</f>
        <v>0</v>
      </c>
      <c r="E4179" s="456">
        <f>IFERROR(IF(Table10[[#This Row],[Year]]&gt;0,$E$1-Table10[[#This Row],[Year]],0),"")</f>
        <v>0</v>
      </c>
      <c r="F4179" s="456"/>
      <c r="G4179" s="456"/>
      <c r="H4179" s="456"/>
    </row>
    <row r="4180" spans="1:8">
      <c r="A4180" s="696">
        <v>5177</v>
      </c>
      <c r="B4180" s="469"/>
      <c r="C4180" s="458"/>
      <c r="D4180" s="456">
        <f>IF(Table10[[#This Row],[Current Age]]&gt;19,"Men's",IF(E4180&gt;15,"U19",IF(E4180&gt;13,"U15",IF(E4180&gt;11,"U13",IF(E4180&gt;0,"U11",0)))))</f>
        <v>0</v>
      </c>
      <c r="E4180" s="456">
        <f>IFERROR(IF(Table10[[#This Row],[Year]]&gt;0,$E$1-Table10[[#This Row],[Year]],0),"")</f>
        <v>0</v>
      </c>
      <c r="F4180" s="456"/>
      <c r="G4180" s="456"/>
      <c r="H4180" s="456"/>
    </row>
    <row r="4181" spans="1:8">
      <c r="A4181" s="696">
        <v>5178</v>
      </c>
      <c r="B4181" s="469"/>
      <c r="C4181" s="458"/>
      <c r="D4181" s="456">
        <f>IF(Table10[[#This Row],[Current Age]]&gt;19,"Men's",IF(E4181&gt;15,"U19",IF(E4181&gt;13,"U15",IF(E4181&gt;11,"U13",IF(E4181&gt;0,"U11",0)))))</f>
        <v>0</v>
      </c>
      <c r="E4181" s="456">
        <f>IFERROR(IF(Table10[[#This Row],[Year]]&gt;0,$E$1-Table10[[#This Row],[Year]],0),"")</f>
        <v>0</v>
      </c>
      <c r="F4181" s="456"/>
      <c r="G4181" s="456"/>
      <c r="H4181" s="456"/>
    </row>
    <row r="4182" spans="1:8">
      <c r="A4182" s="696">
        <v>5179</v>
      </c>
      <c r="B4182" s="469"/>
      <c r="C4182" s="458"/>
      <c r="D4182" s="456">
        <f>IF(Table10[[#This Row],[Current Age]]&gt;19,"Men's",IF(E4182&gt;15,"U19",IF(E4182&gt;13,"U15",IF(E4182&gt;11,"U13",IF(E4182&gt;0,"U11",0)))))</f>
        <v>0</v>
      </c>
      <c r="E4182" s="456">
        <f>IFERROR(IF(Table10[[#This Row],[Year]]&gt;0,$E$1-Table10[[#This Row],[Year]],0),"")</f>
        <v>0</v>
      </c>
      <c r="F4182" s="456"/>
      <c r="G4182" s="456"/>
      <c r="H4182" s="456"/>
    </row>
    <row r="4183" spans="1:8">
      <c r="A4183" s="696">
        <v>5180</v>
      </c>
      <c r="B4183" s="469"/>
      <c r="C4183" s="458"/>
      <c r="D4183" s="456">
        <f>IF(Table10[[#This Row],[Current Age]]&gt;19,"Men's",IF(E4183&gt;15,"U19",IF(E4183&gt;13,"U15",IF(E4183&gt;11,"U13",IF(E4183&gt;0,"U11",0)))))</f>
        <v>0</v>
      </c>
      <c r="E4183" s="456">
        <f>IFERROR(IF(Table10[[#This Row],[Year]]&gt;0,$E$1-Table10[[#This Row],[Year]],0),"")</f>
        <v>0</v>
      </c>
      <c r="F4183" s="456"/>
      <c r="G4183" s="456"/>
      <c r="H4183" s="456"/>
    </row>
    <row r="4184" spans="1:8">
      <c r="A4184" s="696">
        <v>5181</v>
      </c>
      <c r="B4184" s="469"/>
      <c r="C4184" s="458"/>
      <c r="D4184" s="456">
        <f>IF(Table10[[#This Row],[Current Age]]&gt;19,"Men's",IF(E4184&gt;15,"U19",IF(E4184&gt;13,"U15",IF(E4184&gt;11,"U13",IF(E4184&gt;0,"U11",0)))))</f>
        <v>0</v>
      </c>
      <c r="E4184" s="456">
        <f>IFERROR(IF(Table10[[#This Row],[Year]]&gt;0,$E$1-Table10[[#This Row],[Year]],0),"")</f>
        <v>0</v>
      </c>
      <c r="F4184" s="456"/>
      <c r="G4184" s="456"/>
      <c r="H4184" s="456"/>
    </row>
    <row r="4185" spans="1:8">
      <c r="A4185" s="696">
        <v>5182</v>
      </c>
      <c r="B4185" s="469"/>
      <c r="C4185" s="458"/>
      <c r="D4185" s="456">
        <f>IF(Table10[[#This Row],[Current Age]]&gt;19,"Men's",IF(E4185&gt;15,"U19",IF(E4185&gt;13,"U15",IF(E4185&gt;11,"U13",IF(E4185&gt;0,"U11",0)))))</f>
        <v>0</v>
      </c>
      <c r="E4185" s="456">
        <f>IFERROR(IF(Table10[[#This Row],[Year]]&gt;0,$E$1-Table10[[#This Row],[Year]],0),"")</f>
        <v>0</v>
      </c>
      <c r="F4185" s="456"/>
      <c r="G4185" s="456"/>
      <c r="H4185" s="456"/>
    </row>
    <row r="4186" spans="1:8">
      <c r="A4186" s="696">
        <v>5183</v>
      </c>
      <c r="B4186" s="469"/>
      <c r="C4186" s="458"/>
      <c r="D4186" s="456">
        <f>IF(Table10[[#This Row],[Current Age]]&gt;19,"Men's",IF(E4186&gt;15,"U19",IF(E4186&gt;13,"U15",IF(E4186&gt;11,"U13",IF(E4186&gt;0,"U11",0)))))</f>
        <v>0</v>
      </c>
      <c r="E4186" s="456">
        <f>IFERROR(IF(Table10[[#This Row],[Year]]&gt;0,$E$1-Table10[[#This Row],[Year]],0),"")</f>
        <v>0</v>
      </c>
      <c r="F4186" s="456"/>
      <c r="G4186" s="456"/>
      <c r="H4186" s="456"/>
    </row>
    <row r="4187" spans="1:8">
      <c r="A4187" s="696">
        <v>5184</v>
      </c>
      <c r="B4187" s="469"/>
      <c r="C4187" s="458"/>
      <c r="D4187" s="456">
        <f>IF(Table10[[#This Row],[Current Age]]&gt;19,"Men's",IF(E4187&gt;15,"U19",IF(E4187&gt;13,"U15",IF(E4187&gt;11,"U13",IF(E4187&gt;0,"U11",0)))))</f>
        <v>0</v>
      </c>
      <c r="E4187" s="456">
        <f>IFERROR(IF(Table10[[#This Row],[Year]]&gt;0,$E$1-Table10[[#This Row],[Year]],0),"")</f>
        <v>0</v>
      </c>
      <c r="F4187" s="456"/>
      <c r="G4187" s="456"/>
      <c r="H4187" s="456"/>
    </row>
    <row r="4188" spans="1:8">
      <c r="A4188" s="696">
        <v>5185</v>
      </c>
      <c r="B4188" s="469"/>
      <c r="C4188" s="458"/>
      <c r="D4188" s="456">
        <f>IF(Table10[[#This Row],[Current Age]]&gt;19,"Men's",IF(E4188&gt;15,"U19",IF(E4188&gt;13,"U15",IF(E4188&gt;11,"U13",IF(E4188&gt;0,"U11",0)))))</f>
        <v>0</v>
      </c>
      <c r="E4188" s="456">
        <f>IFERROR(IF(Table10[[#This Row],[Year]]&gt;0,$E$1-Table10[[#This Row],[Year]],0),"")</f>
        <v>0</v>
      </c>
      <c r="F4188" s="456"/>
      <c r="G4188" s="456"/>
      <c r="H4188" s="456"/>
    </row>
    <row r="4189" spans="1:8">
      <c r="A4189" s="696">
        <v>5186</v>
      </c>
      <c r="B4189" s="469"/>
      <c r="C4189" s="458"/>
      <c r="D4189" s="456">
        <f>IF(Table10[[#This Row],[Current Age]]&gt;19,"Men's",IF(E4189&gt;15,"U19",IF(E4189&gt;13,"U15",IF(E4189&gt;11,"U13",IF(E4189&gt;0,"U11",0)))))</f>
        <v>0</v>
      </c>
      <c r="E4189" s="456">
        <f>IFERROR(IF(Table10[[#This Row],[Year]]&gt;0,$E$1-Table10[[#This Row],[Year]],0),"")</f>
        <v>0</v>
      </c>
      <c r="F4189" s="456"/>
      <c r="G4189" s="456"/>
      <c r="H4189" s="456"/>
    </row>
    <row r="4190" spans="1:8">
      <c r="A4190" s="696">
        <v>5187</v>
      </c>
      <c r="B4190" s="469"/>
      <c r="C4190" s="458"/>
      <c r="D4190" s="456">
        <f>IF(Table10[[#This Row],[Current Age]]&gt;19,"Men's",IF(E4190&gt;15,"U19",IF(E4190&gt;13,"U15",IF(E4190&gt;11,"U13",IF(E4190&gt;0,"U11",0)))))</f>
        <v>0</v>
      </c>
      <c r="E4190" s="456">
        <f>IFERROR(IF(Table10[[#This Row],[Year]]&gt;0,$E$1-Table10[[#This Row],[Year]],0),"")</f>
        <v>0</v>
      </c>
      <c r="F4190" s="456"/>
      <c r="G4190" s="456"/>
      <c r="H4190" s="456"/>
    </row>
    <row r="4191" spans="1:8">
      <c r="A4191" s="696">
        <v>5188</v>
      </c>
      <c r="B4191" s="469"/>
      <c r="C4191" s="458"/>
      <c r="D4191" s="456">
        <f>IF(Table10[[#This Row],[Current Age]]&gt;19,"Men's",IF(E4191&gt;15,"U19",IF(E4191&gt;13,"U15",IF(E4191&gt;11,"U13",IF(E4191&gt;0,"U11",0)))))</f>
        <v>0</v>
      </c>
      <c r="E4191" s="456">
        <f>IFERROR(IF(Table10[[#This Row],[Year]]&gt;0,$E$1-Table10[[#This Row],[Year]],0),"")</f>
        <v>0</v>
      </c>
      <c r="F4191" s="456"/>
      <c r="G4191" s="456"/>
      <c r="H4191" s="456"/>
    </row>
    <row r="4192" spans="1:8">
      <c r="A4192" s="696">
        <v>5189</v>
      </c>
      <c r="B4192" s="469"/>
      <c r="C4192" s="458"/>
      <c r="D4192" s="456">
        <f>IF(Table10[[#This Row],[Current Age]]&gt;19,"Men's",IF(E4192&gt;15,"U19",IF(E4192&gt;13,"U15",IF(E4192&gt;11,"U13",IF(E4192&gt;0,"U11",0)))))</f>
        <v>0</v>
      </c>
      <c r="E4192" s="456">
        <f>IFERROR(IF(Table10[[#This Row],[Year]]&gt;0,$E$1-Table10[[#This Row],[Year]],0),"")</f>
        <v>0</v>
      </c>
      <c r="F4192" s="456"/>
      <c r="G4192" s="456"/>
      <c r="H4192" s="456"/>
    </row>
    <row r="4193" spans="1:8">
      <c r="A4193" s="696">
        <v>5190</v>
      </c>
      <c r="B4193" s="469"/>
      <c r="C4193" s="458"/>
      <c r="D4193" s="456">
        <f>IF(Table10[[#This Row],[Current Age]]&gt;19,"Men's",IF(E4193&gt;15,"U19",IF(E4193&gt;13,"U15",IF(E4193&gt;11,"U13",IF(E4193&gt;0,"U11",0)))))</f>
        <v>0</v>
      </c>
      <c r="E4193" s="456">
        <f>IFERROR(IF(Table10[[#This Row],[Year]]&gt;0,$E$1-Table10[[#This Row],[Year]],0),"")</f>
        <v>0</v>
      </c>
      <c r="F4193" s="456"/>
      <c r="G4193" s="456"/>
      <c r="H4193" s="456"/>
    </row>
    <row r="4194" spans="1:8">
      <c r="A4194" s="696">
        <v>5191</v>
      </c>
      <c r="B4194" s="469"/>
      <c r="C4194" s="458"/>
      <c r="D4194" s="456">
        <f>IF(Table10[[#This Row],[Current Age]]&gt;19,"Men's",IF(E4194&gt;15,"U19",IF(E4194&gt;13,"U15",IF(E4194&gt;11,"U13",IF(E4194&gt;0,"U11",0)))))</f>
        <v>0</v>
      </c>
      <c r="E4194" s="456">
        <f>IFERROR(IF(Table10[[#This Row],[Year]]&gt;0,$E$1-Table10[[#This Row],[Year]],0),"")</f>
        <v>0</v>
      </c>
      <c r="F4194" s="456"/>
      <c r="G4194" s="456"/>
      <c r="H4194" s="456"/>
    </row>
    <row r="4195" spans="1:8">
      <c r="A4195" s="696">
        <v>5192</v>
      </c>
      <c r="B4195" s="469"/>
      <c r="C4195" s="458"/>
      <c r="D4195" s="456">
        <f>IF(Table10[[#This Row],[Current Age]]&gt;19,"Men's",IF(E4195&gt;15,"U19",IF(E4195&gt;13,"U15",IF(E4195&gt;11,"U13",IF(E4195&gt;0,"U11",0)))))</f>
        <v>0</v>
      </c>
      <c r="E4195" s="456">
        <f>IFERROR(IF(Table10[[#This Row],[Year]]&gt;0,$E$1-Table10[[#This Row],[Year]],0),"")</f>
        <v>0</v>
      </c>
      <c r="F4195" s="456"/>
      <c r="G4195" s="456"/>
      <c r="H4195" s="456"/>
    </row>
    <row r="4196" spans="1:8">
      <c r="A4196" s="696">
        <v>5193</v>
      </c>
      <c r="B4196" s="469"/>
      <c r="C4196" s="458"/>
      <c r="D4196" s="456">
        <f>IF(Table10[[#This Row],[Current Age]]&gt;19,"Men's",IF(E4196&gt;15,"U19",IF(E4196&gt;13,"U15",IF(E4196&gt;11,"U13",IF(E4196&gt;0,"U11",0)))))</f>
        <v>0</v>
      </c>
      <c r="E4196" s="456">
        <f>IFERROR(IF(Table10[[#This Row],[Year]]&gt;0,$E$1-Table10[[#This Row],[Year]],0),"")</f>
        <v>0</v>
      </c>
      <c r="F4196" s="456"/>
      <c r="G4196" s="456"/>
      <c r="H4196" s="456"/>
    </row>
    <row r="4197" spans="1:8">
      <c r="A4197" s="696">
        <v>5194</v>
      </c>
      <c r="B4197" s="469"/>
      <c r="C4197" s="458"/>
      <c r="D4197" s="456">
        <f>IF(Table10[[#This Row],[Current Age]]&gt;19,"Men's",IF(E4197&gt;15,"U19",IF(E4197&gt;13,"U15",IF(E4197&gt;11,"U13",IF(E4197&gt;0,"U11",0)))))</f>
        <v>0</v>
      </c>
      <c r="E4197" s="456">
        <f>IFERROR(IF(Table10[[#This Row],[Year]]&gt;0,$E$1-Table10[[#This Row],[Year]],0),"")</f>
        <v>0</v>
      </c>
      <c r="F4197" s="456"/>
      <c r="G4197" s="456"/>
      <c r="H4197" s="456"/>
    </row>
    <row r="4198" spans="1:8">
      <c r="A4198" s="696">
        <v>5195</v>
      </c>
      <c r="B4198" s="469"/>
      <c r="C4198" s="458"/>
      <c r="D4198" s="456">
        <f>IF(Table10[[#This Row],[Current Age]]&gt;19,"Men's",IF(E4198&gt;15,"U19",IF(E4198&gt;13,"U15",IF(E4198&gt;11,"U13",IF(E4198&gt;0,"U11",0)))))</f>
        <v>0</v>
      </c>
      <c r="E4198" s="456">
        <f>IFERROR(IF(Table10[[#This Row],[Year]]&gt;0,$E$1-Table10[[#This Row],[Year]],0),"")</f>
        <v>0</v>
      </c>
      <c r="F4198" s="456"/>
      <c r="G4198" s="456"/>
      <c r="H4198" s="456"/>
    </row>
    <row r="4199" spans="1:8">
      <c r="A4199" s="696">
        <v>5196</v>
      </c>
      <c r="B4199" s="469"/>
      <c r="C4199" s="458"/>
      <c r="D4199" s="456">
        <f>IF(Table10[[#This Row],[Current Age]]&gt;19,"Men's",IF(E4199&gt;15,"U19",IF(E4199&gt;13,"U15",IF(E4199&gt;11,"U13",IF(E4199&gt;0,"U11",0)))))</f>
        <v>0</v>
      </c>
      <c r="E4199" s="456">
        <f>IFERROR(IF(Table10[[#This Row],[Year]]&gt;0,$E$1-Table10[[#This Row],[Year]],0),"")</f>
        <v>0</v>
      </c>
      <c r="F4199" s="456"/>
      <c r="G4199" s="456"/>
      <c r="H4199" s="456"/>
    </row>
    <row r="4200" spans="1:8">
      <c r="A4200" s="696">
        <v>5197</v>
      </c>
      <c r="B4200" s="469"/>
      <c r="C4200" s="458"/>
      <c r="D4200" s="456">
        <f>IF(Table10[[#This Row],[Current Age]]&gt;19,"Men's",IF(E4200&gt;15,"U19",IF(E4200&gt;13,"U15",IF(E4200&gt;11,"U13",IF(E4200&gt;0,"U11",0)))))</f>
        <v>0</v>
      </c>
      <c r="E4200" s="456">
        <f>IFERROR(IF(Table10[[#This Row],[Year]]&gt;0,$E$1-Table10[[#This Row],[Year]],0),"")</f>
        <v>0</v>
      </c>
      <c r="F4200" s="456"/>
      <c r="G4200" s="456"/>
      <c r="H4200" s="456"/>
    </row>
    <row r="4201" spans="1:8">
      <c r="A4201" s="696">
        <v>5198</v>
      </c>
      <c r="B4201" s="469"/>
      <c r="C4201" s="458"/>
      <c r="D4201" s="456">
        <f>IF(Table10[[#This Row],[Current Age]]&gt;19,"Men's",IF(E4201&gt;15,"U19",IF(E4201&gt;13,"U15",IF(E4201&gt;11,"U13",IF(E4201&gt;0,"U11",0)))))</f>
        <v>0</v>
      </c>
      <c r="E4201" s="456">
        <f>IFERROR(IF(Table10[[#This Row],[Year]]&gt;0,$E$1-Table10[[#This Row],[Year]],0),"")</f>
        <v>0</v>
      </c>
      <c r="F4201" s="456"/>
      <c r="G4201" s="456"/>
      <c r="H4201" s="456"/>
    </row>
    <row r="4202" spans="1:8">
      <c r="A4202" s="696">
        <v>5199</v>
      </c>
      <c r="B4202" s="469"/>
      <c r="C4202" s="458"/>
      <c r="D4202" s="456">
        <f>IF(Table10[[#This Row],[Current Age]]&gt;19,"Men's",IF(E4202&gt;15,"U19",IF(E4202&gt;13,"U15",IF(E4202&gt;11,"U13",IF(E4202&gt;0,"U11",0)))))</f>
        <v>0</v>
      </c>
      <c r="E4202" s="456">
        <f>IFERROR(IF(Table10[[#This Row],[Year]]&gt;0,$E$1-Table10[[#This Row],[Year]],0),"")</f>
        <v>0</v>
      </c>
      <c r="F4202" s="456"/>
      <c r="G4202" s="456"/>
      <c r="H4202" s="456"/>
    </row>
    <row r="4203" spans="1:8">
      <c r="A4203" s="696">
        <v>5200</v>
      </c>
      <c r="B4203" s="469"/>
      <c r="C4203" s="458"/>
      <c r="D4203" s="456">
        <f>IF(Table10[[#This Row],[Current Age]]&gt;19,"Men's",IF(E4203&gt;15,"U19",IF(E4203&gt;13,"U15",IF(E4203&gt;11,"U13",IF(E4203&gt;0,"U11",0)))))</f>
        <v>0</v>
      </c>
      <c r="E4203" s="456">
        <f>IFERROR(IF(Table10[[#This Row],[Year]]&gt;0,$E$1-Table10[[#This Row],[Year]],0),"")</f>
        <v>0</v>
      </c>
      <c r="F4203" s="456"/>
      <c r="G4203" s="456"/>
      <c r="H4203" s="456"/>
    </row>
    <row r="4204" spans="1:8">
      <c r="A4204" s="696">
        <v>5201</v>
      </c>
      <c r="B4204" s="469"/>
      <c r="C4204" s="458"/>
      <c r="D4204" s="456">
        <f>IF(Table10[[#This Row],[Current Age]]&gt;19,"Men's",IF(E4204&gt;15,"U19",IF(E4204&gt;13,"U15",IF(E4204&gt;11,"U13",IF(E4204&gt;0,"U11",0)))))</f>
        <v>0</v>
      </c>
      <c r="E4204" s="456">
        <f>IFERROR(IF(Table10[[#This Row],[Year]]&gt;0,$E$1-Table10[[#This Row],[Year]],0),"")</f>
        <v>0</v>
      </c>
      <c r="F4204" s="456"/>
      <c r="G4204" s="456"/>
      <c r="H4204" s="456"/>
    </row>
    <row r="4205" spans="1:8">
      <c r="A4205" s="696">
        <v>5202</v>
      </c>
      <c r="B4205" s="469"/>
      <c r="C4205" s="458"/>
      <c r="D4205" s="456">
        <f>IF(Table10[[#This Row],[Current Age]]&gt;19,"Men's",IF(E4205&gt;15,"U19",IF(E4205&gt;13,"U15",IF(E4205&gt;11,"U13",IF(E4205&gt;0,"U11",0)))))</f>
        <v>0</v>
      </c>
      <c r="E4205" s="456">
        <f>IFERROR(IF(Table10[[#This Row],[Year]]&gt;0,$E$1-Table10[[#This Row],[Year]],0),"")</f>
        <v>0</v>
      </c>
      <c r="F4205" s="456"/>
      <c r="G4205" s="456"/>
      <c r="H4205" s="456"/>
    </row>
    <row r="4206" spans="1:8">
      <c r="A4206" s="696">
        <v>5203</v>
      </c>
      <c r="B4206" s="469"/>
      <c r="C4206" s="458"/>
      <c r="D4206" s="456">
        <f>IF(Table10[[#This Row],[Current Age]]&gt;19,"Men's",IF(E4206&gt;15,"U19",IF(E4206&gt;13,"U15",IF(E4206&gt;11,"U13",IF(E4206&gt;0,"U11",0)))))</f>
        <v>0</v>
      </c>
      <c r="E4206" s="456">
        <f>IFERROR(IF(Table10[[#This Row],[Year]]&gt;0,$E$1-Table10[[#This Row],[Year]],0),"")</f>
        <v>0</v>
      </c>
      <c r="F4206" s="456"/>
      <c r="G4206" s="456"/>
      <c r="H4206" s="456"/>
    </row>
    <row r="4207" spans="1:8">
      <c r="A4207" s="696">
        <v>5204</v>
      </c>
      <c r="B4207" s="469"/>
      <c r="C4207" s="458"/>
      <c r="D4207" s="456">
        <f>IF(Table10[[#This Row],[Current Age]]&gt;19,"Men's",IF(E4207&gt;15,"U19",IF(E4207&gt;13,"U15",IF(E4207&gt;11,"U13",IF(E4207&gt;0,"U11",0)))))</f>
        <v>0</v>
      </c>
      <c r="E4207" s="456">
        <f>IFERROR(IF(Table10[[#This Row],[Year]]&gt;0,$E$1-Table10[[#This Row],[Year]],0),"")</f>
        <v>0</v>
      </c>
      <c r="F4207" s="456"/>
      <c r="G4207" s="456"/>
      <c r="H4207" s="456"/>
    </row>
    <row r="4208" spans="1:8">
      <c r="A4208" s="696">
        <v>5205</v>
      </c>
      <c r="B4208" s="469"/>
      <c r="C4208" s="458"/>
      <c r="D4208" s="456">
        <f>IF(Table10[[#This Row],[Current Age]]&gt;19,"Men's",IF(E4208&gt;15,"U19",IF(E4208&gt;13,"U15",IF(E4208&gt;11,"U13",IF(E4208&gt;0,"U11",0)))))</f>
        <v>0</v>
      </c>
      <c r="E4208" s="456">
        <f>IFERROR(IF(Table10[[#This Row],[Year]]&gt;0,$E$1-Table10[[#This Row],[Year]],0),"")</f>
        <v>0</v>
      </c>
      <c r="F4208" s="456"/>
      <c r="G4208" s="456"/>
      <c r="H4208" s="456"/>
    </row>
    <row r="4209" spans="1:8">
      <c r="A4209" s="696">
        <v>5206</v>
      </c>
      <c r="B4209" s="469"/>
      <c r="C4209" s="458"/>
      <c r="D4209" s="456">
        <f>IF(Table10[[#This Row],[Current Age]]&gt;19,"Men's",IF(E4209&gt;15,"U19",IF(E4209&gt;13,"U15",IF(E4209&gt;11,"U13",IF(E4209&gt;0,"U11",0)))))</f>
        <v>0</v>
      </c>
      <c r="E4209" s="456">
        <f>IFERROR(IF(Table10[[#This Row],[Year]]&gt;0,$E$1-Table10[[#This Row],[Year]],0),"")</f>
        <v>0</v>
      </c>
      <c r="F4209" s="456"/>
      <c r="G4209" s="456"/>
      <c r="H4209" s="456"/>
    </row>
    <row r="4210" spans="1:8">
      <c r="A4210" s="696">
        <v>5207</v>
      </c>
      <c r="B4210" s="469"/>
      <c r="C4210" s="458"/>
      <c r="D4210" s="456">
        <f>IF(Table10[[#This Row],[Current Age]]&gt;19,"Men's",IF(E4210&gt;15,"U19",IF(E4210&gt;13,"U15",IF(E4210&gt;11,"U13",IF(E4210&gt;0,"U11",0)))))</f>
        <v>0</v>
      </c>
      <c r="E4210" s="456">
        <f>IFERROR(IF(Table10[[#This Row],[Year]]&gt;0,$E$1-Table10[[#This Row],[Year]],0),"")</f>
        <v>0</v>
      </c>
      <c r="F4210" s="456"/>
      <c r="G4210" s="456"/>
      <c r="H4210" s="456"/>
    </row>
    <row r="4211" spans="1:8">
      <c r="A4211" s="696">
        <v>5208</v>
      </c>
      <c r="B4211" s="469"/>
      <c r="C4211" s="458"/>
      <c r="D4211" s="456">
        <f>IF(Table10[[#This Row],[Current Age]]&gt;19,"Men's",IF(E4211&gt;15,"U19",IF(E4211&gt;13,"U15",IF(E4211&gt;11,"U13",IF(E4211&gt;0,"U11",0)))))</f>
        <v>0</v>
      </c>
      <c r="E4211" s="456">
        <f>IFERROR(IF(Table10[[#This Row],[Year]]&gt;0,$E$1-Table10[[#This Row],[Year]],0),"")</f>
        <v>0</v>
      </c>
      <c r="F4211" s="456"/>
      <c r="G4211" s="456"/>
      <c r="H4211" s="456"/>
    </row>
    <row r="4212" spans="1:8">
      <c r="A4212" s="696">
        <v>5209</v>
      </c>
      <c r="B4212" s="469"/>
      <c r="C4212" s="458"/>
      <c r="D4212" s="456">
        <f>IF(Table10[[#This Row],[Current Age]]&gt;19,"Men's",IF(E4212&gt;15,"U19",IF(E4212&gt;13,"U15",IF(E4212&gt;11,"U13",IF(E4212&gt;0,"U11",0)))))</f>
        <v>0</v>
      </c>
      <c r="E4212" s="456">
        <f>IFERROR(IF(Table10[[#This Row],[Year]]&gt;0,$E$1-Table10[[#This Row],[Year]],0),"")</f>
        <v>0</v>
      </c>
      <c r="F4212" s="456"/>
      <c r="G4212" s="456"/>
      <c r="H4212" s="456"/>
    </row>
    <row r="4213" spans="1:8">
      <c r="A4213" s="696">
        <v>5210</v>
      </c>
      <c r="B4213" s="469"/>
      <c r="C4213" s="458"/>
      <c r="D4213" s="456">
        <f>IF(Table10[[#This Row],[Current Age]]&gt;19,"Men's",IF(E4213&gt;15,"U19",IF(E4213&gt;13,"U15",IF(E4213&gt;11,"U13",IF(E4213&gt;0,"U11",0)))))</f>
        <v>0</v>
      </c>
      <c r="E4213" s="456">
        <f>IFERROR(IF(Table10[[#This Row],[Year]]&gt;0,$E$1-Table10[[#This Row],[Year]],0),"")</f>
        <v>0</v>
      </c>
      <c r="F4213" s="456"/>
      <c r="G4213" s="456"/>
      <c r="H4213" s="456"/>
    </row>
    <row r="4214" spans="1:8">
      <c r="A4214" s="696">
        <v>5211</v>
      </c>
      <c r="B4214" s="469"/>
      <c r="C4214" s="458"/>
      <c r="D4214" s="456">
        <f>IF(Table10[[#This Row],[Current Age]]&gt;19,"Men's",IF(E4214&gt;15,"U19",IF(E4214&gt;13,"U15",IF(E4214&gt;11,"U13",IF(E4214&gt;0,"U11",0)))))</f>
        <v>0</v>
      </c>
      <c r="E4214" s="456">
        <f>IFERROR(IF(Table10[[#This Row],[Year]]&gt;0,$E$1-Table10[[#This Row],[Year]],0),"")</f>
        <v>0</v>
      </c>
      <c r="F4214" s="456"/>
      <c r="G4214" s="456"/>
      <c r="H4214" s="456"/>
    </row>
    <row r="4215" spans="1:8">
      <c r="A4215" s="696">
        <v>5212</v>
      </c>
      <c r="B4215" s="469"/>
      <c r="C4215" s="458"/>
      <c r="D4215" s="456">
        <f>IF(Table10[[#This Row],[Current Age]]&gt;19,"Men's",IF(E4215&gt;15,"U19",IF(E4215&gt;13,"U15",IF(E4215&gt;11,"U13",IF(E4215&gt;0,"U11",0)))))</f>
        <v>0</v>
      </c>
      <c r="E4215" s="456">
        <f>IFERROR(IF(Table10[[#This Row],[Year]]&gt;0,$E$1-Table10[[#This Row],[Year]],0),"")</f>
        <v>0</v>
      </c>
      <c r="F4215" s="456"/>
      <c r="G4215" s="456"/>
      <c r="H4215" s="456"/>
    </row>
    <row r="4216" spans="1:8">
      <c r="A4216" s="696">
        <v>5213</v>
      </c>
      <c r="B4216" s="469"/>
      <c r="C4216" s="458"/>
      <c r="D4216" s="456">
        <f>IF(Table10[[#This Row],[Current Age]]&gt;19,"Men's",IF(E4216&gt;15,"U19",IF(E4216&gt;13,"U15",IF(E4216&gt;11,"U13",IF(E4216&gt;0,"U11",0)))))</f>
        <v>0</v>
      </c>
      <c r="E4216" s="456">
        <f>IFERROR(IF(Table10[[#This Row],[Year]]&gt;0,$E$1-Table10[[#This Row],[Year]],0),"")</f>
        <v>0</v>
      </c>
      <c r="F4216" s="456"/>
      <c r="G4216" s="456"/>
      <c r="H4216" s="456"/>
    </row>
    <row r="4217" spans="1:8">
      <c r="A4217" s="696">
        <v>5214</v>
      </c>
      <c r="B4217" s="469"/>
      <c r="C4217" s="458"/>
      <c r="D4217" s="456">
        <v>0</v>
      </c>
      <c r="E4217" s="456">
        <v>0</v>
      </c>
      <c r="F4217" s="456"/>
      <c r="G4217" s="456"/>
      <c r="H4217" s="456"/>
    </row>
    <row r="4218" spans="1:8">
      <c r="A4218" s="696">
        <v>5215</v>
      </c>
      <c r="B4218" s="469"/>
      <c r="C4218" s="458"/>
      <c r="D4218" s="456">
        <v>0</v>
      </c>
      <c r="E4218" s="456">
        <v>0</v>
      </c>
      <c r="F4218" s="456"/>
      <c r="G4218" s="456"/>
      <c r="H4218" s="456"/>
    </row>
    <row r="4219" spans="1:8">
      <c r="A4219" s="696">
        <v>5216</v>
      </c>
      <c r="B4219" s="469"/>
      <c r="C4219" s="458"/>
      <c r="D4219" s="456">
        <v>0</v>
      </c>
      <c r="E4219" s="456">
        <v>0</v>
      </c>
      <c r="F4219" s="456"/>
      <c r="G4219" s="456"/>
      <c r="H4219" s="456"/>
    </row>
    <row r="4220" spans="1:8">
      <c r="A4220" s="696">
        <v>5217</v>
      </c>
      <c r="B4220" s="469"/>
      <c r="C4220" s="458"/>
      <c r="D4220" s="456">
        <v>0</v>
      </c>
      <c r="E4220" s="456">
        <v>0</v>
      </c>
      <c r="F4220" s="456"/>
      <c r="G4220" s="456"/>
      <c r="H4220" s="456"/>
    </row>
    <row r="4221" spans="1:8">
      <c r="A4221" s="696">
        <v>5218</v>
      </c>
      <c r="B4221" s="469"/>
      <c r="C4221" s="458"/>
      <c r="D4221" s="456">
        <v>0</v>
      </c>
      <c r="E4221" s="456">
        <v>0</v>
      </c>
      <c r="F4221" s="456"/>
      <c r="G4221" s="456"/>
      <c r="H4221" s="456"/>
    </row>
    <row r="4222" spans="1:8">
      <c r="A4222" s="696">
        <v>5219</v>
      </c>
      <c r="B4222" s="469"/>
      <c r="C4222" s="458"/>
      <c r="D4222" s="456">
        <v>0</v>
      </c>
      <c r="E4222" s="456">
        <v>0</v>
      </c>
      <c r="F4222" s="456"/>
      <c r="G4222" s="456"/>
      <c r="H4222" s="456"/>
    </row>
    <row r="4223" spans="1:8">
      <c r="A4223" s="696">
        <v>5220</v>
      </c>
      <c r="B4223" s="469"/>
      <c r="C4223" s="458"/>
      <c r="D4223" s="456">
        <v>0</v>
      </c>
      <c r="E4223" s="456">
        <v>0</v>
      </c>
      <c r="F4223" s="456"/>
      <c r="G4223" s="456"/>
      <c r="H4223" s="456"/>
    </row>
    <row r="4224" spans="1:8">
      <c r="A4224" s="696">
        <v>5221</v>
      </c>
      <c r="B4224" s="469"/>
      <c r="C4224" s="458"/>
      <c r="D4224" s="456">
        <v>0</v>
      </c>
      <c r="E4224" s="456">
        <v>0</v>
      </c>
      <c r="F4224" s="456"/>
      <c r="G4224" s="456"/>
      <c r="H4224" s="456"/>
    </row>
    <row r="4225" spans="1:8">
      <c r="A4225" s="696">
        <v>5222</v>
      </c>
      <c r="B4225" s="469"/>
      <c r="C4225" s="458"/>
      <c r="D4225" s="456">
        <v>0</v>
      </c>
      <c r="E4225" s="456">
        <v>0</v>
      </c>
      <c r="F4225" s="456"/>
      <c r="G4225" s="456"/>
      <c r="H4225" s="456"/>
    </row>
    <row r="4226" spans="1:8">
      <c r="A4226" s="696">
        <v>5223</v>
      </c>
      <c r="B4226" s="469"/>
      <c r="C4226" s="458"/>
      <c r="D4226" s="456">
        <v>0</v>
      </c>
      <c r="E4226" s="456">
        <v>0</v>
      </c>
      <c r="F4226" s="456"/>
      <c r="G4226" s="456"/>
      <c r="H4226" s="456"/>
    </row>
    <row r="4227" spans="1:8">
      <c r="A4227" s="696">
        <v>5224</v>
      </c>
      <c r="B4227" s="469"/>
      <c r="C4227" s="458"/>
      <c r="D4227" s="456">
        <v>0</v>
      </c>
      <c r="E4227" s="456">
        <v>0</v>
      </c>
      <c r="F4227" s="456"/>
      <c r="G4227" s="456"/>
      <c r="H4227" s="456"/>
    </row>
    <row r="4228" spans="1:8">
      <c r="A4228" s="696">
        <v>5225</v>
      </c>
      <c r="B4228" s="469"/>
      <c r="C4228" s="458"/>
      <c r="D4228" s="456">
        <v>0</v>
      </c>
      <c r="E4228" s="456">
        <v>0</v>
      </c>
      <c r="F4228" s="456"/>
      <c r="G4228" s="456"/>
      <c r="H4228" s="456"/>
    </row>
    <row r="4229" spans="1:8">
      <c r="A4229" s="696">
        <v>5226</v>
      </c>
      <c r="B4229" s="469"/>
      <c r="C4229" s="458"/>
      <c r="D4229" s="456">
        <v>0</v>
      </c>
      <c r="E4229" s="456">
        <v>0</v>
      </c>
      <c r="F4229" s="456"/>
      <c r="G4229" s="456"/>
      <c r="H4229" s="456"/>
    </row>
    <row r="4230" spans="1:8">
      <c r="A4230" s="696">
        <v>5227</v>
      </c>
      <c r="B4230" s="469"/>
      <c r="C4230" s="458"/>
      <c r="D4230" s="456">
        <v>0</v>
      </c>
      <c r="E4230" s="456">
        <v>0</v>
      </c>
      <c r="F4230" s="456"/>
      <c r="G4230" s="456"/>
      <c r="H4230" s="456"/>
    </row>
    <row r="4231" spans="1:8">
      <c r="A4231" s="696">
        <v>5228</v>
      </c>
      <c r="B4231" s="469"/>
      <c r="C4231" s="458"/>
      <c r="D4231" s="456">
        <v>0</v>
      </c>
      <c r="E4231" s="456">
        <v>0</v>
      </c>
      <c r="F4231" s="456"/>
      <c r="G4231" s="456"/>
      <c r="H4231" s="456"/>
    </row>
    <row r="4232" spans="1:8">
      <c r="A4232" s="696">
        <v>5229</v>
      </c>
      <c r="B4232" s="469"/>
      <c r="C4232" s="458"/>
      <c r="D4232" s="456">
        <v>0</v>
      </c>
      <c r="E4232" s="456">
        <v>0</v>
      </c>
      <c r="F4232" s="456"/>
      <c r="G4232" s="456"/>
      <c r="H4232" s="456"/>
    </row>
    <row r="4233" spans="1:8">
      <c r="A4233" s="696">
        <v>5230</v>
      </c>
      <c r="B4233" s="469"/>
      <c r="C4233" s="458"/>
      <c r="D4233" s="456">
        <v>0</v>
      </c>
      <c r="E4233" s="456">
        <v>0</v>
      </c>
      <c r="F4233" s="456"/>
      <c r="G4233" s="456"/>
      <c r="H4233" s="456"/>
    </row>
    <row r="4234" spans="1:8">
      <c r="A4234" s="696">
        <v>5231</v>
      </c>
      <c r="B4234" s="469"/>
      <c r="C4234" s="458"/>
      <c r="D4234" s="456">
        <v>0</v>
      </c>
      <c r="E4234" s="456">
        <v>0</v>
      </c>
      <c r="F4234" s="456"/>
      <c r="G4234" s="456"/>
      <c r="H4234" s="456"/>
    </row>
    <row r="4235" spans="1:8">
      <c r="A4235" s="696">
        <v>5232</v>
      </c>
      <c r="B4235" s="469"/>
      <c r="C4235" s="458"/>
      <c r="D4235" s="456">
        <v>0</v>
      </c>
      <c r="E4235" s="456">
        <v>0</v>
      </c>
      <c r="F4235" s="456"/>
      <c r="G4235" s="456"/>
      <c r="H4235" s="456"/>
    </row>
    <row r="4236" spans="1:8">
      <c r="A4236" s="696">
        <v>5233</v>
      </c>
      <c r="B4236" s="469"/>
      <c r="C4236" s="458"/>
      <c r="D4236" s="456">
        <v>0</v>
      </c>
      <c r="E4236" s="456">
        <v>0</v>
      </c>
      <c r="F4236" s="456"/>
      <c r="G4236" s="456"/>
      <c r="H4236" s="456"/>
    </row>
    <row r="4237" spans="1:8">
      <c r="A4237" s="696">
        <v>5234</v>
      </c>
      <c r="B4237" s="469"/>
      <c r="C4237" s="458"/>
      <c r="D4237" s="456">
        <v>0</v>
      </c>
      <c r="E4237" s="456">
        <v>0</v>
      </c>
      <c r="F4237" s="456"/>
      <c r="G4237" s="456"/>
      <c r="H4237" s="456"/>
    </row>
    <row r="4238" spans="1:8">
      <c r="A4238" s="696">
        <v>5235</v>
      </c>
      <c r="B4238" s="469"/>
      <c r="C4238" s="458"/>
      <c r="D4238" s="456">
        <v>0</v>
      </c>
      <c r="E4238" s="456">
        <v>0</v>
      </c>
      <c r="F4238" s="456"/>
      <c r="G4238" s="456"/>
      <c r="H4238" s="456"/>
    </row>
    <row r="4239" spans="1:8">
      <c r="A4239" s="696">
        <v>5236</v>
      </c>
      <c r="B4239" s="469"/>
      <c r="C4239" s="458"/>
      <c r="D4239" s="456">
        <v>0</v>
      </c>
      <c r="E4239" s="456">
        <v>0</v>
      </c>
      <c r="F4239" s="456"/>
      <c r="G4239" s="456"/>
      <c r="H4239" s="456"/>
    </row>
    <row r="4240" spans="1:8">
      <c r="A4240" s="696">
        <v>5237</v>
      </c>
      <c r="B4240" s="469"/>
      <c r="C4240" s="458"/>
      <c r="D4240" s="456">
        <v>0</v>
      </c>
      <c r="E4240" s="456">
        <v>0</v>
      </c>
      <c r="F4240" s="456"/>
      <c r="G4240" s="456"/>
      <c r="H4240" s="456"/>
    </row>
    <row r="4241" spans="1:8">
      <c r="A4241" s="696">
        <v>5238</v>
      </c>
      <c r="B4241" s="469"/>
      <c r="C4241" s="458"/>
      <c r="D4241" s="456">
        <v>0</v>
      </c>
      <c r="E4241" s="456">
        <v>0</v>
      </c>
      <c r="F4241" s="456"/>
      <c r="G4241" s="456"/>
      <c r="H4241" s="456"/>
    </row>
    <row r="4242" spans="1:8">
      <c r="A4242" s="696">
        <v>5239</v>
      </c>
      <c r="B4242" s="469"/>
      <c r="C4242" s="458"/>
      <c r="D4242" s="456">
        <v>0</v>
      </c>
      <c r="E4242" s="456">
        <v>0</v>
      </c>
      <c r="F4242" s="456"/>
      <c r="G4242" s="456"/>
      <c r="H4242" s="456"/>
    </row>
    <row r="4243" spans="1:8">
      <c r="A4243" s="696">
        <v>5240</v>
      </c>
      <c r="B4243" s="469"/>
      <c r="C4243" s="458"/>
      <c r="D4243" s="456">
        <v>0</v>
      </c>
      <c r="E4243" s="456">
        <v>0</v>
      </c>
      <c r="F4243" s="456"/>
      <c r="G4243" s="456"/>
      <c r="H4243" s="456"/>
    </row>
    <row r="4244" spans="1:8">
      <c r="A4244" s="696">
        <v>5241</v>
      </c>
      <c r="B4244" s="469"/>
      <c r="C4244" s="458"/>
      <c r="D4244" s="456">
        <v>0</v>
      </c>
      <c r="E4244" s="456">
        <v>0</v>
      </c>
      <c r="F4244" s="456"/>
      <c r="G4244" s="456"/>
      <c r="H4244" s="456"/>
    </row>
    <row r="4245" spans="1:8">
      <c r="A4245" s="696">
        <v>5242</v>
      </c>
      <c r="B4245" s="469"/>
      <c r="C4245" s="458"/>
      <c r="D4245" s="456">
        <v>0</v>
      </c>
      <c r="E4245" s="456">
        <v>0</v>
      </c>
      <c r="F4245" s="456"/>
      <c r="G4245" s="456"/>
      <c r="H4245" s="456"/>
    </row>
    <row r="4246" spans="1:8">
      <c r="A4246" s="696">
        <v>5243</v>
      </c>
      <c r="B4246" s="469"/>
      <c r="C4246" s="458"/>
      <c r="D4246" s="456">
        <v>0</v>
      </c>
      <c r="E4246" s="456">
        <v>0</v>
      </c>
      <c r="F4246" s="456"/>
      <c r="G4246" s="456"/>
      <c r="H4246" s="456"/>
    </row>
    <row r="4247" spans="1:8">
      <c r="A4247" s="696">
        <v>5244</v>
      </c>
      <c r="B4247" s="469"/>
      <c r="C4247" s="458"/>
      <c r="D4247" s="456">
        <v>0</v>
      </c>
      <c r="E4247" s="456">
        <v>0</v>
      </c>
      <c r="F4247" s="456"/>
      <c r="G4247" s="456"/>
      <c r="H4247" s="456"/>
    </row>
    <row r="4248" spans="1:8">
      <c r="A4248" s="696">
        <v>5245</v>
      </c>
      <c r="B4248" s="469"/>
      <c r="C4248" s="458"/>
      <c r="D4248" s="456">
        <v>0</v>
      </c>
      <c r="E4248" s="456">
        <v>0</v>
      </c>
      <c r="F4248" s="456"/>
      <c r="G4248" s="456"/>
      <c r="H4248" s="456"/>
    </row>
    <row r="4249" spans="1:8">
      <c r="A4249" s="696">
        <v>5246</v>
      </c>
      <c r="B4249" s="469"/>
      <c r="C4249" s="458"/>
      <c r="D4249" s="456">
        <v>0</v>
      </c>
      <c r="E4249" s="456">
        <v>0</v>
      </c>
      <c r="F4249" s="456"/>
      <c r="G4249" s="456"/>
      <c r="H4249" s="456"/>
    </row>
    <row r="4250" spans="1:8">
      <c r="A4250" s="696">
        <v>5247</v>
      </c>
      <c r="B4250" s="469"/>
      <c r="C4250" s="458"/>
      <c r="D4250" s="456">
        <v>0</v>
      </c>
      <c r="E4250" s="456">
        <v>0</v>
      </c>
      <c r="F4250" s="456"/>
      <c r="G4250" s="456"/>
      <c r="H4250" s="456"/>
    </row>
    <row r="4251" spans="1:8">
      <c r="A4251" s="696">
        <v>5248</v>
      </c>
      <c r="B4251" s="469"/>
      <c r="C4251" s="458"/>
      <c r="D4251" s="456">
        <v>0</v>
      </c>
      <c r="E4251" s="456">
        <v>0</v>
      </c>
      <c r="F4251" s="456"/>
      <c r="G4251" s="456"/>
      <c r="H4251" s="456"/>
    </row>
    <row r="4252" spans="1:8">
      <c r="A4252" s="696">
        <v>5249</v>
      </c>
      <c r="B4252" s="469"/>
      <c r="C4252" s="458"/>
      <c r="D4252" s="456">
        <v>0</v>
      </c>
      <c r="E4252" s="456">
        <v>0</v>
      </c>
      <c r="F4252" s="456"/>
      <c r="G4252" s="456"/>
      <c r="H4252" s="456"/>
    </row>
    <row r="4253" spans="1:8">
      <c r="A4253" s="696">
        <v>5250</v>
      </c>
      <c r="B4253" s="469"/>
      <c r="C4253" s="458"/>
      <c r="D4253" s="456">
        <v>0</v>
      </c>
      <c r="E4253" s="456">
        <v>0</v>
      </c>
      <c r="F4253" s="456"/>
      <c r="G4253" s="456"/>
      <c r="H4253" s="456"/>
    </row>
    <row r="4254" spans="1:8">
      <c r="A4254" s="696">
        <v>5251</v>
      </c>
      <c r="B4254" s="469"/>
      <c r="C4254" s="458"/>
      <c r="D4254" s="456">
        <v>0</v>
      </c>
      <c r="E4254" s="456">
        <v>0</v>
      </c>
      <c r="F4254" s="456"/>
      <c r="G4254" s="456"/>
      <c r="H4254" s="456"/>
    </row>
    <row r="4255" spans="1:8">
      <c r="A4255" s="696">
        <v>5252</v>
      </c>
      <c r="B4255" s="469"/>
      <c r="C4255" s="458"/>
      <c r="D4255" s="456">
        <v>0</v>
      </c>
      <c r="E4255" s="456">
        <v>0</v>
      </c>
      <c r="F4255" s="456"/>
      <c r="G4255" s="456"/>
      <c r="H4255" s="456"/>
    </row>
    <row r="4256" spans="1:8">
      <c r="A4256" s="696">
        <v>5253</v>
      </c>
      <c r="B4256" s="469"/>
      <c r="C4256" s="458"/>
      <c r="D4256" s="456">
        <v>0</v>
      </c>
      <c r="E4256" s="456">
        <v>0</v>
      </c>
      <c r="F4256" s="456"/>
      <c r="G4256" s="456"/>
      <c r="H4256" s="456"/>
    </row>
    <row r="4257" spans="1:8">
      <c r="A4257" s="696">
        <v>5254</v>
      </c>
      <c r="B4257" s="469"/>
      <c r="C4257" s="458"/>
      <c r="D4257" s="456">
        <v>0</v>
      </c>
      <c r="E4257" s="456">
        <v>0</v>
      </c>
      <c r="F4257" s="456"/>
      <c r="G4257" s="456"/>
      <c r="H4257" s="456"/>
    </row>
    <row r="4258" spans="1:8">
      <c r="A4258" s="696">
        <v>5255</v>
      </c>
      <c r="B4258" s="469"/>
      <c r="C4258" s="458"/>
      <c r="D4258" s="456">
        <v>0</v>
      </c>
      <c r="E4258" s="456">
        <v>0</v>
      </c>
      <c r="F4258" s="456"/>
      <c r="G4258" s="456"/>
      <c r="H4258" s="456"/>
    </row>
    <row r="4259" spans="1:8">
      <c r="A4259" s="696">
        <v>5256</v>
      </c>
      <c r="B4259" s="469"/>
      <c r="C4259" s="458"/>
      <c r="D4259" s="456">
        <v>0</v>
      </c>
      <c r="E4259" s="456">
        <v>0</v>
      </c>
      <c r="F4259" s="456"/>
      <c r="G4259" s="456"/>
      <c r="H4259" s="456"/>
    </row>
    <row r="4260" spans="1:8">
      <c r="A4260" s="696">
        <v>5257</v>
      </c>
      <c r="B4260" s="469"/>
      <c r="C4260" s="458"/>
      <c r="D4260" s="456">
        <v>0</v>
      </c>
      <c r="E4260" s="456">
        <v>0</v>
      </c>
      <c r="F4260" s="456"/>
      <c r="G4260" s="456"/>
      <c r="H4260" s="456"/>
    </row>
    <row r="4261" spans="1:8">
      <c r="A4261" s="696">
        <v>5258</v>
      </c>
      <c r="B4261" s="469"/>
      <c r="C4261" s="458"/>
      <c r="D4261" s="456">
        <v>0</v>
      </c>
      <c r="E4261" s="456">
        <v>0</v>
      </c>
      <c r="F4261" s="456"/>
      <c r="G4261" s="456"/>
      <c r="H4261" s="456"/>
    </row>
    <row r="4262" spans="1:8">
      <c r="A4262" s="696">
        <v>5259</v>
      </c>
      <c r="B4262" s="469"/>
      <c r="C4262" s="458"/>
      <c r="D4262" s="456">
        <v>0</v>
      </c>
      <c r="E4262" s="456">
        <v>0</v>
      </c>
      <c r="F4262" s="456"/>
      <c r="G4262" s="456"/>
      <c r="H4262" s="456"/>
    </row>
    <row r="4263" spans="1:8">
      <c r="A4263" s="696">
        <v>5260</v>
      </c>
      <c r="B4263" s="469"/>
      <c r="C4263" s="458"/>
      <c r="D4263" s="456">
        <v>0</v>
      </c>
      <c r="E4263" s="456">
        <v>0</v>
      </c>
      <c r="F4263" s="456"/>
      <c r="G4263" s="456"/>
      <c r="H4263" s="456"/>
    </row>
    <row r="4264" spans="1:8">
      <c r="A4264" s="696">
        <v>5261</v>
      </c>
      <c r="B4264" s="469"/>
      <c r="C4264" s="458"/>
      <c r="D4264" s="456">
        <v>0</v>
      </c>
      <c r="E4264" s="456">
        <v>0</v>
      </c>
      <c r="F4264" s="456"/>
      <c r="G4264" s="456"/>
      <c r="H4264" s="456"/>
    </row>
    <row r="4265" spans="1:8">
      <c r="A4265" s="696">
        <v>5262</v>
      </c>
      <c r="B4265" s="469"/>
      <c r="C4265" s="458"/>
      <c r="D4265" s="456">
        <v>0</v>
      </c>
      <c r="E4265" s="456">
        <v>0</v>
      </c>
      <c r="F4265" s="456"/>
      <c r="G4265" s="456"/>
      <c r="H4265" s="456"/>
    </row>
    <row r="4266" spans="1:8">
      <c r="A4266" s="696">
        <v>5263</v>
      </c>
      <c r="B4266" s="469"/>
      <c r="C4266" s="458"/>
      <c r="D4266" s="456">
        <v>0</v>
      </c>
      <c r="E4266" s="456">
        <v>0</v>
      </c>
      <c r="F4266" s="456"/>
      <c r="G4266" s="456"/>
      <c r="H4266" s="456"/>
    </row>
    <row r="4267" spans="1:8">
      <c r="A4267" s="696">
        <v>5264</v>
      </c>
      <c r="B4267" s="469"/>
      <c r="C4267" s="458"/>
      <c r="D4267" s="456">
        <v>0</v>
      </c>
      <c r="E4267" s="456">
        <v>0</v>
      </c>
      <c r="F4267" s="456"/>
      <c r="G4267" s="456"/>
      <c r="H4267" s="456"/>
    </row>
    <row r="4268" spans="1:8">
      <c r="A4268" s="696">
        <v>5265</v>
      </c>
      <c r="B4268" s="469"/>
      <c r="C4268" s="458"/>
      <c r="D4268" s="456">
        <v>0</v>
      </c>
      <c r="E4268" s="456">
        <v>0</v>
      </c>
      <c r="F4268" s="456"/>
      <c r="G4268" s="456"/>
      <c r="H4268" s="456"/>
    </row>
    <row r="4269" spans="1:8">
      <c r="A4269" s="696">
        <v>5266</v>
      </c>
      <c r="B4269" s="469"/>
      <c r="C4269" s="458"/>
      <c r="D4269" s="456">
        <v>0</v>
      </c>
      <c r="E4269" s="456">
        <v>0</v>
      </c>
      <c r="F4269" s="456"/>
      <c r="G4269" s="456"/>
      <c r="H4269" s="456"/>
    </row>
    <row r="4270" spans="1:8">
      <c r="A4270" s="696">
        <v>5267</v>
      </c>
      <c r="B4270" s="469"/>
      <c r="C4270" s="458"/>
      <c r="D4270" s="456">
        <v>0</v>
      </c>
      <c r="E4270" s="456">
        <v>0</v>
      </c>
      <c r="F4270" s="456"/>
      <c r="G4270" s="456"/>
      <c r="H4270" s="456"/>
    </row>
    <row r="4271" spans="1:8">
      <c r="A4271" s="696">
        <v>5268</v>
      </c>
      <c r="B4271" s="469"/>
      <c r="C4271" s="458"/>
      <c r="D4271" s="456">
        <v>0</v>
      </c>
      <c r="E4271" s="456">
        <v>0</v>
      </c>
      <c r="F4271" s="456"/>
      <c r="G4271" s="456"/>
      <c r="H4271" s="456"/>
    </row>
    <row r="4272" spans="1:8">
      <c r="A4272" s="696">
        <v>5269</v>
      </c>
      <c r="B4272" s="469"/>
      <c r="C4272" s="458"/>
      <c r="D4272" s="456">
        <v>0</v>
      </c>
      <c r="E4272" s="456">
        <v>0</v>
      </c>
      <c r="F4272" s="456"/>
      <c r="G4272" s="456"/>
      <c r="H4272" s="456"/>
    </row>
    <row r="4273" spans="1:8">
      <c r="A4273" s="696">
        <v>5270</v>
      </c>
      <c r="B4273" s="469"/>
      <c r="C4273" s="458"/>
      <c r="D4273" s="456">
        <v>0</v>
      </c>
      <c r="E4273" s="456">
        <v>0</v>
      </c>
      <c r="F4273" s="456"/>
      <c r="G4273" s="456"/>
      <c r="H4273" s="456"/>
    </row>
    <row r="4274" spans="1:8">
      <c r="A4274" s="696">
        <v>5271</v>
      </c>
      <c r="B4274" s="469"/>
      <c r="C4274" s="458"/>
      <c r="D4274" s="456">
        <v>0</v>
      </c>
      <c r="E4274" s="456">
        <v>0</v>
      </c>
      <c r="F4274" s="456"/>
      <c r="G4274" s="456"/>
      <c r="H4274" s="456"/>
    </row>
    <row r="4275" spans="1:8">
      <c r="A4275" s="696">
        <v>5272</v>
      </c>
      <c r="B4275" s="469"/>
      <c r="C4275" s="458"/>
      <c r="D4275" s="456">
        <v>0</v>
      </c>
      <c r="E4275" s="456">
        <v>0</v>
      </c>
      <c r="F4275" s="456"/>
      <c r="G4275" s="456"/>
      <c r="H4275" s="456"/>
    </row>
    <row r="4276" spans="1:8">
      <c r="A4276" s="696">
        <v>5273</v>
      </c>
      <c r="B4276" s="469"/>
      <c r="C4276" s="458"/>
      <c r="D4276" s="456">
        <v>0</v>
      </c>
      <c r="E4276" s="456">
        <v>0</v>
      </c>
      <c r="F4276" s="456"/>
      <c r="G4276" s="456"/>
      <c r="H4276" s="456"/>
    </row>
    <row r="4277" spans="1:8">
      <c r="A4277" s="696">
        <v>5274</v>
      </c>
      <c r="B4277" s="469"/>
      <c r="C4277" s="458"/>
      <c r="D4277" s="456">
        <v>0</v>
      </c>
      <c r="E4277" s="456">
        <v>0</v>
      </c>
      <c r="F4277" s="456"/>
      <c r="G4277" s="456"/>
      <c r="H4277" s="456"/>
    </row>
    <row r="4278" spans="1:8">
      <c r="A4278" s="696">
        <v>5275</v>
      </c>
      <c r="B4278" s="469"/>
      <c r="C4278" s="458"/>
      <c r="D4278" s="456">
        <v>0</v>
      </c>
      <c r="E4278" s="456">
        <v>0</v>
      </c>
      <c r="F4278" s="456"/>
      <c r="G4278" s="456"/>
      <c r="H4278" s="456"/>
    </row>
    <row r="4279" spans="1:8">
      <c r="A4279" s="696">
        <v>5276</v>
      </c>
      <c r="B4279" s="469"/>
      <c r="C4279" s="458"/>
      <c r="D4279" s="456">
        <v>0</v>
      </c>
      <c r="E4279" s="456">
        <v>0</v>
      </c>
      <c r="F4279" s="456"/>
      <c r="G4279" s="456"/>
      <c r="H4279" s="456"/>
    </row>
    <row r="4280" spans="1:8">
      <c r="A4280" s="696">
        <v>5277</v>
      </c>
      <c r="B4280" s="469"/>
      <c r="C4280" s="458"/>
      <c r="D4280" s="456">
        <v>0</v>
      </c>
      <c r="E4280" s="456">
        <v>0</v>
      </c>
      <c r="F4280" s="456"/>
      <c r="G4280" s="456"/>
      <c r="H4280" s="456"/>
    </row>
    <row r="4281" spans="1:8">
      <c r="A4281" s="696">
        <v>5278</v>
      </c>
      <c r="B4281" s="469"/>
      <c r="C4281" s="458"/>
      <c r="D4281" s="456">
        <v>0</v>
      </c>
      <c r="E4281" s="456">
        <v>0</v>
      </c>
      <c r="F4281" s="456"/>
      <c r="G4281" s="456"/>
      <c r="H4281" s="456"/>
    </row>
    <row r="4282" spans="1:8">
      <c r="A4282" s="696">
        <v>5279</v>
      </c>
      <c r="B4282" s="469"/>
      <c r="C4282" s="458"/>
      <c r="D4282" s="456">
        <v>0</v>
      </c>
      <c r="E4282" s="456">
        <v>0</v>
      </c>
      <c r="F4282" s="456"/>
      <c r="G4282" s="456"/>
      <c r="H4282" s="456"/>
    </row>
    <row r="4283" spans="1:8">
      <c r="A4283" s="696">
        <v>5280</v>
      </c>
      <c r="B4283" s="469"/>
      <c r="C4283" s="458"/>
      <c r="D4283" s="456">
        <v>0</v>
      </c>
      <c r="E4283" s="456">
        <v>0</v>
      </c>
      <c r="F4283" s="456"/>
      <c r="G4283" s="456"/>
      <c r="H4283" s="456"/>
    </row>
    <row r="4284" spans="1:8">
      <c r="A4284" s="696">
        <v>5281</v>
      </c>
      <c r="B4284" s="469"/>
      <c r="C4284" s="458"/>
      <c r="D4284" s="456">
        <v>0</v>
      </c>
      <c r="E4284" s="456">
        <v>0</v>
      </c>
      <c r="F4284" s="456"/>
      <c r="G4284" s="456"/>
      <c r="H4284" s="456"/>
    </row>
    <row r="4285" spans="1:8">
      <c r="A4285" s="696">
        <v>5282</v>
      </c>
      <c r="B4285" s="469"/>
      <c r="C4285" s="458"/>
      <c r="D4285" s="456">
        <v>0</v>
      </c>
      <c r="E4285" s="456">
        <v>0</v>
      </c>
      <c r="F4285" s="456"/>
      <c r="G4285" s="456"/>
      <c r="H4285" s="456"/>
    </row>
    <row r="4286" spans="1:8">
      <c r="A4286" s="696">
        <v>5283</v>
      </c>
      <c r="B4286" s="469"/>
      <c r="C4286" s="458"/>
      <c r="D4286" s="456">
        <v>0</v>
      </c>
      <c r="E4286" s="456">
        <v>0</v>
      </c>
      <c r="F4286" s="456"/>
      <c r="G4286" s="456"/>
      <c r="H4286" s="456"/>
    </row>
    <row r="4287" spans="1:8">
      <c r="A4287" s="696">
        <v>5284</v>
      </c>
      <c r="B4287" s="469"/>
      <c r="C4287" s="458"/>
      <c r="D4287" s="456">
        <v>0</v>
      </c>
      <c r="E4287" s="456">
        <v>0</v>
      </c>
      <c r="F4287" s="456"/>
      <c r="G4287" s="456"/>
      <c r="H4287" s="456"/>
    </row>
    <row r="4288" spans="1:8">
      <c r="A4288" s="696">
        <v>5285</v>
      </c>
      <c r="B4288" s="469"/>
      <c r="C4288" s="458"/>
      <c r="D4288" s="456">
        <v>0</v>
      </c>
      <c r="E4288" s="456">
        <v>0</v>
      </c>
      <c r="F4288" s="456"/>
      <c r="G4288" s="456"/>
      <c r="H4288" s="456"/>
    </row>
    <row r="4289" spans="1:8">
      <c r="A4289" s="696">
        <v>5286</v>
      </c>
      <c r="B4289" s="469"/>
      <c r="C4289" s="458"/>
      <c r="D4289" s="456">
        <v>0</v>
      </c>
      <c r="E4289" s="456">
        <v>0</v>
      </c>
      <c r="F4289" s="456"/>
      <c r="G4289" s="456"/>
      <c r="H4289" s="456"/>
    </row>
    <row r="4290" spans="1:8">
      <c r="A4290" s="696">
        <v>5287</v>
      </c>
      <c r="B4290" s="469"/>
      <c r="C4290" s="458"/>
      <c r="D4290" s="456">
        <v>0</v>
      </c>
      <c r="E4290" s="456">
        <v>0</v>
      </c>
      <c r="F4290" s="456"/>
      <c r="G4290" s="456"/>
      <c r="H4290" s="456"/>
    </row>
    <row r="4291" spans="1:8">
      <c r="A4291" s="696">
        <v>5288</v>
      </c>
      <c r="B4291" s="469"/>
      <c r="C4291" s="458"/>
      <c r="D4291" s="456">
        <v>0</v>
      </c>
      <c r="E4291" s="456">
        <v>0</v>
      </c>
      <c r="F4291" s="456"/>
      <c r="G4291" s="456"/>
      <c r="H4291" s="456"/>
    </row>
    <row r="4292" spans="1:8">
      <c r="A4292" s="696">
        <v>5289</v>
      </c>
      <c r="B4292" s="469"/>
      <c r="C4292" s="458"/>
      <c r="D4292" s="456">
        <v>0</v>
      </c>
      <c r="E4292" s="456">
        <v>0</v>
      </c>
      <c r="F4292" s="456"/>
      <c r="G4292" s="456"/>
      <c r="H4292" s="456"/>
    </row>
    <row r="4293" spans="1:8">
      <c r="A4293" s="696">
        <v>5290</v>
      </c>
      <c r="B4293" s="469"/>
      <c r="C4293" s="458"/>
      <c r="D4293" s="456">
        <v>0</v>
      </c>
      <c r="E4293" s="456">
        <v>0</v>
      </c>
      <c r="F4293" s="456"/>
      <c r="G4293" s="456"/>
      <c r="H4293" s="456"/>
    </row>
    <row r="4294" spans="1:8">
      <c r="A4294" s="696">
        <v>5291</v>
      </c>
      <c r="B4294" s="469"/>
      <c r="C4294" s="458"/>
      <c r="D4294" s="456">
        <v>0</v>
      </c>
      <c r="E4294" s="456">
        <v>0</v>
      </c>
      <c r="F4294" s="456"/>
      <c r="G4294" s="456"/>
      <c r="H4294" s="456"/>
    </row>
    <row r="4295" spans="1:8">
      <c r="A4295" s="696">
        <v>5292</v>
      </c>
      <c r="B4295" s="469"/>
      <c r="C4295" s="458"/>
      <c r="D4295" s="456">
        <v>0</v>
      </c>
      <c r="E4295" s="456">
        <v>0</v>
      </c>
      <c r="F4295" s="456"/>
      <c r="G4295" s="456"/>
      <c r="H4295" s="456"/>
    </row>
    <row r="4296" spans="1:8">
      <c r="A4296" s="696">
        <v>5293</v>
      </c>
      <c r="B4296" s="469"/>
      <c r="C4296" s="458"/>
      <c r="D4296" s="456">
        <v>0</v>
      </c>
      <c r="E4296" s="456">
        <v>0</v>
      </c>
      <c r="F4296" s="456"/>
      <c r="G4296" s="456"/>
      <c r="H4296" s="456"/>
    </row>
    <row r="4297" spans="1:8">
      <c r="A4297" s="696">
        <v>5294</v>
      </c>
      <c r="B4297" s="469"/>
      <c r="C4297" s="458"/>
      <c r="D4297" s="456">
        <v>0</v>
      </c>
      <c r="E4297" s="456">
        <v>0</v>
      </c>
      <c r="F4297" s="456"/>
      <c r="G4297" s="456"/>
      <c r="H4297" s="456"/>
    </row>
    <row r="4298" spans="1:8">
      <c r="A4298" s="696">
        <v>5295</v>
      </c>
      <c r="B4298" s="469"/>
      <c r="C4298" s="458"/>
      <c r="D4298" s="456">
        <v>0</v>
      </c>
      <c r="E4298" s="456">
        <v>0</v>
      </c>
      <c r="F4298" s="456"/>
      <c r="G4298" s="456"/>
      <c r="H4298" s="456"/>
    </row>
    <row r="4299" spans="1:8">
      <c r="A4299" s="696">
        <v>5296</v>
      </c>
      <c r="B4299" s="469"/>
      <c r="C4299" s="458"/>
      <c r="D4299" s="456">
        <v>0</v>
      </c>
      <c r="E4299" s="456">
        <v>0</v>
      </c>
      <c r="F4299" s="456"/>
      <c r="G4299" s="456"/>
      <c r="H4299" s="456"/>
    </row>
    <row r="4300" spans="1:8">
      <c r="A4300" s="696">
        <v>5297</v>
      </c>
      <c r="B4300" s="469"/>
      <c r="C4300" s="458"/>
      <c r="D4300" s="456">
        <v>0</v>
      </c>
      <c r="E4300" s="456">
        <v>0</v>
      </c>
      <c r="F4300" s="456"/>
      <c r="G4300" s="456"/>
      <c r="H4300" s="456"/>
    </row>
    <row r="4301" spans="1:8">
      <c r="A4301" s="696">
        <v>5298</v>
      </c>
      <c r="B4301" s="469"/>
      <c r="C4301" s="458"/>
      <c r="D4301" s="456">
        <v>0</v>
      </c>
      <c r="E4301" s="456">
        <v>0</v>
      </c>
      <c r="F4301" s="456"/>
      <c r="G4301" s="456"/>
      <c r="H4301" s="456"/>
    </row>
    <row r="4302" spans="1:8">
      <c r="A4302" s="696">
        <v>5299</v>
      </c>
      <c r="B4302" s="469"/>
      <c r="C4302" s="458"/>
      <c r="D4302" s="456">
        <v>0</v>
      </c>
      <c r="E4302" s="456">
        <v>0</v>
      </c>
      <c r="F4302" s="456"/>
      <c r="G4302" s="456"/>
      <c r="H4302" s="456"/>
    </row>
    <row r="4303" spans="1:8">
      <c r="A4303" s="696">
        <v>5300</v>
      </c>
      <c r="B4303" s="469"/>
      <c r="C4303" s="458"/>
      <c r="D4303" s="456">
        <v>0</v>
      </c>
      <c r="E4303" s="456">
        <v>0</v>
      </c>
      <c r="F4303" s="456"/>
      <c r="G4303" s="456"/>
      <c r="H4303" s="456"/>
    </row>
    <row r="4304" spans="1:8">
      <c r="A4304" s="696">
        <v>5301</v>
      </c>
      <c r="B4304" s="469"/>
      <c r="C4304" s="458"/>
      <c r="D4304" s="456">
        <v>0</v>
      </c>
      <c r="E4304" s="456">
        <v>0</v>
      </c>
      <c r="F4304" s="456"/>
      <c r="G4304" s="456"/>
      <c r="H4304" s="456"/>
    </row>
    <row r="4305" spans="1:8">
      <c r="A4305" s="696">
        <v>5302</v>
      </c>
      <c r="B4305" s="469"/>
      <c r="C4305" s="458"/>
      <c r="D4305" s="456">
        <v>0</v>
      </c>
      <c r="E4305" s="456">
        <v>0</v>
      </c>
      <c r="F4305" s="456"/>
      <c r="G4305" s="456"/>
      <c r="H4305" s="456"/>
    </row>
    <row r="4306" spans="1:8">
      <c r="A4306" s="696">
        <v>5303</v>
      </c>
      <c r="B4306" s="469"/>
      <c r="C4306" s="458"/>
      <c r="D4306" s="456">
        <v>0</v>
      </c>
      <c r="E4306" s="456">
        <v>0</v>
      </c>
      <c r="F4306" s="456"/>
      <c r="G4306" s="456"/>
      <c r="H4306" s="456"/>
    </row>
    <row r="4307" spans="1:8">
      <c r="A4307" s="696">
        <v>5304</v>
      </c>
      <c r="B4307" s="469"/>
      <c r="C4307" s="458"/>
      <c r="D4307" s="456">
        <v>0</v>
      </c>
      <c r="E4307" s="456">
        <v>0</v>
      </c>
      <c r="F4307" s="456"/>
      <c r="G4307" s="456"/>
      <c r="H4307" s="456"/>
    </row>
    <row r="4308" spans="1:8">
      <c r="A4308" s="696">
        <v>5305</v>
      </c>
      <c r="B4308" s="469"/>
      <c r="C4308" s="458"/>
      <c r="D4308" s="456">
        <v>0</v>
      </c>
      <c r="E4308" s="456">
        <v>0</v>
      </c>
      <c r="F4308" s="456"/>
      <c r="G4308" s="456"/>
      <c r="H4308" s="456"/>
    </row>
    <row r="4309" spans="1:8">
      <c r="A4309" s="696">
        <v>5306</v>
      </c>
      <c r="B4309" s="469"/>
      <c r="C4309" s="458"/>
      <c r="D4309" s="456">
        <v>0</v>
      </c>
      <c r="E4309" s="456">
        <v>0</v>
      </c>
      <c r="F4309" s="456"/>
      <c r="G4309" s="456"/>
      <c r="H4309" s="456"/>
    </row>
    <row r="4310" spans="1:8">
      <c r="A4310" s="696">
        <v>5307</v>
      </c>
      <c r="B4310" s="469"/>
      <c r="C4310" s="458"/>
      <c r="D4310" s="456">
        <v>0</v>
      </c>
      <c r="E4310" s="456">
        <v>0</v>
      </c>
      <c r="F4310" s="456"/>
      <c r="G4310" s="456"/>
      <c r="H4310" s="456"/>
    </row>
    <row r="4311" spans="1:8">
      <c r="A4311" s="696">
        <v>5308</v>
      </c>
      <c r="B4311" s="469"/>
      <c r="C4311" s="458"/>
      <c r="D4311" s="456">
        <v>0</v>
      </c>
      <c r="E4311" s="456">
        <v>0</v>
      </c>
      <c r="F4311" s="456"/>
      <c r="G4311" s="456"/>
      <c r="H4311" s="456"/>
    </row>
    <row r="4312" spans="1:8">
      <c r="A4312" s="696">
        <v>5309</v>
      </c>
      <c r="B4312" s="469"/>
      <c r="C4312" s="458"/>
      <c r="D4312" s="456">
        <v>0</v>
      </c>
      <c r="E4312" s="456">
        <v>0</v>
      </c>
      <c r="F4312" s="456"/>
      <c r="G4312" s="456"/>
      <c r="H4312" s="456"/>
    </row>
    <row r="4313" spans="1:8">
      <c r="A4313" s="696">
        <v>5310</v>
      </c>
      <c r="B4313" s="469"/>
      <c r="C4313" s="458"/>
      <c r="D4313" s="456">
        <v>0</v>
      </c>
      <c r="E4313" s="456">
        <v>0</v>
      </c>
      <c r="F4313" s="456"/>
      <c r="G4313" s="456"/>
      <c r="H4313" s="456"/>
    </row>
    <row r="4314" spans="1:8">
      <c r="A4314" s="696">
        <v>5311</v>
      </c>
      <c r="B4314" s="469"/>
      <c r="C4314" s="458"/>
      <c r="D4314" s="456">
        <v>0</v>
      </c>
      <c r="E4314" s="456">
        <v>0</v>
      </c>
      <c r="F4314" s="456"/>
      <c r="G4314" s="456"/>
      <c r="H4314" s="456"/>
    </row>
    <row r="4315" spans="1:8">
      <c r="A4315" s="696">
        <v>5312</v>
      </c>
      <c r="B4315" s="469"/>
      <c r="C4315" s="458"/>
      <c r="D4315" s="456">
        <v>0</v>
      </c>
      <c r="E4315" s="456">
        <v>0</v>
      </c>
      <c r="F4315" s="456"/>
      <c r="G4315" s="456"/>
      <c r="H4315" s="456"/>
    </row>
    <row r="4316" spans="1:8">
      <c r="A4316" s="696">
        <v>5313</v>
      </c>
      <c r="B4316" s="469"/>
      <c r="C4316" s="458"/>
      <c r="D4316" s="456">
        <v>0</v>
      </c>
      <c r="E4316" s="456">
        <v>0</v>
      </c>
      <c r="F4316" s="456"/>
      <c r="G4316" s="456"/>
      <c r="H4316" s="456"/>
    </row>
    <row r="4317" spans="1:8">
      <c r="A4317" s="696">
        <v>5314</v>
      </c>
      <c r="B4317" s="469"/>
      <c r="C4317" s="458"/>
      <c r="D4317" s="456">
        <v>0</v>
      </c>
      <c r="E4317" s="456">
        <v>0</v>
      </c>
      <c r="F4317" s="456"/>
      <c r="G4317" s="456"/>
      <c r="H4317" s="456"/>
    </row>
    <row r="4318" spans="1:8">
      <c r="A4318" s="696">
        <v>5315</v>
      </c>
      <c r="B4318" s="469"/>
      <c r="C4318" s="458"/>
      <c r="D4318" s="456">
        <v>0</v>
      </c>
      <c r="E4318" s="456">
        <v>0</v>
      </c>
      <c r="F4318" s="456"/>
      <c r="G4318" s="456"/>
      <c r="H4318" s="456"/>
    </row>
    <row r="4319" spans="1:8">
      <c r="A4319" s="696">
        <v>5316</v>
      </c>
      <c r="B4319" s="469"/>
      <c r="C4319" s="458"/>
      <c r="D4319" s="456">
        <v>0</v>
      </c>
      <c r="E4319" s="456">
        <v>0</v>
      </c>
      <c r="F4319" s="456"/>
      <c r="G4319" s="456"/>
      <c r="H4319" s="456"/>
    </row>
    <row r="4320" spans="1:8">
      <c r="A4320" s="696">
        <v>5317</v>
      </c>
      <c r="B4320" s="469"/>
      <c r="C4320" s="458"/>
      <c r="D4320" s="456">
        <v>0</v>
      </c>
      <c r="E4320" s="456">
        <v>0</v>
      </c>
      <c r="F4320" s="456"/>
      <c r="G4320" s="456"/>
      <c r="H4320" s="456"/>
    </row>
    <row r="4321" spans="1:8">
      <c r="A4321" s="696">
        <v>5318</v>
      </c>
      <c r="B4321" s="469"/>
      <c r="C4321" s="458"/>
      <c r="D4321" s="456">
        <v>0</v>
      </c>
      <c r="E4321" s="456">
        <v>0</v>
      </c>
      <c r="F4321" s="456"/>
      <c r="G4321" s="456"/>
      <c r="H4321" s="456"/>
    </row>
    <row r="4322" spans="1:8">
      <c r="A4322" s="696">
        <v>5319</v>
      </c>
      <c r="B4322" s="469"/>
      <c r="C4322" s="458"/>
      <c r="D4322" s="456">
        <v>0</v>
      </c>
      <c r="E4322" s="456">
        <v>0</v>
      </c>
      <c r="F4322" s="456"/>
      <c r="G4322" s="456"/>
      <c r="H4322" s="456"/>
    </row>
    <row r="4323" spans="1:8">
      <c r="A4323" s="696">
        <v>5320</v>
      </c>
      <c r="B4323" s="469"/>
      <c r="C4323" s="458"/>
      <c r="D4323" s="456">
        <v>0</v>
      </c>
      <c r="E4323" s="456">
        <v>0</v>
      </c>
      <c r="F4323" s="456"/>
      <c r="G4323" s="456"/>
      <c r="H4323" s="456"/>
    </row>
    <row r="4324" spans="1:8">
      <c r="A4324" s="696">
        <v>5321</v>
      </c>
      <c r="B4324" s="469"/>
      <c r="C4324" s="458"/>
      <c r="D4324" s="456">
        <v>0</v>
      </c>
      <c r="E4324" s="456">
        <v>0</v>
      </c>
      <c r="F4324" s="456"/>
      <c r="G4324" s="456"/>
      <c r="H4324" s="456"/>
    </row>
    <row r="4325" spans="1:8">
      <c r="A4325" s="696">
        <v>5322</v>
      </c>
      <c r="B4325" s="469"/>
      <c r="C4325" s="458"/>
      <c r="D4325" s="456">
        <v>0</v>
      </c>
      <c r="E4325" s="456">
        <v>0</v>
      </c>
      <c r="F4325" s="456"/>
      <c r="G4325" s="456"/>
      <c r="H4325" s="456"/>
    </row>
    <row r="4326" spans="1:8">
      <c r="A4326" s="696">
        <v>5323</v>
      </c>
      <c r="B4326" s="469"/>
      <c r="C4326" s="458"/>
      <c r="D4326" s="456">
        <v>0</v>
      </c>
      <c r="E4326" s="456">
        <v>0</v>
      </c>
      <c r="F4326" s="456"/>
      <c r="G4326" s="456"/>
      <c r="H4326" s="456"/>
    </row>
    <row r="4327" spans="1:8">
      <c r="A4327" s="696">
        <v>5324</v>
      </c>
      <c r="B4327" s="469"/>
      <c r="C4327" s="458"/>
      <c r="D4327" s="456">
        <v>0</v>
      </c>
      <c r="E4327" s="456">
        <v>0</v>
      </c>
      <c r="F4327" s="456"/>
      <c r="G4327" s="456"/>
      <c r="H4327" s="456"/>
    </row>
    <row r="4328" spans="1:8">
      <c r="A4328" s="696">
        <v>5325</v>
      </c>
      <c r="B4328" s="469"/>
      <c r="C4328" s="458"/>
      <c r="D4328" s="456">
        <v>0</v>
      </c>
      <c r="E4328" s="456">
        <v>0</v>
      </c>
      <c r="F4328" s="456"/>
      <c r="G4328" s="456"/>
      <c r="H4328" s="456"/>
    </row>
    <row r="4329" spans="1:8">
      <c r="A4329" s="696">
        <v>5326</v>
      </c>
      <c r="B4329" s="469"/>
      <c r="C4329" s="458"/>
      <c r="D4329" s="456">
        <v>0</v>
      </c>
      <c r="E4329" s="456">
        <v>0</v>
      </c>
      <c r="F4329" s="456"/>
      <c r="G4329" s="456"/>
      <c r="H4329" s="456"/>
    </row>
    <row r="4330" spans="1:8">
      <c r="A4330" s="696">
        <v>5327</v>
      </c>
      <c r="B4330" s="469"/>
      <c r="C4330" s="458"/>
      <c r="D4330" s="456">
        <v>0</v>
      </c>
      <c r="E4330" s="456">
        <v>0</v>
      </c>
      <c r="F4330" s="456"/>
      <c r="G4330" s="456"/>
      <c r="H4330" s="456"/>
    </row>
    <row r="4331" spans="1:8">
      <c r="A4331" s="696">
        <v>5328</v>
      </c>
      <c r="B4331" s="469"/>
      <c r="C4331" s="458"/>
      <c r="D4331" s="456">
        <v>0</v>
      </c>
      <c r="E4331" s="456">
        <v>0</v>
      </c>
      <c r="F4331" s="456"/>
      <c r="G4331" s="456"/>
      <c r="H4331" s="456"/>
    </row>
    <row r="4332" spans="1:8">
      <c r="A4332" s="696">
        <v>5329</v>
      </c>
      <c r="B4332" s="469"/>
      <c r="C4332" s="458"/>
      <c r="D4332" s="456">
        <v>0</v>
      </c>
      <c r="E4332" s="456">
        <v>0</v>
      </c>
      <c r="F4332" s="456"/>
      <c r="G4332" s="456"/>
      <c r="H4332" s="456"/>
    </row>
    <row r="4333" spans="1:8">
      <c r="A4333" s="696">
        <v>5330</v>
      </c>
      <c r="B4333" s="469"/>
      <c r="C4333" s="458"/>
      <c r="D4333" s="456">
        <v>0</v>
      </c>
      <c r="E4333" s="456">
        <v>0</v>
      </c>
      <c r="F4333" s="456"/>
      <c r="G4333" s="456"/>
      <c r="H4333" s="456"/>
    </row>
    <row r="4334" spans="1:8">
      <c r="A4334" s="696">
        <v>5331</v>
      </c>
      <c r="B4334" s="469"/>
      <c r="C4334" s="458"/>
      <c r="D4334" s="456">
        <v>0</v>
      </c>
      <c r="E4334" s="456">
        <v>0</v>
      </c>
      <c r="F4334" s="456"/>
      <c r="G4334" s="456"/>
      <c r="H4334" s="456"/>
    </row>
    <row r="4335" spans="1:8">
      <c r="A4335" s="696">
        <v>5332</v>
      </c>
      <c r="B4335" s="469"/>
      <c r="C4335" s="458"/>
      <c r="D4335" s="456">
        <v>0</v>
      </c>
      <c r="E4335" s="456">
        <v>0</v>
      </c>
      <c r="F4335" s="456"/>
      <c r="G4335" s="456"/>
      <c r="H4335" s="456"/>
    </row>
    <row r="4336" spans="1:8">
      <c r="A4336" s="696">
        <v>5333</v>
      </c>
      <c r="B4336" s="469"/>
      <c r="C4336" s="458"/>
      <c r="D4336" s="456">
        <v>0</v>
      </c>
      <c r="E4336" s="456">
        <v>0</v>
      </c>
      <c r="F4336" s="456"/>
      <c r="G4336" s="456"/>
      <c r="H4336" s="456"/>
    </row>
    <row r="4337" spans="1:8">
      <c r="A4337" s="696">
        <v>5334</v>
      </c>
      <c r="B4337" s="469"/>
      <c r="C4337" s="458"/>
      <c r="D4337" s="456">
        <v>0</v>
      </c>
      <c r="E4337" s="456">
        <v>0</v>
      </c>
      <c r="F4337" s="456"/>
      <c r="G4337" s="456"/>
      <c r="H4337" s="456"/>
    </row>
    <row r="4338" spans="1:8">
      <c r="A4338" s="696">
        <v>5335</v>
      </c>
      <c r="B4338" s="469"/>
      <c r="C4338" s="458"/>
      <c r="D4338" s="456">
        <v>0</v>
      </c>
      <c r="E4338" s="456">
        <v>0</v>
      </c>
      <c r="F4338" s="456"/>
      <c r="G4338" s="456"/>
      <c r="H4338" s="456"/>
    </row>
    <row r="4339" spans="1:8">
      <c r="A4339" s="696">
        <v>5336</v>
      </c>
      <c r="B4339" s="469"/>
      <c r="C4339" s="458"/>
      <c r="D4339" s="456">
        <v>0</v>
      </c>
      <c r="E4339" s="456">
        <v>0</v>
      </c>
      <c r="F4339" s="456"/>
      <c r="G4339" s="456"/>
      <c r="H4339" s="456"/>
    </row>
    <row r="4340" spans="1:8">
      <c r="A4340" s="696">
        <v>5337</v>
      </c>
      <c r="B4340" s="469"/>
      <c r="C4340" s="458"/>
      <c r="D4340" s="456">
        <v>0</v>
      </c>
      <c r="E4340" s="456">
        <v>0</v>
      </c>
      <c r="F4340" s="456"/>
      <c r="G4340" s="456"/>
      <c r="H4340" s="456"/>
    </row>
    <row r="4341" spans="1:8">
      <c r="A4341" s="696">
        <v>5338</v>
      </c>
      <c r="B4341" s="469"/>
      <c r="C4341" s="458"/>
      <c r="D4341" s="456">
        <v>0</v>
      </c>
      <c r="E4341" s="456">
        <v>0</v>
      </c>
      <c r="F4341" s="456"/>
      <c r="G4341" s="456"/>
      <c r="H4341" s="456"/>
    </row>
    <row r="4342" spans="1:8">
      <c r="A4342" s="696">
        <v>5339</v>
      </c>
      <c r="B4342" s="469"/>
      <c r="C4342" s="458"/>
      <c r="D4342" s="456">
        <v>0</v>
      </c>
      <c r="E4342" s="456">
        <v>0</v>
      </c>
      <c r="F4342" s="456"/>
      <c r="G4342" s="456"/>
      <c r="H4342" s="456"/>
    </row>
    <row r="4343" spans="1:8">
      <c r="A4343" s="696">
        <v>5340</v>
      </c>
      <c r="B4343" s="469"/>
      <c r="C4343" s="458"/>
      <c r="D4343" s="456">
        <v>0</v>
      </c>
      <c r="E4343" s="456">
        <v>0</v>
      </c>
      <c r="F4343" s="456"/>
      <c r="G4343" s="456"/>
      <c r="H4343" s="456"/>
    </row>
    <row r="4344" spans="1:8">
      <c r="A4344" s="696">
        <v>5341</v>
      </c>
      <c r="B4344" s="469"/>
      <c r="C4344" s="458"/>
      <c r="D4344" s="456">
        <v>0</v>
      </c>
      <c r="E4344" s="456">
        <v>0</v>
      </c>
      <c r="F4344" s="456"/>
      <c r="G4344" s="456"/>
      <c r="H4344" s="456"/>
    </row>
    <row r="4345" spans="1:8">
      <c r="A4345" s="696">
        <v>5342</v>
      </c>
      <c r="B4345" s="469"/>
      <c r="C4345" s="458"/>
      <c r="D4345" s="456">
        <v>0</v>
      </c>
      <c r="E4345" s="456">
        <v>0</v>
      </c>
      <c r="F4345" s="456"/>
      <c r="G4345" s="456"/>
      <c r="H4345" s="456"/>
    </row>
    <row r="4346" spans="1:8">
      <c r="A4346" s="696">
        <v>5343</v>
      </c>
      <c r="B4346" s="469"/>
      <c r="C4346" s="458"/>
      <c r="D4346" s="456">
        <v>0</v>
      </c>
      <c r="E4346" s="456">
        <v>0</v>
      </c>
      <c r="F4346" s="456"/>
      <c r="G4346" s="456"/>
      <c r="H4346" s="456"/>
    </row>
    <row r="4347" spans="1:8">
      <c r="A4347" s="696">
        <v>5344</v>
      </c>
      <c r="B4347" s="469"/>
      <c r="C4347" s="458"/>
      <c r="D4347" s="456">
        <v>0</v>
      </c>
      <c r="E4347" s="456">
        <v>0</v>
      </c>
      <c r="F4347" s="456"/>
      <c r="G4347" s="456"/>
      <c r="H4347" s="456"/>
    </row>
    <row r="4348" spans="1:8">
      <c r="A4348" s="696">
        <v>5345</v>
      </c>
      <c r="B4348" s="469"/>
      <c r="C4348" s="458"/>
      <c r="D4348" s="456">
        <v>0</v>
      </c>
      <c r="E4348" s="456">
        <v>0</v>
      </c>
      <c r="F4348" s="456"/>
      <c r="G4348" s="456"/>
      <c r="H4348" s="456"/>
    </row>
    <row r="4349" spans="1:8">
      <c r="A4349" s="696">
        <v>5346</v>
      </c>
      <c r="B4349" s="469"/>
      <c r="C4349" s="458"/>
      <c r="D4349" s="456">
        <v>0</v>
      </c>
      <c r="E4349" s="456">
        <v>0</v>
      </c>
      <c r="F4349" s="456"/>
      <c r="G4349" s="456"/>
      <c r="H4349" s="456"/>
    </row>
    <row r="4350" spans="1:8">
      <c r="A4350" s="696">
        <v>5347</v>
      </c>
      <c r="B4350" s="469"/>
      <c r="C4350" s="458"/>
      <c r="D4350" s="456">
        <v>0</v>
      </c>
      <c r="E4350" s="456">
        <v>0</v>
      </c>
      <c r="F4350" s="456"/>
      <c r="G4350" s="456"/>
      <c r="H4350" s="456"/>
    </row>
    <row r="4351" spans="1:8">
      <c r="A4351" s="696">
        <v>5348</v>
      </c>
      <c r="B4351" s="469"/>
      <c r="C4351" s="458"/>
      <c r="D4351" s="456">
        <v>0</v>
      </c>
      <c r="E4351" s="456">
        <v>0</v>
      </c>
      <c r="F4351" s="456"/>
      <c r="G4351" s="456"/>
      <c r="H4351" s="456"/>
    </row>
    <row r="4352" spans="1:8">
      <c r="A4352" s="696">
        <v>5349</v>
      </c>
      <c r="B4352" s="469"/>
      <c r="C4352" s="458"/>
      <c r="D4352" s="456">
        <v>0</v>
      </c>
      <c r="E4352" s="456">
        <v>0</v>
      </c>
      <c r="F4352" s="456"/>
      <c r="G4352" s="456"/>
      <c r="H4352" s="456"/>
    </row>
    <row r="4353" spans="1:8">
      <c r="A4353" s="696">
        <v>5350</v>
      </c>
      <c r="B4353" s="469"/>
      <c r="C4353" s="458"/>
      <c r="D4353" s="456">
        <v>0</v>
      </c>
      <c r="E4353" s="456">
        <v>0</v>
      </c>
      <c r="F4353" s="456"/>
      <c r="G4353" s="456"/>
      <c r="H4353" s="456"/>
    </row>
    <row r="4354" spans="1:8">
      <c r="A4354" s="696">
        <v>5351</v>
      </c>
      <c r="B4354" s="469"/>
      <c r="C4354" s="458"/>
      <c r="D4354" s="456">
        <v>0</v>
      </c>
      <c r="E4354" s="456">
        <v>0</v>
      </c>
      <c r="F4354" s="456"/>
      <c r="G4354" s="456"/>
      <c r="H4354" s="456"/>
    </row>
    <row r="4355" spans="1:8">
      <c r="A4355" s="696">
        <v>5352</v>
      </c>
      <c r="B4355" s="469"/>
      <c r="C4355" s="458"/>
      <c r="D4355" s="456">
        <v>0</v>
      </c>
      <c r="E4355" s="456">
        <v>0</v>
      </c>
      <c r="F4355" s="456"/>
      <c r="G4355" s="456"/>
      <c r="H4355" s="456"/>
    </row>
    <row r="4356" spans="1:8">
      <c r="A4356" s="696">
        <v>5353</v>
      </c>
      <c r="B4356" s="469"/>
      <c r="C4356" s="458"/>
      <c r="D4356" s="456">
        <v>0</v>
      </c>
      <c r="E4356" s="456">
        <v>0</v>
      </c>
      <c r="F4356" s="456"/>
      <c r="G4356" s="456"/>
      <c r="H4356" s="456"/>
    </row>
    <row r="4357" spans="1:8">
      <c r="A4357" s="696">
        <v>5354</v>
      </c>
      <c r="B4357" s="469"/>
      <c r="C4357" s="458"/>
      <c r="D4357" s="456">
        <v>0</v>
      </c>
      <c r="E4357" s="456">
        <v>0</v>
      </c>
      <c r="F4357" s="456"/>
      <c r="G4357" s="456"/>
      <c r="H4357" s="456"/>
    </row>
    <row r="4358" spans="1:8">
      <c r="A4358" s="696">
        <v>5355</v>
      </c>
      <c r="B4358" s="469"/>
      <c r="C4358" s="458"/>
      <c r="D4358" s="456">
        <v>0</v>
      </c>
      <c r="E4358" s="456">
        <v>0</v>
      </c>
      <c r="F4358" s="456"/>
      <c r="G4358" s="456"/>
      <c r="H4358" s="456"/>
    </row>
    <row r="4359" spans="1:8">
      <c r="A4359" s="696">
        <v>5356</v>
      </c>
      <c r="B4359" s="469"/>
      <c r="C4359" s="458"/>
      <c r="D4359" s="456">
        <v>0</v>
      </c>
      <c r="E4359" s="456">
        <v>0</v>
      </c>
      <c r="F4359" s="456"/>
      <c r="G4359" s="456"/>
      <c r="H4359" s="456"/>
    </row>
    <row r="4360" spans="1:8">
      <c r="A4360" s="696">
        <v>5357</v>
      </c>
      <c r="B4360" s="469"/>
      <c r="C4360" s="458"/>
      <c r="D4360" s="456">
        <v>0</v>
      </c>
      <c r="E4360" s="456">
        <v>0</v>
      </c>
      <c r="F4360" s="456"/>
      <c r="G4360" s="456"/>
      <c r="H4360" s="456"/>
    </row>
    <row r="4361" spans="1:8">
      <c r="A4361" s="696">
        <v>5358</v>
      </c>
      <c r="B4361" s="469"/>
      <c r="C4361" s="458"/>
      <c r="D4361" s="456">
        <v>0</v>
      </c>
      <c r="E4361" s="456">
        <v>0</v>
      </c>
      <c r="F4361" s="456"/>
      <c r="G4361" s="456"/>
      <c r="H4361" s="456"/>
    </row>
    <row r="4362" spans="1:8">
      <c r="A4362" s="696">
        <v>5359</v>
      </c>
      <c r="B4362" s="469"/>
      <c r="C4362" s="458"/>
      <c r="D4362" s="456">
        <v>0</v>
      </c>
      <c r="E4362" s="456">
        <v>0</v>
      </c>
      <c r="F4362" s="456"/>
      <c r="G4362" s="456"/>
      <c r="H4362" s="456"/>
    </row>
    <row r="4363" spans="1:8">
      <c r="A4363" s="696">
        <v>5360</v>
      </c>
      <c r="B4363" s="469"/>
      <c r="C4363" s="458"/>
      <c r="D4363" s="456">
        <v>0</v>
      </c>
      <c r="E4363" s="456">
        <v>0</v>
      </c>
      <c r="F4363" s="456"/>
      <c r="G4363" s="456"/>
      <c r="H4363" s="456"/>
    </row>
    <row r="4364" spans="1:8">
      <c r="A4364" s="696">
        <v>5361</v>
      </c>
      <c r="B4364" s="469"/>
      <c r="C4364" s="458"/>
      <c r="D4364" s="456">
        <v>0</v>
      </c>
      <c r="E4364" s="456">
        <v>0</v>
      </c>
      <c r="F4364" s="456"/>
      <c r="G4364" s="456"/>
      <c r="H4364" s="456"/>
    </row>
    <row r="4365" spans="1:8">
      <c r="A4365" s="696">
        <v>5362</v>
      </c>
      <c r="B4365" s="469"/>
      <c r="C4365" s="458"/>
      <c r="D4365" s="456">
        <v>0</v>
      </c>
      <c r="E4365" s="456">
        <v>0</v>
      </c>
      <c r="F4365" s="456"/>
      <c r="G4365" s="456"/>
      <c r="H4365" s="456"/>
    </row>
    <row r="4366" spans="1:8">
      <c r="A4366" s="696">
        <v>5363</v>
      </c>
      <c r="B4366" s="469"/>
      <c r="C4366" s="458"/>
      <c r="D4366" s="456">
        <v>0</v>
      </c>
      <c r="E4366" s="456">
        <v>0</v>
      </c>
      <c r="F4366" s="456"/>
      <c r="G4366" s="456"/>
      <c r="H4366" s="456"/>
    </row>
    <row r="4367" spans="1:8">
      <c r="A4367" s="696">
        <v>5364</v>
      </c>
      <c r="B4367" s="469"/>
      <c r="C4367" s="458"/>
      <c r="D4367" s="456">
        <v>0</v>
      </c>
      <c r="E4367" s="456">
        <v>0</v>
      </c>
      <c r="F4367" s="456"/>
      <c r="G4367" s="456"/>
      <c r="H4367" s="456"/>
    </row>
    <row r="4368" spans="1:8">
      <c r="A4368" s="696">
        <v>5365</v>
      </c>
      <c r="B4368" s="469"/>
      <c r="C4368" s="458"/>
      <c r="D4368" s="456">
        <v>0</v>
      </c>
      <c r="E4368" s="456">
        <v>0</v>
      </c>
      <c r="F4368" s="456"/>
      <c r="G4368" s="456"/>
      <c r="H4368" s="456"/>
    </row>
    <row r="4369" spans="1:8">
      <c r="A4369" s="696">
        <v>5366</v>
      </c>
      <c r="B4369" s="469"/>
      <c r="C4369" s="458"/>
      <c r="D4369" s="456">
        <v>0</v>
      </c>
      <c r="E4369" s="456">
        <v>0</v>
      </c>
      <c r="F4369" s="456"/>
      <c r="G4369" s="456"/>
      <c r="H4369" s="456"/>
    </row>
    <row r="4370" spans="1:8">
      <c r="A4370" s="696">
        <v>5367</v>
      </c>
      <c r="B4370" s="469"/>
      <c r="C4370" s="458"/>
      <c r="D4370" s="456">
        <v>0</v>
      </c>
      <c r="E4370" s="456">
        <v>0</v>
      </c>
      <c r="F4370" s="456"/>
      <c r="G4370" s="456"/>
      <c r="H4370" s="456"/>
    </row>
    <row r="4371" spans="1:8">
      <c r="A4371" s="696">
        <v>5368</v>
      </c>
      <c r="B4371" s="469"/>
      <c r="C4371" s="458"/>
      <c r="D4371" s="456">
        <v>0</v>
      </c>
      <c r="E4371" s="456">
        <v>0</v>
      </c>
      <c r="F4371" s="456"/>
      <c r="G4371" s="456"/>
      <c r="H4371" s="456"/>
    </row>
    <row r="4372" spans="1:8">
      <c r="A4372" s="696">
        <v>5369</v>
      </c>
      <c r="B4372" s="469"/>
      <c r="C4372" s="458"/>
      <c r="D4372" s="456">
        <v>0</v>
      </c>
      <c r="E4372" s="456">
        <v>0</v>
      </c>
      <c r="F4372" s="456"/>
      <c r="G4372" s="456"/>
      <c r="H4372" s="456"/>
    </row>
    <row r="4373" spans="1:8">
      <c r="A4373" s="696">
        <v>5370</v>
      </c>
      <c r="B4373" s="469"/>
      <c r="C4373" s="458"/>
      <c r="D4373" s="456">
        <v>0</v>
      </c>
      <c r="E4373" s="456">
        <v>0</v>
      </c>
      <c r="F4373" s="456"/>
      <c r="G4373" s="456"/>
      <c r="H4373" s="456"/>
    </row>
    <row r="4374" spans="1:8">
      <c r="A4374" s="696">
        <v>5371</v>
      </c>
      <c r="B4374" s="469"/>
      <c r="C4374" s="458"/>
      <c r="D4374" s="456">
        <v>0</v>
      </c>
      <c r="E4374" s="456">
        <v>0</v>
      </c>
      <c r="F4374" s="456"/>
      <c r="G4374" s="456"/>
      <c r="H4374" s="456"/>
    </row>
    <row r="4375" spans="1:8">
      <c r="A4375" s="696">
        <v>5372</v>
      </c>
      <c r="B4375" s="469"/>
      <c r="C4375" s="458"/>
      <c r="D4375" s="456">
        <v>0</v>
      </c>
      <c r="E4375" s="456">
        <v>0</v>
      </c>
      <c r="F4375" s="456"/>
      <c r="G4375" s="456"/>
      <c r="H4375" s="456"/>
    </row>
    <row r="4376" spans="1:8">
      <c r="A4376" s="696">
        <v>5373</v>
      </c>
      <c r="B4376" s="469"/>
      <c r="C4376" s="458"/>
      <c r="D4376" s="456">
        <v>0</v>
      </c>
      <c r="E4376" s="456">
        <v>0</v>
      </c>
      <c r="F4376" s="456"/>
      <c r="G4376" s="456"/>
      <c r="H4376" s="456"/>
    </row>
    <row r="4377" spans="1:8">
      <c r="A4377" s="696">
        <v>5374</v>
      </c>
      <c r="B4377" s="469"/>
      <c r="C4377" s="458"/>
      <c r="D4377" s="456">
        <v>0</v>
      </c>
      <c r="E4377" s="456">
        <v>0</v>
      </c>
      <c r="F4377" s="456"/>
      <c r="G4377" s="456"/>
      <c r="H4377" s="456"/>
    </row>
    <row r="4378" spans="1:8">
      <c r="A4378" s="696">
        <v>5375</v>
      </c>
      <c r="B4378" s="469"/>
      <c r="C4378" s="458"/>
      <c r="D4378" s="456">
        <v>0</v>
      </c>
      <c r="E4378" s="456">
        <v>0</v>
      </c>
      <c r="F4378" s="456"/>
      <c r="G4378" s="456"/>
      <c r="H4378" s="456"/>
    </row>
    <row r="4379" spans="1:8">
      <c r="A4379" s="696">
        <v>5376</v>
      </c>
      <c r="B4379" s="469"/>
      <c r="C4379" s="458"/>
      <c r="D4379" s="456">
        <v>0</v>
      </c>
      <c r="E4379" s="456">
        <v>0</v>
      </c>
      <c r="F4379" s="456"/>
      <c r="G4379" s="456"/>
      <c r="H4379" s="456"/>
    </row>
    <row r="4380" spans="1:8">
      <c r="A4380" s="696">
        <v>5377</v>
      </c>
      <c r="B4380" s="469"/>
      <c r="C4380" s="458"/>
      <c r="D4380" s="456">
        <v>0</v>
      </c>
      <c r="E4380" s="456">
        <v>0</v>
      </c>
      <c r="F4380" s="456"/>
      <c r="G4380" s="456"/>
      <c r="H4380" s="456"/>
    </row>
    <row r="4381" spans="1:8">
      <c r="A4381" s="696">
        <v>5378</v>
      </c>
      <c r="B4381" s="469"/>
      <c r="C4381" s="458"/>
      <c r="D4381" s="456">
        <v>0</v>
      </c>
      <c r="E4381" s="456">
        <v>0</v>
      </c>
      <c r="F4381" s="456"/>
      <c r="G4381" s="456"/>
      <c r="H4381" s="456"/>
    </row>
    <row r="4382" spans="1:8">
      <c r="A4382" s="696">
        <v>5379</v>
      </c>
      <c r="B4382" s="469"/>
      <c r="C4382" s="458"/>
      <c r="D4382" s="456">
        <v>0</v>
      </c>
      <c r="E4382" s="456">
        <v>0</v>
      </c>
      <c r="F4382" s="456"/>
      <c r="G4382" s="456"/>
      <c r="H4382" s="456"/>
    </row>
    <row r="4383" spans="1:8">
      <c r="A4383" s="696">
        <v>5380</v>
      </c>
      <c r="B4383" s="469"/>
      <c r="C4383" s="458"/>
      <c r="D4383" s="456">
        <v>0</v>
      </c>
      <c r="E4383" s="456">
        <v>0</v>
      </c>
      <c r="F4383" s="456"/>
      <c r="G4383" s="456"/>
      <c r="H4383" s="456"/>
    </row>
    <row r="4384" spans="1:8">
      <c r="A4384" s="696">
        <v>5381</v>
      </c>
      <c r="B4384" s="469"/>
      <c r="C4384" s="458"/>
      <c r="D4384" s="456">
        <v>0</v>
      </c>
      <c r="E4384" s="456">
        <v>0</v>
      </c>
      <c r="F4384" s="456"/>
      <c r="G4384" s="456"/>
      <c r="H4384" s="456"/>
    </row>
    <row r="4385" spans="1:8">
      <c r="A4385" s="696">
        <v>5382</v>
      </c>
      <c r="B4385" s="469"/>
      <c r="C4385" s="458"/>
      <c r="D4385" s="456">
        <v>0</v>
      </c>
      <c r="E4385" s="456">
        <v>0</v>
      </c>
      <c r="F4385" s="456"/>
      <c r="G4385" s="456"/>
      <c r="H4385" s="456"/>
    </row>
    <row r="4386" spans="1:8">
      <c r="A4386" s="696">
        <v>5383</v>
      </c>
      <c r="B4386" s="469"/>
      <c r="C4386" s="458"/>
      <c r="D4386" s="456">
        <v>0</v>
      </c>
      <c r="E4386" s="456">
        <v>0</v>
      </c>
      <c r="F4386" s="456"/>
      <c r="G4386" s="456"/>
      <c r="H4386" s="456"/>
    </row>
    <row r="4387" spans="1:8">
      <c r="A4387" s="696">
        <v>5384</v>
      </c>
      <c r="B4387" s="469"/>
      <c r="C4387" s="458"/>
      <c r="D4387" s="456">
        <v>0</v>
      </c>
      <c r="E4387" s="456">
        <v>0</v>
      </c>
      <c r="F4387" s="456"/>
      <c r="G4387" s="456"/>
      <c r="H4387" s="456"/>
    </row>
    <row r="4388" spans="1:8">
      <c r="A4388" s="696">
        <v>5385</v>
      </c>
      <c r="B4388" s="469"/>
      <c r="C4388" s="458"/>
      <c r="D4388" s="456">
        <v>0</v>
      </c>
      <c r="E4388" s="456">
        <v>0</v>
      </c>
      <c r="F4388" s="456"/>
      <c r="G4388" s="456"/>
      <c r="H4388" s="456"/>
    </row>
    <row r="4389" spans="1:8">
      <c r="A4389" s="696">
        <v>5386</v>
      </c>
      <c r="B4389" s="469"/>
      <c r="C4389" s="458"/>
      <c r="D4389" s="456">
        <v>0</v>
      </c>
      <c r="E4389" s="456">
        <v>0</v>
      </c>
      <c r="F4389" s="456"/>
      <c r="G4389" s="456"/>
      <c r="H4389" s="456"/>
    </row>
    <row r="4390" spans="1:8">
      <c r="A4390" s="696">
        <v>5387</v>
      </c>
      <c r="B4390" s="469"/>
      <c r="C4390" s="458"/>
      <c r="D4390" s="456">
        <v>0</v>
      </c>
      <c r="E4390" s="456">
        <v>0</v>
      </c>
      <c r="F4390" s="456"/>
      <c r="G4390" s="456"/>
      <c r="H4390" s="456"/>
    </row>
    <row r="4391" spans="1:8">
      <c r="A4391" s="696">
        <v>5388</v>
      </c>
      <c r="B4391" s="469"/>
      <c r="C4391" s="458"/>
      <c r="D4391" s="456">
        <v>0</v>
      </c>
      <c r="E4391" s="456">
        <v>0</v>
      </c>
      <c r="F4391" s="456"/>
      <c r="G4391" s="456"/>
      <c r="H4391" s="456"/>
    </row>
    <row r="4392" spans="1:8">
      <c r="A4392" s="696">
        <v>5389</v>
      </c>
      <c r="B4392" s="469"/>
      <c r="C4392" s="458"/>
      <c r="D4392" s="456">
        <v>0</v>
      </c>
      <c r="E4392" s="456">
        <v>0</v>
      </c>
      <c r="F4392" s="456"/>
      <c r="G4392" s="456"/>
      <c r="H4392" s="456"/>
    </row>
    <row r="4393" spans="1:8">
      <c r="A4393" s="696">
        <v>5390</v>
      </c>
      <c r="B4393" s="469"/>
      <c r="C4393" s="458"/>
      <c r="D4393" s="456">
        <v>0</v>
      </c>
      <c r="E4393" s="456">
        <v>0</v>
      </c>
      <c r="F4393" s="456"/>
      <c r="G4393" s="456"/>
      <c r="H4393" s="456"/>
    </row>
    <row r="4394" spans="1:8">
      <c r="A4394" s="696">
        <v>5391</v>
      </c>
      <c r="B4394" s="469"/>
      <c r="C4394" s="458"/>
      <c r="D4394" s="456">
        <v>0</v>
      </c>
      <c r="E4394" s="456">
        <v>0</v>
      </c>
      <c r="F4394" s="456"/>
      <c r="G4394" s="456"/>
      <c r="H4394" s="456"/>
    </row>
    <row r="4395" spans="1:8">
      <c r="A4395" s="696">
        <v>5392</v>
      </c>
      <c r="B4395" s="469"/>
      <c r="C4395" s="458"/>
      <c r="D4395" s="456">
        <v>0</v>
      </c>
      <c r="E4395" s="456">
        <v>0</v>
      </c>
      <c r="F4395" s="456"/>
      <c r="G4395" s="456"/>
      <c r="H4395" s="456"/>
    </row>
    <row r="4396" spans="1:8">
      <c r="A4396" s="696">
        <v>5393</v>
      </c>
      <c r="B4396" s="469"/>
      <c r="C4396" s="458"/>
      <c r="D4396" s="456">
        <v>0</v>
      </c>
      <c r="E4396" s="456">
        <v>0</v>
      </c>
      <c r="F4396" s="456"/>
      <c r="G4396" s="456"/>
      <c r="H4396" s="456"/>
    </row>
    <row r="4397" spans="1:8">
      <c r="A4397" s="696">
        <v>5394</v>
      </c>
      <c r="B4397" s="469"/>
      <c r="C4397" s="458"/>
      <c r="D4397" s="456">
        <v>0</v>
      </c>
      <c r="E4397" s="456">
        <v>0</v>
      </c>
      <c r="F4397" s="456"/>
      <c r="G4397" s="456"/>
      <c r="H4397" s="456"/>
    </row>
    <row r="4398" spans="1:8">
      <c r="A4398" s="696">
        <v>5395</v>
      </c>
      <c r="B4398" s="469"/>
      <c r="C4398" s="458"/>
      <c r="D4398" s="456">
        <v>0</v>
      </c>
      <c r="E4398" s="456">
        <v>0</v>
      </c>
      <c r="F4398" s="456"/>
      <c r="G4398" s="456"/>
      <c r="H4398" s="456"/>
    </row>
    <row r="4399" spans="1:8">
      <c r="A4399" s="696">
        <v>5396</v>
      </c>
      <c r="B4399" s="469"/>
      <c r="C4399" s="458"/>
      <c r="D4399" s="456">
        <v>0</v>
      </c>
      <c r="E4399" s="456">
        <v>0</v>
      </c>
      <c r="F4399" s="456"/>
      <c r="G4399" s="456"/>
      <c r="H4399" s="456"/>
    </row>
    <row r="4400" spans="1:8">
      <c r="A4400" s="696">
        <v>5397</v>
      </c>
      <c r="B4400" s="469"/>
      <c r="C4400" s="458"/>
      <c r="D4400" s="456">
        <v>0</v>
      </c>
      <c r="E4400" s="456">
        <v>0</v>
      </c>
      <c r="F4400" s="456"/>
      <c r="G4400" s="456"/>
      <c r="H4400" s="456"/>
    </row>
    <row r="4401" spans="1:8">
      <c r="A4401" s="696">
        <v>5398</v>
      </c>
      <c r="B4401" s="469"/>
      <c r="C4401" s="458"/>
      <c r="D4401" s="456">
        <v>0</v>
      </c>
      <c r="E4401" s="456">
        <v>0</v>
      </c>
      <c r="F4401" s="456"/>
      <c r="G4401" s="456"/>
      <c r="H4401" s="456"/>
    </row>
    <row r="4402" spans="1:8">
      <c r="A4402" s="696">
        <v>5399</v>
      </c>
      <c r="B4402" s="469"/>
      <c r="C4402" s="458"/>
      <c r="D4402" s="456">
        <v>0</v>
      </c>
      <c r="E4402" s="456">
        <v>0</v>
      </c>
      <c r="F4402" s="456"/>
      <c r="G4402" s="456"/>
      <c r="H4402" s="456"/>
    </row>
    <row r="4403" spans="1:8">
      <c r="A4403" s="696">
        <v>5400</v>
      </c>
      <c r="B4403" s="469"/>
      <c r="C4403" s="458"/>
      <c r="D4403" s="456">
        <v>0</v>
      </c>
      <c r="E4403" s="456">
        <v>0</v>
      </c>
      <c r="F4403" s="456"/>
      <c r="G4403" s="456"/>
      <c r="H4403" s="456"/>
    </row>
    <row r="4404" spans="1:8">
      <c r="A4404" s="696">
        <v>5401</v>
      </c>
      <c r="B4404" s="469"/>
      <c r="C4404" s="458"/>
      <c r="D4404" s="456">
        <v>0</v>
      </c>
      <c r="E4404" s="456">
        <v>0</v>
      </c>
      <c r="F4404" s="456"/>
      <c r="G4404" s="456"/>
      <c r="H4404" s="456"/>
    </row>
    <row r="4405" spans="1:8">
      <c r="A4405" s="696">
        <v>5402</v>
      </c>
      <c r="B4405" s="469"/>
      <c r="C4405" s="458"/>
      <c r="D4405" s="456">
        <v>0</v>
      </c>
      <c r="E4405" s="456">
        <v>0</v>
      </c>
      <c r="F4405" s="456"/>
      <c r="G4405" s="456"/>
      <c r="H4405" s="456"/>
    </row>
    <row r="4406" spans="1:8">
      <c r="A4406" s="696">
        <v>5403</v>
      </c>
      <c r="B4406" s="469"/>
      <c r="C4406" s="458"/>
      <c r="D4406" s="456">
        <v>0</v>
      </c>
      <c r="E4406" s="456">
        <v>0</v>
      </c>
      <c r="F4406" s="456"/>
      <c r="G4406" s="456"/>
      <c r="H4406" s="456"/>
    </row>
    <row r="4407" spans="1:8">
      <c r="A4407" s="696">
        <v>5404</v>
      </c>
      <c r="B4407" s="469"/>
      <c r="C4407" s="458"/>
      <c r="D4407" s="456">
        <v>0</v>
      </c>
      <c r="E4407" s="456">
        <v>0</v>
      </c>
      <c r="F4407" s="456"/>
      <c r="G4407" s="456"/>
      <c r="H4407" s="456"/>
    </row>
    <row r="4408" spans="1:8">
      <c r="A4408" s="696">
        <v>5405</v>
      </c>
      <c r="B4408" s="469"/>
      <c r="C4408" s="458"/>
      <c r="D4408" s="456">
        <v>0</v>
      </c>
      <c r="E4408" s="456">
        <v>0</v>
      </c>
      <c r="F4408" s="456"/>
      <c r="G4408" s="456"/>
      <c r="H4408" s="456"/>
    </row>
    <row r="4409" spans="1:8">
      <c r="A4409" s="696">
        <v>5406</v>
      </c>
      <c r="B4409" s="469"/>
      <c r="C4409" s="458"/>
      <c r="D4409" s="456">
        <v>0</v>
      </c>
      <c r="E4409" s="456">
        <v>0</v>
      </c>
      <c r="F4409" s="456"/>
      <c r="G4409" s="456"/>
      <c r="H4409" s="456"/>
    </row>
    <row r="4410" spans="1:8">
      <c r="A4410" s="696">
        <v>5407</v>
      </c>
      <c r="B4410" s="469"/>
      <c r="C4410" s="458"/>
      <c r="D4410" s="456">
        <v>0</v>
      </c>
      <c r="E4410" s="456">
        <v>0</v>
      </c>
      <c r="F4410" s="456"/>
      <c r="G4410" s="456"/>
      <c r="H4410" s="456"/>
    </row>
    <row r="4411" spans="1:8">
      <c r="A4411" s="696">
        <v>5408</v>
      </c>
      <c r="B4411" s="469"/>
      <c r="C4411" s="458"/>
      <c r="D4411" s="456">
        <v>0</v>
      </c>
      <c r="E4411" s="456">
        <v>0</v>
      </c>
      <c r="F4411" s="456"/>
      <c r="G4411" s="456"/>
      <c r="H4411" s="456"/>
    </row>
    <row r="4412" spans="1:8">
      <c r="A4412" s="696">
        <v>5409</v>
      </c>
      <c r="B4412" s="469"/>
      <c r="C4412" s="458"/>
      <c r="D4412" s="456">
        <v>0</v>
      </c>
      <c r="E4412" s="456">
        <v>0</v>
      </c>
      <c r="F4412" s="456"/>
      <c r="G4412" s="456"/>
      <c r="H4412" s="456"/>
    </row>
    <row r="4413" spans="1:8">
      <c r="A4413" s="696">
        <v>5410</v>
      </c>
      <c r="B4413" s="469"/>
      <c r="C4413" s="458"/>
      <c r="D4413" s="456">
        <v>0</v>
      </c>
      <c r="E4413" s="456">
        <v>0</v>
      </c>
      <c r="F4413" s="456"/>
      <c r="G4413" s="456"/>
      <c r="H4413" s="456"/>
    </row>
    <row r="4414" spans="1:8">
      <c r="A4414" s="696">
        <v>5411</v>
      </c>
      <c r="B4414" s="469"/>
      <c r="C4414" s="458"/>
      <c r="D4414" s="456">
        <v>0</v>
      </c>
      <c r="E4414" s="456">
        <v>0</v>
      </c>
      <c r="F4414" s="456"/>
      <c r="G4414" s="456"/>
      <c r="H4414" s="456"/>
    </row>
    <row r="4415" spans="1:8">
      <c r="A4415" s="696">
        <v>5412</v>
      </c>
      <c r="B4415" s="469"/>
      <c r="C4415" s="458"/>
      <c r="D4415" s="456">
        <v>0</v>
      </c>
      <c r="E4415" s="456">
        <v>0</v>
      </c>
      <c r="F4415" s="456"/>
      <c r="G4415" s="456"/>
      <c r="H4415" s="456"/>
    </row>
    <row r="4416" spans="1:8">
      <c r="A4416" s="696">
        <v>5413</v>
      </c>
      <c r="B4416" s="469"/>
      <c r="C4416" s="458"/>
      <c r="D4416" s="456">
        <v>0</v>
      </c>
      <c r="E4416" s="456">
        <v>0</v>
      </c>
      <c r="F4416" s="456"/>
      <c r="G4416" s="456"/>
      <c r="H4416" s="456"/>
    </row>
    <row r="4417" spans="1:8">
      <c r="A4417" s="696">
        <v>5414</v>
      </c>
      <c r="B4417" s="469"/>
      <c r="C4417" s="458"/>
      <c r="D4417" s="456">
        <v>0</v>
      </c>
      <c r="E4417" s="456">
        <v>0</v>
      </c>
      <c r="F4417" s="456"/>
      <c r="G4417" s="456"/>
      <c r="H4417" s="456"/>
    </row>
    <row r="4418" spans="1:8">
      <c r="A4418" s="696">
        <v>5415</v>
      </c>
      <c r="B4418" s="469"/>
      <c r="C4418" s="458"/>
      <c r="D4418" s="456">
        <v>0</v>
      </c>
      <c r="E4418" s="456">
        <v>0</v>
      </c>
      <c r="F4418" s="456"/>
      <c r="G4418" s="456"/>
      <c r="H4418" s="456"/>
    </row>
    <row r="4419" spans="1:8">
      <c r="A4419" s="696">
        <v>5416</v>
      </c>
      <c r="B4419" s="469"/>
      <c r="C4419" s="458"/>
      <c r="D4419" s="456">
        <v>0</v>
      </c>
      <c r="E4419" s="456">
        <v>0</v>
      </c>
      <c r="F4419" s="456"/>
      <c r="G4419" s="456"/>
      <c r="H4419" s="456"/>
    </row>
    <row r="4420" spans="1:8">
      <c r="A4420" s="696">
        <v>5417</v>
      </c>
      <c r="B4420" s="469"/>
      <c r="C4420" s="458"/>
      <c r="D4420" s="456">
        <v>0</v>
      </c>
      <c r="E4420" s="456">
        <v>0</v>
      </c>
      <c r="F4420" s="456"/>
      <c r="G4420" s="456"/>
      <c r="H4420" s="456"/>
    </row>
    <row r="4421" spans="1:8">
      <c r="A4421" s="696">
        <v>5418</v>
      </c>
      <c r="B4421" s="469"/>
      <c r="C4421" s="458"/>
      <c r="D4421" s="456">
        <v>0</v>
      </c>
      <c r="E4421" s="456">
        <v>0</v>
      </c>
      <c r="F4421" s="456"/>
      <c r="G4421" s="456"/>
      <c r="H4421" s="456"/>
    </row>
    <row r="4422" spans="1:8">
      <c r="A4422" s="696">
        <v>5419</v>
      </c>
      <c r="B4422" s="469"/>
      <c r="C4422" s="458"/>
      <c r="D4422" s="456">
        <v>0</v>
      </c>
      <c r="E4422" s="456">
        <v>0</v>
      </c>
      <c r="F4422" s="456"/>
      <c r="G4422" s="456"/>
      <c r="H4422" s="456"/>
    </row>
    <row r="4423" spans="1:8">
      <c r="A4423" s="696">
        <v>5420</v>
      </c>
      <c r="B4423" s="469"/>
      <c r="C4423" s="458"/>
      <c r="D4423" s="456">
        <v>0</v>
      </c>
      <c r="E4423" s="456">
        <v>0</v>
      </c>
      <c r="F4423" s="456"/>
      <c r="G4423" s="456"/>
      <c r="H4423" s="456"/>
    </row>
    <row r="4424" spans="1:8">
      <c r="A4424" s="696">
        <v>5421</v>
      </c>
      <c r="B4424" s="469"/>
      <c r="C4424" s="458"/>
      <c r="D4424" s="456">
        <v>0</v>
      </c>
      <c r="E4424" s="456">
        <v>0</v>
      </c>
      <c r="F4424" s="456"/>
      <c r="G4424" s="456"/>
      <c r="H4424" s="456"/>
    </row>
    <row r="4425" spans="1:8">
      <c r="A4425" s="696">
        <v>5422</v>
      </c>
      <c r="B4425" s="469"/>
      <c r="C4425" s="458"/>
      <c r="D4425" s="456">
        <v>0</v>
      </c>
      <c r="E4425" s="456">
        <v>0</v>
      </c>
      <c r="F4425" s="456"/>
      <c r="G4425" s="456"/>
      <c r="H4425" s="456"/>
    </row>
    <row r="4426" spans="1:8">
      <c r="A4426" s="696">
        <v>5423</v>
      </c>
      <c r="B4426" s="469"/>
      <c r="C4426" s="458"/>
      <c r="D4426" s="456">
        <v>0</v>
      </c>
      <c r="E4426" s="456">
        <v>0</v>
      </c>
      <c r="F4426" s="456"/>
      <c r="G4426" s="456"/>
      <c r="H4426" s="456"/>
    </row>
    <row r="4427" spans="1:8">
      <c r="A4427" s="696">
        <v>5424</v>
      </c>
      <c r="B4427" s="469"/>
      <c r="C4427" s="458"/>
      <c r="D4427" s="456">
        <v>0</v>
      </c>
      <c r="E4427" s="456">
        <v>0</v>
      </c>
      <c r="F4427" s="456"/>
      <c r="G4427" s="456"/>
      <c r="H4427" s="456"/>
    </row>
    <row r="4428" spans="1:8">
      <c r="A4428" s="696">
        <v>5425</v>
      </c>
      <c r="B4428" s="469"/>
      <c r="C4428" s="458"/>
      <c r="D4428" s="456">
        <v>0</v>
      </c>
      <c r="E4428" s="456">
        <v>0</v>
      </c>
      <c r="F4428" s="456"/>
      <c r="G4428" s="456"/>
      <c r="H4428" s="456"/>
    </row>
    <row r="4429" spans="1:8">
      <c r="A4429" s="696">
        <v>5426</v>
      </c>
      <c r="B4429" s="469"/>
      <c r="C4429" s="458"/>
      <c r="D4429" s="456">
        <v>0</v>
      </c>
      <c r="E4429" s="456">
        <v>0</v>
      </c>
      <c r="F4429" s="456"/>
      <c r="G4429" s="456"/>
      <c r="H4429" s="456"/>
    </row>
    <row r="4430" spans="1:8">
      <c r="A4430" s="696">
        <v>5427</v>
      </c>
      <c r="B4430" s="469"/>
      <c r="C4430" s="458"/>
      <c r="D4430" s="456">
        <v>0</v>
      </c>
      <c r="E4430" s="456">
        <v>0</v>
      </c>
      <c r="F4430" s="456"/>
      <c r="G4430" s="456"/>
      <c r="H4430" s="456"/>
    </row>
    <row r="4431" spans="1:8">
      <c r="A4431" s="696">
        <v>5428</v>
      </c>
      <c r="B4431" s="469"/>
      <c r="C4431" s="458"/>
      <c r="D4431" s="456">
        <v>0</v>
      </c>
      <c r="E4431" s="456">
        <v>0</v>
      </c>
      <c r="F4431" s="456"/>
      <c r="G4431" s="456"/>
      <c r="H4431" s="456"/>
    </row>
    <row r="4432" spans="1:8">
      <c r="A4432" s="696">
        <v>5429</v>
      </c>
      <c r="B4432" s="469"/>
      <c r="C4432" s="458"/>
      <c r="D4432" s="456">
        <v>0</v>
      </c>
      <c r="E4432" s="456">
        <v>0</v>
      </c>
      <c r="F4432" s="456"/>
      <c r="G4432" s="456"/>
      <c r="H4432" s="456"/>
    </row>
    <row r="4433" spans="1:8">
      <c r="A4433" s="696">
        <v>5430</v>
      </c>
      <c r="B4433" s="469"/>
      <c r="C4433" s="458"/>
      <c r="D4433" s="456">
        <v>0</v>
      </c>
      <c r="E4433" s="456">
        <v>0</v>
      </c>
      <c r="F4433" s="456"/>
      <c r="G4433" s="456"/>
      <c r="H4433" s="456"/>
    </row>
    <row r="4434" spans="1:8">
      <c r="A4434" s="696">
        <v>5431</v>
      </c>
      <c r="B4434" s="469"/>
      <c r="C4434" s="458"/>
      <c r="D4434" s="456">
        <v>0</v>
      </c>
      <c r="E4434" s="456">
        <v>0</v>
      </c>
      <c r="F4434" s="456"/>
      <c r="G4434" s="456"/>
      <c r="H4434" s="456"/>
    </row>
    <row r="4435" spans="1:8">
      <c r="A4435" s="696">
        <v>5432</v>
      </c>
      <c r="B4435" s="469"/>
      <c r="C4435" s="458"/>
      <c r="D4435" s="456">
        <v>0</v>
      </c>
      <c r="E4435" s="456">
        <v>0</v>
      </c>
      <c r="F4435" s="456"/>
      <c r="G4435" s="456"/>
      <c r="H4435" s="456"/>
    </row>
    <row r="4436" spans="1:8">
      <c r="A4436" s="696">
        <v>5433</v>
      </c>
      <c r="B4436" s="469"/>
      <c r="C4436" s="458"/>
      <c r="D4436" s="456">
        <v>0</v>
      </c>
      <c r="E4436" s="456">
        <v>0</v>
      </c>
      <c r="F4436" s="456"/>
      <c r="G4436" s="456"/>
      <c r="H4436" s="456"/>
    </row>
    <row r="4437" spans="1:8">
      <c r="A4437" s="696">
        <v>5434</v>
      </c>
      <c r="B4437" s="469"/>
      <c r="C4437" s="458"/>
      <c r="D4437" s="456">
        <v>0</v>
      </c>
      <c r="E4437" s="456">
        <v>0</v>
      </c>
      <c r="F4437" s="456"/>
      <c r="G4437" s="456"/>
      <c r="H4437" s="456"/>
    </row>
    <row r="4438" spans="1:8">
      <c r="A4438" s="696">
        <v>5435</v>
      </c>
      <c r="B4438" s="469"/>
      <c r="C4438" s="458"/>
      <c r="D4438" s="456">
        <v>0</v>
      </c>
      <c r="E4438" s="456">
        <v>0</v>
      </c>
      <c r="F4438" s="456"/>
      <c r="G4438" s="456"/>
      <c r="H4438" s="456"/>
    </row>
    <row r="4439" spans="1:8">
      <c r="A4439" s="696">
        <v>5436</v>
      </c>
      <c r="B4439" s="469"/>
      <c r="C4439" s="458"/>
      <c r="D4439" s="456">
        <v>0</v>
      </c>
      <c r="E4439" s="456">
        <v>0</v>
      </c>
      <c r="F4439" s="456"/>
      <c r="G4439" s="456"/>
      <c r="H4439" s="456"/>
    </row>
    <row r="4440" spans="1:8">
      <c r="A4440" s="696">
        <v>5437</v>
      </c>
      <c r="B4440" s="469"/>
      <c r="C4440" s="458"/>
      <c r="D4440" s="456">
        <v>0</v>
      </c>
      <c r="E4440" s="456">
        <v>0</v>
      </c>
      <c r="F4440" s="456"/>
      <c r="G4440" s="456"/>
      <c r="H4440" s="456"/>
    </row>
    <row r="4441" spans="1:8">
      <c r="A4441" s="696">
        <v>5438</v>
      </c>
      <c r="B4441" s="469"/>
      <c r="C4441" s="458"/>
      <c r="D4441" s="456">
        <v>0</v>
      </c>
      <c r="E4441" s="456">
        <v>0</v>
      </c>
      <c r="F4441" s="456"/>
      <c r="G4441" s="456"/>
      <c r="H4441" s="456"/>
    </row>
    <row r="4442" spans="1:8">
      <c r="A4442" s="696">
        <v>5439</v>
      </c>
      <c r="B4442" s="469"/>
      <c r="C4442" s="458"/>
      <c r="D4442" s="456">
        <v>0</v>
      </c>
      <c r="E4442" s="456">
        <v>0</v>
      </c>
      <c r="F4442" s="456"/>
      <c r="G4442" s="456"/>
      <c r="H4442" s="456"/>
    </row>
    <row r="4443" spans="1:8">
      <c r="A4443" s="696">
        <v>5440</v>
      </c>
      <c r="B4443" s="469"/>
      <c r="C4443" s="458"/>
      <c r="D4443" s="456">
        <v>0</v>
      </c>
      <c r="E4443" s="456">
        <v>0</v>
      </c>
      <c r="F4443" s="456"/>
      <c r="G4443" s="456"/>
      <c r="H4443" s="456"/>
    </row>
    <row r="4444" spans="1:8">
      <c r="A4444" s="696">
        <v>5441</v>
      </c>
      <c r="B4444" s="469"/>
      <c r="C4444" s="458"/>
      <c r="D4444" s="456">
        <v>0</v>
      </c>
      <c r="E4444" s="456">
        <v>0</v>
      </c>
      <c r="F4444" s="456"/>
      <c r="G4444" s="456"/>
      <c r="H4444" s="456"/>
    </row>
    <row r="4445" spans="1:8">
      <c r="A4445" s="696">
        <v>5442</v>
      </c>
      <c r="B4445" s="469"/>
      <c r="C4445" s="458"/>
      <c r="D4445" s="456">
        <v>0</v>
      </c>
      <c r="E4445" s="456">
        <v>0</v>
      </c>
      <c r="F4445" s="456"/>
      <c r="G4445" s="456"/>
      <c r="H4445" s="456"/>
    </row>
    <row r="4446" spans="1:8">
      <c r="A4446" s="696">
        <v>5443</v>
      </c>
      <c r="B4446" s="469"/>
      <c r="C4446" s="458"/>
      <c r="D4446" s="456">
        <v>0</v>
      </c>
      <c r="E4446" s="456">
        <v>0</v>
      </c>
      <c r="F4446" s="456"/>
      <c r="G4446" s="456"/>
      <c r="H4446" s="456"/>
    </row>
    <row r="4447" spans="1:8">
      <c r="A4447" s="696">
        <v>5444</v>
      </c>
      <c r="B4447" s="469"/>
      <c r="C4447" s="458"/>
      <c r="D4447" s="456">
        <v>0</v>
      </c>
      <c r="E4447" s="456">
        <v>0</v>
      </c>
      <c r="F4447" s="456"/>
      <c r="G4447" s="456"/>
      <c r="H4447" s="456"/>
    </row>
    <row r="4448" spans="1:8">
      <c r="A4448" s="696">
        <v>5445</v>
      </c>
      <c r="B4448" s="469"/>
      <c r="C4448" s="458"/>
      <c r="D4448" s="456">
        <v>0</v>
      </c>
      <c r="E4448" s="456">
        <v>0</v>
      </c>
      <c r="F4448" s="456"/>
      <c r="G4448" s="456"/>
      <c r="H4448" s="456"/>
    </row>
    <row r="4449" spans="1:8">
      <c r="A4449" s="696">
        <v>5446</v>
      </c>
      <c r="B4449" s="469"/>
      <c r="C4449" s="458"/>
      <c r="D4449" s="456">
        <v>0</v>
      </c>
      <c r="E4449" s="456">
        <v>0</v>
      </c>
      <c r="F4449" s="456"/>
      <c r="G4449" s="456"/>
      <c r="H4449" s="456"/>
    </row>
    <row r="4450" spans="1:8">
      <c r="A4450" s="696">
        <v>5447</v>
      </c>
      <c r="B4450" s="469"/>
      <c r="C4450" s="458"/>
      <c r="D4450" s="456">
        <v>0</v>
      </c>
      <c r="E4450" s="456">
        <v>0</v>
      </c>
      <c r="F4450" s="456"/>
      <c r="G4450" s="456"/>
      <c r="H4450" s="456"/>
    </row>
    <row r="4451" spans="1:8">
      <c r="A4451" s="696">
        <v>5448</v>
      </c>
      <c r="B4451" s="469"/>
      <c r="C4451" s="458"/>
      <c r="D4451" s="456">
        <v>0</v>
      </c>
      <c r="E4451" s="456">
        <v>0</v>
      </c>
      <c r="F4451" s="456"/>
      <c r="G4451" s="456"/>
      <c r="H4451" s="456"/>
    </row>
    <row r="4452" spans="1:8">
      <c r="A4452" s="696">
        <v>5449</v>
      </c>
      <c r="B4452" s="469"/>
      <c r="C4452" s="458"/>
      <c r="D4452" s="456">
        <v>0</v>
      </c>
      <c r="E4452" s="456">
        <v>0</v>
      </c>
      <c r="F4452" s="456"/>
      <c r="G4452" s="456"/>
      <c r="H4452" s="456"/>
    </row>
    <row r="4453" spans="1:8">
      <c r="A4453" s="696">
        <v>5450</v>
      </c>
      <c r="B4453" s="469"/>
      <c r="C4453" s="458"/>
      <c r="D4453" s="456">
        <v>0</v>
      </c>
      <c r="E4453" s="456">
        <v>0</v>
      </c>
      <c r="F4453" s="456"/>
      <c r="G4453" s="456"/>
      <c r="H4453" s="456"/>
    </row>
    <row r="4454" spans="1:8">
      <c r="A4454" s="696">
        <v>5451</v>
      </c>
      <c r="B4454" s="469"/>
      <c r="C4454" s="458"/>
      <c r="D4454" s="456">
        <v>0</v>
      </c>
      <c r="E4454" s="456">
        <v>0</v>
      </c>
      <c r="F4454" s="456"/>
      <c r="G4454" s="456"/>
      <c r="H4454" s="456"/>
    </row>
    <row r="4455" spans="1:8">
      <c r="A4455" s="696">
        <v>5452</v>
      </c>
      <c r="B4455" s="469"/>
      <c r="C4455" s="458"/>
      <c r="D4455" s="456">
        <v>0</v>
      </c>
      <c r="E4455" s="456">
        <v>0</v>
      </c>
      <c r="F4455" s="456"/>
      <c r="G4455" s="456"/>
      <c r="H4455" s="456"/>
    </row>
    <row r="4456" spans="1:8">
      <c r="A4456" s="696">
        <v>5453</v>
      </c>
      <c r="B4456" s="469"/>
      <c r="C4456" s="458"/>
      <c r="D4456" s="456">
        <v>0</v>
      </c>
      <c r="E4456" s="456">
        <v>0</v>
      </c>
      <c r="F4456" s="456"/>
      <c r="G4456" s="456"/>
      <c r="H4456" s="456"/>
    </row>
    <row r="4457" spans="1:8">
      <c r="A4457" s="696">
        <v>5454</v>
      </c>
      <c r="B4457" s="469"/>
      <c r="C4457" s="458"/>
      <c r="D4457" s="456">
        <v>0</v>
      </c>
      <c r="E4457" s="456">
        <v>0</v>
      </c>
      <c r="F4457" s="456"/>
      <c r="G4457" s="456"/>
      <c r="H4457" s="456"/>
    </row>
    <row r="4458" spans="1:8">
      <c r="A4458" s="696">
        <v>5455</v>
      </c>
      <c r="B4458" s="469"/>
      <c r="C4458" s="458"/>
      <c r="D4458" s="456">
        <v>0</v>
      </c>
      <c r="E4458" s="456">
        <v>0</v>
      </c>
      <c r="F4458" s="456"/>
      <c r="G4458" s="456"/>
      <c r="H4458" s="456"/>
    </row>
    <row r="4459" spans="1:8">
      <c r="A4459" s="696">
        <v>5456</v>
      </c>
      <c r="B4459" s="469"/>
      <c r="C4459" s="458"/>
      <c r="D4459" s="456">
        <v>0</v>
      </c>
      <c r="E4459" s="456">
        <v>0</v>
      </c>
      <c r="F4459" s="456"/>
      <c r="G4459" s="456"/>
      <c r="H4459" s="456"/>
    </row>
    <row r="4460" spans="1:8">
      <c r="A4460" s="696">
        <v>5457</v>
      </c>
      <c r="B4460" s="469"/>
      <c r="C4460" s="458"/>
      <c r="D4460" s="456">
        <v>0</v>
      </c>
      <c r="E4460" s="456">
        <v>0</v>
      </c>
      <c r="F4460" s="456"/>
      <c r="G4460" s="456"/>
      <c r="H4460" s="456"/>
    </row>
    <row r="4461" spans="1:8">
      <c r="A4461" s="696">
        <v>5458</v>
      </c>
      <c r="B4461" s="469"/>
      <c r="C4461" s="458"/>
      <c r="D4461" s="456">
        <v>0</v>
      </c>
      <c r="E4461" s="456">
        <v>0</v>
      </c>
      <c r="F4461" s="456"/>
      <c r="G4461" s="456"/>
      <c r="H4461" s="456"/>
    </row>
    <row r="4462" spans="1:8">
      <c r="A4462" s="696">
        <v>5459</v>
      </c>
      <c r="B4462" s="469"/>
      <c r="C4462" s="458"/>
      <c r="D4462" s="456">
        <v>0</v>
      </c>
      <c r="E4462" s="456">
        <v>0</v>
      </c>
      <c r="F4462" s="456"/>
      <c r="G4462" s="456"/>
      <c r="H4462" s="456"/>
    </row>
    <row r="4463" spans="1:8">
      <c r="A4463" s="696">
        <v>5460</v>
      </c>
      <c r="B4463" s="469"/>
      <c r="C4463" s="458"/>
      <c r="D4463" s="456">
        <v>0</v>
      </c>
      <c r="E4463" s="456">
        <v>0</v>
      </c>
      <c r="F4463" s="456"/>
      <c r="G4463" s="456"/>
      <c r="H4463" s="456"/>
    </row>
    <row r="4464" spans="1:8">
      <c r="A4464" s="696">
        <v>5461</v>
      </c>
      <c r="B4464" s="469"/>
      <c r="C4464" s="458"/>
      <c r="D4464" s="456">
        <v>0</v>
      </c>
      <c r="E4464" s="456">
        <v>0</v>
      </c>
      <c r="F4464" s="456"/>
      <c r="G4464" s="456"/>
      <c r="H4464" s="456"/>
    </row>
    <row r="4465" spans="1:8">
      <c r="A4465" s="696">
        <v>5462</v>
      </c>
      <c r="B4465" s="469"/>
      <c r="C4465" s="458"/>
      <c r="D4465" s="456">
        <v>0</v>
      </c>
      <c r="E4465" s="456">
        <v>0</v>
      </c>
      <c r="F4465" s="456"/>
      <c r="G4465" s="456"/>
      <c r="H4465" s="456"/>
    </row>
    <row r="4466" spans="1:8">
      <c r="A4466" s="696">
        <v>5463</v>
      </c>
      <c r="B4466" s="469"/>
      <c r="C4466" s="458"/>
      <c r="D4466" s="456">
        <v>0</v>
      </c>
      <c r="E4466" s="456">
        <v>0</v>
      </c>
      <c r="F4466" s="456"/>
      <c r="G4466" s="456"/>
      <c r="H4466" s="456"/>
    </row>
    <row r="4467" spans="1:8">
      <c r="A4467" s="696">
        <v>5464</v>
      </c>
      <c r="B4467" s="469"/>
      <c r="C4467" s="458"/>
      <c r="D4467" s="456">
        <v>0</v>
      </c>
      <c r="E4467" s="456">
        <v>0</v>
      </c>
      <c r="F4467" s="456"/>
      <c r="G4467" s="456"/>
      <c r="H4467" s="456"/>
    </row>
    <row r="4468" spans="1:8">
      <c r="A4468" s="696">
        <v>5465</v>
      </c>
      <c r="B4468" s="469"/>
      <c r="C4468" s="458"/>
      <c r="D4468" s="456">
        <v>0</v>
      </c>
      <c r="E4468" s="456">
        <v>0</v>
      </c>
      <c r="F4468" s="456"/>
      <c r="G4468" s="456"/>
      <c r="H4468" s="456"/>
    </row>
    <row r="4469" spans="1:8">
      <c r="A4469" s="696">
        <v>5466</v>
      </c>
      <c r="B4469" s="469"/>
      <c r="C4469" s="458"/>
      <c r="D4469" s="456">
        <v>0</v>
      </c>
      <c r="E4469" s="456">
        <v>0</v>
      </c>
      <c r="F4469" s="456"/>
      <c r="G4469" s="456"/>
      <c r="H4469" s="456"/>
    </row>
    <row r="4470" spans="1:8">
      <c r="A4470" s="696">
        <v>5467</v>
      </c>
      <c r="B4470" s="469"/>
      <c r="C4470" s="458"/>
      <c r="D4470" s="456">
        <v>0</v>
      </c>
      <c r="E4470" s="456">
        <v>0</v>
      </c>
      <c r="F4470" s="456"/>
      <c r="G4470" s="456"/>
      <c r="H4470" s="456"/>
    </row>
    <row r="4471" spans="1:8">
      <c r="A4471" s="696">
        <v>5468</v>
      </c>
      <c r="B4471" s="469"/>
      <c r="C4471" s="458"/>
      <c r="D4471" s="456">
        <v>0</v>
      </c>
      <c r="E4471" s="456">
        <v>0</v>
      </c>
      <c r="F4471" s="456"/>
      <c r="G4471" s="456"/>
      <c r="H4471" s="456"/>
    </row>
    <row r="4472" spans="1:8">
      <c r="A4472" s="696">
        <v>5469</v>
      </c>
      <c r="B4472" s="469"/>
      <c r="C4472" s="458"/>
      <c r="D4472" s="456">
        <v>0</v>
      </c>
      <c r="E4472" s="456">
        <v>0</v>
      </c>
      <c r="F4472" s="456"/>
      <c r="G4472" s="456"/>
      <c r="H4472" s="456"/>
    </row>
    <row r="4473" spans="1:8">
      <c r="A4473" s="696">
        <v>5470</v>
      </c>
      <c r="B4473" s="469"/>
      <c r="C4473" s="458"/>
      <c r="D4473" s="456">
        <v>0</v>
      </c>
      <c r="E4473" s="456">
        <v>0</v>
      </c>
      <c r="F4473" s="456"/>
      <c r="G4473" s="456"/>
      <c r="H4473" s="456"/>
    </row>
    <row r="4474" spans="1:8">
      <c r="A4474" s="696">
        <v>5471</v>
      </c>
      <c r="B4474" s="469"/>
      <c r="C4474" s="458"/>
      <c r="D4474" s="456">
        <v>0</v>
      </c>
      <c r="E4474" s="456">
        <v>0</v>
      </c>
      <c r="F4474" s="456"/>
      <c r="G4474" s="456"/>
      <c r="H4474" s="456"/>
    </row>
    <row r="4475" spans="1:8">
      <c r="A4475" s="696">
        <v>5472</v>
      </c>
      <c r="B4475" s="469"/>
      <c r="C4475" s="458"/>
      <c r="D4475" s="456">
        <v>0</v>
      </c>
      <c r="E4475" s="456">
        <v>0</v>
      </c>
      <c r="F4475" s="456"/>
      <c r="G4475" s="456"/>
      <c r="H4475" s="456"/>
    </row>
    <row r="4476" spans="1:8">
      <c r="A4476" s="696">
        <v>5473</v>
      </c>
      <c r="B4476" s="469"/>
      <c r="C4476" s="458"/>
      <c r="D4476" s="456">
        <v>0</v>
      </c>
      <c r="E4476" s="456">
        <v>0</v>
      </c>
      <c r="F4476" s="456"/>
      <c r="G4476" s="456"/>
      <c r="H4476" s="456"/>
    </row>
    <row r="4477" spans="1:8">
      <c r="A4477" s="696">
        <v>5474</v>
      </c>
      <c r="B4477" s="469"/>
      <c r="C4477" s="458"/>
      <c r="D4477" s="456">
        <v>0</v>
      </c>
      <c r="E4477" s="456">
        <v>0</v>
      </c>
      <c r="F4477" s="456"/>
      <c r="G4477" s="456"/>
      <c r="H4477" s="456"/>
    </row>
    <row r="4478" spans="1:8">
      <c r="A4478" s="696">
        <v>5475</v>
      </c>
      <c r="B4478" s="469"/>
      <c r="C4478" s="458"/>
      <c r="D4478" s="456">
        <v>0</v>
      </c>
      <c r="E4478" s="456">
        <v>0</v>
      </c>
      <c r="F4478" s="456"/>
      <c r="G4478" s="456"/>
      <c r="H4478" s="456"/>
    </row>
    <row r="4479" spans="1:8">
      <c r="A4479" s="696">
        <v>5476</v>
      </c>
      <c r="B4479" s="469"/>
      <c r="C4479" s="458"/>
      <c r="D4479" s="456">
        <v>0</v>
      </c>
      <c r="E4479" s="456">
        <v>0</v>
      </c>
      <c r="F4479" s="456"/>
      <c r="G4479" s="456"/>
      <c r="H4479" s="456"/>
    </row>
    <row r="4480" spans="1:8">
      <c r="A4480" s="696">
        <v>5477</v>
      </c>
      <c r="B4480" s="469"/>
      <c r="C4480" s="458"/>
      <c r="D4480" s="456">
        <v>0</v>
      </c>
      <c r="E4480" s="456">
        <v>0</v>
      </c>
      <c r="F4480" s="456"/>
      <c r="G4480" s="456"/>
      <c r="H4480" s="456"/>
    </row>
    <row r="4481" spans="1:8">
      <c r="A4481" s="696">
        <v>5478</v>
      </c>
      <c r="B4481" s="469"/>
      <c r="C4481" s="458"/>
      <c r="D4481" s="456">
        <v>0</v>
      </c>
      <c r="E4481" s="456">
        <v>0</v>
      </c>
      <c r="F4481" s="456"/>
      <c r="G4481" s="456"/>
      <c r="H4481" s="456"/>
    </row>
    <row r="4482" spans="1:8">
      <c r="A4482" s="696">
        <v>5479</v>
      </c>
      <c r="B4482" s="469"/>
      <c r="C4482" s="458"/>
      <c r="D4482" s="456">
        <v>0</v>
      </c>
      <c r="E4482" s="456">
        <v>0</v>
      </c>
      <c r="F4482" s="456"/>
      <c r="G4482" s="456"/>
      <c r="H4482" s="456"/>
    </row>
    <row r="4483" spans="1:8">
      <c r="A4483" s="696">
        <v>5480</v>
      </c>
      <c r="B4483" s="469"/>
      <c r="C4483" s="458"/>
      <c r="D4483" s="456">
        <v>0</v>
      </c>
      <c r="E4483" s="456">
        <v>0</v>
      </c>
      <c r="F4483" s="456"/>
      <c r="G4483" s="456"/>
      <c r="H4483" s="456"/>
    </row>
    <row r="4484" spans="1:8">
      <c r="A4484" s="696">
        <v>5481</v>
      </c>
      <c r="B4484" s="469"/>
      <c r="C4484" s="458"/>
      <c r="D4484" s="456">
        <v>0</v>
      </c>
      <c r="E4484" s="456">
        <v>0</v>
      </c>
      <c r="F4484" s="456"/>
      <c r="G4484" s="456"/>
      <c r="H4484" s="456"/>
    </row>
    <row r="4485" spans="1:8">
      <c r="A4485" s="696">
        <v>5482</v>
      </c>
      <c r="B4485" s="469"/>
      <c r="C4485" s="458"/>
      <c r="D4485" s="456">
        <v>0</v>
      </c>
      <c r="E4485" s="456">
        <v>0</v>
      </c>
      <c r="F4485" s="456"/>
      <c r="G4485" s="456"/>
      <c r="H4485" s="456"/>
    </row>
    <row r="4486" spans="1:8">
      <c r="A4486" s="696">
        <v>5483</v>
      </c>
      <c r="B4486" s="469"/>
      <c r="C4486" s="458"/>
      <c r="D4486" s="456">
        <v>0</v>
      </c>
      <c r="E4486" s="456">
        <v>0</v>
      </c>
      <c r="F4486" s="456"/>
      <c r="G4486" s="456"/>
      <c r="H4486" s="456"/>
    </row>
    <row r="4487" spans="1:8">
      <c r="A4487" s="696">
        <v>5484</v>
      </c>
      <c r="B4487" s="469"/>
      <c r="C4487" s="458"/>
      <c r="D4487" s="456">
        <v>0</v>
      </c>
      <c r="E4487" s="456">
        <v>0</v>
      </c>
      <c r="F4487" s="456"/>
      <c r="G4487" s="456"/>
      <c r="H4487" s="456"/>
    </row>
    <row r="4488" spans="1:8">
      <c r="A4488" s="696">
        <v>5485</v>
      </c>
      <c r="B4488" s="469"/>
      <c r="C4488" s="458"/>
      <c r="D4488" s="456">
        <v>0</v>
      </c>
      <c r="E4488" s="456">
        <v>0</v>
      </c>
      <c r="F4488" s="456"/>
      <c r="G4488" s="456"/>
      <c r="H4488" s="456"/>
    </row>
    <row r="4489" spans="1:8">
      <c r="A4489" s="696">
        <v>5486</v>
      </c>
      <c r="B4489" s="469"/>
      <c r="C4489" s="458"/>
      <c r="D4489" s="456">
        <v>0</v>
      </c>
      <c r="E4489" s="456">
        <v>0</v>
      </c>
      <c r="F4489" s="456"/>
      <c r="G4489" s="456"/>
      <c r="H4489" s="456"/>
    </row>
    <row r="4490" spans="1:8">
      <c r="A4490" s="696">
        <v>5487</v>
      </c>
      <c r="B4490" s="469"/>
      <c r="C4490" s="458"/>
      <c r="D4490" s="456">
        <v>0</v>
      </c>
      <c r="E4490" s="456">
        <v>0</v>
      </c>
      <c r="F4490" s="456"/>
      <c r="G4490" s="456"/>
      <c r="H4490" s="456"/>
    </row>
    <row r="4491" spans="1:8">
      <c r="A4491" s="696">
        <v>5488</v>
      </c>
      <c r="B4491" s="469"/>
      <c r="C4491" s="458"/>
      <c r="D4491" s="456">
        <v>0</v>
      </c>
      <c r="E4491" s="456">
        <v>0</v>
      </c>
      <c r="F4491" s="456"/>
      <c r="G4491" s="456"/>
      <c r="H4491" s="456"/>
    </row>
    <row r="4492" spans="1:8">
      <c r="A4492" s="696">
        <v>5489</v>
      </c>
      <c r="B4492" s="469"/>
      <c r="C4492" s="458"/>
      <c r="D4492" s="456">
        <v>0</v>
      </c>
      <c r="E4492" s="456">
        <v>0</v>
      </c>
      <c r="F4492" s="456"/>
      <c r="G4492" s="456"/>
      <c r="H4492" s="456"/>
    </row>
    <row r="4493" spans="1:8">
      <c r="A4493" s="696">
        <v>5490</v>
      </c>
      <c r="B4493" s="469"/>
      <c r="C4493" s="458"/>
      <c r="D4493" s="456">
        <v>0</v>
      </c>
      <c r="E4493" s="456">
        <v>0</v>
      </c>
      <c r="F4493" s="456"/>
      <c r="G4493" s="456"/>
      <c r="H4493" s="456"/>
    </row>
    <row r="4494" spans="1:8">
      <c r="A4494" s="696">
        <v>5491</v>
      </c>
      <c r="B4494" s="469"/>
      <c r="C4494" s="458"/>
      <c r="D4494" s="456">
        <v>0</v>
      </c>
      <c r="E4494" s="456">
        <v>0</v>
      </c>
      <c r="F4494" s="456"/>
      <c r="G4494" s="456"/>
      <c r="H4494" s="456"/>
    </row>
    <row r="4495" spans="1:8">
      <c r="A4495" s="696">
        <v>5492</v>
      </c>
      <c r="B4495" s="469"/>
      <c r="C4495" s="458"/>
      <c r="D4495" s="456">
        <v>0</v>
      </c>
      <c r="E4495" s="456">
        <v>0</v>
      </c>
      <c r="F4495" s="456"/>
      <c r="G4495" s="456"/>
      <c r="H4495" s="456"/>
    </row>
    <row r="4496" spans="1:8">
      <c r="A4496" s="696">
        <v>5493</v>
      </c>
      <c r="B4496" s="469"/>
      <c r="C4496" s="458"/>
      <c r="D4496" s="456">
        <v>0</v>
      </c>
      <c r="E4496" s="456">
        <v>0</v>
      </c>
      <c r="F4496" s="456"/>
      <c r="G4496" s="456"/>
      <c r="H4496" s="456"/>
    </row>
    <row r="4497" spans="1:8">
      <c r="A4497" s="696">
        <v>5494</v>
      </c>
      <c r="B4497" s="469"/>
      <c r="C4497" s="458"/>
      <c r="D4497" s="456">
        <v>0</v>
      </c>
      <c r="E4497" s="456">
        <v>0</v>
      </c>
      <c r="F4497" s="456"/>
      <c r="G4497" s="456"/>
      <c r="H4497" s="456"/>
    </row>
    <row r="4498" spans="1:8">
      <c r="A4498" s="696">
        <v>5495</v>
      </c>
      <c r="B4498" s="469"/>
      <c r="C4498" s="458"/>
      <c r="D4498" s="456">
        <v>0</v>
      </c>
      <c r="E4498" s="456">
        <v>0</v>
      </c>
      <c r="F4498" s="456"/>
      <c r="G4498" s="456"/>
      <c r="H4498" s="456"/>
    </row>
    <row r="4499" spans="1:8">
      <c r="A4499" s="696">
        <v>5496</v>
      </c>
      <c r="B4499" s="469"/>
      <c r="C4499" s="458"/>
      <c r="D4499" s="456">
        <v>0</v>
      </c>
      <c r="E4499" s="456">
        <v>0</v>
      </c>
      <c r="F4499" s="456"/>
      <c r="G4499" s="456"/>
      <c r="H4499" s="456"/>
    </row>
    <row r="4500" spans="1:8">
      <c r="A4500" s="696">
        <v>5497</v>
      </c>
      <c r="B4500" s="469"/>
      <c r="C4500" s="458"/>
      <c r="D4500" s="456">
        <v>0</v>
      </c>
      <c r="E4500" s="456">
        <v>0</v>
      </c>
      <c r="F4500" s="456"/>
      <c r="G4500" s="456"/>
      <c r="H4500" s="456"/>
    </row>
    <row r="4501" spans="1:8">
      <c r="A4501" s="696">
        <v>5498</v>
      </c>
      <c r="B4501" s="469"/>
      <c r="C4501" s="458"/>
      <c r="D4501" s="456">
        <v>0</v>
      </c>
      <c r="E4501" s="456">
        <v>0</v>
      </c>
      <c r="F4501" s="456"/>
      <c r="G4501" s="456"/>
      <c r="H4501" s="456"/>
    </row>
    <row r="4502" spans="1:8">
      <c r="A4502" s="696">
        <v>5499</v>
      </c>
      <c r="B4502" s="469"/>
      <c r="C4502" s="458"/>
      <c r="D4502" s="456">
        <v>0</v>
      </c>
      <c r="E4502" s="456">
        <v>0</v>
      </c>
      <c r="F4502" s="456"/>
      <c r="G4502" s="456"/>
      <c r="H4502" s="456"/>
    </row>
    <row r="4503" spans="1:8">
      <c r="A4503" s="696">
        <v>5500</v>
      </c>
      <c r="B4503" s="469"/>
      <c r="C4503" s="458"/>
      <c r="D4503" s="456">
        <v>0</v>
      </c>
      <c r="E4503" s="456">
        <v>0</v>
      </c>
      <c r="F4503" s="456"/>
      <c r="G4503" s="456"/>
      <c r="H4503" s="456"/>
    </row>
    <row r="4504" spans="1:8">
      <c r="A4504" s="696">
        <v>5501</v>
      </c>
      <c r="B4504" s="469"/>
      <c r="C4504" s="458"/>
      <c r="D4504" s="456">
        <v>0</v>
      </c>
      <c r="E4504" s="456">
        <v>0</v>
      </c>
      <c r="F4504" s="456"/>
      <c r="G4504" s="456"/>
      <c r="H4504" s="456"/>
    </row>
    <row r="4505" spans="1:8">
      <c r="A4505" s="696">
        <v>5502</v>
      </c>
      <c r="B4505" s="469"/>
      <c r="C4505" s="458"/>
      <c r="D4505" s="456">
        <v>0</v>
      </c>
      <c r="E4505" s="456">
        <v>0</v>
      </c>
      <c r="F4505" s="456"/>
      <c r="G4505" s="456"/>
      <c r="H4505" s="456"/>
    </row>
    <row r="4506" spans="1:8">
      <c r="A4506" s="696">
        <v>5503</v>
      </c>
      <c r="B4506" s="469"/>
      <c r="C4506" s="458"/>
      <c r="D4506" s="456">
        <v>0</v>
      </c>
      <c r="E4506" s="456">
        <v>0</v>
      </c>
      <c r="F4506" s="456"/>
      <c r="G4506" s="456"/>
      <c r="H4506" s="456"/>
    </row>
    <row r="4507" spans="1:8">
      <c r="A4507" s="696">
        <v>5504</v>
      </c>
      <c r="B4507" s="469"/>
      <c r="C4507" s="458"/>
      <c r="D4507" s="456">
        <v>0</v>
      </c>
      <c r="E4507" s="456">
        <v>0</v>
      </c>
      <c r="F4507" s="456"/>
      <c r="G4507" s="456"/>
      <c r="H4507" s="456"/>
    </row>
    <row r="4508" spans="1:8">
      <c r="A4508" s="696">
        <v>5505</v>
      </c>
      <c r="B4508" s="469"/>
      <c r="C4508" s="458"/>
      <c r="D4508" s="456">
        <v>0</v>
      </c>
      <c r="E4508" s="456">
        <v>0</v>
      </c>
      <c r="F4508" s="456"/>
      <c r="G4508" s="456"/>
      <c r="H4508" s="456"/>
    </row>
    <row r="4509" spans="1:8">
      <c r="A4509" s="696">
        <v>5506</v>
      </c>
      <c r="B4509" s="469"/>
      <c r="C4509" s="458"/>
      <c r="D4509" s="456">
        <v>0</v>
      </c>
      <c r="E4509" s="456">
        <v>0</v>
      </c>
      <c r="F4509" s="456"/>
      <c r="G4509" s="456"/>
      <c r="H4509" s="456"/>
    </row>
    <row r="4510" spans="1:8">
      <c r="A4510" s="696">
        <v>5507</v>
      </c>
      <c r="B4510" s="469"/>
      <c r="C4510" s="458"/>
      <c r="D4510" s="456">
        <v>0</v>
      </c>
      <c r="E4510" s="456">
        <v>0</v>
      </c>
      <c r="F4510" s="456"/>
      <c r="G4510" s="456"/>
      <c r="H4510" s="456"/>
    </row>
    <row r="4511" spans="1:8">
      <c r="A4511" s="696">
        <v>5508</v>
      </c>
      <c r="B4511" s="469"/>
      <c r="C4511" s="458"/>
      <c r="D4511" s="456">
        <v>0</v>
      </c>
      <c r="E4511" s="456">
        <v>0</v>
      </c>
      <c r="F4511" s="456"/>
      <c r="G4511" s="456"/>
      <c r="H4511" s="456"/>
    </row>
    <row r="4512" spans="1:8">
      <c r="A4512" s="696">
        <v>5509</v>
      </c>
      <c r="B4512" s="469"/>
      <c r="C4512" s="458"/>
      <c r="D4512" s="456">
        <v>0</v>
      </c>
      <c r="E4512" s="456">
        <v>0</v>
      </c>
      <c r="F4512" s="456"/>
      <c r="G4512" s="456"/>
      <c r="H4512" s="456"/>
    </row>
    <row r="4513" spans="1:8">
      <c r="A4513" s="696">
        <v>5510</v>
      </c>
      <c r="B4513" s="469"/>
      <c r="C4513" s="458"/>
      <c r="D4513" s="456">
        <v>0</v>
      </c>
      <c r="E4513" s="456">
        <v>0</v>
      </c>
      <c r="F4513" s="456"/>
      <c r="G4513" s="456"/>
      <c r="H4513" s="456"/>
    </row>
    <row r="4514" spans="1:8">
      <c r="A4514" s="696">
        <v>5511</v>
      </c>
      <c r="B4514" s="469"/>
      <c r="C4514" s="458"/>
      <c r="D4514" s="456">
        <v>0</v>
      </c>
      <c r="E4514" s="456">
        <v>0</v>
      </c>
      <c r="F4514" s="456"/>
      <c r="G4514" s="456"/>
      <c r="H4514" s="456"/>
    </row>
    <row r="4515" spans="1:8">
      <c r="A4515" s="696">
        <v>5512</v>
      </c>
      <c r="B4515" s="469"/>
      <c r="C4515" s="458"/>
      <c r="D4515" s="456">
        <v>0</v>
      </c>
      <c r="E4515" s="456">
        <v>0</v>
      </c>
      <c r="F4515" s="456"/>
      <c r="G4515" s="456"/>
      <c r="H4515" s="456"/>
    </row>
    <row r="4516" spans="1:8">
      <c r="A4516" s="696">
        <v>5513</v>
      </c>
      <c r="B4516" s="469"/>
      <c r="C4516" s="458"/>
      <c r="D4516" s="456">
        <v>0</v>
      </c>
      <c r="E4516" s="456">
        <v>0</v>
      </c>
      <c r="F4516" s="456"/>
      <c r="G4516" s="456"/>
      <c r="H4516" s="456"/>
    </row>
    <row r="4517" spans="1:8">
      <c r="A4517" s="696">
        <v>5514</v>
      </c>
      <c r="B4517" s="469"/>
      <c r="C4517" s="458"/>
      <c r="D4517" s="456">
        <v>0</v>
      </c>
      <c r="E4517" s="456">
        <v>0</v>
      </c>
      <c r="F4517" s="456"/>
      <c r="G4517" s="456"/>
      <c r="H4517" s="456"/>
    </row>
    <row r="4518" spans="1:8">
      <c r="A4518" s="696">
        <v>5515</v>
      </c>
      <c r="B4518" s="469"/>
      <c r="C4518" s="458"/>
      <c r="D4518" s="456">
        <v>0</v>
      </c>
      <c r="E4518" s="456">
        <v>0</v>
      </c>
      <c r="F4518" s="456"/>
      <c r="G4518" s="456"/>
      <c r="H4518" s="456"/>
    </row>
    <row r="4519" spans="1:8">
      <c r="A4519" s="696">
        <v>5516</v>
      </c>
      <c r="B4519" s="469"/>
      <c r="C4519" s="458"/>
      <c r="D4519" s="456">
        <v>0</v>
      </c>
      <c r="E4519" s="456">
        <v>0</v>
      </c>
      <c r="F4519" s="456"/>
      <c r="G4519" s="456"/>
      <c r="H4519" s="456"/>
    </row>
    <row r="4520" spans="1:8">
      <c r="A4520" s="696">
        <v>5517</v>
      </c>
      <c r="B4520" s="469"/>
      <c r="C4520" s="458"/>
      <c r="D4520" s="456">
        <v>0</v>
      </c>
      <c r="E4520" s="456">
        <v>0</v>
      </c>
      <c r="F4520" s="456"/>
      <c r="G4520" s="456"/>
      <c r="H4520" s="456"/>
    </row>
    <row r="4521" spans="1:8">
      <c r="A4521" s="696">
        <v>5518</v>
      </c>
      <c r="B4521" s="469"/>
      <c r="C4521" s="458"/>
      <c r="D4521" s="456">
        <v>0</v>
      </c>
      <c r="E4521" s="456">
        <v>0</v>
      </c>
      <c r="F4521" s="456"/>
      <c r="G4521" s="456"/>
      <c r="H4521" s="456"/>
    </row>
    <row r="4522" spans="1:8">
      <c r="A4522" s="696">
        <v>5519</v>
      </c>
      <c r="B4522" s="469"/>
      <c r="C4522" s="458"/>
      <c r="D4522" s="456">
        <v>0</v>
      </c>
      <c r="E4522" s="456">
        <v>0</v>
      </c>
      <c r="F4522" s="456"/>
      <c r="G4522" s="456"/>
      <c r="H4522" s="456"/>
    </row>
    <row r="4523" spans="1:8">
      <c r="A4523" s="696">
        <v>5520</v>
      </c>
      <c r="B4523" s="469"/>
      <c r="C4523" s="458"/>
      <c r="D4523" s="456">
        <v>0</v>
      </c>
      <c r="E4523" s="456">
        <v>0</v>
      </c>
      <c r="F4523" s="456"/>
      <c r="G4523" s="456"/>
      <c r="H4523" s="456"/>
    </row>
    <row r="4524" spans="1:8">
      <c r="A4524" s="696">
        <v>5521</v>
      </c>
      <c r="B4524" s="469"/>
      <c r="C4524" s="458"/>
      <c r="D4524" s="456">
        <v>0</v>
      </c>
      <c r="E4524" s="456">
        <v>0</v>
      </c>
      <c r="F4524" s="456"/>
      <c r="G4524" s="456"/>
      <c r="H4524" s="456"/>
    </row>
    <row r="4525" spans="1:8">
      <c r="A4525" s="696">
        <v>5522</v>
      </c>
      <c r="B4525" s="469"/>
      <c r="C4525" s="458"/>
      <c r="D4525" s="456">
        <v>0</v>
      </c>
      <c r="E4525" s="456">
        <v>0</v>
      </c>
      <c r="F4525" s="456"/>
      <c r="G4525" s="456"/>
      <c r="H4525" s="456"/>
    </row>
    <row r="4526" spans="1:8">
      <c r="A4526" s="696">
        <v>5523</v>
      </c>
      <c r="B4526" s="469"/>
      <c r="C4526" s="458"/>
      <c r="D4526" s="456">
        <v>0</v>
      </c>
      <c r="E4526" s="456">
        <v>0</v>
      </c>
      <c r="F4526" s="456"/>
      <c r="G4526" s="456"/>
      <c r="H4526" s="456"/>
    </row>
    <row r="4527" spans="1:8">
      <c r="A4527" s="696">
        <v>5524</v>
      </c>
      <c r="B4527" s="469"/>
      <c r="C4527" s="458"/>
      <c r="D4527" s="456">
        <v>0</v>
      </c>
      <c r="E4527" s="456">
        <v>0</v>
      </c>
      <c r="F4527" s="456"/>
      <c r="G4527" s="456"/>
      <c r="H4527" s="456"/>
    </row>
    <row r="4528" spans="1:8">
      <c r="A4528" s="696">
        <v>5525</v>
      </c>
      <c r="B4528" s="469"/>
      <c r="C4528" s="458"/>
      <c r="D4528" s="456">
        <v>0</v>
      </c>
      <c r="E4528" s="456">
        <v>0</v>
      </c>
      <c r="F4528" s="456"/>
      <c r="G4528" s="456"/>
      <c r="H4528" s="456"/>
    </row>
    <row r="4529" spans="1:8">
      <c r="A4529" s="696">
        <v>5526</v>
      </c>
      <c r="B4529" s="469"/>
      <c r="C4529" s="458"/>
      <c r="D4529" s="456">
        <v>0</v>
      </c>
      <c r="E4529" s="456">
        <v>0</v>
      </c>
      <c r="F4529" s="456"/>
      <c r="G4529" s="456"/>
      <c r="H4529" s="456"/>
    </row>
    <row r="4530" spans="1:8">
      <c r="A4530" s="696">
        <v>5527</v>
      </c>
      <c r="B4530" s="469"/>
      <c r="C4530" s="458"/>
      <c r="D4530" s="456">
        <v>0</v>
      </c>
      <c r="E4530" s="456">
        <v>0</v>
      </c>
      <c r="F4530" s="456"/>
      <c r="G4530" s="456"/>
      <c r="H4530" s="456"/>
    </row>
    <row r="4531" spans="1:8">
      <c r="A4531" s="696">
        <v>5528</v>
      </c>
      <c r="B4531" s="469"/>
      <c r="C4531" s="458"/>
      <c r="D4531" s="456">
        <v>0</v>
      </c>
      <c r="E4531" s="456">
        <v>0</v>
      </c>
      <c r="F4531" s="456"/>
      <c r="G4531" s="456"/>
      <c r="H4531" s="456"/>
    </row>
    <row r="4532" spans="1:8">
      <c r="A4532" s="696">
        <v>5529</v>
      </c>
      <c r="B4532" s="469"/>
      <c r="C4532" s="458"/>
      <c r="D4532" s="456">
        <v>0</v>
      </c>
      <c r="E4532" s="456">
        <v>0</v>
      </c>
      <c r="F4532" s="456"/>
      <c r="G4532" s="456"/>
      <c r="H4532" s="456"/>
    </row>
    <row r="4533" spans="1:8">
      <c r="A4533" s="696">
        <v>5530</v>
      </c>
      <c r="B4533" s="469"/>
      <c r="C4533" s="458"/>
      <c r="D4533" s="456">
        <v>0</v>
      </c>
      <c r="E4533" s="456">
        <v>0</v>
      </c>
      <c r="F4533" s="456"/>
      <c r="G4533" s="456"/>
      <c r="H4533" s="456"/>
    </row>
    <row r="4534" spans="1:8">
      <c r="A4534" s="696">
        <v>5531</v>
      </c>
      <c r="B4534" s="469"/>
      <c r="C4534" s="458"/>
      <c r="D4534" s="456">
        <v>0</v>
      </c>
      <c r="E4534" s="456">
        <v>0</v>
      </c>
      <c r="F4534" s="456"/>
      <c r="G4534" s="456"/>
      <c r="H4534" s="456"/>
    </row>
    <row r="4535" spans="1:8">
      <c r="A4535" s="696">
        <v>5532</v>
      </c>
      <c r="B4535" s="469"/>
      <c r="C4535" s="458"/>
      <c r="D4535" s="456">
        <v>0</v>
      </c>
      <c r="E4535" s="456">
        <v>0</v>
      </c>
      <c r="F4535" s="456"/>
      <c r="G4535" s="456"/>
      <c r="H4535" s="456"/>
    </row>
    <row r="4536" spans="1:8">
      <c r="A4536" s="696">
        <v>5533</v>
      </c>
      <c r="B4536" s="469"/>
      <c r="C4536" s="458"/>
      <c r="D4536" s="456">
        <v>0</v>
      </c>
      <c r="E4536" s="456">
        <v>0</v>
      </c>
      <c r="F4536" s="456"/>
      <c r="G4536" s="456"/>
      <c r="H4536" s="456"/>
    </row>
    <row r="4537" spans="1:8">
      <c r="A4537" s="696">
        <v>5534</v>
      </c>
      <c r="B4537" s="469"/>
      <c r="C4537" s="458"/>
      <c r="D4537" s="456">
        <v>0</v>
      </c>
      <c r="E4537" s="456">
        <v>0</v>
      </c>
      <c r="F4537" s="456"/>
      <c r="G4537" s="456"/>
      <c r="H4537" s="456"/>
    </row>
    <row r="4538" spans="1:8">
      <c r="A4538" s="696">
        <v>5535</v>
      </c>
      <c r="B4538" s="469"/>
      <c r="C4538" s="458"/>
      <c r="D4538" s="456">
        <v>0</v>
      </c>
      <c r="E4538" s="456">
        <v>0</v>
      </c>
      <c r="F4538" s="456"/>
      <c r="G4538" s="456"/>
      <c r="H4538" s="456"/>
    </row>
    <row r="4539" spans="1:8">
      <c r="A4539" s="696">
        <v>5536</v>
      </c>
      <c r="B4539" s="469"/>
      <c r="C4539" s="458"/>
      <c r="D4539" s="456">
        <v>0</v>
      </c>
      <c r="E4539" s="456">
        <v>0</v>
      </c>
      <c r="F4539" s="456"/>
      <c r="G4539" s="456"/>
      <c r="H4539" s="456"/>
    </row>
    <row r="4540" spans="1:8">
      <c r="A4540" s="696">
        <v>5537</v>
      </c>
      <c r="B4540" s="469"/>
      <c r="C4540" s="458"/>
      <c r="D4540" s="456">
        <v>0</v>
      </c>
      <c r="E4540" s="456">
        <v>0</v>
      </c>
      <c r="F4540" s="456"/>
      <c r="G4540" s="456"/>
      <c r="H4540" s="456"/>
    </row>
    <row r="4541" spans="1:8">
      <c r="A4541" s="696">
        <v>5538</v>
      </c>
      <c r="B4541" s="469"/>
      <c r="C4541" s="458"/>
      <c r="D4541" s="456">
        <v>0</v>
      </c>
      <c r="E4541" s="456">
        <v>0</v>
      </c>
      <c r="F4541" s="456"/>
      <c r="G4541" s="456"/>
      <c r="H4541" s="456"/>
    </row>
    <row r="4542" spans="1:8">
      <c r="A4542" s="696">
        <v>5539</v>
      </c>
      <c r="B4542" s="469"/>
      <c r="C4542" s="458"/>
      <c r="D4542" s="456">
        <v>0</v>
      </c>
      <c r="E4542" s="456">
        <v>0</v>
      </c>
      <c r="F4542" s="456"/>
      <c r="G4542" s="456"/>
      <c r="H4542" s="456"/>
    </row>
    <row r="4543" spans="1:8">
      <c r="A4543" s="696">
        <v>5540</v>
      </c>
      <c r="B4543" s="469"/>
      <c r="C4543" s="458"/>
      <c r="D4543" s="456">
        <v>0</v>
      </c>
      <c r="E4543" s="456">
        <v>0</v>
      </c>
      <c r="F4543" s="456"/>
      <c r="G4543" s="456"/>
      <c r="H4543" s="456"/>
    </row>
    <row r="4544" spans="1:8">
      <c r="A4544" s="696">
        <v>5541</v>
      </c>
      <c r="B4544" s="469"/>
      <c r="C4544" s="458"/>
      <c r="D4544" s="456">
        <v>0</v>
      </c>
      <c r="E4544" s="456">
        <v>0</v>
      </c>
      <c r="F4544" s="456"/>
      <c r="G4544" s="456"/>
      <c r="H4544" s="456"/>
    </row>
    <row r="4545" spans="1:8">
      <c r="A4545" s="696">
        <v>5542</v>
      </c>
      <c r="B4545" s="469"/>
      <c r="C4545" s="458"/>
      <c r="D4545" s="456">
        <v>0</v>
      </c>
      <c r="E4545" s="456">
        <v>0</v>
      </c>
      <c r="F4545" s="456"/>
      <c r="G4545" s="456"/>
      <c r="H4545" s="456"/>
    </row>
    <row r="4546" spans="1:8">
      <c r="A4546" s="696">
        <v>5543</v>
      </c>
      <c r="B4546" s="469"/>
      <c r="C4546" s="458"/>
      <c r="D4546" s="456">
        <v>0</v>
      </c>
      <c r="E4546" s="456">
        <v>0</v>
      </c>
      <c r="F4546" s="456"/>
      <c r="G4546" s="456"/>
      <c r="H4546" s="456"/>
    </row>
    <row r="4547" spans="1:8">
      <c r="A4547" s="696">
        <v>5544</v>
      </c>
      <c r="B4547" s="469"/>
      <c r="C4547" s="458"/>
      <c r="D4547" s="456">
        <v>0</v>
      </c>
      <c r="E4547" s="456">
        <v>0</v>
      </c>
      <c r="F4547" s="456"/>
      <c r="G4547" s="456"/>
      <c r="H4547" s="456"/>
    </row>
    <row r="4548" spans="1:8">
      <c r="A4548" s="696">
        <v>5545</v>
      </c>
      <c r="B4548" s="469"/>
      <c r="C4548" s="458"/>
      <c r="D4548" s="456">
        <v>0</v>
      </c>
      <c r="E4548" s="456">
        <v>0</v>
      </c>
      <c r="F4548" s="456"/>
      <c r="G4548" s="456"/>
      <c r="H4548" s="456"/>
    </row>
    <row r="4549" spans="1:8">
      <c r="A4549" s="696">
        <v>5546</v>
      </c>
      <c r="B4549" s="469"/>
      <c r="C4549" s="458"/>
      <c r="D4549" s="456">
        <v>0</v>
      </c>
      <c r="E4549" s="456">
        <v>0</v>
      </c>
      <c r="F4549" s="456"/>
      <c r="G4549" s="456"/>
      <c r="H4549" s="456"/>
    </row>
    <row r="4550" spans="1:8">
      <c r="A4550" s="696">
        <v>5547</v>
      </c>
      <c r="B4550" s="469"/>
      <c r="C4550" s="458"/>
      <c r="D4550" s="456">
        <v>0</v>
      </c>
      <c r="E4550" s="456">
        <v>0</v>
      </c>
      <c r="F4550" s="456"/>
      <c r="G4550" s="456"/>
      <c r="H4550" s="456"/>
    </row>
    <row r="4551" spans="1:8">
      <c r="A4551" s="696">
        <v>5548</v>
      </c>
      <c r="B4551" s="469"/>
      <c r="C4551" s="458"/>
      <c r="D4551" s="456">
        <v>0</v>
      </c>
      <c r="E4551" s="456">
        <v>0</v>
      </c>
      <c r="F4551" s="456"/>
      <c r="G4551" s="456"/>
      <c r="H4551" s="456"/>
    </row>
    <row r="4552" spans="1:8">
      <c r="A4552" s="696">
        <v>5549</v>
      </c>
      <c r="B4552" s="469"/>
      <c r="C4552" s="458"/>
      <c r="D4552" s="456">
        <v>0</v>
      </c>
      <c r="E4552" s="456">
        <v>0</v>
      </c>
      <c r="F4552" s="456"/>
      <c r="G4552" s="456"/>
      <c r="H4552" s="456"/>
    </row>
    <row r="4553" spans="1:8">
      <c r="A4553" s="696">
        <v>5550</v>
      </c>
      <c r="B4553" s="469"/>
      <c r="C4553" s="458"/>
      <c r="D4553" s="456">
        <v>0</v>
      </c>
      <c r="E4553" s="456">
        <v>0</v>
      </c>
      <c r="F4553" s="456"/>
      <c r="G4553" s="456"/>
      <c r="H4553" s="456"/>
    </row>
    <row r="4554" spans="1:8">
      <c r="A4554" s="696">
        <v>5551</v>
      </c>
      <c r="B4554" s="469"/>
      <c r="C4554" s="458"/>
      <c r="D4554" s="456">
        <v>0</v>
      </c>
      <c r="E4554" s="456">
        <v>0</v>
      </c>
      <c r="F4554" s="456"/>
      <c r="G4554" s="456"/>
      <c r="H4554" s="456"/>
    </row>
    <row r="4555" spans="1:8">
      <c r="A4555" s="696">
        <v>5552</v>
      </c>
      <c r="B4555" s="469"/>
      <c r="C4555" s="458"/>
      <c r="D4555" s="456">
        <v>0</v>
      </c>
      <c r="E4555" s="456">
        <v>0</v>
      </c>
      <c r="F4555" s="456"/>
      <c r="G4555" s="456"/>
      <c r="H4555" s="456"/>
    </row>
    <row r="4556" spans="1:8">
      <c r="A4556" s="696">
        <v>5553</v>
      </c>
      <c r="B4556" s="469"/>
      <c r="C4556" s="458"/>
      <c r="D4556" s="456">
        <v>0</v>
      </c>
      <c r="E4556" s="456">
        <v>0</v>
      </c>
      <c r="F4556" s="456"/>
      <c r="G4556" s="456"/>
      <c r="H4556" s="456"/>
    </row>
    <row r="4557" spans="1:8">
      <c r="A4557" s="696">
        <v>5554</v>
      </c>
      <c r="B4557" s="469"/>
      <c r="C4557" s="458"/>
      <c r="D4557" s="456">
        <v>0</v>
      </c>
      <c r="E4557" s="456">
        <v>0</v>
      </c>
      <c r="F4557" s="456"/>
      <c r="G4557" s="456"/>
      <c r="H4557" s="456"/>
    </row>
    <row r="4558" spans="1:8">
      <c r="A4558" s="696">
        <v>5555</v>
      </c>
      <c r="B4558" s="469"/>
      <c r="C4558" s="458"/>
      <c r="D4558" s="456">
        <v>0</v>
      </c>
      <c r="E4558" s="456">
        <v>0</v>
      </c>
      <c r="F4558" s="456"/>
      <c r="G4558" s="456"/>
      <c r="H4558" s="456"/>
    </row>
    <row r="4559" spans="1:8">
      <c r="A4559" s="696">
        <v>5556</v>
      </c>
      <c r="B4559" s="469"/>
      <c r="C4559" s="458"/>
      <c r="D4559" s="456">
        <v>0</v>
      </c>
      <c r="E4559" s="456">
        <v>0</v>
      </c>
      <c r="F4559" s="456"/>
      <c r="G4559" s="456"/>
      <c r="H4559" s="456"/>
    </row>
    <row r="4560" spans="1:8">
      <c r="A4560" s="696">
        <v>5557</v>
      </c>
      <c r="B4560" s="469"/>
      <c r="C4560" s="458"/>
      <c r="D4560" s="456">
        <v>0</v>
      </c>
      <c r="E4560" s="456">
        <v>0</v>
      </c>
      <c r="F4560" s="456"/>
      <c r="G4560" s="456"/>
      <c r="H4560" s="456"/>
    </row>
    <row r="4561" spans="1:8">
      <c r="A4561" s="696">
        <v>5558</v>
      </c>
      <c r="B4561" s="469"/>
      <c r="C4561" s="458"/>
      <c r="D4561" s="456">
        <v>0</v>
      </c>
      <c r="E4561" s="456">
        <v>0</v>
      </c>
      <c r="F4561" s="456"/>
      <c r="G4561" s="456"/>
      <c r="H4561" s="456"/>
    </row>
    <row r="4562" spans="1:8">
      <c r="A4562" s="696">
        <v>5559</v>
      </c>
      <c r="B4562" s="469"/>
      <c r="C4562" s="458"/>
      <c r="D4562" s="456">
        <v>0</v>
      </c>
      <c r="E4562" s="456">
        <v>0</v>
      </c>
      <c r="F4562" s="456"/>
      <c r="G4562" s="456"/>
      <c r="H4562" s="456"/>
    </row>
    <row r="4563" spans="1:8">
      <c r="A4563" s="696">
        <v>5560</v>
      </c>
      <c r="B4563" s="469"/>
      <c r="C4563" s="458"/>
      <c r="D4563" s="456">
        <v>0</v>
      </c>
      <c r="E4563" s="456">
        <v>0</v>
      </c>
      <c r="F4563" s="456"/>
      <c r="G4563" s="456"/>
      <c r="H4563" s="456"/>
    </row>
    <row r="4564" spans="1:8">
      <c r="A4564" s="696">
        <v>5561</v>
      </c>
      <c r="B4564" s="469"/>
      <c r="C4564" s="458"/>
      <c r="D4564" s="456">
        <v>0</v>
      </c>
      <c r="E4564" s="456">
        <v>0</v>
      </c>
      <c r="F4564" s="456"/>
      <c r="G4564" s="456"/>
      <c r="H4564" s="456"/>
    </row>
    <row r="4565" spans="1:8">
      <c r="A4565" s="696">
        <v>5562</v>
      </c>
      <c r="B4565" s="469"/>
      <c r="C4565" s="458"/>
      <c r="D4565" s="456">
        <v>0</v>
      </c>
      <c r="E4565" s="456">
        <v>0</v>
      </c>
      <c r="F4565" s="456"/>
      <c r="G4565" s="456"/>
      <c r="H4565" s="456"/>
    </row>
    <row r="4566" spans="1:8">
      <c r="A4566" s="696">
        <v>5563</v>
      </c>
      <c r="B4566" s="469"/>
      <c r="C4566" s="458"/>
      <c r="D4566" s="456">
        <v>0</v>
      </c>
      <c r="E4566" s="456">
        <v>0</v>
      </c>
      <c r="F4566" s="456"/>
      <c r="G4566" s="456"/>
      <c r="H4566" s="456"/>
    </row>
    <row r="4567" spans="1:8">
      <c r="A4567" s="696">
        <v>5564</v>
      </c>
      <c r="B4567" s="469"/>
      <c r="C4567" s="458"/>
      <c r="D4567" s="456">
        <v>0</v>
      </c>
      <c r="E4567" s="456">
        <v>0</v>
      </c>
      <c r="F4567" s="456"/>
      <c r="G4567" s="456"/>
      <c r="H4567" s="456"/>
    </row>
    <row r="4568" spans="1:8">
      <c r="A4568" s="696">
        <v>5565</v>
      </c>
      <c r="B4568" s="469"/>
      <c r="C4568" s="458"/>
      <c r="D4568" s="456">
        <v>0</v>
      </c>
      <c r="E4568" s="456">
        <v>0</v>
      </c>
      <c r="F4568" s="456"/>
      <c r="G4568" s="456"/>
      <c r="H4568" s="456"/>
    </row>
    <row r="4569" spans="1:8">
      <c r="A4569" s="696">
        <v>5566</v>
      </c>
      <c r="B4569" s="469"/>
      <c r="C4569" s="458"/>
      <c r="D4569" s="456">
        <v>0</v>
      </c>
      <c r="E4569" s="456">
        <v>0</v>
      </c>
      <c r="F4569" s="456"/>
      <c r="G4569" s="456"/>
      <c r="H4569" s="456"/>
    </row>
    <row r="4570" spans="1:8">
      <c r="A4570" s="696">
        <v>5567</v>
      </c>
      <c r="B4570" s="469"/>
      <c r="C4570" s="458"/>
      <c r="D4570" s="456">
        <v>0</v>
      </c>
      <c r="E4570" s="456">
        <v>0</v>
      </c>
      <c r="F4570" s="456"/>
      <c r="G4570" s="456"/>
      <c r="H4570" s="456"/>
    </row>
    <row r="4571" spans="1:8">
      <c r="A4571" s="696">
        <v>5568</v>
      </c>
      <c r="B4571" s="469"/>
      <c r="C4571" s="458"/>
      <c r="D4571" s="456">
        <v>0</v>
      </c>
      <c r="E4571" s="456">
        <v>0</v>
      </c>
      <c r="F4571" s="456"/>
      <c r="G4571" s="456"/>
      <c r="H4571" s="456"/>
    </row>
    <row r="4572" spans="1:8">
      <c r="A4572" s="696">
        <v>5569</v>
      </c>
      <c r="B4572" s="469"/>
      <c r="C4572" s="458"/>
      <c r="D4572" s="456">
        <v>0</v>
      </c>
      <c r="E4572" s="456">
        <v>0</v>
      </c>
      <c r="F4572" s="456"/>
      <c r="G4572" s="456"/>
      <c r="H4572" s="456"/>
    </row>
    <row r="4573" spans="1:8">
      <c r="A4573" s="696">
        <v>5570</v>
      </c>
      <c r="B4573" s="469"/>
      <c r="C4573" s="458"/>
      <c r="D4573" s="456">
        <v>0</v>
      </c>
      <c r="E4573" s="456">
        <v>0</v>
      </c>
      <c r="F4573" s="456"/>
      <c r="G4573" s="456"/>
      <c r="H4573" s="456"/>
    </row>
    <row r="4574" spans="1:8">
      <c r="A4574" s="696">
        <v>5571</v>
      </c>
      <c r="B4574" s="469"/>
      <c r="C4574" s="458"/>
      <c r="D4574" s="456">
        <v>0</v>
      </c>
      <c r="E4574" s="456">
        <v>0</v>
      </c>
      <c r="F4574" s="456"/>
      <c r="G4574" s="456"/>
      <c r="H4574" s="456"/>
    </row>
    <row r="4575" spans="1:8">
      <c r="A4575" s="696">
        <v>5572</v>
      </c>
      <c r="B4575" s="469"/>
      <c r="C4575" s="458"/>
      <c r="D4575" s="456">
        <v>0</v>
      </c>
      <c r="E4575" s="456">
        <v>0</v>
      </c>
      <c r="F4575" s="456"/>
      <c r="G4575" s="456"/>
      <c r="H4575" s="456"/>
    </row>
    <row r="4576" spans="1:8">
      <c r="A4576" s="696">
        <v>5573</v>
      </c>
      <c r="B4576" s="469"/>
      <c r="C4576" s="458"/>
      <c r="D4576" s="456">
        <v>0</v>
      </c>
      <c r="E4576" s="456">
        <v>0</v>
      </c>
      <c r="F4576" s="456"/>
      <c r="G4576" s="456"/>
      <c r="H4576" s="456"/>
    </row>
    <row r="4577" spans="1:8">
      <c r="A4577" s="696">
        <v>5574</v>
      </c>
      <c r="B4577" s="469"/>
      <c r="C4577" s="458"/>
      <c r="D4577" s="456">
        <v>0</v>
      </c>
      <c r="E4577" s="456">
        <v>0</v>
      </c>
      <c r="F4577" s="456"/>
      <c r="G4577" s="456"/>
      <c r="H4577" s="456"/>
    </row>
    <row r="4578" spans="1:8">
      <c r="A4578" s="696">
        <v>5575</v>
      </c>
      <c r="B4578" s="469"/>
      <c r="C4578" s="458"/>
      <c r="D4578" s="456">
        <v>0</v>
      </c>
      <c r="E4578" s="456">
        <v>0</v>
      </c>
      <c r="F4578" s="456"/>
      <c r="G4578" s="456"/>
      <c r="H4578" s="456"/>
    </row>
    <row r="4579" spans="1:8">
      <c r="A4579" s="696">
        <v>5576</v>
      </c>
      <c r="B4579" s="469"/>
      <c r="C4579" s="458"/>
      <c r="D4579" s="456">
        <v>0</v>
      </c>
      <c r="E4579" s="456">
        <v>0</v>
      </c>
      <c r="F4579" s="456"/>
      <c r="G4579" s="456"/>
      <c r="H4579" s="456"/>
    </row>
    <row r="4580" spans="1:8">
      <c r="A4580" s="696">
        <v>5577</v>
      </c>
      <c r="B4580" s="469"/>
      <c r="C4580" s="458"/>
      <c r="D4580" s="456">
        <v>0</v>
      </c>
      <c r="E4580" s="456">
        <v>0</v>
      </c>
      <c r="F4580" s="456"/>
      <c r="G4580" s="456"/>
      <c r="H4580" s="456"/>
    </row>
    <row r="4581" spans="1:8">
      <c r="A4581" s="696">
        <v>5578</v>
      </c>
      <c r="B4581" s="469"/>
      <c r="C4581" s="458"/>
      <c r="D4581" s="456">
        <v>0</v>
      </c>
      <c r="E4581" s="456">
        <v>0</v>
      </c>
      <c r="F4581" s="456"/>
      <c r="G4581" s="456"/>
      <c r="H4581" s="456"/>
    </row>
    <row r="4582" spans="1:8">
      <c r="A4582" s="696">
        <v>5579</v>
      </c>
      <c r="B4582" s="469"/>
      <c r="C4582" s="458"/>
      <c r="D4582" s="456">
        <v>0</v>
      </c>
      <c r="E4582" s="456">
        <v>0</v>
      </c>
      <c r="F4582" s="456"/>
      <c r="G4582" s="456"/>
      <c r="H4582" s="456"/>
    </row>
    <row r="4583" spans="1:8">
      <c r="A4583" s="696">
        <v>5580</v>
      </c>
      <c r="B4583" s="469"/>
      <c r="C4583" s="458"/>
      <c r="D4583" s="456">
        <v>0</v>
      </c>
      <c r="E4583" s="456">
        <v>0</v>
      </c>
      <c r="F4583" s="456"/>
      <c r="G4583" s="456"/>
      <c r="H4583" s="456"/>
    </row>
    <row r="4584" spans="1:8">
      <c r="A4584" s="696">
        <v>5581</v>
      </c>
      <c r="B4584" s="469"/>
      <c r="C4584" s="458"/>
      <c r="D4584" s="456">
        <v>0</v>
      </c>
      <c r="E4584" s="456">
        <v>0</v>
      </c>
      <c r="F4584" s="456"/>
      <c r="G4584" s="456"/>
      <c r="H4584" s="456"/>
    </row>
    <row r="4585" spans="1:8">
      <c r="A4585" s="696">
        <v>5582</v>
      </c>
      <c r="B4585" s="469"/>
      <c r="C4585" s="458"/>
      <c r="D4585" s="456">
        <v>0</v>
      </c>
      <c r="E4585" s="456">
        <v>0</v>
      </c>
      <c r="F4585" s="456"/>
      <c r="G4585" s="456"/>
      <c r="H4585" s="456"/>
    </row>
    <row r="4586" spans="1:8">
      <c r="A4586" s="696">
        <v>5583</v>
      </c>
      <c r="B4586" s="469"/>
      <c r="C4586" s="458"/>
      <c r="D4586" s="456">
        <v>0</v>
      </c>
      <c r="E4586" s="456">
        <v>0</v>
      </c>
      <c r="F4586" s="456"/>
      <c r="G4586" s="456"/>
      <c r="H4586" s="456"/>
    </row>
    <row r="4587" spans="1:8">
      <c r="A4587" s="696">
        <v>5584</v>
      </c>
      <c r="B4587" s="469"/>
      <c r="C4587" s="458"/>
      <c r="D4587" s="456">
        <v>0</v>
      </c>
      <c r="E4587" s="456">
        <v>0</v>
      </c>
      <c r="F4587" s="456"/>
      <c r="G4587" s="456"/>
      <c r="H4587" s="456"/>
    </row>
    <row r="4588" spans="1:8">
      <c r="A4588" s="696">
        <v>5585</v>
      </c>
      <c r="B4588" s="469"/>
      <c r="C4588" s="458"/>
      <c r="D4588" s="456">
        <v>0</v>
      </c>
      <c r="E4588" s="456">
        <v>0</v>
      </c>
      <c r="F4588" s="456"/>
      <c r="G4588" s="456"/>
      <c r="H4588" s="456"/>
    </row>
    <row r="4589" spans="1:8">
      <c r="A4589" s="696">
        <v>5586</v>
      </c>
      <c r="B4589" s="469"/>
      <c r="C4589" s="458"/>
      <c r="D4589" s="456">
        <v>0</v>
      </c>
      <c r="E4589" s="456">
        <v>0</v>
      </c>
      <c r="F4589" s="456"/>
      <c r="G4589" s="456"/>
      <c r="H4589" s="456"/>
    </row>
    <row r="4590" spans="1:8">
      <c r="A4590" s="696">
        <v>5587</v>
      </c>
      <c r="B4590" s="469"/>
      <c r="C4590" s="458"/>
      <c r="D4590" s="456">
        <v>0</v>
      </c>
      <c r="E4590" s="456">
        <v>0</v>
      </c>
      <c r="F4590" s="456"/>
      <c r="G4590" s="456"/>
      <c r="H4590" s="456"/>
    </row>
    <row r="4591" spans="1:8">
      <c r="A4591" s="696">
        <v>5588</v>
      </c>
      <c r="B4591" s="469"/>
      <c r="C4591" s="458"/>
      <c r="D4591" s="456">
        <v>0</v>
      </c>
      <c r="E4591" s="456">
        <v>0</v>
      </c>
      <c r="F4591" s="456"/>
      <c r="G4591" s="456"/>
      <c r="H4591" s="456"/>
    </row>
    <row r="4592" spans="1:8">
      <c r="A4592" s="696">
        <v>5589</v>
      </c>
      <c r="B4592" s="469"/>
      <c r="C4592" s="458"/>
      <c r="D4592" s="456">
        <v>0</v>
      </c>
      <c r="E4592" s="456">
        <v>0</v>
      </c>
      <c r="F4592" s="456"/>
      <c r="G4592" s="456"/>
      <c r="H4592" s="456"/>
    </row>
    <row r="4593" spans="1:8">
      <c r="A4593" s="696">
        <v>5590</v>
      </c>
      <c r="B4593" s="469"/>
      <c r="C4593" s="458"/>
      <c r="D4593" s="456">
        <v>0</v>
      </c>
      <c r="E4593" s="456">
        <v>0</v>
      </c>
      <c r="F4593" s="456"/>
      <c r="G4593" s="456"/>
      <c r="H4593" s="456"/>
    </row>
    <row r="4594" spans="1:8">
      <c r="A4594" s="696">
        <v>5591</v>
      </c>
      <c r="B4594" s="469"/>
      <c r="C4594" s="458"/>
      <c r="D4594" s="456">
        <v>0</v>
      </c>
      <c r="E4594" s="456">
        <v>0</v>
      </c>
      <c r="F4594" s="456"/>
      <c r="G4594" s="456"/>
      <c r="H4594" s="456"/>
    </row>
    <row r="4595" spans="1:8">
      <c r="A4595" s="696">
        <v>5592</v>
      </c>
      <c r="B4595" s="469"/>
      <c r="C4595" s="458"/>
      <c r="D4595" s="456">
        <v>0</v>
      </c>
      <c r="E4595" s="456">
        <v>0</v>
      </c>
      <c r="F4595" s="456"/>
      <c r="G4595" s="456"/>
      <c r="H4595" s="456"/>
    </row>
    <row r="4596" spans="1:8">
      <c r="A4596" s="696">
        <v>5593</v>
      </c>
      <c r="B4596" s="469"/>
      <c r="C4596" s="458"/>
      <c r="D4596" s="456">
        <v>0</v>
      </c>
      <c r="E4596" s="456">
        <v>0</v>
      </c>
      <c r="F4596" s="456"/>
      <c r="G4596" s="456"/>
      <c r="H4596" s="456"/>
    </row>
    <row r="4597" spans="1:8">
      <c r="A4597" s="696">
        <v>5594</v>
      </c>
      <c r="B4597" s="469"/>
      <c r="C4597" s="458"/>
      <c r="D4597" s="456">
        <v>0</v>
      </c>
      <c r="E4597" s="456">
        <v>0</v>
      </c>
      <c r="F4597" s="456"/>
      <c r="G4597" s="456"/>
      <c r="H4597" s="456"/>
    </row>
    <row r="4598" spans="1:8">
      <c r="A4598" s="696">
        <v>5595</v>
      </c>
      <c r="B4598" s="469"/>
      <c r="C4598" s="458"/>
      <c r="D4598" s="456">
        <v>0</v>
      </c>
      <c r="E4598" s="456">
        <v>0</v>
      </c>
      <c r="F4598" s="456"/>
      <c r="G4598" s="456"/>
      <c r="H4598" s="456"/>
    </row>
    <row r="4599" spans="1:8">
      <c r="A4599" s="696">
        <v>5596</v>
      </c>
      <c r="B4599" s="469"/>
      <c r="C4599" s="458"/>
      <c r="D4599" s="456">
        <v>0</v>
      </c>
      <c r="E4599" s="456">
        <v>0</v>
      </c>
      <c r="F4599" s="456"/>
      <c r="G4599" s="456"/>
      <c r="H4599" s="456"/>
    </row>
    <row r="4600" spans="1:8">
      <c r="A4600" s="696">
        <v>5597</v>
      </c>
      <c r="B4600" s="469"/>
      <c r="C4600" s="458"/>
      <c r="D4600" s="456">
        <v>0</v>
      </c>
      <c r="E4600" s="456">
        <v>0</v>
      </c>
      <c r="F4600" s="456"/>
      <c r="G4600" s="456"/>
      <c r="H4600" s="456"/>
    </row>
    <row r="4601" spans="1:8">
      <c r="A4601" s="696">
        <v>5598</v>
      </c>
      <c r="B4601" s="469"/>
      <c r="C4601" s="458"/>
      <c r="D4601" s="456">
        <v>0</v>
      </c>
      <c r="E4601" s="456">
        <v>0</v>
      </c>
      <c r="F4601" s="456"/>
      <c r="G4601" s="456"/>
      <c r="H4601" s="456"/>
    </row>
    <row r="4602" spans="1:8">
      <c r="A4602" s="696">
        <v>5599</v>
      </c>
      <c r="B4602" s="469"/>
      <c r="C4602" s="458"/>
      <c r="D4602" s="456">
        <v>0</v>
      </c>
      <c r="E4602" s="456">
        <v>0</v>
      </c>
      <c r="F4602" s="456"/>
      <c r="G4602" s="456"/>
      <c r="H4602" s="456"/>
    </row>
    <row r="4603" spans="1:8">
      <c r="A4603" s="696">
        <v>5600</v>
      </c>
      <c r="B4603" s="469"/>
      <c r="C4603" s="458"/>
      <c r="D4603" s="456">
        <v>0</v>
      </c>
      <c r="E4603" s="456">
        <v>0</v>
      </c>
      <c r="F4603" s="456"/>
      <c r="G4603" s="456"/>
      <c r="H4603" s="456"/>
    </row>
    <row r="4604" spans="1:8">
      <c r="A4604" s="696">
        <v>5601</v>
      </c>
      <c r="B4604" s="469"/>
      <c r="C4604" s="458"/>
      <c r="D4604" s="456">
        <v>0</v>
      </c>
      <c r="E4604" s="456">
        <v>0</v>
      </c>
      <c r="F4604" s="456"/>
      <c r="G4604" s="456"/>
      <c r="H4604" s="456"/>
    </row>
    <row r="4605" spans="1:8">
      <c r="A4605" s="696">
        <v>5602</v>
      </c>
      <c r="B4605" s="469"/>
      <c r="C4605" s="458"/>
      <c r="D4605" s="456">
        <v>0</v>
      </c>
      <c r="E4605" s="456">
        <v>0</v>
      </c>
      <c r="F4605" s="456"/>
      <c r="G4605" s="456"/>
      <c r="H4605" s="456"/>
    </row>
    <row r="4606" spans="1:8">
      <c r="A4606" s="696">
        <v>5603</v>
      </c>
      <c r="B4606" s="469"/>
      <c r="C4606" s="458"/>
      <c r="D4606" s="456">
        <v>0</v>
      </c>
      <c r="E4606" s="456">
        <v>0</v>
      </c>
      <c r="F4606" s="456"/>
      <c r="G4606" s="456"/>
      <c r="H4606" s="456"/>
    </row>
    <row r="4607" spans="1:8">
      <c r="A4607" s="696">
        <v>5604</v>
      </c>
      <c r="B4607" s="469"/>
      <c r="C4607" s="458"/>
      <c r="D4607" s="456">
        <v>0</v>
      </c>
      <c r="E4607" s="456">
        <v>0</v>
      </c>
      <c r="F4607" s="456"/>
      <c r="G4607" s="456"/>
      <c r="H4607" s="456"/>
    </row>
    <row r="4608" spans="1:8">
      <c r="A4608" s="696">
        <v>5605</v>
      </c>
      <c r="B4608" s="469"/>
      <c r="C4608" s="458"/>
      <c r="D4608" s="456">
        <v>0</v>
      </c>
      <c r="E4608" s="456">
        <v>0</v>
      </c>
      <c r="F4608" s="456"/>
      <c r="G4608" s="456"/>
      <c r="H4608" s="456"/>
    </row>
    <row r="4609" spans="1:8">
      <c r="A4609" s="696">
        <v>5606</v>
      </c>
      <c r="B4609" s="469"/>
      <c r="C4609" s="458"/>
      <c r="D4609" s="456">
        <v>0</v>
      </c>
      <c r="E4609" s="456">
        <v>0</v>
      </c>
      <c r="F4609" s="456"/>
      <c r="G4609" s="456"/>
      <c r="H4609" s="456"/>
    </row>
    <row r="4610" spans="1:8">
      <c r="A4610" s="696">
        <v>5607</v>
      </c>
      <c r="B4610" s="469"/>
      <c r="C4610" s="458"/>
      <c r="D4610" s="456">
        <v>0</v>
      </c>
      <c r="E4610" s="456">
        <v>0</v>
      </c>
      <c r="F4610" s="456"/>
      <c r="G4610" s="456"/>
      <c r="H4610" s="456"/>
    </row>
    <row r="4611" spans="1:8">
      <c r="A4611" s="696">
        <v>5608</v>
      </c>
      <c r="B4611" s="469"/>
      <c r="C4611" s="458"/>
      <c r="D4611" s="456">
        <v>0</v>
      </c>
      <c r="E4611" s="456">
        <v>0</v>
      </c>
      <c r="F4611" s="456"/>
      <c r="G4611" s="456"/>
      <c r="H4611" s="456"/>
    </row>
    <row r="4612" spans="1:8">
      <c r="A4612" s="696">
        <v>5609</v>
      </c>
      <c r="B4612" s="469"/>
      <c r="C4612" s="458"/>
      <c r="D4612" s="456">
        <v>0</v>
      </c>
      <c r="E4612" s="456">
        <v>0</v>
      </c>
      <c r="F4612" s="456"/>
      <c r="G4612" s="456"/>
      <c r="H4612" s="456"/>
    </row>
    <row r="4613" spans="1:8">
      <c r="A4613" s="696">
        <v>5610</v>
      </c>
      <c r="B4613" s="469"/>
      <c r="C4613" s="458"/>
      <c r="D4613" s="456">
        <v>0</v>
      </c>
      <c r="E4613" s="456">
        <v>0</v>
      </c>
      <c r="F4613" s="456"/>
      <c r="G4613" s="456"/>
      <c r="H4613" s="456"/>
    </row>
    <row r="4614" spans="1:8">
      <c r="A4614" s="696">
        <v>5611</v>
      </c>
      <c r="B4614" s="469"/>
      <c r="C4614" s="458"/>
      <c r="D4614" s="456">
        <v>0</v>
      </c>
      <c r="E4614" s="456">
        <v>0</v>
      </c>
      <c r="F4614" s="456"/>
      <c r="G4614" s="456"/>
      <c r="H4614" s="456"/>
    </row>
    <row r="4615" spans="1:8">
      <c r="A4615" s="696">
        <v>5612</v>
      </c>
      <c r="B4615" s="469"/>
      <c r="C4615" s="458"/>
      <c r="D4615" s="456">
        <v>0</v>
      </c>
      <c r="E4615" s="456">
        <v>0</v>
      </c>
      <c r="F4615" s="456"/>
      <c r="G4615" s="456"/>
      <c r="H4615" s="456"/>
    </row>
    <row r="4616" spans="1:8">
      <c r="A4616" s="696">
        <v>5613</v>
      </c>
      <c r="B4616" s="469"/>
      <c r="C4616" s="458"/>
      <c r="D4616" s="456">
        <v>0</v>
      </c>
      <c r="E4616" s="456">
        <v>0</v>
      </c>
      <c r="F4616" s="456"/>
      <c r="G4616" s="456"/>
      <c r="H4616" s="456"/>
    </row>
    <row r="4617" spans="1:8">
      <c r="A4617" s="696">
        <v>5614</v>
      </c>
      <c r="B4617" s="469"/>
      <c r="C4617" s="458"/>
      <c r="D4617" s="456">
        <v>0</v>
      </c>
      <c r="E4617" s="456">
        <v>0</v>
      </c>
      <c r="F4617" s="456"/>
      <c r="G4617" s="456"/>
      <c r="H4617" s="456"/>
    </row>
    <row r="4618" spans="1:8">
      <c r="A4618" s="696">
        <v>5615</v>
      </c>
      <c r="B4618" s="469"/>
      <c r="C4618" s="458"/>
      <c r="D4618" s="456">
        <v>0</v>
      </c>
      <c r="E4618" s="456">
        <v>0</v>
      </c>
      <c r="F4618" s="456"/>
      <c r="G4618" s="456"/>
      <c r="H4618" s="456"/>
    </row>
    <row r="4619" spans="1:8">
      <c r="A4619" s="696">
        <v>5616</v>
      </c>
      <c r="B4619" s="469"/>
      <c r="C4619" s="458"/>
      <c r="D4619" s="456">
        <v>0</v>
      </c>
      <c r="E4619" s="456">
        <v>0</v>
      </c>
      <c r="F4619" s="456"/>
      <c r="G4619" s="456"/>
      <c r="H4619" s="456"/>
    </row>
    <row r="4620" spans="1:8">
      <c r="A4620" s="696">
        <v>5617</v>
      </c>
      <c r="B4620" s="469"/>
      <c r="C4620" s="458"/>
      <c r="D4620" s="456">
        <v>0</v>
      </c>
      <c r="E4620" s="456">
        <v>0</v>
      </c>
      <c r="F4620" s="456"/>
      <c r="G4620" s="456"/>
      <c r="H4620" s="456"/>
    </row>
    <row r="4621" spans="1:8">
      <c r="A4621" s="696">
        <v>5618</v>
      </c>
      <c r="B4621" s="469"/>
      <c r="C4621" s="458"/>
      <c r="D4621" s="456">
        <v>0</v>
      </c>
      <c r="E4621" s="456">
        <v>0</v>
      </c>
      <c r="F4621" s="456"/>
      <c r="G4621" s="456"/>
      <c r="H4621" s="456"/>
    </row>
    <row r="4622" spans="1:8">
      <c r="A4622" s="696">
        <v>5619</v>
      </c>
      <c r="B4622" s="469"/>
      <c r="C4622" s="458"/>
      <c r="D4622" s="456">
        <v>0</v>
      </c>
      <c r="E4622" s="456">
        <v>0</v>
      </c>
      <c r="F4622" s="456"/>
      <c r="G4622" s="456"/>
      <c r="H4622" s="456"/>
    </row>
    <row r="4623" spans="1:8">
      <c r="A4623" s="696">
        <v>5620</v>
      </c>
      <c r="B4623" s="469"/>
      <c r="C4623" s="458"/>
      <c r="D4623" s="456">
        <v>0</v>
      </c>
      <c r="E4623" s="456">
        <v>0</v>
      </c>
      <c r="F4623" s="456"/>
      <c r="G4623" s="456"/>
      <c r="H4623" s="456"/>
    </row>
    <row r="4624" spans="1:8">
      <c r="A4624" s="696">
        <v>5621</v>
      </c>
      <c r="B4624" s="469"/>
      <c r="C4624" s="458"/>
      <c r="D4624" s="456">
        <v>0</v>
      </c>
      <c r="E4624" s="456">
        <v>0</v>
      </c>
      <c r="F4624" s="456"/>
      <c r="G4624" s="456"/>
      <c r="H4624" s="456"/>
    </row>
    <row r="4625" spans="1:8">
      <c r="A4625" s="696">
        <v>5622</v>
      </c>
      <c r="B4625" s="469"/>
      <c r="C4625" s="458"/>
      <c r="D4625" s="456">
        <v>0</v>
      </c>
      <c r="E4625" s="456">
        <v>0</v>
      </c>
      <c r="F4625" s="456"/>
      <c r="G4625" s="456"/>
      <c r="H4625" s="456"/>
    </row>
    <row r="4626" spans="1:8">
      <c r="A4626" s="696">
        <v>5623</v>
      </c>
      <c r="B4626" s="469"/>
      <c r="C4626" s="458"/>
      <c r="D4626" s="456">
        <v>0</v>
      </c>
      <c r="E4626" s="456">
        <v>0</v>
      </c>
      <c r="F4626" s="456"/>
      <c r="G4626" s="456"/>
      <c r="H4626" s="456"/>
    </row>
    <row r="4627" spans="1:8">
      <c r="A4627" s="696">
        <v>5624</v>
      </c>
      <c r="B4627" s="469"/>
      <c r="C4627" s="458"/>
      <c r="D4627" s="456">
        <v>0</v>
      </c>
      <c r="E4627" s="456">
        <v>0</v>
      </c>
      <c r="F4627" s="456"/>
      <c r="G4627" s="456"/>
      <c r="H4627" s="456"/>
    </row>
    <row r="4628" spans="1:8">
      <c r="A4628" s="696">
        <v>5625</v>
      </c>
      <c r="B4628" s="469"/>
      <c r="C4628" s="458"/>
      <c r="D4628" s="456">
        <v>0</v>
      </c>
      <c r="E4628" s="456">
        <v>0</v>
      </c>
      <c r="F4628" s="456"/>
      <c r="G4628" s="456"/>
      <c r="H4628" s="456"/>
    </row>
    <row r="4629" spans="1:8">
      <c r="A4629" s="696">
        <v>5626</v>
      </c>
      <c r="B4629" s="469"/>
      <c r="C4629" s="458"/>
      <c r="D4629" s="456">
        <v>0</v>
      </c>
      <c r="E4629" s="456">
        <v>0</v>
      </c>
      <c r="F4629" s="456"/>
      <c r="G4629" s="456"/>
      <c r="H4629" s="456"/>
    </row>
    <row r="4630" spans="1:8">
      <c r="A4630" s="696">
        <v>5627</v>
      </c>
      <c r="B4630" s="469"/>
      <c r="C4630" s="458"/>
      <c r="D4630" s="456">
        <v>0</v>
      </c>
      <c r="E4630" s="456">
        <v>0</v>
      </c>
      <c r="F4630" s="456"/>
      <c r="G4630" s="456"/>
      <c r="H4630" s="456"/>
    </row>
    <row r="4631" spans="1:8">
      <c r="A4631" s="696">
        <v>5628</v>
      </c>
      <c r="B4631" s="469"/>
      <c r="C4631" s="458"/>
      <c r="D4631" s="456">
        <v>0</v>
      </c>
      <c r="E4631" s="456">
        <v>0</v>
      </c>
      <c r="F4631" s="456"/>
      <c r="G4631" s="456"/>
      <c r="H4631" s="456"/>
    </row>
    <row r="4632" spans="1:8">
      <c r="A4632" s="696">
        <v>5629</v>
      </c>
      <c r="B4632" s="469"/>
      <c r="C4632" s="458"/>
      <c r="D4632" s="456">
        <v>0</v>
      </c>
      <c r="E4632" s="456">
        <v>0</v>
      </c>
      <c r="F4632" s="456"/>
      <c r="G4632" s="456"/>
      <c r="H4632" s="456"/>
    </row>
    <row r="4633" spans="1:8">
      <c r="A4633" s="696">
        <v>5630</v>
      </c>
      <c r="B4633" s="469"/>
      <c r="C4633" s="458"/>
      <c r="D4633" s="456">
        <v>0</v>
      </c>
      <c r="E4633" s="456">
        <v>0</v>
      </c>
      <c r="F4633" s="456"/>
      <c r="G4633" s="456"/>
      <c r="H4633" s="456"/>
    </row>
    <row r="4634" spans="1:8">
      <c r="A4634" s="696">
        <v>5631</v>
      </c>
      <c r="B4634" s="469"/>
      <c r="C4634" s="458"/>
      <c r="D4634" s="456">
        <v>0</v>
      </c>
      <c r="E4634" s="456">
        <v>0</v>
      </c>
      <c r="F4634" s="456"/>
      <c r="G4634" s="456"/>
      <c r="H4634" s="456"/>
    </row>
    <row r="4635" spans="1:8">
      <c r="A4635" s="696">
        <v>5632</v>
      </c>
      <c r="B4635" s="469"/>
      <c r="C4635" s="458"/>
      <c r="D4635" s="456">
        <v>0</v>
      </c>
      <c r="E4635" s="456">
        <v>0</v>
      </c>
      <c r="F4635" s="456"/>
      <c r="G4635" s="456"/>
      <c r="H4635" s="456"/>
    </row>
    <row r="4636" spans="1:8">
      <c r="A4636" s="696">
        <v>5633</v>
      </c>
      <c r="B4636" s="469"/>
      <c r="C4636" s="458"/>
      <c r="D4636" s="456">
        <v>0</v>
      </c>
      <c r="E4636" s="456">
        <v>0</v>
      </c>
      <c r="F4636" s="456"/>
      <c r="G4636" s="456"/>
      <c r="H4636" s="456"/>
    </row>
    <row r="4637" spans="1:8">
      <c r="A4637" s="696">
        <v>5634</v>
      </c>
      <c r="B4637" s="469"/>
      <c r="C4637" s="458"/>
      <c r="D4637" s="456">
        <v>0</v>
      </c>
      <c r="E4637" s="456">
        <v>0</v>
      </c>
      <c r="F4637" s="456"/>
      <c r="G4637" s="456"/>
      <c r="H4637" s="456"/>
    </row>
    <row r="4638" spans="1:8">
      <c r="A4638" s="696">
        <v>5635</v>
      </c>
      <c r="B4638" s="469"/>
      <c r="C4638" s="458"/>
      <c r="D4638" s="456">
        <v>0</v>
      </c>
      <c r="E4638" s="456">
        <v>0</v>
      </c>
      <c r="F4638" s="456"/>
      <c r="G4638" s="456"/>
      <c r="H4638" s="456"/>
    </row>
    <row r="4639" spans="1:8">
      <c r="A4639" s="696">
        <v>5636</v>
      </c>
      <c r="B4639" s="469"/>
      <c r="C4639" s="458"/>
      <c r="D4639" s="456">
        <v>0</v>
      </c>
      <c r="E4639" s="456">
        <v>0</v>
      </c>
      <c r="F4639" s="456"/>
      <c r="G4639" s="456"/>
      <c r="H4639" s="456"/>
    </row>
    <row r="4640" spans="1:8">
      <c r="A4640" s="696">
        <v>5637</v>
      </c>
      <c r="B4640" s="469"/>
      <c r="C4640" s="458"/>
      <c r="D4640" s="456">
        <v>0</v>
      </c>
      <c r="E4640" s="456">
        <v>0</v>
      </c>
      <c r="F4640" s="456"/>
      <c r="G4640" s="456"/>
      <c r="H4640" s="456"/>
    </row>
    <row r="4641" spans="1:8">
      <c r="A4641" s="696">
        <v>5638</v>
      </c>
      <c r="B4641" s="469"/>
      <c r="C4641" s="458"/>
      <c r="D4641" s="456">
        <v>0</v>
      </c>
      <c r="E4641" s="456">
        <v>0</v>
      </c>
      <c r="F4641" s="456"/>
      <c r="G4641" s="456"/>
      <c r="H4641" s="456"/>
    </row>
    <row r="4642" spans="1:8">
      <c r="A4642" s="696">
        <v>5639</v>
      </c>
      <c r="B4642" s="469"/>
      <c r="C4642" s="458"/>
      <c r="D4642" s="456">
        <v>0</v>
      </c>
      <c r="E4642" s="456">
        <v>0</v>
      </c>
      <c r="F4642" s="456"/>
      <c r="G4642" s="456"/>
      <c r="H4642" s="456"/>
    </row>
    <row r="4643" spans="1:8">
      <c r="A4643" s="696">
        <v>5640</v>
      </c>
      <c r="B4643" s="469"/>
      <c r="C4643" s="458"/>
      <c r="D4643" s="456">
        <v>0</v>
      </c>
      <c r="E4643" s="456">
        <v>0</v>
      </c>
      <c r="F4643" s="456"/>
      <c r="G4643" s="456"/>
      <c r="H4643" s="456"/>
    </row>
    <row r="4644" spans="1:8">
      <c r="A4644" s="696">
        <v>5641</v>
      </c>
      <c r="B4644" s="469"/>
      <c r="C4644" s="458"/>
      <c r="D4644" s="456">
        <v>0</v>
      </c>
      <c r="E4644" s="456">
        <v>0</v>
      </c>
      <c r="F4644" s="456"/>
      <c r="G4644" s="456"/>
      <c r="H4644" s="456"/>
    </row>
    <row r="4645" spans="1:8">
      <c r="A4645" s="696">
        <v>5642</v>
      </c>
      <c r="B4645" s="469"/>
      <c r="C4645" s="458"/>
      <c r="D4645" s="456">
        <v>0</v>
      </c>
      <c r="E4645" s="456">
        <v>0</v>
      </c>
      <c r="F4645" s="456"/>
      <c r="G4645" s="456"/>
      <c r="H4645" s="456"/>
    </row>
    <row r="4646" spans="1:8">
      <c r="A4646" s="696">
        <v>5643</v>
      </c>
      <c r="B4646" s="469"/>
      <c r="C4646" s="458"/>
      <c r="D4646" s="456">
        <v>0</v>
      </c>
      <c r="E4646" s="456">
        <v>0</v>
      </c>
      <c r="F4646" s="456"/>
      <c r="G4646" s="456"/>
      <c r="H4646" s="456"/>
    </row>
    <row r="4647" spans="1:8">
      <c r="A4647" s="696">
        <v>5644</v>
      </c>
      <c r="B4647" s="469"/>
      <c r="C4647" s="458"/>
      <c r="D4647" s="456">
        <v>0</v>
      </c>
      <c r="E4647" s="456">
        <v>0</v>
      </c>
      <c r="F4647" s="456"/>
      <c r="G4647" s="456"/>
      <c r="H4647" s="456"/>
    </row>
    <row r="4648" spans="1:8">
      <c r="A4648" s="696">
        <v>5645</v>
      </c>
      <c r="B4648" s="469"/>
      <c r="C4648" s="458"/>
      <c r="D4648" s="456">
        <v>0</v>
      </c>
      <c r="E4648" s="456">
        <v>0</v>
      </c>
      <c r="F4648" s="456"/>
      <c r="G4648" s="456"/>
      <c r="H4648" s="456"/>
    </row>
    <row r="4649" spans="1:8">
      <c r="A4649" s="696">
        <v>5646</v>
      </c>
      <c r="B4649" s="469"/>
      <c r="C4649" s="458"/>
      <c r="D4649" s="456">
        <v>0</v>
      </c>
      <c r="E4649" s="456">
        <v>0</v>
      </c>
      <c r="F4649" s="456"/>
      <c r="G4649" s="456"/>
      <c r="H4649" s="456"/>
    </row>
    <row r="4650" spans="1:8">
      <c r="A4650" s="696">
        <v>5647</v>
      </c>
      <c r="B4650" s="469"/>
      <c r="C4650" s="458"/>
      <c r="D4650" s="456">
        <v>0</v>
      </c>
      <c r="E4650" s="456">
        <v>0</v>
      </c>
      <c r="F4650" s="456"/>
      <c r="G4650" s="456"/>
      <c r="H4650" s="456"/>
    </row>
    <row r="4651" spans="1:8">
      <c r="A4651" s="696">
        <v>5648</v>
      </c>
      <c r="B4651" s="469"/>
      <c r="C4651" s="458"/>
      <c r="D4651" s="456">
        <v>0</v>
      </c>
      <c r="E4651" s="456">
        <v>0</v>
      </c>
      <c r="F4651" s="456"/>
      <c r="G4651" s="456"/>
      <c r="H4651" s="456"/>
    </row>
    <row r="4652" spans="1:8">
      <c r="A4652" s="696">
        <v>5649</v>
      </c>
      <c r="B4652" s="469"/>
      <c r="C4652" s="458"/>
      <c r="D4652" s="456">
        <v>0</v>
      </c>
      <c r="E4652" s="456">
        <v>0</v>
      </c>
      <c r="F4652" s="456"/>
      <c r="G4652" s="456"/>
      <c r="H4652" s="456"/>
    </row>
    <row r="4653" spans="1:8">
      <c r="A4653" s="696">
        <v>5650</v>
      </c>
      <c r="B4653" s="469"/>
      <c r="C4653" s="458"/>
      <c r="D4653" s="456">
        <v>0</v>
      </c>
      <c r="E4653" s="456">
        <v>0</v>
      </c>
      <c r="F4653" s="456"/>
      <c r="G4653" s="456"/>
      <c r="H4653" s="456"/>
    </row>
    <row r="4654" spans="1:8">
      <c r="A4654" s="696">
        <v>5651</v>
      </c>
      <c r="B4654" s="469"/>
      <c r="C4654" s="458"/>
      <c r="D4654" s="456">
        <v>0</v>
      </c>
      <c r="E4654" s="456">
        <v>0</v>
      </c>
      <c r="F4654" s="456"/>
      <c r="G4654" s="456"/>
      <c r="H4654" s="456"/>
    </row>
    <row r="4655" spans="1:8">
      <c r="A4655" s="696">
        <v>5652</v>
      </c>
      <c r="B4655" s="469"/>
      <c r="C4655" s="458"/>
      <c r="D4655" s="456">
        <v>0</v>
      </c>
      <c r="E4655" s="456">
        <v>0</v>
      </c>
      <c r="F4655" s="456"/>
      <c r="G4655" s="456"/>
      <c r="H4655" s="456"/>
    </row>
    <row r="4656" spans="1:8">
      <c r="A4656" s="696">
        <v>5653</v>
      </c>
      <c r="B4656" s="469"/>
      <c r="C4656" s="458"/>
      <c r="D4656" s="456">
        <v>0</v>
      </c>
      <c r="E4656" s="456">
        <v>0</v>
      </c>
      <c r="F4656" s="456"/>
      <c r="G4656" s="456"/>
      <c r="H4656" s="456"/>
    </row>
    <row r="4657" spans="1:8">
      <c r="A4657" s="696">
        <v>5654</v>
      </c>
      <c r="B4657" s="469"/>
      <c r="C4657" s="458"/>
      <c r="D4657" s="456">
        <v>0</v>
      </c>
      <c r="E4657" s="456">
        <v>0</v>
      </c>
      <c r="F4657" s="456"/>
      <c r="G4657" s="456"/>
      <c r="H4657" s="456"/>
    </row>
    <row r="4658" spans="1:8">
      <c r="A4658" s="696">
        <v>5655</v>
      </c>
      <c r="B4658" s="469"/>
      <c r="C4658" s="458"/>
      <c r="D4658" s="456">
        <v>0</v>
      </c>
      <c r="E4658" s="456">
        <v>0</v>
      </c>
      <c r="F4658" s="456"/>
      <c r="G4658" s="456"/>
      <c r="H4658" s="456"/>
    </row>
    <row r="4659" spans="1:8">
      <c r="A4659" s="696">
        <v>5656</v>
      </c>
      <c r="B4659" s="469"/>
      <c r="C4659" s="458"/>
      <c r="D4659" s="456">
        <v>0</v>
      </c>
      <c r="E4659" s="456">
        <v>0</v>
      </c>
      <c r="F4659" s="456"/>
      <c r="G4659" s="456"/>
      <c r="H4659" s="456"/>
    </row>
    <row r="4660" spans="1:8">
      <c r="A4660" s="696">
        <v>5657</v>
      </c>
      <c r="B4660" s="469"/>
      <c r="C4660" s="458"/>
      <c r="D4660" s="456">
        <v>0</v>
      </c>
      <c r="E4660" s="456">
        <v>0</v>
      </c>
      <c r="F4660" s="456"/>
      <c r="G4660" s="456"/>
      <c r="H4660" s="456"/>
    </row>
    <row r="4661" spans="1:8">
      <c r="A4661" s="696">
        <v>5658</v>
      </c>
      <c r="B4661" s="469"/>
      <c r="C4661" s="458"/>
      <c r="D4661" s="456">
        <v>0</v>
      </c>
      <c r="E4661" s="456">
        <v>0</v>
      </c>
      <c r="F4661" s="456"/>
      <c r="G4661" s="456"/>
      <c r="H4661" s="456"/>
    </row>
    <row r="4662" spans="1:8">
      <c r="A4662" s="696">
        <v>5659</v>
      </c>
      <c r="B4662" s="469"/>
      <c r="C4662" s="458"/>
      <c r="D4662" s="456">
        <v>0</v>
      </c>
      <c r="E4662" s="456">
        <v>0</v>
      </c>
      <c r="F4662" s="456"/>
      <c r="G4662" s="456"/>
      <c r="H4662" s="456"/>
    </row>
    <row r="4663" spans="1:8">
      <c r="A4663" s="696">
        <v>5660</v>
      </c>
      <c r="B4663" s="469"/>
      <c r="C4663" s="458"/>
      <c r="D4663" s="456">
        <v>0</v>
      </c>
      <c r="E4663" s="456">
        <v>0</v>
      </c>
      <c r="F4663" s="456"/>
      <c r="G4663" s="456"/>
      <c r="H4663" s="456"/>
    </row>
    <row r="4664" spans="1:8">
      <c r="A4664" s="696">
        <v>5661</v>
      </c>
      <c r="B4664" s="469"/>
      <c r="C4664" s="458"/>
      <c r="D4664" s="456">
        <v>0</v>
      </c>
      <c r="E4664" s="456">
        <v>0</v>
      </c>
      <c r="F4664" s="456"/>
      <c r="G4664" s="456"/>
      <c r="H4664" s="456"/>
    </row>
    <row r="4665" spans="1:8">
      <c r="A4665" s="696">
        <v>5662</v>
      </c>
      <c r="B4665" s="469"/>
      <c r="C4665" s="458"/>
      <c r="D4665" s="456">
        <v>0</v>
      </c>
      <c r="E4665" s="456">
        <v>0</v>
      </c>
      <c r="F4665" s="456"/>
      <c r="G4665" s="456"/>
      <c r="H4665" s="456"/>
    </row>
    <row r="4666" spans="1:8">
      <c r="A4666" s="696">
        <v>5663</v>
      </c>
      <c r="B4666" s="469"/>
      <c r="C4666" s="458"/>
      <c r="D4666" s="456">
        <v>0</v>
      </c>
      <c r="E4666" s="456">
        <v>0</v>
      </c>
      <c r="F4666" s="456"/>
      <c r="G4666" s="456"/>
      <c r="H4666" s="456"/>
    </row>
    <row r="4667" spans="1:8">
      <c r="A4667" s="696">
        <v>5664</v>
      </c>
      <c r="B4667" s="469"/>
      <c r="C4667" s="458"/>
      <c r="D4667" s="456">
        <v>0</v>
      </c>
      <c r="E4667" s="456">
        <v>0</v>
      </c>
      <c r="F4667" s="456"/>
      <c r="G4667" s="456"/>
      <c r="H4667" s="456"/>
    </row>
    <row r="4668" spans="1:8">
      <c r="A4668" s="696">
        <v>5665</v>
      </c>
      <c r="B4668" s="469"/>
      <c r="C4668" s="458"/>
      <c r="D4668" s="456">
        <v>0</v>
      </c>
      <c r="E4668" s="456">
        <v>0</v>
      </c>
      <c r="F4668" s="456"/>
      <c r="G4668" s="456"/>
      <c r="H4668" s="456"/>
    </row>
    <row r="4669" spans="1:8">
      <c r="A4669" s="696">
        <v>5666</v>
      </c>
      <c r="B4669" s="469"/>
      <c r="C4669" s="458"/>
      <c r="D4669" s="456">
        <v>0</v>
      </c>
      <c r="E4669" s="456">
        <v>0</v>
      </c>
      <c r="F4669" s="456"/>
      <c r="G4669" s="456"/>
      <c r="H4669" s="456"/>
    </row>
    <row r="4670" spans="1:8">
      <c r="A4670" s="696">
        <v>5667</v>
      </c>
      <c r="B4670" s="469"/>
      <c r="C4670" s="458"/>
      <c r="D4670" s="456">
        <v>0</v>
      </c>
      <c r="E4670" s="456">
        <v>0</v>
      </c>
      <c r="F4670" s="456"/>
      <c r="G4670" s="456"/>
      <c r="H4670" s="456"/>
    </row>
    <row r="4671" spans="1:8">
      <c r="A4671" s="696">
        <v>5668</v>
      </c>
      <c r="B4671" s="469"/>
      <c r="C4671" s="458"/>
      <c r="D4671" s="456">
        <v>0</v>
      </c>
      <c r="E4671" s="456">
        <v>0</v>
      </c>
      <c r="F4671" s="456"/>
      <c r="G4671" s="456"/>
      <c r="H4671" s="456"/>
    </row>
    <row r="4672" spans="1:8">
      <c r="A4672" s="696">
        <v>5669</v>
      </c>
      <c r="B4672" s="469"/>
      <c r="C4672" s="458"/>
      <c r="D4672" s="456">
        <v>0</v>
      </c>
      <c r="E4672" s="456">
        <v>0</v>
      </c>
      <c r="F4672" s="456"/>
      <c r="G4672" s="456"/>
      <c r="H4672" s="456"/>
    </row>
    <row r="4673" spans="1:8">
      <c r="A4673" s="696">
        <v>5670</v>
      </c>
      <c r="B4673" s="469"/>
      <c r="C4673" s="458"/>
      <c r="D4673" s="456">
        <v>0</v>
      </c>
      <c r="E4673" s="456">
        <v>0</v>
      </c>
      <c r="F4673" s="456"/>
      <c r="G4673" s="456"/>
      <c r="H4673" s="456"/>
    </row>
    <row r="4674" spans="1:8">
      <c r="A4674" s="696">
        <v>5671</v>
      </c>
      <c r="B4674" s="469"/>
      <c r="C4674" s="458"/>
      <c r="D4674" s="456">
        <v>0</v>
      </c>
      <c r="E4674" s="456">
        <v>0</v>
      </c>
      <c r="F4674" s="456"/>
      <c r="G4674" s="456"/>
      <c r="H4674" s="456"/>
    </row>
    <row r="4675" spans="1:8">
      <c r="A4675" s="696">
        <v>5672</v>
      </c>
      <c r="B4675" s="469"/>
      <c r="C4675" s="458"/>
      <c r="D4675" s="456">
        <v>0</v>
      </c>
      <c r="E4675" s="456">
        <v>0</v>
      </c>
      <c r="F4675" s="456"/>
      <c r="G4675" s="456"/>
      <c r="H4675" s="456"/>
    </row>
    <row r="4676" spans="1:8">
      <c r="A4676" s="696">
        <v>5673</v>
      </c>
      <c r="B4676" s="469"/>
      <c r="C4676" s="458"/>
      <c r="D4676" s="456">
        <v>0</v>
      </c>
      <c r="E4676" s="456">
        <v>0</v>
      </c>
      <c r="F4676" s="456"/>
      <c r="G4676" s="456"/>
      <c r="H4676" s="456"/>
    </row>
    <row r="4677" spans="1:8">
      <c r="A4677" s="696">
        <v>5674</v>
      </c>
      <c r="B4677" s="469"/>
      <c r="C4677" s="458"/>
      <c r="D4677" s="456">
        <v>0</v>
      </c>
      <c r="E4677" s="456">
        <v>0</v>
      </c>
      <c r="F4677" s="456"/>
      <c r="G4677" s="456"/>
      <c r="H4677" s="456"/>
    </row>
    <row r="4678" spans="1:8">
      <c r="A4678" s="696">
        <v>5675</v>
      </c>
      <c r="B4678" s="469"/>
      <c r="C4678" s="458"/>
      <c r="D4678" s="456">
        <v>0</v>
      </c>
      <c r="E4678" s="456">
        <v>0</v>
      </c>
      <c r="F4678" s="456"/>
      <c r="G4678" s="456"/>
      <c r="H4678" s="456"/>
    </row>
    <row r="4679" spans="1:8">
      <c r="A4679" s="696">
        <v>5676</v>
      </c>
      <c r="B4679" s="469"/>
      <c r="C4679" s="458"/>
      <c r="D4679" s="456">
        <v>0</v>
      </c>
      <c r="E4679" s="456">
        <v>0</v>
      </c>
      <c r="F4679" s="456"/>
      <c r="G4679" s="456"/>
      <c r="H4679" s="456"/>
    </row>
    <row r="4680" spans="1:8">
      <c r="A4680" s="696">
        <v>5677</v>
      </c>
      <c r="B4680" s="469"/>
      <c r="C4680" s="458"/>
      <c r="D4680" s="456">
        <v>0</v>
      </c>
      <c r="E4680" s="456">
        <v>0</v>
      </c>
      <c r="F4680" s="456"/>
      <c r="G4680" s="456"/>
      <c r="H4680" s="456"/>
    </row>
    <row r="4681" spans="1:8">
      <c r="A4681" s="696">
        <v>5678</v>
      </c>
      <c r="B4681" s="469"/>
      <c r="C4681" s="458"/>
      <c r="D4681" s="456">
        <v>0</v>
      </c>
      <c r="E4681" s="456">
        <v>0</v>
      </c>
      <c r="F4681" s="456"/>
      <c r="G4681" s="456"/>
      <c r="H4681" s="456"/>
    </row>
    <row r="4682" spans="1:8">
      <c r="A4682" s="696">
        <v>5679</v>
      </c>
      <c r="B4682" s="469"/>
      <c r="C4682" s="458"/>
      <c r="D4682" s="456">
        <v>0</v>
      </c>
      <c r="E4682" s="456">
        <v>0</v>
      </c>
      <c r="F4682" s="456"/>
      <c r="G4682" s="456"/>
      <c r="H4682" s="456"/>
    </row>
    <row r="4683" spans="1:8">
      <c r="A4683" s="696">
        <v>5680</v>
      </c>
      <c r="B4683" s="469"/>
      <c r="C4683" s="458"/>
      <c r="D4683" s="456">
        <v>0</v>
      </c>
      <c r="E4683" s="456">
        <v>0</v>
      </c>
      <c r="F4683" s="456"/>
      <c r="G4683" s="456"/>
      <c r="H4683" s="456"/>
    </row>
    <row r="4684" spans="1:8">
      <c r="A4684" s="696">
        <v>5681</v>
      </c>
      <c r="B4684" s="469"/>
      <c r="C4684" s="458"/>
      <c r="D4684" s="456">
        <v>0</v>
      </c>
      <c r="E4684" s="456">
        <v>0</v>
      </c>
      <c r="F4684" s="456"/>
      <c r="G4684" s="456"/>
      <c r="H4684" s="456"/>
    </row>
    <row r="4685" spans="1:8">
      <c r="A4685" s="696">
        <v>5682</v>
      </c>
      <c r="B4685" s="469"/>
      <c r="C4685" s="458"/>
      <c r="D4685" s="456">
        <v>0</v>
      </c>
      <c r="E4685" s="456">
        <v>0</v>
      </c>
      <c r="F4685" s="456"/>
      <c r="G4685" s="456"/>
      <c r="H4685" s="456"/>
    </row>
    <row r="4686" spans="1:8">
      <c r="A4686" s="696">
        <v>5683</v>
      </c>
      <c r="B4686" s="469"/>
      <c r="C4686" s="458"/>
      <c r="D4686" s="456">
        <v>0</v>
      </c>
      <c r="E4686" s="456">
        <v>0</v>
      </c>
      <c r="F4686" s="456"/>
      <c r="G4686" s="456"/>
      <c r="H4686" s="456"/>
    </row>
    <row r="4687" spans="1:8">
      <c r="A4687" s="696">
        <v>5684</v>
      </c>
      <c r="B4687" s="469"/>
      <c r="C4687" s="458"/>
      <c r="D4687" s="456">
        <v>0</v>
      </c>
      <c r="E4687" s="456">
        <v>0</v>
      </c>
      <c r="F4687" s="456"/>
      <c r="G4687" s="456"/>
      <c r="H4687" s="456"/>
    </row>
    <row r="4688" spans="1:8">
      <c r="A4688" s="696">
        <v>5685</v>
      </c>
      <c r="B4688" s="469"/>
      <c r="C4688" s="458"/>
      <c r="D4688" s="456">
        <v>0</v>
      </c>
      <c r="E4688" s="456">
        <v>0</v>
      </c>
      <c r="F4688" s="456"/>
      <c r="G4688" s="456"/>
      <c r="H4688" s="456"/>
    </row>
    <row r="4689" spans="1:8">
      <c r="A4689" s="696">
        <v>5686</v>
      </c>
      <c r="B4689" s="469"/>
      <c r="C4689" s="458"/>
      <c r="D4689" s="456">
        <v>0</v>
      </c>
      <c r="E4689" s="456">
        <v>0</v>
      </c>
      <c r="F4689" s="456"/>
      <c r="G4689" s="456"/>
      <c r="H4689" s="456"/>
    </row>
    <row r="4690" spans="1:8">
      <c r="A4690" s="696">
        <v>5687</v>
      </c>
      <c r="B4690" s="469"/>
      <c r="C4690" s="458"/>
      <c r="D4690" s="456">
        <v>0</v>
      </c>
      <c r="E4690" s="456">
        <v>0</v>
      </c>
      <c r="F4690" s="456"/>
      <c r="G4690" s="456"/>
      <c r="H4690" s="456"/>
    </row>
    <row r="4691" spans="1:8">
      <c r="A4691" s="696">
        <v>5688</v>
      </c>
      <c r="B4691" s="469"/>
      <c r="C4691" s="458"/>
      <c r="D4691" s="456">
        <v>0</v>
      </c>
      <c r="E4691" s="456">
        <v>0</v>
      </c>
      <c r="F4691" s="456"/>
      <c r="G4691" s="456"/>
      <c r="H4691" s="456"/>
    </row>
    <row r="4692" spans="1:8">
      <c r="A4692" s="696">
        <v>5689</v>
      </c>
      <c r="B4692" s="469"/>
      <c r="C4692" s="458"/>
      <c r="D4692" s="456">
        <v>0</v>
      </c>
      <c r="E4692" s="456">
        <v>0</v>
      </c>
      <c r="F4692" s="456"/>
      <c r="G4692" s="456"/>
      <c r="H4692" s="456"/>
    </row>
    <row r="4693" spans="1:8">
      <c r="A4693" s="696">
        <v>5690</v>
      </c>
      <c r="B4693" s="469"/>
      <c r="C4693" s="458"/>
      <c r="D4693" s="456">
        <v>0</v>
      </c>
      <c r="E4693" s="456">
        <v>0</v>
      </c>
      <c r="F4693" s="456"/>
      <c r="G4693" s="456"/>
      <c r="H4693" s="456"/>
    </row>
    <row r="4694" spans="1:8">
      <c r="A4694" s="696">
        <v>5691</v>
      </c>
      <c r="B4694" s="469"/>
      <c r="C4694" s="458"/>
      <c r="D4694" s="456">
        <v>0</v>
      </c>
      <c r="E4694" s="456">
        <v>0</v>
      </c>
      <c r="F4694" s="456"/>
      <c r="G4694" s="456"/>
      <c r="H4694" s="456"/>
    </row>
    <row r="4695" spans="1:8">
      <c r="A4695" s="696">
        <v>5692</v>
      </c>
      <c r="B4695" s="469"/>
      <c r="C4695" s="458"/>
      <c r="D4695" s="456">
        <v>0</v>
      </c>
      <c r="E4695" s="456">
        <v>0</v>
      </c>
      <c r="F4695" s="456"/>
      <c r="G4695" s="456"/>
      <c r="H4695" s="456"/>
    </row>
    <row r="4696" spans="1:8">
      <c r="A4696" s="696">
        <v>5693</v>
      </c>
      <c r="B4696" s="469"/>
      <c r="C4696" s="458"/>
      <c r="D4696" s="456">
        <v>0</v>
      </c>
      <c r="E4696" s="456">
        <v>0</v>
      </c>
      <c r="F4696" s="456"/>
      <c r="G4696" s="456"/>
      <c r="H4696" s="456"/>
    </row>
    <row r="4697" spans="1:8">
      <c r="A4697" s="696">
        <v>5694</v>
      </c>
      <c r="B4697" s="469"/>
      <c r="C4697" s="458"/>
      <c r="D4697" s="456">
        <v>0</v>
      </c>
      <c r="E4697" s="456">
        <v>0</v>
      </c>
      <c r="F4697" s="456"/>
      <c r="G4697" s="456"/>
      <c r="H4697" s="456"/>
    </row>
    <row r="4698" spans="1:8">
      <c r="A4698" s="696">
        <v>5695</v>
      </c>
      <c r="B4698" s="469"/>
      <c r="C4698" s="458"/>
      <c r="D4698" s="456">
        <v>0</v>
      </c>
      <c r="E4698" s="456">
        <v>0</v>
      </c>
      <c r="F4698" s="456"/>
      <c r="G4698" s="456"/>
      <c r="H4698" s="456"/>
    </row>
    <row r="4699" spans="1:8">
      <c r="A4699" s="696">
        <v>5696</v>
      </c>
      <c r="B4699" s="469"/>
      <c r="C4699" s="458"/>
      <c r="D4699" s="456">
        <v>0</v>
      </c>
      <c r="E4699" s="456">
        <v>0</v>
      </c>
      <c r="F4699" s="456"/>
      <c r="G4699" s="456"/>
      <c r="H4699" s="456"/>
    </row>
    <row r="4700" spans="1:8">
      <c r="A4700" s="696">
        <v>5697</v>
      </c>
      <c r="B4700" s="469"/>
      <c r="C4700" s="458"/>
      <c r="D4700" s="456">
        <v>0</v>
      </c>
      <c r="E4700" s="456">
        <v>0</v>
      </c>
      <c r="F4700" s="456"/>
      <c r="G4700" s="456"/>
      <c r="H4700" s="456"/>
    </row>
    <row r="4701" spans="1:8">
      <c r="A4701" s="696">
        <v>5698</v>
      </c>
      <c r="B4701" s="469"/>
      <c r="C4701" s="458"/>
      <c r="D4701" s="456">
        <v>0</v>
      </c>
      <c r="E4701" s="456">
        <v>0</v>
      </c>
      <c r="F4701" s="456"/>
      <c r="G4701" s="456"/>
      <c r="H4701" s="456"/>
    </row>
    <row r="4702" spans="1:8">
      <c r="A4702" s="696">
        <v>5699</v>
      </c>
      <c r="B4702" s="469"/>
      <c r="C4702" s="458"/>
      <c r="D4702" s="456">
        <v>0</v>
      </c>
      <c r="E4702" s="456">
        <v>0</v>
      </c>
      <c r="F4702" s="456"/>
      <c r="G4702" s="456"/>
      <c r="H4702" s="456"/>
    </row>
    <row r="4703" spans="1:8">
      <c r="A4703" s="696">
        <v>5700</v>
      </c>
      <c r="B4703" s="469"/>
      <c r="C4703" s="458"/>
      <c r="D4703" s="456">
        <v>0</v>
      </c>
      <c r="E4703" s="456">
        <v>0</v>
      </c>
      <c r="F4703" s="456"/>
      <c r="G4703" s="456"/>
      <c r="H4703" s="456"/>
    </row>
    <row r="4704" spans="1:8">
      <c r="A4704" s="696">
        <v>5701</v>
      </c>
      <c r="B4704" s="469"/>
      <c r="C4704" s="458"/>
      <c r="D4704" s="456">
        <v>0</v>
      </c>
      <c r="E4704" s="456">
        <v>0</v>
      </c>
      <c r="F4704" s="456"/>
      <c r="G4704" s="456"/>
      <c r="H4704" s="456"/>
    </row>
    <row r="4705" spans="1:8">
      <c r="A4705" s="696">
        <v>5702</v>
      </c>
      <c r="B4705" s="469"/>
      <c r="C4705" s="458"/>
      <c r="D4705" s="456">
        <v>0</v>
      </c>
      <c r="E4705" s="456">
        <v>0</v>
      </c>
      <c r="F4705" s="456"/>
      <c r="G4705" s="456"/>
      <c r="H4705" s="456"/>
    </row>
    <row r="4706" spans="1:8">
      <c r="A4706" s="696">
        <v>5703</v>
      </c>
      <c r="B4706" s="469"/>
      <c r="C4706" s="458"/>
      <c r="D4706" s="456">
        <v>0</v>
      </c>
      <c r="E4706" s="456">
        <v>0</v>
      </c>
      <c r="F4706" s="456"/>
      <c r="G4706" s="456"/>
      <c r="H4706" s="456"/>
    </row>
    <row r="4707" spans="1:8">
      <c r="A4707" s="696">
        <v>5704</v>
      </c>
      <c r="B4707" s="469"/>
      <c r="C4707" s="458"/>
      <c r="D4707" s="456">
        <v>0</v>
      </c>
      <c r="E4707" s="456">
        <v>0</v>
      </c>
      <c r="F4707" s="456"/>
      <c r="G4707" s="456"/>
      <c r="H4707" s="456"/>
    </row>
    <row r="4708" spans="1:8">
      <c r="A4708" s="696">
        <v>5705</v>
      </c>
      <c r="B4708" s="469"/>
      <c r="C4708" s="458"/>
      <c r="D4708" s="456">
        <v>0</v>
      </c>
      <c r="E4708" s="456">
        <v>0</v>
      </c>
      <c r="F4708" s="456"/>
      <c r="G4708" s="456"/>
      <c r="H4708" s="456"/>
    </row>
    <row r="4709" spans="1:8">
      <c r="A4709" s="696">
        <v>5706</v>
      </c>
      <c r="B4709" s="469"/>
      <c r="C4709" s="458"/>
      <c r="D4709" s="456">
        <v>0</v>
      </c>
      <c r="E4709" s="456">
        <v>0</v>
      </c>
      <c r="F4709" s="456"/>
      <c r="G4709" s="456"/>
      <c r="H4709" s="456"/>
    </row>
    <row r="4710" spans="1:8">
      <c r="A4710" s="696">
        <v>5707</v>
      </c>
      <c r="B4710" s="469"/>
      <c r="C4710" s="458"/>
      <c r="D4710" s="456">
        <v>0</v>
      </c>
      <c r="E4710" s="456">
        <v>0</v>
      </c>
      <c r="F4710" s="456"/>
      <c r="G4710" s="456"/>
      <c r="H4710" s="456"/>
    </row>
    <row r="4711" spans="1:8">
      <c r="A4711" s="696">
        <v>5708</v>
      </c>
      <c r="B4711" s="469"/>
      <c r="C4711" s="458"/>
      <c r="D4711" s="456">
        <v>0</v>
      </c>
      <c r="E4711" s="456">
        <v>0</v>
      </c>
      <c r="F4711" s="456"/>
      <c r="G4711" s="456"/>
      <c r="H4711" s="456"/>
    </row>
    <row r="4712" spans="1:8">
      <c r="A4712" s="696">
        <v>5709</v>
      </c>
      <c r="B4712" s="469"/>
      <c r="C4712" s="458"/>
      <c r="D4712" s="456">
        <v>0</v>
      </c>
      <c r="E4712" s="456">
        <v>0</v>
      </c>
      <c r="F4712" s="456"/>
      <c r="G4712" s="456"/>
      <c r="H4712" s="456"/>
    </row>
    <row r="4713" spans="1:8">
      <c r="A4713" s="696">
        <v>5710</v>
      </c>
      <c r="B4713" s="469"/>
      <c r="C4713" s="458"/>
      <c r="D4713" s="456">
        <v>0</v>
      </c>
      <c r="E4713" s="456">
        <v>0</v>
      </c>
      <c r="F4713" s="456"/>
      <c r="G4713" s="456"/>
      <c r="H4713" s="456"/>
    </row>
    <row r="4714" spans="1:8">
      <c r="A4714" s="696">
        <v>5711</v>
      </c>
      <c r="B4714" s="469"/>
      <c r="C4714" s="458"/>
      <c r="D4714" s="456">
        <v>0</v>
      </c>
      <c r="E4714" s="456">
        <v>0</v>
      </c>
      <c r="F4714" s="456"/>
      <c r="G4714" s="456"/>
      <c r="H4714" s="456"/>
    </row>
    <row r="4715" spans="1:8">
      <c r="A4715" s="696">
        <v>5712</v>
      </c>
      <c r="B4715" s="469"/>
      <c r="C4715" s="458"/>
      <c r="D4715" s="456">
        <v>0</v>
      </c>
      <c r="E4715" s="456">
        <v>0</v>
      </c>
      <c r="F4715" s="456"/>
      <c r="G4715" s="456"/>
      <c r="H4715" s="456"/>
    </row>
    <row r="4716" spans="1:8">
      <c r="A4716" s="696">
        <v>5713</v>
      </c>
      <c r="B4716" s="469"/>
      <c r="C4716" s="458"/>
      <c r="D4716" s="456">
        <v>0</v>
      </c>
      <c r="E4716" s="456">
        <v>0</v>
      </c>
      <c r="F4716" s="456"/>
      <c r="G4716" s="456"/>
      <c r="H4716" s="456"/>
    </row>
    <row r="4717" spans="1:8">
      <c r="A4717" s="696">
        <v>5714</v>
      </c>
      <c r="B4717" s="469"/>
      <c r="C4717" s="458"/>
      <c r="D4717" s="456">
        <v>0</v>
      </c>
      <c r="E4717" s="456">
        <v>0</v>
      </c>
      <c r="F4717" s="456"/>
      <c r="G4717" s="456"/>
      <c r="H4717" s="456"/>
    </row>
    <row r="4718" spans="1:8">
      <c r="A4718" s="696">
        <v>5715</v>
      </c>
      <c r="B4718" s="469"/>
      <c r="C4718" s="458"/>
      <c r="D4718" s="456">
        <v>0</v>
      </c>
      <c r="E4718" s="456">
        <v>0</v>
      </c>
      <c r="F4718" s="456"/>
      <c r="G4718" s="456"/>
      <c r="H4718" s="456"/>
    </row>
    <row r="4719" spans="1:8">
      <c r="A4719" s="696">
        <v>5716</v>
      </c>
      <c r="B4719" s="469"/>
      <c r="C4719" s="458"/>
      <c r="D4719" s="456">
        <v>0</v>
      </c>
      <c r="E4719" s="456">
        <v>0</v>
      </c>
      <c r="F4719" s="456"/>
      <c r="G4719" s="456"/>
      <c r="H4719" s="456"/>
    </row>
    <row r="4720" spans="1:8">
      <c r="A4720" s="696">
        <v>5717</v>
      </c>
      <c r="B4720" s="469"/>
      <c r="C4720" s="458"/>
      <c r="D4720" s="456">
        <v>0</v>
      </c>
      <c r="E4720" s="456">
        <v>0</v>
      </c>
      <c r="F4720" s="456"/>
      <c r="G4720" s="456"/>
      <c r="H4720" s="456"/>
    </row>
    <row r="4721" spans="1:8">
      <c r="A4721" s="696">
        <v>5718</v>
      </c>
      <c r="B4721" s="469"/>
      <c r="C4721" s="458"/>
      <c r="D4721" s="456">
        <v>0</v>
      </c>
      <c r="E4721" s="456">
        <v>0</v>
      </c>
      <c r="F4721" s="456"/>
      <c r="G4721" s="456"/>
      <c r="H4721" s="456"/>
    </row>
    <row r="4722" spans="1:8">
      <c r="A4722" s="696">
        <v>5719</v>
      </c>
      <c r="B4722" s="469"/>
      <c r="C4722" s="458"/>
      <c r="D4722" s="456">
        <v>0</v>
      </c>
      <c r="E4722" s="456">
        <v>0</v>
      </c>
      <c r="F4722" s="456"/>
      <c r="G4722" s="456"/>
      <c r="H4722" s="456"/>
    </row>
    <row r="4723" spans="1:8">
      <c r="A4723" s="696">
        <v>5720</v>
      </c>
      <c r="B4723" s="469"/>
      <c r="C4723" s="458"/>
      <c r="D4723" s="456">
        <v>0</v>
      </c>
      <c r="E4723" s="456">
        <v>0</v>
      </c>
      <c r="F4723" s="456"/>
      <c r="G4723" s="456"/>
      <c r="H4723" s="456"/>
    </row>
    <row r="4724" spans="1:8">
      <c r="A4724" s="696">
        <v>5721</v>
      </c>
      <c r="B4724" s="469"/>
      <c r="C4724" s="458"/>
      <c r="D4724" s="456">
        <v>0</v>
      </c>
      <c r="E4724" s="456">
        <v>0</v>
      </c>
      <c r="F4724" s="456"/>
      <c r="G4724" s="456"/>
      <c r="H4724" s="456"/>
    </row>
    <row r="4725" spans="1:8">
      <c r="A4725" s="696">
        <v>5722</v>
      </c>
      <c r="B4725" s="469"/>
      <c r="C4725" s="458"/>
      <c r="D4725" s="456">
        <v>0</v>
      </c>
      <c r="E4725" s="456">
        <v>0</v>
      </c>
      <c r="F4725" s="456"/>
      <c r="G4725" s="456"/>
      <c r="H4725" s="456"/>
    </row>
    <row r="4726" spans="1:8">
      <c r="A4726" s="696">
        <v>5723</v>
      </c>
      <c r="B4726" s="469"/>
      <c r="C4726" s="458"/>
      <c r="D4726" s="456">
        <v>0</v>
      </c>
      <c r="E4726" s="456">
        <v>0</v>
      </c>
      <c r="F4726" s="456"/>
      <c r="G4726" s="456"/>
      <c r="H4726" s="456"/>
    </row>
    <row r="4727" spans="1:8">
      <c r="A4727" s="696">
        <v>5724</v>
      </c>
      <c r="B4727" s="469"/>
      <c r="C4727" s="458"/>
      <c r="D4727" s="456">
        <v>0</v>
      </c>
      <c r="E4727" s="456">
        <v>0</v>
      </c>
      <c r="F4727" s="456"/>
      <c r="G4727" s="456"/>
      <c r="H4727" s="456"/>
    </row>
    <row r="4728" spans="1:8">
      <c r="A4728" s="696">
        <v>5725</v>
      </c>
      <c r="B4728" s="469"/>
      <c r="C4728" s="458"/>
      <c r="D4728" s="456">
        <v>0</v>
      </c>
      <c r="E4728" s="456">
        <v>0</v>
      </c>
      <c r="F4728" s="456"/>
      <c r="G4728" s="456"/>
      <c r="H4728" s="456"/>
    </row>
    <row r="4729" spans="1:8">
      <c r="A4729" s="696">
        <v>5726</v>
      </c>
      <c r="B4729" s="469"/>
      <c r="C4729" s="458"/>
      <c r="D4729" s="456">
        <v>0</v>
      </c>
      <c r="E4729" s="456">
        <v>0</v>
      </c>
      <c r="F4729" s="456"/>
      <c r="G4729" s="456"/>
      <c r="H4729" s="456"/>
    </row>
    <row r="4730" spans="1:8">
      <c r="A4730" s="696">
        <v>5727</v>
      </c>
      <c r="B4730" s="469"/>
      <c r="C4730" s="458"/>
      <c r="D4730" s="456">
        <v>0</v>
      </c>
      <c r="E4730" s="456">
        <v>0</v>
      </c>
      <c r="F4730" s="456"/>
      <c r="G4730" s="456"/>
      <c r="H4730" s="456"/>
    </row>
    <row r="4731" spans="1:8">
      <c r="A4731" s="696">
        <v>5728</v>
      </c>
      <c r="B4731" s="469"/>
      <c r="C4731" s="458"/>
      <c r="D4731" s="456">
        <v>0</v>
      </c>
      <c r="E4731" s="456">
        <v>0</v>
      </c>
      <c r="F4731" s="456"/>
      <c r="G4731" s="456"/>
      <c r="H4731" s="456"/>
    </row>
    <row r="4732" spans="1:8">
      <c r="A4732" s="696">
        <v>5729</v>
      </c>
      <c r="B4732" s="469"/>
      <c r="C4732" s="458"/>
      <c r="D4732" s="456">
        <v>0</v>
      </c>
      <c r="E4732" s="456">
        <v>0</v>
      </c>
      <c r="F4732" s="456"/>
      <c r="G4732" s="456"/>
      <c r="H4732" s="456"/>
    </row>
    <row r="4733" spans="1:8">
      <c r="A4733" s="696">
        <v>5730</v>
      </c>
      <c r="B4733" s="469"/>
      <c r="C4733" s="458"/>
      <c r="D4733" s="456">
        <v>0</v>
      </c>
      <c r="E4733" s="456">
        <v>0</v>
      </c>
      <c r="F4733" s="456"/>
      <c r="G4733" s="456"/>
      <c r="H4733" s="456"/>
    </row>
    <row r="4734" spans="1:8">
      <c r="A4734" s="696">
        <v>5731</v>
      </c>
      <c r="B4734" s="469"/>
      <c r="C4734" s="458"/>
      <c r="D4734" s="456">
        <v>0</v>
      </c>
      <c r="E4734" s="456">
        <v>0</v>
      </c>
      <c r="F4734" s="456"/>
      <c r="G4734" s="456"/>
      <c r="H4734" s="456"/>
    </row>
    <row r="4735" spans="1:8">
      <c r="A4735" s="696">
        <v>5732</v>
      </c>
      <c r="B4735" s="469"/>
      <c r="C4735" s="458"/>
      <c r="D4735" s="456">
        <v>0</v>
      </c>
      <c r="E4735" s="456">
        <v>0</v>
      </c>
      <c r="F4735" s="456"/>
      <c r="G4735" s="456"/>
      <c r="H4735" s="456"/>
    </row>
    <row r="4736" spans="1:8">
      <c r="A4736" s="696">
        <v>5733</v>
      </c>
      <c r="B4736" s="469"/>
      <c r="C4736" s="458"/>
      <c r="D4736" s="456">
        <v>0</v>
      </c>
      <c r="E4736" s="456">
        <v>0</v>
      </c>
      <c r="F4736" s="456"/>
      <c r="G4736" s="456"/>
      <c r="H4736" s="456"/>
    </row>
    <row r="4737" spans="1:8">
      <c r="A4737" s="696">
        <v>5734</v>
      </c>
      <c r="B4737" s="469"/>
      <c r="C4737" s="458"/>
      <c r="D4737" s="456">
        <v>0</v>
      </c>
      <c r="E4737" s="456">
        <v>0</v>
      </c>
      <c r="F4737" s="456"/>
      <c r="G4737" s="456"/>
      <c r="H4737" s="456"/>
    </row>
    <row r="4738" spans="1:8">
      <c r="A4738" s="696">
        <v>5735</v>
      </c>
      <c r="B4738" s="469"/>
      <c r="C4738" s="458"/>
      <c r="D4738" s="456">
        <v>0</v>
      </c>
      <c r="E4738" s="456">
        <v>0</v>
      </c>
      <c r="F4738" s="456"/>
      <c r="G4738" s="456"/>
      <c r="H4738" s="456"/>
    </row>
    <row r="4739" spans="1:8">
      <c r="A4739" s="696">
        <v>5736</v>
      </c>
      <c r="B4739" s="469"/>
      <c r="C4739" s="458"/>
      <c r="D4739" s="456">
        <v>0</v>
      </c>
      <c r="E4739" s="456">
        <v>0</v>
      </c>
      <c r="F4739" s="456"/>
      <c r="G4739" s="456"/>
      <c r="H4739" s="456"/>
    </row>
    <row r="4740" spans="1:8">
      <c r="A4740" s="696">
        <v>5737</v>
      </c>
      <c r="B4740" s="469"/>
      <c r="C4740" s="458"/>
      <c r="D4740" s="456">
        <v>0</v>
      </c>
      <c r="E4740" s="456">
        <v>0</v>
      </c>
      <c r="F4740" s="456"/>
      <c r="G4740" s="456"/>
      <c r="H4740" s="456"/>
    </row>
    <row r="4741" spans="1:8">
      <c r="A4741" s="696">
        <v>5738</v>
      </c>
      <c r="B4741" s="469"/>
      <c r="C4741" s="458"/>
      <c r="D4741" s="456">
        <v>0</v>
      </c>
      <c r="E4741" s="456">
        <v>0</v>
      </c>
      <c r="F4741" s="456"/>
      <c r="G4741" s="456"/>
      <c r="H4741" s="456"/>
    </row>
    <row r="4742" spans="1:8">
      <c r="A4742" s="696">
        <v>5739</v>
      </c>
      <c r="B4742" s="469"/>
      <c r="C4742" s="458"/>
      <c r="D4742" s="456">
        <v>0</v>
      </c>
      <c r="E4742" s="456">
        <v>0</v>
      </c>
      <c r="F4742" s="456"/>
      <c r="G4742" s="456"/>
      <c r="H4742" s="456"/>
    </row>
    <row r="4743" spans="1:8">
      <c r="A4743" s="696">
        <v>5740</v>
      </c>
      <c r="B4743" s="469"/>
      <c r="C4743" s="458"/>
      <c r="D4743" s="456">
        <v>0</v>
      </c>
      <c r="E4743" s="456">
        <v>0</v>
      </c>
      <c r="F4743" s="456"/>
      <c r="G4743" s="456"/>
      <c r="H4743" s="456"/>
    </row>
    <row r="4744" spans="1:8">
      <c r="A4744" s="696">
        <v>5741</v>
      </c>
      <c r="B4744" s="469"/>
      <c r="C4744" s="458"/>
      <c r="D4744" s="456">
        <v>0</v>
      </c>
      <c r="E4744" s="456">
        <v>0</v>
      </c>
      <c r="F4744" s="456"/>
      <c r="G4744" s="456"/>
      <c r="H4744" s="456"/>
    </row>
    <row r="4745" spans="1:8">
      <c r="A4745" s="696">
        <v>5742</v>
      </c>
      <c r="B4745" s="469"/>
      <c r="C4745" s="458"/>
      <c r="D4745" s="456">
        <v>0</v>
      </c>
      <c r="E4745" s="456">
        <v>0</v>
      </c>
      <c r="F4745" s="456"/>
      <c r="G4745" s="456"/>
      <c r="H4745" s="456"/>
    </row>
    <row r="4746" spans="1:8">
      <c r="A4746" s="696">
        <v>5743</v>
      </c>
      <c r="B4746" s="469"/>
      <c r="C4746" s="458"/>
      <c r="D4746" s="456">
        <v>0</v>
      </c>
      <c r="E4746" s="456">
        <v>0</v>
      </c>
      <c r="F4746" s="456"/>
      <c r="G4746" s="456"/>
      <c r="H4746" s="456"/>
    </row>
    <row r="4747" spans="1:8">
      <c r="A4747" s="696">
        <v>5744</v>
      </c>
      <c r="B4747" s="469"/>
      <c r="C4747" s="458"/>
      <c r="D4747" s="456">
        <v>0</v>
      </c>
      <c r="E4747" s="456">
        <v>0</v>
      </c>
      <c r="F4747" s="456"/>
      <c r="G4747" s="456"/>
      <c r="H4747" s="456"/>
    </row>
    <row r="4748" spans="1:8">
      <c r="A4748" s="696">
        <v>5745</v>
      </c>
      <c r="B4748" s="469"/>
      <c r="C4748" s="458"/>
      <c r="D4748" s="456">
        <v>0</v>
      </c>
      <c r="E4748" s="456">
        <v>0</v>
      </c>
      <c r="F4748" s="456"/>
      <c r="G4748" s="456"/>
      <c r="H4748" s="456"/>
    </row>
    <row r="4749" spans="1:8">
      <c r="A4749" s="696">
        <v>5746</v>
      </c>
      <c r="B4749" s="469"/>
      <c r="C4749" s="458"/>
      <c r="D4749" s="456">
        <v>0</v>
      </c>
      <c r="E4749" s="456">
        <v>0</v>
      </c>
      <c r="F4749" s="456"/>
      <c r="G4749" s="456"/>
      <c r="H4749" s="456"/>
    </row>
    <row r="4750" spans="1:8">
      <c r="A4750" s="696">
        <v>5747</v>
      </c>
      <c r="B4750" s="469"/>
      <c r="C4750" s="458"/>
      <c r="D4750" s="456">
        <v>0</v>
      </c>
      <c r="E4750" s="456">
        <v>0</v>
      </c>
      <c r="F4750" s="456"/>
      <c r="G4750" s="456"/>
      <c r="H4750" s="456"/>
    </row>
    <row r="4751" spans="1:8">
      <c r="A4751" s="696">
        <v>5748</v>
      </c>
      <c r="B4751" s="469"/>
      <c r="C4751" s="458"/>
      <c r="D4751" s="456">
        <v>0</v>
      </c>
      <c r="E4751" s="456">
        <v>0</v>
      </c>
      <c r="F4751" s="456"/>
      <c r="G4751" s="456"/>
      <c r="H4751" s="456"/>
    </row>
    <row r="4752" spans="1:8">
      <c r="A4752" s="696">
        <v>5749</v>
      </c>
      <c r="B4752" s="469"/>
      <c r="C4752" s="458"/>
      <c r="D4752" s="456">
        <v>0</v>
      </c>
      <c r="E4752" s="456">
        <v>0</v>
      </c>
      <c r="F4752" s="456"/>
      <c r="G4752" s="456"/>
      <c r="H4752" s="456"/>
    </row>
    <row r="4753" spans="1:8">
      <c r="A4753" s="696">
        <v>5750</v>
      </c>
      <c r="B4753" s="469"/>
      <c r="C4753" s="458"/>
      <c r="D4753" s="456">
        <v>0</v>
      </c>
      <c r="E4753" s="456">
        <v>0</v>
      </c>
      <c r="F4753" s="456"/>
      <c r="G4753" s="456"/>
      <c r="H4753" s="456"/>
    </row>
    <row r="4754" spans="1:8">
      <c r="A4754" s="696">
        <v>5751</v>
      </c>
      <c r="B4754" s="469"/>
      <c r="C4754" s="458"/>
      <c r="D4754" s="456">
        <v>0</v>
      </c>
      <c r="E4754" s="456">
        <v>0</v>
      </c>
      <c r="F4754" s="456"/>
      <c r="G4754" s="456"/>
      <c r="H4754" s="456"/>
    </row>
    <row r="4755" spans="1:8">
      <c r="A4755" s="696">
        <v>5752</v>
      </c>
      <c r="B4755" s="469"/>
      <c r="C4755" s="458"/>
      <c r="D4755" s="456">
        <v>0</v>
      </c>
      <c r="E4755" s="456">
        <v>0</v>
      </c>
      <c r="F4755" s="456"/>
      <c r="G4755" s="456"/>
      <c r="H4755" s="456"/>
    </row>
    <row r="4756" spans="1:8">
      <c r="A4756" s="696">
        <v>5753</v>
      </c>
      <c r="B4756" s="469"/>
      <c r="C4756" s="458"/>
      <c r="D4756" s="456">
        <v>0</v>
      </c>
      <c r="E4756" s="456">
        <v>0</v>
      </c>
      <c r="F4756" s="456"/>
      <c r="G4756" s="456"/>
      <c r="H4756" s="456"/>
    </row>
    <row r="4757" spans="1:8">
      <c r="A4757" s="696">
        <v>5754</v>
      </c>
      <c r="B4757" s="469"/>
      <c r="C4757" s="458"/>
      <c r="D4757" s="456">
        <v>0</v>
      </c>
      <c r="E4757" s="456">
        <v>0</v>
      </c>
      <c r="F4757" s="456"/>
      <c r="G4757" s="456"/>
      <c r="H4757" s="456"/>
    </row>
    <row r="4758" spans="1:8">
      <c r="A4758" s="696">
        <v>5755</v>
      </c>
      <c r="B4758" s="469"/>
      <c r="C4758" s="458"/>
      <c r="D4758" s="456">
        <v>0</v>
      </c>
      <c r="E4758" s="456">
        <v>0</v>
      </c>
      <c r="F4758" s="456"/>
      <c r="G4758" s="456"/>
      <c r="H4758" s="456"/>
    </row>
    <row r="4759" spans="1:8">
      <c r="A4759" s="696">
        <v>5756</v>
      </c>
      <c r="B4759" s="469"/>
      <c r="C4759" s="458"/>
      <c r="D4759" s="456">
        <v>0</v>
      </c>
      <c r="E4759" s="456">
        <v>0</v>
      </c>
      <c r="F4759" s="456"/>
      <c r="G4759" s="456"/>
      <c r="H4759" s="456"/>
    </row>
    <row r="4760" spans="1:8">
      <c r="A4760" s="696">
        <v>5757</v>
      </c>
      <c r="B4760" s="469"/>
      <c r="C4760" s="458"/>
      <c r="D4760" s="456">
        <v>0</v>
      </c>
      <c r="E4760" s="456">
        <v>0</v>
      </c>
      <c r="F4760" s="456"/>
      <c r="G4760" s="456"/>
      <c r="H4760" s="456"/>
    </row>
    <row r="4761" spans="1:8">
      <c r="A4761" s="696">
        <v>5758</v>
      </c>
      <c r="B4761" s="469"/>
      <c r="C4761" s="458"/>
      <c r="D4761" s="456">
        <v>0</v>
      </c>
      <c r="E4761" s="456">
        <v>0</v>
      </c>
      <c r="F4761" s="456"/>
      <c r="G4761" s="456"/>
      <c r="H4761" s="456"/>
    </row>
    <row r="4762" spans="1:8">
      <c r="A4762" s="696">
        <v>5759</v>
      </c>
      <c r="B4762" s="469"/>
      <c r="C4762" s="458"/>
      <c r="D4762" s="456">
        <v>0</v>
      </c>
      <c r="E4762" s="456">
        <v>0</v>
      </c>
      <c r="F4762" s="456"/>
      <c r="G4762" s="456"/>
      <c r="H4762" s="456"/>
    </row>
    <row r="4763" spans="1:8">
      <c r="A4763" s="696">
        <v>5760</v>
      </c>
      <c r="B4763" s="469"/>
      <c r="C4763" s="458"/>
      <c r="D4763" s="456">
        <v>0</v>
      </c>
      <c r="E4763" s="456">
        <v>0</v>
      </c>
      <c r="F4763" s="456"/>
      <c r="G4763" s="456"/>
      <c r="H4763" s="456"/>
    </row>
    <row r="4764" spans="1:8">
      <c r="A4764" s="696">
        <v>5761</v>
      </c>
      <c r="B4764" s="469"/>
      <c r="C4764" s="458"/>
      <c r="D4764" s="456">
        <v>0</v>
      </c>
      <c r="E4764" s="456">
        <v>0</v>
      </c>
      <c r="F4764" s="456"/>
      <c r="G4764" s="456"/>
      <c r="H4764" s="456"/>
    </row>
    <row r="4765" spans="1:8">
      <c r="A4765" s="696">
        <v>5762</v>
      </c>
      <c r="B4765" s="469"/>
      <c r="C4765" s="458"/>
      <c r="D4765" s="456">
        <v>0</v>
      </c>
      <c r="E4765" s="456">
        <v>0</v>
      </c>
      <c r="F4765" s="456"/>
      <c r="G4765" s="456"/>
      <c r="H4765" s="456"/>
    </row>
    <row r="4766" spans="1:8">
      <c r="A4766" s="696">
        <v>5763</v>
      </c>
      <c r="B4766" s="469"/>
      <c r="C4766" s="458"/>
      <c r="D4766" s="456">
        <v>0</v>
      </c>
      <c r="E4766" s="456">
        <v>0</v>
      </c>
      <c r="F4766" s="456"/>
      <c r="G4766" s="456"/>
      <c r="H4766" s="456"/>
    </row>
    <row r="4767" spans="1:8">
      <c r="A4767" s="696">
        <v>5764</v>
      </c>
      <c r="B4767" s="469"/>
      <c r="C4767" s="458"/>
      <c r="D4767" s="456">
        <v>0</v>
      </c>
      <c r="E4767" s="456">
        <v>0</v>
      </c>
      <c r="F4767" s="456"/>
      <c r="G4767" s="456"/>
      <c r="H4767" s="456"/>
    </row>
    <row r="4768" spans="1:8">
      <c r="A4768" s="696">
        <v>5765</v>
      </c>
      <c r="B4768" s="469"/>
      <c r="C4768" s="458"/>
      <c r="D4768" s="456">
        <v>0</v>
      </c>
      <c r="E4768" s="456">
        <v>0</v>
      </c>
      <c r="F4768" s="456"/>
      <c r="G4768" s="456"/>
      <c r="H4768" s="456"/>
    </row>
    <row r="4769" spans="1:8">
      <c r="A4769" s="696">
        <v>5766</v>
      </c>
      <c r="B4769" s="469"/>
      <c r="C4769" s="458"/>
      <c r="D4769" s="456">
        <v>0</v>
      </c>
      <c r="E4769" s="456">
        <v>0</v>
      </c>
      <c r="F4769" s="456"/>
      <c r="G4769" s="456"/>
      <c r="H4769" s="456"/>
    </row>
    <row r="4770" spans="1:8">
      <c r="A4770" s="696">
        <v>5767</v>
      </c>
      <c r="B4770" s="469"/>
      <c r="C4770" s="458"/>
      <c r="D4770" s="456">
        <v>0</v>
      </c>
      <c r="E4770" s="456">
        <v>0</v>
      </c>
      <c r="F4770" s="456"/>
      <c r="G4770" s="456"/>
      <c r="H4770" s="456"/>
    </row>
    <row r="4771" spans="1:8">
      <c r="A4771" s="696">
        <v>5768</v>
      </c>
      <c r="B4771" s="469"/>
      <c r="C4771" s="458"/>
      <c r="D4771" s="456">
        <v>0</v>
      </c>
      <c r="E4771" s="456">
        <v>0</v>
      </c>
      <c r="F4771" s="456"/>
      <c r="G4771" s="456"/>
      <c r="H4771" s="456"/>
    </row>
    <row r="4772" spans="1:8">
      <c r="A4772" s="696">
        <v>5769</v>
      </c>
      <c r="B4772" s="469"/>
      <c r="C4772" s="458"/>
      <c r="D4772" s="456">
        <v>0</v>
      </c>
      <c r="E4772" s="456">
        <v>0</v>
      </c>
      <c r="F4772" s="456"/>
      <c r="G4772" s="456"/>
      <c r="H4772" s="456"/>
    </row>
    <row r="4773" spans="1:8">
      <c r="A4773" s="696">
        <v>5770</v>
      </c>
      <c r="B4773" s="469"/>
      <c r="C4773" s="458"/>
      <c r="D4773" s="456">
        <v>0</v>
      </c>
      <c r="E4773" s="456">
        <v>0</v>
      </c>
      <c r="F4773" s="456"/>
      <c r="G4773" s="456"/>
      <c r="H4773" s="456"/>
    </row>
    <row r="4774" spans="1:8">
      <c r="A4774" s="696">
        <v>5771</v>
      </c>
      <c r="B4774" s="469"/>
      <c r="C4774" s="458"/>
      <c r="D4774" s="456">
        <v>0</v>
      </c>
      <c r="E4774" s="456">
        <v>0</v>
      </c>
      <c r="F4774" s="456"/>
      <c r="G4774" s="456"/>
      <c r="H4774" s="456"/>
    </row>
    <row r="4775" spans="1:8">
      <c r="A4775" s="696">
        <v>5772</v>
      </c>
      <c r="B4775" s="469"/>
      <c r="C4775" s="458"/>
      <c r="D4775" s="456">
        <v>0</v>
      </c>
      <c r="E4775" s="456">
        <v>0</v>
      </c>
      <c r="F4775" s="456"/>
      <c r="G4775" s="456"/>
      <c r="H4775" s="456"/>
    </row>
    <row r="4776" spans="1:8">
      <c r="A4776" s="696">
        <v>5773</v>
      </c>
      <c r="B4776" s="469"/>
      <c r="C4776" s="458"/>
      <c r="D4776" s="456">
        <v>0</v>
      </c>
      <c r="E4776" s="456">
        <v>0</v>
      </c>
      <c r="F4776" s="456"/>
      <c r="G4776" s="456"/>
      <c r="H4776" s="456"/>
    </row>
    <row r="4777" spans="1:8">
      <c r="A4777" s="696">
        <v>5774</v>
      </c>
      <c r="B4777" s="469"/>
      <c r="C4777" s="458"/>
      <c r="D4777" s="456">
        <v>0</v>
      </c>
      <c r="E4777" s="456">
        <v>0</v>
      </c>
      <c r="F4777" s="456"/>
      <c r="G4777" s="456"/>
      <c r="H4777" s="456"/>
    </row>
    <row r="4778" spans="1:8">
      <c r="A4778" s="696">
        <v>5775</v>
      </c>
      <c r="B4778" s="469"/>
      <c r="C4778" s="458"/>
      <c r="D4778" s="456">
        <v>0</v>
      </c>
      <c r="E4778" s="456">
        <v>0</v>
      </c>
      <c r="F4778" s="456"/>
      <c r="G4778" s="456"/>
      <c r="H4778" s="456"/>
    </row>
    <row r="4779" spans="1:8">
      <c r="A4779" s="696">
        <v>5776</v>
      </c>
      <c r="B4779" s="469"/>
      <c r="C4779" s="458"/>
      <c r="D4779" s="456">
        <v>0</v>
      </c>
      <c r="E4779" s="456">
        <v>0</v>
      </c>
      <c r="F4779" s="456"/>
      <c r="G4779" s="456"/>
      <c r="H4779" s="456"/>
    </row>
    <row r="4780" spans="1:8">
      <c r="A4780" s="696">
        <v>5777</v>
      </c>
      <c r="B4780" s="469"/>
      <c r="C4780" s="458"/>
      <c r="D4780" s="456">
        <v>0</v>
      </c>
      <c r="E4780" s="456">
        <v>0</v>
      </c>
      <c r="F4780" s="456"/>
      <c r="G4780" s="456"/>
      <c r="H4780" s="456"/>
    </row>
    <row r="4781" spans="1:8">
      <c r="A4781" s="696">
        <v>5778</v>
      </c>
      <c r="B4781" s="469"/>
      <c r="C4781" s="458"/>
      <c r="D4781" s="456">
        <v>0</v>
      </c>
      <c r="E4781" s="456">
        <v>0</v>
      </c>
      <c r="F4781" s="456"/>
      <c r="G4781" s="456"/>
      <c r="H4781" s="456"/>
    </row>
    <row r="4782" spans="1:8">
      <c r="A4782" s="696">
        <v>5779</v>
      </c>
      <c r="B4782" s="469"/>
      <c r="C4782" s="458"/>
      <c r="D4782" s="456">
        <v>0</v>
      </c>
      <c r="E4782" s="456">
        <v>0</v>
      </c>
      <c r="F4782" s="456"/>
      <c r="G4782" s="456"/>
      <c r="H4782" s="456"/>
    </row>
    <row r="4783" spans="1:8">
      <c r="A4783" s="696">
        <v>5780</v>
      </c>
      <c r="B4783" s="469"/>
      <c r="C4783" s="458"/>
      <c r="D4783" s="456">
        <v>0</v>
      </c>
      <c r="E4783" s="456">
        <v>0</v>
      </c>
      <c r="F4783" s="456"/>
      <c r="G4783" s="456"/>
      <c r="H4783" s="456"/>
    </row>
    <row r="4784" spans="1:8">
      <c r="A4784" s="696">
        <v>5781</v>
      </c>
      <c r="B4784" s="469"/>
      <c r="C4784" s="458"/>
      <c r="D4784" s="456">
        <v>0</v>
      </c>
      <c r="E4784" s="456">
        <v>0</v>
      </c>
      <c r="F4784" s="456"/>
      <c r="G4784" s="456"/>
      <c r="H4784" s="456"/>
    </row>
    <row r="4785" spans="1:8">
      <c r="A4785" s="696">
        <v>5782</v>
      </c>
      <c r="B4785" s="469"/>
      <c r="C4785" s="458"/>
      <c r="D4785" s="456">
        <v>0</v>
      </c>
      <c r="E4785" s="456">
        <v>0</v>
      </c>
      <c r="F4785" s="456"/>
      <c r="G4785" s="456"/>
      <c r="H4785" s="456"/>
    </row>
    <row r="4786" spans="1:8">
      <c r="A4786" s="696">
        <v>5783</v>
      </c>
      <c r="B4786" s="469"/>
      <c r="C4786" s="458"/>
      <c r="D4786" s="456">
        <v>0</v>
      </c>
      <c r="E4786" s="456">
        <v>0</v>
      </c>
      <c r="F4786" s="456"/>
      <c r="G4786" s="456"/>
      <c r="H4786" s="456"/>
    </row>
    <row r="4787" spans="1:8">
      <c r="A4787" s="696">
        <v>5784</v>
      </c>
      <c r="B4787" s="469"/>
      <c r="C4787" s="458"/>
      <c r="D4787" s="456">
        <v>0</v>
      </c>
      <c r="E4787" s="456">
        <v>0</v>
      </c>
      <c r="F4787" s="456"/>
      <c r="G4787" s="456"/>
      <c r="H4787" s="456"/>
    </row>
    <row r="4788" spans="1:8">
      <c r="A4788" s="696">
        <v>5785</v>
      </c>
      <c r="B4788" s="469"/>
      <c r="C4788" s="458"/>
      <c r="D4788" s="456">
        <v>0</v>
      </c>
      <c r="E4788" s="456">
        <v>0</v>
      </c>
      <c r="F4788" s="456"/>
      <c r="G4788" s="456"/>
      <c r="H4788" s="456"/>
    </row>
    <row r="4789" spans="1:8">
      <c r="A4789" s="696">
        <v>5786</v>
      </c>
      <c r="B4789" s="469"/>
      <c r="C4789" s="458"/>
      <c r="D4789" s="456">
        <v>0</v>
      </c>
      <c r="E4789" s="456">
        <v>0</v>
      </c>
      <c r="F4789" s="456"/>
      <c r="G4789" s="456"/>
      <c r="H4789" s="456"/>
    </row>
    <row r="4790" spans="1:8">
      <c r="A4790" s="696">
        <v>5787</v>
      </c>
      <c r="B4790" s="469"/>
      <c r="C4790" s="458"/>
      <c r="D4790" s="456">
        <v>0</v>
      </c>
      <c r="E4790" s="456">
        <v>0</v>
      </c>
      <c r="F4790" s="456"/>
      <c r="G4790" s="456"/>
      <c r="H4790" s="456"/>
    </row>
    <row r="4791" spans="1:8">
      <c r="A4791" s="696">
        <v>5788</v>
      </c>
      <c r="B4791" s="469"/>
      <c r="C4791" s="458"/>
      <c r="D4791" s="456">
        <v>0</v>
      </c>
      <c r="E4791" s="456">
        <v>0</v>
      </c>
      <c r="F4791" s="456"/>
      <c r="G4791" s="456"/>
      <c r="H4791" s="456"/>
    </row>
    <row r="4792" spans="1:8">
      <c r="A4792" s="696">
        <v>5789</v>
      </c>
      <c r="B4792" s="469"/>
      <c r="C4792" s="458"/>
      <c r="D4792" s="456">
        <v>0</v>
      </c>
      <c r="E4792" s="456">
        <v>0</v>
      </c>
      <c r="F4792" s="456"/>
      <c r="G4792" s="456"/>
      <c r="H4792" s="456"/>
    </row>
    <row r="4793" spans="1:8">
      <c r="A4793" s="696">
        <v>5790</v>
      </c>
      <c r="B4793" s="469"/>
      <c r="C4793" s="458"/>
      <c r="D4793" s="456">
        <v>0</v>
      </c>
      <c r="E4793" s="456">
        <v>0</v>
      </c>
      <c r="F4793" s="456"/>
      <c r="G4793" s="456"/>
      <c r="H4793" s="456"/>
    </row>
    <row r="4794" spans="1:8">
      <c r="A4794" s="696">
        <v>5791</v>
      </c>
      <c r="B4794" s="469"/>
      <c r="C4794" s="458"/>
      <c r="D4794" s="456">
        <v>0</v>
      </c>
      <c r="E4794" s="456">
        <v>0</v>
      </c>
      <c r="F4794" s="456"/>
      <c r="G4794" s="456"/>
      <c r="H4794" s="456"/>
    </row>
    <row r="4795" spans="1:8">
      <c r="A4795" s="696">
        <v>5792</v>
      </c>
      <c r="B4795" s="469"/>
      <c r="C4795" s="458"/>
      <c r="D4795" s="456">
        <v>0</v>
      </c>
      <c r="E4795" s="456">
        <v>0</v>
      </c>
      <c r="F4795" s="456"/>
      <c r="G4795" s="456"/>
      <c r="H4795" s="456"/>
    </row>
    <row r="4796" spans="1:8">
      <c r="A4796" s="696">
        <v>5793</v>
      </c>
      <c r="B4796" s="469"/>
      <c r="C4796" s="458"/>
      <c r="D4796" s="456">
        <v>0</v>
      </c>
      <c r="E4796" s="456">
        <v>0</v>
      </c>
      <c r="F4796" s="456"/>
      <c r="G4796" s="456"/>
      <c r="H4796" s="456"/>
    </row>
    <row r="4797" spans="1:8">
      <c r="A4797" s="696">
        <v>5794</v>
      </c>
      <c r="B4797" s="469"/>
      <c r="C4797" s="458"/>
      <c r="D4797" s="456">
        <v>0</v>
      </c>
      <c r="E4797" s="456">
        <v>0</v>
      </c>
      <c r="F4797" s="456"/>
      <c r="G4797" s="456"/>
      <c r="H4797" s="456"/>
    </row>
    <row r="4798" spans="1:8">
      <c r="A4798" s="696">
        <v>5795</v>
      </c>
      <c r="B4798" s="469"/>
      <c r="C4798" s="458"/>
      <c r="D4798" s="456">
        <v>0</v>
      </c>
      <c r="E4798" s="456">
        <v>0</v>
      </c>
      <c r="F4798" s="456"/>
      <c r="G4798" s="456"/>
      <c r="H4798" s="456"/>
    </row>
    <row r="4799" spans="1:8">
      <c r="A4799" s="696">
        <v>5796</v>
      </c>
      <c r="B4799" s="469"/>
      <c r="C4799" s="458"/>
      <c r="D4799" s="456">
        <v>0</v>
      </c>
      <c r="E4799" s="456">
        <v>0</v>
      </c>
      <c r="F4799" s="456"/>
      <c r="G4799" s="456"/>
      <c r="H4799" s="456"/>
    </row>
    <row r="4800" spans="1:8">
      <c r="A4800" s="696">
        <v>5797</v>
      </c>
      <c r="B4800" s="469"/>
      <c r="C4800" s="458"/>
      <c r="D4800" s="456">
        <v>0</v>
      </c>
      <c r="E4800" s="456">
        <v>0</v>
      </c>
      <c r="F4800" s="456"/>
      <c r="G4800" s="456"/>
      <c r="H4800" s="456"/>
    </row>
    <row r="4801" spans="1:8">
      <c r="A4801" s="696">
        <v>5798</v>
      </c>
      <c r="B4801" s="469"/>
      <c r="C4801" s="458"/>
      <c r="D4801" s="456">
        <v>0</v>
      </c>
      <c r="E4801" s="456">
        <v>0</v>
      </c>
      <c r="F4801" s="456"/>
      <c r="G4801" s="456"/>
      <c r="H4801" s="456"/>
    </row>
    <row r="4802" spans="1:8">
      <c r="A4802" s="696">
        <v>5799</v>
      </c>
      <c r="B4802" s="469"/>
      <c r="C4802" s="458"/>
      <c r="D4802" s="456">
        <v>0</v>
      </c>
      <c r="E4802" s="456">
        <v>0</v>
      </c>
      <c r="F4802" s="456"/>
      <c r="G4802" s="456"/>
      <c r="H4802" s="456"/>
    </row>
    <row r="4803" spans="1:8">
      <c r="A4803" s="696">
        <v>5800</v>
      </c>
      <c r="B4803" s="469"/>
      <c r="C4803" s="458"/>
      <c r="D4803" s="456">
        <v>0</v>
      </c>
      <c r="E4803" s="456">
        <v>0</v>
      </c>
      <c r="F4803" s="456"/>
      <c r="G4803" s="456"/>
      <c r="H4803" s="456"/>
    </row>
    <row r="4804" spans="1:8">
      <c r="A4804" s="696">
        <v>5801</v>
      </c>
      <c r="B4804" s="469"/>
      <c r="C4804" s="458"/>
      <c r="D4804" s="456">
        <v>0</v>
      </c>
      <c r="E4804" s="456">
        <v>0</v>
      </c>
      <c r="F4804" s="456"/>
      <c r="G4804" s="456"/>
      <c r="H4804" s="456"/>
    </row>
    <row r="4805" spans="1:8">
      <c r="A4805" s="696">
        <v>5802</v>
      </c>
      <c r="B4805" s="469"/>
      <c r="C4805" s="458"/>
      <c r="D4805" s="456">
        <v>0</v>
      </c>
      <c r="E4805" s="456">
        <v>0</v>
      </c>
      <c r="F4805" s="456"/>
      <c r="G4805" s="456"/>
      <c r="H4805" s="456"/>
    </row>
    <row r="4806" spans="1:8">
      <c r="A4806" s="696">
        <v>5803</v>
      </c>
      <c r="B4806" s="469"/>
      <c r="C4806" s="458"/>
      <c r="D4806" s="456">
        <v>0</v>
      </c>
      <c r="E4806" s="456">
        <v>0</v>
      </c>
      <c r="F4806" s="456"/>
      <c r="G4806" s="456"/>
      <c r="H4806" s="456"/>
    </row>
    <row r="4807" spans="1:8">
      <c r="A4807" s="696">
        <v>5804</v>
      </c>
      <c r="B4807" s="469"/>
      <c r="C4807" s="458"/>
      <c r="D4807" s="456">
        <v>0</v>
      </c>
      <c r="E4807" s="456">
        <v>0</v>
      </c>
      <c r="F4807" s="456"/>
      <c r="G4807" s="456"/>
      <c r="H4807" s="456"/>
    </row>
    <row r="4808" spans="1:8">
      <c r="A4808" s="696">
        <v>5805</v>
      </c>
      <c r="B4808" s="469"/>
      <c r="C4808" s="458"/>
      <c r="D4808" s="456">
        <v>0</v>
      </c>
      <c r="E4808" s="456">
        <v>0</v>
      </c>
      <c r="F4808" s="456"/>
      <c r="G4808" s="456"/>
      <c r="H4808" s="456"/>
    </row>
    <row r="4809" spans="1:8">
      <c r="A4809" s="696">
        <v>5806</v>
      </c>
      <c r="B4809" s="469"/>
      <c r="C4809" s="458"/>
      <c r="D4809" s="456">
        <v>0</v>
      </c>
      <c r="E4809" s="456">
        <v>0</v>
      </c>
      <c r="F4809" s="456"/>
      <c r="G4809" s="456"/>
      <c r="H4809" s="456"/>
    </row>
    <row r="4810" spans="1:8">
      <c r="A4810" s="696">
        <v>5807</v>
      </c>
      <c r="B4810" s="469"/>
      <c r="C4810" s="458"/>
      <c r="D4810" s="456">
        <v>0</v>
      </c>
      <c r="E4810" s="456">
        <v>0</v>
      </c>
      <c r="F4810" s="456"/>
      <c r="G4810" s="456"/>
      <c r="H4810" s="456"/>
    </row>
    <row r="4811" spans="1:8">
      <c r="A4811" s="696">
        <v>5808</v>
      </c>
      <c r="B4811" s="469"/>
      <c r="C4811" s="458"/>
      <c r="D4811" s="456">
        <v>0</v>
      </c>
      <c r="E4811" s="456">
        <v>0</v>
      </c>
      <c r="F4811" s="456"/>
      <c r="G4811" s="456"/>
      <c r="H4811" s="456"/>
    </row>
    <row r="4812" spans="1:8">
      <c r="A4812" s="696">
        <v>5809</v>
      </c>
      <c r="B4812" s="469"/>
      <c r="C4812" s="458"/>
      <c r="D4812" s="456">
        <v>0</v>
      </c>
      <c r="E4812" s="456">
        <v>0</v>
      </c>
      <c r="F4812" s="456"/>
      <c r="G4812" s="456"/>
      <c r="H4812" s="456"/>
    </row>
    <row r="4813" spans="1:8">
      <c r="A4813" s="696">
        <v>5810</v>
      </c>
      <c r="B4813" s="469"/>
      <c r="C4813" s="458"/>
      <c r="D4813" s="456">
        <v>0</v>
      </c>
      <c r="E4813" s="456">
        <v>0</v>
      </c>
      <c r="F4813" s="456"/>
      <c r="G4813" s="456"/>
      <c r="H4813" s="456"/>
    </row>
    <row r="4814" spans="1:8">
      <c r="A4814" s="696">
        <v>5811</v>
      </c>
      <c r="B4814" s="469"/>
      <c r="C4814" s="458"/>
      <c r="D4814" s="456">
        <v>0</v>
      </c>
      <c r="E4814" s="456">
        <v>0</v>
      </c>
      <c r="F4814" s="456"/>
      <c r="G4814" s="456"/>
      <c r="H4814" s="456"/>
    </row>
    <row r="4815" spans="1:8">
      <c r="A4815" s="696">
        <v>5812</v>
      </c>
      <c r="B4815" s="469"/>
      <c r="C4815" s="458"/>
      <c r="D4815" s="456">
        <v>0</v>
      </c>
      <c r="E4815" s="456">
        <v>0</v>
      </c>
      <c r="F4815" s="456"/>
      <c r="G4815" s="456"/>
      <c r="H4815" s="456"/>
    </row>
    <row r="4816" spans="1:8">
      <c r="A4816" s="696">
        <v>5813</v>
      </c>
      <c r="B4816" s="469"/>
      <c r="C4816" s="458"/>
      <c r="D4816" s="456">
        <v>0</v>
      </c>
      <c r="E4816" s="456">
        <v>0</v>
      </c>
      <c r="F4816" s="456"/>
      <c r="G4816" s="456"/>
      <c r="H4816" s="456"/>
    </row>
    <row r="4817" spans="1:8">
      <c r="A4817" s="696">
        <v>5814</v>
      </c>
      <c r="B4817" s="469"/>
      <c r="C4817" s="458"/>
      <c r="D4817" s="456">
        <v>0</v>
      </c>
      <c r="E4817" s="456">
        <v>0</v>
      </c>
      <c r="F4817" s="456"/>
      <c r="G4817" s="456"/>
      <c r="H4817" s="456"/>
    </row>
    <row r="4818" spans="1:8">
      <c r="A4818" s="696">
        <v>5815</v>
      </c>
      <c r="B4818" s="469"/>
      <c r="C4818" s="458"/>
      <c r="D4818" s="456">
        <v>0</v>
      </c>
      <c r="E4818" s="456">
        <v>0</v>
      </c>
      <c r="F4818" s="456"/>
      <c r="G4818" s="456"/>
      <c r="H4818" s="456"/>
    </row>
    <row r="4819" spans="1:8">
      <c r="A4819" s="696">
        <v>5816</v>
      </c>
      <c r="B4819" s="469"/>
      <c r="C4819" s="458"/>
      <c r="D4819" s="456">
        <v>0</v>
      </c>
      <c r="E4819" s="456">
        <v>0</v>
      </c>
      <c r="F4819" s="456"/>
      <c r="G4819" s="456"/>
      <c r="H4819" s="456"/>
    </row>
    <row r="4820" spans="1:8">
      <c r="A4820" s="696">
        <v>5817</v>
      </c>
      <c r="B4820" s="469"/>
      <c r="C4820" s="458"/>
      <c r="D4820" s="456">
        <v>0</v>
      </c>
      <c r="E4820" s="456">
        <v>0</v>
      </c>
      <c r="F4820" s="456"/>
      <c r="G4820" s="456"/>
      <c r="H4820" s="456"/>
    </row>
    <row r="4821" spans="1:8">
      <c r="A4821" s="696">
        <v>5818</v>
      </c>
      <c r="B4821" s="469"/>
      <c r="C4821" s="458"/>
      <c r="D4821" s="456">
        <v>0</v>
      </c>
      <c r="E4821" s="456">
        <v>0</v>
      </c>
      <c r="F4821" s="456"/>
      <c r="G4821" s="456"/>
      <c r="H4821" s="456"/>
    </row>
    <row r="4822" spans="1:8">
      <c r="A4822" s="696">
        <v>5819</v>
      </c>
      <c r="B4822" s="469"/>
      <c r="C4822" s="458"/>
      <c r="D4822" s="456">
        <v>0</v>
      </c>
      <c r="E4822" s="456">
        <v>0</v>
      </c>
      <c r="F4822" s="456"/>
      <c r="G4822" s="456"/>
      <c r="H4822" s="456"/>
    </row>
    <row r="4823" spans="1:8">
      <c r="A4823" s="696">
        <v>5820</v>
      </c>
      <c r="B4823" s="469"/>
      <c r="C4823" s="458"/>
      <c r="D4823" s="456">
        <v>0</v>
      </c>
      <c r="E4823" s="456">
        <v>0</v>
      </c>
      <c r="F4823" s="456"/>
      <c r="G4823" s="456"/>
      <c r="H4823" s="456"/>
    </row>
    <row r="4824" spans="1:8">
      <c r="A4824" s="696">
        <v>5821</v>
      </c>
      <c r="B4824" s="469"/>
      <c r="C4824" s="458"/>
      <c r="D4824" s="456">
        <v>0</v>
      </c>
      <c r="E4824" s="456">
        <v>0</v>
      </c>
      <c r="F4824" s="456"/>
      <c r="G4824" s="456"/>
      <c r="H4824" s="456"/>
    </row>
    <row r="4825" spans="1:8">
      <c r="A4825" s="696">
        <v>5822</v>
      </c>
      <c r="B4825" s="469"/>
      <c r="C4825" s="458"/>
      <c r="D4825" s="456">
        <v>0</v>
      </c>
      <c r="E4825" s="456">
        <v>0</v>
      </c>
      <c r="F4825" s="456"/>
      <c r="G4825" s="456"/>
      <c r="H4825" s="456"/>
    </row>
    <row r="4826" spans="1:8">
      <c r="A4826" s="696">
        <v>5823</v>
      </c>
      <c r="B4826" s="469"/>
      <c r="C4826" s="458"/>
      <c r="D4826" s="456">
        <v>0</v>
      </c>
      <c r="E4826" s="456">
        <v>0</v>
      </c>
      <c r="F4826" s="456"/>
      <c r="G4826" s="456"/>
      <c r="H4826" s="456"/>
    </row>
    <row r="4827" spans="1:8">
      <c r="A4827" s="696">
        <v>5824</v>
      </c>
      <c r="B4827" s="469"/>
      <c r="C4827" s="458"/>
      <c r="D4827" s="456">
        <v>0</v>
      </c>
      <c r="E4827" s="456">
        <v>0</v>
      </c>
      <c r="F4827" s="456"/>
      <c r="G4827" s="456"/>
      <c r="H4827" s="456"/>
    </row>
    <row r="4828" spans="1:8">
      <c r="A4828" s="696">
        <v>5825</v>
      </c>
      <c r="B4828" s="469"/>
      <c r="C4828" s="458"/>
      <c r="D4828" s="456">
        <v>0</v>
      </c>
      <c r="E4828" s="456">
        <v>0</v>
      </c>
      <c r="F4828" s="456"/>
      <c r="G4828" s="456"/>
      <c r="H4828" s="456"/>
    </row>
    <row r="4829" spans="1:8">
      <c r="A4829" s="696">
        <v>5826</v>
      </c>
      <c r="B4829" s="469"/>
      <c r="C4829" s="458"/>
      <c r="D4829" s="456">
        <v>0</v>
      </c>
      <c r="E4829" s="456">
        <v>0</v>
      </c>
      <c r="F4829" s="456"/>
      <c r="G4829" s="456"/>
      <c r="H4829" s="456"/>
    </row>
    <row r="4830" spans="1:8">
      <c r="A4830" s="696">
        <v>5827</v>
      </c>
      <c r="B4830" s="469"/>
      <c r="C4830" s="458"/>
      <c r="D4830" s="456">
        <v>0</v>
      </c>
      <c r="E4830" s="456">
        <v>0</v>
      </c>
      <c r="F4830" s="456"/>
      <c r="G4830" s="456"/>
      <c r="H4830" s="456"/>
    </row>
    <row r="4831" spans="1:8">
      <c r="A4831" s="696">
        <v>5828</v>
      </c>
      <c r="B4831" s="469"/>
      <c r="C4831" s="458"/>
      <c r="D4831" s="456">
        <v>0</v>
      </c>
      <c r="E4831" s="456">
        <v>0</v>
      </c>
      <c r="F4831" s="456"/>
      <c r="G4831" s="456"/>
      <c r="H4831" s="456"/>
    </row>
    <row r="4832" spans="1:8">
      <c r="A4832" s="696">
        <v>5829</v>
      </c>
      <c r="B4832" s="469"/>
      <c r="C4832" s="458"/>
      <c r="D4832" s="456">
        <v>0</v>
      </c>
      <c r="E4832" s="456">
        <v>0</v>
      </c>
      <c r="F4832" s="456"/>
      <c r="G4832" s="456"/>
      <c r="H4832" s="456"/>
    </row>
    <row r="4833" spans="1:8">
      <c r="A4833" s="696">
        <v>5830</v>
      </c>
      <c r="B4833" s="469"/>
      <c r="C4833" s="458"/>
      <c r="D4833" s="456">
        <v>0</v>
      </c>
      <c r="E4833" s="456">
        <v>0</v>
      </c>
      <c r="F4833" s="456"/>
      <c r="G4833" s="456"/>
      <c r="H4833" s="456"/>
    </row>
    <row r="4834" spans="1:8">
      <c r="A4834" s="696">
        <v>5831</v>
      </c>
      <c r="B4834" s="469"/>
      <c r="C4834" s="458"/>
      <c r="D4834" s="456">
        <v>0</v>
      </c>
      <c r="E4834" s="456">
        <v>0</v>
      </c>
      <c r="F4834" s="456"/>
      <c r="G4834" s="456"/>
      <c r="H4834" s="456"/>
    </row>
    <row r="4835" spans="1:8">
      <c r="A4835" s="696">
        <v>5832</v>
      </c>
      <c r="B4835" s="469"/>
      <c r="C4835" s="458"/>
      <c r="D4835" s="456">
        <v>0</v>
      </c>
      <c r="E4835" s="456">
        <v>0</v>
      </c>
      <c r="F4835" s="456"/>
      <c r="G4835" s="456"/>
      <c r="H4835" s="456"/>
    </row>
    <row r="4836" spans="1:8">
      <c r="A4836" s="696">
        <v>5833</v>
      </c>
      <c r="B4836" s="469"/>
      <c r="C4836" s="458"/>
      <c r="D4836" s="456">
        <v>0</v>
      </c>
      <c r="E4836" s="456">
        <v>0</v>
      </c>
      <c r="F4836" s="456"/>
      <c r="G4836" s="456"/>
      <c r="H4836" s="456"/>
    </row>
    <row r="4837" spans="1:8">
      <c r="A4837" s="696">
        <v>5834</v>
      </c>
      <c r="B4837" s="469"/>
      <c r="C4837" s="458"/>
      <c r="D4837" s="456">
        <v>0</v>
      </c>
      <c r="E4837" s="456">
        <v>0</v>
      </c>
      <c r="F4837" s="456"/>
      <c r="G4837" s="456"/>
      <c r="H4837" s="456"/>
    </row>
    <row r="4838" spans="1:8">
      <c r="A4838" s="696">
        <v>5835</v>
      </c>
      <c r="B4838" s="469"/>
      <c r="C4838" s="458"/>
      <c r="D4838" s="456">
        <v>0</v>
      </c>
      <c r="E4838" s="456">
        <v>0</v>
      </c>
      <c r="F4838" s="456"/>
      <c r="G4838" s="456"/>
      <c r="H4838" s="456"/>
    </row>
    <row r="4839" spans="1:8">
      <c r="A4839" s="696">
        <v>5836</v>
      </c>
      <c r="B4839" s="469"/>
      <c r="C4839" s="458"/>
      <c r="D4839" s="456">
        <v>0</v>
      </c>
      <c r="E4839" s="456">
        <v>0</v>
      </c>
      <c r="F4839" s="456"/>
      <c r="G4839" s="456"/>
      <c r="H4839" s="456"/>
    </row>
    <row r="4840" spans="1:8">
      <c r="A4840" s="696">
        <v>5837</v>
      </c>
      <c r="B4840" s="469"/>
      <c r="C4840" s="458"/>
      <c r="D4840" s="456">
        <v>0</v>
      </c>
      <c r="E4840" s="456">
        <v>0</v>
      </c>
      <c r="F4840" s="456"/>
      <c r="G4840" s="456"/>
      <c r="H4840" s="456"/>
    </row>
    <row r="4841" spans="1:8">
      <c r="A4841" s="696">
        <v>5838</v>
      </c>
      <c r="B4841" s="469"/>
      <c r="C4841" s="458"/>
      <c r="D4841" s="456">
        <v>0</v>
      </c>
      <c r="E4841" s="456">
        <v>0</v>
      </c>
      <c r="F4841" s="456"/>
      <c r="G4841" s="456"/>
      <c r="H4841" s="456"/>
    </row>
    <row r="4842" spans="1:8">
      <c r="A4842" s="696">
        <v>5839</v>
      </c>
      <c r="B4842" s="469"/>
      <c r="C4842" s="458"/>
      <c r="D4842" s="456">
        <v>0</v>
      </c>
      <c r="E4842" s="456">
        <v>0</v>
      </c>
      <c r="F4842" s="456"/>
      <c r="G4842" s="456"/>
      <c r="H4842" s="456"/>
    </row>
    <row r="4843" spans="1:8">
      <c r="A4843" s="696">
        <v>5840</v>
      </c>
      <c r="B4843" s="469"/>
      <c r="C4843" s="458"/>
      <c r="D4843" s="456">
        <v>0</v>
      </c>
      <c r="E4843" s="456">
        <v>0</v>
      </c>
      <c r="F4843" s="456"/>
      <c r="G4843" s="456"/>
      <c r="H4843" s="456"/>
    </row>
    <row r="4844" spans="1:8">
      <c r="A4844" s="696">
        <v>5841</v>
      </c>
      <c r="B4844" s="469"/>
      <c r="C4844" s="458"/>
      <c r="D4844" s="456">
        <v>0</v>
      </c>
      <c r="E4844" s="456">
        <v>0</v>
      </c>
      <c r="F4844" s="456"/>
      <c r="G4844" s="456"/>
      <c r="H4844" s="456"/>
    </row>
    <row r="4845" spans="1:8">
      <c r="A4845" s="696">
        <v>5842</v>
      </c>
      <c r="B4845" s="469"/>
      <c r="C4845" s="458"/>
      <c r="D4845" s="456">
        <v>0</v>
      </c>
      <c r="E4845" s="456">
        <v>0</v>
      </c>
      <c r="F4845" s="456"/>
      <c r="G4845" s="456"/>
      <c r="H4845" s="456"/>
    </row>
    <row r="4846" spans="1:8">
      <c r="A4846" s="696">
        <v>5843</v>
      </c>
      <c r="B4846" s="469"/>
      <c r="C4846" s="458"/>
      <c r="D4846" s="456">
        <v>0</v>
      </c>
      <c r="E4846" s="456">
        <v>0</v>
      </c>
      <c r="F4846" s="456"/>
      <c r="G4846" s="456"/>
      <c r="H4846" s="456"/>
    </row>
    <row r="4847" spans="1:8">
      <c r="A4847" s="696">
        <v>5844</v>
      </c>
      <c r="B4847" s="469"/>
      <c r="C4847" s="458"/>
      <c r="D4847" s="456">
        <v>0</v>
      </c>
      <c r="E4847" s="456">
        <v>0</v>
      </c>
      <c r="F4847" s="456"/>
      <c r="G4847" s="456"/>
      <c r="H4847" s="456"/>
    </row>
    <row r="4848" spans="1:8">
      <c r="A4848" s="696">
        <v>5845</v>
      </c>
      <c r="B4848" s="469"/>
      <c r="C4848" s="458"/>
      <c r="D4848" s="456">
        <v>0</v>
      </c>
      <c r="E4848" s="456">
        <v>0</v>
      </c>
      <c r="F4848" s="456"/>
      <c r="G4848" s="456"/>
      <c r="H4848" s="456"/>
    </row>
    <row r="4849" spans="1:8">
      <c r="A4849" s="696">
        <v>5846</v>
      </c>
      <c r="B4849" s="469"/>
      <c r="C4849" s="458"/>
      <c r="D4849" s="456">
        <v>0</v>
      </c>
      <c r="E4849" s="456">
        <v>0</v>
      </c>
      <c r="F4849" s="456"/>
      <c r="G4849" s="456"/>
      <c r="H4849" s="456"/>
    </row>
    <row r="4850" spans="1:8">
      <c r="A4850" s="696">
        <v>5847</v>
      </c>
      <c r="B4850" s="469"/>
      <c r="C4850" s="458"/>
      <c r="D4850" s="456">
        <v>0</v>
      </c>
      <c r="E4850" s="456">
        <v>0</v>
      </c>
      <c r="F4850" s="456"/>
      <c r="G4850" s="456"/>
      <c r="H4850" s="456"/>
    </row>
    <row r="4851" spans="1:8">
      <c r="A4851" s="696">
        <v>5848</v>
      </c>
      <c r="B4851" s="469"/>
      <c r="C4851" s="458"/>
      <c r="D4851" s="456">
        <v>0</v>
      </c>
      <c r="E4851" s="456">
        <v>0</v>
      </c>
      <c r="F4851" s="456"/>
      <c r="G4851" s="456"/>
      <c r="H4851" s="456"/>
    </row>
    <row r="4852" spans="1:8">
      <c r="A4852" s="696">
        <v>5849</v>
      </c>
      <c r="B4852" s="469"/>
      <c r="C4852" s="458"/>
      <c r="D4852" s="456">
        <v>0</v>
      </c>
      <c r="E4852" s="456">
        <v>0</v>
      </c>
      <c r="F4852" s="456"/>
      <c r="G4852" s="456"/>
      <c r="H4852" s="456"/>
    </row>
    <row r="4853" spans="1:8">
      <c r="A4853" s="696">
        <v>5850</v>
      </c>
      <c r="B4853" s="469"/>
      <c r="C4853" s="458"/>
      <c r="D4853" s="456">
        <v>0</v>
      </c>
      <c r="E4853" s="456">
        <v>0</v>
      </c>
      <c r="F4853" s="456"/>
      <c r="G4853" s="456"/>
      <c r="H4853" s="456"/>
    </row>
    <row r="4854" spans="1:8">
      <c r="A4854" s="696">
        <v>5851</v>
      </c>
      <c r="B4854" s="469"/>
      <c r="C4854" s="458"/>
      <c r="D4854" s="456">
        <v>0</v>
      </c>
      <c r="E4854" s="456">
        <v>0</v>
      </c>
      <c r="F4854" s="456"/>
      <c r="G4854" s="456"/>
      <c r="H4854" s="456"/>
    </row>
    <row r="4855" spans="1:8">
      <c r="A4855" s="696">
        <v>5852</v>
      </c>
      <c r="B4855" s="469"/>
      <c r="C4855" s="458"/>
      <c r="D4855" s="456">
        <v>0</v>
      </c>
      <c r="E4855" s="456">
        <v>0</v>
      </c>
      <c r="F4855" s="456"/>
      <c r="G4855" s="456"/>
      <c r="H4855" s="456"/>
    </row>
    <row r="4856" spans="1:8">
      <c r="A4856" s="696">
        <v>5853</v>
      </c>
      <c r="B4856" s="469"/>
      <c r="C4856" s="458"/>
      <c r="D4856" s="456">
        <v>0</v>
      </c>
      <c r="E4856" s="456">
        <v>0</v>
      </c>
      <c r="F4856" s="456"/>
      <c r="G4856" s="456"/>
      <c r="H4856" s="456"/>
    </row>
    <row r="4857" spans="1:8">
      <c r="A4857" s="696">
        <v>5854</v>
      </c>
      <c r="B4857" s="469"/>
      <c r="C4857" s="458"/>
      <c r="D4857" s="456">
        <v>0</v>
      </c>
      <c r="E4857" s="456">
        <v>0</v>
      </c>
      <c r="F4857" s="456"/>
      <c r="G4857" s="456"/>
      <c r="H4857" s="456"/>
    </row>
    <row r="4858" spans="1:8">
      <c r="A4858" s="696">
        <v>5855</v>
      </c>
      <c r="B4858" s="469"/>
      <c r="C4858" s="458"/>
      <c r="D4858" s="456">
        <v>0</v>
      </c>
      <c r="E4858" s="456">
        <v>0</v>
      </c>
      <c r="F4858" s="456"/>
      <c r="G4858" s="456"/>
      <c r="H4858" s="456"/>
    </row>
    <row r="4859" spans="1:8">
      <c r="A4859" s="696">
        <v>5856</v>
      </c>
      <c r="B4859" s="469"/>
      <c r="C4859" s="458"/>
      <c r="D4859" s="456">
        <v>0</v>
      </c>
      <c r="E4859" s="456">
        <v>0</v>
      </c>
      <c r="F4859" s="456"/>
      <c r="G4859" s="456"/>
      <c r="H4859" s="456"/>
    </row>
    <row r="4860" spans="1:8">
      <c r="A4860" s="696">
        <v>5857</v>
      </c>
      <c r="B4860" s="469"/>
      <c r="C4860" s="458"/>
      <c r="D4860" s="456">
        <v>0</v>
      </c>
      <c r="E4860" s="456">
        <v>0</v>
      </c>
      <c r="F4860" s="456"/>
      <c r="G4860" s="456"/>
      <c r="H4860" s="456"/>
    </row>
    <row r="4861" spans="1:8">
      <c r="A4861" s="696">
        <v>5858</v>
      </c>
      <c r="B4861" s="469"/>
      <c r="C4861" s="458"/>
      <c r="D4861" s="456">
        <v>0</v>
      </c>
      <c r="E4861" s="456">
        <v>0</v>
      </c>
      <c r="F4861" s="456"/>
      <c r="G4861" s="456"/>
      <c r="H4861" s="456"/>
    </row>
    <row r="4862" spans="1:8">
      <c r="A4862" s="696">
        <v>5859</v>
      </c>
      <c r="B4862" s="469"/>
      <c r="C4862" s="458"/>
      <c r="D4862" s="456">
        <v>0</v>
      </c>
      <c r="E4862" s="456">
        <v>0</v>
      </c>
      <c r="F4862" s="456"/>
      <c r="G4862" s="456"/>
      <c r="H4862" s="456"/>
    </row>
    <row r="4863" spans="1:8">
      <c r="A4863" s="696">
        <v>5860</v>
      </c>
      <c r="B4863" s="469"/>
      <c r="C4863" s="458"/>
      <c r="D4863" s="456">
        <v>0</v>
      </c>
      <c r="E4863" s="456">
        <v>0</v>
      </c>
      <c r="F4863" s="456"/>
      <c r="G4863" s="456"/>
      <c r="H4863" s="456"/>
    </row>
    <row r="4864" spans="1:8">
      <c r="A4864" s="696">
        <v>5861</v>
      </c>
      <c r="B4864" s="469"/>
      <c r="C4864" s="458"/>
      <c r="D4864" s="456">
        <v>0</v>
      </c>
      <c r="E4864" s="456">
        <v>0</v>
      </c>
      <c r="F4864" s="456"/>
      <c r="G4864" s="456"/>
      <c r="H4864" s="456"/>
    </row>
    <row r="4865" spans="1:8">
      <c r="A4865" s="696">
        <v>5862</v>
      </c>
      <c r="B4865" s="469"/>
      <c r="C4865" s="458"/>
      <c r="D4865" s="456">
        <v>0</v>
      </c>
      <c r="E4865" s="456">
        <v>0</v>
      </c>
      <c r="F4865" s="456"/>
      <c r="G4865" s="456"/>
      <c r="H4865" s="456"/>
    </row>
    <row r="4866" spans="1:8">
      <c r="A4866" s="696">
        <v>5863</v>
      </c>
      <c r="B4866" s="469"/>
      <c r="C4866" s="458"/>
      <c r="D4866" s="456">
        <v>0</v>
      </c>
      <c r="E4866" s="456">
        <v>0</v>
      </c>
      <c r="F4866" s="456"/>
      <c r="G4866" s="456"/>
      <c r="H4866" s="456"/>
    </row>
    <row r="4867" spans="1:8">
      <c r="A4867" s="696">
        <v>5864</v>
      </c>
      <c r="B4867" s="469"/>
      <c r="C4867" s="458"/>
      <c r="D4867" s="456">
        <v>0</v>
      </c>
      <c r="E4867" s="456">
        <v>0</v>
      </c>
      <c r="F4867" s="456"/>
      <c r="G4867" s="456"/>
      <c r="H4867" s="456"/>
    </row>
    <row r="4868" spans="1:8">
      <c r="A4868" s="696">
        <v>5865</v>
      </c>
      <c r="B4868" s="469"/>
      <c r="C4868" s="458"/>
      <c r="D4868" s="456">
        <v>0</v>
      </c>
      <c r="E4868" s="456">
        <v>0</v>
      </c>
      <c r="F4868" s="456"/>
      <c r="G4868" s="456"/>
      <c r="H4868" s="456"/>
    </row>
    <row r="4869" spans="1:8">
      <c r="A4869" s="696">
        <v>5866</v>
      </c>
      <c r="B4869" s="469"/>
      <c r="C4869" s="458"/>
      <c r="D4869" s="456">
        <v>0</v>
      </c>
      <c r="E4869" s="456">
        <v>0</v>
      </c>
      <c r="F4869" s="456"/>
      <c r="G4869" s="456"/>
      <c r="H4869" s="456"/>
    </row>
    <row r="4870" spans="1:8">
      <c r="A4870" s="696">
        <v>5867</v>
      </c>
      <c r="B4870" s="469"/>
      <c r="C4870" s="458"/>
      <c r="D4870" s="456">
        <v>0</v>
      </c>
      <c r="E4870" s="456">
        <v>0</v>
      </c>
      <c r="F4870" s="456"/>
      <c r="G4870" s="456"/>
      <c r="H4870" s="456"/>
    </row>
    <row r="4871" spans="1:8">
      <c r="A4871" s="696">
        <v>5868</v>
      </c>
      <c r="B4871" s="469"/>
      <c r="C4871" s="458"/>
      <c r="D4871" s="456">
        <v>0</v>
      </c>
      <c r="E4871" s="456">
        <v>0</v>
      </c>
      <c r="F4871" s="456"/>
      <c r="G4871" s="456"/>
      <c r="H4871" s="456"/>
    </row>
    <row r="4872" spans="1:8">
      <c r="A4872" s="696">
        <v>5869</v>
      </c>
      <c r="B4872" s="469"/>
      <c r="C4872" s="458"/>
      <c r="D4872" s="456">
        <v>0</v>
      </c>
      <c r="E4872" s="456">
        <v>0</v>
      </c>
      <c r="F4872" s="456"/>
      <c r="G4872" s="456"/>
      <c r="H4872" s="456"/>
    </row>
    <row r="4873" spans="1:8">
      <c r="A4873" s="696">
        <v>5870</v>
      </c>
      <c r="B4873" s="469"/>
      <c r="C4873" s="458"/>
      <c r="D4873" s="456">
        <v>0</v>
      </c>
      <c r="E4873" s="456">
        <v>0</v>
      </c>
      <c r="F4873" s="456"/>
      <c r="G4873" s="456"/>
      <c r="H4873" s="456"/>
    </row>
    <row r="4874" spans="1:8">
      <c r="A4874" s="696">
        <v>5871</v>
      </c>
      <c r="B4874" s="469"/>
      <c r="C4874" s="458"/>
      <c r="D4874" s="456">
        <v>0</v>
      </c>
      <c r="E4874" s="456">
        <v>0</v>
      </c>
      <c r="F4874" s="456"/>
      <c r="G4874" s="456"/>
      <c r="H4874" s="456"/>
    </row>
    <row r="4875" spans="1:8">
      <c r="A4875" s="696">
        <v>5872</v>
      </c>
      <c r="B4875" s="469"/>
      <c r="C4875" s="458"/>
      <c r="D4875" s="456">
        <v>0</v>
      </c>
      <c r="E4875" s="456">
        <v>0</v>
      </c>
      <c r="F4875" s="456"/>
      <c r="G4875" s="456"/>
      <c r="H4875" s="456"/>
    </row>
    <row r="4876" spans="1:8">
      <c r="A4876" s="696">
        <v>5873</v>
      </c>
      <c r="B4876" s="469"/>
      <c r="C4876" s="458"/>
      <c r="D4876" s="456">
        <v>0</v>
      </c>
      <c r="E4876" s="456">
        <v>0</v>
      </c>
      <c r="F4876" s="456"/>
      <c r="G4876" s="456"/>
      <c r="H4876" s="456"/>
    </row>
    <row r="4877" spans="1:8">
      <c r="A4877" s="696">
        <v>5874</v>
      </c>
      <c r="B4877" s="469"/>
      <c r="C4877" s="458"/>
      <c r="D4877" s="456">
        <v>0</v>
      </c>
      <c r="E4877" s="456">
        <v>0</v>
      </c>
      <c r="F4877" s="456"/>
      <c r="G4877" s="456"/>
      <c r="H4877" s="456"/>
    </row>
    <row r="4878" spans="1:8">
      <c r="A4878" s="696">
        <v>5875</v>
      </c>
      <c r="B4878" s="469"/>
      <c r="C4878" s="458"/>
      <c r="D4878" s="456">
        <v>0</v>
      </c>
      <c r="E4878" s="456">
        <v>0</v>
      </c>
      <c r="F4878" s="456"/>
      <c r="G4878" s="456"/>
      <c r="H4878" s="456"/>
    </row>
    <row r="4879" spans="1:8">
      <c r="A4879" s="696">
        <v>5876</v>
      </c>
      <c r="B4879" s="469"/>
      <c r="C4879" s="458"/>
      <c r="D4879" s="456">
        <v>0</v>
      </c>
      <c r="E4879" s="456">
        <v>0</v>
      </c>
      <c r="F4879" s="456"/>
      <c r="G4879" s="456"/>
      <c r="H4879" s="456"/>
    </row>
    <row r="4880" spans="1:8">
      <c r="A4880" s="696">
        <v>5877</v>
      </c>
      <c r="B4880" s="469"/>
      <c r="C4880" s="458"/>
      <c r="D4880" s="456">
        <v>0</v>
      </c>
      <c r="E4880" s="456">
        <v>0</v>
      </c>
      <c r="F4880" s="456"/>
      <c r="G4880" s="456"/>
      <c r="H4880" s="456"/>
    </row>
    <row r="4881" spans="1:8">
      <c r="A4881" s="696">
        <v>5878</v>
      </c>
      <c r="B4881" s="469"/>
      <c r="C4881" s="458"/>
      <c r="D4881" s="456">
        <v>0</v>
      </c>
      <c r="E4881" s="456">
        <v>0</v>
      </c>
      <c r="F4881" s="456"/>
      <c r="G4881" s="456"/>
      <c r="H4881" s="456"/>
    </row>
    <row r="4882" spans="1:8">
      <c r="A4882" s="696">
        <v>5879</v>
      </c>
      <c r="B4882" s="469"/>
      <c r="C4882" s="458"/>
      <c r="D4882" s="456">
        <v>0</v>
      </c>
      <c r="E4882" s="456">
        <v>0</v>
      </c>
      <c r="F4882" s="456"/>
      <c r="G4882" s="456"/>
      <c r="H4882" s="456"/>
    </row>
    <row r="4883" spans="1:8">
      <c r="A4883" s="696">
        <v>5880</v>
      </c>
      <c r="B4883" s="469"/>
      <c r="C4883" s="458"/>
      <c r="D4883" s="456">
        <v>0</v>
      </c>
      <c r="E4883" s="456">
        <v>0</v>
      </c>
      <c r="F4883" s="456"/>
      <c r="G4883" s="456"/>
      <c r="H4883" s="456"/>
    </row>
    <row r="4884" spans="1:8">
      <c r="A4884" s="696">
        <v>5881</v>
      </c>
      <c r="B4884" s="469"/>
      <c r="C4884" s="458"/>
      <c r="D4884" s="456">
        <v>0</v>
      </c>
      <c r="E4884" s="456">
        <v>0</v>
      </c>
      <c r="F4884" s="456"/>
      <c r="G4884" s="456"/>
      <c r="H4884" s="456"/>
    </row>
    <row r="4885" spans="1:8">
      <c r="A4885" s="696">
        <v>5882</v>
      </c>
      <c r="B4885" s="469"/>
      <c r="C4885" s="458"/>
      <c r="D4885" s="456">
        <v>0</v>
      </c>
      <c r="E4885" s="456">
        <v>0</v>
      </c>
      <c r="F4885" s="456"/>
      <c r="G4885" s="456"/>
      <c r="H4885" s="456"/>
    </row>
    <row r="4886" spans="1:8">
      <c r="A4886" s="696">
        <v>5883</v>
      </c>
      <c r="B4886" s="469"/>
      <c r="C4886" s="458"/>
      <c r="D4886" s="456">
        <v>0</v>
      </c>
      <c r="E4886" s="456">
        <v>0</v>
      </c>
      <c r="F4886" s="456"/>
      <c r="G4886" s="456"/>
      <c r="H4886" s="456"/>
    </row>
    <row r="4887" spans="1:8">
      <c r="A4887" s="696">
        <v>5884</v>
      </c>
      <c r="B4887" s="469"/>
      <c r="C4887" s="458"/>
      <c r="D4887" s="456">
        <v>0</v>
      </c>
      <c r="E4887" s="456">
        <v>0</v>
      </c>
      <c r="F4887" s="456"/>
      <c r="G4887" s="456"/>
      <c r="H4887" s="456"/>
    </row>
    <row r="4888" spans="1:8">
      <c r="A4888" s="696">
        <v>5885</v>
      </c>
      <c r="B4888" s="469"/>
      <c r="C4888" s="458"/>
      <c r="D4888" s="456">
        <v>0</v>
      </c>
      <c r="E4888" s="456">
        <v>0</v>
      </c>
      <c r="F4888" s="456"/>
      <c r="G4888" s="456"/>
      <c r="H4888" s="456"/>
    </row>
    <row r="4889" spans="1:8">
      <c r="A4889" s="696">
        <v>5886</v>
      </c>
      <c r="B4889" s="469"/>
      <c r="C4889" s="458"/>
      <c r="D4889" s="456">
        <v>0</v>
      </c>
      <c r="E4889" s="456">
        <v>0</v>
      </c>
      <c r="F4889" s="456"/>
      <c r="G4889" s="456"/>
      <c r="H4889" s="456"/>
    </row>
    <row r="4890" spans="1:8">
      <c r="A4890" s="696">
        <v>5887</v>
      </c>
      <c r="B4890" s="469"/>
      <c r="C4890" s="458"/>
      <c r="D4890" s="456">
        <v>0</v>
      </c>
      <c r="E4890" s="456">
        <v>0</v>
      </c>
      <c r="F4890" s="456"/>
      <c r="G4890" s="456"/>
      <c r="H4890" s="456"/>
    </row>
    <row r="4891" spans="1:8">
      <c r="A4891" s="696">
        <v>5888</v>
      </c>
      <c r="B4891" s="469"/>
      <c r="C4891" s="458"/>
      <c r="D4891" s="456">
        <v>0</v>
      </c>
      <c r="E4891" s="456">
        <v>0</v>
      </c>
      <c r="F4891" s="456"/>
      <c r="G4891" s="456"/>
      <c r="H4891" s="456"/>
    </row>
    <row r="4892" spans="1:8">
      <c r="A4892" s="696">
        <v>5889</v>
      </c>
      <c r="B4892" s="469"/>
      <c r="C4892" s="458"/>
      <c r="D4892" s="456">
        <v>0</v>
      </c>
      <c r="E4892" s="456">
        <v>0</v>
      </c>
      <c r="F4892" s="456"/>
      <c r="G4892" s="456"/>
      <c r="H4892" s="456"/>
    </row>
    <row r="4893" spans="1:8">
      <c r="A4893" s="696">
        <v>5890</v>
      </c>
      <c r="B4893" s="469"/>
      <c r="C4893" s="458"/>
      <c r="D4893" s="456">
        <v>0</v>
      </c>
      <c r="E4893" s="456">
        <v>0</v>
      </c>
      <c r="F4893" s="456"/>
      <c r="G4893" s="456"/>
      <c r="H4893" s="456"/>
    </row>
    <row r="4894" spans="1:8">
      <c r="A4894" s="696">
        <v>5891</v>
      </c>
      <c r="B4894" s="469"/>
      <c r="C4894" s="458"/>
      <c r="D4894" s="456">
        <v>0</v>
      </c>
      <c r="E4894" s="456">
        <v>0</v>
      </c>
      <c r="F4894" s="456"/>
      <c r="G4894" s="456"/>
      <c r="H4894" s="456"/>
    </row>
    <row r="4895" spans="1:8">
      <c r="A4895" s="696">
        <v>5892</v>
      </c>
      <c r="B4895" s="469"/>
      <c r="C4895" s="458"/>
      <c r="D4895" s="456">
        <v>0</v>
      </c>
      <c r="E4895" s="456">
        <v>0</v>
      </c>
      <c r="F4895" s="456"/>
      <c r="G4895" s="456"/>
      <c r="H4895" s="456"/>
    </row>
    <row r="4896" spans="1:8">
      <c r="A4896" s="696">
        <v>5893</v>
      </c>
      <c r="B4896" s="469"/>
      <c r="C4896" s="458"/>
      <c r="D4896" s="456">
        <v>0</v>
      </c>
      <c r="E4896" s="456">
        <v>0</v>
      </c>
      <c r="F4896" s="456"/>
      <c r="G4896" s="456"/>
      <c r="H4896" s="456"/>
    </row>
    <row r="4897" spans="1:8">
      <c r="A4897" s="696">
        <v>5894</v>
      </c>
      <c r="B4897" s="469"/>
      <c r="C4897" s="458"/>
      <c r="D4897" s="456">
        <v>0</v>
      </c>
      <c r="E4897" s="456">
        <v>0</v>
      </c>
      <c r="F4897" s="456"/>
      <c r="G4897" s="456"/>
      <c r="H4897" s="456"/>
    </row>
    <row r="4898" spans="1:8">
      <c r="A4898" s="696">
        <v>5895</v>
      </c>
      <c r="B4898" s="469"/>
      <c r="C4898" s="458"/>
      <c r="D4898" s="456">
        <v>0</v>
      </c>
      <c r="E4898" s="456">
        <v>0</v>
      </c>
      <c r="F4898" s="456"/>
      <c r="G4898" s="456"/>
      <c r="H4898" s="456"/>
    </row>
    <row r="4899" spans="1:8">
      <c r="A4899" s="696">
        <v>5896</v>
      </c>
      <c r="B4899" s="469"/>
      <c r="C4899" s="458"/>
      <c r="D4899" s="456">
        <v>0</v>
      </c>
      <c r="E4899" s="456">
        <v>0</v>
      </c>
      <c r="F4899" s="456"/>
      <c r="G4899" s="456"/>
      <c r="H4899" s="456"/>
    </row>
    <row r="4900" spans="1:8">
      <c r="A4900" s="696">
        <v>5897</v>
      </c>
      <c r="B4900" s="469"/>
      <c r="C4900" s="458"/>
      <c r="D4900" s="456">
        <v>0</v>
      </c>
      <c r="E4900" s="456">
        <v>0</v>
      </c>
      <c r="F4900" s="456"/>
      <c r="G4900" s="456"/>
      <c r="H4900" s="456"/>
    </row>
    <row r="4901" spans="1:8">
      <c r="A4901" s="696">
        <v>5898</v>
      </c>
      <c r="B4901" s="469"/>
      <c r="C4901" s="458"/>
      <c r="D4901" s="456">
        <v>0</v>
      </c>
      <c r="E4901" s="456">
        <v>0</v>
      </c>
      <c r="F4901" s="456"/>
      <c r="G4901" s="456"/>
      <c r="H4901" s="456"/>
    </row>
    <row r="4902" spans="1:8">
      <c r="A4902" s="696">
        <v>5899</v>
      </c>
      <c r="B4902" s="469"/>
      <c r="C4902" s="458"/>
      <c r="D4902" s="456">
        <v>0</v>
      </c>
      <c r="E4902" s="456">
        <v>0</v>
      </c>
      <c r="F4902" s="456"/>
      <c r="G4902" s="456"/>
      <c r="H4902" s="456"/>
    </row>
    <row r="4903" spans="1:8">
      <c r="A4903" s="696">
        <v>5900</v>
      </c>
      <c r="B4903" s="469"/>
      <c r="C4903" s="458"/>
      <c r="D4903" s="456">
        <v>0</v>
      </c>
      <c r="E4903" s="456">
        <v>0</v>
      </c>
      <c r="F4903" s="456"/>
      <c r="G4903" s="456"/>
      <c r="H4903" s="456"/>
    </row>
    <row r="4904" spans="1:8">
      <c r="A4904" s="696">
        <v>5901</v>
      </c>
      <c r="B4904" s="469"/>
      <c r="C4904" s="458"/>
      <c r="D4904" s="456">
        <v>0</v>
      </c>
      <c r="E4904" s="456">
        <v>0</v>
      </c>
      <c r="F4904" s="456"/>
      <c r="G4904" s="456"/>
      <c r="H4904" s="456"/>
    </row>
    <row r="4905" spans="1:8">
      <c r="A4905" s="696">
        <v>5902</v>
      </c>
      <c r="B4905" s="469"/>
      <c r="C4905" s="458"/>
      <c r="D4905" s="456">
        <v>0</v>
      </c>
      <c r="E4905" s="456">
        <v>0</v>
      </c>
      <c r="F4905" s="456"/>
      <c r="G4905" s="456"/>
      <c r="H4905" s="456"/>
    </row>
    <row r="4906" spans="1:8">
      <c r="A4906" s="696">
        <v>5903</v>
      </c>
      <c r="B4906" s="469"/>
      <c r="C4906" s="458"/>
      <c r="D4906" s="456">
        <v>0</v>
      </c>
      <c r="E4906" s="456">
        <v>0</v>
      </c>
      <c r="F4906" s="456"/>
      <c r="G4906" s="456"/>
      <c r="H4906" s="456"/>
    </row>
    <row r="4907" spans="1:8">
      <c r="A4907" s="696">
        <v>5904</v>
      </c>
      <c r="B4907" s="469"/>
      <c r="C4907" s="458"/>
      <c r="D4907" s="456">
        <v>0</v>
      </c>
      <c r="E4907" s="456">
        <v>0</v>
      </c>
      <c r="F4907" s="456"/>
      <c r="G4907" s="456"/>
      <c r="H4907" s="456"/>
    </row>
    <row r="4908" spans="1:8">
      <c r="A4908" s="696">
        <v>5905</v>
      </c>
      <c r="B4908" s="469"/>
      <c r="C4908" s="458"/>
      <c r="D4908" s="456">
        <v>0</v>
      </c>
      <c r="E4908" s="456">
        <v>0</v>
      </c>
      <c r="F4908" s="456"/>
      <c r="G4908" s="456"/>
      <c r="H4908" s="456"/>
    </row>
    <row r="4909" spans="1:8">
      <c r="A4909" s="696">
        <v>5906</v>
      </c>
      <c r="B4909" s="469"/>
      <c r="C4909" s="458"/>
      <c r="D4909" s="456">
        <v>0</v>
      </c>
      <c r="E4909" s="456">
        <v>0</v>
      </c>
      <c r="F4909" s="456"/>
      <c r="G4909" s="456"/>
      <c r="H4909" s="456"/>
    </row>
    <row r="4910" spans="1:8">
      <c r="A4910" s="696">
        <v>5907</v>
      </c>
      <c r="B4910" s="469"/>
      <c r="C4910" s="458"/>
      <c r="D4910" s="456">
        <v>0</v>
      </c>
      <c r="E4910" s="456">
        <v>0</v>
      </c>
      <c r="F4910" s="456"/>
      <c r="G4910" s="456"/>
      <c r="H4910" s="456"/>
    </row>
    <row r="4911" spans="1:8">
      <c r="A4911" s="696">
        <v>5908</v>
      </c>
      <c r="B4911" s="469"/>
      <c r="C4911" s="458"/>
      <c r="D4911" s="456">
        <v>0</v>
      </c>
      <c r="E4911" s="456">
        <v>0</v>
      </c>
      <c r="F4911" s="456"/>
      <c r="G4911" s="456"/>
      <c r="H4911" s="456"/>
    </row>
    <row r="4912" spans="1:8">
      <c r="A4912" s="696">
        <v>5909</v>
      </c>
      <c r="B4912" s="469"/>
      <c r="C4912" s="458"/>
      <c r="D4912" s="456">
        <v>0</v>
      </c>
      <c r="E4912" s="456">
        <v>0</v>
      </c>
      <c r="F4912" s="456"/>
      <c r="G4912" s="456"/>
      <c r="H4912" s="456"/>
    </row>
    <row r="4913" spans="1:8">
      <c r="A4913" s="696">
        <v>5910</v>
      </c>
      <c r="B4913" s="469"/>
      <c r="C4913" s="458"/>
      <c r="D4913" s="456">
        <v>0</v>
      </c>
      <c r="E4913" s="456">
        <v>0</v>
      </c>
      <c r="F4913" s="456"/>
      <c r="G4913" s="456"/>
      <c r="H4913" s="456"/>
    </row>
    <row r="4914" spans="1:8">
      <c r="A4914" s="696">
        <v>5911</v>
      </c>
      <c r="B4914" s="469"/>
      <c r="C4914" s="458"/>
      <c r="D4914" s="456">
        <v>0</v>
      </c>
      <c r="E4914" s="456">
        <v>0</v>
      </c>
      <c r="F4914" s="456"/>
      <c r="G4914" s="456"/>
      <c r="H4914" s="456"/>
    </row>
    <row r="4915" spans="1:8">
      <c r="A4915" s="696">
        <v>5912</v>
      </c>
      <c r="B4915" s="469"/>
      <c r="C4915" s="458"/>
      <c r="D4915" s="456">
        <v>0</v>
      </c>
      <c r="E4915" s="456">
        <v>0</v>
      </c>
      <c r="F4915" s="456"/>
      <c r="G4915" s="456"/>
      <c r="H4915" s="456"/>
    </row>
    <row r="4916" spans="1:8">
      <c r="A4916" s="696">
        <v>5913</v>
      </c>
      <c r="B4916" s="469"/>
      <c r="C4916" s="458"/>
      <c r="D4916" s="456">
        <v>0</v>
      </c>
      <c r="E4916" s="456">
        <v>0</v>
      </c>
      <c r="F4916" s="456"/>
      <c r="G4916" s="456"/>
      <c r="H4916" s="456"/>
    </row>
    <row r="4917" spans="1:8">
      <c r="A4917" s="696">
        <v>5914</v>
      </c>
      <c r="B4917" s="469"/>
      <c r="C4917" s="458"/>
      <c r="D4917" s="456">
        <v>0</v>
      </c>
      <c r="E4917" s="456">
        <v>0</v>
      </c>
      <c r="F4917" s="456"/>
      <c r="G4917" s="456"/>
      <c r="H4917" s="456"/>
    </row>
    <row r="4918" spans="1:8">
      <c r="A4918" s="696">
        <v>5915</v>
      </c>
      <c r="B4918" s="469"/>
      <c r="C4918" s="458"/>
      <c r="D4918" s="456">
        <v>0</v>
      </c>
      <c r="E4918" s="456">
        <v>0</v>
      </c>
      <c r="F4918" s="456"/>
      <c r="G4918" s="456"/>
      <c r="H4918" s="456"/>
    </row>
    <row r="4919" spans="1:8">
      <c r="A4919" s="696">
        <v>5916</v>
      </c>
      <c r="B4919" s="469"/>
      <c r="C4919" s="458"/>
      <c r="D4919" s="456">
        <v>0</v>
      </c>
      <c r="E4919" s="456">
        <v>0</v>
      </c>
      <c r="F4919" s="456"/>
      <c r="G4919" s="456"/>
      <c r="H4919" s="456"/>
    </row>
    <row r="4920" spans="1:8">
      <c r="A4920" s="696">
        <v>5917</v>
      </c>
      <c r="B4920" s="469"/>
      <c r="C4920" s="458"/>
      <c r="D4920" s="456">
        <v>0</v>
      </c>
      <c r="E4920" s="456">
        <v>0</v>
      </c>
      <c r="F4920" s="456"/>
      <c r="G4920" s="456"/>
      <c r="H4920" s="456"/>
    </row>
    <row r="4921" spans="1:8">
      <c r="A4921" s="696">
        <v>5918</v>
      </c>
      <c r="B4921" s="469"/>
      <c r="C4921" s="458"/>
      <c r="D4921" s="456">
        <v>0</v>
      </c>
      <c r="E4921" s="456">
        <v>0</v>
      </c>
      <c r="F4921" s="456"/>
      <c r="G4921" s="456"/>
      <c r="H4921" s="456"/>
    </row>
    <row r="4922" spans="1:8">
      <c r="A4922" s="696">
        <v>5919</v>
      </c>
      <c r="B4922" s="469"/>
      <c r="C4922" s="458"/>
      <c r="D4922" s="456">
        <v>0</v>
      </c>
      <c r="E4922" s="456">
        <v>0</v>
      </c>
      <c r="F4922" s="456"/>
      <c r="G4922" s="456"/>
      <c r="H4922" s="456"/>
    </row>
    <row r="4923" spans="1:8">
      <c r="A4923" s="696">
        <v>5920</v>
      </c>
      <c r="B4923" s="469"/>
      <c r="C4923" s="458"/>
      <c r="D4923" s="456">
        <v>0</v>
      </c>
      <c r="E4923" s="456">
        <v>0</v>
      </c>
      <c r="F4923" s="456"/>
      <c r="G4923" s="456"/>
      <c r="H4923" s="456"/>
    </row>
    <row r="4924" spans="1:8">
      <c r="A4924" s="696">
        <v>5921</v>
      </c>
      <c r="B4924" s="469"/>
      <c r="C4924" s="458"/>
      <c r="D4924" s="456">
        <v>0</v>
      </c>
      <c r="E4924" s="456">
        <v>0</v>
      </c>
      <c r="F4924" s="456"/>
      <c r="G4924" s="456"/>
      <c r="H4924" s="456"/>
    </row>
    <row r="4925" spans="1:8">
      <c r="A4925" s="696">
        <v>5922</v>
      </c>
      <c r="B4925" s="469"/>
      <c r="C4925" s="458"/>
      <c r="D4925" s="456">
        <v>0</v>
      </c>
      <c r="E4925" s="456">
        <v>0</v>
      </c>
      <c r="F4925" s="456"/>
      <c r="G4925" s="456"/>
      <c r="H4925" s="456"/>
    </row>
    <row r="4926" spans="1:8">
      <c r="A4926" s="696">
        <v>5923</v>
      </c>
      <c r="B4926" s="469"/>
      <c r="C4926" s="458"/>
      <c r="D4926" s="456">
        <v>0</v>
      </c>
      <c r="E4926" s="456">
        <v>0</v>
      </c>
      <c r="F4926" s="456"/>
      <c r="G4926" s="456"/>
      <c r="H4926" s="456"/>
    </row>
    <row r="4927" spans="1:8">
      <c r="A4927" s="696">
        <v>5924</v>
      </c>
      <c r="B4927" s="469"/>
      <c r="C4927" s="458"/>
      <c r="D4927" s="456">
        <v>0</v>
      </c>
      <c r="E4927" s="456">
        <v>0</v>
      </c>
      <c r="F4927" s="456"/>
      <c r="G4927" s="456"/>
      <c r="H4927" s="456"/>
    </row>
    <row r="4928" spans="1:8">
      <c r="A4928" s="696">
        <v>5925</v>
      </c>
      <c r="B4928" s="469"/>
      <c r="C4928" s="458"/>
      <c r="D4928" s="456">
        <v>0</v>
      </c>
      <c r="E4928" s="456">
        <v>0</v>
      </c>
      <c r="F4928" s="456"/>
      <c r="G4928" s="456"/>
      <c r="H4928" s="456"/>
    </row>
    <row r="4929" spans="1:8">
      <c r="A4929" s="696">
        <v>5926</v>
      </c>
      <c r="B4929" s="469"/>
      <c r="C4929" s="458"/>
      <c r="D4929" s="456">
        <v>0</v>
      </c>
      <c r="E4929" s="456">
        <v>0</v>
      </c>
      <c r="F4929" s="456"/>
      <c r="G4929" s="456"/>
      <c r="H4929" s="456"/>
    </row>
    <row r="4930" spans="1:8">
      <c r="A4930" s="696">
        <v>5927</v>
      </c>
      <c r="B4930" s="469"/>
      <c r="C4930" s="458"/>
      <c r="D4930" s="456">
        <v>0</v>
      </c>
      <c r="E4930" s="456">
        <v>0</v>
      </c>
      <c r="F4930" s="456"/>
      <c r="G4930" s="456"/>
      <c r="H4930" s="456"/>
    </row>
    <row r="4931" spans="1:8">
      <c r="A4931" s="696">
        <v>5928</v>
      </c>
      <c r="B4931" s="469"/>
      <c r="C4931" s="458"/>
      <c r="D4931" s="456">
        <v>0</v>
      </c>
      <c r="E4931" s="456">
        <v>0</v>
      </c>
      <c r="F4931" s="456"/>
      <c r="G4931" s="456"/>
      <c r="H4931" s="456"/>
    </row>
    <row r="4932" spans="1:8">
      <c r="A4932" s="696">
        <v>5929</v>
      </c>
      <c r="B4932" s="469"/>
      <c r="C4932" s="458"/>
      <c r="D4932" s="456">
        <v>0</v>
      </c>
      <c r="E4932" s="456">
        <v>0</v>
      </c>
      <c r="F4932" s="456"/>
      <c r="G4932" s="456"/>
      <c r="H4932" s="456"/>
    </row>
    <row r="4933" spans="1:8">
      <c r="A4933" s="696">
        <v>5930</v>
      </c>
      <c r="B4933" s="469"/>
      <c r="C4933" s="458"/>
      <c r="D4933" s="456">
        <v>0</v>
      </c>
      <c r="E4933" s="456">
        <v>0</v>
      </c>
      <c r="F4933" s="456"/>
      <c r="G4933" s="456"/>
      <c r="H4933" s="456"/>
    </row>
    <row r="4934" spans="1:8">
      <c r="A4934" s="696">
        <v>5931</v>
      </c>
      <c r="B4934" s="469"/>
      <c r="C4934" s="458"/>
      <c r="D4934" s="456">
        <v>0</v>
      </c>
      <c r="E4934" s="456">
        <v>0</v>
      </c>
      <c r="F4934" s="456"/>
      <c r="G4934" s="456"/>
      <c r="H4934" s="456"/>
    </row>
    <row r="4935" spans="1:8">
      <c r="A4935" s="696">
        <v>5932</v>
      </c>
      <c r="B4935" s="469"/>
      <c r="C4935" s="458"/>
      <c r="D4935" s="456">
        <v>0</v>
      </c>
      <c r="E4935" s="456">
        <v>0</v>
      </c>
      <c r="F4935" s="456"/>
      <c r="G4935" s="456"/>
      <c r="H4935" s="456"/>
    </row>
    <row r="4936" spans="1:8">
      <c r="A4936" s="696">
        <v>5933</v>
      </c>
      <c r="B4936" s="469"/>
      <c r="C4936" s="458"/>
      <c r="D4936" s="456">
        <v>0</v>
      </c>
      <c r="E4936" s="456">
        <v>0</v>
      </c>
      <c r="F4936" s="456"/>
      <c r="G4936" s="456"/>
      <c r="H4936" s="456"/>
    </row>
    <row r="4937" spans="1:8">
      <c r="A4937" s="696">
        <v>5934</v>
      </c>
      <c r="B4937" s="469"/>
      <c r="C4937" s="458"/>
      <c r="D4937" s="456">
        <v>0</v>
      </c>
      <c r="E4937" s="456">
        <v>0</v>
      </c>
      <c r="F4937" s="456"/>
      <c r="G4937" s="456"/>
      <c r="H4937" s="456"/>
    </row>
    <row r="4938" spans="1:8">
      <c r="A4938" s="696">
        <v>5935</v>
      </c>
      <c r="B4938" s="469"/>
      <c r="C4938" s="458"/>
      <c r="D4938" s="456">
        <v>0</v>
      </c>
      <c r="E4938" s="456">
        <v>0</v>
      </c>
      <c r="F4938" s="456"/>
      <c r="G4938" s="456"/>
      <c r="H4938" s="456"/>
    </row>
    <row r="4939" spans="1:8">
      <c r="A4939" s="696">
        <v>5936</v>
      </c>
      <c r="B4939" s="469"/>
      <c r="C4939" s="458"/>
      <c r="D4939" s="456">
        <v>0</v>
      </c>
      <c r="E4939" s="456">
        <v>0</v>
      </c>
      <c r="F4939" s="456"/>
      <c r="G4939" s="456"/>
      <c r="H4939" s="456"/>
    </row>
    <row r="4940" spans="1:8">
      <c r="A4940" s="696">
        <v>5937</v>
      </c>
      <c r="B4940" s="469"/>
      <c r="C4940" s="458"/>
      <c r="D4940" s="456">
        <v>0</v>
      </c>
      <c r="E4940" s="456">
        <v>0</v>
      </c>
      <c r="F4940" s="456"/>
      <c r="G4940" s="456"/>
      <c r="H4940" s="456"/>
    </row>
    <row r="4941" spans="1:8">
      <c r="A4941" s="696">
        <v>5938</v>
      </c>
      <c r="B4941" s="469"/>
      <c r="C4941" s="458"/>
      <c r="D4941" s="456">
        <v>0</v>
      </c>
      <c r="E4941" s="456">
        <v>0</v>
      </c>
      <c r="F4941" s="456"/>
      <c r="G4941" s="456"/>
      <c r="H4941" s="456"/>
    </row>
    <row r="4942" spans="1:8">
      <c r="A4942" s="696">
        <v>5939</v>
      </c>
      <c r="B4942" s="469"/>
      <c r="C4942" s="458"/>
      <c r="D4942" s="456">
        <v>0</v>
      </c>
      <c r="E4942" s="456">
        <v>0</v>
      </c>
      <c r="F4942" s="456"/>
      <c r="G4942" s="456"/>
      <c r="H4942" s="456"/>
    </row>
    <row r="4943" spans="1:8">
      <c r="A4943" s="696">
        <v>5940</v>
      </c>
      <c r="B4943" s="469"/>
      <c r="C4943" s="458"/>
      <c r="D4943" s="456">
        <v>0</v>
      </c>
      <c r="E4943" s="456">
        <v>0</v>
      </c>
      <c r="F4943" s="456"/>
      <c r="G4943" s="456"/>
      <c r="H4943" s="456"/>
    </row>
    <row r="4944" spans="1:8">
      <c r="A4944" s="696">
        <v>5941</v>
      </c>
      <c r="B4944" s="469"/>
      <c r="C4944" s="458"/>
      <c r="D4944" s="456">
        <v>0</v>
      </c>
      <c r="E4944" s="456">
        <v>0</v>
      </c>
      <c r="F4944" s="456"/>
      <c r="G4944" s="456"/>
      <c r="H4944" s="456"/>
    </row>
    <row r="4945" spans="1:8">
      <c r="A4945" s="696">
        <v>5942</v>
      </c>
      <c r="B4945" s="469"/>
      <c r="C4945" s="458"/>
      <c r="D4945" s="456">
        <v>0</v>
      </c>
      <c r="E4945" s="456">
        <v>0</v>
      </c>
      <c r="F4945" s="456"/>
      <c r="G4945" s="456"/>
      <c r="H4945" s="456"/>
    </row>
    <row r="4946" spans="1:8">
      <c r="A4946" s="696">
        <v>5943</v>
      </c>
      <c r="B4946" s="469"/>
      <c r="C4946" s="458"/>
      <c r="D4946" s="456">
        <v>0</v>
      </c>
      <c r="E4946" s="456">
        <v>0</v>
      </c>
      <c r="F4946" s="456"/>
      <c r="G4946" s="456"/>
      <c r="H4946" s="456"/>
    </row>
    <row r="4947" spans="1:8">
      <c r="A4947" s="696">
        <v>5944</v>
      </c>
      <c r="B4947" s="469"/>
      <c r="C4947" s="458"/>
      <c r="D4947" s="456">
        <v>0</v>
      </c>
      <c r="E4947" s="456">
        <v>0</v>
      </c>
      <c r="F4947" s="456"/>
      <c r="G4947" s="456"/>
      <c r="H4947" s="456"/>
    </row>
    <row r="4948" spans="1:8">
      <c r="A4948" s="696">
        <v>5945</v>
      </c>
      <c r="B4948" s="469"/>
      <c r="C4948" s="458"/>
      <c r="D4948" s="456">
        <v>0</v>
      </c>
      <c r="E4948" s="456">
        <v>0</v>
      </c>
      <c r="F4948" s="456"/>
      <c r="G4948" s="456"/>
      <c r="H4948" s="456"/>
    </row>
    <row r="4949" spans="1:8">
      <c r="A4949" s="696">
        <v>5946</v>
      </c>
      <c r="B4949" s="469"/>
      <c r="C4949" s="458"/>
      <c r="D4949" s="456">
        <v>0</v>
      </c>
      <c r="E4949" s="456">
        <v>0</v>
      </c>
      <c r="F4949" s="456"/>
      <c r="G4949" s="456"/>
      <c r="H4949" s="456"/>
    </row>
    <row r="4950" spans="1:8">
      <c r="A4950" s="696">
        <v>5947</v>
      </c>
      <c r="B4950" s="469"/>
      <c r="C4950" s="458"/>
      <c r="D4950" s="456">
        <v>0</v>
      </c>
      <c r="E4950" s="456">
        <v>0</v>
      </c>
      <c r="F4950" s="456"/>
      <c r="G4950" s="456"/>
      <c r="H4950" s="456"/>
    </row>
    <row r="4951" spans="1:8">
      <c r="A4951" s="696">
        <v>5948</v>
      </c>
      <c r="B4951" s="469"/>
      <c r="C4951" s="458"/>
      <c r="D4951" s="456">
        <v>0</v>
      </c>
      <c r="E4951" s="456">
        <v>0</v>
      </c>
      <c r="F4951" s="456"/>
      <c r="G4951" s="456"/>
      <c r="H4951" s="456"/>
    </row>
    <row r="4952" spans="1:8">
      <c r="A4952" s="696">
        <v>5949</v>
      </c>
      <c r="B4952" s="469"/>
      <c r="C4952" s="458"/>
      <c r="D4952" s="456">
        <v>0</v>
      </c>
      <c r="E4952" s="456">
        <v>0</v>
      </c>
      <c r="F4952" s="456"/>
      <c r="G4952" s="456"/>
      <c r="H4952" s="456"/>
    </row>
    <row r="4953" spans="1:8">
      <c r="A4953" s="696">
        <v>5950</v>
      </c>
      <c r="B4953" s="469"/>
      <c r="C4953" s="458"/>
      <c r="D4953" s="456">
        <v>0</v>
      </c>
      <c r="E4953" s="456">
        <v>0</v>
      </c>
      <c r="F4953" s="456"/>
      <c r="G4953" s="456"/>
      <c r="H4953" s="456"/>
    </row>
    <row r="4954" spans="1:8">
      <c r="A4954" s="696">
        <v>5951</v>
      </c>
      <c r="B4954" s="469"/>
      <c r="C4954" s="458"/>
      <c r="D4954" s="456">
        <v>0</v>
      </c>
      <c r="E4954" s="456">
        <v>0</v>
      </c>
      <c r="F4954" s="456"/>
      <c r="G4954" s="456"/>
      <c r="H4954" s="456"/>
    </row>
    <row r="4955" spans="1:8">
      <c r="A4955" s="696">
        <v>5952</v>
      </c>
      <c r="B4955" s="469"/>
      <c r="C4955" s="458"/>
      <c r="D4955" s="456">
        <v>0</v>
      </c>
      <c r="E4955" s="456">
        <v>0</v>
      </c>
      <c r="F4955" s="456"/>
      <c r="G4955" s="456"/>
      <c r="H4955" s="456"/>
    </row>
    <row r="4956" spans="1:8">
      <c r="A4956" s="696">
        <v>5953</v>
      </c>
      <c r="B4956" s="469"/>
      <c r="C4956" s="458"/>
      <c r="D4956" s="456">
        <v>0</v>
      </c>
      <c r="E4956" s="456">
        <v>0</v>
      </c>
      <c r="F4956" s="456"/>
      <c r="G4956" s="456"/>
      <c r="H4956" s="456"/>
    </row>
    <row r="4957" spans="1:8">
      <c r="A4957" s="696">
        <v>5954</v>
      </c>
      <c r="B4957" s="469"/>
      <c r="C4957" s="458"/>
      <c r="D4957" s="456">
        <v>0</v>
      </c>
      <c r="E4957" s="456">
        <v>0</v>
      </c>
      <c r="F4957" s="456"/>
      <c r="G4957" s="456"/>
      <c r="H4957" s="456"/>
    </row>
    <row r="4958" spans="1:8">
      <c r="A4958" s="696">
        <v>5955</v>
      </c>
      <c r="B4958" s="469"/>
      <c r="C4958" s="458"/>
      <c r="D4958" s="456">
        <v>0</v>
      </c>
      <c r="E4958" s="456">
        <v>0</v>
      </c>
      <c r="F4958" s="456"/>
      <c r="G4958" s="456"/>
      <c r="H4958" s="456"/>
    </row>
    <row r="4959" spans="1:8">
      <c r="A4959" s="696">
        <v>5956</v>
      </c>
      <c r="B4959" s="469"/>
      <c r="C4959" s="458"/>
      <c r="D4959" s="456">
        <v>0</v>
      </c>
      <c r="E4959" s="456">
        <v>0</v>
      </c>
      <c r="F4959" s="456"/>
      <c r="G4959" s="456"/>
      <c r="H4959" s="456"/>
    </row>
    <row r="4960" spans="1:8">
      <c r="A4960" s="696">
        <v>5957</v>
      </c>
      <c r="B4960" s="469"/>
      <c r="C4960" s="458"/>
      <c r="D4960" s="456">
        <v>0</v>
      </c>
      <c r="E4960" s="456">
        <v>0</v>
      </c>
      <c r="F4960" s="456"/>
      <c r="G4960" s="456"/>
      <c r="H4960" s="456"/>
    </row>
    <row r="4961" spans="1:8">
      <c r="A4961" s="696">
        <v>5958</v>
      </c>
      <c r="B4961" s="469"/>
      <c r="C4961" s="458"/>
      <c r="D4961" s="456">
        <v>0</v>
      </c>
      <c r="E4961" s="456">
        <v>0</v>
      </c>
      <c r="F4961" s="456"/>
      <c r="G4961" s="456"/>
      <c r="H4961" s="456"/>
    </row>
    <row r="4962" spans="1:8">
      <c r="A4962" s="696">
        <v>5959</v>
      </c>
      <c r="B4962" s="469"/>
      <c r="C4962" s="458"/>
      <c r="D4962" s="456">
        <v>0</v>
      </c>
      <c r="E4962" s="456">
        <v>0</v>
      </c>
      <c r="F4962" s="456"/>
      <c r="G4962" s="456"/>
      <c r="H4962" s="456"/>
    </row>
    <row r="4963" spans="1:8">
      <c r="A4963" s="696">
        <v>5960</v>
      </c>
      <c r="B4963" s="469"/>
      <c r="C4963" s="458"/>
      <c r="D4963" s="456">
        <v>0</v>
      </c>
      <c r="E4963" s="456">
        <v>0</v>
      </c>
      <c r="F4963" s="456"/>
      <c r="G4963" s="456"/>
      <c r="H4963" s="456"/>
    </row>
    <row r="4964" spans="1:8">
      <c r="A4964" s="696">
        <v>5961</v>
      </c>
      <c r="B4964" s="469"/>
      <c r="C4964" s="458"/>
      <c r="D4964" s="456">
        <v>0</v>
      </c>
      <c r="E4964" s="456">
        <v>0</v>
      </c>
      <c r="F4964" s="456"/>
      <c r="G4964" s="456"/>
      <c r="H4964" s="456"/>
    </row>
    <row r="4965" spans="1:8">
      <c r="A4965" s="696">
        <v>5962</v>
      </c>
      <c r="B4965" s="469"/>
      <c r="C4965" s="458"/>
      <c r="D4965" s="456">
        <v>0</v>
      </c>
      <c r="E4965" s="456">
        <v>0</v>
      </c>
      <c r="F4965" s="456"/>
      <c r="G4965" s="456"/>
      <c r="H4965" s="456"/>
    </row>
    <row r="4966" spans="1:8">
      <c r="A4966" s="696">
        <v>5963</v>
      </c>
      <c r="B4966" s="469"/>
      <c r="C4966" s="458"/>
      <c r="D4966" s="456">
        <v>0</v>
      </c>
      <c r="E4966" s="456">
        <v>0</v>
      </c>
      <c r="F4966" s="456"/>
      <c r="G4966" s="456"/>
      <c r="H4966" s="456"/>
    </row>
    <row r="4967" spans="1:8">
      <c r="A4967" s="696">
        <v>5964</v>
      </c>
      <c r="B4967" s="469"/>
      <c r="C4967" s="458"/>
      <c r="D4967" s="456">
        <v>0</v>
      </c>
      <c r="E4967" s="456">
        <v>0</v>
      </c>
      <c r="F4967" s="456"/>
      <c r="G4967" s="456"/>
      <c r="H4967" s="456"/>
    </row>
    <row r="4968" spans="1:8">
      <c r="A4968" s="696">
        <v>5965</v>
      </c>
      <c r="B4968" s="469"/>
      <c r="C4968" s="458"/>
      <c r="D4968" s="456">
        <v>0</v>
      </c>
      <c r="E4968" s="456">
        <v>0</v>
      </c>
      <c r="F4968" s="456"/>
      <c r="G4968" s="456"/>
      <c r="H4968" s="456"/>
    </row>
    <row r="4969" spans="1:8">
      <c r="A4969" s="696">
        <v>5966</v>
      </c>
      <c r="B4969" s="469"/>
      <c r="C4969" s="458"/>
      <c r="D4969" s="456">
        <v>0</v>
      </c>
      <c r="E4969" s="456">
        <v>0</v>
      </c>
      <c r="F4969" s="456"/>
      <c r="G4969" s="456"/>
      <c r="H4969" s="456"/>
    </row>
    <row r="4970" spans="1:8">
      <c r="A4970" s="696">
        <v>5967</v>
      </c>
      <c r="B4970" s="469"/>
      <c r="C4970" s="458"/>
      <c r="D4970" s="456">
        <v>0</v>
      </c>
      <c r="E4970" s="456">
        <v>0</v>
      </c>
      <c r="F4970" s="456"/>
      <c r="G4970" s="456"/>
      <c r="H4970" s="456"/>
    </row>
    <row r="4971" spans="1:8">
      <c r="A4971" s="696">
        <v>5968</v>
      </c>
      <c r="B4971" s="469"/>
      <c r="C4971" s="458"/>
      <c r="D4971" s="456">
        <v>0</v>
      </c>
      <c r="E4971" s="456">
        <v>0</v>
      </c>
      <c r="F4971" s="456"/>
      <c r="G4971" s="456"/>
      <c r="H4971" s="456"/>
    </row>
    <row r="4972" spans="1:8">
      <c r="A4972" s="696">
        <v>5969</v>
      </c>
      <c r="B4972" s="469"/>
      <c r="C4972" s="458"/>
      <c r="D4972" s="456">
        <v>0</v>
      </c>
      <c r="E4972" s="456">
        <v>0</v>
      </c>
      <c r="F4972" s="456"/>
      <c r="G4972" s="456"/>
      <c r="H4972" s="456"/>
    </row>
    <row r="4973" spans="1:8">
      <c r="A4973" s="696">
        <v>5970</v>
      </c>
      <c r="B4973" s="469"/>
      <c r="C4973" s="458"/>
      <c r="D4973" s="456">
        <v>0</v>
      </c>
      <c r="E4973" s="456">
        <v>0</v>
      </c>
      <c r="F4973" s="456"/>
      <c r="G4973" s="456"/>
      <c r="H4973" s="456"/>
    </row>
    <row r="4974" spans="1:8">
      <c r="A4974" s="696">
        <v>5971</v>
      </c>
      <c r="B4974" s="469"/>
      <c r="C4974" s="458"/>
      <c r="D4974" s="456">
        <v>0</v>
      </c>
      <c r="E4974" s="456">
        <v>0</v>
      </c>
      <c r="F4974" s="456"/>
      <c r="G4974" s="456"/>
      <c r="H4974" s="456"/>
    </row>
    <row r="4975" spans="1:8">
      <c r="A4975" s="696">
        <v>5972</v>
      </c>
      <c r="B4975" s="469"/>
      <c r="C4975" s="458"/>
      <c r="D4975" s="456">
        <v>0</v>
      </c>
      <c r="E4975" s="456">
        <v>0</v>
      </c>
      <c r="F4975" s="456"/>
      <c r="G4975" s="456"/>
      <c r="H4975" s="456"/>
    </row>
    <row r="4976" spans="1:8">
      <c r="A4976" s="696">
        <v>5973</v>
      </c>
      <c r="B4976" s="469"/>
      <c r="C4976" s="458"/>
      <c r="D4976" s="456">
        <v>0</v>
      </c>
      <c r="E4976" s="456">
        <v>0</v>
      </c>
      <c r="F4976" s="456"/>
      <c r="G4976" s="456"/>
      <c r="H4976" s="456"/>
    </row>
    <row r="4977" spans="1:8">
      <c r="A4977" s="696">
        <v>5974</v>
      </c>
      <c r="B4977" s="469"/>
      <c r="C4977" s="458"/>
      <c r="D4977" s="456">
        <v>0</v>
      </c>
      <c r="E4977" s="456">
        <v>0</v>
      </c>
      <c r="F4977" s="456"/>
      <c r="G4977" s="456"/>
      <c r="H4977" s="456"/>
    </row>
    <row r="4978" spans="1:8">
      <c r="A4978" s="696">
        <v>5975</v>
      </c>
      <c r="B4978" s="469"/>
      <c r="C4978" s="458"/>
      <c r="D4978" s="456">
        <v>0</v>
      </c>
      <c r="E4978" s="456">
        <v>0</v>
      </c>
      <c r="F4978" s="456"/>
      <c r="G4978" s="456"/>
      <c r="H4978" s="456"/>
    </row>
    <row r="4979" spans="1:8">
      <c r="A4979" s="696">
        <v>5976</v>
      </c>
      <c r="B4979" s="469"/>
      <c r="C4979" s="458"/>
      <c r="D4979" s="456">
        <v>0</v>
      </c>
      <c r="E4979" s="456">
        <v>0</v>
      </c>
      <c r="F4979" s="456"/>
      <c r="G4979" s="456"/>
      <c r="H4979" s="456"/>
    </row>
    <row r="4980" spans="1:8">
      <c r="A4980" s="696">
        <v>5977</v>
      </c>
      <c r="B4980" s="469"/>
      <c r="C4980" s="458"/>
      <c r="D4980" s="456">
        <v>0</v>
      </c>
      <c r="E4980" s="456">
        <v>0</v>
      </c>
      <c r="F4980" s="456"/>
      <c r="G4980" s="456"/>
      <c r="H4980" s="456"/>
    </row>
    <row r="4981" spans="1:8">
      <c r="A4981" s="696">
        <v>5978</v>
      </c>
      <c r="B4981" s="469"/>
      <c r="C4981" s="458"/>
      <c r="D4981" s="456">
        <v>0</v>
      </c>
      <c r="E4981" s="456">
        <v>0</v>
      </c>
      <c r="F4981" s="456"/>
      <c r="G4981" s="456"/>
      <c r="H4981" s="456"/>
    </row>
    <row r="4982" spans="1:8">
      <c r="A4982" s="696">
        <v>5979</v>
      </c>
      <c r="B4982" s="469"/>
      <c r="C4982" s="458"/>
      <c r="D4982" s="456">
        <v>0</v>
      </c>
      <c r="E4982" s="456">
        <v>0</v>
      </c>
      <c r="F4982" s="456"/>
      <c r="G4982" s="456"/>
      <c r="H4982" s="456"/>
    </row>
    <row r="4983" spans="1:8">
      <c r="A4983" s="696">
        <v>5980</v>
      </c>
      <c r="B4983" s="469"/>
      <c r="C4983" s="458"/>
      <c r="D4983" s="456">
        <v>0</v>
      </c>
      <c r="E4983" s="456">
        <v>0</v>
      </c>
      <c r="F4983" s="456"/>
      <c r="G4983" s="456"/>
      <c r="H4983" s="456"/>
    </row>
    <row r="4984" spans="1:8">
      <c r="A4984" s="696">
        <v>5981</v>
      </c>
      <c r="B4984" s="469"/>
      <c r="C4984" s="458"/>
      <c r="D4984" s="456">
        <v>0</v>
      </c>
      <c r="E4984" s="456">
        <v>0</v>
      </c>
      <c r="F4984" s="456"/>
      <c r="G4984" s="456"/>
      <c r="H4984" s="456"/>
    </row>
    <row r="4985" spans="1:8">
      <c r="A4985" s="696">
        <v>5982</v>
      </c>
      <c r="B4985" s="469"/>
      <c r="C4985" s="458"/>
      <c r="D4985" s="456">
        <v>0</v>
      </c>
      <c r="E4985" s="456">
        <v>0</v>
      </c>
      <c r="F4985" s="456"/>
      <c r="G4985" s="456"/>
      <c r="H4985" s="456"/>
    </row>
    <row r="4986" spans="1:8">
      <c r="A4986" s="696">
        <v>5983</v>
      </c>
      <c r="B4986" s="469"/>
      <c r="C4986" s="458"/>
      <c r="D4986" s="456">
        <v>0</v>
      </c>
      <c r="E4986" s="456">
        <v>0</v>
      </c>
      <c r="F4986" s="456"/>
      <c r="G4986" s="456"/>
      <c r="H4986" s="456"/>
    </row>
    <row r="4987" spans="1:8">
      <c r="A4987" s="696">
        <v>5984</v>
      </c>
      <c r="B4987" s="469"/>
      <c r="C4987" s="458"/>
      <c r="D4987" s="456">
        <v>0</v>
      </c>
      <c r="E4987" s="456">
        <v>0</v>
      </c>
      <c r="F4987" s="456"/>
      <c r="G4987" s="456"/>
      <c r="H4987" s="456"/>
    </row>
    <row r="4988" spans="1:8">
      <c r="A4988" s="696">
        <v>5985</v>
      </c>
      <c r="B4988" s="469"/>
      <c r="C4988" s="458"/>
      <c r="D4988" s="456">
        <v>0</v>
      </c>
      <c r="E4988" s="456">
        <v>0</v>
      </c>
      <c r="F4988" s="456"/>
      <c r="G4988" s="456"/>
      <c r="H4988" s="456"/>
    </row>
    <row r="4989" spans="1:8">
      <c r="A4989" s="696">
        <v>5986</v>
      </c>
      <c r="B4989" s="469"/>
      <c r="C4989" s="458"/>
      <c r="D4989" s="456">
        <v>0</v>
      </c>
      <c r="E4989" s="456">
        <v>0</v>
      </c>
      <c r="F4989" s="456"/>
      <c r="G4989" s="456"/>
      <c r="H4989" s="456"/>
    </row>
    <row r="4990" spans="1:8">
      <c r="A4990" s="696">
        <v>5987</v>
      </c>
      <c r="B4990" s="469"/>
      <c r="C4990" s="458"/>
      <c r="D4990" s="456">
        <v>0</v>
      </c>
      <c r="E4990" s="456">
        <v>0</v>
      </c>
      <c r="F4990" s="456"/>
      <c r="G4990" s="456"/>
      <c r="H4990" s="456"/>
    </row>
    <row r="4991" spans="1:8">
      <c r="A4991" s="696">
        <v>5988</v>
      </c>
      <c r="B4991" s="469"/>
      <c r="C4991" s="458"/>
      <c r="D4991" s="456">
        <v>0</v>
      </c>
      <c r="E4991" s="456">
        <v>0</v>
      </c>
      <c r="F4991" s="456"/>
      <c r="G4991" s="456"/>
      <c r="H4991" s="456"/>
    </row>
    <row r="4992" spans="1:8">
      <c r="A4992" s="696">
        <v>5989</v>
      </c>
      <c r="B4992" s="469"/>
      <c r="C4992" s="458"/>
      <c r="D4992" s="456">
        <v>0</v>
      </c>
      <c r="E4992" s="456">
        <v>0</v>
      </c>
      <c r="F4992" s="456"/>
      <c r="G4992" s="456"/>
      <c r="H4992" s="456"/>
    </row>
    <row r="4993" spans="1:8">
      <c r="A4993" s="696">
        <v>5990</v>
      </c>
      <c r="B4993" s="469"/>
      <c r="C4993" s="458"/>
      <c r="D4993" s="456">
        <v>0</v>
      </c>
      <c r="E4993" s="456">
        <v>0</v>
      </c>
      <c r="F4993" s="456"/>
      <c r="G4993" s="456"/>
      <c r="H4993" s="456"/>
    </row>
    <row r="4994" spans="1:8">
      <c r="A4994" s="696">
        <v>5991</v>
      </c>
      <c r="B4994" s="469"/>
      <c r="C4994" s="458"/>
      <c r="D4994" s="456">
        <v>0</v>
      </c>
      <c r="E4994" s="456">
        <v>0</v>
      </c>
      <c r="F4994" s="456"/>
      <c r="G4994" s="456"/>
      <c r="H4994" s="456"/>
    </row>
    <row r="4995" spans="1:8">
      <c r="A4995" s="696">
        <v>5992</v>
      </c>
      <c r="B4995" s="469"/>
      <c r="C4995" s="458"/>
      <c r="D4995" s="456">
        <v>0</v>
      </c>
      <c r="E4995" s="456">
        <v>0</v>
      </c>
      <c r="F4995" s="456"/>
      <c r="G4995" s="456"/>
      <c r="H4995" s="456"/>
    </row>
    <row r="4996" spans="1:8">
      <c r="A4996" s="696">
        <v>5993</v>
      </c>
      <c r="B4996" s="469"/>
      <c r="C4996" s="458"/>
      <c r="D4996" s="456">
        <v>0</v>
      </c>
      <c r="E4996" s="456">
        <v>0</v>
      </c>
      <c r="F4996" s="456"/>
      <c r="G4996" s="456"/>
      <c r="H4996" s="456"/>
    </row>
    <row r="4997" spans="1:8">
      <c r="A4997" s="696">
        <v>5994</v>
      </c>
      <c r="B4997" s="469"/>
      <c r="C4997" s="458"/>
      <c r="D4997" s="456">
        <v>0</v>
      </c>
      <c r="E4997" s="456">
        <v>0</v>
      </c>
      <c r="F4997" s="456"/>
      <c r="G4997" s="456"/>
      <c r="H4997" s="456"/>
    </row>
    <row r="4998" spans="1:8">
      <c r="A4998" s="696">
        <v>5995</v>
      </c>
      <c r="B4998" s="469"/>
      <c r="C4998" s="458"/>
      <c r="D4998" s="456">
        <v>0</v>
      </c>
      <c r="E4998" s="456">
        <v>0</v>
      </c>
      <c r="F4998" s="456"/>
      <c r="G4998" s="456"/>
      <c r="H4998" s="456"/>
    </row>
    <row r="4999" spans="1:8">
      <c r="A4999" s="696">
        <v>5996</v>
      </c>
      <c r="B4999" s="469"/>
      <c r="C4999" s="458"/>
      <c r="D4999" s="456">
        <v>0</v>
      </c>
      <c r="E4999" s="456">
        <v>0</v>
      </c>
      <c r="F4999" s="456"/>
      <c r="G4999" s="456"/>
      <c r="H4999" s="456"/>
    </row>
    <row r="5000" spans="1:8">
      <c r="A5000" s="696">
        <v>5997</v>
      </c>
      <c r="B5000" s="469"/>
      <c r="C5000" s="458"/>
      <c r="D5000" s="456">
        <v>0</v>
      </c>
      <c r="E5000" s="456">
        <v>0</v>
      </c>
      <c r="F5000" s="456"/>
      <c r="G5000" s="456"/>
      <c r="H5000" s="456"/>
    </row>
    <row r="5001" spans="1:8">
      <c r="A5001" s="696">
        <v>5998</v>
      </c>
      <c r="B5001" s="469"/>
      <c r="C5001" s="458"/>
      <c r="D5001" s="456">
        <v>0</v>
      </c>
      <c r="E5001" s="456">
        <v>0</v>
      </c>
      <c r="F5001" s="456"/>
      <c r="G5001" s="456"/>
      <c r="H5001" s="456"/>
    </row>
    <row r="5002" spans="1:8">
      <c r="A5002" s="696">
        <v>5999</v>
      </c>
      <c r="B5002" s="469"/>
      <c r="C5002" s="458"/>
      <c r="D5002" s="456">
        <v>0</v>
      </c>
      <c r="E5002" s="456">
        <v>0</v>
      </c>
      <c r="F5002" s="456"/>
      <c r="G5002" s="456"/>
      <c r="H5002" s="456"/>
    </row>
    <row r="5003" spans="1:8">
      <c r="A5003" s="696">
        <v>6026</v>
      </c>
      <c r="B5003" s="469"/>
      <c r="C5003" s="458"/>
      <c r="D5003" s="458">
        <v>0</v>
      </c>
      <c r="E5003" s="458">
        <v>0</v>
      </c>
      <c r="F5003" s="458"/>
      <c r="G5003" s="458"/>
      <c r="H5003" s="458"/>
    </row>
    <row r="5004" spans="1:8">
      <c r="A5004" s="696">
        <v>6027</v>
      </c>
      <c r="B5004" s="469"/>
      <c r="C5004" s="458"/>
      <c r="D5004" s="458">
        <v>0</v>
      </c>
      <c r="E5004" s="458">
        <v>0</v>
      </c>
      <c r="F5004" s="458"/>
      <c r="G5004" s="458"/>
      <c r="H5004" s="458"/>
    </row>
    <row r="5005" spans="1:8">
      <c r="A5005" s="696">
        <v>6028</v>
      </c>
      <c r="B5005" s="469"/>
      <c r="C5005" s="458"/>
      <c r="D5005" s="458">
        <v>0</v>
      </c>
      <c r="E5005" s="458">
        <v>0</v>
      </c>
      <c r="F5005" s="458"/>
      <c r="G5005" s="458"/>
      <c r="H5005" s="458"/>
    </row>
    <row r="5006" spans="1:8">
      <c r="A5006" s="696">
        <v>6029</v>
      </c>
      <c r="B5006" s="469"/>
      <c r="C5006" s="458"/>
      <c r="D5006" s="458">
        <v>0</v>
      </c>
      <c r="E5006" s="458">
        <v>0</v>
      </c>
      <c r="F5006" s="458"/>
      <c r="G5006" s="458"/>
      <c r="H5006" s="458"/>
    </row>
    <row r="5007" spans="1:8">
      <c r="A5007" s="696">
        <v>6030</v>
      </c>
      <c r="B5007" s="469"/>
      <c r="C5007" s="458"/>
      <c r="D5007" s="458">
        <v>0</v>
      </c>
      <c r="E5007" s="458">
        <v>0</v>
      </c>
      <c r="F5007" s="458"/>
      <c r="G5007" s="458"/>
      <c r="H5007" s="458"/>
    </row>
    <row r="5008" spans="1:8">
      <c r="A5008" s="696">
        <v>6031</v>
      </c>
      <c r="B5008" s="469"/>
      <c r="C5008" s="458"/>
      <c r="D5008" s="458">
        <v>0</v>
      </c>
      <c r="E5008" s="458">
        <v>0</v>
      </c>
      <c r="F5008" s="458"/>
      <c r="G5008" s="458"/>
      <c r="H5008" s="458"/>
    </row>
    <row r="5009" spans="1:8">
      <c r="A5009" s="696">
        <v>6032</v>
      </c>
      <c r="B5009" s="469"/>
      <c r="C5009" s="458"/>
      <c r="D5009" s="458">
        <v>0</v>
      </c>
      <c r="E5009" s="458">
        <v>0</v>
      </c>
      <c r="F5009" s="458"/>
      <c r="G5009" s="458"/>
      <c r="H5009" s="458"/>
    </row>
    <row r="5010" spans="1:8">
      <c r="A5010" s="696">
        <v>6033</v>
      </c>
      <c r="B5010" s="469"/>
      <c r="C5010" s="458"/>
      <c r="D5010" s="458">
        <v>0</v>
      </c>
      <c r="E5010" s="458">
        <v>0</v>
      </c>
      <c r="F5010" s="458"/>
      <c r="G5010" s="458"/>
      <c r="H5010" s="458"/>
    </row>
    <row r="5011" spans="1:8">
      <c r="A5011" s="696">
        <v>6034</v>
      </c>
      <c r="B5011" s="469"/>
      <c r="C5011" s="458"/>
      <c r="D5011" s="458">
        <v>0</v>
      </c>
      <c r="E5011" s="458">
        <v>0</v>
      </c>
      <c r="F5011" s="458"/>
      <c r="G5011" s="458"/>
      <c r="H5011" s="458"/>
    </row>
    <row r="5012" spans="1:8">
      <c r="A5012" s="696">
        <v>6035</v>
      </c>
      <c r="B5012" s="469"/>
      <c r="C5012" s="458"/>
      <c r="D5012" s="458">
        <v>0</v>
      </c>
      <c r="E5012" s="458">
        <v>0</v>
      </c>
      <c r="F5012" s="458"/>
      <c r="G5012" s="458"/>
      <c r="H5012" s="458"/>
    </row>
    <row r="5013" spans="1:8">
      <c r="A5013" s="696">
        <v>6036</v>
      </c>
      <c r="B5013" s="469"/>
      <c r="C5013" s="458"/>
      <c r="D5013" s="458">
        <v>0</v>
      </c>
      <c r="E5013" s="458">
        <v>0</v>
      </c>
      <c r="F5013" s="458"/>
      <c r="G5013" s="458"/>
      <c r="H5013" s="458"/>
    </row>
    <row r="5014" spans="1:8">
      <c r="A5014" s="696">
        <v>6037</v>
      </c>
      <c r="B5014" s="469"/>
      <c r="C5014" s="458"/>
      <c r="D5014" s="458">
        <v>0</v>
      </c>
      <c r="E5014" s="458">
        <v>0</v>
      </c>
      <c r="F5014" s="458"/>
      <c r="G5014" s="458"/>
      <c r="H5014" s="458"/>
    </row>
    <row r="5015" spans="1:8">
      <c r="A5015" s="696">
        <v>6038</v>
      </c>
      <c r="B5015" s="469"/>
      <c r="C5015" s="458"/>
      <c r="D5015" s="458">
        <v>0</v>
      </c>
      <c r="E5015" s="458">
        <v>0</v>
      </c>
      <c r="F5015" s="458"/>
      <c r="G5015" s="458"/>
      <c r="H5015" s="458"/>
    </row>
    <row r="5016" spans="1:8">
      <c r="A5016" s="696">
        <v>6039</v>
      </c>
      <c r="B5016" s="469"/>
      <c r="C5016" s="458"/>
      <c r="D5016" s="458">
        <v>0</v>
      </c>
      <c r="E5016" s="458">
        <v>0</v>
      </c>
      <c r="F5016" s="458"/>
      <c r="G5016" s="458"/>
      <c r="H5016" s="458"/>
    </row>
    <row r="5017" spans="1:8">
      <c r="A5017" s="696">
        <v>6040</v>
      </c>
      <c r="B5017" s="469"/>
      <c r="C5017" s="458"/>
      <c r="D5017" s="458">
        <v>0</v>
      </c>
      <c r="E5017" s="458">
        <v>0</v>
      </c>
      <c r="F5017" s="458"/>
      <c r="G5017" s="458"/>
      <c r="H5017" s="458"/>
    </row>
    <row r="5018" spans="1:8">
      <c r="A5018" s="696">
        <v>6041</v>
      </c>
      <c r="B5018" s="469"/>
      <c r="C5018" s="458"/>
      <c r="D5018" s="458">
        <v>0</v>
      </c>
      <c r="E5018" s="458">
        <v>0</v>
      </c>
      <c r="F5018" s="458"/>
      <c r="G5018" s="458"/>
      <c r="H5018" s="458"/>
    </row>
    <row r="5019" spans="1:8">
      <c r="A5019" s="696">
        <v>6042</v>
      </c>
      <c r="B5019" s="469"/>
      <c r="C5019" s="458"/>
      <c r="D5019" s="458">
        <v>0</v>
      </c>
      <c r="E5019" s="458">
        <v>0</v>
      </c>
      <c r="F5019" s="458"/>
      <c r="G5019" s="458"/>
      <c r="H5019" s="458"/>
    </row>
    <row r="5020" spans="1:8">
      <c r="A5020" s="696">
        <v>6043</v>
      </c>
      <c r="B5020" s="469"/>
      <c r="C5020" s="458"/>
      <c r="D5020" s="458">
        <v>0</v>
      </c>
      <c r="E5020" s="458">
        <v>0</v>
      </c>
      <c r="F5020" s="458"/>
      <c r="G5020" s="458"/>
      <c r="H5020" s="458"/>
    </row>
    <row r="5021" spans="1:8">
      <c r="A5021" s="696">
        <v>6044</v>
      </c>
      <c r="B5021" s="469"/>
      <c r="C5021" s="458"/>
      <c r="D5021" s="458">
        <v>0</v>
      </c>
      <c r="E5021" s="458">
        <v>0</v>
      </c>
      <c r="F5021" s="458"/>
      <c r="G5021" s="458"/>
      <c r="H5021" s="458"/>
    </row>
    <row r="5022" spans="1:8">
      <c r="A5022" s="696">
        <v>6045</v>
      </c>
      <c r="B5022" s="469"/>
      <c r="C5022" s="458"/>
      <c r="D5022" s="458">
        <v>0</v>
      </c>
      <c r="E5022" s="458">
        <v>0</v>
      </c>
      <c r="F5022" s="458"/>
      <c r="G5022" s="458"/>
      <c r="H5022" s="458"/>
    </row>
    <row r="5023" spans="1:8">
      <c r="A5023" s="696">
        <v>6046</v>
      </c>
      <c r="B5023" s="469"/>
      <c r="C5023" s="458"/>
      <c r="D5023" s="456">
        <v>0</v>
      </c>
      <c r="E5023" s="456">
        <v>0</v>
      </c>
      <c r="F5023" s="456"/>
      <c r="G5023" s="456"/>
      <c r="H5023" s="456"/>
    </row>
    <row r="5024" spans="1:8">
      <c r="A5024" s="696">
        <v>6047</v>
      </c>
      <c r="B5024" s="469"/>
      <c r="C5024" s="458"/>
      <c r="D5024" s="456">
        <v>0</v>
      </c>
      <c r="E5024" s="456">
        <v>0</v>
      </c>
      <c r="F5024" s="456"/>
      <c r="G5024" s="456"/>
      <c r="H5024" s="456"/>
    </row>
    <row r="5025" spans="1:8">
      <c r="A5025" s="696">
        <v>6048</v>
      </c>
      <c r="B5025" s="469"/>
      <c r="C5025" s="458"/>
      <c r="D5025" s="456">
        <v>0</v>
      </c>
      <c r="E5025" s="456">
        <v>0</v>
      </c>
      <c r="F5025" s="456"/>
      <c r="G5025" s="456"/>
      <c r="H5025" s="456"/>
    </row>
    <row r="5026" spans="1:8">
      <c r="A5026" s="696">
        <v>6049</v>
      </c>
      <c r="B5026" s="469"/>
      <c r="C5026" s="458"/>
      <c r="D5026" s="456">
        <v>0</v>
      </c>
      <c r="E5026" s="456">
        <v>0</v>
      </c>
      <c r="F5026" s="456"/>
      <c r="G5026" s="456"/>
      <c r="H5026" s="456"/>
    </row>
    <row r="5027" spans="1:8">
      <c r="A5027" s="696">
        <v>6050</v>
      </c>
      <c r="B5027" s="469"/>
      <c r="C5027" s="458"/>
      <c r="D5027" s="456">
        <v>0</v>
      </c>
      <c r="E5027" s="456">
        <v>0</v>
      </c>
      <c r="F5027" s="456"/>
      <c r="G5027" s="456"/>
      <c r="H5027" s="456"/>
    </row>
    <row r="5028" spans="1:8">
      <c r="A5028" s="696">
        <v>6051</v>
      </c>
      <c r="B5028" s="469"/>
      <c r="C5028" s="458"/>
      <c r="D5028" s="456">
        <v>0</v>
      </c>
      <c r="E5028" s="456">
        <v>0</v>
      </c>
      <c r="F5028" s="456"/>
      <c r="G5028" s="456"/>
      <c r="H5028" s="456"/>
    </row>
    <row r="5029" spans="1:8">
      <c r="A5029" s="696">
        <v>6052</v>
      </c>
      <c r="B5029" s="469"/>
      <c r="C5029" s="458"/>
      <c r="D5029" s="456">
        <v>0</v>
      </c>
      <c r="E5029" s="456">
        <v>0</v>
      </c>
      <c r="F5029" s="456"/>
      <c r="G5029" s="456"/>
      <c r="H5029" s="456"/>
    </row>
    <row r="5030" spans="1:8">
      <c r="A5030" s="696">
        <v>6053</v>
      </c>
      <c r="B5030" s="469"/>
      <c r="C5030" s="458"/>
      <c r="D5030" s="456">
        <v>0</v>
      </c>
      <c r="E5030" s="456">
        <v>0</v>
      </c>
      <c r="F5030" s="456"/>
      <c r="G5030" s="456"/>
      <c r="H5030" s="456"/>
    </row>
    <row r="5031" spans="1:8">
      <c r="A5031" s="696">
        <v>6054</v>
      </c>
      <c r="B5031" s="469"/>
      <c r="C5031" s="458"/>
      <c r="D5031" s="456">
        <v>0</v>
      </c>
      <c r="E5031" s="456">
        <v>0</v>
      </c>
      <c r="F5031" s="456"/>
      <c r="G5031" s="456"/>
      <c r="H5031" s="456"/>
    </row>
    <row r="5032" spans="1:8">
      <c r="A5032" s="696">
        <v>6055</v>
      </c>
      <c r="B5032" s="469"/>
      <c r="C5032" s="458"/>
      <c r="D5032" s="456">
        <v>0</v>
      </c>
      <c r="E5032" s="456">
        <v>0</v>
      </c>
      <c r="F5032" s="456"/>
      <c r="G5032" s="456"/>
      <c r="H5032" s="456"/>
    </row>
    <row r="5033" spans="1:8">
      <c r="A5033" s="696">
        <v>6056</v>
      </c>
      <c r="B5033" s="469"/>
      <c r="C5033" s="458"/>
      <c r="D5033" s="456">
        <v>0</v>
      </c>
      <c r="E5033" s="456">
        <v>0</v>
      </c>
      <c r="F5033" s="456"/>
      <c r="G5033" s="456"/>
      <c r="H5033" s="456"/>
    </row>
    <row r="5034" spans="1:8">
      <c r="A5034" s="696">
        <v>6057</v>
      </c>
      <c r="B5034" s="469"/>
      <c r="C5034" s="458"/>
      <c r="D5034" s="456">
        <v>0</v>
      </c>
      <c r="E5034" s="456">
        <v>0</v>
      </c>
      <c r="F5034" s="456"/>
      <c r="G5034" s="456"/>
      <c r="H5034" s="456"/>
    </row>
    <row r="5035" spans="1:8">
      <c r="A5035" s="696">
        <v>6058</v>
      </c>
      <c r="B5035" s="469"/>
      <c r="C5035" s="458"/>
      <c r="D5035" s="456">
        <v>0</v>
      </c>
      <c r="E5035" s="456">
        <v>0</v>
      </c>
      <c r="F5035" s="456"/>
      <c r="G5035" s="456"/>
      <c r="H5035" s="456"/>
    </row>
    <row r="5036" spans="1:8">
      <c r="A5036" s="696">
        <v>6059</v>
      </c>
      <c r="B5036" s="469"/>
      <c r="C5036" s="458"/>
      <c r="D5036" s="456">
        <v>0</v>
      </c>
      <c r="E5036" s="456">
        <v>0</v>
      </c>
      <c r="F5036" s="456"/>
      <c r="G5036" s="456"/>
      <c r="H5036" s="456"/>
    </row>
    <row r="5037" spans="1:8">
      <c r="A5037" s="696">
        <v>6060</v>
      </c>
      <c r="B5037" s="469"/>
      <c r="C5037" s="458"/>
      <c r="D5037" s="456">
        <v>0</v>
      </c>
      <c r="E5037" s="456">
        <v>0</v>
      </c>
      <c r="F5037" s="456"/>
      <c r="G5037" s="456"/>
      <c r="H5037" s="456"/>
    </row>
    <row r="5038" spans="1:8">
      <c r="A5038" s="696">
        <v>6061</v>
      </c>
      <c r="B5038" s="469"/>
      <c r="C5038" s="458"/>
      <c r="D5038" s="456">
        <v>0</v>
      </c>
      <c r="E5038" s="456">
        <v>0</v>
      </c>
      <c r="F5038" s="456"/>
      <c r="G5038" s="456"/>
      <c r="H5038" s="456"/>
    </row>
    <row r="5039" spans="1:8">
      <c r="A5039" s="696">
        <v>6062</v>
      </c>
      <c r="B5039" s="469"/>
      <c r="C5039" s="458"/>
      <c r="D5039" s="456">
        <v>0</v>
      </c>
      <c r="E5039" s="456">
        <v>0</v>
      </c>
      <c r="F5039" s="456"/>
      <c r="G5039" s="456"/>
      <c r="H5039" s="456"/>
    </row>
    <row r="5040" spans="1:8">
      <c r="A5040" s="696">
        <v>6063</v>
      </c>
      <c r="B5040" s="469"/>
      <c r="C5040" s="458"/>
      <c r="D5040" s="456">
        <v>0</v>
      </c>
      <c r="E5040" s="456">
        <v>0</v>
      </c>
      <c r="F5040" s="456"/>
      <c r="G5040" s="456"/>
      <c r="H5040" s="456"/>
    </row>
    <row r="5041" spans="1:8">
      <c r="A5041" s="696">
        <v>6064</v>
      </c>
      <c r="B5041" s="469"/>
      <c r="C5041" s="458"/>
      <c r="D5041" s="456">
        <v>0</v>
      </c>
      <c r="E5041" s="456">
        <v>0</v>
      </c>
      <c r="F5041" s="456"/>
      <c r="G5041" s="456"/>
      <c r="H5041" s="456"/>
    </row>
    <row r="5042" spans="1:8">
      <c r="A5042" s="696">
        <v>6065</v>
      </c>
      <c r="B5042" s="469"/>
      <c r="C5042" s="458"/>
      <c r="D5042" s="456">
        <v>0</v>
      </c>
      <c r="E5042" s="456">
        <v>0</v>
      </c>
      <c r="F5042" s="456"/>
      <c r="G5042" s="456"/>
      <c r="H5042" s="456"/>
    </row>
    <row r="5043" spans="1:8">
      <c r="A5043" s="696">
        <v>6066</v>
      </c>
      <c r="B5043" s="469"/>
      <c r="C5043" s="458"/>
      <c r="D5043" s="456">
        <v>0</v>
      </c>
      <c r="E5043" s="456">
        <v>0</v>
      </c>
      <c r="F5043" s="456"/>
      <c r="G5043" s="456"/>
      <c r="H5043" s="456"/>
    </row>
    <row r="5044" spans="1:8">
      <c r="A5044" s="696">
        <v>6067</v>
      </c>
      <c r="B5044" s="469"/>
      <c r="C5044" s="458"/>
      <c r="D5044" s="456">
        <v>0</v>
      </c>
      <c r="E5044" s="456">
        <v>0</v>
      </c>
      <c r="F5044" s="456"/>
      <c r="G5044" s="456"/>
      <c r="H5044" s="456"/>
    </row>
    <row r="5045" spans="1:8">
      <c r="A5045" s="696">
        <v>6068</v>
      </c>
      <c r="B5045" s="469"/>
      <c r="C5045" s="458"/>
      <c r="D5045" s="456">
        <v>0</v>
      </c>
      <c r="E5045" s="456">
        <v>0</v>
      </c>
      <c r="F5045" s="456"/>
      <c r="G5045" s="456"/>
      <c r="H5045" s="456"/>
    </row>
    <row r="5046" spans="1:8">
      <c r="A5046" s="696">
        <v>6069</v>
      </c>
      <c r="B5046" s="469"/>
      <c r="C5046" s="458"/>
      <c r="D5046" s="456">
        <v>0</v>
      </c>
      <c r="E5046" s="456">
        <v>0</v>
      </c>
      <c r="F5046" s="456"/>
      <c r="G5046" s="456"/>
      <c r="H5046" s="456"/>
    </row>
    <row r="5047" spans="1:8">
      <c r="A5047" s="696">
        <v>6070</v>
      </c>
      <c r="B5047" s="469"/>
      <c r="C5047" s="458"/>
      <c r="D5047" s="456">
        <v>0</v>
      </c>
      <c r="E5047" s="456">
        <v>0</v>
      </c>
      <c r="F5047" s="456"/>
      <c r="G5047" s="456"/>
      <c r="H5047" s="456"/>
    </row>
    <row r="5048" spans="1:8">
      <c r="A5048" s="696">
        <v>6071</v>
      </c>
      <c r="B5048" s="469"/>
      <c r="C5048" s="458"/>
      <c r="D5048" s="456">
        <v>0</v>
      </c>
      <c r="E5048" s="456">
        <v>0</v>
      </c>
      <c r="F5048" s="456"/>
      <c r="G5048" s="456"/>
      <c r="H5048" s="456"/>
    </row>
    <row r="5049" spans="1:8">
      <c r="A5049" s="696">
        <v>6072</v>
      </c>
      <c r="B5049" s="469"/>
      <c r="C5049" s="458"/>
      <c r="D5049" s="456">
        <v>0</v>
      </c>
      <c r="E5049" s="456">
        <v>0</v>
      </c>
      <c r="F5049" s="456"/>
      <c r="G5049" s="456"/>
      <c r="H5049" s="456"/>
    </row>
    <row r="5050" spans="1:8">
      <c r="A5050" s="696">
        <v>6073</v>
      </c>
      <c r="B5050" s="469"/>
      <c r="C5050" s="458"/>
      <c r="D5050" s="456">
        <v>0</v>
      </c>
      <c r="E5050" s="456">
        <v>0</v>
      </c>
      <c r="F5050" s="456"/>
      <c r="G5050" s="456"/>
      <c r="H5050" s="456"/>
    </row>
    <row r="5051" spans="1:8">
      <c r="A5051" s="696">
        <v>6074</v>
      </c>
      <c r="B5051" s="469"/>
      <c r="C5051" s="458"/>
      <c r="D5051" s="456">
        <v>0</v>
      </c>
      <c r="E5051" s="456">
        <v>0</v>
      </c>
      <c r="F5051" s="456"/>
      <c r="G5051" s="456"/>
      <c r="H5051" s="456"/>
    </row>
    <row r="5052" spans="1:8">
      <c r="A5052" s="696">
        <v>6075</v>
      </c>
      <c r="B5052" s="469"/>
      <c r="C5052" s="458"/>
      <c r="D5052" s="456">
        <v>0</v>
      </c>
      <c r="E5052" s="456">
        <v>0</v>
      </c>
      <c r="F5052" s="456"/>
      <c r="G5052" s="456"/>
      <c r="H5052" s="456"/>
    </row>
    <row r="5053" spans="1:8">
      <c r="A5053" s="696">
        <v>6076</v>
      </c>
      <c r="B5053" s="469"/>
      <c r="C5053" s="458"/>
      <c r="D5053" s="456">
        <v>0</v>
      </c>
      <c r="E5053" s="456">
        <v>0</v>
      </c>
      <c r="F5053" s="456"/>
      <c r="G5053" s="456"/>
      <c r="H5053" s="456"/>
    </row>
    <row r="5054" spans="1:8">
      <c r="A5054" s="696">
        <v>6077</v>
      </c>
      <c r="B5054" s="469"/>
      <c r="C5054" s="458"/>
      <c r="D5054" s="456">
        <v>0</v>
      </c>
      <c r="E5054" s="456">
        <v>0</v>
      </c>
      <c r="F5054" s="456"/>
      <c r="G5054" s="456"/>
      <c r="H5054" s="456"/>
    </row>
    <row r="5055" spans="1:8">
      <c r="A5055" s="696">
        <v>6078</v>
      </c>
      <c r="B5055" s="469"/>
      <c r="C5055" s="458"/>
      <c r="D5055" s="456">
        <v>0</v>
      </c>
      <c r="E5055" s="456">
        <v>0</v>
      </c>
      <c r="F5055" s="456"/>
      <c r="G5055" s="456"/>
      <c r="H5055" s="456"/>
    </row>
    <row r="5056" spans="1:8">
      <c r="A5056" s="696">
        <v>6079</v>
      </c>
      <c r="B5056" s="469"/>
      <c r="C5056" s="458"/>
      <c r="D5056" s="456">
        <v>0</v>
      </c>
      <c r="E5056" s="456">
        <v>0</v>
      </c>
      <c r="F5056" s="456"/>
      <c r="G5056" s="456"/>
      <c r="H5056" s="456"/>
    </row>
    <row r="5057" spans="1:8">
      <c r="A5057" s="696">
        <v>6080</v>
      </c>
      <c r="B5057" s="469"/>
      <c r="C5057" s="458"/>
      <c r="D5057" s="456">
        <v>0</v>
      </c>
      <c r="E5057" s="456">
        <v>0</v>
      </c>
      <c r="F5057" s="456"/>
      <c r="G5057" s="456"/>
      <c r="H5057" s="456"/>
    </row>
    <row r="5058" spans="1:8">
      <c r="A5058" s="696">
        <v>6081</v>
      </c>
      <c r="B5058" s="469"/>
      <c r="C5058" s="458"/>
      <c r="D5058" s="456">
        <v>0</v>
      </c>
      <c r="E5058" s="456">
        <v>0</v>
      </c>
      <c r="F5058" s="456"/>
      <c r="G5058" s="456"/>
      <c r="H5058" s="456"/>
    </row>
    <row r="5059" spans="1:8">
      <c r="A5059" s="696">
        <v>6082</v>
      </c>
      <c r="B5059" s="469"/>
      <c r="C5059" s="458"/>
      <c r="D5059" s="456">
        <v>0</v>
      </c>
      <c r="E5059" s="456">
        <v>0</v>
      </c>
      <c r="F5059" s="456"/>
      <c r="G5059" s="456"/>
      <c r="H5059" s="456"/>
    </row>
    <row r="5060" spans="1:8">
      <c r="A5060" s="696">
        <v>6083</v>
      </c>
      <c r="B5060" s="469"/>
      <c r="C5060" s="458"/>
      <c r="D5060" s="456">
        <v>0</v>
      </c>
      <c r="E5060" s="456">
        <v>0</v>
      </c>
      <c r="F5060" s="456"/>
      <c r="G5060" s="456"/>
      <c r="H5060" s="456"/>
    </row>
    <row r="5061" spans="1:8">
      <c r="A5061" s="696">
        <v>6084</v>
      </c>
      <c r="B5061" s="469"/>
      <c r="C5061" s="458"/>
      <c r="D5061" s="456">
        <v>0</v>
      </c>
      <c r="E5061" s="456">
        <v>0</v>
      </c>
      <c r="F5061" s="456"/>
      <c r="G5061" s="456"/>
      <c r="H5061" s="456"/>
    </row>
    <row r="5062" spans="1:8">
      <c r="A5062" s="696">
        <v>6085</v>
      </c>
      <c r="B5062" s="469"/>
      <c r="C5062" s="458"/>
      <c r="D5062" s="456">
        <v>0</v>
      </c>
      <c r="E5062" s="456">
        <v>0</v>
      </c>
      <c r="F5062" s="456"/>
      <c r="G5062" s="456"/>
      <c r="H5062" s="456"/>
    </row>
    <row r="5063" spans="1:8">
      <c r="A5063" s="696">
        <v>6086</v>
      </c>
      <c r="B5063" s="469"/>
      <c r="C5063" s="458"/>
      <c r="D5063" s="456">
        <v>0</v>
      </c>
      <c r="E5063" s="456">
        <v>0</v>
      </c>
      <c r="F5063" s="456"/>
      <c r="G5063" s="456"/>
      <c r="H5063" s="456"/>
    </row>
    <row r="5064" spans="1:8">
      <c r="A5064" s="696">
        <v>6087</v>
      </c>
      <c r="B5064" s="469"/>
      <c r="C5064" s="458"/>
      <c r="D5064" s="456">
        <v>0</v>
      </c>
      <c r="E5064" s="456">
        <v>0</v>
      </c>
      <c r="F5064" s="456"/>
      <c r="G5064" s="456"/>
      <c r="H5064" s="456"/>
    </row>
    <row r="5065" spans="1:8">
      <c r="A5065" s="696">
        <v>6088</v>
      </c>
      <c r="B5065" s="469"/>
      <c r="C5065" s="458"/>
      <c r="D5065" s="456">
        <v>0</v>
      </c>
      <c r="E5065" s="456">
        <v>0</v>
      </c>
      <c r="F5065" s="456"/>
      <c r="G5065" s="456"/>
      <c r="H5065" s="456"/>
    </row>
    <row r="5066" spans="1:8">
      <c r="A5066" s="696">
        <v>6089</v>
      </c>
      <c r="B5066" s="469"/>
      <c r="C5066" s="458"/>
      <c r="D5066" s="456">
        <v>0</v>
      </c>
      <c r="E5066" s="456">
        <v>0</v>
      </c>
      <c r="F5066" s="456"/>
      <c r="G5066" s="456"/>
      <c r="H5066" s="456"/>
    </row>
    <row r="5067" spans="1:8">
      <c r="A5067" s="696">
        <v>6090</v>
      </c>
      <c r="B5067" s="469"/>
      <c r="C5067" s="458"/>
      <c r="D5067" s="456">
        <v>0</v>
      </c>
      <c r="E5067" s="456">
        <v>0</v>
      </c>
      <c r="F5067" s="456"/>
      <c r="G5067" s="456"/>
      <c r="H5067" s="456"/>
    </row>
    <row r="5068" spans="1:8">
      <c r="A5068" s="696">
        <v>6091</v>
      </c>
      <c r="B5068" s="469"/>
      <c r="C5068" s="458"/>
      <c r="D5068" s="456">
        <v>0</v>
      </c>
      <c r="E5068" s="456">
        <v>0</v>
      </c>
      <c r="F5068" s="456"/>
      <c r="G5068" s="456"/>
      <c r="H5068" s="456"/>
    </row>
    <row r="5069" spans="1:8">
      <c r="A5069" s="696">
        <v>6092</v>
      </c>
      <c r="B5069" s="469"/>
      <c r="C5069" s="458"/>
      <c r="D5069" s="456">
        <v>0</v>
      </c>
      <c r="E5069" s="456">
        <v>0</v>
      </c>
      <c r="F5069" s="456"/>
      <c r="G5069" s="456"/>
      <c r="H5069" s="456"/>
    </row>
    <row r="5070" spans="1:8">
      <c r="A5070" s="696">
        <v>6093</v>
      </c>
      <c r="B5070" s="469"/>
      <c r="C5070" s="458"/>
      <c r="D5070" s="456">
        <v>0</v>
      </c>
      <c r="E5070" s="456">
        <v>0</v>
      </c>
      <c r="F5070" s="456"/>
      <c r="G5070" s="456"/>
      <c r="H5070" s="456"/>
    </row>
    <row r="5071" spans="1:8">
      <c r="A5071" s="696">
        <v>6094</v>
      </c>
      <c r="B5071" s="469"/>
      <c r="C5071" s="458"/>
      <c r="D5071" s="456">
        <v>0</v>
      </c>
      <c r="E5071" s="456">
        <v>0</v>
      </c>
      <c r="F5071" s="456"/>
      <c r="G5071" s="456"/>
      <c r="H5071" s="456"/>
    </row>
    <row r="5072" spans="1:8">
      <c r="A5072" s="696">
        <v>6095</v>
      </c>
      <c r="B5072" s="469"/>
      <c r="C5072" s="458"/>
      <c r="D5072" s="456">
        <v>0</v>
      </c>
      <c r="E5072" s="456">
        <v>0</v>
      </c>
      <c r="F5072" s="456"/>
      <c r="G5072" s="456"/>
      <c r="H5072" s="456"/>
    </row>
    <row r="5073" spans="1:8">
      <c r="A5073" s="696">
        <v>6096</v>
      </c>
      <c r="B5073" s="469"/>
      <c r="C5073" s="458"/>
      <c r="D5073" s="456">
        <v>0</v>
      </c>
      <c r="E5073" s="456">
        <v>0</v>
      </c>
      <c r="F5073" s="456"/>
      <c r="G5073" s="456"/>
      <c r="H5073" s="456"/>
    </row>
    <row r="5074" spans="1:8">
      <c r="A5074" s="696">
        <v>6097</v>
      </c>
      <c r="B5074" s="469"/>
      <c r="C5074" s="458"/>
      <c r="D5074" s="456">
        <v>0</v>
      </c>
      <c r="E5074" s="456">
        <v>0</v>
      </c>
      <c r="F5074" s="456"/>
      <c r="G5074" s="456"/>
      <c r="H5074" s="456"/>
    </row>
    <row r="5075" spans="1:8">
      <c r="A5075" s="696">
        <v>6098</v>
      </c>
      <c r="B5075" s="469"/>
      <c r="C5075" s="458"/>
      <c r="D5075" s="456">
        <v>0</v>
      </c>
      <c r="E5075" s="456">
        <v>0</v>
      </c>
      <c r="F5075" s="456"/>
      <c r="G5075" s="456"/>
      <c r="H5075" s="456"/>
    </row>
    <row r="5076" spans="1:8">
      <c r="A5076" s="696">
        <v>6099</v>
      </c>
      <c r="B5076" s="469"/>
      <c r="C5076" s="458"/>
      <c r="D5076" s="456">
        <v>0</v>
      </c>
      <c r="E5076" s="456">
        <v>0</v>
      </c>
      <c r="F5076" s="456"/>
      <c r="G5076" s="456"/>
      <c r="H5076" s="456"/>
    </row>
    <row r="5077" spans="1:8">
      <c r="A5077" s="696">
        <v>6100</v>
      </c>
      <c r="B5077" s="469"/>
      <c r="C5077" s="458"/>
      <c r="D5077" s="456">
        <v>0</v>
      </c>
      <c r="E5077" s="456">
        <v>0</v>
      </c>
      <c r="F5077" s="456"/>
      <c r="G5077" s="456"/>
      <c r="H5077" s="456"/>
    </row>
    <row r="5078" spans="1:8">
      <c r="A5078" s="696">
        <v>6101</v>
      </c>
      <c r="B5078" s="469"/>
      <c r="C5078" s="458"/>
      <c r="D5078" s="456">
        <v>0</v>
      </c>
      <c r="E5078" s="456">
        <v>0</v>
      </c>
      <c r="F5078" s="456"/>
      <c r="G5078" s="456"/>
      <c r="H5078" s="456"/>
    </row>
    <row r="5079" spans="1:8">
      <c r="A5079" s="696">
        <v>6102</v>
      </c>
      <c r="B5079" s="469"/>
      <c r="C5079" s="458"/>
      <c r="D5079" s="456">
        <v>0</v>
      </c>
      <c r="E5079" s="456">
        <v>0</v>
      </c>
      <c r="F5079" s="456"/>
      <c r="G5079" s="456"/>
      <c r="H5079" s="456"/>
    </row>
    <row r="5080" spans="1:8">
      <c r="A5080" s="696">
        <v>6103</v>
      </c>
      <c r="B5080" s="469"/>
      <c r="C5080" s="458"/>
      <c r="D5080" s="456">
        <v>0</v>
      </c>
      <c r="E5080" s="456">
        <v>0</v>
      </c>
      <c r="F5080" s="456"/>
      <c r="G5080" s="456"/>
      <c r="H5080" s="456"/>
    </row>
    <row r="5081" spans="1:8">
      <c r="A5081" s="696">
        <v>6104</v>
      </c>
      <c r="B5081" s="469"/>
      <c r="C5081" s="458"/>
      <c r="D5081" s="456">
        <v>0</v>
      </c>
      <c r="E5081" s="456">
        <v>0</v>
      </c>
      <c r="F5081" s="456"/>
      <c r="G5081" s="456"/>
      <c r="H5081" s="456"/>
    </row>
    <row r="5082" spans="1:8">
      <c r="A5082" s="696">
        <v>6105</v>
      </c>
      <c r="B5082" s="469"/>
      <c r="C5082" s="458"/>
      <c r="D5082" s="456">
        <v>0</v>
      </c>
      <c r="E5082" s="456">
        <v>0</v>
      </c>
      <c r="F5082" s="456"/>
      <c r="G5082" s="456"/>
      <c r="H5082" s="456"/>
    </row>
    <row r="5083" spans="1:8">
      <c r="A5083" s="696">
        <v>6106</v>
      </c>
      <c r="B5083" s="469"/>
      <c r="C5083" s="458"/>
      <c r="D5083" s="456">
        <v>0</v>
      </c>
      <c r="E5083" s="456">
        <v>0</v>
      </c>
      <c r="F5083" s="456"/>
      <c r="G5083" s="456"/>
      <c r="H5083" s="456"/>
    </row>
    <row r="5084" spans="1:8">
      <c r="A5084" s="696">
        <v>6107</v>
      </c>
      <c r="B5084" s="469"/>
      <c r="C5084" s="458"/>
      <c r="D5084" s="456">
        <v>0</v>
      </c>
      <c r="E5084" s="456">
        <v>0</v>
      </c>
      <c r="F5084" s="456"/>
      <c r="G5084" s="456"/>
      <c r="H5084" s="456"/>
    </row>
    <row r="5085" spans="1:8">
      <c r="A5085" s="696">
        <v>6108</v>
      </c>
      <c r="B5085" s="469"/>
      <c r="C5085" s="458"/>
      <c r="D5085" s="456">
        <v>0</v>
      </c>
      <c r="E5085" s="456">
        <v>0</v>
      </c>
      <c r="F5085" s="456"/>
      <c r="G5085" s="456"/>
      <c r="H5085" s="456"/>
    </row>
    <row r="5086" spans="1:8">
      <c r="A5086" s="696">
        <v>6109</v>
      </c>
      <c r="B5086" s="469"/>
      <c r="C5086" s="458"/>
      <c r="D5086" s="456">
        <v>0</v>
      </c>
      <c r="E5086" s="456">
        <v>0</v>
      </c>
      <c r="F5086" s="456"/>
      <c r="G5086" s="456"/>
      <c r="H5086" s="456"/>
    </row>
    <row r="5087" spans="1:8">
      <c r="A5087" s="696">
        <v>6110</v>
      </c>
      <c r="B5087" s="469"/>
      <c r="C5087" s="458"/>
      <c r="D5087" s="456">
        <v>0</v>
      </c>
      <c r="E5087" s="456">
        <v>0</v>
      </c>
      <c r="F5087" s="456"/>
      <c r="G5087" s="456"/>
      <c r="H5087" s="456"/>
    </row>
    <row r="5088" spans="1:8">
      <c r="A5088" s="696">
        <v>6111</v>
      </c>
      <c r="B5088" s="469"/>
      <c r="C5088" s="458"/>
      <c r="D5088" s="456">
        <v>0</v>
      </c>
      <c r="E5088" s="456">
        <v>0</v>
      </c>
      <c r="F5088" s="456"/>
      <c r="G5088" s="456"/>
      <c r="H5088" s="456"/>
    </row>
    <row r="5089" spans="1:8">
      <c r="A5089" s="696">
        <v>6112</v>
      </c>
      <c r="B5089" s="469"/>
      <c r="C5089" s="458"/>
      <c r="D5089" s="456">
        <v>0</v>
      </c>
      <c r="E5089" s="456">
        <v>0</v>
      </c>
      <c r="F5089" s="456"/>
      <c r="G5089" s="456"/>
      <c r="H5089" s="456"/>
    </row>
    <row r="5090" spans="1:8">
      <c r="A5090" s="696">
        <v>6113</v>
      </c>
      <c r="B5090" s="469"/>
      <c r="C5090" s="458"/>
      <c r="D5090" s="456">
        <v>0</v>
      </c>
      <c r="E5090" s="456">
        <v>0</v>
      </c>
      <c r="F5090" s="456"/>
      <c r="G5090" s="456"/>
      <c r="H5090" s="456"/>
    </row>
    <row r="5091" spans="1:8">
      <c r="A5091" s="696">
        <v>6114</v>
      </c>
      <c r="B5091" s="469"/>
      <c r="C5091" s="458"/>
      <c r="D5091" s="456">
        <v>0</v>
      </c>
      <c r="E5091" s="456">
        <v>0</v>
      </c>
      <c r="F5091" s="456"/>
      <c r="G5091" s="456"/>
      <c r="H5091" s="456"/>
    </row>
    <row r="5092" spans="1:8">
      <c r="A5092" s="696">
        <v>6115</v>
      </c>
      <c r="B5092" s="469"/>
      <c r="C5092" s="458"/>
      <c r="D5092" s="456">
        <v>0</v>
      </c>
      <c r="E5092" s="456">
        <v>0</v>
      </c>
      <c r="F5092" s="456"/>
      <c r="G5092" s="456"/>
      <c r="H5092" s="456"/>
    </row>
    <row r="5093" spans="1:8">
      <c r="A5093" s="696">
        <v>6116</v>
      </c>
      <c r="B5093" s="469"/>
      <c r="C5093" s="458"/>
      <c r="D5093" s="456">
        <v>0</v>
      </c>
      <c r="E5093" s="456">
        <v>0</v>
      </c>
      <c r="F5093" s="456"/>
      <c r="G5093" s="456"/>
      <c r="H5093" s="456"/>
    </row>
    <row r="5094" spans="1:8">
      <c r="A5094" s="696">
        <v>6117</v>
      </c>
      <c r="B5094" s="469"/>
      <c r="C5094" s="458"/>
      <c r="D5094" s="456">
        <v>0</v>
      </c>
      <c r="E5094" s="456">
        <v>0</v>
      </c>
      <c r="F5094" s="456"/>
      <c r="G5094" s="456"/>
      <c r="H5094" s="456"/>
    </row>
    <row r="5095" spans="1:8">
      <c r="A5095" s="696">
        <v>6118</v>
      </c>
      <c r="B5095" s="469"/>
      <c r="C5095" s="458"/>
      <c r="D5095" s="456">
        <v>0</v>
      </c>
      <c r="E5095" s="456">
        <v>0</v>
      </c>
      <c r="F5095" s="456"/>
      <c r="G5095" s="456"/>
      <c r="H5095" s="456"/>
    </row>
    <row r="5096" spans="1:8">
      <c r="A5096" s="696">
        <v>6119</v>
      </c>
      <c r="B5096" s="469"/>
      <c r="C5096" s="458"/>
      <c r="D5096" s="456">
        <v>0</v>
      </c>
      <c r="E5096" s="456">
        <v>0</v>
      </c>
      <c r="F5096" s="456"/>
      <c r="G5096" s="456"/>
      <c r="H5096" s="456"/>
    </row>
    <row r="5097" spans="1:8">
      <c r="A5097" s="696">
        <v>6120</v>
      </c>
      <c r="B5097" s="469"/>
      <c r="C5097" s="458"/>
      <c r="D5097" s="456">
        <v>0</v>
      </c>
      <c r="E5097" s="456">
        <v>0</v>
      </c>
      <c r="F5097" s="456"/>
      <c r="G5097" s="456"/>
      <c r="H5097" s="456"/>
    </row>
    <row r="5098" spans="1:8">
      <c r="A5098" s="696">
        <v>6121</v>
      </c>
      <c r="B5098" s="469"/>
      <c r="C5098" s="458"/>
      <c r="D5098" s="456">
        <v>0</v>
      </c>
      <c r="E5098" s="456">
        <v>0</v>
      </c>
      <c r="F5098" s="456"/>
      <c r="G5098" s="456"/>
      <c r="H5098" s="456"/>
    </row>
    <row r="5099" spans="1:8">
      <c r="A5099" s="696">
        <v>6122</v>
      </c>
      <c r="B5099" s="469"/>
      <c r="C5099" s="458"/>
      <c r="D5099" s="456">
        <v>0</v>
      </c>
      <c r="E5099" s="456">
        <v>0</v>
      </c>
      <c r="F5099" s="456"/>
      <c r="G5099" s="456"/>
      <c r="H5099" s="456"/>
    </row>
    <row r="5100" spans="1:8">
      <c r="A5100" s="696">
        <v>6123</v>
      </c>
      <c r="B5100" s="469"/>
      <c r="C5100" s="458"/>
      <c r="D5100" s="456">
        <v>0</v>
      </c>
      <c r="E5100" s="456">
        <v>0</v>
      </c>
      <c r="F5100" s="456"/>
      <c r="G5100" s="456"/>
      <c r="H5100" s="456"/>
    </row>
    <row r="5101" spans="1:8">
      <c r="A5101" s="696">
        <v>6124</v>
      </c>
      <c r="B5101" s="469"/>
      <c r="C5101" s="458"/>
      <c r="D5101" s="456">
        <v>0</v>
      </c>
      <c r="E5101" s="456">
        <v>0</v>
      </c>
      <c r="F5101" s="456"/>
      <c r="G5101" s="456"/>
      <c r="H5101" s="456"/>
    </row>
    <row r="5102" spans="1:8">
      <c r="A5102" s="696">
        <v>6125</v>
      </c>
      <c r="B5102" s="469"/>
      <c r="C5102" s="458"/>
      <c r="D5102" s="456">
        <v>0</v>
      </c>
      <c r="E5102" s="456">
        <v>0</v>
      </c>
      <c r="F5102" s="456"/>
      <c r="G5102" s="456"/>
      <c r="H5102" s="456"/>
    </row>
    <row r="5103" spans="1:8">
      <c r="A5103" s="696">
        <v>6126</v>
      </c>
      <c r="B5103" s="469"/>
      <c r="C5103" s="458"/>
      <c r="D5103" s="456">
        <v>0</v>
      </c>
      <c r="E5103" s="456">
        <v>0</v>
      </c>
      <c r="F5103" s="456"/>
      <c r="G5103" s="456"/>
      <c r="H5103" s="456"/>
    </row>
    <row r="5104" spans="1:8">
      <c r="A5104" s="696">
        <v>6127</v>
      </c>
      <c r="B5104" s="469"/>
      <c r="C5104" s="458"/>
      <c r="D5104" s="456">
        <v>0</v>
      </c>
      <c r="E5104" s="456">
        <v>0</v>
      </c>
      <c r="F5104" s="456"/>
      <c r="G5104" s="456"/>
      <c r="H5104" s="456"/>
    </row>
    <row r="5105" spans="1:8">
      <c r="A5105" s="696">
        <v>6128</v>
      </c>
      <c r="B5105" s="469"/>
      <c r="C5105" s="458"/>
      <c r="D5105" s="456">
        <v>0</v>
      </c>
      <c r="E5105" s="456">
        <v>0</v>
      </c>
      <c r="F5105" s="456"/>
      <c r="G5105" s="456"/>
      <c r="H5105" s="456"/>
    </row>
    <row r="5106" spans="1:8">
      <c r="A5106" s="696">
        <v>6129</v>
      </c>
      <c r="B5106" s="469"/>
      <c r="C5106" s="458"/>
      <c r="D5106" s="456">
        <v>0</v>
      </c>
      <c r="E5106" s="456">
        <v>0</v>
      </c>
      <c r="F5106" s="456"/>
      <c r="G5106" s="456"/>
      <c r="H5106" s="456"/>
    </row>
    <row r="5107" spans="1:8">
      <c r="A5107" s="696">
        <v>6130</v>
      </c>
      <c r="B5107" s="469"/>
      <c r="C5107" s="458"/>
      <c r="D5107" s="456">
        <v>0</v>
      </c>
      <c r="E5107" s="456">
        <v>0</v>
      </c>
      <c r="F5107" s="456"/>
      <c r="G5107" s="456"/>
      <c r="H5107" s="456"/>
    </row>
    <row r="5108" spans="1:8">
      <c r="A5108" s="696">
        <v>6131</v>
      </c>
      <c r="B5108" s="469"/>
      <c r="C5108" s="458"/>
      <c r="D5108" s="456">
        <v>0</v>
      </c>
      <c r="E5108" s="456">
        <v>0</v>
      </c>
      <c r="F5108" s="456"/>
      <c r="G5108" s="456"/>
      <c r="H5108" s="456"/>
    </row>
    <row r="5109" spans="1:8">
      <c r="A5109" s="696">
        <v>6132</v>
      </c>
      <c r="B5109" s="469"/>
      <c r="C5109" s="458"/>
      <c r="D5109" s="456">
        <v>0</v>
      </c>
      <c r="E5109" s="456">
        <v>0</v>
      </c>
      <c r="F5109" s="456"/>
      <c r="G5109" s="456"/>
      <c r="H5109" s="456"/>
    </row>
    <row r="5110" spans="1:8">
      <c r="A5110" s="696">
        <v>6133</v>
      </c>
      <c r="B5110" s="469"/>
      <c r="C5110" s="458"/>
      <c r="D5110" s="456">
        <v>0</v>
      </c>
      <c r="E5110" s="456">
        <v>0</v>
      </c>
      <c r="F5110" s="456"/>
      <c r="G5110" s="456"/>
      <c r="H5110" s="456"/>
    </row>
    <row r="5111" spans="1:8">
      <c r="A5111" s="696">
        <v>6134</v>
      </c>
      <c r="B5111" s="469"/>
      <c r="C5111" s="458"/>
      <c r="D5111" s="456">
        <v>0</v>
      </c>
      <c r="E5111" s="456">
        <v>0</v>
      </c>
      <c r="F5111" s="456"/>
      <c r="G5111" s="456"/>
      <c r="H5111" s="456"/>
    </row>
    <row r="5112" spans="1:8">
      <c r="A5112" s="696">
        <v>6135</v>
      </c>
      <c r="B5112" s="469"/>
      <c r="C5112" s="458"/>
      <c r="D5112" s="456">
        <v>0</v>
      </c>
      <c r="E5112" s="456">
        <v>0</v>
      </c>
      <c r="F5112" s="456"/>
      <c r="G5112" s="456"/>
      <c r="H5112" s="456"/>
    </row>
    <row r="5113" spans="1:8">
      <c r="A5113" s="696">
        <v>6136</v>
      </c>
      <c r="B5113" s="469"/>
      <c r="C5113" s="458"/>
      <c r="D5113" s="456">
        <v>0</v>
      </c>
      <c r="E5113" s="456">
        <v>0</v>
      </c>
      <c r="F5113" s="456"/>
      <c r="G5113" s="456"/>
      <c r="H5113" s="456"/>
    </row>
    <row r="5114" spans="1:8">
      <c r="A5114" s="696">
        <v>6137</v>
      </c>
      <c r="B5114" s="469"/>
      <c r="C5114" s="458"/>
      <c r="D5114" s="456">
        <v>0</v>
      </c>
      <c r="E5114" s="456">
        <v>0</v>
      </c>
      <c r="F5114" s="456"/>
      <c r="G5114" s="456"/>
      <c r="H5114" s="456"/>
    </row>
    <row r="5115" spans="1:8">
      <c r="A5115" s="696">
        <v>6138</v>
      </c>
      <c r="B5115" s="469"/>
      <c r="C5115" s="458"/>
      <c r="D5115" s="456">
        <v>0</v>
      </c>
      <c r="E5115" s="456">
        <v>0</v>
      </c>
      <c r="F5115" s="456"/>
      <c r="G5115" s="456"/>
      <c r="H5115" s="456"/>
    </row>
    <row r="5116" spans="1:8">
      <c r="A5116" s="696">
        <v>6139</v>
      </c>
      <c r="B5116" s="469"/>
      <c r="C5116" s="458"/>
      <c r="D5116" s="456">
        <v>0</v>
      </c>
      <c r="E5116" s="456">
        <v>0</v>
      </c>
      <c r="F5116" s="456"/>
      <c r="G5116" s="456"/>
      <c r="H5116" s="456"/>
    </row>
    <row r="5117" spans="1:8">
      <c r="A5117" s="696">
        <v>6140</v>
      </c>
      <c r="B5117" s="469"/>
      <c r="C5117" s="458"/>
      <c r="D5117" s="456">
        <v>0</v>
      </c>
      <c r="E5117" s="456">
        <v>0</v>
      </c>
      <c r="F5117" s="456"/>
      <c r="G5117" s="456"/>
      <c r="H5117" s="456"/>
    </row>
    <row r="5118" spans="1:8">
      <c r="A5118" s="696">
        <v>6141</v>
      </c>
      <c r="B5118" s="469"/>
      <c r="C5118" s="458"/>
      <c r="D5118" s="456">
        <v>0</v>
      </c>
      <c r="E5118" s="456">
        <v>0</v>
      </c>
      <c r="F5118" s="456"/>
      <c r="G5118" s="456"/>
      <c r="H5118" s="456"/>
    </row>
    <row r="5119" spans="1:8">
      <c r="A5119" s="696">
        <v>6142</v>
      </c>
      <c r="B5119" s="469"/>
      <c r="C5119" s="458"/>
      <c r="D5119" s="456">
        <v>0</v>
      </c>
      <c r="E5119" s="456">
        <v>0</v>
      </c>
      <c r="F5119" s="456"/>
      <c r="G5119" s="456"/>
      <c r="H5119" s="456"/>
    </row>
    <row r="5120" spans="1:8">
      <c r="A5120" s="696">
        <v>6143</v>
      </c>
      <c r="B5120" s="469"/>
      <c r="C5120" s="458"/>
      <c r="D5120" s="456">
        <v>0</v>
      </c>
      <c r="E5120" s="456">
        <v>0</v>
      </c>
      <c r="F5120" s="456"/>
      <c r="G5120" s="456"/>
      <c r="H5120" s="456"/>
    </row>
    <row r="5121" spans="1:8">
      <c r="A5121" s="696">
        <v>6144</v>
      </c>
      <c r="B5121" s="469"/>
      <c r="C5121" s="458"/>
      <c r="D5121" s="456">
        <v>0</v>
      </c>
      <c r="E5121" s="456">
        <v>0</v>
      </c>
      <c r="F5121" s="456"/>
      <c r="G5121" s="456"/>
      <c r="H5121" s="456"/>
    </row>
    <row r="5122" spans="1:8">
      <c r="A5122" s="696">
        <v>6145</v>
      </c>
      <c r="B5122" s="469"/>
      <c r="C5122" s="458"/>
      <c r="D5122" s="456">
        <v>0</v>
      </c>
      <c r="E5122" s="456">
        <v>0</v>
      </c>
      <c r="F5122" s="456"/>
      <c r="G5122" s="456"/>
      <c r="H5122" s="456"/>
    </row>
    <row r="5123" spans="1:8">
      <c r="A5123" s="696">
        <v>6146</v>
      </c>
      <c r="B5123" s="469"/>
      <c r="C5123" s="458"/>
      <c r="D5123" s="456">
        <v>0</v>
      </c>
      <c r="E5123" s="456">
        <v>0</v>
      </c>
      <c r="F5123" s="456"/>
      <c r="G5123" s="456"/>
      <c r="H5123" s="456"/>
    </row>
    <row r="5124" spans="1:8">
      <c r="A5124" s="696">
        <v>6147</v>
      </c>
      <c r="B5124" s="469"/>
      <c r="C5124" s="458"/>
      <c r="D5124" s="456">
        <v>0</v>
      </c>
      <c r="E5124" s="456">
        <v>0</v>
      </c>
      <c r="F5124" s="456"/>
      <c r="G5124" s="456"/>
      <c r="H5124" s="456"/>
    </row>
    <row r="5125" spans="1:8">
      <c r="A5125" s="696">
        <v>6148</v>
      </c>
      <c r="B5125" s="469"/>
      <c r="C5125" s="458"/>
      <c r="D5125" s="456">
        <v>0</v>
      </c>
      <c r="E5125" s="456">
        <v>0</v>
      </c>
      <c r="F5125" s="456"/>
      <c r="G5125" s="456"/>
      <c r="H5125" s="456"/>
    </row>
    <row r="5126" spans="1:8">
      <c r="A5126" s="696">
        <v>6149</v>
      </c>
      <c r="B5126" s="469"/>
      <c r="C5126" s="458"/>
      <c r="D5126" s="456">
        <v>0</v>
      </c>
      <c r="E5126" s="456">
        <v>0</v>
      </c>
      <c r="F5126" s="456"/>
      <c r="G5126" s="456"/>
      <c r="H5126" s="456"/>
    </row>
    <row r="5127" spans="1:8">
      <c r="A5127" s="696">
        <v>6150</v>
      </c>
      <c r="B5127" s="469"/>
      <c r="C5127" s="458"/>
      <c r="D5127" s="456">
        <v>0</v>
      </c>
      <c r="E5127" s="456">
        <v>0</v>
      </c>
      <c r="F5127" s="456"/>
      <c r="G5127" s="456"/>
      <c r="H5127" s="456"/>
    </row>
    <row r="5128" spans="1:8">
      <c r="A5128" s="696">
        <v>6151</v>
      </c>
      <c r="B5128" s="469"/>
      <c r="C5128" s="458"/>
      <c r="D5128" s="456">
        <v>0</v>
      </c>
      <c r="E5128" s="456">
        <v>0</v>
      </c>
      <c r="F5128" s="456"/>
      <c r="G5128" s="456"/>
      <c r="H5128" s="456"/>
    </row>
    <row r="5129" spans="1:8">
      <c r="A5129" s="696">
        <v>6152</v>
      </c>
      <c r="B5129" s="469"/>
      <c r="C5129" s="458"/>
      <c r="D5129" s="456">
        <v>0</v>
      </c>
      <c r="E5129" s="456">
        <v>0</v>
      </c>
      <c r="F5129" s="456"/>
      <c r="G5129" s="456"/>
      <c r="H5129" s="456"/>
    </row>
    <row r="5130" spans="1:8">
      <c r="A5130" s="696">
        <v>6153</v>
      </c>
      <c r="B5130" s="469"/>
      <c r="C5130" s="458"/>
      <c r="D5130" s="456">
        <v>0</v>
      </c>
      <c r="E5130" s="456">
        <v>0</v>
      </c>
      <c r="F5130" s="456"/>
      <c r="G5130" s="456"/>
      <c r="H5130" s="456"/>
    </row>
    <row r="5131" spans="1:8">
      <c r="A5131" s="696">
        <v>6154</v>
      </c>
      <c r="B5131" s="469"/>
      <c r="C5131" s="458"/>
      <c r="D5131" s="456">
        <v>0</v>
      </c>
      <c r="E5131" s="456">
        <v>0</v>
      </c>
      <c r="F5131" s="456"/>
      <c r="G5131" s="456"/>
      <c r="H5131" s="456"/>
    </row>
    <row r="5132" spans="1:8">
      <c r="A5132" s="696">
        <v>6155</v>
      </c>
      <c r="B5132" s="469"/>
      <c r="C5132" s="458"/>
      <c r="D5132" s="456">
        <v>0</v>
      </c>
      <c r="E5132" s="456">
        <v>0</v>
      </c>
      <c r="F5132" s="456"/>
      <c r="G5132" s="456"/>
      <c r="H5132" s="456"/>
    </row>
    <row r="5133" spans="1:8">
      <c r="A5133" s="696">
        <v>6156</v>
      </c>
      <c r="B5133" s="469"/>
      <c r="C5133" s="458"/>
      <c r="D5133" s="456">
        <v>0</v>
      </c>
      <c r="E5133" s="456">
        <v>0</v>
      </c>
      <c r="F5133" s="456"/>
      <c r="G5133" s="456"/>
      <c r="H5133" s="456"/>
    </row>
    <row r="5134" spans="1:8">
      <c r="A5134" s="696">
        <v>6157</v>
      </c>
      <c r="B5134" s="469"/>
      <c r="C5134" s="458"/>
      <c r="D5134" s="456">
        <v>0</v>
      </c>
      <c r="E5134" s="456">
        <v>0</v>
      </c>
      <c r="F5134" s="456"/>
      <c r="G5134" s="456"/>
      <c r="H5134" s="456"/>
    </row>
    <row r="5135" spans="1:8">
      <c r="A5135" s="696">
        <v>6158</v>
      </c>
      <c r="B5135" s="469"/>
      <c r="C5135" s="458"/>
      <c r="D5135" s="456">
        <v>0</v>
      </c>
      <c r="E5135" s="456">
        <v>0</v>
      </c>
      <c r="F5135" s="456"/>
      <c r="G5135" s="456"/>
      <c r="H5135" s="456"/>
    </row>
    <row r="5136" spans="1:8">
      <c r="A5136" s="696">
        <v>6159</v>
      </c>
      <c r="B5136" s="469"/>
      <c r="C5136" s="458"/>
      <c r="D5136" s="456">
        <v>0</v>
      </c>
      <c r="E5136" s="456">
        <v>0</v>
      </c>
      <c r="F5136" s="456"/>
      <c r="G5136" s="456"/>
      <c r="H5136" s="456"/>
    </row>
    <row r="5137" spans="1:8">
      <c r="A5137" s="696">
        <v>6160</v>
      </c>
      <c r="B5137" s="469"/>
      <c r="C5137" s="458"/>
      <c r="D5137" s="456">
        <v>0</v>
      </c>
      <c r="E5137" s="456">
        <v>0</v>
      </c>
      <c r="F5137" s="456"/>
      <c r="G5137" s="456"/>
      <c r="H5137" s="456"/>
    </row>
    <row r="5138" spans="1:8">
      <c r="A5138" s="696">
        <v>6161</v>
      </c>
      <c r="B5138" s="469"/>
      <c r="C5138" s="458"/>
      <c r="D5138" s="456">
        <v>0</v>
      </c>
      <c r="E5138" s="456">
        <v>0</v>
      </c>
      <c r="F5138" s="456"/>
      <c r="G5138" s="456"/>
      <c r="H5138" s="456"/>
    </row>
    <row r="5139" spans="1:8">
      <c r="A5139" s="696">
        <v>6162</v>
      </c>
      <c r="B5139" s="469"/>
      <c r="C5139" s="458"/>
      <c r="D5139" s="456">
        <v>0</v>
      </c>
      <c r="E5139" s="456">
        <v>0</v>
      </c>
      <c r="F5139" s="456"/>
      <c r="G5139" s="456"/>
      <c r="H5139" s="456"/>
    </row>
    <row r="5140" spans="1:8">
      <c r="A5140" s="696">
        <v>6163</v>
      </c>
      <c r="B5140" s="469"/>
      <c r="C5140" s="458"/>
      <c r="D5140" s="456">
        <v>0</v>
      </c>
      <c r="E5140" s="456">
        <v>0</v>
      </c>
      <c r="F5140" s="456"/>
      <c r="G5140" s="456"/>
      <c r="H5140" s="456"/>
    </row>
    <row r="5141" spans="1:8">
      <c r="A5141" s="696">
        <v>6164</v>
      </c>
      <c r="B5141" s="469"/>
      <c r="C5141" s="458"/>
      <c r="D5141" s="456">
        <v>0</v>
      </c>
      <c r="E5141" s="456">
        <v>0</v>
      </c>
      <c r="F5141" s="456"/>
      <c r="G5141" s="456"/>
      <c r="H5141" s="456"/>
    </row>
    <row r="5142" spans="1:8">
      <c r="A5142" s="696">
        <v>6165</v>
      </c>
      <c r="B5142" s="469"/>
      <c r="C5142" s="458"/>
      <c r="D5142" s="456">
        <v>0</v>
      </c>
      <c r="E5142" s="456">
        <v>0</v>
      </c>
      <c r="F5142" s="456"/>
      <c r="G5142" s="456"/>
      <c r="H5142" s="456"/>
    </row>
    <row r="5143" spans="1:8">
      <c r="A5143" s="696">
        <v>6166</v>
      </c>
      <c r="B5143" s="469"/>
      <c r="C5143" s="458"/>
      <c r="D5143" s="456">
        <v>0</v>
      </c>
      <c r="E5143" s="456">
        <v>0</v>
      </c>
      <c r="F5143" s="456"/>
      <c r="G5143" s="456"/>
      <c r="H5143" s="456"/>
    </row>
    <row r="5144" spans="1:8">
      <c r="A5144" s="696">
        <v>6167</v>
      </c>
      <c r="B5144" s="469"/>
      <c r="C5144" s="458"/>
      <c r="D5144" s="456">
        <v>0</v>
      </c>
      <c r="E5144" s="456">
        <v>0</v>
      </c>
      <c r="F5144" s="456"/>
      <c r="G5144" s="456"/>
      <c r="H5144" s="456"/>
    </row>
    <row r="5145" spans="1:8">
      <c r="A5145" s="696">
        <v>6168</v>
      </c>
      <c r="B5145" s="469"/>
      <c r="C5145" s="458"/>
      <c r="D5145" s="456">
        <v>0</v>
      </c>
      <c r="E5145" s="456">
        <v>0</v>
      </c>
      <c r="F5145" s="456"/>
      <c r="G5145" s="456"/>
      <c r="H5145" s="456"/>
    </row>
    <row r="5146" spans="1:8">
      <c r="A5146" s="696">
        <v>6169</v>
      </c>
      <c r="B5146" s="469"/>
      <c r="C5146" s="458"/>
      <c r="D5146" s="456">
        <v>0</v>
      </c>
      <c r="E5146" s="456">
        <v>0</v>
      </c>
      <c r="F5146" s="456"/>
      <c r="G5146" s="456"/>
      <c r="H5146" s="456"/>
    </row>
    <row r="5147" spans="1:8">
      <c r="A5147" s="696">
        <v>6170</v>
      </c>
      <c r="B5147" s="469"/>
      <c r="C5147" s="458"/>
      <c r="D5147" s="456">
        <v>0</v>
      </c>
      <c r="E5147" s="456">
        <v>0</v>
      </c>
      <c r="F5147" s="456"/>
      <c r="G5147" s="456"/>
      <c r="H5147" s="456"/>
    </row>
    <row r="5148" spans="1:8">
      <c r="A5148" s="696">
        <v>6171</v>
      </c>
      <c r="B5148" s="469"/>
      <c r="C5148" s="458"/>
      <c r="D5148" s="456">
        <v>0</v>
      </c>
      <c r="E5148" s="456">
        <v>0</v>
      </c>
      <c r="F5148" s="456"/>
      <c r="G5148" s="456"/>
      <c r="H5148" s="456"/>
    </row>
    <row r="5149" spans="1:8">
      <c r="A5149" s="696">
        <v>6172</v>
      </c>
      <c r="B5149" s="469"/>
      <c r="C5149" s="458"/>
      <c r="D5149" s="456">
        <v>0</v>
      </c>
      <c r="E5149" s="456">
        <v>0</v>
      </c>
      <c r="F5149" s="456"/>
      <c r="G5149" s="456"/>
      <c r="H5149" s="456"/>
    </row>
    <row r="5150" spans="1:8">
      <c r="A5150" s="696">
        <v>6173</v>
      </c>
      <c r="B5150" s="469"/>
      <c r="C5150" s="458"/>
      <c r="D5150" s="456">
        <v>0</v>
      </c>
      <c r="E5150" s="456">
        <v>0</v>
      </c>
      <c r="F5150" s="456"/>
      <c r="G5150" s="456"/>
      <c r="H5150" s="456"/>
    </row>
    <row r="5151" spans="1:8">
      <c r="A5151" s="696">
        <v>6174</v>
      </c>
      <c r="B5151" s="469"/>
      <c r="C5151" s="458"/>
      <c r="D5151" s="456">
        <v>0</v>
      </c>
      <c r="E5151" s="456">
        <v>0</v>
      </c>
      <c r="F5151" s="456"/>
      <c r="G5151" s="456"/>
      <c r="H5151" s="456"/>
    </row>
    <row r="5152" spans="1:8">
      <c r="A5152" s="696">
        <v>6175</v>
      </c>
      <c r="B5152" s="469"/>
      <c r="C5152" s="458"/>
      <c r="D5152" s="456">
        <v>0</v>
      </c>
      <c r="E5152" s="456">
        <v>0</v>
      </c>
      <c r="F5152" s="456"/>
      <c r="G5152" s="456"/>
      <c r="H5152" s="456"/>
    </row>
    <row r="5153" spans="1:8">
      <c r="A5153" s="696">
        <v>6176</v>
      </c>
      <c r="B5153" s="469"/>
      <c r="C5153" s="458"/>
      <c r="D5153" s="456">
        <v>0</v>
      </c>
      <c r="E5153" s="456">
        <v>0</v>
      </c>
      <c r="F5153" s="456"/>
      <c r="G5153" s="456"/>
      <c r="H5153" s="456"/>
    </row>
    <row r="5154" spans="1:8">
      <c r="A5154" s="696">
        <v>6177</v>
      </c>
      <c r="B5154" s="469"/>
      <c r="C5154" s="458"/>
      <c r="D5154" s="456">
        <v>0</v>
      </c>
      <c r="E5154" s="456">
        <v>0</v>
      </c>
      <c r="F5154" s="456"/>
      <c r="G5154" s="456"/>
      <c r="H5154" s="456"/>
    </row>
    <row r="5155" spans="1:8">
      <c r="A5155" s="696">
        <v>6178</v>
      </c>
      <c r="B5155" s="469"/>
      <c r="C5155" s="458"/>
      <c r="D5155" s="456">
        <v>0</v>
      </c>
      <c r="E5155" s="456">
        <v>0</v>
      </c>
      <c r="F5155" s="456"/>
      <c r="G5155" s="456"/>
      <c r="H5155" s="456"/>
    </row>
    <row r="5156" spans="1:8">
      <c r="A5156" s="696">
        <v>6179</v>
      </c>
      <c r="B5156" s="469"/>
      <c r="C5156" s="458"/>
      <c r="D5156" s="456">
        <v>0</v>
      </c>
      <c r="E5156" s="456">
        <v>0</v>
      </c>
      <c r="F5156" s="456"/>
      <c r="G5156" s="456"/>
      <c r="H5156" s="456"/>
    </row>
    <row r="5157" spans="1:8">
      <c r="A5157" s="696">
        <v>6180</v>
      </c>
      <c r="B5157" s="469"/>
      <c r="C5157" s="458"/>
      <c r="D5157" s="456">
        <v>0</v>
      </c>
      <c r="E5157" s="456">
        <v>0</v>
      </c>
      <c r="F5157" s="456"/>
      <c r="G5157" s="456"/>
      <c r="H5157" s="456"/>
    </row>
    <row r="5158" spans="1:8">
      <c r="A5158" s="696">
        <v>6181</v>
      </c>
      <c r="B5158" s="469"/>
      <c r="C5158" s="458"/>
      <c r="D5158" s="456">
        <v>0</v>
      </c>
      <c r="E5158" s="456">
        <v>0</v>
      </c>
      <c r="F5158" s="456"/>
      <c r="G5158" s="456"/>
      <c r="H5158" s="456"/>
    </row>
    <row r="5159" spans="1:8">
      <c r="A5159" s="696">
        <v>6182</v>
      </c>
      <c r="B5159" s="469"/>
      <c r="C5159" s="458"/>
      <c r="D5159" s="456">
        <v>0</v>
      </c>
      <c r="E5159" s="456">
        <v>0</v>
      </c>
      <c r="F5159" s="456"/>
      <c r="G5159" s="456"/>
      <c r="H5159" s="456"/>
    </row>
    <row r="5160" spans="1:8">
      <c r="A5160" s="696">
        <v>6183</v>
      </c>
      <c r="B5160" s="469"/>
      <c r="C5160" s="458"/>
      <c r="D5160" s="456">
        <v>0</v>
      </c>
      <c r="E5160" s="456">
        <v>0</v>
      </c>
      <c r="F5160" s="456"/>
      <c r="G5160" s="456"/>
      <c r="H5160" s="456"/>
    </row>
    <row r="5161" spans="1:8">
      <c r="A5161" s="696">
        <v>6184</v>
      </c>
      <c r="B5161" s="469"/>
      <c r="C5161" s="458"/>
      <c r="D5161" s="456">
        <v>0</v>
      </c>
      <c r="E5161" s="456">
        <v>0</v>
      </c>
      <c r="F5161" s="456"/>
      <c r="G5161" s="456"/>
      <c r="H5161" s="456"/>
    </row>
    <row r="5162" spans="1:8">
      <c r="A5162" s="696">
        <v>6185</v>
      </c>
      <c r="B5162" s="469"/>
      <c r="C5162" s="458"/>
      <c r="D5162" s="456">
        <v>0</v>
      </c>
      <c r="E5162" s="456">
        <v>0</v>
      </c>
      <c r="F5162" s="456"/>
      <c r="G5162" s="456"/>
      <c r="H5162" s="456"/>
    </row>
    <row r="5163" spans="1:8">
      <c r="A5163" s="696">
        <v>6186</v>
      </c>
      <c r="B5163" s="469"/>
      <c r="C5163" s="458"/>
      <c r="D5163" s="456">
        <v>0</v>
      </c>
      <c r="E5163" s="456">
        <v>0</v>
      </c>
      <c r="F5163" s="456"/>
      <c r="G5163" s="456"/>
      <c r="H5163" s="456"/>
    </row>
    <row r="5164" spans="1:8">
      <c r="A5164" s="696">
        <v>6187</v>
      </c>
      <c r="B5164" s="469"/>
      <c r="C5164" s="458"/>
      <c r="D5164" s="456">
        <v>0</v>
      </c>
      <c r="E5164" s="456">
        <v>0</v>
      </c>
      <c r="F5164" s="456"/>
      <c r="G5164" s="456"/>
      <c r="H5164" s="456"/>
    </row>
    <row r="5165" spans="1:8">
      <c r="A5165" s="696">
        <v>6188</v>
      </c>
      <c r="B5165" s="469"/>
      <c r="C5165" s="458"/>
      <c r="D5165" s="456">
        <v>0</v>
      </c>
      <c r="E5165" s="456">
        <v>0</v>
      </c>
      <c r="F5165" s="456"/>
      <c r="G5165" s="456"/>
      <c r="H5165" s="456"/>
    </row>
    <row r="5166" spans="1:8">
      <c r="A5166" s="696">
        <v>6189</v>
      </c>
      <c r="B5166" s="469"/>
      <c r="C5166" s="458"/>
      <c r="D5166" s="456">
        <v>0</v>
      </c>
      <c r="E5166" s="456">
        <v>0</v>
      </c>
      <c r="F5166" s="456"/>
      <c r="G5166" s="456"/>
      <c r="H5166" s="456"/>
    </row>
    <row r="5167" spans="1:8">
      <c r="A5167" s="696">
        <v>6190</v>
      </c>
      <c r="B5167" s="469"/>
      <c r="C5167" s="458"/>
      <c r="D5167" s="456">
        <v>0</v>
      </c>
      <c r="E5167" s="456">
        <v>0</v>
      </c>
      <c r="F5167" s="456"/>
      <c r="G5167" s="456"/>
      <c r="H5167" s="456"/>
    </row>
    <row r="5168" spans="1:8">
      <c r="A5168" s="696">
        <v>6191</v>
      </c>
      <c r="B5168" s="469"/>
      <c r="C5168" s="458"/>
      <c r="D5168" s="456">
        <v>0</v>
      </c>
      <c r="E5168" s="456">
        <v>0</v>
      </c>
      <c r="F5168" s="456"/>
      <c r="G5168" s="456"/>
      <c r="H5168" s="456"/>
    </row>
    <row r="5169" spans="1:8">
      <c r="A5169" s="696">
        <v>6192</v>
      </c>
      <c r="B5169" s="469"/>
      <c r="C5169" s="458"/>
      <c r="D5169" s="456">
        <v>0</v>
      </c>
      <c r="E5169" s="456">
        <v>0</v>
      </c>
      <c r="F5169" s="456"/>
      <c r="G5169" s="456"/>
      <c r="H5169" s="456"/>
    </row>
    <row r="5170" spans="1:8">
      <c r="A5170" s="696">
        <v>6193</v>
      </c>
      <c r="B5170" s="469"/>
      <c r="C5170" s="458"/>
      <c r="D5170" s="456">
        <v>0</v>
      </c>
      <c r="E5170" s="456">
        <v>0</v>
      </c>
      <c r="F5170" s="456"/>
      <c r="G5170" s="456"/>
      <c r="H5170" s="456"/>
    </row>
    <row r="5171" spans="1:8">
      <c r="A5171" s="696">
        <v>6194</v>
      </c>
      <c r="B5171" s="469"/>
      <c r="C5171" s="458"/>
      <c r="D5171" s="456">
        <v>0</v>
      </c>
      <c r="E5171" s="456">
        <v>0</v>
      </c>
      <c r="F5171" s="456"/>
      <c r="G5171" s="456"/>
      <c r="H5171" s="456"/>
    </row>
    <row r="5172" spans="1:8">
      <c r="A5172" s="696">
        <v>6195</v>
      </c>
      <c r="B5172" s="469"/>
      <c r="C5172" s="458"/>
      <c r="D5172" s="456">
        <v>0</v>
      </c>
      <c r="E5172" s="456">
        <v>0</v>
      </c>
      <c r="F5172" s="456"/>
      <c r="G5172" s="456"/>
      <c r="H5172" s="456"/>
    </row>
    <row r="5173" spans="1:8">
      <c r="A5173" s="696">
        <v>6196</v>
      </c>
      <c r="B5173" s="469"/>
      <c r="C5173" s="458"/>
      <c r="D5173" s="456">
        <v>0</v>
      </c>
      <c r="E5173" s="456">
        <v>0</v>
      </c>
      <c r="F5173" s="456"/>
      <c r="G5173" s="456"/>
      <c r="H5173" s="456"/>
    </row>
    <row r="5174" spans="1:8">
      <c r="A5174" s="696">
        <v>6197</v>
      </c>
      <c r="B5174" s="469"/>
      <c r="C5174" s="458"/>
      <c r="D5174" s="456">
        <v>0</v>
      </c>
      <c r="E5174" s="456">
        <v>0</v>
      </c>
      <c r="F5174" s="456"/>
      <c r="G5174" s="456"/>
      <c r="H5174" s="456"/>
    </row>
    <row r="5175" spans="1:8">
      <c r="A5175" s="696">
        <v>6198</v>
      </c>
      <c r="B5175" s="469"/>
      <c r="C5175" s="458"/>
      <c r="D5175" s="456">
        <v>0</v>
      </c>
      <c r="E5175" s="456">
        <v>0</v>
      </c>
      <c r="F5175" s="456"/>
      <c r="G5175" s="456"/>
      <c r="H5175" s="456"/>
    </row>
    <row r="5176" spans="1:8">
      <c r="A5176" s="696">
        <v>6199</v>
      </c>
      <c r="B5176" s="469"/>
      <c r="C5176" s="458"/>
      <c r="D5176" s="456">
        <v>0</v>
      </c>
      <c r="E5176" s="456">
        <v>0</v>
      </c>
      <c r="F5176" s="456"/>
      <c r="G5176" s="456"/>
      <c r="H5176" s="456"/>
    </row>
    <row r="5177" spans="1:8">
      <c r="A5177" s="696">
        <v>6200</v>
      </c>
      <c r="B5177" s="469"/>
      <c r="C5177" s="458"/>
      <c r="D5177" s="456">
        <v>0</v>
      </c>
      <c r="E5177" s="456">
        <v>0</v>
      </c>
      <c r="F5177" s="456"/>
      <c r="G5177" s="456"/>
      <c r="H5177" s="456"/>
    </row>
    <row r="5178" spans="1:8">
      <c r="A5178" s="696">
        <v>6201</v>
      </c>
      <c r="B5178" s="469"/>
      <c r="C5178" s="458"/>
      <c r="D5178" s="456">
        <v>0</v>
      </c>
      <c r="E5178" s="456">
        <v>0</v>
      </c>
      <c r="F5178" s="456"/>
      <c r="G5178" s="456"/>
      <c r="H5178" s="456"/>
    </row>
    <row r="5179" spans="1:8">
      <c r="A5179" s="696">
        <v>6202</v>
      </c>
      <c r="B5179" s="469"/>
      <c r="C5179" s="458"/>
      <c r="D5179" s="456">
        <v>0</v>
      </c>
      <c r="E5179" s="456">
        <v>0</v>
      </c>
      <c r="F5179" s="456"/>
      <c r="G5179" s="456"/>
      <c r="H5179" s="456"/>
    </row>
    <row r="5180" spans="1:8">
      <c r="A5180" s="696">
        <v>6203</v>
      </c>
      <c r="B5180" s="469"/>
      <c r="C5180" s="458"/>
      <c r="D5180" s="456">
        <v>0</v>
      </c>
      <c r="E5180" s="456">
        <v>0</v>
      </c>
      <c r="F5180" s="456"/>
      <c r="G5180" s="456"/>
      <c r="H5180" s="456"/>
    </row>
    <row r="5181" spans="1:8">
      <c r="A5181" s="696">
        <v>6204</v>
      </c>
      <c r="B5181" s="469"/>
      <c r="C5181" s="458"/>
      <c r="D5181" s="456">
        <v>0</v>
      </c>
      <c r="E5181" s="456">
        <v>0</v>
      </c>
      <c r="F5181" s="456"/>
      <c r="G5181" s="456"/>
      <c r="H5181" s="456"/>
    </row>
    <row r="5182" spans="1:8">
      <c r="A5182" s="696">
        <v>6205</v>
      </c>
      <c r="B5182" s="469"/>
      <c r="C5182" s="458"/>
      <c r="D5182" s="456">
        <v>0</v>
      </c>
      <c r="E5182" s="456">
        <v>0</v>
      </c>
      <c r="F5182" s="456"/>
      <c r="G5182" s="456"/>
      <c r="H5182" s="456"/>
    </row>
    <row r="5183" spans="1:8">
      <c r="A5183" s="696">
        <v>6206</v>
      </c>
      <c r="B5183" s="469"/>
      <c r="C5183" s="458"/>
      <c r="D5183" s="456">
        <v>0</v>
      </c>
      <c r="E5183" s="456">
        <v>0</v>
      </c>
      <c r="F5183" s="456"/>
      <c r="G5183" s="456"/>
      <c r="H5183" s="456"/>
    </row>
    <row r="5184" spans="1:8">
      <c r="A5184" s="696">
        <v>6207</v>
      </c>
      <c r="B5184" s="469"/>
      <c r="C5184" s="458"/>
      <c r="D5184" s="456">
        <v>0</v>
      </c>
      <c r="E5184" s="456">
        <v>0</v>
      </c>
      <c r="F5184" s="456"/>
      <c r="G5184" s="456"/>
      <c r="H5184" s="456"/>
    </row>
    <row r="5185" spans="1:8">
      <c r="A5185" s="696">
        <v>6208</v>
      </c>
      <c r="B5185" s="469"/>
      <c r="C5185" s="458"/>
      <c r="D5185" s="456">
        <v>0</v>
      </c>
      <c r="E5185" s="456">
        <v>0</v>
      </c>
      <c r="F5185" s="456"/>
      <c r="G5185" s="456"/>
      <c r="H5185" s="456"/>
    </row>
    <row r="5186" spans="1:8">
      <c r="A5186" s="696">
        <v>6209</v>
      </c>
      <c r="B5186" s="469"/>
      <c r="C5186" s="458"/>
      <c r="D5186" s="456">
        <v>0</v>
      </c>
      <c r="E5186" s="456">
        <v>0</v>
      </c>
      <c r="F5186" s="456"/>
      <c r="G5186" s="456"/>
      <c r="H5186" s="456"/>
    </row>
    <row r="5187" spans="1:8">
      <c r="A5187" s="696">
        <v>6210</v>
      </c>
      <c r="B5187" s="469"/>
      <c r="C5187" s="458"/>
      <c r="D5187" s="456">
        <v>0</v>
      </c>
      <c r="E5187" s="456">
        <v>0</v>
      </c>
      <c r="F5187" s="456"/>
      <c r="G5187" s="456"/>
      <c r="H5187" s="456"/>
    </row>
    <row r="5188" spans="1:8">
      <c r="A5188" s="696">
        <v>6211</v>
      </c>
      <c r="B5188" s="469"/>
      <c r="C5188" s="458"/>
      <c r="D5188" s="456">
        <v>0</v>
      </c>
      <c r="E5188" s="456">
        <v>0</v>
      </c>
      <c r="F5188" s="456"/>
      <c r="G5188" s="456"/>
      <c r="H5188" s="456"/>
    </row>
    <row r="5189" spans="1:8">
      <c r="A5189" s="696">
        <v>6212</v>
      </c>
      <c r="B5189" s="469"/>
      <c r="C5189" s="458"/>
      <c r="D5189" s="456">
        <v>0</v>
      </c>
      <c r="E5189" s="456">
        <v>0</v>
      </c>
      <c r="F5189" s="456"/>
      <c r="G5189" s="456"/>
      <c r="H5189" s="456"/>
    </row>
    <row r="5190" spans="1:8">
      <c r="A5190" s="696">
        <v>6213</v>
      </c>
      <c r="B5190" s="469"/>
      <c r="C5190" s="458"/>
      <c r="D5190" s="456">
        <v>0</v>
      </c>
      <c r="E5190" s="456">
        <v>0</v>
      </c>
      <c r="F5190" s="456"/>
      <c r="G5190" s="456"/>
      <c r="H5190" s="456"/>
    </row>
    <row r="5191" spans="1:8">
      <c r="A5191" s="696">
        <v>6214</v>
      </c>
      <c r="B5191" s="469"/>
      <c r="C5191" s="458"/>
      <c r="D5191" s="456">
        <v>0</v>
      </c>
      <c r="E5191" s="456">
        <v>0</v>
      </c>
      <c r="F5191" s="456"/>
      <c r="G5191" s="456"/>
      <c r="H5191" s="456"/>
    </row>
    <row r="5192" spans="1:8">
      <c r="A5192" s="696">
        <v>6215</v>
      </c>
      <c r="B5192" s="469"/>
      <c r="C5192" s="458"/>
      <c r="D5192" s="456">
        <v>0</v>
      </c>
      <c r="E5192" s="456">
        <v>0</v>
      </c>
      <c r="F5192" s="456"/>
      <c r="G5192" s="456"/>
      <c r="H5192" s="456"/>
    </row>
    <row r="5193" spans="1:8">
      <c r="A5193" s="696">
        <v>6216</v>
      </c>
      <c r="B5193" s="469"/>
      <c r="C5193" s="458"/>
      <c r="D5193" s="456">
        <v>0</v>
      </c>
      <c r="E5193" s="456">
        <v>0</v>
      </c>
      <c r="F5193" s="456"/>
      <c r="G5193" s="456"/>
      <c r="H5193" s="456"/>
    </row>
    <row r="5194" spans="1:8">
      <c r="A5194" s="696">
        <v>6217</v>
      </c>
      <c r="B5194" s="469"/>
      <c r="C5194" s="458"/>
      <c r="D5194" s="456">
        <v>0</v>
      </c>
      <c r="E5194" s="456">
        <v>0</v>
      </c>
      <c r="F5194" s="456"/>
      <c r="G5194" s="456"/>
      <c r="H5194" s="456"/>
    </row>
    <row r="5195" spans="1:8">
      <c r="A5195" s="696">
        <v>6218</v>
      </c>
      <c r="B5195" s="469"/>
      <c r="C5195" s="458"/>
      <c r="D5195" s="456">
        <v>0</v>
      </c>
      <c r="E5195" s="456">
        <v>0</v>
      </c>
      <c r="F5195" s="456"/>
      <c r="G5195" s="456"/>
      <c r="H5195" s="456"/>
    </row>
    <row r="5196" spans="1:8">
      <c r="A5196" s="696">
        <v>6219</v>
      </c>
      <c r="B5196" s="469"/>
      <c r="C5196" s="458"/>
      <c r="D5196" s="456">
        <v>0</v>
      </c>
      <c r="E5196" s="456">
        <v>0</v>
      </c>
      <c r="F5196" s="456"/>
      <c r="G5196" s="456"/>
      <c r="H5196" s="456"/>
    </row>
    <row r="5197" spans="1:8">
      <c r="A5197" s="696">
        <v>6220</v>
      </c>
      <c r="B5197" s="469"/>
      <c r="C5197" s="458"/>
      <c r="D5197" s="456">
        <v>0</v>
      </c>
      <c r="E5197" s="456">
        <v>0</v>
      </c>
      <c r="F5197" s="456"/>
      <c r="G5197" s="456"/>
      <c r="H5197" s="456"/>
    </row>
    <row r="5198" spans="1:8">
      <c r="A5198" s="696">
        <v>6221</v>
      </c>
      <c r="B5198" s="469"/>
      <c r="C5198" s="458"/>
      <c r="D5198" s="456">
        <v>0</v>
      </c>
      <c r="E5198" s="456">
        <v>0</v>
      </c>
      <c r="F5198" s="456"/>
      <c r="G5198" s="456"/>
      <c r="H5198" s="456"/>
    </row>
    <row r="5199" spans="1:8">
      <c r="A5199" s="696">
        <v>6222</v>
      </c>
      <c r="B5199" s="469"/>
      <c r="C5199" s="458"/>
      <c r="D5199" s="456">
        <v>0</v>
      </c>
      <c r="E5199" s="456">
        <v>0</v>
      </c>
      <c r="F5199" s="456"/>
      <c r="G5199" s="456"/>
      <c r="H5199" s="456"/>
    </row>
    <row r="5200" spans="1:8">
      <c r="A5200" s="696">
        <v>6223</v>
      </c>
      <c r="B5200" s="469"/>
      <c r="C5200" s="458"/>
      <c r="D5200" s="456">
        <v>0</v>
      </c>
      <c r="E5200" s="456">
        <v>0</v>
      </c>
      <c r="F5200" s="456"/>
      <c r="G5200" s="456"/>
      <c r="H5200" s="456"/>
    </row>
    <row r="5201" spans="1:8">
      <c r="A5201" s="696">
        <v>6224</v>
      </c>
      <c r="B5201" s="469"/>
      <c r="C5201" s="458"/>
      <c r="D5201" s="456">
        <v>0</v>
      </c>
      <c r="E5201" s="456">
        <v>0</v>
      </c>
      <c r="F5201" s="456"/>
      <c r="G5201" s="456"/>
      <c r="H5201" s="456"/>
    </row>
    <row r="5202" spans="1:8">
      <c r="A5202" s="696">
        <v>6225</v>
      </c>
      <c r="B5202" s="469"/>
      <c r="C5202" s="458"/>
      <c r="D5202" s="456">
        <v>0</v>
      </c>
      <c r="E5202" s="456">
        <v>0</v>
      </c>
      <c r="F5202" s="456"/>
      <c r="G5202" s="456"/>
      <c r="H5202" s="456"/>
    </row>
    <row r="5203" spans="1:8">
      <c r="A5203" s="696">
        <v>6226</v>
      </c>
      <c r="B5203" s="469"/>
      <c r="C5203" s="458"/>
      <c r="D5203" s="456">
        <v>0</v>
      </c>
      <c r="E5203" s="456">
        <v>0</v>
      </c>
      <c r="F5203" s="456"/>
      <c r="G5203" s="456"/>
      <c r="H5203" s="456"/>
    </row>
    <row r="5204" spans="1:8">
      <c r="A5204" s="696">
        <v>6227</v>
      </c>
      <c r="B5204" s="469"/>
      <c r="C5204" s="458"/>
      <c r="D5204" s="456">
        <v>0</v>
      </c>
      <c r="E5204" s="456">
        <v>0</v>
      </c>
      <c r="F5204" s="456"/>
      <c r="G5204" s="456"/>
      <c r="H5204" s="456"/>
    </row>
    <row r="5205" spans="1:8">
      <c r="A5205" s="696">
        <v>6228</v>
      </c>
      <c r="B5205" s="469"/>
      <c r="C5205" s="458"/>
      <c r="D5205" s="456">
        <v>0</v>
      </c>
      <c r="E5205" s="456">
        <v>0</v>
      </c>
      <c r="F5205" s="456"/>
      <c r="G5205" s="456"/>
      <c r="H5205" s="456"/>
    </row>
    <row r="5206" spans="1:8">
      <c r="A5206" s="696">
        <v>6229</v>
      </c>
      <c r="B5206" s="469"/>
      <c r="C5206" s="458"/>
      <c r="D5206" s="456">
        <v>0</v>
      </c>
      <c r="E5206" s="456">
        <v>0</v>
      </c>
      <c r="F5206" s="456"/>
      <c r="G5206" s="456"/>
      <c r="H5206" s="456"/>
    </row>
    <row r="5207" spans="1:8">
      <c r="A5207" s="696">
        <v>6230</v>
      </c>
      <c r="B5207" s="469"/>
      <c r="C5207" s="458"/>
      <c r="D5207" s="456">
        <v>0</v>
      </c>
      <c r="E5207" s="456">
        <v>0</v>
      </c>
      <c r="F5207" s="456"/>
      <c r="G5207" s="456"/>
      <c r="H5207" s="456"/>
    </row>
    <row r="5208" spans="1:8">
      <c r="A5208" s="696">
        <v>6231</v>
      </c>
      <c r="B5208" s="469"/>
      <c r="C5208" s="458"/>
      <c r="D5208" s="456">
        <v>0</v>
      </c>
      <c r="E5208" s="456">
        <v>0</v>
      </c>
      <c r="F5208" s="456"/>
      <c r="G5208" s="456"/>
      <c r="H5208" s="456"/>
    </row>
    <row r="5209" spans="1:8">
      <c r="A5209" s="696">
        <v>6232</v>
      </c>
      <c r="B5209" s="469"/>
      <c r="C5209" s="458"/>
      <c r="D5209" s="456">
        <v>0</v>
      </c>
      <c r="E5209" s="456">
        <v>0</v>
      </c>
      <c r="F5209" s="456"/>
      <c r="G5209" s="456"/>
      <c r="H5209" s="456"/>
    </row>
    <row r="5210" spans="1:8">
      <c r="A5210" s="696">
        <v>6233</v>
      </c>
      <c r="B5210" s="469"/>
      <c r="C5210" s="458"/>
      <c r="D5210" s="456">
        <v>0</v>
      </c>
      <c r="E5210" s="456">
        <v>0</v>
      </c>
      <c r="F5210" s="456"/>
      <c r="G5210" s="456"/>
      <c r="H5210" s="456"/>
    </row>
    <row r="5211" spans="1:8">
      <c r="A5211" s="696">
        <v>6234</v>
      </c>
      <c r="B5211" s="469"/>
      <c r="C5211" s="458"/>
      <c r="D5211" s="456">
        <v>0</v>
      </c>
      <c r="E5211" s="456">
        <v>0</v>
      </c>
      <c r="F5211" s="456"/>
      <c r="G5211" s="456"/>
      <c r="H5211" s="456"/>
    </row>
    <row r="5212" spans="1:8">
      <c r="A5212" s="696">
        <v>6235</v>
      </c>
      <c r="B5212" s="469"/>
      <c r="C5212" s="458"/>
      <c r="D5212" s="456">
        <v>0</v>
      </c>
      <c r="E5212" s="456">
        <v>0</v>
      </c>
      <c r="F5212" s="456"/>
      <c r="G5212" s="456"/>
      <c r="H5212" s="456"/>
    </row>
    <row r="5213" spans="1:8">
      <c r="A5213" s="696">
        <v>6236</v>
      </c>
      <c r="B5213" s="469"/>
      <c r="C5213" s="458"/>
      <c r="D5213" s="456">
        <v>0</v>
      </c>
      <c r="E5213" s="456">
        <v>0</v>
      </c>
      <c r="F5213" s="456"/>
      <c r="G5213" s="456"/>
      <c r="H5213" s="456"/>
    </row>
    <row r="5214" spans="1:8">
      <c r="A5214" s="696">
        <v>6237</v>
      </c>
      <c r="B5214" s="469"/>
      <c r="C5214" s="458"/>
      <c r="D5214" s="456">
        <v>0</v>
      </c>
      <c r="E5214" s="456">
        <v>0</v>
      </c>
      <c r="F5214" s="456"/>
      <c r="G5214" s="456"/>
      <c r="H5214" s="456"/>
    </row>
    <row r="5215" spans="1:8">
      <c r="A5215" s="696">
        <v>6238</v>
      </c>
      <c r="B5215" s="469"/>
      <c r="C5215" s="458"/>
      <c r="D5215" s="456">
        <v>0</v>
      </c>
      <c r="E5215" s="456">
        <v>0</v>
      </c>
      <c r="F5215" s="456"/>
      <c r="G5215" s="456"/>
      <c r="H5215" s="456"/>
    </row>
    <row r="5216" spans="1:8">
      <c r="A5216" s="696">
        <v>6239</v>
      </c>
      <c r="B5216" s="469"/>
      <c r="C5216" s="458"/>
      <c r="D5216" s="456">
        <v>0</v>
      </c>
      <c r="E5216" s="456">
        <v>0</v>
      </c>
      <c r="F5216" s="456"/>
      <c r="G5216" s="456"/>
      <c r="H5216" s="456"/>
    </row>
    <row r="5217" spans="1:8">
      <c r="A5217" s="696">
        <v>6240</v>
      </c>
      <c r="B5217" s="469"/>
      <c r="C5217" s="458"/>
      <c r="D5217" s="456">
        <v>0</v>
      </c>
      <c r="E5217" s="456">
        <v>0</v>
      </c>
      <c r="F5217" s="456"/>
      <c r="G5217" s="456"/>
      <c r="H5217" s="456"/>
    </row>
    <row r="5218" spans="1:8">
      <c r="A5218" s="696">
        <v>6241</v>
      </c>
      <c r="B5218" s="469"/>
      <c r="C5218" s="458"/>
      <c r="D5218" s="456">
        <v>0</v>
      </c>
      <c r="E5218" s="456">
        <v>0</v>
      </c>
      <c r="F5218" s="456"/>
      <c r="G5218" s="456"/>
      <c r="H5218" s="456"/>
    </row>
    <row r="5219" spans="1:8">
      <c r="A5219" s="696">
        <v>6242</v>
      </c>
      <c r="B5219" s="469"/>
      <c r="C5219" s="458"/>
      <c r="D5219" s="456">
        <v>0</v>
      </c>
      <c r="E5219" s="456">
        <v>0</v>
      </c>
      <c r="F5219" s="456"/>
      <c r="G5219" s="456"/>
      <c r="H5219" s="456"/>
    </row>
    <row r="5220" spans="1:8">
      <c r="A5220" s="696">
        <v>6243</v>
      </c>
      <c r="B5220" s="469"/>
      <c r="C5220" s="458"/>
      <c r="D5220" s="456">
        <v>0</v>
      </c>
      <c r="E5220" s="456">
        <v>0</v>
      </c>
      <c r="F5220" s="456"/>
      <c r="G5220" s="456"/>
      <c r="H5220" s="456"/>
    </row>
    <row r="5221" spans="1:8">
      <c r="A5221" s="696">
        <v>6244</v>
      </c>
      <c r="B5221" s="469"/>
      <c r="C5221" s="458"/>
      <c r="D5221" s="456">
        <v>0</v>
      </c>
      <c r="E5221" s="456">
        <v>0</v>
      </c>
      <c r="F5221" s="456"/>
      <c r="G5221" s="456"/>
      <c r="H5221" s="456"/>
    </row>
    <row r="5222" spans="1:8">
      <c r="A5222" s="696">
        <v>6245</v>
      </c>
      <c r="B5222" s="469"/>
      <c r="C5222" s="458"/>
      <c r="D5222" s="456">
        <v>0</v>
      </c>
      <c r="E5222" s="456">
        <v>0</v>
      </c>
      <c r="F5222" s="456"/>
      <c r="G5222" s="456"/>
      <c r="H5222" s="456"/>
    </row>
    <row r="5223" spans="1:8">
      <c r="A5223" s="696">
        <v>6246</v>
      </c>
      <c r="B5223" s="469"/>
      <c r="C5223" s="458"/>
      <c r="D5223" s="456">
        <v>0</v>
      </c>
      <c r="E5223" s="456">
        <v>0</v>
      </c>
      <c r="F5223" s="456"/>
      <c r="G5223" s="456"/>
      <c r="H5223" s="456"/>
    </row>
    <row r="5224" spans="1:8">
      <c r="A5224" s="696">
        <v>6247</v>
      </c>
      <c r="B5224" s="469"/>
      <c r="C5224" s="458"/>
      <c r="D5224" s="456">
        <v>0</v>
      </c>
      <c r="E5224" s="456">
        <v>0</v>
      </c>
      <c r="F5224" s="456"/>
      <c r="G5224" s="456"/>
      <c r="H5224" s="456"/>
    </row>
    <row r="5225" spans="1:8">
      <c r="A5225" s="696">
        <v>6248</v>
      </c>
      <c r="B5225" s="469"/>
      <c r="C5225" s="458"/>
      <c r="D5225" s="456">
        <v>0</v>
      </c>
      <c r="E5225" s="456">
        <v>0</v>
      </c>
      <c r="F5225" s="456"/>
      <c r="G5225" s="456"/>
      <c r="H5225" s="456"/>
    </row>
    <row r="5226" spans="1:8">
      <c r="A5226" s="696">
        <v>6249</v>
      </c>
      <c r="B5226" s="469"/>
      <c r="C5226" s="458"/>
      <c r="D5226" s="456">
        <v>0</v>
      </c>
      <c r="E5226" s="456">
        <v>0</v>
      </c>
      <c r="F5226" s="456"/>
      <c r="G5226" s="456"/>
      <c r="H5226" s="456"/>
    </row>
    <row r="5227" spans="1:8">
      <c r="A5227" s="696">
        <v>6250</v>
      </c>
      <c r="B5227" s="469"/>
      <c r="C5227" s="458"/>
      <c r="D5227" s="456">
        <v>0</v>
      </c>
      <c r="E5227" s="456">
        <v>0</v>
      </c>
      <c r="F5227" s="456"/>
      <c r="G5227" s="456"/>
      <c r="H5227" s="456"/>
    </row>
    <row r="5228" spans="1:8">
      <c r="A5228" s="696">
        <v>6251</v>
      </c>
      <c r="B5228" s="469"/>
      <c r="C5228" s="458"/>
      <c r="D5228" s="456">
        <v>0</v>
      </c>
      <c r="E5228" s="456">
        <v>0</v>
      </c>
      <c r="F5228" s="456"/>
      <c r="G5228" s="456"/>
      <c r="H5228" s="456"/>
    </row>
    <row r="5229" spans="1:8">
      <c r="A5229" s="696">
        <v>6252</v>
      </c>
      <c r="B5229" s="469"/>
      <c r="C5229" s="458"/>
      <c r="D5229" s="456">
        <v>0</v>
      </c>
      <c r="E5229" s="456">
        <v>0</v>
      </c>
      <c r="F5229" s="456"/>
      <c r="G5229" s="456"/>
      <c r="H5229" s="456"/>
    </row>
    <row r="5230" spans="1:8">
      <c r="A5230" s="696">
        <v>6253</v>
      </c>
      <c r="B5230" s="469"/>
      <c r="C5230" s="458"/>
      <c r="D5230" s="456">
        <v>0</v>
      </c>
      <c r="E5230" s="456">
        <v>0</v>
      </c>
      <c r="F5230" s="456"/>
      <c r="G5230" s="456"/>
      <c r="H5230" s="456"/>
    </row>
    <row r="5231" spans="1:8">
      <c r="A5231" s="696">
        <v>6254</v>
      </c>
      <c r="B5231" s="469"/>
      <c r="C5231" s="458"/>
      <c r="D5231" s="456">
        <v>0</v>
      </c>
      <c r="E5231" s="456">
        <v>0</v>
      </c>
      <c r="F5231" s="456"/>
      <c r="G5231" s="456"/>
      <c r="H5231" s="456"/>
    </row>
    <row r="5232" spans="1:8">
      <c r="A5232" s="696">
        <v>6255</v>
      </c>
      <c r="B5232" s="469"/>
      <c r="C5232" s="458"/>
      <c r="D5232" s="456">
        <v>0</v>
      </c>
      <c r="E5232" s="456">
        <v>0</v>
      </c>
      <c r="F5232" s="456"/>
      <c r="G5232" s="456"/>
      <c r="H5232" s="456"/>
    </row>
    <row r="5233" spans="1:8">
      <c r="A5233" s="696">
        <v>6256</v>
      </c>
      <c r="B5233" s="469"/>
      <c r="C5233" s="458"/>
      <c r="D5233" s="456">
        <v>0</v>
      </c>
      <c r="E5233" s="456">
        <v>0</v>
      </c>
      <c r="F5233" s="456"/>
      <c r="G5233" s="456"/>
      <c r="H5233" s="456"/>
    </row>
    <row r="5234" spans="1:8">
      <c r="A5234" s="696">
        <v>6257</v>
      </c>
      <c r="B5234" s="469"/>
      <c r="C5234" s="458"/>
      <c r="D5234" s="456">
        <v>0</v>
      </c>
      <c r="E5234" s="456">
        <v>0</v>
      </c>
      <c r="F5234" s="456"/>
      <c r="G5234" s="456"/>
      <c r="H5234" s="456"/>
    </row>
    <row r="5235" spans="1:8">
      <c r="A5235" s="696">
        <v>6258</v>
      </c>
      <c r="B5235" s="469"/>
      <c r="C5235" s="458"/>
      <c r="D5235" s="456">
        <v>0</v>
      </c>
      <c r="E5235" s="456">
        <v>0</v>
      </c>
      <c r="F5235" s="456"/>
      <c r="G5235" s="456"/>
      <c r="H5235" s="456"/>
    </row>
    <row r="5236" spans="1:8">
      <c r="A5236" s="696">
        <v>6259</v>
      </c>
      <c r="B5236" s="469"/>
      <c r="C5236" s="458"/>
      <c r="D5236" s="456">
        <v>0</v>
      </c>
      <c r="E5236" s="456">
        <v>0</v>
      </c>
      <c r="F5236" s="456"/>
      <c r="G5236" s="456"/>
      <c r="H5236" s="456"/>
    </row>
    <row r="5237" spans="1:8">
      <c r="A5237" s="696">
        <v>6260</v>
      </c>
      <c r="B5237" s="469"/>
      <c r="C5237" s="458"/>
      <c r="D5237" s="456">
        <v>0</v>
      </c>
      <c r="E5237" s="456">
        <v>0</v>
      </c>
      <c r="F5237" s="456"/>
      <c r="G5237" s="456"/>
      <c r="H5237" s="456"/>
    </row>
    <row r="5238" spans="1:8">
      <c r="A5238" s="696">
        <v>6261</v>
      </c>
      <c r="B5238" s="469"/>
      <c r="C5238" s="458"/>
      <c r="D5238" s="456">
        <v>0</v>
      </c>
      <c r="E5238" s="456">
        <v>0</v>
      </c>
      <c r="F5238" s="456"/>
      <c r="G5238" s="456"/>
      <c r="H5238" s="456"/>
    </row>
    <row r="5239" spans="1:8">
      <c r="A5239" s="696">
        <v>6262</v>
      </c>
      <c r="B5239" s="469"/>
      <c r="C5239" s="458"/>
      <c r="D5239" s="456">
        <v>0</v>
      </c>
      <c r="E5239" s="456">
        <v>0</v>
      </c>
      <c r="F5239" s="456"/>
      <c r="G5239" s="456"/>
      <c r="H5239" s="456"/>
    </row>
    <row r="5240" spans="1:8">
      <c r="A5240" s="696">
        <v>6263</v>
      </c>
      <c r="B5240" s="469"/>
      <c r="C5240" s="458"/>
      <c r="D5240" s="456">
        <v>0</v>
      </c>
      <c r="E5240" s="456">
        <v>0</v>
      </c>
      <c r="F5240" s="456"/>
      <c r="G5240" s="456"/>
      <c r="H5240" s="456"/>
    </row>
    <row r="5241" spans="1:8">
      <c r="A5241" s="696">
        <v>6264</v>
      </c>
      <c r="B5241" s="469"/>
      <c r="C5241" s="458"/>
      <c r="D5241" s="456">
        <v>0</v>
      </c>
      <c r="E5241" s="456">
        <v>0</v>
      </c>
      <c r="F5241" s="456"/>
      <c r="G5241" s="456"/>
      <c r="H5241" s="456"/>
    </row>
    <row r="5242" spans="1:8">
      <c r="A5242" s="696">
        <v>6265</v>
      </c>
      <c r="B5242" s="469"/>
      <c r="C5242" s="458"/>
      <c r="D5242" s="456">
        <v>0</v>
      </c>
      <c r="E5242" s="456">
        <v>0</v>
      </c>
      <c r="F5242" s="456"/>
      <c r="G5242" s="456"/>
      <c r="H5242" s="456"/>
    </row>
    <row r="5243" spans="1:8">
      <c r="A5243" s="696">
        <v>6266</v>
      </c>
      <c r="B5243" s="469"/>
      <c r="C5243" s="458"/>
      <c r="D5243" s="456">
        <v>0</v>
      </c>
      <c r="E5243" s="456">
        <v>0</v>
      </c>
      <c r="F5243" s="456"/>
      <c r="G5243" s="456"/>
      <c r="H5243" s="456"/>
    </row>
    <row r="5244" spans="1:8">
      <c r="A5244" s="696">
        <v>6267</v>
      </c>
      <c r="B5244" s="469"/>
      <c r="C5244" s="458"/>
      <c r="D5244" s="456">
        <v>0</v>
      </c>
      <c r="E5244" s="456">
        <v>0</v>
      </c>
      <c r="F5244" s="456"/>
      <c r="G5244" s="456"/>
      <c r="H5244" s="456"/>
    </row>
    <row r="5245" spans="1:8">
      <c r="A5245" s="696">
        <v>6268</v>
      </c>
      <c r="B5245" s="469"/>
      <c r="C5245" s="458"/>
      <c r="D5245" s="456">
        <v>0</v>
      </c>
      <c r="E5245" s="456">
        <v>0</v>
      </c>
      <c r="F5245" s="456"/>
      <c r="G5245" s="456"/>
      <c r="H5245" s="456"/>
    </row>
    <row r="5246" spans="1:8">
      <c r="A5246" s="696">
        <v>6269</v>
      </c>
      <c r="B5246" s="469"/>
      <c r="C5246" s="458"/>
      <c r="D5246" s="456">
        <v>0</v>
      </c>
      <c r="E5246" s="456">
        <v>0</v>
      </c>
      <c r="F5246" s="456"/>
      <c r="G5246" s="456"/>
      <c r="H5246" s="456"/>
    </row>
    <row r="5247" spans="1:8">
      <c r="A5247" s="696">
        <v>6270</v>
      </c>
      <c r="B5247" s="469"/>
      <c r="C5247" s="458"/>
      <c r="D5247" s="456">
        <v>0</v>
      </c>
      <c r="E5247" s="456">
        <v>0</v>
      </c>
      <c r="F5247" s="456"/>
      <c r="G5247" s="456"/>
      <c r="H5247" s="456"/>
    </row>
    <row r="5248" spans="1:8">
      <c r="A5248" s="696">
        <v>6271</v>
      </c>
      <c r="B5248" s="469"/>
      <c r="C5248" s="458"/>
      <c r="D5248" s="456">
        <v>0</v>
      </c>
      <c r="E5248" s="456">
        <v>0</v>
      </c>
      <c r="F5248" s="456"/>
      <c r="G5248" s="456"/>
      <c r="H5248" s="456"/>
    </row>
    <row r="5249" spans="1:8">
      <c r="A5249" s="696">
        <v>6272</v>
      </c>
      <c r="B5249" s="469"/>
      <c r="C5249" s="458"/>
      <c r="D5249" s="456">
        <v>0</v>
      </c>
      <c r="E5249" s="456">
        <v>0</v>
      </c>
      <c r="F5249" s="456"/>
      <c r="G5249" s="456"/>
      <c r="H5249" s="456"/>
    </row>
    <row r="5250" spans="1:8">
      <c r="A5250" s="696">
        <v>6273</v>
      </c>
      <c r="B5250" s="469"/>
      <c r="C5250" s="458"/>
      <c r="D5250" s="456">
        <v>0</v>
      </c>
      <c r="E5250" s="456">
        <v>0</v>
      </c>
      <c r="F5250" s="456"/>
      <c r="G5250" s="456"/>
      <c r="H5250" s="456"/>
    </row>
    <row r="5251" spans="1:8">
      <c r="A5251" s="696">
        <v>6274</v>
      </c>
      <c r="B5251" s="469"/>
      <c r="C5251" s="458"/>
      <c r="D5251" s="456">
        <v>0</v>
      </c>
      <c r="E5251" s="456">
        <v>0</v>
      </c>
      <c r="F5251" s="456"/>
      <c r="G5251" s="456"/>
      <c r="H5251" s="456"/>
    </row>
    <row r="5252" spans="1:8">
      <c r="A5252" s="696">
        <v>6275</v>
      </c>
      <c r="B5252" s="469"/>
      <c r="C5252" s="458"/>
      <c r="D5252" s="456">
        <v>0</v>
      </c>
      <c r="E5252" s="456">
        <v>0</v>
      </c>
      <c r="F5252" s="456"/>
      <c r="G5252" s="456"/>
      <c r="H5252" s="456"/>
    </row>
    <row r="5253" spans="1:8">
      <c r="A5253" s="696">
        <v>6276</v>
      </c>
      <c r="B5253" s="469"/>
      <c r="C5253" s="458"/>
      <c r="D5253" s="456">
        <v>0</v>
      </c>
      <c r="E5253" s="456">
        <v>0</v>
      </c>
      <c r="F5253" s="456"/>
      <c r="G5253" s="456"/>
      <c r="H5253" s="456"/>
    </row>
    <row r="5254" spans="1:8">
      <c r="A5254" s="696">
        <v>6277</v>
      </c>
      <c r="B5254" s="469"/>
      <c r="C5254" s="458"/>
      <c r="D5254" s="456">
        <v>0</v>
      </c>
      <c r="E5254" s="456">
        <v>0</v>
      </c>
      <c r="F5254" s="456"/>
      <c r="G5254" s="456"/>
      <c r="H5254" s="456"/>
    </row>
    <row r="5255" spans="1:8">
      <c r="A5255" s="696">
        <v>6278</v>
      </c>
      <c r="B5255" s="469"/>
      <c r="C5255" s="458"/>
      <c r="D5255" s="456">
        <v>0</v>
      </c>
      <c r="E5255" s="456">
        <v>0</v>
      </c>
      <c r="F5255" s="456"/>
      <c r="G5255" s="456"/>
      <c r="H5255" s="456"/>
    </row>
    <row r="5256" spans="1:8">
      <c r="A5256" s="696">
        <v>6279</v>
      </c>
      <c r="B5256" s="469"/>
      <c r="C5256" s="458"/>
      <c r="D5256" s="456">
        <v>0</v>
      </c>
      <c r="E5256" s="456">
        <v>0</v>
      </c>
      <c r="F5256" s="456"/>
      <c r="G5256" s="456"/>
      <c r="H5256" s="456"/>
    </row>
    <row r="5257" spans="1:8">
      <c r="A5257" s="696">
        <v>6280</v>
      </c>
      <c r="B5257" s="469"/>
      <c r="C5257" s="458"/>
      <c r="D5257" s="456">
        <v>0</v>
      </c>
      <c r="E5257" s="456">
        <v>0</v>
      </c>
      <c r="F5257" s="456"/>
      <c r="G5257" s="456"/>
      <c r="H5257" s="456"/>
    </row>
    <row r="5258" spans="1:8">
      <c r="A5258" s="696">
        <v>6281</v>
      </c>
      <c r="B5258" s="469"/>
      <c r="C5258" s="458"/>
      <c r="D5258" s="456">
        <v>0</v>
      </c>
      <c r="E5258" s="456">
        <v>0</v>
      </c>
      <c r="F5258" s="456"/>
      <c r="G5258" s="456"/>
      <c r="H5258" s="456"/>
    </row>
    <row r="5259" spans="1:8">
      <c r="A5259" s="696">
        <v>6282</v>
      </c>
      <c r="B5259" s="469"/>
      <c r="C5259" s="458"/>
      <c r="D5259" s="456">
        <v>0</v>
      </c>
      <c r="E5259" s="456">
        <v>0</v>
      </c>
      <c r="F5259" s="456"/>
      <c r="G5259" s="456"/>
      <c r="H5259" s="456"/>
    </row>
    <row r="5260" spans="1:8">
      <c r="A5260" s="696">
        <v>6283</v>
      </c>
      <c r="B5260" s="469"/>
      <c r="C5260" s="458"/>
      <c r="D5260" s="456">
        <v>0</v>
      </c>
      <c r="E5260" s="456">
        <v>0</v>
      </c>
      <c r="F5260" s="456"/>
      <c r="G5260" s="456"/>
      <c r="H5260" s="456"/>
    </row>
    <row r="5261" spans="1:8">
      <c r="A5261" s="696">
        <v>6284</v>
      </c>
      <c r="B5261" s="469"/>
      <c r="C5261" s="458"/>
      <c r="D5261" s="456">
        <v>0</v>
      </c>
      <c r="E5261" s="456">
        <v>0</v>
      </c>
      <c r="F5261" s="456"/>
      <c r="G5261" s="456"/>
      <c r="H5261" s="456"/>
    </row>
    <row r="5262" spans="1:8">
      <c r="A5262" s="696">
        <v>6285</v>
      </c>
      <c r="B5262" s="469"/>
      <c r="C5262" s="458"/>
      <c r="D5262" s="456">
        <v>0</v>
      </c>
      <c r="E5262" s="456">
        <v>0</v>
      </c>
      <c r="F5262" s="456"/>
      <c r="G5262" s="456"/>
      <c r="H5262" s="456"/>
    </row>
    <row r="5263" spans="1:8">
      <c r="A5263" s="696">
        <v>6286</v>
      </c>
      <c r="B5263" s="469"/>
      <c r="C5263" s="458"/>
      <c r="D5263" s="456">
        <v>0</v>
      </c>
      <c r="E5263" s="456">
        <v>0</v>
      </c>
      <c r="F5263" s="456"/>
      <c r="G5263" s="456"/>
      <c r="H5263" s="456"/>
    </row>
    <row r="5264" spans="1:8">
      <c r="A5264" s="696">
        <v>6287</v>
      </c>
      <c r="B5264" s="469"/>
      <c r="C5264" s="458"/>
      <c r="D5264" s="456">
        <v>0</v>
      </c>
      <c r="E5264" s="456">
        <v>0</v>
      </c>
      <c r="F5264" s="456"/>
      <c r="G5264" s="456"/>
      <c r="H5264" s="456"/>
    </row>
    <row r="5265" spans="1:8">
      <c r="A5265" s="696">
        <v>6288</v>
      </c>
      <c r="B5265" s="469"/>
      <c r="C5265" s="458"/>
      <c r="D5265" s="456">
        <v>0</v>
      </c>
      <c r="E5265" s="456">
        <v>0</v>
      </c>
      <c r="F5265" s="456"/>
      <c r="G5265" s="456"/>
      <c r="H5265" s="456"/>
    </row>
    <row r="5266" spans="1:8">
      <c r="A5266" s="696">
        <v>6289</v>
      </c>
      <c r="B5266" s="469"/>
      <c r="C5266" s="458"/>
      <c r="D5266" s="456">
        <v>0</v>
      </c>
      <c r="E5266" s="456">
        <v>0</v>
      </c>
      <c r="F5266" s="456"/>
      <c r="G5266" s="456"/>
      <c r="H5266" s="456"/>
    </row>
    <row r="5267" spans="1:8">
      <c r="A5267" s="696">
        <v>6290</v>
      </c>
      <c r="B5267" s="469"/>
      <c r="C5267" s="458"/>
      <c r="D5267" s="456">
        <v>0</v>
      </c>
      <c r="E5267" s="456">
        <v>0</v>
      </c>
      <c r="F5267" s="456"/>
      <c r="G5267" s="456"/>
      <c r="H5267" s="456"/>
    </row>
    <row r="5268" spans="1:8">
      <c r="A5268" s="696">
        <v>6291</v>
      </c>
      <c r="B5268" s="469"/>
      <c r="C5268" s="458"/>
      <c r="D5268" s="456">
        <v>0</v>
      </c>
      <c r="E5268" s="456">
        <v>0</v>
      </c>
      <c r="F5268" s="456"/>
      <c r="G5268" s="456"/>
      <c r="H5268" s="456"/>
    </row>
    <row r="5269" spans="1:8">
      <c r="A5269" s="696">
        <v>6292</v>
      </c>
      <c r="B5269" s="469"/>
      <c r="C5269" s="458"/>
      <c r="D5269" s="456">
        <v>0</v>
      </c>
      <c r="E5269" s="456">
        <v>0</v>
      </c>
      <c r="F5269" s="456"/>
      <c r="G5269" s="456"/>
      <c r="H5269" s="456"/>
    </row>
    <row r="5270" spans="1:8">
      <c r="A5270" s="696">
        <v>6293</v>
      </c>
      <c r="B5270" s="469"/>
      <c r="C5270" s="458"/>
      <c r="D5270" s="456">
        <v>0</v>
      </c>
      <c r="E5270" s="456">
        <v>0</v>
      </c>
      <c r="F5270" s="456"/>
      <c r="G5270" s="456"/>
      <c r="H5270" s="456"/>
    </row>
    <row r="5271" spans="1:8">
      <c r="A5271" s="696">
        <v>6294</v>
      </c>
      <c r="B5271" s="469"/>
      <c r="C5271" s="458"/>
      <c r="D5271" s="456">
        <v>0</v>
      </c>
      <c r="E5271" s="456">
        <v>0</v>
      </c>
      <c r="F5271" s="456"/>
      <c r="G5271" s="456"/>
      <c r="H5271" s="456"/>
    </row>
    <row r="5272" spans="1:8">
      <c r="A5272" s="696">
        <v>6295</v>
      </c>
      <c r="B5272" s="469"/>
      <c r="C5272" s="458"/>
      <c r="D5272" s="456">
        <v>0</v>
      </c>
      <c r="E5272" s="456">
        <v>0</v>
      </c>
      <c r="F5272" s="456"/>
      <c r="G5272" s="456"/>
      <c r="H5272" s="456"/>
    </row>
    <row r="5273" spans="1:8">
      <c r="A5273" s="696">
        <v>6296</v>
      </c>
      <c r="B5273" s="469"/>
      <c r="C5273" s="458"/>
      <c r="D5273" s="456">
        <v>0</v>
      </c>
      <c r="E5273" s="456">
        <v>0</v>
      </c>
      <c r="F5273" s="456"/>
      <c r="G5273" s="456"/>
      <c r="H5273" s="456"/>
    </row>
    <row r="5274" spans="1:8">
      <c r="A5274" s="696">
        <v>6297</v>
      </c>
      <c r="B5274" s="469"/>
      <c r="C5274" s="458"/>
      <c r="D5274" s="456">
        <v>0</v>
      </c>
      <c r="E5274" s="456">
        <v>0</v>
      </c>
      <c r="F5274" s="456"/>
      <c r="G5274" s="456"/>
      <c r="H5274" s="456"/>
    </row>
    <row r="5275" spans="1:8">
      <c r="A5275" s="696">
        <v>6298</v>
      </c>
      <c r="B5275" s="469"/>
      <c r="C5275" s="458"/>
      <c r="D5275" s="456">
        <v>0</v>
      </c>
      <c r="E5275" s="456">
        <v>0</v>
      </c>
      <c r="F5275" s="456"/>
      <c r="G5275" s="456"/>
      <c r="H5275" s="456"/>
    </row>
    <row r="5276" spans="1:8">
      <c r="A5276" s="696">
        <v>6299</v>
      </c>
      <c r="B5276" s="469"/>
      <c r="C5276" s="458"/>
      <c r="D5276" s="456">
        <v>0</v>
      </c>
      <c r="E5276" s="456">
        <v>0</v>
      </c>
      <c r="F5276" s="456"/>
      <c r="G5276" s="456"/>
      <c r="H5276" s="456"/>
    </row>
    <row r="5277" spans="1:8">
      <c r="A5277" s="696">
        <v>6300</v>
      </c>
      <c r="B5277" s="469"/>
      <c r="C5277" s="458"/>
      <c r="D5277" s="456">
        <v>0</v>
      </c>
      <c r="E5277" s="456">
        <v>0</v>
      </c>
      <c r="F5277" s="456"/>
      <c r="G5277" s="456"/>
      <c r="H5277" s="456"/>
    </row>
    <row r="5278" spans="1:8">
      <c r="A5278" s="696">
        <v>6301</v>
      </c>
      <c r="B5278" s="469"/>
      <c r="C5278" s="458"/>
      <c r="D5278" s="456">
        <v>0</v>
      </c>
      <c r="E5278" s="456">
        <v>0</v>
      </c>
      <c r="F5278" s="456"/>
      <c r="G5278" s="456"/>
      <c r="H5278" s="456"/>
    </row>
    <row r="5279" spans="1:8">
      <c r="A5279" s="696">
        <v>6302</v>
      </c>
      <c r="B5279" s="469"/>
      <c r="C5279" s="458"/>
      <c r="D5279" s="456">
        <v>0</v>
      </c>
      <c r="E5279" s="456">
        <v>0</v>
      </c>
      <c r="F5279" s="456"/>
      <c r="G5279" s="456"/>
      <c r="H5279" s="456"/>
    </row>
    <row r="5280" spans="1:8">
      <c r="A5280" s="696">
        <v>6303</v>
      </c>
      <c r="B5280" s="469"/>
      <c r="C5280" s="458"/>
      <c r="D5280" s="456">
        <v>0</v>
      </c>
      <c r="E5280" s="456">
        <v>0</v>
      </c>
      <c r="F5280" s="456"/>
      <c r="G5280" s="456"/>
      <c r="H5280" s="456"/>
    </row>
    <row r="5281" spans="1:8">
      <c r="A5281" s="696">
        <v>6304</v>
      </c>
      <c r="B5281" s="469"/>
      <c r="C5281" s="458"/>
      <c r="D5281" s="456">
        <v>0</v>
      </c>
      <c r="E5281" s="456">
        <v>0</v>
      </c>
      <c r="F5281" s="456"/>
      <c r="G5281" s="456"/>
      <c r="H5281" s="456"/>
    </row>
    <row r="5282" spans="1:8">
      <c r="A5282" s="696">
        <v>6305</v>
      </c>
      <c r="B5282" s="469"/>
      <c r="C5282" s="458"/>
      <c r="D5282" s="456">
        <v>0</v>
      </c>
      <c r="E5282" s="456">
        <v>0</v>
      </c>
      <c r="F5282" s="456"/>
      <c r="G5282" s="456"/>
      <c r="H5282" s="456"/>
    </row>
    <row r="5283" spans="1:8">
      <c r="A5283" s="696">
        <v>6306</v>
      </c>
      <c r="B5283" s="469"/>
      <c r="C5283" s="458"/>
      <c r="D5283" s="456">
        <v>0</v>
      </c>
      <c r="E5283" s="456">
        <v>0</v>
      </c>
      <c r="F5283" s="456"/>
      <c r="G5283" s="456"/>
      <c r="H5283" s="456"/>
    </row>
    <row r="5284" spans="1:8">
      <c r="A5284" s="696">
        <v>6307</v>
      </c>
      <c r="B5284" s="469"/>
      <c r="C5284" s="458"/>
      <c r="D5284" s="456">
        <v>0</v>
      </c>
      <c r="E5284" s="456">
        <v>0</v>
      </c>
      <c r="F5284" s="456"/>
      <c r="G5284" s="456"/>
      <c r="H5284" s="456"/>
    </row>
    <row r="5285" spans="1:8">
      <c r="A5285" s="696">
        <v>6308</v>
      </c>
      <c r="B5285" s="469"/>
      <c r="C5285" s="458"/>
      <c r="D5285" s="456">
        <v>0</v>
      </c>
      <c r="E5285" s="456">
        <v>0</v>
      </c>
      <c r="F5285" s="456"/>
      <c r="G5285" s="456"/>
      <c r="H5285" s="456"/>
    </row>
    <row r="5286" spans="1:8">
      <c r="A5286" s="696">
        <v>6309</v>
      </c>
      <c r="B5286" s="469"/>
      <c r="C5286" s="458"/>
      <c r="D5286" s="456">
        <v>0</v>
      </c>
      <c r="E5286" s="456">
        <v>0</v>
      </c>
      <c r="F5286" s="456"/>
      <c r="G5286" s="456"/>
      <c r="H5286" s="456"/>
    </row>
    <row r="5287" spans="1:8">
      <c r="A5287" s="696">
        <v>6310</v>
      </c>
      <c r="B5287" s="469"/>
      <c r="C5287" s="458"/>
      <c r="D5287" s="456">
        <v>0</v>
      </c>
      <c r="E5287" s="456">
        <v>0</v>
      </c>
      <c r="F5287" s="456"/>
      <c r="G5287" s="456"/>
      <c r="H5287" s="456"/>
    </row>
    <row r="5288" spans="1:8">
      <c r="A5288" s="696">
        <v>6311</v>
      </c>
      <c r="B5288" s="469"/>
      <c r="C5288" s="458"/>
      <c r="D5288" s="456">
        <v>0</v>
      </c>
      <c r="E5288" s="456">
        <v>0</v>
      </c>
      <c r="F5288" s="456"/>
      <c r="G5288" s="456"/>
      <c r="H5288" s="456"/>
    </row>
    <row r="5289" spans="1:8">
      <c r="A5289" s="696">
        <v>6312</v>
      </c>
      <c r="B5289" s="469"/>
      <c r="C5289" s="458"/>
      <c r="D5289" s="456">
        <v>0</v>
      </c>
      <c r="E5289" s="456">
        <v>0</v>
      </c>
      <c r="F5289" s="456"/>
      <c r="G5289" s="456"/>
      <c r="H5289" s="456"/>
    </row>
    <row r="5290" spans="1:8">
      <c r="A5290" s="696">
        <v>6313</v>
      </c>
      <c r="B5290" s="469"/>
      <c r="C5290" s="458"/>
      <c r="D5290" s="456">
        <v>0</v>
      </c>
      <c r="E5290" s="456">
        <v>0</v>
      </c>
      <c r="F5290" s="456"/>
      <c r="G5290" s="456"/>
      <c r="H5290" s="456"/>
    </row>
    <row r="5291" spans="1:8">
      <c r="A5291" s="696">
        <v>6314</v>
      </c>
      <c r="B5291" s="469"/>
      <c r="C5291" s="458"/>
      <c r="D5291" s="456">
        <v>0</v>
      </c>
      <c r="E5291" s="456">
        <v>0</v>
      </c>
      <c r="F5291" s="456"/>
      <c r="G5291" s="456"/>
      <c r="H5291" s="456"/>
    </row>
    <row r="5292" spans="1:8">
      <c r="A5292" s="696">
        <v>6315</v>
      </c>
      <c r="B5292" s="469"/>
      <c r="C5292" s="458"/>
      <c r="D5292" s="456">
        <v>0</v>
      </c>
      <c r="E5292" s="456">
        <v>0</v>
      </c>
      <c r="F5292" s="456"/>
      <c r="G5292" s="456"/>
      <c r="H5292" s="456"/>
    </row>
    <row r="5293" spans="1:8">
      <c r="A5293" s="696">
        <v>6316</v>
      </c>
      <c r="B5293" s="469"/>
      <c r="C5293" s="458"/>
      <c r="D5293" s="456">
        <v>0</v>
      </c>
      <c r="E5293" s="456">
        <v>0</v>
      </c>
      <c r="F5293" s="456"/>
      <c r="G5293" s="456"/>
      <c r="H5293" s="456"/>
    </row>
    <row r="5294" spans="1:8">
      <c r="A5294" s="696">
        <v>6317</v>
      </c>
      <c r="B5294" s="469"/>
      <c r="C5294" s="458"/>
      <c r="D5294" s="456">
        <v>0</v>
      </c>
      <c r="E5294" s="456">
        <v>0</v>
      </c>
      <c r="F5294" s="456"/>
      <c r="G5294" s="456"/>
      <c r="H5294" s="456"/>
    </row>
    <row r="5295" spans="1:8">
      <c r="A5295" s="696">
        <v>6318</v>
      </c>
      <c r="B5295" s="469"/>
      <c r="C5295" s="458"/>
      <c r="D5295" s="456">
        <v>0</v>
      </c>
      <c r="E5295" s="456">
        <v>0</v>
      </c>
      <c r="F5295" s="456"/>
      <c r="G5295" s="456"/>
      <c r="H5295" s="456"/>
    </row>
    <row r="5296" spans="1:8">
      <c r="A5296" s="696">
        <v>6319</v>
      </c>
      <c r="B5296" s="469"/>
      <c r="C5296" s="458"/>
      <c r="D5296" s="456">
        <v>0</v>
      </c>
      <c r="E5296" s="456">
        <v>0</v>
      </c>
      <c r="F5296" s="456"/>
      <c r="G5296" s="456"/>
      <c r="H5296" s="456"/>
    </row>
    <row r="5297" spans="1:8">
      <c r="A5297" s="696">
        <v>6320</v>
      </c>
      <c r="B5297" s="469"/>
      <c r="C5297" s="458"/>
      <c r="D5297" s="456">
        <v>0</v>
      </c>
      <c r="E5297" s="456">
        <v>0</v>
      </c>
      <c r="F5297" s="456"/>
      <c r="G5297" s="456"/>
      <c r="H5297" s="456"/>
    </row>
    <row r="5298" spans="1:8">
      <c r="A5298" s="696">
        <v>6321</v>
      </c>
      <c r="B5298" s="469"/>
      <c r="C5298" s="458"/>
      <c r="D5298" s="456">
        <v>0</v>
      </c>
      <c r="E5298" s="456">
        <v>0</v>
      </c>
      <c r="F5298" s="456"/>
      <c r="G5298" s="456"/>
      <c r="H5298" s="456"/>
    </row>
    <row r="5299" spans="1:8">
      <c r="A5299" s="696">
        <v>6322</v>
      </c>
      <c r="B5299" s="469"/>
      <c r="C5299" s="458"/>
      <c r="D5299" s="456">
        <v>0</v>
      </c>
      <c r="E5299" s="456">
        <v>0</v>
      </c>
      <c r="F5299" s="456"/>
      <c r="G5299" s="456"/>
      <c r="H5299" s="456"/>
    </row>
    <row r="5300" spans="1:8">
      <c r="A5300" s="696">
        <v>6323</v>
      </c>
      <c r="B5300" s="469"/>
      <c r="C5300" s="458"/>
      <c r="D5300" s="456">
        <v>0</v>
      </c>
      <c r="E5300" s="456">
        <v>0</v>
      </c>
      <c r="F5300" s="456"/>
      <c r="G5300" s="456"/>
      <c r="H5300" s="456"/>
    </row>
    <row r="5301" spans="1:8">
      <c r="A5301" s="696">
        <v>6324</v>
      </c>
      <c r="B5301" s="469"/>
      <c r="C5301" s="458"/>
      <c r="D5301" s="456">
        <v>0</v>
      </c>
      <c r="E5301" s="456">
        <v>0</v>
      </c>
      <c r="F5301" s="456"/>
      <c r="G5301" s="456"/>
      <c r="H5301" s="456"/>
    </row>
    <row r="5302" spans="1:8">
      <c r="A5302" s="696">
        <v>6325</v>
      </c>
      <c r="B5302" s="469"/>
      <c r="C5302" s="458"/>
      <c r="D5302" s="456">
        <v>0</v>
      </c>
      <c r="E5302" s="456">
        <v>0</v>
      </c>
      <c r="F5302" s="456"/>
      <c r="G5302" s="456"/>
      <c r="H5302" s="456"/>
    </row>
    <row r="5303" spans="1:8">
      <c r="A5303" s="696">
        <v>6326</v>
      </c>
      <c r="B5303" s="469"/>
      <c r="C5303" s="458"/>
      <c r="D5303" s="456">
        <v>0</v>
      </c>
      <c r="E5303" s="456">
        <v>0</v>
      </c>
      <c r="F5303" s="456"/>
      <c r="G5303" s="456"/>
      <c r="H5303" s="456"/>
    </row>
    <row r="5304" spans="1:8">
      <c r="A5304" s="696">
        <v>6327</v>
      </c>
      <c r="B5304" s="469"/>
      <c r="C5304" s="458"/>
      <c r="D5304" s="456">
        <v>0</v>
      </c>
      <c r="E5304" s="456">
        <v>0</v>
      </c>
      <c r="F5304" s="456"/>
      <c r="G5304" s="456"/>
      <c r="H5304" s="456"/>
    </row>
    <row r="5305" spans="1:8">
      <c r="A5305" s="696">
        <v>6328</v>
      </c>
      <c r="B5305" s="469"/>
      <c r="C5305" s="458"/>
      <c r="D5305" s="456">
        <v>0</v>
      </c>
      <c r="E5305" s="456">
        <v>0</v>
      </c>
      <c r="F5305" s="456"/>
      <c r="G5305" s="456"/>
      <c r="H5305" s="456"/>
    </row>
    <row r="5306" spans="1:8">
      <c r="A5306" s="696">
        <v>6329</v>
      </c>
      <c r="B5306" s="469"/>
      <c r="C5306" s="458"/>
      <c r="D5306" s="456">
        <v>0</v>
      </c>
      <c r="E5306" s="456">
        <v>0</v>
      </c>
      <c r="F5306" s="456"/>
      <c r="G5306" s="456"/>
      <c r="H5306" s="456"/>
    </row>
    <row r="5307" spans="1:8">
      <c r="A5307" s="696">
        <v>6330</v>
      </c>
      <c r="B5307" s="469"/>
      <c r="C5307" s="458"/>
      <c r="D5307" s="456">
        <v>0</v>
      </c>
      <c r="E5307" s="456">
        <v>0</v>
      </c>
      <c r="F5307" s="456"/>
      <c r="G5307" s="456"/>
      <c r="H5307" s="456"/>
    </row>
    <row r="5308" spans="1:8">
      <c r="A5308" s="696">
        <v>6331</v>
      </c>
      <c r="B5308" s="469"/>
      <c r="C5308" s="458"/>
      <c r="D5308" s="456">
        <v>0</v>
      </c>
      <c r="E5308" s="456">
        <v>0</v>
      </c>
      <c r="F5308" s="456"/>
      <c r="G5308" s="456"/>
      <c r="H5308" s="456"/>
    </row>
    <row r="5309" spans="1:8">
      <c r="A5309" s="696">
        <v>6332</v>
      </c>
      <c r="B5309" s="469"/>
      <c r="C5309" s="458"/>
      <c r="D5309" s="456">
        <v>0</v>
      </c>
      <c r="E5309" s="456">
        <v>0</v>
      </c>
      <c r="F5309" s="456"/>
      <c r="G5309" s="456"/>
      <c r="H5309" s="456"/>
    </row>
    <row r="5310" spans="1:8">
      <c r="A5310" s="696">
        <v>6333</v>
      </c>
      <c r="B5310" s="469"/>
      <c r="C5310" s="458"/>
      <c r="D5310" s="456">
        <v>0</v>
      </c>
      <c r="E5310" s="456">
        <v>0</v>
      </c>
      <c r="F5310" s="456"/>
      <c r="G5310" s="456"/>
      <c r="H5310" s="456"/>
    </row>
    <row r="5311" spans="1:8">
      <c r="A5311" s="696">
        <v>6334</v>
      </c>
      <c r="B5311" s="469"/>
      <c r="C5311" s="458"/>
      <c r="D5311" s="456">
        <v>0</v>
      </c>
      <c r="E5311" s="456">
        <v>0</v>
      </c>
      <c r="F5311" s="456"/>
      <c r="G5311" s="456"/>
      <c r="H5311" s="456"/>
    </row>
    <row r="5312" spans="1:8">
      <c r="A5312" s="696">
        <v>6335</v>
      </c>
      <c r="B5312" s="469"/>
      <c r="C5312" s="458"/>
      <c r="D5312" s="456">
        <v>0</v>
      </c>
      <c r="E5312" s="456">
        <v>0</v>
      </c>
      <c r="F5312" s="456"/>
      <c r="G5312" s="456"/>
      <c r="H5312" s="456"/>
    </row>
    <row r="5313" spans="1:8">
      <c r="A5313" s="696">
        <v>6336</v>
      </c>
      <c r="B5313" s="469"/>
      <c r="C5313" s="458"/>
      <c r="D5313" s="456">
        <v>0</v>
      </c>
      <c r="E5313" s="456">
        <v>0</v>
      </c>
      <c r="F5313" s="456"/>
      <c r="G5313" s="456"/>
      <c r="H5313" s="456"/>
    </row>
    <row r="5314" spans="1:8">
      <c r="A5314" s="696">
        <v>6337</v>
      </c>
      <c r="B5314" s="469"/>
      <c r="C5314" s="458"/>
      <c r="D5314" s="456">
        <v>0</v>
      </c>
      <c r="E5314" s="456">
        <v>0</v>
      </c>
      <c r="F5314" s="456"/>
      <c r="G5314" s="456"/>
      <c r="H5314" s="456"/>
    </row>
    <row r="5315" spans="1:8">
      <c r="A5315" s="696">
        <v>6338</v>
      </c>
      <c r="B5315" s="469"/>
      <c r="C5315" s="458"/>
      <c r="D5315" s="456">
        <v>0</v>
      </c>
      <c r="E5315" s="456">
        <v>0</v>
      </c>
      <c r="F5315" s="456"/>
      <c r="G5315" s="456"/>
      <c r="H5315" s="456"/>
    </row>
    <row r="5316" spans="1:8">
      <c r="A5316" s="696">
        <v>6339</v>
      </c>
      <c r="B5316" s="469"/>
      <c r="C5316" s="458"/>
      <c r="D5316" s="456">
        <v>0</v>
      </c>
      <c r="E5316" s="456">
        <v>0</v>
      </c>
      <c r="F5316" s="456"/>
      <c r="G5316" s="456"/>
      <c r="H5316" s="456"/>
    </row>
    <row r="5317" spans="1:8">
      <c r="A5317" s="696">
        <v>6340</v>
      </c>
      <c r="B5317" s="469"/>
      <c r="C5317" s="458"/>
      <c r="D5317" s="456">
        <v>0</v>
      </c>
      <c r="E5317" s="456">
        <v>0</v>
      </c>
      <c r="F5317" s="456"/>
      <c r="G5317" s="456"/>
      <c r="H5317" s="456"/>
    </row>
    <row r="5318" spans="1:8">
      <c r="A5318" s="696">
        <v>6341</v>
      </c>
      <c r="B5318" s="469"/>
      <c r="C5318" s="458"/>
      <c r="D5318" s="456">
        <v>0</v>
      </c>
      <c r="E5318" s="456">
        <v>0</v>
      </c>
      <c r="F5318" s="456"/>
      <c r="G5318" s="456"/>
      <c r="H5318" s="456"/>
    </row>
    <row r="5319" spans="1:8">
      <c r="A5319" s="696">
        <v>6342</v>
      </c>
      <c r="B5319" s="469"/>
      <c r="C5319" s="458"/>
      <c r="D5319" s="456">
        <v>0</v>
      </c>
      <c r="E5319" s="456">
        <v>0</v>
      </c>
      <c r="F5319" s="456"/>
      <c r="G5319" s="456"/>
      <c r="H5319" s="456"/>
    </row>
    <row r="5320" spans="1:8">
      <c r="A5320" s="696">
        <v>6343</v>
      </c>
      <c r="B5320" s="469"/>
      <c r="C5320" s="458"/>
      <c r="D5320" s="456">
        <v>0</v>
      </c>
      <c r="E5320" s="456">
        <v>0</v>
      </c>
      <c r="F5320" s="456"/>
      <c r="G5320" s="456"/>
      <c r="H5320" s="456"/>
    </row>
    <row r="5321" spans="1:8">
      <c r="A5321" s="696">
        <v>6344</v>
      </c>
      <c r="B5321" s="469"/>
      <c r="C5321" s="458"/>
      <c r="D5321" s="456">
        <v>0</v>
      </c>
      <c r="E5321" s="456">
        <v>0</v>
      </c>
      <c r="F5321" s="456"/>
      <c r="G5321" s="456"/>
      <c r="H5321" s="456"/>
    </row>
    <row r="5322" spans="1:8">
      <c r="A5322" s="696">
        <v>6345</v>
      </c>
      <c r="B5322" s="469"/>
      <c r="C5322" s="458"/>
      <c r="D5322" s="456">
        <v>0</v>
      </c>
      <c r="E5322" s="456">
        <v>0</v>
      </c>
      <c r="F5322" s="456"/>
      <c r="G5322" s="456"/>
      <c r="H5322" s="456"/>
    </row>
    <row r="5323" spans="1:8">
      <c r="A5323" s="696">
        <v>6346</v>
      </c>
      <c r="B5323" s="469"/>
      <c r="C5323" s="458"/>
      <c r="D5323" s="456">
        <v>0</v>
      </c>
      <c r="E5323" s="456">
        <v>0</v>
      </c>
      <c r="F5323" s="456"/>
      <c r="G5323" s="456"/>
      <c r="H5323" s="456"/>
    </row>
    <row r="5324" spans="1:8">
      <c r="A5324" s="696">
        <v>6347</v>
      </c>
      <c r="B5324" s="469"/>
      <c r="C5324" s="458"/>
      <c r="D5324" s="456">
        <v>0</v>
      </c>
      <c r="E5324" s="456">
        <v>0</v>
      </c>
      <c r="F5324" s="456"/>
      <c r="G5324" s="456"/>
      <c r="H5324" s="456"/>
    </row>
    <row r="5325" spans="1:8">
      <c r="A5325" s="696">
        <v>6348</v>
      </c>
      <c r="B5325" s="469"/>
      <c r="C5325" s="458"/>
      <c r="D5325" s="456">
        <v>0</v>
      </c>
      <c r="E5325" s="456">
        <v>0</v>
      </c>
      <c r="F5325" s="456"/>
      <c r="G5325" s="456"/>
      <c r="H5325" s="456"/>
    </row>
    <row r="5326" spans="1:8">
      <c r="A5326" s="696">
        <v>6349</v>
      </c>
      <c r="B5326" s="469"/>
      <c r="C5326" s="458"/>
      <c r="D5326" s="456">
        <v>0</v>
      </c>
      <c r="E5326" s="456">
        <v>0</v>
      </c>
      <c r="F5326" s="456"/>
      <c r="G5326" s="456"/>
      <c r="H5326" s="456"/>
    </row>
    <row r="5327" spans="1:8">
      <c r="A5327" s="696">
        <v>6350</v>
      </c>
      <c r="B5327" s="469"/>
      <c r="C5327" s="458"/>
      <c r="D5327" s="456">
        <v>0</v>
      </c>
      <c r="E5327" s="456">
        <v>0</v>
      </c>
      <c r="F5327" s="456"/>
      <c r="G5327" s="456"/>
      <c r="H5327" s="456"/>
    </row>
    <row r="5328" spans="1:8">
      <c r="A5328" s="696">
        <v>6351</v>
      </c>
      <c r="B5328" s="469"/>
      <c r="C5328" s="458"/>
      <c r="D5328" s="456">
        <v>0</v>
      </c>
      <c r="E5328" s="456">
        <v>0</v>
      </c>
      <c r="F5328" s="456"/>
      <c r="G5328" s="456"/>
      <c r="H5328" s="456"/>
    </row>
    <row r="5329" spans="1:8">
      <c r="A5329" s="696">
        <v>6352</v>
      </c>
      <c r="B5329" s="469"/>
      <c r="C5329" s="458"/>
      <c r="D5329" s="456">
        <v>0</v>
      </c>
      <c r="E5329" s="456">
        <v>0</v>
      </c>
      <c r="F5329" s="456"/>
      <c r="G5329" s="456"/>
      <c r="H5329" s="456"/>
    </row>
    <row r="5330" spans="1:8">
      <c r="A5330" s="696">
        <v>6353</v>
      </c>
      <c r="B5330" s="469"/>
      <c r="C5330" s="458"/>
      <c r="D5330" s="456">
        <v>0</v>
      </c>
      <c r="E5330" s="456">
        <v>0</v>
      </c>
      <c r="F5330" s="456"/>
      <c r="G5330" s="456"/>
      <c r="H5330" s="456"/>
    </row>
    <row r="5331" spans="1:8">
      <c r="A5331" s="696">
        <v>6354</v>
      </c>
      <c r="B5331" s="469"/>
      <c r="C5331" s="458"/>
      <c r="D5331" s="456">
        <v>0</v>
      </c>
      <c r="E5331" s="456">
        <v>0</v>
      </c>
      <c r="F5331" s="456"/>
      <c r="G5331" s="456"/>
      <c r="H5331" s="456"/>
    </row>
    <row r="5332" spans="1:8">
      <c r="A5332" s="696">
        <v>6355</v>
      </c>
      <c r="B5332" s="469"/>
      <c r="C5332" s="458"/>
      <c r="D5332" s="456">
        <v>0</v>
      </c>
      <c r="E5332" s="456">
        <v>0</v>
      </c>
      <c r="F5332" s="456"/>
      <c r="G5332" s="456"/>
      <c r="H5332" s="456"/>
    </row>
    <row r="5333" spans="1:8">
      <c r="A5333" s="696">
        <v>6356</v>
      </c>
      <c r="B5333" s="469"/>
      <c r="C5333" s="458"/>
      <c r="D5333" s="456">
        <v>0</v>
      </c>
      <c r="E5333" s="456">
        <v>0</v>
      </c>
      <c r="F5333" s="456"/>
      <c r="G5333" s="456"/>
      <c r="H5333" s="456"/>
    </row>
    <row r="5334" spans="1:8">
      <c r="A5334" s="696">
        <v>6357</v>
      </c>
      <c r="B5334" s="469"/>
      <c r="C5334" s="458"/>
      <c r="D5334" s="456">
        <v>0</v>
      </c>
      <c r="E5334" s="456">
        <v>0</v>
      </c>
      <c r="F5334" s="456"/>
      <c r="G5334" s="456"/>
      <c r="H5334" s="456"/>
    </row>
    <row r="5335" spans="1:8">
      <c r="A5335" s="696">
        <v>6358</v>
      </c>
      <c r="B5335" s="469"/>
      <c r="C5335" s="458"/>
      <c r="D5335" s="456">
        <v>0</v>
      </c>
      <c r="E5335" s="456">
        <v>0</v>
      </c>
      <c r="F5335" s="456"/>
      <c r="G5335" s="456"/>
      <c r="H5335" s="456"/>
    </row>
    <row r="5336" spans="1:8">
      <c r="A5336" s="696">
        <v>6359</v>
      </c>
      <c r="B5336" s="469"/>
      <c r="C5336" s="458"/>
      <c r="D5336" s="456">
        <v>0</v>
      </c>
      <c r="E5336" s="456">
        <v>0</v>
      </c>
      <c r="F5336" s="456"/>
      <c r="G5336" s="456"/>
      <c r="H5336" s="456"/>
    </row>
    <row r="5337" spans="1:8">
      <c r="A5337" s="696">
        <v>6360</v>
      </c>
      <c r="B5337" s="469"/>
      <c r="C5337" s="458"/>
      <c r="D5337" s="456">
        <v>0</v>
      </c>
      <c r="E5337" s="456">
        <v>0</v>
      </c>
      <c r="F5337" s="456"/>
      <c r="G5337" s="456"/>
      <c r="H5337" s="456"/>
    </row>
    <row r="5338" spans="1:8">
      <c r="A5338" s="696">
        <v>6361</v>
      </c>
      <c r="B5338" s="469"/>
      <c r="C5338" s="458"/>
      <c r="D5338" s="456">
        <v>0</v>
      </c>
      <c r="E5338" s="456">
        <v>0</v>
      </c>
      <c r="F5338" s="456"/>
      <c r="G5338" s="456"/>
      <c r="H5338" s="456"/>
    </row>
    <row r="5339" spans="1:8">
      <c r="A5339" s="696">
        <v>6362</v>
      </c>
      <c r="B5339" s="469"/>
      <c r="C5339" s="458"/>
      <c r="D5339" s="456">
        <v>0</v>
      </c>
      <c r="E5339" s="456">
        <v>0</v>
      </c>
      <c r="F5339" s="456"/>
      <c r="G5339" s="456"/>
      <c r="H5339" s="456"/>
    </row>
    <row r="5340" spans="1:8">
      <c r="A5340" s="696">
        <v>6363</v>
      </c>
      <c r="B5340" s="469"/>
      <c r="C5340" s="458"/>
      <c r="D5340" s="456">
        <v>0</v>
      </c>
      <c r="E5340" s="456">
        <v>0</v>
      </c>
      <c r="F5340" s="456"/>
      <c r="G5340" s="456"/>
      <c r="H5340" s="456"/>
    </row>
    <row r="5341" spans="1:8">
      <c r="A5341" s="696">
        <v>6364</v>
      </c>
      <c r="B5341" s="469"/>
      <c r="C5341" s="458"/>
      <c r="D5341" s="456">
        <v>0</v>
      </c>
      <c r="E5341" s="456">
        <v>0</v>
      </c>
      <c r="F5341" s="456"/>
      <c r="G5341" s="456"/>
      <c r="H5341" s="456"/>
    </row>
    <row r="5342" spans="1:8">
      <c r="A5342" s="696">
        <v>6365</v>
      </c>
      <c r="B5342" s="469"/>
      <c r="C5342" s="458"/>
      <c r="D5342" s="456">
        <v>0</v>
      </c>
      <c r="E5342" s="456">
        <v>0</v>
      </c>
      <c r="F5342" s="456"/>
      <c r="G5342" s="456"/>
      <c r="H5342" s="456"/>
    </row>
    <row r="5343" spans="1:8">
      <c r="A5343" s="696">
        <v>6366</v>
      </c>
      <c r="B5343" s="469"/>
      <c r="C5343" s="458"/>
      <c r="D5343" s="456">
        <v>0</v>
      </c>
      <c r="E5343" s="456">
        <v>0</v>
      </c>
      <c r="F5343" s="456"/>
      <c r="G5343" s="456"/>
      <c r="H5343" s="456"/>
    </row>
    <row r="5344" spans="1:8">
      <c r="A5344" s="696">
        <v>6367</v>
      </c>
      <c r="B5344" s="469"/>
      <c r="C5344" s="458"/>
      <c r="D5344" s="456">
        <v>0</v>
      </c>
      <c r="E5344" s="456">
        <v>0</v>
      </c>
      <c r="F5344" s="456"/>
      <c r="G5344" s="456"/>
      <c r="H5344" s="456"/>
    </row>
    <row r="5345" spans="1:8">
      <c r="A5345" s="696">
        <v>6368</v>
      </c>
      <c r="B5345" s="469"/>
      <c r="C5345" s="458"/>
      <c r="D5345" s="456">
        <v>0</v>
      </c>
      <c r="E5345" s="456">
        <v>0</v>
      </c>
      <c r="F5345" s="456"/>
      <c r="G5345" s="456"/>
      <c r="H5345" s="456"/>
    </row>
    <row r="5346" spans="1:8">
      <c r="A5346" s="696">
        <v>6369</v>
      </c>
      <c r="B5346" s="469"/>
      <c r="C5346" s="458"/>
      <c r="D5346" s="456">
        <v>0</v>
      </c>
      <c r="E5346" s="456">
        <v>0</v>
      </c>
      <c r="F5346" s="456"/>
      <c r="G5346" s="456"/>
      <c r="H5346" s="456"/>
    </row>
    <row r="5347" spans="1:8">
      <c r="A5347" s="696">
        <v>6370</v>
      </c>
      <c r="B5347" s="469"/>
      <c r="C5347" s="458"/>
      <c r="D5347" s="456">
        <v>0</v>
      </c>
      <c r="E5347" s="456">
        <v>0</v>
      </c>
      <c r="F5347" s="456"/>
      <c r="G5347" s="456"/>
      <c r="H5347" s="456"/>
    </row>
    <row r="5348" spans="1:8">
      <c r="A5348" s="696">
        <v>6371</v>
      </c>
      <c r="B5348" s="469"/>
      <c r="C5348" s="458"/>
      <c r="D5348" s="456">
        <v>0</v>
      </c>
      <c r="E5348" s="456">
        <v>0</v>
      </c>
      <c r="F5348" s="456"/>
      <c r="G5348" s="456"/>
      <c r="H5348" s="456"/>
    </row>
    <row r="5349" spans="1:8">
      <c r="A5349" s="696">
        <v>6372</v>
      </c>
      <c r="B5349" s="469"/>
      <c r="C5349" s="458"/>
      <c r="D5349" s="456">
        <v>0</v>
      </c>
      <c r="E5349" s="456">
        <v>0</v>
      </c>
      <c r="F5349" s="456"/>
      <c r="G5349" s="456"/>
      <c r="H5349" s="456"/>
    </row>
    <row r="5350" spans="1:8">
      <c r="A5350" s="696">
        <v>6373</v>
      </c>
      <c r="B5350" s="469"/>
      <c r="C5350" s="458"/>
      <c r="D5350" s="456">
        <v>0</v>
      </c>
      <c r="E5350" s="456">
        <v>0</v>
      </c>
      <c r="F5350" s="456"/>
      <c r="G5350" s="456"/>
      <c r="H5350" s="456"/>
    </row>
    <row r="5351" spans="1:8">
      <c r="A5351" s="696">
        <v>6374</v>
      </c>
      <c r="B5351" s="469"/>
      <c r="C5351" s="458"/>
      <c r="D5351" s="456">
        <v>0</v>
      </c>
      <c r="E5351" s="456">
        <v>0</v>
      </c>
      <c r="F5351" s="456"/>
      <c r="G5351" s="456"/>
      <c r="H5351" s="456"/>
    </row>
    <row r="5352" spans="1:8">
      <c r="A5352" s="696">
        <v>6375</v>
      </c>
      <c r="B5352" s="469"/>
      <c r="C5352" s="458"/>
      <c r="D5352" s="456">
        <v>0</v>
      </c>
      <c r="E5352" s="456">
        <v>0</v>
      </c>
      <c r="F5352" s="456"/>
      <c r="G5352" s="456"/>
      <c r="H5352" s="456"/>
    </row>
    <row r="5353" spans="1:8">
      <c r="A5353" s="696">
        <v>6376</v>
      </c>
      <c r="B5353" s="469"/>
      <c r="C5353" s="458"/>
      <c r="D5353" s="456">
        <v>0</v>
      </c>
      <c r="E5353" s="456">
        <v>0</v>
      </c>
      <c r="F5353" s="456"/>
      <c r="G5353" s="456"/>
      <c r="H5353" s="456"/>
    </row>
    <row r="5354" spans="1:8">
      <c r="A5354" s="696">
        <v>6377</v>
      </c>
      <c r="B5354" s="469"/>
      <c r="C5354" s="458"/>
      <c r="D5354" s="456">
        <v>0</v>
      </c>
      <c r="E5354" s="456">
        <v>0</v>
      </c>
      <c r="F5354" s="456"/>
      <c r="G5354" s="456"/>
      <c r="H5354" s="456"/>
    </row>
    <row r="5355" spans="1:8">
      <c r="A5355" s="696">
        <v>6378</v>
      </c>
      <c r="B5355" s="469"/>
      <c r="C5355" s="458"/>
      <c r="D5355" s="456">
        <v>0</v>
      </c>
      <c r="E5355" s="456">
        <v>0</v>
      </c>
      <c r="F5355" s="456"/>
      <c r="G5355" s="456"/>
      <c r="H5355" s="456"/>
    </row>
    <row r="5356" spans="1:8">
      <c r="A5356" s="696">
        <v>6379</v>
      </c>
      <c r="B5356" s="469"/>
      <c r="C5356" s="458"/>
      <c r="D5356" s="456">
        <v>0</v>
      </c>
      <c r="E5356" s="456">
        <v>0</v>
      </c>
      <c r="F5356" s="456"/>
      <c r="G5356" s="456"/>
      <c r="H5356" s="456"/>
    </row>
    <row r="5357" spans="1:8">
      <c r="A5357" s="696">
        <v>6380</v>
      </c>
      <c r="B5357" s="469"/>
      <c r="C5357" s="458"/>
      <c r="D5357" s="456">
        <v>0</v>
      </c>
      <c r="E5357" s="456">
        <v>0</v>
      </c>
      <c r="F5357" s="456"/>
      <c r="G5357" s="456"/>
      <c r="H5357" s="456"/>
    </row>
    <row r="5358" spans="1:8">
      <c r="A5358" s="696">
        <v>6381</v>
      </c>
      <c r="B5358" s="469"/>
      <c r="C5358" s="458"/>
      <c r="D5358" s="456">
        <v>0</v>
      </c>
      <c r="E5358" s="456">
        <v>0</v>
      </c>
      <c r="F5358" s="456"/>
      <c r="G5358" s="456"/>
      <c r="H5358" s="456"/>
    </row>
    <row r="5359" spans="1:8">
      <c r="A5359" s="696">
        <v>6382</v>
      </c>
      <c r="B5359" s="469"/>
      <c r="C5359" s="458"/>
      <c r="D5359" s="456">
        <v>0</v>
      </c>
      <c r="E5359" s="456">
        <v>0</v>
      </c>
      <c r="F5359" s="456"/>
      <c r="G5359" s="456"/>
      <c r="H5359" s="456"/>
    </row>
    <row r="5360" spans="1:8">
      <c r="A5360" s="696">
        <v>6383</v>
      </c>
      <c r="B5360" s="469"/>
      <c r="C5360" s="458"/>
      <c r="D5360" s="456">
        <v>0</v>
      </c>
      <c r="E5360" s="456">
        <v>0</v>
      </c>
      <c r="F5360" s="456"/>
      <c r="G5360" s="456"/>
      <c r="H5360" s="456"/>
    </row>
    <row r="5361" spans="1:8">
      <c r="A5361" s="696">
        <v>6384</v>
      </c>
      <c r="B5361" s="469"/>
      <c r="C5361" s="458"/>
      <c r="D5361" s="456">
        <v>0</v>
      </c>
      <c r="E5361" s="456">
        <v>0</v>
      </c>
      <c r="F5361" s="456"/>
      <c r="G5361" s="456"/>
      <c r="H5361" s="456"/>
    </row>
    <row r="5362" spans="1:8">
      <c r="A5362" s="696">
        <v>6385</v>
      </c>
      <c r="B5362" s="469"/>
      <c r="C5362" s="458"/>
      <c r="D5362" s="456">
        <v>0</v>
      </c>
      <c r="E5362" s="456">
        <v>0</v>
      </c>
      <c r="F5362" s="456"/>
      <c r="G5362" s="456"/>
      <c r="H5362" s="456"/>
    </row>
    <row r="5363" spans="1:8">
      <c r="A5363" s="696">
        <v>6386</v>
      </c>
      <c r="B5363" s="469"/>
      <c r="C5363" s="458"/>
      <c r="D5363" s="456">
        <v>0</v>
      </c>
      <c r="E5363" s="456">
        <v>0</v>
      </c>
      <c r="F5363" s="456"/>
      <c r="G5363" s="456"/>
      <c r="H5363" s="456"/>
    </row>
    <row r="5364" spans="1:8">
      <c r="A5364" s="696">
        <v>6387</v>
      </c>
      <c r="B5364" s="469"/>
      <c r="C5364" s="458"/>
      <c r="D5364" s="456">
        <v>0</v>
      </c>
      <c r="E5364" s="456">
        <v>0</v>
      </c>
      <c r="F5364" s="456"/>
      <c r="G5364" s="456"/>
      <c r="H5364" s="456"/>
    </row>
    <row r="5365" spans="1:8">
      <c r="A5365" s="696">
        <v>6388</v>
      </c>
      <c r="B5365" s="469"/>
      <c r="C5365" s="458"/>
      <c r="D5365" s="456">
        <v>0</v>
      </c>
      <c r="E5365" s="456">
        <v>0</v>
      </c>
      <c r="F5365" s="456"/>
      <c r="G5365" s="456"/>
      <c r="H5365" s="456"/>
    </row>
    <row r="5366" spans="1:8">
      <c r="A5366" s="696">
        <v>6389</v>
      </c>
      <c r="B5366" s="469"/>
      <c r="C5366" s="458"/>
      <c r="D5366" s="456">
        <v>0</v>
      </c>
      <c r="E5366" s="456">
        <v>0</v>
      </c>
      <c r="F5366" s="456"/>
      <c r="G5366" s="456"/>
      <c r="H5366" s="456"/>
    </row>
    <row r="5367" spans="1:8">
      <c r="A5367" s="696">
        <v>6390</v>
      </c>
      <c r="B5367" s="469"/>
      <c r="C5367" s="458"/>
      <c r="D5367" s="456">
        <v>0</v>
      </c>
      <c r="E5367" s="456">
        <v>0</v>
      </c>
      <c r="F5367" s="456"/>
      <c r="G5367" s="456"/>
      <c r="H5367" s="456"/>
    </row>
    <row r="5368" spans="1:8">
      <c r="A5368" s="696">
        <v>6391</v>
      </c>
      <c r="B5368" s="469"/>
      <c r="C5368" s="458"/>
      <c r="D5368" s="456">
        <v>0</v>
      </c>
      <c r="E5368" s="456">
        <v>0</v>
      </c>
      <c r="F5368" s="456"/>
      <c r="G5368" s="456"/>
      <c r="H5368" s="456"/>
    </row>
    <row r="5369" spans="1:8">
      <c r="A5369" s="696">
        <v>6392</v>
      </c>
      <c r="B5369" s="469"/>
      <c r="C5369" s="458"/>
      <c r="D5369" s="456">
        <v>0</v>
      </c>
      <c r="E5369" s="456">
        <v>0</v>
      </c>
      <c r="F5369" s="456"/>
      <c r="G5369" s="456"/>
      <c r="H5369" s="456"/>
    </row>
    <row r="5370" spans="1:8">
      <c r="A5370" s="696">
        <v>6393</v>
      </c>
      <c r="B5370" s="469"/>
      <c r="C5370" s="458"/>
      <c r="D5370" s="456">
        <v>0</v>
      </c>
      <c r="E5370" s="456">
        <v>0</v>
      </c>
      <c r="F5370" s="456"/>
      <c r="G5370" s="456"/>
      <c r="H5370" s="456"/>
    </row>
    <row r="5371" spans="1:8">
      <c r="A5371" s="696">
        <v>6394</v>
      </c>
      <c r="B5371" s="469"/>
      <c r="C5371" s="458"/>
      <c r="D5371" s="456">
        <v>0</v>
      </c>
      <c r="E5371" s="456">
        <v>0</v>
      </c>
      <c r="F5371" s="456"/>
      <c r="G5371" s="456"/>
      <c r="H5371" s="456"/>
    </row>
    <row r="5372" spans="1:8">
      <c r="A5372" s="696">
        <v>6395</v>
      </c>
      <c r="B5372" s="469"/>
      <c r="C5372" s="458"/>
      <c r="D5372" s="456">
        <v>0</v>
      </c>
      <c r="E5372" s="456">
        <v>0</v>
      </c>
      <c r="F5372" s="456"/>
      <c r="G5372" s="456"/>
      <c r="H5372" s="456"/>
    </row>
    <row r="5373" spans="1:8">
      <c r="A5373" s="696">
        <v>6396</v>
      </c>
      <c r="B5373" s="469"/>
      <c r="C5373" s="458"/>
      <c r="D5373" s="456">
        <v>0</v>
      </c>
      <c r="E5373" s="456">
        <v>0</v>
      </c>
      <c r="F5373" s="456"/>
      <c r="G5373" s="456"/>
      <c r="H5373" s="456"/>
    </row>
    <row r="5374" spans="1:8">
      <c r="A5374" s="696">
        <v>6397</v>
      </c>
      <c r="B5374" s="469"/>
      <c r="C5374" s="458"/>
      <c r="D5374" s="456">
        <v>0</v>
      </c>
      <c r="E5374" s="456">
        <v>0</v>
      </c>
      <c r="F5374" s="456"/>
      <c r="G5374" s="456"/>
      <c r="H5374" s="456"/>
    </row>
    <row r="5375" spans="1:8">
      <c r="A5375" s="696">
        <v>6398</v>
      </c>
      <c r="B5375" s="469"/>
      <c r="C5375" s="458"/>
      <c r="D5375" s="456">
        <v>0</v>
      </c>
      <c r="E5375" s="456">
        <v>0</v>
      </c>
      <c r="F5375" s="456"/>
      <c r="G5375" s="456"/>
      <c r="H5375" s="456"/>
    </row>
    <row r="5376" spans="1:8">
      <c r="A5376" s="696">
        <v>6399</v>
      </c>
      <c r="B5376" s="469"/>
      <c r="C5376" s="458"/>
      <c r="D5376" s="456">
        <v>0</v>
      </c>
      <c r="E5376" s="456">
        <v>0</v>
      </c>
      <c r="F5376" s="456"/>
      <c r="G5376" s="456"/>
      <c r="H5376" s="456"/>
    </row>
    <row r="5377" spans="1:8">
      <c r="A5377" s="696">
        <v>6400</v>
      </c>
      <c r="B5377" s="469"/>
      <c r="C5377" s="458"/>
      <c r="D5377" s="456">
        <v>0</v>
      </c>
      <c r="E5377" s="456">
        <v>0</v>
      </c>
      <c r="F5377" s="456"/>
      <c r="G5377" s="456"/>
      <c r="H5377" s="456"/>
    </row>
    <row r="5378" spans="1:8">
      <c r="A5378" s="696">
        <v>6401</v>
      </c>
      <c r="B5378" s="469"/>
      <c r="C5378" s="458"/>
      <c r="D5378" s="456">
        <v>0</v>
      </c>
      <c r="E5378" s="456">
        <v>0</v>
      </c>
      <c r="F5378" s="456"/>
      <c r="G5378" s="456"/>
      <c r="H5378" s="456"/>
    </row>
    <row r="5379" spans="1:8">
      <c r="A5379" s="696">
        <v>6402</v>
      </c>
      <c r="B5379" s="469"/>
      <c r="C5379" s="458"/>
      <c r="D5379" s="456">
        <v>0</v>
      </c>
      <c r="E5379" s="456">
        <v>0</v>
      </c>
      <c r="F5379" s="456"/>
      <c r="G5379" s="456"/>
      <c r="H5379" s="456"/>
    </row>
    <row r="5380" spans="1:8">
      <c r="A5380" s="696">
        <v>6403</v>
      </c>
      <c r="B5380" s="469"/>
      <c r="C5380" s="458"/>
      <c r="D5380" s="456">
        <v>0</v>
      </c>
      <c r="E5380" s="456">
        <v>0</v>
      </c>
      <c r="F5380" s="456"/>
      <c r="G5380" s="456"/>
      <c r="H5380" s="456"/>
    </row>
    <row r="5381" spans="1:8">
      <c r="A5381" s="696">
        <v>6404</v>
      </c>
      <c r="B5381" s="469"/>
      <c r="C5381" s="458"/>
      <c r="D5381" s="456">
        <v>0</v>
      </c>
      <c r="E5381" s="456">
        <v>0</v>
      </c>
      <c r="F5381" s="456"/>
      <c r="G5381" s="456"/>
      <c r="H5381" s="456"/>
    </row>
    <row r="5382" spans="1:8">
      <c r="A5382" s="696">
        <v>6405</v>
      </c>
      <c r="B5382" s="469"/>
      <c r="C5382" s="458"/>
      <c r="D5382" s="456">
        <v>0</v>
      </c>
      <c r="E5382" s="456">
        <v>0</v>
      </c>
      <c r="F5382" s="456"/>
      <c r="G5382" s="456"/>
      <c r="H5382" s="456"/>
    </row>
    <row r="5383" spans="1:8">
      <c r="A5383" s="696">
        <v>6406</v>
      </c>
      <c r="B5383" s="469"/>
      <c r="C5383" s="458"/>
      <c r="D5383" s="456">
        <v>0</v>
      </c>
      <c r="E5383" s="456">
        <v>0</v>
      </c>
      <c r="F5383" s="456"/>
      <c r="G5383" s="456"/>
      <c r="H5383" s="456"/>
    </row>
    <row r="5384" spans="1:8">
      <c r="A5384" s="696">
        <v>6407</v>
      </c>
      <c r="B5384" s="469"/>
      <c r="C5384" s="458"/>
      <c r="D5384" s="456">
        <v>0</v>
      </c>
      <c r="E5384" s="456">
        <v>0</v>
      </c>
      <c r="F5384" s="456"/>
      <c r="G5384" s="456"/>
      <c r="H5384" s="456"/>
    </row>
    <row r="5385" spans="1:8">
      <c r="A5385" s="696">
        <v>6408</v>
      </c>
      <c r="B5385" s="469"/>
      <c r="C5385" s="458"/>
      <c r="D5385" s="456">
        <v>0</v>
      </c>
      <c r="E5385" s="456">
        <v>0</v>
      </c>
      <c r="F5385" s="456"/>
      <c r="G5385" s="456"/>
      <c r="H5385" s="456"/>
    </row>
    <row r="5386" spans="1:8">
      <c r="A5386" s="696">
        <v>6409</v>
      </c>
      <c r="B5386" s="469"/>
      <c r="C5386" s="458"/>
      <c r="D5386" s="456">
        <v>0</v>
      </c>
      <c r="E5386" s="456">
        <v>0</v>
      </c>
      <c r="F5386" s="456"/>
      <c r="G5386" s="456"/>
      <c r="H5386" s="456"/>
    </row>
    <row r="5387" spans="1:8">
      <c r="A5387" s="696">
        <v>6410</v>
      </c>
      <c r="B5387" s="469"/>
      <c r="C5387" s="458"/>
      <c r="D5387" s="456">
        <v>0</v>
      </c>
      <c r="E5387" s="456">
        <v>0</v>
      </c>
      <c r="F5387" s="456"/>
      <c r="G5387" s="456"/>
      <c r="H5387" s="456"/>
    </row>
    <row r="5388" spans="1:8">
      <c r="A5388" s="696">
        <v>6411</v>
      </c>
      <c r="B5388" s="469"/>
      <c r="C5388" s="458"/>
      <c r="D5388" s="456">
        <v>0</v>
      </c>
      <c r="E5388" s="456">
        <v>0</v>
      </c>
      <c r="F5388" s="456"/>
      <c r="G5388" s="456"/>
      <c r="H5388" s="456"/>
    </row>
    <row r="5389" spans="1:8">
      <c r="A5389" s="696">
        <v>6412</v>
      </c>
      <c r="B5389" s="469"/>
      <c r="C5389" s="458"/>
      <c r="D5389" s="456">
        <v>0</v>
      </c>
      <c r="E5389" s="456">
        <v>0</v>
      </c>
      <c r="F5389" s="456"/>
      <c r="G5389" s="456"/>
      <c r="H5389" s="456"/>
    </row>
    <row r="5390" spans="1:8">
      <c r="A5390" s="696">
        <v>6413</v>
      </c>
      <c r="B5390" s="469"/>
      <c r="C5390" s="458"/>
      <c r="D5390" s="456">
        <v>0</v>
      </c>
      <c r="E5390" s="456">
        <v>0</v>
      </c>
      <c r="F5390" s="456"/>
      <c r="G5390" s="456"/>
      <c r="H5390" s="456"/>
    </row>
    <row r="5391" spans="1:8">
      <c r="A5391" s="696">
        <v>6414</v>
      </c>
      <c r="B5391" s="469"/>
      <c r="C5391" s="458"/>
      <c r="D5391" s="456">
        <v>0</v>
      </c>
      <c r="E5391" s="456">
        <v>0</v>
      </c>
      <c r="F5391" s="456"/>
      <c r="G5391" s="456"/>
      <c r="H5391" s="456"/>
    </row>
    <row r="5392" spans="1:8">
      <c r="A5392" s="696">
        <v>6415</v>
      </c>
      <c r="B5392" s="469"/>
      <c r="C5392" s="458"/>
      <c r="D5392" s="456">
        <v>0</v>
      </c>
      <c r="E5392" s="456">
        <v>0</v>
      </c>
      <c r="F5392" s="456"/>
      <c r="G5392" s="456"/>
      <c r="H5392" s="456"/>
    </row>
    <row r="5393" spans="1:8">
      <c r="A5393" s="696">
        <v>6416</v>
      </c>
      <c r="B5393" s="469"/>
      <c r="C5393" s="458"/>
      <c r="D5393" s="456">
        <v>0</v>
      </c>
      <c r="E5393" s="456">
        <v>0</v>
      </c>
      <c r="F5393" s="456"/>
      <c r="G5393" s="456"/>
      <c r="H5393" s="456"/>
    </row>
    <row r="5394" spans="1:8">
      <c r="A5394" s="696">
        <v>6417</v>
      </c>
      <c r="B5394" s="469"/>
      <c r="C5394" s="458"/>
      <c r="D5394" s="456">
        <v>0</v>
      </c>
      <c r="E5394" s="456">
        <v>0</v>
      </c>
      <c r="F5394" s="456"/>
      <c r="G5394" s="456"/>
      <c r="H5394" s="456"/>
    </row>
    <row r="5395" spans="1:8">
      <c r="A5395" s="696">
        <v>6418</v>
      </c>
      <c r="B5395" s="469"/>
      <c r="C5395" s="458"/>
      <c r="D5395" s="456">
        <v>0</v>
      </c>
      <c r="E5395" s="456">
        <v>0</v>
      </c>
      <c r="F5395" s="456"/>
      <c r="G5395" s="456"/>
      <c r="H5395" s="456"/>
    </row>
    <row r="5396" spans="1:8">
      <c r="A5396" s="696">
        <v>6419</v>
      </c>
      <c r="B5396" s="469"/>
      <c r="C5396" s="458"/>
      <c r="D5396" s="456">
        <v>0</v>
      </c>
      <c r="E5396" s="456">
        <v>0</v>
      </c>
      <c r="F5396" s="456"/>
      <c r="G5396" s="456"/>
      <c r="H5396" s="456"/>
    </row>
    <row r="5397" spans="1:8">
      <c r="A5397" s="696">
        <v>6420</v>
      </c>
      <c r="B5397" s="469"/>
      <c r="C5397" s="458"/>
      <c r="D5397" s="456">
        <v>0</v>
      </c>
      <c r="E5397" s="456">
        <v>0</v>
      </c>
      <c r="F5397" s="456"/>
      <c r="G5397" s="456"/>
      <c r="H5397" s="456"/>
    </row>
    <row r="5398" spans="1:8">
      <c r="A5398" s="696">
        <v>6421</v>
      </c>
      <c r="B5398" s="469"/>
      <c r="C5398" s="458"/>
      <c r="D5398" s="456">
        <v>0</v>
      </c>
      <c r="E5398" s="456">
        <v>0</v>
      </c>
      <c r="F5398" s="456"/>
      <c r="G5398" s="456"/>
      <c r="H5398" s="456"/>
    </row>
    <row r="5399" spans="1:8">
      <c r="A5399" s="696">
        <v>6422</v>
      </c>
      <c r="B5399" s="469"/>
      <c r="C5399" s="458"/>
      <c r="D5399" s="456">
        <v>0</v>
      </c>
      <c r="E5399" s="456">
        <v>0</v>
      </c>
      <c r="F5399" s="456"/>
      <c r="G5399" s="456"/>
      <c r="H5399" s="456"/>
    </row>
    <row r="5400" spans="1:8">
      <c r="A5400" s="696">
        <v>6423</v>
      </c>
      <c r="B5400" s="469"/>
      <c r="C5400" s="458"/>
      <c r="D5400" s="456">
        <v>0</v>
      </c>
      <c r="E5400" s="456">
        <v>0</v>
      </c>
      <c r="F5400" s="456"/>
      <c r="G5400" s="456"/>
      <c r="H5400" s="456"/>
    </row>
    <row r="5401" spans="1:8">
      <c r="A5401" s="696">
        <v>6424</v>
      </c>
      <c r="B5401" s="469"/>
      <c r="C5401" s="458"/>
      <c r="D5401" s="456">
        <v>0</v>
      </c>
      <c r="E5401" s="456">
        <v>0</v>
      </c>
      <c r="F5401" s="456"/>
      <c r="G5401" s="456"/>
      <c r="H5401" s="456"/>
    </row>
    <row r="5402" spans="1:8">
      <c r="A5402" s="696">
        <v>6425</v>
      </c>
      <c r="B5402" s="469"/>
      <c r="C5402" s="458"/>
      <c r="D5402" s="456">
        <v>0</v>
      </c>
      <c r="E5402" s="456">
        <v>0</v>
      </c>
      <c r="F5402" s="456"/>
      <c r="G5402" s="456"/>
      <c r="H5402" s="456"/>
    </row>
    <row r="5403" spans="1:8">
      <c r="A5403" s="696">
        <v>6426</v>
      </c>
      <c r="B5403" s="469"/>
      <c r="C5403" s="458"/>
      <c r="D5403" s="456">
        <v>0</v>
      </c>
      <c r="E5403" s="456">
        <v>0</v>
      </c>
      <c r="F5403" s="456"/>
      <c r="G5403" s="456"/>
      <c r="H5403" s="456"/>
    </row>
    <row r="5404" spans="1:8">
      <c r="A5404" s="696">
        <v>6427</v>
      </c>
      <c r="B5404" s="469"/>
      <c r="C5404" s="458"/>
      <c r="D5404" s="456">
        <v>0</v>
      </c>
      <c r="E5404" s="456">
        <v>0</v>
      </c>
      <c r="F5404" s="456"/>
      <c r="G5404" s="456"/>
      <c r="H5404" s="456"/>
    </row>
    <row r="5405" spans="1:8">
      <c r="A5405" s="696">
        <v>6428</v>
      </c>
      <c r="B5405" s="469"/>
      <c r="C5405" s="458"/>
      <c r="D5405" s="456">
        <v>0</v>
      </c>
      <c r="E5405" s="456">
        <v>0</v>
      </c>
      <c r="F5405" s="456"/>
      <c r="G5405" s="456"/>
      <c r="H5405" s="456"/>
    </row>
    <row r="5406" spans="1:8">
      <c r="A5406" s="696">
        <v>6429</v>
      </c>
      <c r="B5406" s="469"/>
      <c r="C5406" s="458"/>
      <c r="D5406" s="456">
        <v>0</v>
      </c>
      <c r="E5406" s="456">
        <v>0</v>
      </c>
      <c r="F5406" s="456"/>
      <c r="G5406" s="456"/>
      <c r="H5406" s="456"/>
    </row>
    <row r="5407" spans="1:8">
      <c r="A5407" s="696">
        <v>6430</v>
      </c>
      <c r="B5407" s="469"/>
      <c r="C5407" s="458"/>
      <c r="D5407" s="456">
        <v>0</v>
      </c>
      <c r="E5407" s="456">
        <v>0</v>
      </c>
      <c r="F5407" s="456"/>
      <c r="G5407" s="456"/>
      <c r="H5407" s="456"/>
    </row>
    <row r="5408" spans="1:8">
      <c r="A5408" s="696">
        <v>6431</v>
      </c>
      <c r="B5408" s="469"/>
      <c r="C5408" s="458"/>
      <c r="D5408" s="456">
        <v>0</v>
      </c>
      <c r="E5408" s="456">
        <v>0</v>
      </c>
      <c r="F5408" s="456"/>
      <c r="G5408" s="456"/>
      <c r="H5408" s="456"/>
    </row>
    <row r="5409" spans="1:8">
      <c r="A5409" s="696">
        <v>6432</v>
      </c>
      <c r="B5409" s="469"/>
      <c r="C5409" s="458"/>
      <c r="D5409" s="456">
        <v>0</v>
      </c>
      <c r="E5409" s="456">
        <v>0</v>
      </c>
      <c r="F5409" s="456"/>
      <c r="G5409" s="456"/>
      <c r="H5409" s="456"/>
    </row>
    <row r="5410" spans="1:8">
      <c r="A5410" s="696">
        <v>6433</v>
      </c>
      <c r="B5410" s="469"/>
      <c r="C5410" s="458"/>
      <c r="D5410" s="456">
        <v>0</v>
      </c>
      <c r="E5410" s="456">
        <v>0</v>
      </c>
      <c r="F5410" s="456"/>
      <c r="G5410" s="456"/>
      <c r="H5410" s="456"/>
    </row>
    <row r="5411" spans="1:8">
      <c r="A5411" s="696">
        <v>6434</v>
      </c>
      <c r="B5411" s="469"/>
      <c r="C5411" s="458"/>
      <c r="D5411" s="456">
        <v>0</v>
      </c>
      <c r="E5411" s="456">
        <v>0</v>
      </c>
      <c r="F5411" s="456"/>
      <c r="G5411" s="456"/>
      <c r="H5411" s="456"/>
    </row>
    <row r="5412" spans="1:8">
      <c r="A5412" s="696">
        <v>6435</v>
      </c>
      <c r="B5412" s="469"/>
      <c r="C5412" s="458"/>
      <c r="D5412" s="456">
        <v>0</v>
      </c>
      <c r="E5412" s="456">
        <v>0</v>
      </c>
      <c r="F5412" s="456"/>
      <c r="G5412" s="456"/>
      <c r="H5412" s="456"/>
    </row>
    <row r="5413" spans="1:8">
      <c r="A5413" s="696">
        <v>6436</v>
      </c>
      <c r="B5413" s="469"/>
      <c r="C5413" s="458"/>
      <c r="D5413" s="456">
        <v>0</v>
      </c>
      <c r="E5413" s="456">
        <v>0</v>
      </c>
      <c r="F5413" s="456"/>
      <c r="G5413" s="456"/>
      <c r="H5413" s="456"/>
    </row>
    <row r="5414" spans="1:8">
      <c r="A5414" s="696">
        <v>6437</v>
      </c>
      <c r="B5414" s="469"/>
      <c r="C5414" s="458"/>
      <c r="D5414" s="456">
        <v>0</v>
      </c>
      <c r="E5414" s="456">
        <v>0</v>
      </c>
      <c r="F5414" s="456"/>
      <c r="G5414" s="456"/>
      <c r="H5414" s="456"/>
    </row>
    <row r="5415" spans="1:8">
      <c r="A5415" s="696">
        <v>6438</v>
      </c>
      <c r="B5415" s="469"/>
      <c r="C5415" s="458"/>
      <c r="D5415" s="456">
        <v>0</v>
      </c>
      <c r="E5415" s="456">
        <v>0</v>
      </c>
      <c r="F5415" s="456"/>
      <c r="G5415" s="456"/>
      <c r="H5415" s="456"/>
    </row>
    <row r="5416" spans="1:8">
      <c r="A5416" s="696">
        <v>6439</v>
      </c>
      <c r="B5416" s="469"/>
      <c r="C5416" s="458"/>
      <c r="D5416" s="456">
        <v>0</v>
      </c>
      <c r="E5416" s="456">
        <v>0</v>
      </c>
      <c r="F5416" s="456"/>
      <c r="G5416" s="456"/>
      <c r="H5416" s="456"/>
    </row>
    <row r="5417" spans="1:8">
      <c r="A5417" s="696">
        <v>6440</v>
      </c>
      <c r="B5417" s="469"/>
      <c r="C5417" s="458"/>
      <c r="D5417" s="456">
        <v>0</v>
      </c>
      <c r="E5417" s="456">
        <v>0</v>
      </c>
      <c r="F5417" s="456"/>
      <c r="G5417" s="456"/>
      <c r="H5417" s="456"/>
    </row>
    <row r="5418" spans="1:8">
      <c r="A5418" s="696">
        <v>6441</v>
      </c>
      <c r="B5418" s="469"/>
      <c r="C5418" s="458"/>
      <c r="D5418" s="456">
        <v>0</v>
      </c>
      <c r="E5418" s="456">
        <v>0</v>
      </c>
      <c r="F5418" s="456"/>
      <c r="G5418" s="456"/>
      <c r="H5418" s="456"/>
    </row>
    <row r="5419" spans="1:8">
      <c r="A5419" s="696">
        <v>6442</v>
      </c>
      <c r="B5419" s="469"/>
      <c r="C5419" s="458"/>
      <c r="D5419" s="456">
        <v>0</v>
      </c>
      <c r="E5419" s="456">
        <v>0</v>
      </c>
      <c r="F5419" s="456"/>
      <c r="G5419" s="456"/>
      <c r="H5419" s="456"/>
    </row>
    <row r="5420" spans="1:8">
      <c r="A5420" s="696">
        <v>6443</v>
      </c>
      <c r="B5420" s="469"/>
      <c r="C5420" s="458"/>
      <c r="D5420" s="456">
        <v>0</v>
      </c>
      <c r="E5420" s="456">
        <v>0</v>
      </c>
      <c r="F5420" s="456"/>
      <c r="G5420" s="456"/>
      <c r="H5420" s="456"/>
    </row>
    <row r="5421" spans="1:8">
      <c r="A5421" s="696">
        <v>6444</v>
      </c>
      <c r="B5421" s="469"/>
      <c r="C5421" s="458"/>
      <c r="D5421" s="456">
        <v>0</v>
      </c>
      <c r="E5421" s="456">
        <v>0</v>
      </c>
      <c r="F5421" s="456"/>
      <c r="G5421" s="456"/>
      <c r="H5421" s="456"/>
    </row>
    <row r="5422" spans="1:8">
      <c r="A5422" s="696">
        <v>6445</v>
      </c>
      <c r="B5422" s="469"/>
      <c r="C5422" s="458"/>
      <c r="D5422" s="456">
        <v>0</v>
      </c>
      <c r="E5422" s="456">
        <v>0</v>
      </c>
      <c r="F5422" s="456"/>
      <c r="G5422" s="456"/>
      <c r="H5422" s="456"/>
    </row>
    <row r="5423" spans="1:8">
      <c r="A5423" s="696">
        <v>6446</v>
      </c>
      <c r="B5423" s="469"/>
      <c r="C5423" s="458"/>
      <c r="D5423" s="456">
        <v>0</v>
      </c>
      <c r="E5423" s="456">
        <v>0</v>
      </c>
      <c r="F5423" s="456"/>
      <c r="G5423" s="456"/>
      <c r="H5423" s="456"/>
    </row>
    <row r="5424" spans="1:8">
      <c r="A5424" s="696">
        <v>6447</v>
      </c>
      <c r="B5424" s="469"/>
      <c r="C5424" s="458"/>
      <c r="D5424" s="456">
        <v>0</v>
      </c>
      <c r="E5424" s="456">
        <v>0</v>
      </c>
      <c r="F5424" s="456"/>
      <c r="G5424" s="456"/>
      <c r="H5424" s="456"/>
    </row>
    <row r="5425" spans="1:8">
      <c r="A5425" s="696">
        <v>6448</v>
      </c>
      <c r="B5425" s="469"/>
      <c r="C5425" s="458"/>
      <c r="D5425" s="456">
        <v>0</v>
      </c>
      <c r="E5425" s="456">
        <v>0</v>
      </c>
      <c r="F5425" s="456"/>
      <c r="G5425" s="456"/>
      <c r="H5425" s="456"/>
    </row>
    <row r="5426" spans="1:8">
      <c r="A5426" s="696">
        <v>6449</v>
      </c>
      <c r="B5426" s="469"/>
      <c r="C5426" s="458"/>
      <c r="D5426" s="456">
        <v>0</v>
      </c>
      <c r="E5426" s="456">
        <v>0</v>
      </c>
      <c r="F5426" s="456"/>
      <c r="G5426" s="456"/>
      <c r="H5426" s="456"/>
    </row>
    <row r="5427" spans="1:8">
      <c r="A5427" s="696">
        <v>6450</v>
      </c>
      <c r="B5427" s="469"/>
      <c r="C5427" s="458"/>
      <c r="D5427" s="456">
        <v>0</v>
      </c>
      <c r="E5427" s="456">
        <v>0</v>
      </c>
      <c r="F5427" s="456"/>
      <c r="G5427" s="456"/>
      <c r="H5427" s="456"/>
    </row>
    <row r="5428" spans="1:8">
      <c r="A5428" s="696">
        <v>6451</v>
      </c>
      <c r="B5428" s="469"/>
      <c r="C5428" s="458"/>
      <c r="D5428" s="456">
        <v>0</v>
      </c>
      <c r="E5428" s="456">
        <v>0</v>
      </c>
      <c r="F5428" s="456"/>
      <c r="G5428" s="456"/>
      <c r="H5428" s="456"/>
    </row>
    <row r="5429" spans="1:8">
      <c r="A5429" s="696">
        <v>6452</v>
      </c>
      <c r="B5429" s="469"/>
      <c r="C5429" s="458"/>
      <c r="D5429" s="456">
        <v>0</v>
      </c>
      <c r="E5429" s="456">
        <v>0</v>
      </c>
      <c r="F5429" s="456"/>
      <c r="G5429" s="456"/>
      <c r="H5429" s="456"/>
    </row>
    <row r="5430" spans="1:8">
      <c r="A5430" s="696">
        <v>6453</v>
      </c>
      <c r="B5430" s="469"/>
      <c r="C5430" s="458"/>
      <c r="D5430" s="456">
        <v>0</v>
      </c>
      <c r="E5430" s="456">
        <v>0</v>
      </c>
      <c r="F5430" s="456"/>
      <c r="G5430" s="456"/>
      <c r="H5430" s="456"/>
    </row>
    <row r="5431" spans="1:8">
      <c r="A5431" s="696">
        <v>6454</v>
      </c>
      <c r="B5431" s="469"/>
      <c r="C5431" s="458"/>
      <c r="D5431" s="456">
        <v>0</v>
      </c>
      <c r="E5431" s="456">
        <v>0</v>
      </c>
      <c r="F5431" s="456"/>
      <c r="G5431" s="456"/>
      <c r="H5431" s="456"/>
    </row>
    <row r="5432" spans="1:8">
      <c r="A5432" s="696">
        <v>6455</v>
      </c>
      <c r="B5432" s="469"/>
      <c r="C5432" s="458"/>
      <c r="D5432" s="456">
        <v>0</v>
      </c>
      <c r="E5432" s="456">
        <v>0</v>
      </c>
      <c r="F5432" s="456"/>
      <c r="G5432" s="456"/>
      <c r="H5432" s="456"/>
    </row>
    <row r="5433" spans="1:8">
      <c r="A5433" s="696">
        <v>6456</v>
      </c>
      <c r="B5433" s="469"/>
      <c r="C5433" s="458"/>
      <c r="D5433" s="456">
        <v>0</v>
      </c>
      <c r="E5433" s="456">
        <v>0</v>
      </c>
      <c r="F5433" s="456"/>
      <c r="G5433" s="456"/>
      <c r="H5433" s="456"/>
    </row>
    <row r="5434" spans="1:8">
      <c r="A5434" s="696">
        <v>6457</v>
      </c>
      <c r="B5434" s="469"/>
      <c r="C5434" s="458"/>
      <c r="D5434" s="456">
        <v>0</v>
      </c>
      <c r="E5434" s="456">
        <v>0</v>
      </c>
      <c r="F5434" s="456"/>
      <c r="G5434" s="456"/>
      <c r="H5434" s="456"/>
    </row>
    <row r="5435" spans="1:8">
      <c r="A5435" s="696">
        <v>6458</v>
      </c>
      <c r="B5435" s="469"/>
      <c r="C5435" s="458"/>
      <c r="D5435" s="456">
        <v>0</v>
      </c>
      <c r="E5435" s="456">
        <v>0</v>
      </c>
      <c r="F5435" s="456"/>
      <c r="G5435" s="456"/>
      <c r="H5435" s="456"/>
    </row>
    <row r="5436" spans="1:8">
      <c r="A5436" s="696">
        <v>6459</v>
      </c>
      <c r="B5436" s="469"/>
      <c r="C5436" s="458"/>
      <c r="D5436" s="456">
        <v>0</v>
      </c>
      <c r="E5436" s="456">
        <v>0</v>
      </c>
      <c r="F5436" s="456"/>
      <c r="G5436" s="456"/>
      <c r="H5436" s="456"/>
    </row>
    <row r="5437" spans="1:8">
      <c r="A5437" s="696">
        <v>6460</v>
      </c>
      <c r="B5437" s="469"/>
      <c r="C5437" s="458"/>
      <c r="D5437" s="456">
        <v>0</v>
      </c>
      <c r="E5437" s="456">
        <v>0</v>
      </c>
      <c r="F5437" s="456"/>
      <c r="G5437" s="456"/>
      <c r="H5437" s="456"/>
    </row>
    <row r="5438" spans="1:8">
      <c r="A5438" s="696">
        <v>6461</v>
      </c>
      <c r="B5438" s="469"/>
      <c r="C5438" s="458"/>
      <c r="D5438" s="456">
        <v>0</v>
      </c>
      <c r="E5438" s="456">
        <v>0</v>
      </c>
      <c r="F5438" s="456"/>
      <c r="G5438" s="456"/>
      <c r="H5438" s="456"/>
    </row>
    <row r="5439" spans="1:8">
      <c r="A5439" s="696">
        <v>6462</v>
      </c>
      <c r="B5439" s="469"/>
      <c r="C5439" s="458"/>
      <c r="D5439" s="456">
        <v>0</v>
      </c>
      <c r="E5439" s="456">
        <v>0</v>
      </c>
      <c r="F5439" s="456"/>
      <c r="G5439" s="456"/>
      <c r="H5439" s="456"/>
    </row>
    <row r="5440" spans="1:8">
      <c r="A5440" s="696">
        <v>6463</v>
      </c>
      <c r="B5440" s="469"/>
      <c r="C5440" s="458"/>
      <c r="D5440" s="456">
        <v>0</v>
      </c>
      <c r="E5440" s="456">
        <v>0</v>
      </c>
      <c r="F5440" s="456"/>
      <c r="G5440" s="456"/>
      <c r="H5440" s="456"/>
    </row>
    <row r="5441" spans="1:8">
      <c r="A5441" s="696">
        <v>6464</v>
      </c>
      <c r="B5441" s="469"/>
      <c r="C5441" s="458"/>
      <c r="D5441" s="456">
        <v>0</v>
      </c>
      <c r="E5441" s="456">
        <v>0</v>
      </c>
      <c r="F5441" s="456"/>
      <c r="G5441" s="456"/>
      <c r="H5441" s="456"/>
    </row>
    <row r="5442" spans="1:8">
      <c r="A5442" s="696">
        <v>6465</v>
      </c>
      <c r="B5442" s="469"/>
      <c r="C5442" s="458"/>
      <c r="D5442" s="456">
        <v>0</v>
      </c>
      <c r="E5442" s="456">
        <v>0</v>
      </c>
      <c r="F5442" s="456"/>
      <c r="G5442" s="456"/>
      <c r="H5442" s="456"/>
    </row>
    <row r="5443" spans="1:8">
      <c r="A5443" s="696">
        <v>6466</v>
      </c>
      <c r="B5443" s="469"/>
      <c r="C5443" s="458"/>
      <c r="D5443" s="456">
        <v>0</v>
      </c>
      <c r="E5443" s="456">
        <v>0</v>
      </c>
      <c r="F5443" s="456"/>
      <c r="G5443" s="456"/>
      <c r="H5443" s="456"/>
    </row>
    <row r="5444" spans="1:8">
      <c r="A5444" s="696">
        <v>6467</v>
      </c>
      <c r="B5444" s="469"/>
      <c r="C5444" s="458"/>
      <c r="D5444" s="456">
        <v>0</v>
      </c>
      <c r="E5444" s="456">
        <v>0</v>
      </c>
      <c r="F5444" s="456"/>
      <c r="G5444" s="456"/>
      <c r="H5444" s="456"/>
    </row>
    <row r="5445" spans="1:8">
      <c r="A5445" s="696">
        <v>6468</v>
      </c>
      <c r="B5445" s="469"/>
      <c r="C5445" s="458"/>
      <c r="D5445" s="456">
        <v>0</v>
      </c>
      <c r="E5445" s="456">
        <v>0</v>
      </c>
      <c r="F5445" s="456"/>
      <c r="G5445" s="456"/>
      <c r="H5445" s="456"/>
    </row>
    <row r="5446" spans="1:8">
      <c r="A5446" s="696">
        <v>6469</v>
      </c>
      <c r="B5446" s="469"/>
      <c r="C5446" s="458"/>
      <c r="D5446" s="456">
        <v>0</v>
      </c>
      <c r="E5446" s="456">
        <v>0</v>
      </c>
      <c r="F5446" s="456"/>
      <c r="G5446" s="456"/>
      <c r="H5446" s="456"/>
    </row>
    <row r="5447" spans="1:8">
      <c r="A5447" s="696">
        <v>6470</v>
      </c>
      <c r="B5447" s="469"/>
      <c r="C5447" s="458"/>
      <c r="D5447" s="456">
        <v>0</v>
      </c>
      <c r="E5447" s="456">
        <v>0</v>
      </c>
      <c r="F5447" s="456"/>
      <c r="G5447" s="456"/>
      <c r="H5447" s="456"/>
    </row>
    <row r="5448" spans="1:8">
      <c r="A5448" s="696">
        <v>6471</v>
      </c>
      <c r="B5448" s="469"/>
      <c r="C5448" s="458"/>
      <c r="D5448" s="456">
        <v>0</v>
      </c>
      <c r="E5448" s="456">
        <v>0</v>
      </c>
      <c r="F5448" s="456"/>
      <c r="G5448" s="456"/>
      <c r="H5448" s="456"/>
    </row>
    <row r="5449" spans="1:8">
      <c r="A5449" s="696">
        <v>6472</v>
      </c>
      <c r="B5449" s="469"/>
      <c r="C5449" s="458"/>
      <c r="D5449" s="456">
        <v>0</v>
      </c>
      <c r="E5449" s="456">
        <v>0</v>
      </c>
      <c r="F5449" s="456"/>
      <c r="G5449" s="456"/>
      <c r="H5449" s="456"/>
    </row>
    <row r="5450" spans="1:8">
      <c r="A5450" s="696">
        <v>6473</v>
      </c>
      <c r="B5450" s="469"/>
      <c r="C5450" s="458"/>
      <c r="D5450" s="456">
        <v>0</v>
      </c>
      <c r="E5450" s="456">
        <v>0</v>
      </c>
      <c r="F5450" s="456"/>
      <c r="G5450" s="456"/>
      <c r="H5450" s="456"/>
    </row>
    <row r="5451" spans="1:8">
      <c r="A5451" s="696">
        <v>6474</v>
      </c>
      <c r="B5451" s="469"/>
      <c r="C5451" s="458"/>
      <c r="D5451" s="456">
        <v>0</v>
      </c>
      <c r="E5451" s="456">
        <v>0</v>
      </c>
      <c r="F5451" s="456"/>
      <c r="G5451" s="456"/>
      <c r="H5451" s="456"/>
    </row>
    <row r="5452" spans="1:8">
      <c r="A5452" s="696">
        <v>6475</v>
      </c>
      <c r="B5452" s="469"/>
      <c r="C5452" s="458"/>
      <c r="D5452" s="456">
        <v>0</v>
      </c>
      <c r="E5452" s="456">
        <v>0</v>
      </c>
      <c r="F5452" s="456"/>
      <c r="G5452" s="456"/>
      <c r="H5452" s="456"/>
    </row>
    <row r="5453" spans="1:8">
      <c r="A5453" s="696">
        <v>6476</v>
      </c>
      <c r="B5453" s="469"/>
      <c r="C5453" s="458"/>
      <c r="D5453" s="456">
        <v>0</v>
      </c>
      <c r="E5453" s="456">
        <v>0</v>
      </c>
      <c r="F5453" s="456"/>
      <c r="G5453" s="456"/>
      <c r="H5453" s="456"/>
    </row>
    <row r="5454" spans="1:8">
      <c r="A5454" s="696">
        <v>6477</v>
      </c>
      <c r="B5454" s="469"/>
      <c r="C5454" s="458"/>
      <c r="D5454" s="456">
        <v>0</v>
      </c>
      <c r="E5454" s="456">
        <v>0</v>
      </c>
      <c r="F5454" s="456"/>
      <c r="G5454" s="456"/>
      <c r="H5454" s="456"/>
    </row>
    <row r="5455" spans="1:8">
      <c r="A5455" s="696">
        <v>6478</v>
      </c>
      <c r="B5455" s="469"/>
      <c r="C5455" s="458"/>
      <c r="D5455" s="456">
        <v>0</v>
      </c>
      <c r="E5455" s="456">
        <v>0</v>
      </c>
      <c r="F5455" s="456"/>
      <c r="G5455" s="456"/>
      <c r="H5455" s="456"/>
    </row>
    <row r="5456" spans="1:8">
      <c r="A5456" s="696">
        <v>6479</v>
      </c>
      <c r="B5456" s="469"/>
      <c r="C5456" s="458"/>
      <c r="D5456" s="456">
        <v>0</v>
      </c>
      <c r="E5456" s="456">
        <v>0</v>
      </c>
      <c r="F5456" s="456"/>
      <c r="G5456" s="456"/>
      <c r="H5456" s="456"/>
    </row>
    <row r="5457" spans="1:8">
      <c r="A5457" s="696">
        <v>6480</v>
      </c>
      <c r="B5457" s="469"/>
      <c r="C5457" s="458"/>
      <c r="D5457" s="456">
        <v>0</v>
      </c>
      <c r="E5457" s="456">
        <v>0</v>
      </c>
      <c r="F5457" s="456"/>
      <c r="G5457" s="456"/>
      <c r="H5457" s="456"/>
    </row>
    <row r="5458" spans="1:8">
      <c r="A5458" s="696">
        <v>6481</v>
      </c>
      <c r="B5458" s="469"/>
      <c r="C5458" s="458"/>
      <c r="D5458" s="456">
        <v>0</v>
      </c>
      <c r="E5458" s="456">
        <v>0</v>
      </c>
      <c r="F5458" s="456"/>
      <c r="G5458" s="456"/>
      <c r="H5458" s="456"/>
    </row>
    <row r="5459" spans="1:8">
      <c r="A5459" s="696">
        <v>6482</v>
      </c>
      <c r="B5459" s="469"/>
      <c r="C5459" s="458"/>
      <c r="D5459" s="456">
        <v>0</v>
      </c>
      <c r="E5459" s="456">
        <v>0</v>
      </c>
      <c r="F5459" s="456"/>
      <c r="G5459" s="456"/>
      <c r="H5459" s="456"/>
    </row>
    <row r="5460" spans="1:8">
      <c r="A5460" s="696">
        <v>6483</v>
      </c>
      <c r="B5460" s="469"/>
      <c r="C5460" s="458"/>
      <c r="D5460" s="456">
        <v>0</v>
      </c>
      <c r="E5460" s="456">
        <v>0</v>
      </c>
      <c r="F5460" s="456"/>
      <c r="G5460" s="456"/>
      <c r="H5460" s="456"/>
    </row>
    <row r="5461" spans="1:8">
      <c r="A5461" s="696">
        <v>6484</v>
      </c>
      <c r="B5461" s="469"/>
      <c r="C5461" s="458"/>
      <c r="D5461" s="456">
        <v>0</v>
      </c>
      <c r="E5461" s="456">
        <v>0</v>
      </c>
      <c r="F5461" s="456"/>
      <c r="G5461" s="456"/>
      <c r="H5461" s="456"/>
    </row>
    <row r="5462" spans="1:8">
      <c r="A5462" s="696">
        <v>6485</v>
      </c>
      <c r="B5462" s="469"/>
      <c r="C5462" s="458"/>
      <c r="D5462" s="456">
        <v>0</v>
      </c>
      <c r="E5462" s="456">
        <v>0</v>
      </c>
      <c r="F5462" s="456"/>
      <c r="G5462" s="456"/>
      <c r="H5462" s="456"/>
    </row>
    <row r="5463" spans="1:8">
      <c r="A5463" s="696">
        <v>6486</v>
      </c>
      <c r="B5463" s="469"/>
      <c r="C5463" s="458"/>
      <c r="D5463" s="456">
        <v>0</v>
      </c>
      <c r="E5463" s="456">
        <v>0</v>
      </c>
      <c r="F5463" s="456"/>
      <c r="G5463" s="456"/>
      <c r="H5463" s="456"/>
    </row>
    <row r="5464" spans="1:8">
      <c r="A5464" s="696">
        <v>6487</v>
      </c>
      <c r="B5464" s="469"/>
      <c r="C5464" s="458"/>
      <c r="D5464" s="456">
        <v>0</v>
      </c>
      <c r="E5464" s="456">
        <v>0</v>
      </c>
      <c r="F5464" s="456"/>
      <c r="G5464" s="456"/>
      <c r="H5464" s="456"/>
    </row>
    <row r="5465" spans="1:8">
      <c r="A5465" s="696">
        <v>6488</v>
      </c>
      <c r="B5465" s="469"/>
      <c r="C5465" s="458"/>
      <c r="D5465" s="456">
        <v>0</v>
      </c>
      <c r="E5465" s="456">
        <v>0</v>
      </c>
      <c r="F5465" s="456"/>
      <c r="G5465" s="456"/>
      <c r="H5465" s="456"/>
    </row>
    <row r="5466" spans="1:8">
      <c r="A5466" s="696">
        <v>6489</v>
      </c>
      <c r="B5466" s="469"/>
      <c r="C5466" s="458"/>
      <c r="D5466" s="456">
        <v>0</v>
      </c>
      <c r="E5466" s="456">
        <v>0</v>
      </c>
      <c r="F5466" s="456"/>
      <c r="G5466" s="456"/>
      <c r="H5466" s="456"/>
    </row>
    <row r="5467" spans="1:8">
      <c r="A5467" s="696">
        <v>6490</v>
      </c>
      <c r="B5467" s="469"/>
      <c r="C5467" s="458"/>
      <c r="D5467" s="456">
        <v>0</v>
      </c>
      <c r="E5467" s="456">
        <v>0</v>
      </c>
      <c r="F5467" s="456"/>
      <c r="G5467" s="456"/>
      <c r="H5467" s="456"/>
    </row>
    <row r="5468" spans="1:8">
      <c r="A5468" s="696">
        <v>6491</v>
      </c>
      <c r="B5468" s="469"/>
      <c r="C5468" s="458"/>
      <c r="D5468" s="456">
        <v>0</v>
      </c>
      <c r="E5468" s="456">
        <v>0</v>
      </c>
      <c r="F5468" s="456"/>
      <c r="G5468" s="456"/>
      <c r="H5468" s="456"/>
    </row>
    <row r="5469" spans="1:8">
      <c r="A5469" s="696">
        <v>6492</v>
      </c>
      <c r="B5469" s="469"/>
      <c r="C5469" s="458"/>
      <c r="D5469" s="456">
        <v>0</v>
      </c>
      <c r="E5469" s="456">
        <v>0</v>
      </c>
      <c r="F5469" s="456"/>
      <c r="G5469" s="456"/>
      <c r="H5469" s="456"/>
    </row>
    <row r="5470" spans="1:8">
      <c r="A5470" s="696">
        <v>6493</v>
      </c>
      <c r="B5470" s="469"/>
      <c r="C5470" s="458"/>
      <c r="D5470" s="456">
        <v>0</v>
      </c>
      <c r="E5470" s="456">
        <v>0</v>
      </c>
      <c r="F5470" s="456"/>
      <c r="G5470" s="456"/>
      <c r="H5470" s="456"/>
    </row>
    <row r="5471" spans="1:8">
      <c r="A5471" s="696">
        <v>6494</v>
      </c>
      <c r="B5471" s="469"/>
      <c r="C5471" s="458"/>
      <c r="D5471" s="456">
        <v>0</v>
      </c>
      <c r="E5471" s="456">
        <v>0</v>
      </c>
      <c r="F5471" s="456"/>
      <c r="G5471" s="456"/>
      <c r="H5471" s="456"/>
    </row>
    <row r="5472" spans="1:8">
      <c r="A5472" s="696">
        <v>6495</v>
      </c>
      <c r="B5472" s="469"/>
      <c r="C5472" s="458"/>
      <c r="D5472" s="456">
        <v>0</v>
      </c>
      <c r="E5472" s="456">
        <v>0</v>
      </c>
      <c r="F5472" s="456"/>
      <c r="G5472" s="456"/>
      <c r="H5472" s="456"/>
    </row>
    <row r="5473" spans="1:8">
      <c r="A5473" s="696">
        <v>6496</v>
      </c>
      <c r="B5473" s="469"/>
      <c r="C5473" s="458"/>
      <c r="D5473" s="456">
        <v>0</v>
      </c>
      <c r="E5473" s="456">
        <v>0</v>
      </c>
      <c r="F5473" s="456"/>
      <c r="G5473" s="456"/>
      <c r="H5473" s="456"/>
    </row>
    <row r="5474" spans="1:8">
      <c r="A5474" s="696">
        <v>6497</v>
      </c>
      <c r="B5474" s="469"/>
      <c r="C5474" s="458"/>
      <c r="D5474" s="456">
        <v>0</v>
      </c>
      <c r="E5474" s="456">
        <v>0</v>
      </c>
      <c r="F5474" s="456"/>
      <c r="G5474" s="456"/>
      <c r="H5474" s="456"/>
    </row>
    <row r="5475" spans="1:8">
      <c r="A5475" s="696">
        <v>6498</v>
      </c>
      <c r="B5475" s="469"/>
      <c r="C5475" s="458"/>
      <c r="D5475" s="456">
        <v>0</v>
      </c>
      <c r="E5475" s="456">
        <v>0</v>
      </c>
      <c r="F5475" s="456"/>
      <c r="G5475" s="456"/>
      <c r="H5475" s="456"/>
    </row>
    <row r="5476" spans="1:8">
      <c r="A5476" s="696">
        <v>6499</v>
      </c>
      <c r="B5476" s="469"/>
      <c r="C5476" s="458"/>
      <c r="D5476" s="456">
        <v>0</v>
      </c>
      <c r="E5476" s="456">
        <v>0</v>
      </c>
      <c r="F5476" s="456"/>
      <c r="G5476" s="456"/>
      <c r="H5476" s="456"/>
    </row>
    <row r="5477" spans="1:8">
      <c r="A5477" s="696">
        <v>6500</v>
      </c>
      <c r="B5477" s="469"/>
      <c r="C5477" s="458"/>
      <c r="D5477" s="456">
        <v>0</v>
      </c>
      <c r="E5477" s="456">
        <v>0</v>
      </c>
      <c r="F5477" s="456"/>
      <c r="G5477" s="456"/>
      <c r="H5477" s="456"/>
    </row>
    <row r="5478" spans="1:8">
      <c r="A5478" s="696">
        <v>6501</v>
      </c>
      <c r="B5478" s="469"/>
      <c r="C5478" s="458"/>
      <c r="D5478" s="456">
        <v>0</v>
      </c>
      <c r="E5478" s="456">
        <v>0</v>
      </c>
      <c r="F5478" s="456"/>
      <c r="G5478" s="456"/>
      <c r="H5478" s="456"/>
    </row>
    <row r="5479" spans="1:8">
      <c r="A5479" s="696">
        <v>6502</v>
      </c>
      <c r="B5479" s="469"/>
      <c r="C5479" s="458"/>
      <c r="D5479" s="456">
        <v>0</v>
      </c>
      <c r="E5479" s="456">
        <v>0</v>
      </c>
      <c r="F5479" s="456"/>
      <c r="G5479" s="456"/>
      <c r="H5479" s="456"/>
    </row>
    <row r="5480" spans="1:8">
      <c r="A5480" s="696">
        <v>6503</v>
      </c>
      <c r="B5480" s="469"/>
      <c r="C5480" s="458"/>
      <c r="D5480" s="456">
        <v>0</v>
      </c>
      <c r="E5480" s="456">
        <v>0</v>
      </c>
      <c r="F5480" s="456"/>
      <c r="G5480" s="456"/>
      <c r="H5480" s="456"/>
    </row>
    <row r="5481" spans="1:8">
      <c r="A5481" s="696">
        <v>6504</v>
      </c>
      <c r="B5481" s="469"/>
      <c r="C5481" s="458"/>
      <c r="D5481" s="456">
        <v>0</v>
      </c>
      <c r="E5481" s="456">
        <v>0</v>
      </c>
      <c r="F5481" s="456"/>
      <c r="G5481" s="456"/>
      <c r="H5481" s="456"/>
    </row>
    <row r="5482" spans="1:8">
      <c r="A5482" s="696">
        <v>6505</v>
      </c>
      <c r="B5482" s="469"/>
      <c r="C5482" s="458"/>
      <c r="D5482" s="456">
        <v>0</v>
      </c>
      <c r="E5482" s="456">
        <v>0</v>
      </c>
      <c r="F5482" s="456"/>
      <c r="G5482" s="456"/>
      <c r="H5482" s="456"/>
    </row>
    <row r="5483" spans="1:8">
      <c r="A5483" s="696">
        <v>6506</v>
      </c>
      <c r="B5483" s="469"/>
      <c r="C5483" s="458"/>
      <c r="D5483" s="456">
        <v>0</v>
      </c>
      <c r="E5483" s="456">
        <v>0</v>
      </c>
      <c r="F5483" s="456"/>
      <c r="G5483" s="456"/>
      <c r="H5483" s="456"/>
    </row>
    <row r="5484" spans="1:8">
      <c r="A5484" s="696">
        <v>6507</v>
      </c>
      <c r="B5484" s="469"/>
      <c r="C5484" s="458"/>
      <c r="D5484" s="456">
        <v>0</v>
      </c>
      <c r="E5484" s="456">
        <v>0</v>
      </c>
      <c r="F5484" s="456"/>
      <c r="G5484" s="456"/>
      <c r="H5484" s="456"/>
    </row>
    <row r="5485" spans="1:8">
      <c r="A5485" s="696">
        <v>6508</v>
      </c>
      <c r="B5485" s="469"/>
      <c r="C5485" s="458"/>
      <c r="D5485" s="456">
        <v>0</v>
      </c>
      <c r="E5485" s="456">
        <v>0</v>
      </c>
      <c r="F5485" s="456"/>
      <c r="G5485" s="456"/>
      <c r="H5485" s="456"/>
    </row>
    <row r="5486" spans="1:8">
      <c r="A5486" s="696">
        <v>6509</v>
      </c>
      <c r="B5486" s="469"/>
      <c r="C5486" s="458"/>
      <c r="D5486" s="456">
        <v>0</v>
      </c>
      <c r="E5486" s="456">
        <v>0</v>
      </c>
      <c r="F5486" s="456"/>
      <c r="G5486" s="456"/>
      <c r="H5486" s="456"/>
    </row>
    <row r="5487" spans="1:8">
      <c r="A5487" s="696">
        <v>6510</v>
      </c>
      <c r="B5487" s="469"/>
      <c r="C5487" s="458"/>
      <c r="D5487" s="456">
        <v>0</v>
      </c>
      <c r="E5487" s="456">
        <v>0</v>
      </c>
      <c r="F5487" s="456"/>
      <c r="G5487" s="456"/>
      <c r="H5487" s="456"/>
    </row>
    <row r="5488" spans="1:8">
      <c r="A5488" s="696">
        <v>6511</v>
      </c>
      <c r="B5488" s="469"/>
      <c r="C5488" s="458"/>
      <c r="D5488" s="456">
        <v>0</v>
      </c>
      <c r="E5488" s="456">
        <v>0</v>
      </c>
      <c r="F5488" s="456"/>
      <c r="G5488" s="456"/>
      <c r="H5488" s="456"/>
    </row>
    <row r="5489" spans="1:8">
      <c r="A5489" s="696">
        <v>6512</v>
      </c>
      <c r="B5489" s="469"/>
      <c r="C5489" s="458"/>
      <c r="D5489" s="456">
        <v>0</v>
      </c>
      <c r="E5489" s="456">
        <v>0</v>
      </c>
      <c r="F5489" s="456"/>
      <c r="G5489" s="456"/>
      <c r="H5489" s="456"/>
    </row>
    <row r="5490" spans="1:8">
      <c r="A5490" s="696">
        <v>6513</v>
      </c>
      <c r="B5490" s="469"/>
      <c r="C5490" s="458"/>
      <c r="D5490" s="456">
        <v>0</v>
      </c>
      <c r="E5490" s="456">
        <v>0</v>
      </c>
      <c r="F5490" s="456"/>
      <c r="G5490" s="456"/>
      <c r="H5490" s="456"/>
    </row>
    <row r="5491" spans="1:8">
      <c r="A5491" s="696">
        <v>6514</v>
      </c>
      <c r="B5491" s="469"/>
      <c r="C5491" s="458"/>
      <c r="D5491" s="456">
        <v>0</v>
      </c>
      <c r="E5491" s="456">
        <v>0</v>
      </c>
      <c r="F5491" s="456"/>
      <c r="G5491" s="456"/>
      <c r="H5491" s="456"/>
    </row>
    <row r="5492" spans="1:8">
      <c r="A5492" s="696">
        <v>6515</v>
      </c>
      <c r="B5492" s="469"/>
      <c r="C5492" s="458"/>
      <c r="D5492" s="456">
        <v>0</v>
      </c>
      <c r="E5492" s="456">
        <v>0</v>
      </c>
      <c r="F5492" s="456"/>
      <c r="G5492" s="456"/>
      <c r="H5492" s="456"/>
    </row>
    <row r="5493" spans="1:8">
      <c r="A5493" s="696">
        <v>6516</v>
      </c>
      <c r="B5493" s="469"/>
      <c r="C5493" s="458"/>
      <c r="D5493" s="456">
        <v>0</v>
      </c>
      <c r="E5493" s="456">
        <v>0</v>
      </c>
      <c r="F5493" s="456"/>
      <c r="G5493" s="456"/>
      <c r="H5493" s="456"/>
    </row>
    <row r="5494" spans="1:8">
      <c r="A5494" s="696">
        <v>6517</v>
      </c>
      <c r="B5494" s="469"/>
      <c r="C5494" s="458"/>
      <c r="D5494" s="456">
        <v>0</v>
      </c>
      <c r="E5494" s="456">
        <v>0</v>
      </c>
      <c r="F5494" s="456"/>
      <c r="G5494" s="456"/>
      <c r="H5494" s="456"/>
    </row>
    <row r="5495" spans="1:8">
      <c r="A5495" s="696">
        <v>6518</v>
      </c>
      <c r="B5495" s="469"/>
      <c r="C5495" s="458"/>
      <c r="D5495" s="456">
        <v>0</v>
      </c>
      <c r="E5495" s="456">
        <v>0</v>
      </c>
      <c r="F5495" s="456"/>
      <c r="G5495" s="456"/>
      <c r="H5495" s="456"/>
    </row>
    <row r="5496" spans="1:8">
      <c r="A5496" s="696">
        <v>6519</v>
      </c>
      <c r="B5496" s="469"/>
      <c r="C5496" s="458"/>
      <c r="D5496" s="456">
        <v>0</v>
      </c>
      <c r="E5496" s="456">
        <v>0</v>
      </c>
      <c r="F5496" s="456"/>
      <c r="G5496" s="456"/>
      <c r="H5496" s="456"/>
    </row>
    <row r="5497" spans="1:8">
      <c r="A5497" s="696">
        <v>6520</v>
      </c>
      <c r="B5497" s="469"/>
      <c r="C5497" s="458"/>
      <c r="D5497" s="456">
        <v>0</v>
      </c>
      <c r="E5497" s="456">
        <v>0</v>
      </c>
      <c r="F5497" s="456"/>
      <c r="G5497" s="456"/>
      <c r="H5497" s="456"/>
    </row>
    <row r="5498" spans="1:8">
      <c r="A5498" s="696">
        <v>6521</v>
      </c>
      <c r="B5498" s="469"/>
      <c r="C5498" s="458"/>
      <c r="D5498" s="456">
        <v>0</v>
      </c>
      <c r="E5498" s="456">
        <v>0</v>
      </c>
      <c r="F5498" s="456"/>
      <c r="G5498" s="456"/>
      <c r="H5498" s="456"/>
    </row>
    <row r="5499" spans="1:8">
      <c r="A5499" s="696">
        <v>6522</v>
      </c>
      <c r="B5499" s="469"/>
      <c r="C5499" s="458"/>
      <c r="D5499" s="456">
        <v>0</v>
      </c>
      <c r="E5499" s="456">
        <v>0</v>
      </c>
      <c r="F5499" s="456"/>
      <c r="G5499" s="456"/>
      <c r="H5499" s="456"/>
    </row>
    <row r="5500" spans="1:8">
      <c r="A5500" s="696">
        <v>6523</v>
      </c>
      <c r="B5500" s="469"/>
      <c r="C5500" s="458"/>
      <c r="D5500" s="456">
        <v>0</v>
      </c>
      <c r="E5500" s="456">
        <v>0</v>
      </c>
      <c r="F5500" s="456"/>
      <c r="G5500" s="456"/>
      <c r="H5500" s="456"/>
    </row>
    <row r="5501" spans="1:8">
      <c r="A5501" s="696">
        <v>6524</v>
      </c>
      <c r="B5501" s="469"/>
      <c r="C5501" s="458"/>
      <c r="D5501" s="456">
        <v>0</v>
      </c>
      <c r="E5501" s="456">
        <v>0</v>
      </c>
      <c r="F5501" s="456"/>
      <c r="G5501" s="456"/>
      <c r="H5501" s="456"/>
    </row>
    <row r="5502" spans="1:8">
      <c r="A5502" s="696">
        <v>6525</v>
      </c>
      <c r="B5502" s="469"/>
      <c r="C5502" s="458"/>
      <c r="D5502" s="456">
        <v>0</v>
      </c>
      <c r="E5502" s="456">
        <v>0</v>
      </c>
      <c r="F5502" s="456"/>
      <c r="G5502" s="456"/>
      <c r="H5502" s="456"/>
    </row>
    <row r="5503" spans="1:8">
      <c r="A5503" s="696">
        <v>6526</v>
      </c>
      <c r="B5503" s="469"/>
      <c r="C5503" s="458"/>
      <c r="D5503" s="456">
        <v>0</v>
      </c>
      <c r="E5503" s="456">
        <v>0</v>
      </c>
      <c r="F5503" s="456"/>
      <c r="G5503" s="456"/>
      <c r="H5503" s="456"/>
    </row>
    <row r="5504" spans="1:8">
      <c r="A5504" s="696">
        <v>6527</v>
      </c>
      <c r="B5504" s="469"/>
      <c r="C5504" s="458"/>
      <c r="D5504" s="456">
        <v>0</v>
      </c>
      <c r="E5504" s="456">
        <v>0</v>
      </c>
      <c r="F5504" s="456"/>
      <c r="G5504" s="456"/>
      <c r="H5504" s="456"/>
    </row>
    <row r="5505" spans="1:8">
      <c r="A5505" s="696">
        <v>6528</v>
      </c>
      <c r="B5505" s="469"/>
      <c r="C5505" s="458"/>
      <c r="D5505" s="456">
        <v>0</v>
      </c>
      <c r="E5505" s="456">
        <v>0</v>
      </c>
      <c r="F5505" s="456"/>
      <c r="G5505" s="456"/>
      <c r="H5505" s="456"/>
    </row>
    <row r="5506" spans="1:8">
      <c r="A5506" s="696">
        <v>6529</v>
      </c>
      <c r="B5506" s="469"/>
      <c r="C5506" s="458"/>
      <c r="D5506" s="456">
        <v>0</v>
      </c>
      <c r="E5506" s="456">
        <v>0</v>
      </c>
      <c r="F5506" s="456"/>
      <c r="G5506" s="456"/>
      <c r="H5506" s="456"/>
    </row>
    <row r="5507" spans="1:8">
      <c r="A5507" s="696">
        <v>6530</v>
      </c>
      <c r="B5507" s="469"/>
      <c r="C5507" s="458"/>
      <c r="D5507" s="456">
        <v>0</v>
      </c>
      <c r="E5507" s="456">
        <v>0</v>
      </c>
      <c r="F5507" s="456"/>
      <c r="G5507" s="456"/>
      <c r="H5507" s="456"/>
    </row>
    <row r="5508" spans="1:8">
      <c r="A5508" s="696">
        <v>6531</v>
      </c>
      <c r="B5508" s="469"/>
      <c r="C5508" s="458"/>
      <c r="D5508" s="456">
        <v>0</v>
      </c>
      <c r="E5508" s="456">
        <v>0</v>
      </c>
      <c r="F5508" s="456"/>
      <c r="G5508" s="456"/>
      <c r="H5508" s="456"/>
    </row>
    <row r="5509" spans="1:8">
      <c r="A5509" s="696">
        <v>6532</v>
      </c>
      <c r="B5509" s="469"/>
      <c r="C5509" s="458"/>
      <c r="D5509" s="456">
        <v>0</v>
      </c>
      <c r="E5509" s="456">
        <v>0</v>
      </c>
      <c r="F5509" s="456"/>
      <c r="G5509" s="456"/>
      <c r="H5509" s="456"/>
    </row>
    <row r="5510" spans="1:8">
      <c r="A5510" s="696">
        <v>6533</v>
      </c>
      <c r="B5510" s="469"/>
      <c r="C5510" s="458"/>
      <c r="D5510" s="456">
        <v>0</v>
      </c>
      <c r="E5510" s="456">
        <v>0</v>
      </c>
      <c r="F5510" s="456"/>
      <c r="G5510" s="456"/>
      <c r="H5510" s="456"/>
    </row>
    <row r="5511" spans="1:8">
      <c r="A5511" s="696">
        <v>6534</v>
      </c>
      <c r="B5511" s="469"/>
      <c r="C5511" s="458"/>
      <c r="D5511" s="456">
        <v>0</v>
      </c>
      <c r="E5511" s="456">
        <v>0</v>
      </c>
      <c r="F5511" s="456"/>
      <c r="G5511" s="456"/>
      <c r="H5511" s="456"/>
    </row>
    <row r="5512" spans="1:8">
      <c r="A5512" s="696">
        <v>6535</v>
      </c>
      <c r="B5512" s="469"/>
      <c r="C5512" s="458"/>
      <c r="D5512" s="456">
        <v>0</v>
      </c>
      <c r="E5512" s="456">
        <v>0</v>
      </c>
      <c r="F5512" s="456"/>
      <c r="G5512" s="456"/>
      <c r="H5512" s="456"/>
    </row>
    <row r="5513" spans="1:8">
      <c r="A5513" s="696">
        <v>6536</v>
      </c>
      <c r="B5513" s="469"/>
      <c r="C5513" s="458"/>
      <c r="D5513" s="456">
        <v>0</v>
      </c>
      <c r="E5513" s="456">
        <v>0</v>
      </c>
      <c r="F5513" s="456"/>
      <c r="G5513" s="456"/>
      <c r="H5513" s="456"/>
    </row>
    <row r="5514" spans="1:8">
      <c r="A5514" s="696">
        <v>6537</v>
      </c>
      <c r="B5514" s="469"/>
      <c r="C5514" s="458"/>
      <c r="D5514" s="456">
        <v>0</v>
      </c>
      <c r="E5514" s="456">
        <v>0</v>
      </c>
      <c r="F5514" s="456"/>
      <c r="G5514" s="456"/>
      <c r="H5514" s="456"/>
    </row>
    <row r="5515" spans="1:8">
      <c r="A5515" s="696">
        <v>6538</v>
      </c>
      <c r="B5515" s="469"/>
      <c r="C5515" s="458"/>
      <c r="D5515" s="456">
        <v>0</v>
      </c>
      <c r="E5515" s="456">
        <v>0</v>
      </c>
      <c r="F5515" s="456"/>
      <c r="G5515" s="456"/>
      <c r="H5515" s="456"/>
    </row>
    <row r="5516" spans="1:8">
      <c r="A5516" s="696">
        <v>6539</v>
      </c>
      <c r="B5516" s="469"/>
      <c r="C5516" s="458"/>
      <c r="D5516" s="456">
        <v>0</v>
      </c>
      <c r="E5516" s="456">
        <v>0</v>
      </c>
      <c r="F5516" s="456"/>
      <c r="G5516" s="456"/>
      <c r="H5516" s="456"/>
    </row>
    <row r="5517" spans="1:8">
      <c r="A5517" s="696">
        <v>6540</v>
      </c>
      <c r="B5517" s="469"/>
      <c r="C5517" s="458"/>
      <c r="D5517" s="456">
        <v>0</v>
      </c>
      <c r="E5517" s="456">
        <v>0</v>
      </c>
      <c r="F5517" s="456"/>
      <c r="G5517" s="456"/>
      <c r="H5517" s="456"/>
    </row>
    <row r="5518" spans="1:8">
      <c r="A5518" s="696">
        <v>6541</v>
      </c>
      <c r="B5518" s="469"/>
      <c r="C5518" s="458"/>
      <c r="D5518" s="456">
        <v>0</v>
      </c>
      <c r="E5518" s="456">
        <v>0</v>
      </c>
      <c r="F5518" s="456"/>
      <c r="G5518" s="456"/>
      <c r="H5518" s="456"/>
    </row>
    <row r="5519" spans="1:8">
      <c r="A5519" s="696">
        <v>6542</v>
      </c>
      <c r="B5519" s="469"/>
      <c r="C5519" s="458"/>
      <c r="D5519" s="456">
        <v>0</v>
      </c>
      <c r="E5519" s="456">
        <v>0</v>
      </c>
      <c r="F5519" s="456"/>
      <c r="G5519" s="456"/>
      <c r="H5519" s="456"/>
    </row>
    <row r="5520" spans="1:8">
      <c r="A5520" s="696">
        <v>6543</v>
      </c>
      <c r="B5520" s="469"/>
      <c r="C5520" s="458"/>
      <c r="D5520" s="456">
        <v>0</v>
      </c>
      <c r="E5520" s="456">
        <v>0</v>
      </c>
      <c r="F5520" s="456"/>
      <c r="G5520" s="456"/>
      <c r="H5520" s="456"/>
    </row>
    <row r="5521" spans="1:8">
      <c r="A5521" s="696">
        <v>6544</v>
      </c>
      <c r="B5521" s="469"/>
      <c r="C5521" s="458"/>
      <c r="D5521" s="456">
        <v>0</v>
      </c>
      <c r="E5521" s="456">
        <v>0</v>
      </c>
      <c r="F5521" s="456"/>
      <c r="G5521" s="456"/>
      <c r="H5521" s="456"/>
    </row>
    <row r="5522" spans="1:8">
      <c r="A5522" s="696">
        <v>6545</v>
      </c>
      <c r="B5522" s="469"/>
      <c r="C5522" s="458"/>
      <c r="D5522" s="456">
        <v>0</v>
      </c>
      <c r="E5522" s="456">
        <v>0</v>
      </c>
      <c r="F5522" s="456"/>
      <c r="G5522" s="456"/>
      <c r="H5522" s="456"/>
    </row>
    <row r="5523" spans="1:8">
      <c r="A5523" s="696">
        <v>6546</v>
      </c>
      <c r="B5523" s="469"/>
      <c r="C5523" s="458"/>
      <c r="D5523" s="456">
        <v>0</v>
      </c>
      <c r="E5523" s="456">
        <v>0</v>
      </c>
      <c r="F5523" s="456"/>
      <c r="G5523" s="456"/>
      <c r="H5523" s="456"/>
    </row>
    <row r="5524" spans="1:8">
      <c r="A5524" s="696">
        <v>6547</v>
      </c>
      <c r="B5524" s="469"/>
      <c r="C5524" s="458"/>
      <c r="D5524" s="456">
        <v>0</v>
      </c>
      <c r="E5524" s="456">
        <v>0</v>
      </c>
      <c r="F5524" s="456"/>
      <c r="G5524" s="456"/>
      <c r="H5524" s="456"/>
    </row>
    <row r="5525" spans="1:8">
      <c r="A5525" s="696">
        <v>6548</v>
      </c>
      <c r="B5525" s="469"/>
      <c r="C5525" s="458"/>
      <c r="D5525" s="456">
        <v>0</v>
      </c>
      <c r="E5525" s="456">
        <v>0</v>
      </c>
      <c r="F5525" s="456"/>
      <c r="G5525" s="456"/>
      <c r="H5525" s="456"/>
    </row>
    <row r="5526" spans="1:8">
      <c r="A5526" s="696">
        <v>6549</v>
      </c>
      <c r="B5526" s="469"/>
      <c r="C5526" s="458"/>
      <c r="D5526" s="456">
        <v>0</v>
      </c>
      <c r="E5526" s="456">
        <v>0</v>
      </c>
      <c r="F5526" s="456"/>
      <c r="G5526" s="456"/>
      <c r="H5526" s="456"/>
    </row>
    <row r="5527" spans="1:8">
      <c r="A5527" s="696">
        <v>6550</v>
      </c>
      <c r="B5527" s="469"/>
      <c r="C5527" s="458"/>
      <c r="D5527" s="456">
        <v>0</v>
      </c>
      <c r="E5527" s="456">
        <v>0</v>
      </c>
      <c r="F5527" s="456"/>
      <c r="G5527" s="456"/>
      <c r="H5527" s="456"/>
    </row>
    <row r="5528" spans="1:8">
      <c r="A5528" s="696">
        <v>6551</v>
      </c>
      <c r="B5528" s="469"/>
      <c r="C5528" s="458"/>
      <c r="D5528" s="456">
        <v>0</v>
      </c>
      <c r="E5528" s="456">
        <v>0</v>
      </c>
      <c r="F5528" s="456"/>
      <c r="G5528" s="456"/>
      <c r="H5528" s="456"/>
    </row>
    <row r="5529" spans="1:8">
      <c r="A5529" s="696">
        <v>6552</v>
      </c>
      <c r="B5529" s="469"/>
      <c r="C5529" s="458"/>
      <c r="D5529" s="456">
        <v>0</v>
      </c>
      <c r="E5529" s="456">
        <v>0</v>
      </c>
      <c r="F5529" s="456"/>
      <c r="G5529" s="456"/>
      <c r="H5529" s="456"/>
    </row>
    <row r="5530" spans="1:8">
      <c r="A5530" s="696">
        <v>6553</v>
      </c>
      <c r="B5530" s="469"/>
      <c r="C5530" s="458"/>
      <c r="D5530" s="456">
        <v>0</v>
      </c>
      <c r="E5530" s="456">
        <v>0</v>
      </c>
      <c r="F5530" s="456"/>
      <c r="G5530" s="456"/>
      <c r="H5530" s="456"/>
    </row>
    <row r="5531" spans="1:8">
      <c r="A5531" s="696">
        <v>6554</v>
      </c>
      <c r="B5531" s="469"/>
      <c r="C5531" s="458"/>
      <c r="D5531" s="456">
        <v>0</v>
      </c>
      <c r="E5531" s="456">
        <v>0</v>
      </c>
      <c r="F5531" s="456"/>
      <c r="G5531" s="456"/>
      <c r="H5531" s="456"/>
    </row>
    <row r="5532" spans="1:8">
      <c r="A5532" s="696">
        <v>6555</v>
      </c>
      <c r="B5532" s="469"/>
      <c r="C5532" s="458"/>
      <c r="D5532" s="456">
        <v>0</v>
      </c>
      <c r="E5532" s="456">
        <v>0</v>
      </c>
      <c r="F5532" s="456"/>
      <c r="G5532" s="456"/>
      <c r="H5532" s="456"/>
    </row>
    <row r="5533" spans="1:8">
      <c r="A5533" s="696">
        <v>6556</v>
      </c>
      <c r="B5533" s="469"/>
      <c r="C5533" s="458"/>
      <c r="D5533" s="456">
        <v>0</v>
      </c>
      <c r="E5533" s="456">
        <v>0</v>
      </c>
      <c r="F5533" s="456"/>
      <c r="G5533" s="456"/>
      <c r="H5533" s="456"/>
    </row>
    <row r="5534" spans="1:8">
      <c r="A5534" s="696">
        <v>6557</v>
      </c>
      <c r="B5534" s="469"/>
      <c r="C5534" s="458"/>
      <c r="D5534" s="456">
        <v>0</v>
      </c>
      <c r="E5534" s="456">
        <v>0</v>
      </c>
      <c r="F5534" s="456"/>
      <c r="G5534" s="456"/>
      <c r="H5534" s="456"/>
    </row>
    <row r="5535" spans="1:8">
      <c r="A5535" s="696">
        <v>6558</v>
      </c>
      <c r="B5535" s="469"/>
      <c r="C5535" s="458"/>
      <c r="D5535" s="456">
        <v>0</v>
      </c>
      <c r="E5535" s="456">
        <v>0</v>
      </c>
      <c r="F5535" s="456"/>
      <c r="G5535" s="456"/>
      <c r="H5535" s="456"/>
    </row>
    <row r="5536" spans="1:8">
      <c r="A5536" s="696">
        <v>6559</v>
      </c>
      <c r="B5536" s="469"/>
      <c r="C5536" s="458"/>
      <c r="D5536" s="456">
        <v>0</v>
      </c>
      <c r="E5536" s="456">
        <v>0</v>
      </c>
      <c r="F5536" s="456"/>
      <c r="G5536" s="456"/>
      <c r="H5536" s="456"/>
    </row>
    <row r="5537" spans="1:8">
      <c r="A5537" s="696">
        <v>6560</v>
      </c>
      <c r="B5537" s="469"/>
      <c r="C5537" s="458"/>
      <c r="D5537" s="456">
        <v>0</v>
      </c>
      <c r="E5537" s="456">
        <v>0</v>
      </c>
      <c r="F5537" s="456"/>
      <c r="G5537" s="456"/>
      <c r="H5537" s="456"/>
    </row>
    <row r="5538" spans="1:8">
      <c r="A5538" s="696">
        <v>6561</v>
      </c>
      <c r="B5538" s="469"/>
      <c r="C5538" s="458"/>
      <c r="D5538" s="456">
        <v>0</v>
      </c>
      <c r="E5538" s="456">
        <v>0</v>
      </c>
      <c r="F5538" s="456"/>
      <c r="G5538" s="456"/>
      <c r="H5538" s="456"/>
    </row>
    <row r="5539" spans="1:8">
      <c r="A5539" s="696">
        <v>6562</v>
      </c>
      <c r="B5539" s="469"/>
      <c r="C5539" s="458"/>
      <c r="D5539" s="456">
        <v>0</v>
      </c>
      <c r="E5539" s="456">
        <v>0</v>
      </c>
      <c r="F5539" s="456"/>
      <c r="G5539" s="456"/>
      <c r="H5539" s="456"/>
    </row>
    <row r="5540" spans="1:8">
      <c r="A5540" s="696">
        <v>6563</v>
      </c>
      <c r="B5540" s="469"/>
      <c r="C5540" s="458"/>
      <c r="D5540" s="456">
        <v>0</v>
      </c>
      <c r="E5540" s="456">
        <v>0</v>
      </c>
      <c r="F5540" s="456"/>
      <c r="G5540" s="456"/>
      <c r="H5540" s="456"/>
    </row>
    <row r="5541" spans="1:8">
      <c r="A5541" s="696">
        <v>6564</v>
      </c>
      <c r="B5541" s="469"/>
      <c r="C5541" s="458"/>
      <c r="D5541" s="456">
        <v>0</v>
      </c>
      <c r="E5541" s="456">
        <v>0</v>
      </c>
      <c r="F5541" s="456"/>
      <c r="G5541" s="456"/>
      <c r="H5541" s="456"/>
    </row>
    <row r="5542" spans="1:8">
      <c r="A5542" s="696">
        <v>6565</v>
      </c>
      <c r="B5542" s="469"/>
      <c r="C5542" s="458"/>
      <c r="D5542" s="456">
        <v>0</v>
      </c>
      <c r="E5542" s="456">
        <v>0</v>
      </c>
      <c r="F5542" s="456"/>
      <c r="G5542" s="456"/>
      <c r="H5542" s="456"/>
    </row>
    <row r="5543" spans="1:8">
      <c r="A5543" s="696">
        <v>6566</v>
      </c>
      <c r="B5543" s="469"/>
      <c r="C5543" s="458"/>
      <c r="D5543" s="456">
        <v>0</v>
      </c>
      <c r="E5543" s="456">
        <v>0</v>
      </c>
      <c r="F5543" s="456"/>
      <c r="G5543" s="456"/>
      <c r="H5543" s="456"/>
    </row>
    <row r="5544" spans="1:8">
      <c r="A5544" s="696">
        <v>6567</v>
      </c>
      <c r="B5544" s="469"/>
      <c r="C5544" s="458"/>
      <c r="D5544" s="456">
        <v>0</v>
      </c>
      <c r="E5544" s="456">
        <v>0</v>
      </c>
      <c r="F5544" s="456"/>
      <c r="G5544" s="456"/>
      <c r="H5544" s="456"/>
    </row>
    <row r="5545" spans="1:8">
      <c r="A5545" s="696">
        <v>6568</v>
      </c>
      <c r="B5545" s="469"/>
      <c r="C5545" s="458"/>
      <c r="D5545" s="456">
        <v>0</v>
      </c>
      <c r="E5545" s="456">
        <v>0</v>
      </c>
      <c r="F5545" s="456"/>
      <c r="G5545" s="456"/>
      <c r="H5545" s="456"/>
    </row>
    <row r="5546" spans="1:8">
      <c r="A5546" s="696">
        <v>6569</v>
      </c>
      <c r="B5546" s="469"/>
      <c r="C5546" s="458"/>
      <c r="D5546" s="456">
        <v>0</v>
      </c>
      <c r="E5546" s="456">
        <v>0</v>
      </c>
      <c r="F5546" s="456"/>
      <c r="G5546" s="456"/>
      <c r="H5546" s="456"/>
    </row>
    <row r="5547" spans="1:8">
      <c r="A5547" s="696">
        <v>6570</v>
      </c>
      <c r="B5547" s="469"/>
      <c r="C5547" s="458"/>
      <c r="D5547" s="456">
        <v>0</v>
      </c>
      <c r="E5547" s="456">
        <v>0</v>
      </c>
      <c r="F5547" s="456"/>
      <c r="G5547" s="456"/>
      <c r="H5547" s="456"/>
    </row>
    <row r="5548" spans="1:8">
      <c r="A5548" s="696">
        <v>6571</v>
      </c>
      <c r="B5548" s="469"/>
      <c r="C5548" s="458"/>
      <c r="D5548" s="456">
        <v>0</v>
      </c>
      <c r="E5548" s="456">
        <v>0</v>
      </c>
      <c r="F5548" s="456"/>
      <c r="G5548" s="456"/>
      <c r="H5548" s="456"/>
    </row>
    <row r="5549" spans="1:8">
      <c r="A5549" s="696">
        <v>6572</v>
      </c>
      <c r="B5549" s="469"/>
      <c r="C5549" s="458"/>
      <c r="D5549" s="456">
        <v>0</v>
      </c>
      <c r="E5549" s="456">
        <v>0</v>
      </c>
      <c r="F5549" s="456"/>
      <c r="G5549" s="456"/>
      <c r="H5549" s="456"/>
    </row>
    <row r="5550" spans="1:8">
      <c r="A5550" s="696">
        <v>6573</v>
      </c>
      <c r="B5550" s="469"/>
      <c r="C5550" s="458"/>
      <c r="D5550" s="456">
        <v>0</v>
      </c>
      <c r="E5550" s="456">
        <v>0</v>
      </c>
      <c r="F5550" s="456"/>
      <c r="G5550" s="456"/>
      <c r="H5550" s="456"/>
    </row>
    <row r="5551" spans="1:8">
      <c r="A5551" s="696">
        <v>6574</v>
      </c>
      <c r="B5551" s="469"/>
      <c r="C5551" s="458"/>
      <c r="D5551" s="456">
        <v>0</v>
      </c>
      <c r="E5551" s="456">
        <v>0</v>
      </c>
      <c r="F5551" s="456"/>
      <c r="G5551" s="456"/>
      <c r="H5551" s="456"/>
    </row>
    <row r="5552" spans="1:8">
      <c r="A5552" s="696">
        <v>6575</v>
      </c>
      <c r="B5552" s="469"/>
      <c r="C5552" s="458"/>
      <c r="D5552" s="456">
        <v>0</v>
      </c>
      <c r="E5552" s="456">
        <v>0</v>
      </c>
      <c r="F5552" s="456"/>
      <c r="G5552" s="456"/>
      <c r="H5552" s="456"/>
    </row>
    <row r="5553" spans="1:8">
      <c r="A5553" s="696">
        <v>6576</v>
      </c>
      <c r="B5553" s="469"/>
      <c r="C5553" s="458"/>
      <c r="D5553" s="456">
        <v>0</v>
      </c>
      <c r="E5553" s="456">
        <v>0</v>
      </c>
      <c r="F5553" s="456"/>
      <c r="G5553" s="456"/>
      <c r="H5553" s="456"/>
    </row>
    <row r="5554" spans="1:8">
      <c r="A5554" s="696">
        <v>6577</v>
      </c>
      <c r="B5554" s="469"/>
      <c r="C5554" s="458"/>
      <c r="D5554" s="456">
        <v>0</v>
      </c>
      <c r="E5554" s="456">
        <v>0</v>
      </c>
      <c r="F5554" s="456"/>
      <c r="G5554" s="456"/>
      <c r="H5554" s="456"/>
    </row>
    <row r="5555" spans="1:8">
      <c r="A5555" s="696">
        <v>6578</v>
      </c>
      <c r="B5555" s="469"/>
      <c r="C5555" s="458"/>
      <c r="D5555" s="456">
        <v>0</v>
      </c>
      <c r="E5555" s="456">
        <v>0</v>
      </c>
      <c r="F5555" s="456"/>
      <c r="G5555" s="456"/>
      <c r="H5555" s="456"/>
    </row>
    <row r="5556" spans="1:8">
      <c r="A5556" s="696">
        <v>6579</v>
      </c>
      <c r="B5556" s="469"/>
      <c r="C5556" s="458"/>
      <c r="D5556" s="456">
        <v>0</v>
      </c>
      <c r="E5556" s="456">
        <v>0</v>
      </c>
      <c r="F5556" s="456"/>
      <c r="G5556" s="456"/>
      <c r="H5556" s="456"/>
    </row>
    <row r="5557" spans="1:8">
      <c r="A5557" s="696">
        <v>6580</v>
      </c>
      <c r="B5557" s="469"/>
      <c r="C5557" s="458"/>
      <c r="D5557" s="456">
        <v>0</v>
      </c>
      <c r="E5557" s="456">
        <v>0</v>
      </c>
      <c r="F5557" s="456"/>
      <c r="G5557" s="456"/>
      <c r="H5557" s="456"/>
    </row>
    <row r="5558" spans="1:8">
      <c r="A5558" s="696">
        <v>6581</v>
      </c>
      <c r="B5558" s="469"/>
      <c r="C5558" s="458"/>
      <c r="D5558" s="456">
        <v>0</v>
      </c>
      <c r="E5558" s="456">
        <v>0</v>
      </c>
      <c r="F5558" s="456"/>
      <c r="G5558" s="456"/>
      <c r="H5558" s="456"/>
    </row>
    <row r="5559" spans="1:8">
      <c r="A5559" s="696">
        <v>6582</v>
      </c>
      <c r="B5559" s="469"/>
      <c r="C5559" s="458"/>
      <c r="D5559" s="456">
        <v>0</v>
      </c>
      <c r="E5559" s="456">
        <v>0</v>
      </c>
      <c r="F5559" s="456"/>
      <c r="G5559" s="456"/>
      <c r="H5559" s="456"/>
    </row>
    <row r="5560" spans="1:8">
      <c r="A5560" s="696">
        <v>6583</v>
      </c>
      <c r="B5560" s="469"/>
      <c r="C5560" s="458"/>
      <c r="D5560" s="456">
        <v>0</v>
      </c>
      <c r="E5560" s="456">
        <v>0</v>
      </c>
      <c r="F5560" s="456"/>
      <c r="G5560" s="456"/>
      <c r="H5560" s="456"/>
    </row>
    <row r="5561" spans="1:8">
      <c r="A5561" s="696">
        <v>6584</v>
      </c>
      <c r="B5561" s="469"/>
      <c r="C5561" s="458"/>
      <c r="D5561" s="456">
        <v>0</v>
      </c>
      <c r="E5561" s="456">
        <v>0</v>
      </c>
      <c r="F5561" s="456"/>
      <c r="G5561" s="456"/>
      <c r="H5561" s="456"/>
    </row>
    <row r="5562" spans="1:8">
      <c r="A5562" s="696">
        <v>6585</v>
      </c>
      <c r="B5562" s="469"/>
      <c r="C5562" s="458"/>
      <c r="D5562" s="456">
        <v>0</v>
      </c>
      <c r="E5562" s="456">
        <v>0</v>
      </c>
      <c r="F5562" s="456"/>
      <c r="G5562" s="456"/>
      <c r="H5562" s="456"/>
    </row>
    <row r="5563" spans="1:8">
      <c r="A5563" s="696">
        <v>6586</v>
      </c>
      <c r="B5563" s="469"/>
      <c r="C5563" s="458"/>
      <c r="D5563" s="456">
        <v>0</v>
      </c>
      <c r="E5563" s="456">
        <v>0</v>
      </c>
      <c r="F5563" s="456"/>
      <c r="G5563" s="456"/>
      <c r="H5563" s="456"/>
    </row>
    <row r="5564" spans="1:8">
      <c r="A5564" s="696">
        <v>6587</v>
      </c>
      <c r="B5564" s="469"/>
      <c r="C5564" s="458"/>
      <c r="D5564" s="456">
        <v>0</v>
      </c>
      <c r="E5564" s="456">
        <v>0</v>
      </c>
      <c r="F5564" s="456"/>
      <c r="G5564" s="456"/>
      <c r="H5564" s="456"/>
    </row>
    <row r="5565" spans="1:8">
      <c r="A5565" s="696">
        <v>6588</v>
      </c>
      <c r="B5565" s="469"/>
      <c r="C5565" s="458"/>
      <c r="D5565" s="456">
        <v>0</v>
      </c>
      <c r="E5565" s="456">
        <v>0</v>
      </c>
      <c r="F5565" s="456"/>
      <c r="G5565" s="456"/>
      <c r="H5565" s="456"/>
    </row>
    <row r="5566" spans="1:8">
      <c r="A5566" s="696">
        <v>6589</v>
      </c>
      <c r="B5566" s="469"/>
      <c r="C5566" s="458"/>
      <c r="D5566" s="456">
        <v>0</v>
      </c>
      <c r="E5566" s="456">
        <v>0</v>
      </c>
      <c r="F5566" s="456"/>
      <c r="G5566" s="456"/>
      <c r="H5566" s="456"/>
    </row>
    <row r="5567" spans="1:8">
      <c r="A5567" s="696">
        <v>6590</v>
      </c>
      <c r="B5567" s="469"/>
      <c r="C5567" s="458"/>
      <c r="D5567" s="456">
        <v>0</v>
      </c>
      <c r="E5567" s="456">
        <v>0</v>
      </c>
      <c r="F5567" s="456"/>
      <c r="G5567" s="456"/>
      <c r="H5567" s="456"/>
    </row>
    <row r="5568" spans="1:8">
      <c r="A5568" s="696">
        <v>6591</v>
      </c>
      <c r="B5568" s="469"/>
      <c r="C5568" s="458"/>
      <c r="D5568" s="456">
        <v>0</v>
      </c>
      <c r="E5568" s="456">
        <v>0</v>
      </c>
      <c r="F5568" s="456"/>
      <c r="G5568" s="456"/>
      <c r="H5568" s="456"/>
    </row>
    <row r="5569" spans="1:8">
      <c r="A5569" s="696">
        <v>6592</v>
      </c>
      <c r="B5569" s="469"/>
      <c r="C5569" s="458"/>
      <c r="D5569" s="456">
        <v>0</v>
      </c>
      <c r="E5569" s="456">
        <v>0</v>
      </c>
      <c r="F5569" s="456"/>
      <c r="G5569" s="456"/>
      <c r="H5569" s="456"/>
    </row>
    <row r="5570" spans="1:8">
      <c r="A5570" s="696">
        <v>6593</v>
      </c>
      <c r="B5570" s="469"/>
      <c r="C5570" s="458"/>
      <c r="D5570" s="456">
        <v>0</v>
      </c>
      <c r="E5570" s="456">
        <v>0</v>
      </c>
      <c r="F5570" s="456"/>
      <c r="G5570" s="456"/>
      <c r="H5570" s="456"/>
    </row>
    <row r="5571" spans="1:8">
      <c r="A5571" s="696">
        <v>6594</v>
      </c>
      <c r="B5571" s="469"/>
      <c r="C5571" s="458"/>
      <c r="D5571" s="456">
        <v>0</v>
      </c>
      <c r="E5571" s="456">
        <v>0</v>
      </c>
      <c r="F5571" s="456"/>
      <c r="G5571" s="456"/>
      <c r="H5571" s="456"/>
    </row>
    <row r="5572" spans="1:8">
      <c r="A5572" s="696">
        <v>6595</v>
      </c>
      <c r="B5572" s="469"/>
      <c r="C5572" s="458"/>
      <c r="D5572" s="456">
        <v>0</v>
      </c>
      <c r="E5572" s="456">
        <v>0</v>
      </c>
      <c r="F5572" s="456"/>
      <c r="G5572" s="456"/>
      <c r="H5572" s="456"/>
    </row>
    <row r="5573" spans="1:8">
      <c r="A5573" s="696">
        <v>6596</v>
      </c>
      <c r="B5573" s="469"/>
      <c r="C5573" s="458"/>
      <c r="D5573" s="456">
        <v>0</v>
      </c>
      <c r="E5573" s="456">
        <v>0</v>
      </c>
      <c r="F5573" s="456"/>
      <c r="G5573" s="456"/>
      <c r="H5573" s="456"/>
    </row>
    <row r="5574" spans="1:8">
      <c r="A5574" s="696">
        <v>6597</v>
      </c>
      <c r="B5574" s="469"/>
      <c r="C5574" s="458"/>
      <c r="D5574" s="456">
        <v>0</v>
      </c>
      <c r="E5574" s="456">
        <v>0</v>
      </c>
      <c r="F5574" s="456"/>
      <c r="G5574" s="456"/>
      <c r="H5574" s="456"/>
    </row>
    <row r="5575" spans="1:8">
      <c r="A5575" s="696">
        <v>6598</v>
      </c>
      <c r="B5575" s="469"/>
      <c r="C5575" s="458"/>
      <c r="D5575" s="456">
        <v>0</v>
      </c>
      <c r="E5575" s="456">
        <v>0</v>
      </c>
      <c r="F5575" s="456"/>
      <c r="G5575" s="456"/>
      <c r="H5575" s="456"/>
    </row>
    <row r="5576" spans="1:8">
      <c r="A5576" s="696">
        <v>6599</v>
      </c>
      <c r="B5576" s="469"/>
      <c r="C5576" s="458"/>
      <c r="D5576" s="456">
        <v>0</v>
      </c>
      <c r="E5576" s="456">
        <v>0</v>
      </c>
      <c r="F5576" s="456"/>
      <c r="G5576" s="456"/>
      <c r="H5576" s="456"/>
    </row>
    <row r="5577" spans="1:8">
      <c r="A5577" s="696">
        <v>6600</v>
      </c>
      <c r="B5577" s="469"/>
      <c r="C5577" s="458"/>
      <c r="D5577" s="456">
        <v>0</v>
      </c>
      <c r="E5577" s="456">
        <v>0</v>
      </c>
      <c r="F5577" s="456"/>
      <c r="G5577" s="456"/>
      <c r="H5577" s="456"/>
    </row>
    <row r="5578" spans="1:8">
      <c r="A5578" s="696">
        <v>6601</v>
      </c>
      <c r="B5578" s="469"/>
      <c r="C5578" s="458"/>
      <c r="D5578" s="456">
        <v>0</v>
      </c>
      <c r="E5578" s="456">
        <v>0</v>
      </c>
      <c r="F5578" s="456"/>
      <c r="G5578" s="456"/>
      <c r="H5578" s="456"/>
    </row>
    <row r="5579" spans="1:8">
      <c r="A5579" s="696">
        <v>6602</v>
      </c>
      <c r="B5579" s="469"/>
      <c r="C5579" s="458"/>
      <c r="D5579" s="456">
        <v>0</v>
      </c>
      <c r="E5579" s="456">
        <v>0</v>
      </c>
      <c r="F5579" s="456"/>
      <c r="G5579" s="456"/>
      <c r="H5579" s="456"/>
    </row>
    <row r="5580" spans="1:8">
      <c r="A5580" s="696">
        <v>6603</v>
      </c>
      <c r="B5580" s="469"/>
      <c r="C5580" s="458"/>
      <c r="D5580" s="456">
        <v>0</v>
      </c>
      <c r="E5580" s="456">
        <v>0</v>
      </c>
      <c r="F5580" s="456"/>
      <c r="G5580" s="456"/>
      <c r="H5580" s="456"/>
    </row>
    <row r="5581" spans="1:8">
      <c r="A5581" s="696">
        <v>6604</v>
      </c>
      <c r="B5581" s="469"/>
      <c r="C5581" s="458"/>
      <c r="D5581" s="456">
        <v>0</v>
      </c>
      <c r="E5581" s="456">
        <v>0</v>
      </c>
      <c r="F5581" s="456"/>
      <c r="G5581" s="456"/>
      <c r="H5581" s="456"/>
    </row>
    <row r="5582" spans="1:8">
      <c r="A5582" s="696">
        <v>6605</v>
      </c>
      <c r="B5582" s="469"/>
      <c r="C5582" s="458"/>
      <c r="D5582" s="456">
        <v>0</v>
      </c>
      <c r="E5582" s="456">
        <v>0</v>
      </c>
      <c r="F5582" s="456"/>
      <c r="G5582" s="456"/>
      <c r="H5582" s="456"/>
    </row>
    <row r="5583" spans="1:8">
      <c r="A5583" s="696">
        <v>6606</v>
      </c>
      <c r="B5583" s="469"/>
      <c r="C5583" s="458"/>
      <c r="D5583" s="456">
        <v>0</v>
      </c>
      <c r="E5583" s="456">
        <v>0</v>
      </c>
      <c r="F5583" s="456"/>
      <c r="G5583" s="456"/>
      <c r="H5583" s="456"/>
    </row>
    <row r="5584" spans="1:8">
      <c r="A5584" s="696">
        <v>6607</v>
      </c>
      <c r="B5584" s="469"/>
      <c r="C5584" s="458"/>
      <c r="D5584" s="456">
        <v>0</v>
      </c>
      <c r="E5584" s="456">
        <v>0</v>
      </c>
      <c r="F5584" s="456"/>
      <c r="G5584" s="456"/>
      <c r="H5584" s="456"/>
    </row>
    <row r="5585" spans="1:8">
      <c r="A5585" s="696">
        <v>6608</v>
      </c>
      <c r="B5585" s="469"/>
      <c r="C5585" s="458"/>
      <c r="D5585" s="456">
        <v>0</v>
      </c>
      <c r="E5585" s="456">
        <v>0</v>
      </c>
      <c r="F5585" s="456"/>
      <c r="G5585" s="456"/>
      <c r="H5585" s="456"/>
    </row>
    <row r="5586" spans="1:8">
      <c r="A5586" s="696">
        <v>6609</v>
      </c>
      <c r="B5586" s="469"/>
      <c r="C5586" s="458"/>
      <c r="D5586" s="456">
        <v>0</v>
      </c>
      <c r="E5586" s="456">
        <v>0</v>
      </c>
      <c r="F5586" s="456"/>
      <c r="G5586" s="456"/>
      <c r="H5586" s="456"/>
    </row>
    <row r="5587" spans="1:8">
      <c r="A5587" s="696">
        <v>6610</v>
      </c>
      <c r="B5587" s="469"/>
      <c r="C5587" s="458"/>
      <c r="D5587" s="456">
        <v>0</v>
      </c>
      <c r="E5587" s="456">
        <v>0</v>
      </c>
      <c r="F5587" s="456"/>
      <c r="G5587" s="456"/>
      <c r="H5587" s="456"/>
    </row>
    <row r="5588" spans="1:8">
      <c r="A5588" s="696">
        <v>6611</v>
      </c>
      <c r="B5588" s="469"/>
      <c r="C5588" s="458"/>
      <c r="D5588" s="456">
        <v>0</v>
      </c>
      <c r="E5588" s="456">
        <v>0</v>
      </c>
      <c r="F5588" s="456"/>
      <c r="G5588" s="456"/>
      <c r="H5588" s="456"/>
    </row>
    <row r="5589" spans="1:8">
      <c r="A5589" s="696">
        <v>6612</v>
      </c>
      <c r="B5589" s="469"/>
      <c r="C5589" s="458"/>
      <c r="D5589" s="456">
        <v>0</v>
      </c>
      <c r="E5589" s="456">
        <v>0</v>
      </c>
      <c r="F5589" s="456"/>
      <c r="G5589" s="456"/>
      <c r="H5589" s="456"/>
    </row>
    <row r="5590" spans="1:8">
      <c r="A5590" s="696">
        <v>6613</v>
      </c>
      <c r="B5590" s="469"/>
      <c r="C5590" s="458"/>
      <c r="D5590" s="456">
        <v>0</v>
      </c>
      <c r="E5590" s="456">
        <v>0</v>
      </c>
      <c r="F5590" s="456"/>
      <c r="G5590" s="456"/>
      <c r="H5590" s="456"/>
    </row>
    <row r="5591" spans="1:8">
      <c r="A5591" s="696">
        <v>6614</v>
      </c>
      <c r="B5591" s="469"/>
      <c r="C5591" s="458"/>
      <c r="D5591" s="456">
        <v>0</v>
      </c>
      <c r="E5591" s="456">
        <v>0</v>
      </c>
      <c r="F5591" s="456"/>
      <c r="G5591" s="456"/>
      <c r="H5591" s="456"/>
    </row>
    <row r="5592" spans="1:8">
      <c r="A5592" s="696">
        <v>6615</v>
      </c>
      <c r="B5592" s="469"/>
      <c r="C5592" s="458"/>
      <c r="D5592" s="456">
        <v>0</v>
      </c>
      <c r="E5592" s="456">
        <v>0</v>
      </c>
      <c r="F5592" s="456"/>
      <c r="G5592" s="456"/>
      <c r="H5592" s="456"/>
    </row>
    <row r="5593" spans="1:8">
      <c r="A5593" s="696">
        <v>6616</v>
      </c>
      <c r="B5593" s="469"/>
      <c r="C5593" s="458"/>
      <c r="D5593" s="456">
        <v>0</v>
      </c>
      <c r="E5593" s="456">
        <v>0</v>
      </c>
      <c r="F5593" s="456"/>
      <c r="G5593" s="456"/>
      <c r="H5593" s="456"/>
    </row>
    <row r="5594" spans="1:8">
      <c r="A5594" s="696">
        <v>6617</v>
      </c>
      <c r="B5594" s="469"/>
      <c r="C5594" s="458"/>
      <c r="D5594" s="456">
        <v>0</v>
      </c>
      <c r="E5594" s="456">
        <v>0</v>
      </c>
      <c r="F5594" s="456"/>
      <c r="G5594" s="456"/>
      <c r="H5594" s="456"/>
    </row>
    <row r="5595" spans="1:8">
      <c r="A5595" s="696">
        <v>6618</v>
      </c>
      <c r="B5595" s="469"/>
      <c r="C5595" s="458"/>
      <c r="D5595" s="456">
        <v>0</v>
      </c>
      <c r="E5595" s="456">
        <v>0</v>
      </c>
      <c r="F5595" s="456"/>
      <c r="G5595" s="456"/>
      <c r="H5595" s="456"/>
    </row>
    <row r="5596" spans="1:8">
      <c r="A5596" s="696">
        <v>6619</v>
      </c>
      <c r="B5596" s="469"/>
      <c r="C5596" s="458"/>
      <c r="D5596" s="456">
        <v>0</v>
      </c>
      <c r="E5596" s="456">
        <v>0</v>
      </c>
      <c r="F5596" s="456"/>
      <c r="G5596" s="456"/>
      <c r="H5596" s="456"/>
    </row>
    <row r="5597" spans="1:8">
      <c r="A5597" s="696">
        <v>6620</v>
      </c>
      <c r="B5597" s="469"/>
      <c r="C5597" s="458"/>
      <c r="D5597" s="456">
        <v>0</v>
      </c>
      <c r="E5597" s="456">
        <v>0</v>
      </c>
      <c r="F5597" s="456"/>
      <c r="G5597" s="456"/>
      <c r="H5597" s="456"/>
    </row>
    <row r="5598" spans="1:8">
      <c r="A5598" s="696">
        <v>6621</v>
      </c>
      <c r="B5598" s="469"/>
      <c r="C5598" s="458"/>
      <c r="D5598" s="456">
        <v>0</v>
      </c>
      <c r="E5598" s="456">
        <v>0</v>
      </c>
      <c r="F5598" s="456"/>
      <c r="G5598" s="456"/>
      <c r="H5598" s="456"/>
    </row>
    <row r="5599" spans="1:8">
      <c r="A5599" s="696">
        <v>6622</v>
      </c>
      <c r="B5599" s="469"/>
      <c r="C5599" s="458"/>
      <c r="D5599" s="456">
        <v>0</v>
      </c>
      <c r="E5599" s="456">
        <v>0</v>
      </c>
      <c r="F5599" s="456"/>
      <c r="G5599" s="456"/>
      <c r="H5599" s="456"/>
    </row>
    <row r="5600" spans="1:8">
      <c r="A5600" s="696">
        <v>6623</v>
      </c>
      <c r="B5600" s="469"/>
      <c r="C5600" s="458"/>
      <c r="D5600" s="456">
        <v>0</v>
      </c>
      <c r="E5600" s="456">
        <v>0</v>
      </c>
      <c r="F5600" s="456"/>
      <c r="G5600" s="456"/>
      <c r="H5600" s="456"/>
    </row>
    <row r="5601" spans="1:8">
      <c r="A5601" s="696">
        <v>6624</v>
      </c>
      <c r="B5601" s="469"/>
      <c r="C5601" s="458"/>
      <c r="D5601" s="456">
        <v>0</v>
      </c>
      <c r="E5601" s="456">
        <v>0</v>
      </c>
      <c r="F5601" s="456"/>
      <c r="G5601" s="456"/>
      <c r="H5601" s="456"/>
    </row>
    <row r="5602" spans="1:8">
      <c r="A5602" s="696">
        <v>6625</v>
      </c>
      <c r="B5602" s="469"/>
      <c r="C5602" s="458"/>
      <c r="D5602" s="456">
        <v>0</v>
      </c>
      <c r="E5602" s="456">
        <v>0</v>
      </c>
      <c r="F5602" s="456"/>
      <c r="G5602" s="456"/>
      <c r="H5602" s="456"/>
    </row>
    <row r="5603" spans="1:8">
      <c r="A5603" s="696">
        <v>6626</v>
      </c>
      <c r="B5603" s="469"/>
      <c r="C5603" s="458"/>
      <c r="D5603" s="456">
        <v>0</v>
      </c>
      <c r="E5603" s="456">
        <v>0</v>
      </c>
      <c r="F5603" s="456"/>
      <c r="G5603" s="456"/>
      <c r="H5603" s="456"/>
    </row>
    <row r="5604" spans="1:8">
      <c r="A5604" s="696">
        <v>6627</v>
      </c>
      <c r="B5604" s="469"/>
      <c r="C5604" s="458"/>
      <c r="D5604" s="456">
        <v>0</v>
      </c>
      <c r="E5604" s="456">
        <v>0</v>
      </c>
      <c r="F5604" s="456"/>
      <c r="G5604" s="456"/>
      <c r="H5604" s="456"/>
    </row>
    <row r="5605" spans="1:8">
      <c r="A5605" s="696">
        <v>6628</v>
      </c>
      <c r="B5605" s="469"/>
      <c r="C5605" s="458"/>
      <c r="D5605" s="456">
        <v>0</v>
      </c>
      <c r="E5605" s="456">
        <v>0</v>
      </c>
      <c r="F5605" s="456"/>
      <c r="G5605" s="456"/>
      <c r="H5605" s="456"/>
    </row>
    <row r="5606" spans="1:8">
      <c r="A5606" s="696">
        <v>6629</v>
      </c>
      <c r="B5606" s="469"/>
      <c r="C5606" s="458"/>
      <c r="D5606" s="456">
        <v>0</v>
      </c>
      <c r="E5606" s="456">
        <v>0</v>
      </c>
      <c r="F5606" s="456"/>
      <c r="G5606" s="456"/>
      <c r="H5606" s="456"/>
    </row>
    <row r="5607" spans="1:8">
      <c r="A5607" s="696">
        <v>6630</v>
      </c>
      <c r="B5607" s="469"/>
      <c r="C5607" s="458"/>
      <c r="D5607" s="456">
        <v>0</v>
      </c>
      <c r="E5607" s="456">
        <v>0</v>
      </c>
      <c r="F5607" s="456"/>
      <c r="G5607" s="456"/>
      <c r="H5607" s="456"/>
    </row>
    <row r="5608" spans="1:8">
      <c r="A5608" s="696">
        <v>6631</v>
      </c>
      <c r="B5608" s="469"/>
      <c r="C5608" s="458"/>
      <c r="D5608" s="456">
        <v>0</v>
      </c>
      <c r="E5608" s="456">
        <v>0</v>
      </c>
      <c r="F5608" s="456"/>
      <c r="G5608" s="456"/>
      <c r="H5608" s="456"/>
    </row>
    <row r="5609" spans="1:8">
      <c r="A5609" s="696">
        <v>6632</v>
      </c>
      <c r="B5609" s="469"/>
      <c r="C5609" s="458"/>
      <c r="D5609" s="456">
        <v>0</v>
      </c>
      <c r="E5609" s="456">
        <v>0</v>
      </c>
      <c r="F5609" s="456"/>
      <c r="G5609" s="456"/>
      <c r="H5609" s="456"/>
    </row>
    <row r="5610" spans="1:8">
      <c r="A5610" s="696">
        <v>6633</v>
      </c>
      <c r="B5610" s="469"/>
      <c r="C5610" s="458"/>
      <c r="D5610" s="456">
        <v>0</v>
      </c>
      <c r="E5610" s="456">
        <v>0</v>
      </c>
      <c r="F5610" s="456"/>
      <c r="G5610" s="456"/>
      <c r="H5610" s="456"/>
    </row>
    <row r="5611" spans="1:8">
      <c r="A5611" s="696">
        <v>6634</v>
      </c>
      <c r="B5611" s="469"/>
      <c r="C5611" s="458"/>
      <c r="D5611" s="456">
        <v>0</v>
      </c>
      <c r="E5611" s="456">
        <v>0</v>
      </c>
      <c r="F5611" s="456"/>
      <c r="G5611" s="456"/>
      <c r="H5611" s="456"/>
    </row>
    <row r="5612" spans="1:8">
      <c r="A5612" s="696">
        <v>6635</v>
      </c>
      <c r="B5612" s="469"/>
      <c r="C5612" s="458"/>
      <c r="D5612" s="456">
        <v>0</v>
      </c>
      <c r="E5612" s="456">
        <v>0</v>
      </c>
      <c r="F5612" s="456"/>
      <c r="G5612" s="456"/>
      <c r="H5612" s="456"/>
    </row>
    <row r="5613" spans="1:8">
      <c r="A5613" s="696">
        <v>6636</v>
      </c>
      <c r="B5613" s="469"/>
      <c r="C5613" s="458"/>
      <c r="D5613" s="456">
        <v>0</v>
      </c>
      <c r="E5613" s="456">
        <v>0</v>
      </c>
      <c r="F5613" s="456"/>
      <c r="G5613" s="456"/>
      <c r="H5613" s="456"/>
    </row>
    <row r="5614" spans="1:8">
      <c r="A5614" s="696">
        <v>6637</v>
      </c>
      <c r="B5614" s="469"/>
      <c r="C5614" s="458"/>
      <c r="D5614" s="456">
        <v>0</v>
      </c>
      <c r="E5614" s="456">
        <v>0</v>
      </c>
      <c r="F5614" s="456"/>
      <c r="G5614" s="456"/>
      <c r="H5614" s="456"/>
    </row>
    <row r="5615" spans="1:8">
      <c r="A5615" s="696">
        <v>6638</v>
      </c>
      <c r="B5615" s="469"/>
      <c r="C5615" s="458"/>
      <c r="D5615" s="456">
        <v>0</v>
      </c>
      <c r="E5615" s="456">
        <v>0</v>
      </c>
      <c r="F5615" s="456"/>
      <c r="G5615" s="456"/>
      <c r="H5615" s="456"/>
    </row>
    <row r="5616" spans="1:8">
      <c r="A5616" s="696">
        <v>6639</v>
      </c>
      <c r="B5616" s="469"/>
      <c r="C5616" s="458"/>
      <c r="D5616" s="456">
        <v>0</v>
      </c>
      <c r="E5616" s="456">
        <v>0</v>
      </c>
      <c r="F5616" s="456"/>
      <c r="G5616" s="456"/>
      <c r="H5616" s="456"/>
    </row>
    <row r="5617" spans="1:8">
      <c r="A5617" s="696">
        <v>6640</v>
      </c>
      <c r="B5617" s="469"/>
      <c r="C5617" s="458"/>
      <c r="D5617" s="456">
        <v>0</v>
      </c>
      <c r="E5617" s="456">
        <v>0</v>
      </c>
      <c r="F5617" s="456"/>
      <c r="G5617" s="456"/>
      <c r="H5617" s="456"/>
    </row>
    <row r="5618" spans="1:8">
      <c r="A5618" s="696">
        <v>6641</v>
      </c>
      <c r="B5618" s="469"/>
      <c r="C5618" s="458"/>
      <c r="D5618" s="456">
        <v>0</v>
      </c>
      <c r="E5618" s="456">
        <v>0</v>
      </c>
      <c r="F5618" s="456"/>
      <c r="G5618" s="456"/>
      <c r="H5618" s="456"/>
    </row>
    <row r="5619" spans="1:8">
      <c r="A5619" s="696">
        <v>6642</v>
      </c>
      <c r="B5619" s="469"/>
      <c r="C5619" s="458"/>
      <c r="D5619" s="456">
        <v>0</v>
      </c>
      <c r="E5619" s="456">
        <v>0</v>
      </c>
      <c r="F5619" s="456"/>
      <c r="G5619" s="456"/>
      <c r="H5619" s="456"/>
    </row>
    <row r="5620" spans="1:8">
      <c r="A5620" s="696">
        <v>6643</v>
      </c>
      <c r="B5620" s="469"/>
      <c r="C5620" s="458"/>
      <c r="D5620" s="456">
        <v>0</v>
      </c>
      <c r="E5620" s="456">
        <v>0</v>
      </c>
      <c r="F5620" s="456"/>
      <c r="G5620" s="456"/>
      <c r="H5620" s="456"/>
    </row>
    <row r="5621" spans="1:8">
      <c r="A5621" s="696">
        <v>6644</v>
      </c>
      <c r="B5621" s="469"/>
      <c r="C5621" s="458"/>
      <c r="D5621" s="456">
        <v>0</v>
      </c>
      <c r="E5621" s="456">
        <v>0</v>
      </c>
      <c r="F5621" s="456"/>
      <c r="G5621" s="456"/>
      <c r="H5621" s="456"/>
    </row>
    <row r="5622" spans="1:8">
      <c r="A5622" s="696">
        <v>6645</v>
      </c>
      <c r="B5622" s="469"/>
      <c r="C5622" s="458"/>
      <c r="D5622" s="456">
        <v>0</v>
      </c>
      <c r="E5622" s="456">
        <v>0</v>
      </c>
      <c r="F5622" s="456"/>
      <c r="G5622" s="456"/>
      <c r="H5622" s="456"/>
    </row>
    <row r="5623" spans="1:8">
      <c r="A5623" s="696">
        <v>6646</v>
      </c>
      <c r="B5623" s="469"/>
      <c r="C5623" s="458"/>
      <c r="D5623" s="456">
        <v>0</v>
      </c>
      <c r="E5623" s="456">
        <v>0</v>
      </c>
      <c r="F5623" s="456"/>
      <c r="G5623" s="456"/>
      <c r="H5623" s="456"/>
    </row>
    <row r="5624" spans="1:8">
      <c r="A5624" s="696">
        <v>6647</v>
      </c>
      <c r="B5624" s="469"/>
      <c r="C5624" s="458"/>
      <c r="D5624" s="456">
        <v>0</v>
      </c>
      <c r="E5624" s="456">
        <v>0</v>
      </c>
      <c r="F5624" s="456"/>
      <c r="G5624" s="456"/>
      <c r="H5624" s="456"/>
    </row>
    <row r="5625" spans="1:8">
      <c r="A5625" s="696">
        <v>6648</v>
      </c>
      <c r="B5625" s="469"/>
      <c r="C5625" s="458"/>
      <c r="D5625" s="456">
        <v>0</v>
      </c>
      <c r="E5625" s="456">
        <v>0</v>
      </c>
      <c r="F5625" s="456"/>
      <c r="G5625" s="456"/>
      <c r="H5625" s="456"/>
    </row>
    <row r="5626" spans="1:8">
      <c r="A5626" s="696">
        <v>6649</v>
      </c>
      <c r="B5626" s="469"/>
      <c r="C5626" s="458"/>
      <c r="D5626" s="456">
        <v>0</v>
      </c>
      <c r="E5626" s="456">
        <v>0</v>
      </c>
      <c r="F5626" s="456"/>
      <c r="G5626" s="456"/>
      <c r="H5626" s="456"/>
    </row>
    <row r="5627" spans="1:8">
      <c r="A5627" s="696">
        <v>6650</v>
      </c>
      <c r="B5627" s="469"/>
      <c r="C5627" s="458"/>
      <c r="D5627" s="456">
        <v>0</v>
      </c>
      <c r="E5627" s="456">
        <v>0</v>
      </c>
      <c r="F5627" s="456"/>
      <c r="G5627" s="456"/>
      <c r="H5627" s="456"/>
    </row>
    <row r="5628" spans="1:8">
      <c r="A5628" s="696">
        <v>6651</v>
      </c>
      <c r="B5628" s="469"/>
      <c r="C5628" s="458"/>
      <c r="D5628" s="456">
        <v>0</v>
      </c>
      <c r="E5628" s="456">
        <v>0</v>
      </c>
      <c r="F5628" s="456"/>
      <c r="G5628" s="456"/>
      <c r="H5628" s="456"/>
    </row>
    <row r="5629" spans="1:8">
      <c r="A5629" s="696">
        <v>6652</v>
      </c>
      <c r="B5629" s="469"/>
      <c r="C5629" s="458"/>
      <c r="D5629" s="456">
        <v>0</v>
      </c>
      <c r="E5629" s="456">
        <v>0</v>
      </c>
      <c r="F5629" s="456"/>
      <c r="G5629" s="456"/>
      <c r="H5629" s="456"/>
    </row>
    <row r="5630" spans="1:8">
      <c r="A5630" s="696">
        <v>6653</v>
      </c>
      <c r="B5630" s="469"/>
      <c r="C5630" s="458"/>
      <c r="D5630" s="456">
        <v>0</v>
      </c>
      <c r="E5630" s="456">
        <v>0</v>
      </c>
      <c r="F5630" s="456"/>
      <c r="G5630" s="456"/>
      <c r="H5630" s="456"/>
    </row>
    <row r="5631" spans="1:8">
      <c r="A5631" s="696">
        <v>6654</v>
      </c>
      <c r="B5631" s="469"/>
      <c r="C5631" s="458"/>
      <c r="D5631" s="456">
        <v>0</v>
      </c>
      <c r="E5631" s="456">
        <v>0</v>
      </c>
      <c r="F5631" s="456"/>
      <c r="G5631" s="456"/>
      <c r="H5631" s="456"/>
    </row>
    <row r="5632" spans="1:8">
      <c r="A5632" s="696">
        <v>6655</v>
      </c>
      <c r="B5632" s="469"/>
      <c r="C5632" s="458"/>
      <c r="D5632" s="456">
        <v>0</v>
      </c>
      <c r="E5632" s="456">
        <v>0</v>
      </c>
      <c r="F5632" s="456"/>
      <c r="G5632" s="456"/>
      <c r="H5632" s="456"/>
    </row>
    <row r="5633" spans="1:8">
      <c r="A5633" s="696">
        <v>6656</v>
      </c>
      <c r="B5633" s="469"/>
      <c r="C5633" s="458"/>
      <c r="D5633" s="456">
        <v>0</v>
      </c>
      <c r="E5633" s="456">
        <v>0</v>
      </c>
      <c r="F5633" s="456"/>
      <c r="G5633" s="456"/>
      <c r="H5633" s="456"/>
    </row>
    <row r="5634" spans="1:8">
      <c r="A5634" s="696">
        <v>6657</v>
      </c>
      <c r="B5634" s="469"/>
      <c r="C5634" s="458"/>
      <c r="D5634" s="456">
        <v>0</v>
      </c>
      <c r="E5634" s="456">
        <v>0</v>
      </c>
      <c r="F5634" s="456"/>
      <c r="G5634" s="456"/>
      <c r="H5634" s="456"/>
    </row>
    <row r="5635" spans="1:8">
      <c r="A5635" s="696">
        <v>6658</v>
      </c>
      <c r="B5635" s="469"/>
      <c r="C5635" s="458"/>
      <c r="D5635" s="456">
        <v>0</v>
      </c>
      <c r="E5635" s="456">
        <v>0</v>
      </c>
      <c r="F5635" s="456"/>
      <c r="G5635" s="456"/>
      <c r="H5635" s="456"/>
    </row>
    <row r="5636" spans="1:8">
      <c r="A5636" s="696">
        <v>6659</v>
      </c>
      <c r="B5636" s="469"/>
      <c r="C5636" s="458"/>
      <c r="D5636" s="456">
        <v>0</v>
      </c>
      <c r="E5636" s="456">
        <v>0</v>
      </c>
      <c r="F5636" s="456"/>
      <c r="G5636" s="456"/>
      <c r="H5636" s="456"/>
    </row>
    <row r="5637" spans="1:8">
      <c r="A5637" s="696">
        <v>6660</v>
      </c>
      <c r="B5637" s="469"/>
      <c r="C5637" s="458"/>
      <c r="D5637" s="456">
        <v>0</v>
      </c>
      <c r="E5637" s="456">
        <v>0</v>
      </c>
      <c r="F5637" s="456"/>
      <c r="G5637" s="456"/>
      <c r="H5637" s="456"/>
    </row>
    <row r="5638" spans="1:8">
      <c r="A5638" s="696">
        <v>6661</v>
      </c>
      <c r="B5638" s="469"/>
      <c r="C5638" s="458"/>
      <c r="D5638" s="456">
        <v>0</v>
      </c>
      <c r="E5638" s="456">
        <v>0</v>
      </c>
      <c r="F5638" s="456"/>
      <c r="G5638" s="456"/>
      <c r="H5638" s="456"/>
    </row>
    <row r="5639" spans="1:8">
      <c r="A5639" s="696">
        <v>6662</v>
      </c>
      <c r="B5639" s="469"/>
      <c r="C5639" s="458"/>
      <c r="D5639" s="456">
        <v>0</v>
      </c>
      <c r="E5639" s="456">
        <v>0</v>
      </c>
      <c r="F5639" s="456"/>
      <c r="G5639" s="456"/>
      <c r="H5639" s="456"/>
    </row>
    <row r="5640" spans="1:8">
      <c r="A5640" s="696">
        <v>6663</v>
      </c>
      <c r="B5640" s="469"/>
      <c r="C5640" s="458"/>
      <c r="D5640" s="456">
        <v>0</v>
      </c>
      <c r="E5640" s="456">
        <v>0</v>
      </c>
      <c r="F5640" s="456"/>
      <c r="G5640" s="456"/>
      <c r="H5640" s="456"/>
    </row>
    <row r="5641" spans="1:8">
      <c r="A5641" s="696">
        <v>6664</v>
      </c>
      <c r="B5641" s="469"/>
      <c r="C5641" s="458"/>
      <c r="D5641" s="456">
        <v>0</v>
      </c>
      <c r="E5641" s="456">
        <v>0</v>
      </c>
      <c r="F5641" s="456"/>
      <c r="G5641" s="456"/>
      <c r="H5641" s="456"/>
    </row>
    <row r="5642" spans="1:8">
      <c r="A5642" s="696">
        <v>6665</v>
      </c>
      <c r="B5642" s="469"/>
      <c r="C5642" s="458"/>
      <c r="D5642" s="456">
        <v>0</v>
      </c>
      <c r="E5642" s="456">
        <v>0</v>
      </c>
      <c r="F5642" s="456"/>
      <c r="G5642" s="456"/>
      <c r="H5642" s="456"/>
    </row>
    <row r="5643" spans="1:8">
      <c r="A5643" s="696">
        <v>6666</v>
      </c>
      <c r="B5643" s="469"/>
      <c r="C5643" s="458"/>
      <c r="D5643" s="456">
        <v>0</v>
      </c>
      <c r="E5643" s="456">
        <v>0</v>
      </c>
      <c r="F5643" s="456"/>
      <c r="G5643" s="456"/>
      <c r="H5643" s="456"/>
    </row>
    <row r="5644" spans="1:8">
      <c r="A5644" s="696">
        <v>6667</v>
      </c>
      <c r="B5644" s="469"/>
      <c r="C5644" s="458"/>
      <c r="D5644" s="456">
        <v>0</v>
      </c>
      <c r="E5644" s="456">
        <v>0</v>
      </c>
      <c r="F5644" s="456"/>
      <c r="G5644" s="456"/>
      <c r="H5644" s="456"/>
    </row>
    <row r="5645" spans="1:8">
      <c r="A5645" s="696">
        <v>6668</v>
      </c>
      <c r="B5645" s="469"/>
      <c r="C5645" s="458"/>
      <c r="D5645" s="456">
        <v>0</v>
      </c>
      <c r="E5645" s="456">
        <v>0</v>
      </c>
      <c r="F5645" s="456"/>
      <c r="G5645" s="456"/>
      <c r="H5645" s="456"/>
    </row>
    <row r="5646" spans="1:8">
      <c r="A5646" s="696">
        <v>6669</v>
      </c>
      <c r="B5646" s="469"/>
      <c r="C5646" s="458"/>
      <c r="D5646" s="456">
        <v>0</v>
      </c>
      <c r="E5646" s="456">
        <v>0</v>
      </c>
      <c r="F5646" s="456"/>
      <c r="G5646" s="456"/>
      <c r="H5646" s="456"/>
    </row>
    <row r="5647" spans="1:8">
      <c r="A5647" s="696">
        <v>6670</v>
      </c>
      <c r="B5647" s="469"/>
      <c r="C5647" s="458"/>
      <c r="D5647" s="456">
        <v>0</v>
      </c>
      <c r="E5647" s="456">
        <v>0</v>
      </c>
      <c r="F5647" s="456"/>
      <c r="G5647" s="456"/>
      <c r="H5647" s="456"/>
    </row>
    <row r="5648" spans="1:8">
      <c r="A5648" s="696">
        <v>6671</v>
      </c>
      <c r="B5648" s="469"/>
      <c r="C5648" s="458"/>
      <c r="D5648" s="456">
        <v>0</v>
      </c>
      <c r="E5648" s="456">
        <v>0</v>
      </c>
      <c r="F5648" s="456"/>
      <c r="G5648" s="456"/>
      <c r="H5648" s="456"/>
    </row>
    <row r="5649" spans="1:8">
      <c r="A5649" s="696">
        <v>6672</v>
      </c>
      <c r="B5649" s="469"/>
      <c r="C5649" s="458"/>
      <c r="D5649" s="456">
        <v>0</v>
      </c>
      <c r="E5649" s="456">
        <v>0</v>
      </c>
      <c r="F5649" s="456"/>
      <c r="G5649" s="456"/>
      <c r="H5649" s="456"/>
    </row>
    <row r="5650" spans="1:8">
      <c r="A5650" s="696">
        <v>6673</v>
      </c>
      <c r="B5650" s="469"/>
      <c r="C5650" s="458"/>
      <c r="D5650" s="456">
        <v>0</v>
      </c>
      <c r="E5650" s="456">
        <v>0</v>
      </c>
      <c r="F5650" s="456"/>
      <c r="G5650" s="456"/>
      <c r="H5650" s="456"/>
    </row>
    <row r="5651" spans="1:8">
      <c r="A5651" s="696">
        <v>6674</v>
      </c>
      <c r="B5651" s="469"/>
      <c r="C5651" s="458"/>
      <c r="D5651" s="456">
        <v>0</v>
      </c>
      <c r="E5651" s="456">
        <v>0</v>
      </c>
      <c r="F5651" s="456"/>
      <c r="G5651" s="456"/>
      <c r="H5651" s="456"/>
    </row>
    <row r="5652" spans="1:8">
      <c r="A5652" s="696">
        <v>6675</v>
      </c>
      <c r="B5652" s="469"/>
      <c r="C5652" s="458"/>
      <c r="D5652" s="456">
        <v>0</v>
      </c>
      <c r="E5652" s="456">
        <v>0</v>
      </c>
      <c r="F5652" s="456"/>
      <c r="G5652" s="456"/>
      <c r="H5652" s="456"/>
    </row>
    <row r="5653" spans="1:8">
      <c r="A5653" s="696">
        <v>6676</v>
      </c>
      <c r="B5653" s="469"/>
      <c r="C5653" s="458"/>
      <c r="D5653" s="456">
        <v>0</v>
      </c>
      <c r="E5653" s="456">
        <v>0</v>
      </c>
      <c r="F5653" s="456"/>
      <c r="G5653" s="456"/>
      <c r="H5653" s="456"/>
    </row>
    <row r="5654" spans="1:8">
      <c r="A5654" s="696">
        <v>6677</v>
      </c>
      <c r="B5654" s="469"/>
      <c r="C5654" s="458"/>
      <c r="D5654" s="456">
        <v>0</v>
      </c>
      <c r="E5654" s="456">
        <v>0</v>
      </c>
      <c r="F5654" s="456"/>
      <c r="G5654" s="456"/>
      <c r="H5654" s="456"/>
    </row>
    <row r="5655" spans="1:8">
      <c r="A5655" s="696">
        <v>6678</v>
      </c>
      <c r="B5655" s="469"/>
      <c r="C5655" s="458"/>
      <c r="D5655" s="456">
        <v>0</v>
      </c>
      <c r="E5655" s="456">
        <v>0</v>
      </c>
      <c r="F5655" s="456"/>
      <c r="G5655" s="456"/>
      <c r="H5655" s="456"/>
    </row>
    <row r="5656" spans="1:8">
      <c r="A5656" s="696">
        <v>6679</v>
      </c>
      <c r="B5656" s="469"/>
      <c r="C5656" s="458"/>
      <c r="D5656" s="456">
        <v>0</v>
      </c>
      <c r="E5656" s="456">
        <v>0</v>
      </c>
      <c r="F5656" s="456"/>
      <c r="G5656" s="456"/>
      <c r="H5656" s="456"/>
    </row>
    <row r="5657" spans="1:8">
      <c r="A5657" s="696">
        <v>6680</v>
      </c>
      <c r="B5657" s="469"/>
      <c r="C5657" s="458"/>
      <c r="D5657" s="456">
        <v>0</v>
      </c>
      <c r="E5657" s="456">
        <v>0</v>
      </c>
      <c r="F5657" s="456"/>
      <c r="G5657" s="456"/>
      <c r="H5657" s="456"/>
    </row>
    <row r="5658" spans="1:8">
      <c r="A5658" s="696">
        <v>6681</v>
      </c>
      <c r="B5658" s="469"/>
      <c r="C5658" s="458"/>
      <c r="D5658" s="456">
        <v>0</v>
      </c>
      <c r="E5658" s="456">
        <v>0</v>
      </c>
      <c r="F5658" s="456"/>
      <c r="G5658" s="456"/>
      <c r="H5658" s="456"/>
    </row>
    <row r="5659" spans="1:8">
      <c r="A5659" s="696">
        <v>6682</v>
      </c>
      <c r="B5659" s="469"/>
      <c r="C5659" s="458"/>
      <c r="D5659" s="456">
        <v>0</v>
      </c>
      <c r="E5659" s="456">
        <v>0</v>
      </c>
      <c r="F5659" s="456"/>
      <c r="G5659" s="456"/>
      <c r="H5659" s="456"/>
    </row>
    <row r="5660" spans="1:8">
      <c r="A5660" s="696">
        <v>6683</v>
      </c>
      <c r="B5660" s="469"/>
      <c r="C5660" s="458"/>
      <c r="D5660" s="456">
        <v>0</v>
      </c>
      <c r="E5660" s="456">
        <v>0</v>
      </c>
      <c r="F5660" s="456"/>
      <c r="G5660" s="456"/>
      <c r="H5660" s="456"/>
    </row>
    <row r="5661" spans="1:8">
      <c r="A5661" s="696">
        <v>6684</v>
      </c>
      <c r="B5661" s="469"/>
      <c r="C5661" s="458"/>
      <c r="D5661" s="456">
        <v>0</v>
      </c>
      <c r="E5661" s="456">
        <v>0</v>
      </c>
      <c r="F5661" s="456"/>
      <c r="G5661" s="456"/>
      <c r="H5661" s="456"/>
    </row>
    <row r="5662" spans="1:8">
      <c r="A5662" s="696">
        <v>6685</v>
      </c>
      <c r="B5662" s="469"/>
      <c r="C5662" s="458"/>
      <c r="D5662" s="456">
        <v>0</v>
      </c>
      <c r="E5662" s="456">
        <v>0</v>
      </c>
      <c r="F5662" s="456"/>
      <c r="G5662" s="456"/>
      <c r="H5662" s="456"/>
    </row>
    <row r="5663" spans="1:8">
      <c r="A5663" s="696">
        <v>6686</v>
      </c>
      <c r="B5663" s="469"/>
      <c r="C5663" s="458"/>
      <c r="D5663" s="456">
        <v>0</v>
      </c>
      <c r="E5663" s="456">
        <v>0</v>
      </c>
      <c r="F5663" s="456"/>
      <c r="G5663" s="456"/>
      <c r="H5663" s="456"/>
    </row>
    <row r="5664" spans="1:8">
      <c r="A5664" s="696">
        <v>6687</v>
      </c>
      <c r="B5664" s="469"/>
      <c r="C5664" s="458"/>
      <c r="D5664" s="456">
        <v>0</v>
      </c>
      <c r="E5664" s="456">
        <v>0</v>
      </c>
      <c r="F5664" s="456"/>
      <c r="G5664" s="456"/>
      <c r="H5664" s="456"/>
    </row>
    <row r="5665" spans="1:8">
      <c r="A5665" s="696">
        <v>6688</v>
      </c>
      <c r="B5665" s="469"/>
      <c r="C5665" s="458"/>
      <c r="D5665" s="456">
        <v>0</v>
      </c>
      <c r="E5665" s="456">
        <v>0</v>
      </c>
      <c r="F5665" s="456"/>
      <c r="G5665" s="456"/>
      <c r="H5665" s="456"/>
    </row>
    <row r="5666" spans="1:8">
      <c r="A5666" s="696">
        <v>6689</v>
      </c>
      <c r="B5666" s="469"/>
      <c r="C5666" s="458"/>
      <c r="D5666" s="456">
        <v>0</v>
      </c>
      <c r="E5666" s="456">
        <v>0</v>
      </c>
      <c r="F5666" s="456"/>
      <c r="G5666" s="456"/>
      <c r="H5666" s="456"/>
    </row>
    <row r="5667" spans="1:8">
      <c r="A5667" s="696">
        <v>6690</v>
      </c>
      <c r="B5667" s="469"/>
      <c r="C5667" s="458"/>
      <c r="D5667" s="456">
        <v>0</v>
      </c>
      <c r="E5667" s="456">
        <v>0</v>
      </c>
      <c r="F5667" s="456"/>
      <c r="G5667" s="456"/>
      <c r="H5667" s="456"/>
    </row>
    <row r="5668" spans="1:8">
      <c r="A5668" s="696">
        <v>6691</v>
      </c>
      <c r="B5668" s="469"/>
      <c r="C5668" s="458"/>
      <c r="D5668" s="456">
        <v>0</v>
      </c>
      <c r="E5668" s="456">
        <v>0</v>
      </c>
      <c r="F5668" s="456"/>
      <c r="G5668" s="456"/>
      <c r="H5668" s="456"/>
    </row>
    <row r="5669" spans="1:8">
      <c r="A5669" s="696">
        <v>6692</v>
      </c>
      <c r="B5669" s="469"/>
      <c r="C5669" s="458"/>
      <c r="D5669" s="456">
        <v>0</v>
      </c>
      <c r="E5669" s="456">
        <v>0</v>
      </c>
      <c r="F5669" s="456"/>
      <c r="G5669" s="456"/>
      <c r="H5669" s="456"/>
    </row>
    <row r="5670" spans="1:8">
      <c r="A5670" s="696">
        <v>6693</v>
      </c>
      <c r="B5670" s="469"/>
      <c r="C5670" s="458"/>
      <c r="D5670" s="456">
        <v>0</v>
      </c>
      <c r="E5670" s="456">
        <v>0</v>
      </c>
      <c r="F5670" s="456"/>
      <c r="G5670" s="456"/>
      <c r="H5670" s="456"/>
    </row>
    <row r="5671" spans="1:8">
      <c r="A5671" s="696">
        <v>6694</v>
      </c>
      <c r="B5671" s="469"/>
      <c r="C5671" s="458"/>
      <c r="D5671" s="456">
        <v>0</v>
      </c>
      <c r="E5671" s="456">
        <v>0</v>
      </c>
      <c r="F5671" s="456"/>
      <c r="G5671" s="456"/>
      <c r="H5671" s="456"/>
    </row>
    <row r="5672" spans="1:8">
      <c r="A5672" s="696">
        <v>6695</v>
      </c>
      <c r="B5672" s="469"/>
      <c r="C5672" s="458"/>
      <c r="D5672" s="456">
        <v>0</v>
      </c>
      <c r="E5672" s="456">
        <v>0</v>
      </c>
      <c r="F5672" s="456"/>
      <c r="G5672" s="456"/>
      <c r="H5672" s="456"/>
    </row>
    <row r="5673" spans="1:8">
      <c r="A5673" s="696">
        <v>6696</v>
      </c>
      <c r="B5673" s="469"/>
      <c r="C5673" s="458"/>
      <c r="D5673" s="456">
        <v>0</v>
      </c>
      <c r="E5673" s="456">
        <v>0</v>
      </c>
      <c r="F5673" s="456"/>
      <c r="G5673" s="456"/>
      <c r="H5673" s="456"/>
    </row>
    <row r="5674" spans="1:8">
      <c r="A5674" s="696">
        <v>6697</v>
      </c>
      <c r="B5674" s="469"/>
      <c r="C5674" s="458"/>
      <c r="D5674" s="456">
        <v>0</v>
      </c>
      <c r="E5674" s="456">
        <v>0</v>
      </c>
      <c r="F5674" s="456"/>
      <c r="G5674" s="456"/>
      <c r="H5674" s="456"/>
    </row>
    <row r="5675" spans="1:8">
      <c r="A5675" s="696">
        <v>6698</v>
      </c>
      <c r="B5675" s="469"/>
      <c r="C5675" s="458"/>
      <c r="D5675" s="456">
        <v>0</v>
      </c>
      <c r="E5675" s="456">
        <v>0</v>
      </c>
      <c r="F5675" s="456"/>
      <c r="G5675" s="456"/>
      <c r="H5675" s="456"/>
    </row>
    <row r="5676" spans="1:8">
      <c r="A5676" s="696">
        <v>6699</v>
      </c>
      <c r="B5676" s="469"/>
      <c r="C5676" s="458"/>
      <c r="D5676" s="456">
        <v>0</v>
      </c>
      <c r="E5676" s="456">
        <v>0</v>
      </c>
      <c r="F5676" s="456"/>
      <c r="G5676" s="456"/>
      <c r="H5676" s="456"/>
    </row>
    <row r="5677" spans="1:8">
      <c r="A5677" s="696">
        <v>6700</v>
      </c>
      <c r="B5677" s="469"/>
      <c r="C5677" s="458"/>
      <c r="D5677" s="456">
        <v>0</v>
      </c>
      <c r="E5677" s="456">
        <v>0</v>
      </c>
      <c r="F5677" s="456"/>
      <c r="G5677" s="456"/>
      <c r="H5677" s="456"/>
    </row>
    <row r="5678" spans="1:8">
      <c r="A5678" s="696">
        <v>6701</v>
      </c>
      <c r="B5678" s="469"/>
      <c r="C5678" s="458"/>
      <c r="D5678" s="456">
        <v>0</v>
      </c>
      <c r="E5678" s="456">
        <v>0</v>
      </c>
      <c r="F5678" s="456"/>
      <c r="G5678" s="456"/>
      <c r="H5678" s="456"/>
    </row>
    <row r="5679" spans="1:8">
      <c r="A5679" s="696">
        <v>6702</v>
      </c>
      <c r="B5679" s="469"/>
      <c r="C5679" s="458"/>
      <c r="D5679" s="456">
        <v>0</v>
      </c>
      <c r="E5679" s="456">
        <v>0</v>
      </c>
      <c r="F5679" s="456"/>
      <c r="G5679" s="456"/>
      <c r="H5679" s="456"/>
    </row>
    <row r="5680" spans="1:8">
      <c r="A5680" s="696">
        <v>6703</v>
      </c>
      <c r="B5680" s="469"/>
      <c r="C5680" s="458"/>
      <c r="D5680" s="456">
        <v>0</v>
      </c>
      <c r="E5680" s="456">
        <v>0</v>
      </c>
      <c r="F5680" s="456"/>
      <c r="G5680" s="456"/>
      <c r="H5680" s="456"/>
    </row>
    <row r="5681" spans="1:8">
      <c r="A5681" s="696">
        <v>6704</v>
      </c>
      <c r="B5681" s="469"/>
      <c r="C5681" s="458"/>
      <c r="D5681" s="456">
        <v>0</v>
      </c>
      <c r="E5681" s="456">
        <v>0</v>
      </c>
      <c r="F5681" s="456"/>
      <c r="G5681" s="456"/>
      <c r="H5681" s="456"/>
    </row>
    <row r="5682" spans="1:8">
      <c r="A5682" s="696">
        <v>6705</v>
      </c>
      <c r="B5682" s="469"/>
      <c r="C5682" s="458"/>
      <c r="D5682" s="456">
        <v>0</v>
      </c>
      <c r="E5682" s="456">
        <v>0</v>
      </c>
      <c r="F5682" s="456"/>
      <c r="G5682" s="456"/>
      <c r="H5682" s="456"/>
    </row>
    <row r="5683" spans="1:8">
      <c r="A5683" s="696">
        <v>6706</v>
      </c>
      <c r="B5683" s="469"/>
      <c r="C5683" s="458"/>
      <c r="D5683" s="456">
        <v>0</v>
      </c>
      <c r="E5683" s="456">
        <v>0</v>
      </c>
      <c r="F5683" s="456"/>
      <c r="G5683" s="456"/>
      <c r="H5683" s="456"/>
    </row>
    <row r="5684" spans="1:8">
      <c r="A5684" s="696">
        <v>6707</v>
      </c>
      <c r="B5684" s="469"/>
      <c r="C5684" s="458"/>
      <c r="D5684" s="456">
        <v>0</v>
      </c>
      <c r="E5684" s="456">
        <v>0</v>
      </c>
      <c r="F5684" s="456"/>
      <c r="G5684" s="456"/>
      <c r="H5684" s="456"/>
    </row>
    <row r="5685" spans="1:8">
      <c r="A5685" s="696">
        <v>6708</v>
      </c>
      <c r="B5685" s="469"/>
      <c r="C5685" s="458"/>
      <c r="D5685" s="456">
        <v>0</v>
      </c>
      <c r="E5685" s="456">
        <v>0</v>
      </c>
      <c r="F5685" s="456"/>
      <c r="G5685" s="456"/>
      <c r="H5685" s="456"/>
    </row>
    <row r="5686" spans="1:8">
      <c r="A5686" s="696">
        <v>6709</v>
      </c>
      <c r="B5686" s="469"/>
      <c r="C5686" s="458"/>
      <c r="D5686" s="456">
        <v>0</v>
      </c>
      <c r="E5686" s="456">
        <v>0</v>
      </c>
      <c r="F5686" s="456"/>
      <c r="G5686" s="456"/>
      <c r="H5686" s="456"/>
    </row>
    <row r="5687" spans="1:8">
      <c r="A5687" s="696">
        <v>6710</v>
      </c>
      <c r="B5687" s="469"/>
      <c r="C5687" s="458"/>
      <c r="D5687" s="456">
        <v>0</v>
      </c>
      <c r="E5687" s="456">
        <v>0</v>
      </c>
      <c r="F5687" s="456"/>
      <c r="G5687" s="456"/>
      <c r="H5687" s="456"/>
    </row>
    <row r="5688" spans="1:8">
      <c r="A5688" s="696">
        <v>6711</v>
      </c>
      <c r="B5688" s="469"/>
      <c r="C5688" s="458"/>
      <c r="D5688" s="456">
        <v>0</v>
      </c>
      <c r="E5688" s="456">
        <v>0</v>
      </c>
      <c r="F5688" s="456"/>
      <c r="G5688" s="456"/>
      <c r="H5688" s="456"/>
    </row>
    <row r="5689" spans="1:8">
      <c r="A5689" s="696">
        <v>6712</v>
      </c>
      <c r="B5689" s="469"/>
      <c r="C5689" s="458"/>
      <c r="D5689" s="456">
        <v>0</v>
      </c>
      <c r="E5689" s="456">
        <v>0</v>
      </c>
      <c r="F5689" s="456"/>
      <c r="G5689" s="456"/>
      <c r="H5689" s="456"/>
    </row>
    <row r="5690" spans="1:8">
      <c r="A5690" s="696">
        <v>6713</v>
      </c>
      <c r="B5690" s="469"/>
      <c r="C5690" s="458"/>
      <c r="D5690" s="456">
        <v>0</v>
      </c>
      <c r="E5690" s="456">
        <v>0</v>
      </c>
      <c r="F5690" s="456"/>
      <c r="G5690" s="456"/>
      <c r="H5690" s="456"/>
    </row>
    <row r="5691" spans="1:8">
      <c r="A5691" s="696">
        <v>6714</v>
      </c>
      <c r="B5691" s="469"/>
      <c r="C5691" s="458"/>
      <c r="D5691" s="456">
        <v>0</v>
      </c>
      <c r="E5691" s="456">
        <v>0</v>
      </c>
      <c r="F5691" s="456"/>
      <c r="G5691" s="456"/>
      <c r="H5691" s="456"/>
    </row>
    <row r="5692" spans="1:8">
      <c r="A5692" s="696">
        <v>6715</v>
      </c>
      <c r="B5692" s="469"/>
      <c r="C5692" s="458"/>
      <c r="D5692" s="456">
        <v>0</v>
      </c>
      <c r="E5692" s="456">
        <v>0</v>
      </c>
      <c r="F5692" s="456"/>
      <c r="G5692" s="456"/>
      <c r="H5692" s="456"/>
    </row>
    <row r="5693" spans="1:8">
      <c r="A5693" s="696">
        <v>6716</v>
      </c>
      <c r="B5693" s="469"/>
      <c r="C5693" s="458"/>
      <c r="D5693" s="456">
        <v>0</v>
      </c>
      <c r="E5693" s="456">
        <v>0</v>
      </c>
      <c r="F5693" s="456"/>
      <c r="G5693" s="456"/>
      <c r="H5693" s="456"/>
    </row>
    <row r="5694" spans="1:8">
      <c r="A5694" s="696">
        <v>6717</v>
      </c>
      <c r="B5694" s="469"/>
      <c r="C5694" s="458"/>
      <c r="D5694" s="456">
        <v>0</v>
      </c>
      <c r="E5694" s="456">
        <v>0</v>
      </c>
      <c r="F5694" s="456"/>
      <c r="G5694" s="456"/>
      <c r="H5694" s="456"/>
    </row>
    <row r="5695" spans="1:8">
      <c r="A5695" s="696">
        <v>6718</v>
      </c>
      <c r="B5695" s="469"/>
      <c r="C5695" s="458"/>
      <c r="D5695" s="456">
        <v>0</v>
      </c>
      <c r="E5695" s="456">
        <v>0</v>
      </c>
      <c r="F5695" s="456"/>
      <c r="G5695" s="456"/>
      <c r="H5695" s="456"/>
    </row>
    <row r="5696" spans="1:8">
      <c r="A5696" s="696">
        <v>6719</v>
      </c>
      <c r="B5696" s="469"/>
      <c r="C5696" s="458"/>
      <c r="D5696" s="456">
        <v>0</v>
      </c>
      <c r="E5696" s="456">
        <v>0</v>
      </c>
      <c r="F5696" s="456"/>
      <c r="G5696" s="456"/>
      <c r="H5696" s="456"/>
    </row>
    <row r="5697" spans="1:8">
      <c r="A5697" s="696">
        <v>6720</v>
      </c>
      <c r="B5697" s="469"/>
      <c r="C5697" s="458"/>
      <c r="D5697" s="456">
        <v>0</v>
      </c>
      <c r="E5697" s="456">
        <v>0</v>
      </c>
      <c r="F5697" s="456"/>
      <c r="G5697" s="456"/>
      <c r="H5697" s="456"/>
    </row>
    <row r="5698" spans="1:8">
      <c r="A5698" s="696">
        <v>6721</v>
      </c>
      <c r="B5698" s="469"/>
      <c r="C5698" s="458"/>
      <c r="D5698" s="456">
        <v>0</v>
      </c>
      <c r="E5698" s="456">
        <v>0</v>
      </c>
      <c r="F5698" s="456"/>
      <c r="G5698" s="456"/>
      <c r="H5698" s="456"/>
    </row>
    <row r="5699" spans="1:8">
      <c r="A5699" s="696">
        <v>6722</v>
      </c>
      <c r="B5699" s="469"/>
      <c r="C5699" s="458"/>
      <c r="D5699" s="456">
        <v>0</v>
      </c>
      <c r="E5699" s="456">
        <v>0</v>
      </c>
      <c r="F5699" s="456"/>
      <c r="G5699" s="456"/>
      <c r="H5699" s="456"/>
    </row>
    <row r="5700" spans="1:8">
      <c r="A5700" s="696">
        <v>6723</v>
      </c>
      <c r="B5700" s="469"/>
      <c r="C5700" s="458"/>
      <c r="D5700" s="456">
        <v>0</v>
      </c>
      <c r="E5700" s="456">
        <v>0</v>
      </c>
      <c r="F5700" s="456"/>
      <c r="G5700" s="456"/>
      <c r="H5700" s="456"/>
    </row>
    <row r="5701" spans="1:8">
      <c r="A5701" s="696">
        <v>6724</v>
      </c>
      <c r="B5701" s="469"/>
      <c r="C5701" s="458"/>
      <c r="D5701" s="456">
        <v>0</v>
      </c>
      <c r="E5701" s="456">
        <v>0</v>
      </c>
      <c r="F5701" s="456"/>
      <c r="G5701" s="456"/>
      <c r="H5701" s="456"/>
    </row>
    <row r="5702" spans="1:8">
      <c r="A5702" s="696">
        <v>6725</v>
      </c>
      <c r="B5702" s="469"/>
      <c r="C5702" s="458"/>
      <c r="D5702" s="456">
        <v>0</v>
      </c>
      <c r="E5702" s="456">
        <v>0</v>
      </c>
      <c r="F5702" s="456"/>
      <c r="G5702" s="456"/>
      <c r="H5702" s="456"/>
    </row>
    <row r="5703" spans="1:8">
      <c r="A5703" s="696">
        <v>6726</v>
      </c>
      <c r="B5703" s="469"/>
      <c r="C5703" s="458"/>
      <c r="D5703" s="456">
        <v>0</v>
      </c>
      <c r="E5703" s="456">
        <v>0</v>
      </c>
      <c r="F5703" s="456"/>
      <c r="G5703" s="456"/>
      <c r="H5703" s="456"/>
    </row>
    <row r="5704" spans="1:8">
      <c r="A5704" s="696">
        <v>6727</v>
      </c>
      <c r="B5704" s="469"/>
      <c r="C5704" s="458"/>
      <c r="D5704" s="456">
        <v>0</v>
      </c>
      <c r="E5704" s="456">
        <v>0</v>
      </c>
      <c r="F5704" s="456"/>
      <c r="G5704" s="456"/>
      <c r="H5704" s="456"/>
    </row>
    <row r="5705" spans="1:8">
      <c r="A5705" s="696">
        <v>6728</v>
      </c>
      <c r="B5705" s="469"/>
      <c r="C5705" s="458"/>
      <c r="D5705" s="456">
        <v>0</v>
      </c>
      <c r="E5705" s="456">
        <v>0</v>
      </c>
      <c r="F5705" s="456"/>
      <c r="G5705" s="456"/>
      <c r="H5705" s="456"/>
    </row>
    <row r="5706" spans="1:8">
      <c r="A5706" s="696">
        <v>6729</v>
      </c>
      <c r="B5706" s="469"/>
      <c r="C5706" s="458"/>
      <c r="D5706" s="456">
        <v>0</v>
      </c>
      <c r="E5706" s="456">
        <v>0</v>
      </c>
      <c r="F5706" s="456"/>
      <c r="G5706" s="456"/>
      <c r="H5706" s="456"/>
    </row>
    <row r="5707" spans="1:8">
      <c r="A5707" s="696">
        <v>6730</v>
      </c>
      <c r="B5707" s="469"/>
      <c r="C5707" s="458"/>
      <c r="D5707" s="456">
        <v>0</v>
      </c>
      <c r="E5707" s="456">
        <v>0</v>
      </c>
      <c r="F5707" s="456"/>
      <c r="G5707" s="456"/>
      <c r="H5707" s="456"/>
    </row>
    <row r="5708" spans="1:8">
      <c r="A5708" s="696">
        <v>6731</v>
      </c>
      <c r="B5708" s="469"/>
      <c r="C5708" s="458"/>
      <c r="D5708" s="456">
        <v>0</v>
      </c>
      <c r="E5708" s="456">
        <v>0</v>
      </c>
      <c r="F5708" s="456"/>
      <c r="G5708" s="456"/>
      <c r="H5708" s="456"/>
    </row>
    <row r="5709" spans="1:8">
      <c r="A5709" s="696">
        <v>6732</v>
      </c>
      <c r="B5709" s="469"/>
      <c r="C5709" s="458"/>
      <c r="D5709" s="456">
        <v>0</v>
      </c>
      <c r="E5709" s="456">
        <v>0</v>
      </c>
      <c r="F5709" s="456"/>
      <c r="G5709" s="456"/>
      <c r="H5709" s="456"/>
    </row>
    <row r="5710" spans="1:8">
      <c r="A5710" s="696">
        <v>6733</v>
      </c>
      <c r="B5710" s="469"/>
      <c r="C5710" s="458"/>
      <c r="D5710" s="456">
        <v>0</v>
      </c>
      <c r="E5710" s="456">
        <v>0</v>
      </c>
      <c r="F5710" s="456"/>
      <c r="G5710" s="456"/>
      <c r="H5710" s="456"/>
    </row>
    <row r="5711" spans="1:8">
      <c r="A5711" s="696">
        <v>6734</v>
      </c>
      <c r="B5711" s="469"/>
      <c r="C5711" s="458"/>
      <c r="D5711" s="456">
        <v>0</v>
      </c>
      <c r="E5711" s="456">
        <v>0</v>
      </c>
      <c r="F5711" s="456"/>
      <c r="G5711" s="456"/>
      <c r="H5711" s="456"/>
    </row>
    <row r="5712" spans="1:8">
      <c r="A5712" s="696">
        <v>6735</v>
      </c>
      <c r="B5712" s="469"/>
      <c r="C5712" s="458"/>
      <c r="D5712" s="456">
        <v>0</v>
      </c>
      <c r="E5712" s="456">
        <v>0</v>
      </c>
      <c r="F5712" s="456"/>
      <c r="G5712" s="456"/>
      <c r="H5712" s="456"/>
    </row>
    <row r="5713" spans="1:8">
      <c r="A5713" s="696">
        <v>6736</v>
      </c>
      <c r="B5713" s="469"/>
      <c r="C5713" s="458"/>
      <c r="D5713" s="456">
        <v>0</v>
      </c>
      <c r="E5713" s="456">
        <v>0</v>
      </c>
      <c r="F5713" s="456"/>
      <c r="G5713" s="456"/>
      <c r="H5713" s="456"/>
    </row>
    <row r="5714" spans="1:8">
      <c r="A5714" s="696">
        <v>6737</v>
      </c>
      <c r="B5714" s="469"/>
      <c r="C5714" s="458"/>
      <c r="D5714" s="456">
        <v>0</v>
      </c>
      <c r="E5714" s="456">
        <v>0</v>
      </c>
      <c r="F5714" s="456"/>
      <c r="G5714" s="456"/>
      <c r="H5714" s="456"/>
    </row>
    <row r="5715" spans="1:8">
      <c r="A5715" s="696">
        <v>6738</v>
      </c>
      <c r="B5715" s="469"/>
      <c r="C5715" s="458"/>
      <c r="D5715" s="456">
        <v>0</v>
      </c>
      <c r="E5715" s="456">
        <v>0</v>
      </c>
      <c r="F5715" s="456"/>
      <c r="G5715" s="456"/>
      <c r="H5715" s="456"/>
    </row>
    <row r="5716" spans="1:8">
      <c r="A5716" s="696">
        <v>6739</v>
      </c>
      <c r="B5716" s="469"/>
      <c r="C5716" s="458"/>
      <c r="D5716" s="456">
        <v>0</v>
      </c>
      <c r="E5716" s="456">
        <v>0</v>
      </c>
      <c r="F5716" s="456"/>
      <c r="G5716" s="456"/>
      <c r="H5716" s="456"/>
    </row>
    <row r="5717" spans="1:8">
      <c r="A5717" s="696">
        <v>6740</v>
      </c>
      <c r="B5717" s="469"/>
      <c r="C5717" s="458"/>
      <c r="D5717" s="456">
        <v>0</v>
      </c>
      <c r="E5717" s="456">
        <v>0</v>
      </c>
      <c r="F5717" s="456"/>
      <c r="G5717" s="456"/>
      <c r="H5717" s="456"/>
    </row>
    <row r="5718" spans="1:8">
      <c r="A5718" s="696">
        <v>6741</v>
      </c>
      <c r="B5718" s="469"/>
      <c r="C5718" s="458"/>
      <c r="D5718" s="456">
        <v>0</v>
      </c>
      <c r="E5718" s="456">
        <v>0</v>
      </c>
      <c r="F5718" s="456"/>
      <c r="G5718" s="456"/>
      <c r="H5718" s="456"/>
    </row>
    <row r="5719" spans="1:8">
      <c r="A5719" s="696">
        <v>6742</v>
      </c>
      <c r="B5719" s="469"/>
      <c r="C5719" s="458"/>
      <c r="D5719" s="456">
        <v>0</v>
      </c>
      <c r="E5719" s="456">
        <v>0</v>
      </c>
      <c r="F5719" s="456"/>
      <c r="G5719" s="456"/>
      <c r="H5719" s="456"/>
    </row>
    <row r="5720" spans="1:8">
      <c r="A5720" s="696">
        <v>6743</v>
      </c>
      <c r="B5720" s="469"/>
      <c r="C5720" s="458"/>
      <c r="D5720" s="456">
        <v>0</v>
      </c>
      <c r="E5720" s="456">
        <v>0</v>
      </c>
      <c r="F5720" s="456"/>
      <c r="G5720" s="456"/>
      <c r="H5720" s="456"/>
    </row>
    <row r="5721" spans="1:8">
      <c r="A5721" s="696">
        <v>6744</v>
      </c>
      <c r="B5721" s="469"/>
      <c r="C5721" s="458"/>
      <c r="D5721" s="456">
        <v>0</v>
      </c>
      <c r="E5721" s="456">
        <v>0</v>
      </c>
      <c r="F5721" s="456"/>
      <c r="G5721" s="456"/>
      <c r="H5721" s="456"/>
    </row>
    <row r="5722" spans="1:8">
      <c r="A5722" s="696">
        <v>6745</v>
      </c>
      <c r="B5722" s="469"/>
      <c r="C5722" s="458"/>
      <c r="D5722" s="456">
        <v>0</v>
      </c>
      <c r="E5722" s="456">
        <v>0</v>
      </c>
      <c r="F5722" s="456"/>
      <c r="G5722" s="456"/>
      <c r="H5722" s="456"/>
    </row>
    <row r="5723" spans="1:8">
      <c r="A5723" s="696">
        <v>6746</v>
      </c>
      <c r="B5723" s="469"/>
      <c r="C5723" s="458"/>
      <c r="D5723" s="456">
        <v>0</v>
      </c>
      <c r="E5723" s="456">
        <v>0</v>
      </c>
      <c r="F5723" s="456"/>
      <c r="G5723" s="456"/>
      <c r="H5723" s="456"/>
    </row>
    <row r="5724" spans="1:8">
      <c r="A5724" s="696">
        <v>6747</v>
      </c>
      <c r="B5724" s="469"/>
      <c r="C5724" s="458"/>
      <c r="D5724" s="456">
        <v>0</v>
      </c>
      <c r="E5724" s="456">
        <v>0</v>
      </c>
      <c r="F5724" s="456"/>
      <c r="G5724" s="456"/>
      <c r="H5724" s="456"/>
    </row>
    <row r="5725" spans="1:8">
      <c r="A5725" s="696">
        <v>6748</v>
      </c>
      <c r="B5725" s="469"/>
      <c r="C5725" s="458"/>
      <c r="D5725" s="456">
        <v>0</v>
      </c>
      <c r="E5725" s="456">
        <v>0</v>
      </c>
      <c r="F5725" s="456"/>
      <c r="G5725" s="456"/>
      <c r="H5725" s="456"/>
    </row>
    <row r="5726" spans="1:8">
      <c r="A5726" s="696">
        <v>6749</v>
      </c>
      <c r="B5726" s="469"/>
      <c r="C5726" s="458"/>
      <c r="D5726" s="456">
        <v>0</v>
      </c>
      <c r="E5726" s="456">
        <v>0</v>
      </c>
      <c r="F5726" s="456"/>
      <c r="G5726" s="456"/>
      <c r="H5726" s="456"/>
    </row>
    <row r="5727" spans="1:8">
      <c r="A5727" s="696">
        <v>6750</v>
      </c>
      <c r="B5727" s="469"/>
      <c r="C5727" s="458"/>
      <c r="D5727" s="456">
        <v>0</v>
      </c>
      <c r="E5727" s="456">
        <v>0</v>
      </c>
      <c r="F5727" s="456"/>
      <c r="G5727" s="456"/>
      <c r="H5727" s="456"/>
    </row>
    <row r="5728" spans="1:8">
      <c r="A5728" s="696">
        <v>6751</v>
      </c>
      <c r="B5728" s="469"/>
      <c r="C5728" s="458"/>
      <c r="D5728" s="456">
        <v>0</v>
      </c>
      <c r="E5728" s="456">
        <v>0</v>
      </c>
      <c r="F5728" s="456"/>
      <c r="G5728" s="456"/>
      <c r="H5728" s="456"/>
    </row>
    <row r="5729" spans="1:8">
      <c r="A5729" s="696">
        <v>6752</v>
      </c>
      <c r="B5729" s="469"/>
      <c r="C5729" s="458"/>
      <c r="D5729" s="456">
        <v>0</v>
      </c>
      <c r="E5729" s="456">
        <v>0</v>
      </c>
      <c r="F5729" s="456"/>
      <c r="G5729" s="456"/>
      <c r="H5729" s="456"/>
    </row>
    <row r="5730" spans="1:8">
      <c r="A5730" s="696">
        <v>6753</v>
      </c>
      <c r="B5730" s="469"/>
      <c r="C5730" s="458"/>
      <c r="D5730" s="456">
        <v>0</v>
      </c>
      <c r="E5730" s="456">
        <v>0</v>
      </c>
      <c r="F5730" s="456"/>
      <c r="G5730" s="456"/>
      <c r="H5730" s="456"/>
    </row>
    <row r="5731" spans="1:8">
      <c r="A5731" s="696">
        <v>6754</v>
      </c>
      <c r="B5731" s="469"/>
      <c r="C5731" s="458"/>
      <c r="D5731" s="456">
        <v>0</v>
      </c>
      <c r="E5731" s="456">
        <v>0</v>
      </c>
      <c r="F5731" s="456"/>
      <c r="G5731" s="456"/>
      <c r="H5731" s="456"/>
    </row>
    <row r="5732" spans="1:8">
      <c r="A5732" s="696">
        <v>6755</v>
      </c>
      <c r="B5732" s="469"/>
      <c r="C5732" s="458"/>
      <c r="D5732" s="456">
        <v>0</v>
      </c>
      <c r="E5732" s="456">
        <v>0</v>
      </c>
      <c r="F5732" s="456"/>
      <c r="G5732" s="456"/>
      <c r="H5732" s="456"/>
    </row>
    <row r="5733" spans="1:8">
      <c r="A5733" s="696">
        <v>6756</v>
      </c>
      <c r="B5733" s="469"/>
      <c r="C5733" s="458"/>
      <c r="D5733" s="456">
        <v>0</v>
      </c>
      <c r="E5733" s="456">
        <v>0</v>
      </c>
      <c r="F5733" s="456"/>
      <c r="G5733" s="456"/>
      <c r="H5733" s="456"/>
    </row>
    <row r="5734" spans="1:8">
      <c r="A5734" s="696">
        <v>6757</v>
      </c>
      <c r="B5734" s="469"/>
      <c r="C5734" s="458"/>
      <c r="D5734" s="456">
        <v>0</v>
      </c>
      <c r="E5734" s="456">
        <v>0</v>
      </c>
      <c r="F5734" s="456"/>
      <c r="G5734" s="456"/>
      <c r="H5734" s="456"/>
    </row>
    <row r="5735" spans="1:8">
      <c r="A5735" s="696">
        <v>6758</v>
      </c>
      <c r="B5735" s="469"/>
      <c r="C5735" s="458"/>
      <c r="D5735" s="456">
        <v>0</v>
      </c>
      <c r="E5735" s="456">
        <v>0</v>
      </c>
      <c r="F5735" s="456"/>
      <c r="G5735" s="456"/>
      <c r="H5735" s="456"/>
    </row>
    <row r="5736" spans="1:8">
      <c r="A5736" s="696">
        <v>6759</v>
      </c>
      <c r="B5736" s="469"/>
      <c r="C5736" s="458"/>
      <c r="D5736" s="456">
        <v>0</v>
      </c>
      <c r="E5736" s="456">
        <v>0</v>
      </c>
      <c r="F5736" s="456"/>
      <c r="G5736" s="456"/>
      <c r="H5736" s="456"/>
    </row>
    <row r="5737" spans="1:8">
      <c r="A5737" s="696">
        <v>6760</v>
      </c>
      <c r="B5737" s="469"/>
      <c r="C5737" s="458"/>
      <c r="D5737" s="456">
        <v>0</v>
      </c>
      <c r="E5737" s="456">
        <v>0</v>
      </c>
      <c r="F5737" s="456"/>
      <c r="G5737" s="456"/>
      <c r="H5737" s="456"/>
    </row>
    <row r="5738" spans="1:8">
      <c r="A5738" s="696">
        <v>6761</v>
      </c>
      <c r="B5738" s="469"/>
      <c r="C5738" s="458"/>
      <c r="D5738" s="456">
        <v>0</v>
      </c>
      <c r="E5738" s="456">
        <v>0</v>
      </c>
      <c r="F5738" s="456"/>
      <c r="G5738" s="456"/>
      <c r="H5738" s="456"/>
    </row>
    <row r="5739" spans="1:8">
      <c r="A5739" s="696">
        <v>6762</v>
      </c>
      <c r="B5739" s="469"/>
      <c r="C5739" s="458"/>
      <c r="D5739" s="456">
        <v>0</v>
      </c>
      <c r="E5739" s="456">
        <v>0</v>
      </c>
      <c r="F5739" s="456"/>
      <c r="G5739" s="456"/>
      <c r="H5739" s="456"/>
    </row>
    <row r="5740" spans="1:8">
      <c r="A5740" s="696">
        <v>6763</v>
      </c>
      <c r="B5740" s="469"/>
      <c r="C5740" s="458"/>
      <c r="D5740" s="456">
        <v>0</v>
      </c>
      <c r="E5740" s="456">
        <v>0</v>
      </c>
      <c r="F5740" s="456"/>
      <c r="G5740" s="456"/>
      <c r="H5740" s="456"/>
    </row>
    <row r="5741" spans="1:8">
      <c r="A5741" s="696">
        <v>6764</v>
      </c>
      <c r="B5741" s="469"/>
      <c r="C5741" s="458"/>
      <c r="D5741" s="456">
        <v>0</v>
      </c>
      <c r="E5741" s="456">
        <v>0</v>
      </c>
      <c r="F5741" s="456"/>
      <c r="G5741" s="456"/>
      <c r="H5741" s="456"/>
    </row>
    <row r="5742" spans="1:8">
      <c r="A5742" s="696">
        <v>6765</v>
      </c>
      <c r="B5742" s="469"/>
      <c r="C5742" s="458"/>
      <c r="D5742" s="456">
        <v>0</v>
      </c>
      <c r="E5742" s="456">
        <v>0</v>
      </c>
      <c r="F5742" s="456"/>
      <c r="G5742" s="456"/>
      <c r="H5742" s="456"/>
    </row>
    <row r="5743" spans="1:8">
      <c r="A5743" s="696">
        <v>6766</v>
      </c>
      <c r="B5743" s="469"/>
      <c r="C5743" s="458"/>
      <c r="D5743" s="456">
        <v>0</v>
      </c>
      <c r="E5743" s="456">
        <v>0</v>
      </c>
      <c r="F5743" s="456"/>
      <c r="G5743" s="456"/>
      <c r="H5743" s="456"/>
    </row>
    <row r="5744" spans="1:8">
      <c r="A5744" s="696">
        <v>6767</v>
      </c>
      <c r="B5744" s="469"/>
      <c r="C5744" s="458"/>
      <c r="D5744" s="456">
        <v>0</v>
      </c>
      <c r="E5744" s="456">
        <v>0</v>
      </c>
      <c r="F5744" s="456"/>
      <c r="G5744" s="456"/>
      <c r="H5744" s="456"/>
    </row>
    <row r="5745" spans="1:8">
      <c r="A5745" s="696">
        <v>6768</v>
      </c>
      <c r="B5745" s="469"/>
      <c r="C5745" s="458"/>
      <c r="D5745" s="456">
        <v>0</v>
      </c>
      <c r="E5745" s="456">
        <v>0</v>
      </c>
      <c r="F5745" s="456"/>
      <c r="G5745" s="456"/>
      <c r="H5745" s="456"/>
    </row>
    <row r="5746" spans="1:8">
      <c r="A5746" s="696">
        <v>6769</v>
      </c>
      <c r="B5746" s="469"/>
      <c r="C5746" s="458"/>
      <c r="D5746" s="456">
        <v>0</v>
      </c>
      <c r="E5746" s="456">
        <v>0</v>
      </c>
      <c r="F5746" s="456"/>
      <c r="G5746" s="456"/>
      <c r="H5746" s="456"/>
    </row>
    <row r="5747" spans="1:8">
      <c r="A5747" s="696">
        <v>6770</v>
      </c>
      <c r="B5747" s="469"/>
      <c r="C5747" s="458"/>
      <c r="D5747" s="456">
        <v>0</v>
      </c>
      <c r="E5747" s="456">
        <v>0</v>
      </c>
      <c r="F5747" s="456"/>
      <c r="G5747" s="456"/>
      <c r="H5747" s="456"/>
    </row>
    <row r="5748" spans="1:8">
      <c r="A5748" s="696">
        <v>6771</v>
      </c>
      <c r="B5748" s="469"/>
      <c r="C5748" s="458"/>
      <c r="D5748" s="456">
        <v>0</v>
      </c>
      <c r="E5748" s="456">
        <v>0</v>
      </c>
      <c r="F5748" s="456"/>
      <c r="G5748" s="456"/>
      <c r="H5748" s="456"/>
    </row>
    <row r="5749" spans="1:8">
      <c r="A5749" s="696">
        <v>6772</v>
      </c>
      <c r="B5749" s="469"/>
      <c r="C5749" s="458"/>
      <c r="D5749" s="456">
        <v>0</v>
      </c>
      <c r="E5749" s="456">
        <v>0</v>
      </c>
      <c r="F5749" s="456"/>
      <c r="G5749" s="456"/>
      <c r="H5749" s="456"/>
    </row>
    <row r="5750" spans="1:8">
      <c r="A5750" s="696">
        <v>6773</v>
      </c>
      <c r="B5750" s="469"/>
      <c r="C5750" s="458"/>
      <c r="D5750" s="456">
        <v>0</v>
      </c>
      <c r="E5750" s="456">
        <v>0</v>
      </c>
      <c r="F5750" s="456"/>
      <c r="G5750" s="456"/>
      <c r="H5750" s="456"/>
    </row>
    <row r="5751" spans="1:8">
      <c r="A5751" s="696">
        <v>6774</v>
      </c>
      <c r="B5751" s="469"/>
      <c r="C5751" s="458"/>
      <c r="D5751" s="456">
        <v>0</v>
      </c>
      <c r="E5751" s="456">
        <v>0</v>
      </c>
      <c r="F5751" s="456"/>
      <c r="G5751" s="456"/>
      <c r="H5751" s="456"/>
    </row>
    <row r="5752" spans="1:8">
      <c r="A5752" s="696">
        <v>6775</v>
      </c>
      <c r="B5752" s="469"/>
      <c r="C5752" s="458"/>
      <c r="D5752" s="456">
        <v>0</v>
      </c>
      <c r="E5752" s="456">
        <v>0</v>
      </c>
      <c r="F5752" s="456"/>
      <c r="G5752" s="456"/>
      <c r="H5752" s="456"/>
    </row>
    <row r="5753" spans="1:8">
      <c r="A5753" s="696">
        <v>6776</v>
      </c>
      <c r="B5753" s="469"/>
      <c r="C5753" s="458"/>
      <c r="D5753" s="456">
        <v>0</v>
      </c>
      <c r="E5753" s="456">
        <v>0</v>
      </c>
      <c r="F5753" s="456"/>
      <c r="G5753" s="456"/>
      <c r="H5753" s="456"/>
    </row>
    <row r="5754" spans="1:8">
      <c r="A5754" s="696">
        <v>6777</v>
      </c>
      <c r="B5754" s="469"/>
      <c r="C5754" s="458"/>
      <c r="D5754" s="456">
        <v>0</v>
      </c>
      <c r="E5754" s="456">
        <v>0</v>
      </c>
      <c r="F5754" s="456"/>
      <c r="G5754" s="456"/>
      <c r="H5754" s="456"/>
    </row>
    <row r="5755" spans="1:8">
      <c r="A5755" s="696">
        <v>6778</v>
      </c>
      <c r="B5755" s="469"/>
      <c r="C5755" s="458"/>
      <c r="D5755" s="456">
        <v>0</v>
      </c>
      <c r="E5755" s="456">
        <v>0</v>
      </c>
      <c r="F5755" s="456"/>
      <c r="G5755" s="456"/>
      <c r="H5755" s="456"/>
    </row>
    <row r="5756" spans="1:8">
      <c r="A5756" s="696">
        <v>6779</v>
      </c>
      <c r="B5756" s="469"/>
      <c r="C5756" s="458"/>
      <c r="D5756" s="456">
        <v>0</v>
      </c>
      <c r="E5756" s="456">
        <v>0</v>
      </c>
      <c r="F5756" s="456"/>
      <c r="G5756" s="456"/>
      <c r="H5756" s="456"/>
    </row>
    <row r="5757" spans="1:8">
      <c r="A5757" s="696">
        <v>6780</v>
      </c>
      <c r="B5757" s="469"/>
      <c r="C5757" s="458"/>
      <c r="D5757" s="456">
        <v>0</v>
      </c>
      <c r="E5757" s="456">
        <v>0</v>
      </c>
      <c r="F5757" s="456"/>
      <c r="G5757" s="456"/>
      <c r="H5757" s="456"/>
    </row>
    <row r="5758" spans="1:8">
      <c r="A5758" s="696">
        <v>6781</v>
      </c>
      <c r="B5758" s="469"/>
      <c r="C5758" s="458"/>
      <c r="D5758" s="456">
        <v>0</v>
      </c>
      <c r="E5758" s="456">
        <v>0</v>
      </c>
      <c r="F5758" s="456"/>
      <c r="G5758" s="456"/>
      <c r="H5758" s="456"/>
    </row>
    <row r="5759" spans="1:8">
      <c r="A5759" s="696">
        <v>6782</v>
      </c>
      <c r="B5759" s="469"/>
      <c r="C5759" s="458"/>
      <c r="D5759" s="456">
        <v>0</v>
      </c>
      <c r="E5759" s="456">
        <v>0</v>
      </c>
      <c r="F5759" s="456"/>
      <c r="G5759" s="456"/>
      <c r="H5759" s="456"/>
    </row>
    <row r="5760" spans="1:8">
      <c r="A5760" s="696">
        <v>6783</v>
      </c>
      <c r="B5760" s="469"/>
      <c r="C5760" s="458"/>
      <c r="D5760" s="456">
        <v>0</v>
      </c>
      <c r="E5760" s="456">
        <v>0</v>
      </c>
      <c r="F5760" s="456"/>
      <c r="G5760" s="456"/>
      <c r="H5760" s="456"/>
    </row>
    <row r="5761" spans="1:8">
      <c r="A5761" s="696">
        <v>6784</v>
      </c>
      <c r="B5761" s="469"/>
      <c r="C5761" s="458"/>
      <c r="D5761" s="456">
        <v>0</v>
      </c>
      <c r="E5761" s="456">
        <v>0</v>
      </c>
      <c r="F5761" s="456"/>
      <c r="G5761" s="456"/>
      <c r="H5761" s="456"/>
    </row>
    <row r="5762" spans="1:8">
      <c r="A5762" s="696">
        <v>6785</v>
      </c>
      <c r="B5762" s="469"/>
      <c r="C5762" s="458"/>
      <c r="D5762" s="456">
        <v>0</v>
      </c>
      <c r="E5762" s="456">
        <v>0</v>
      </c>
      <c r="F5762" s="456"/>
      <c r="G5762" s="456"/>
      <c r="H5762" s="456"/>
    </row>
    <row r="5763" spans="1:8">
      <c r="A5763" s="696">
        <v>6786</v>
      </c>
      <c r="B5763" s="469"/>
      <c r="C5763" s="458"/>
      <c r="D5763" s="456">
        <v>0</v>
      </c>
      <c r="E5763" s="456">
        <v>0</v>
      </c>
      <c r="F5763" s="456"/>
      <c r="G5763" s="456"/>
      <c r="H5763" s="456"/>
    </row>
    <row r="5764" spans="1:8">
      <c r="A5764" s="696">
        <v>6787</v>
      </c>
      <c r="B5764" s="469"/>
      <c r="C5764" s="458"/>
      <c r="D5764" s="456">
        <v>0</v>
      </c>
      <c r="E5764" s="456">
        <v>0</v>
      </c>
      <c r="F5764" s="456"/>
      <c r="G5764" s="456"/>
      <c r="H5764" s="456"/>
    </row>
    <row r="5765" spans="1:8">
      <c r="A5765" s="696">
        <v>6788</v>
      </c>
      <c r="B5765" s="469"/>
      <c r="C5765" s="458"/>
      <c r="D5765" s="456">
        <v>0</v>
      </c>
      <c r="E5765" s="456">
        <v>0</v>
      </c>
      <c r="F5765" s="456"/>
      <c r="G5765" s="456"/>
      <c r="H5765" s="456"/>
    </row>
    <row r="5766" spans="1:8">
      <c r="A5766" s="696">
        <v>6789</v>
      </c>
      <c r="B5766" s="469"/>
      <c r="C5766" s="458"/>
      <c r="D5766" s="456">
        <v>0</v>
      </c>
      <c r="E5766" s="456">
        <v>0</v>
      </c>
      <c r="F5766" s="456"/>
      <c r="G5766" s="456"/>
      <c r="H5766" s="456"/>
    </row>
    <row r="5767" spans="1:8">
      <c r="A5767" s="696">
        <v>6790</v>
      </c>
      <c r="B5767" s="469"/>
      <c r="C5767" s="458"/>
      <c r="D5767" s="456">
        <v>0</v>
      </c>
      <c r="E5767" s="456">
        <v>0</v>
      </c>
      <c r="F5767" s="456"/>
      <c r="G5767" s="456"/>
      <c r="H5767" s="456"/>
    </row>
    <row r="5768" spans="1:8">
      <c r="A5768" s="696">
        <v>6791</v>
      </c>
      <c r="B5768" s="469"/>
      <c r="C5768" s="458"/>
      <c r="D5768" s="456">
        <v>0</v>
      </c>
      <c r="E5768" s="456">
        <v>0</v>
      </c>
      <c r="F5768" s="456"/>
      <c r="G5768" s="456"/>
      <c r="H5768" s="456"/>
    </row>
    <row r="5769" spans="1:8">
      <c r="A5769" s="696">
        <v>6792</v>
      </c>
      <c r="B5769" s="469"/>
      <c r="C5769" s="458"/>
      <c r="D5769" s="456">
        <v>0</v>
      </c>
      <c r="E5769" s="456">
        <v>0</v>
      </c>
      <c r="F5769" s="456"/>
      <c r="G5769" s="456"/>
      <c r="H5769" s="456"/>
    </row>
    <row r="5770" spans="1:8">
      <c r="A5770" s="696">
        <v>6793</v>
      </c>
      <c r="B5770" s="469"/>
      <c r="C5770" s="458"/>
      <c r="D5770" s="456">
        <v>0</v>
      </c>
      <c r="E5770" s="456">
        <v>0</v>
      </c>
      <c r="F5770" s="456"/>
      <c r="G5770" s="456"/>
      <c r="H5770" s="456"/>
    </row>
    <row r="5771" spans="1:8">
      <c r="A5771" s="696">
        <v>6794</v>
      </c>
      <c r="B5771" s="469"/>
      <c r="C5771" s="458"/>
      <c r="D5771" s="456">
        <v>0</v>
      </c>
      <c r="E5771" s="456">
        <v>0</v>
      </c>
      <c r="F5771" s="456"/>
      <c r="G5771" s="456"/>
      <c r="H5771" s="456"/>
    </row>
    <row r="5772" spans="1:8">
      <c r="A5772" s="696">
        <v>6795</v>
      </c>
      <c r="B5772" s="469"/>
      <c r="C5772" s="458"/>
      <c r="D5772" s="456">
        <v>0</v>
      </c>
      <c r="E5772" s="456">
        <v>0</v>
      </c>
      <c r="F5772" s="456"/>
      <c r="G5772" s="456"/>
      <c r="H5772" s="456"/>
    </row>
    <row r="5773" spans="1:8">
      <c r="A5773" s="696">
        <v>6796</v>
      </c>
      <c r="B5773" s="469"/>
      <c r="C5773" s="458"/>
      <c r="D5773" s="456">
        <v>0</v>
      </c>
      <c r="E5773" s="456">
        <v>0</v>
      </c>
      <c r="F5773" s="456"/>
      <c r="G5773" s="456"/>
      <c r="H5773" s="456"/>
    </row>
    <row r="5774" spans="1:8">
      <c r="A5774" s="696">
        <v>6797</v>
      </c>
      <c r="B5774" s="469"/>
      <c r="C5774" s="458"/>
      <c r="D5774" s="456">
        <v>0</v>
      </c>
      <c r="E5774" s="456">
        <v>0</v>
      </c>
      <c r="F5774" s="456"/>
      <c r="G5774" s="456"/>
      <c r="H5774" s="456"/>
    </row>
    <row r="5775" spans="1:8">
      <c r="A5775" s="696">
        <v>6798</v>
      </c>
      <c r="B5775" s="469"/>
      <c r="C5775" s="458"/>
      <c r="D5775" s="456">
        <v>0</v>
      </c>
      <c r="E5775" s="456">
        <v>0</v>
      </c>
      <c r="F5775" s="456"/>
      <c r="G5775" s="456"/>
      <c r="H5775" s="456"/>
    </row>
    <row r="5776" spans="1:8">
      <c r="A5776" s="696">
        <v>6799</v>
      </c>
      <c r="B5776" s="469"/>
      <c r="C5776" s="458"/>
      <c r="D5776" s="456">
        <v>0</v>
      </c>
      <c r="E5776" s="456">
        <v>0</v>
      </c>
      <c r="F5776" s="456"/>
      <c r="G5776" s="456"/>
      <c r="H5776" s="456"/>
    </row>
    <row r="5777" spans="1:8">
      <c r="A5777" s="696">
        <v>6800</v>
      </c>
      <c r="B5777" s="469"/>
      <c r="C5777" s="458"/>
      <c r="D5777" s="456">
        <v>0</v>
      </c>
      <c r="E5777" s="456">
        <v>0</v>
      </c>
      <c r="F5777" s="456"/>
      <c r="G5777" s="456"/>
      <c r="H5777" s="456"/>
    </row>
    <row r="5778" spans="1:8">
      <c r="A5778" s="696">
        <v>6801</v>
      </c>
      <c r="B5778" s="469"/>
      <c r="C5778" s="458"/>
      <c r="D5778" s="456">
        <v>0</v>
      </c>
      <c r="E5778" s="456">
        <v>0</v>
      </c>
      <c r="F5778" s="456"/>
      <c r="G5778" s="456"/>
      <c r="H5778" s="456"/>
    </row>
    <row r="5779" spans="1:8">
      <c r="A5779" s="696">
        <v>6802</v>
      </c>
      <c r="B5779" s="469"/>
      <c r="C5779" s="458"/>
      <c r="D5779" s="456">
        <v>0</v>
      </c>
      <c r="E5779" s="456">
        <v>0</v>
      </c>
      <c r="F5779" s="456"/>
      <c r="G5779" s="456"/>
      <c r="H5779" s="456"/>
    </row>
    <row r="5780" spans="1:8">
      <c r="A5780" s="696">
        <v>6803</v>
      </c>
      <c r="B5780" s="469"/>
      <c r="C5780" s="458"/>
      <c r="D5780" s="456">
        <v>0</v>
      </c>
      <c r="E5780" s="456">
        <v>0</v>
      </c>
      <c r="F5780" s="456"/>
      <c r="G5780" s="456"/>
      <c r="H5780" s="456"/>
    </row>
    <row r="5781" spans="1:8">
      <c r="A5781" s="696">
        <v>6804</v>
      </c>
      <c r="B5781" s="469"/>
      <c r="C5781" s="458"/>
      <c r="D5781" s="456">
        <v>0</v>
      </c>
      <c r="E5781" s="456">
        <v>0</v>
      </c>
      <c r="F5781" s="456"/>
      <c r="G5781" s="456"/>
      <c r="H5781" s="456"/>
    </row>
    <row r="5782" spans="1:8">
      <c r="A5782" s="696">
        <v>6805</v>
      </c>
      <c r="B5782" s="469"/>
      <c r="C5782" s="458"/>
      <c r="D5782" s="456">
        <v>0</v>
      </c>
      <c r="E5782" s="456">
        <v>0</v>
      </c>
      <c r="F5782" s="456"/>
      <c r="G5782" s="456"/>
      <c r="H5782" s="456"/>
    </row>
    <row r="5783" spans="1:8">
      <c r="A5783" s="696">
        <v>6806</v>
      </c>
      <c r="B5783" s="469"/>
      <c r="C5783" s="458"/>
      <c r="D5783" s="456">
        <v>0</v>
      </c>
      <c r="E5783" s="456">
        <v>0</v>
      </c>
      <c r="F5783" s="456"/>
      <c r="G5783" s="456"/>
      <c r="H5783" s="456"/>
    </row>
    <row r="5784" spans="1:8">
      <c r="A5784" s="696">
        <v>6807</v>
      </c>
      <c r="B5784" s="469"/>
      <c r="C5784" s="458"/>
      <c r="D5784" s="456">
        <v>0</v>
      </c>
      <c r="E5784" s="456">
        <v>0</v>
      </c>
      <c r="F5784" s="456"/>
      <c r="G5784" s="456"/>
      <c r="H5784" s="456"/>
    </row>
    <row r="5785" spans="1:8">
      <c r="A5785" s="696">
        <v>6808</v>
      </c>
      <c r="B5785" s="469"/>
      <c r="C5785" s="458"/>
      <c r="D5785" s="456">
        <v>0</v>
      </c>
      <c r="E5785" s="456">
        <v>0</v>
      </c>
      <c r="F5785" s="456"/>
      <c r="G5785" s="456"/>
      <c r="H5785" s="456"/>
    </row>
    <row r="5786" spans="1:8">
      <c r="A5786" s="696">
        <v>6809</v>
      </c>
      <c r="B5786" s="469"/>
      <c r="C5786" s="458"/>
      <c r="D5786" s="456">
        <v>0</v>
      </c>
      <c r="E5786" s="456">
        <v>0</v>
      </c>
      <c r="F5786" s="456"/>
      <c r="G5786" s="456"/>
      <c r="H5786" s="456"/>
    </row>
    <row r="5787" spans="1:8">
      <c r="A5787" s="696">
        <v>6810</v>
      </c>
      <c r="B5787" s="469"/>
      <c r="C5787" s="458"/>
      <c r="D5787" s="456">
        <v>0</v>
      </c>
      <c r="E5787" s="456">
        <v>0</v>
      </c>
      <c r="F5787" s="456"/>
      <c r="G5787" s="456"/>
      <c r="H5787" s="456"/>
    </row>
    <row r="5788" spans="1:8">
      <c r="A5788" s="696">
        <v>6811</v>
      </c>
      <c r="B5788" s="469"/>
      <c r="C5788" s="458"/>
      <c r="D5788" s="456">
        <v>0</v>
      </c>
      <c r="E5788" s="456">
        <v>0</v>
      </c>
      <c r="F5788" s="456"/>
      <c r="G5788" s="456"/>
      <c r="H5788" s="456"/>
    </row>
    <row r="5789" spans="1:8">
      <c r="A5789" s="696">
        <v>6812</v>
      </c>
      <c r="B5789" s="469"/>
      <c r="C5789" s="458"/>
      <c r="D5789" s="456">
        <v>0</v>
      </c>
      <c r="E5789" s="456">
        <v>0</v>
      </c>
      <c r="F5789" s="456"/>
      <c r="G5789" s="456"/>
      <c r="H5789" s="456"/>
    </row>
    <row r="5790" spans="1:8">
      <c r="A5790" s="696">
        <v>6813</v>
      </c>
      <c r="B5790" s="469"/>
      <c r="C5790" s="458"/>
      <c r="D5790" s="456">
        <v>0</v>
      </c>
      <c r="E5790" s="456">
        <v>0</v>
      </c>
      <c r="F5790" s="456"/>
      <c r="G5790" s="456"/>
      <c r="H5790" s="456"/>
    </row>
    <row r="5791" spans="1:8">
      <c r="A5791" s="696">
        <v>6814</v>
      </c>
      <c r="B5791" s="469"/>
      <c r="C5791" s="458"/>
      <c r="D5791" s="456">
        <v>0</v>
      </c>
      <c r="E5791" s="456">
        <v>0</v>
      </c>
      <c r="F5791" s="456"/>
      <c r="G5791" s="456"/>
      <c r="H5791" s="456"/>
    </row>
    <row r="5792" spans="1:8">
      <c r="A5792" s="696">
        <v>6815</v>
      </c>
      <c r="B5792" s="469"/>
      <c r="C5792" s="458"/>
      <c r="D5792" s="456">
        <v>0</v>
      </c>
      <c r="E5792" s="456">
        <v>0</v>
      </c>
      <c r="F5792" s="456"/>
      <c r="G5792" s="456"/>
      <c r="H5792" s="456"/>
    </row>
    <row r="5793" spans="1:8">
      <c r="A5793" s="696">
        <v>6816</v>
      </c>
      <c r="B5793" s="469"/>
      <c r="C5793" s="458"/>
      <c r="D5793" s="456">
        <v>0</v>
      </c>
      <c r="E5793" s="456">
        <v>0</v>
      </c>
      <c r="F5793" s="456"/>
      <c r="G5793" s="456"/>
      <c r="H5793" s="456"/>
    </row>
    <row r="5794" spans="1:8">
      <c r="A5794" s="696">
        <v>6817</v>
      </c>
      <c r="B5794" s="469"/>
      <c r="C5794" s="458"/>
      <c r="D5794" s="456">
        <v>0</v>
      </c>
      <c r="E5794" s="456">
        <v>0</v>
      </c>
      <c r="F5794" s="456"/>
      <c r="G5794" s="456"/>
      <c r="H5794" s="456"/>
    </row>
    <row r="5795" spans="1:8">
      <c r="A5795" s="696">
        <v>6818</v>
      </c>
      <c r="B5795" s="469"/>
      <c r="C5795" s="458"/>
      <c r="D5795" s="456">
        <v>0</v>
      </c>
      <c r="E5795" s="456">
        <v>0</v>
      </c>
      <c r="F5795" s="456"/>
      <c r="G5795" s="456"/>
      <c r="H5795" s="456"/>
    </row>
    <row r="5796" spans="1:8">
      <c r="A5796" s="696">
        <v>6819</v>
      </c>
      <c r="B5796" s="469"/>
      <c r="C5796" s="458"/>
      <c r="D5796" s="456">
        <v>0</v>
      </c>
      <c r="E5796" s="456">
        <v>0</v>
      </c>
      <c r="F5796" s="456"/>
      <c r="G5796" s="456"/>
      <c r="H5796" s="456"/>
    </row>
    <row r="5797" spans="1:8">
      <c r="A5797" s="696">
        <v>6820</v>
      </c>
      <c r="B5797" s="469"/>
      <c r="C5797" s="458"/>
      <c r="D5797" s="456">
        <v>0</v>
      </c>
      <c r="E5797" s="456">
        <v>0</v>
      </c>
      <c r="F5797" s="456"/>
      <c r="G5797" s="456"/>
      <c r="H5797" s="456"/>
    </row>
    <row r="5798" spans="1:8">
      <c r="A5798" s="696">
        <v>6821</v>
      </c>
      <c r="B5798" s="469"/>
      <c r="C5798" s="458"/>
      <c r="D5798" s="456">
        <v>0</v>
      </c>
      <c r="E5798" s="456">
        <v>0</v>
      </c>
      <c r="F5798" s="456"/>
      <c r="G5798" s="456"/>
      <c r="H5798" s="456"/>
    </row>
    <row r="5799" spans="1:8">
      <c r="A5799" s="696">
        <v>6822</v>
      </c>
      <c r="B5799" s="469"/>
      <c r="C5799" s="458"/>
      <c r="D5799" s="456">
        <v>0</v>
      </c>
      <c r="E5799" s="456">
        <v>0</v>
      </c>
      <c r="F5799" s="456"/>
      <c r="G5799" s="456"/>
      <c r="H5799" s="456"/>
    </row>
    <row r="5800" spans="1:8">
      <c r="A5800" s="696">
        <v>6823</v>
      </c>
      <c r="B5800" s="469"/>
      <c r="C5800" s="458"/>
      <c r="D5800" s="456">
        <v>0</v>
      </c>
      <c r="E5800" s="456">
        <v>0</v>
      </c>
      <c r="F5800" s="456"/>
      <c r="G5800" s="456"/>
      <c r="H5800" s="456"/>
    </row>
    <row r="5801" spans="1:8">
      <c r="A5801" s="696">
        <v>6824</v>
      </c>
      <c r="B5801" s="469"/>
      <c r="C5801" s="458"/>
      <c r="D5801" s="456">
        <v>0</v>
      </c>
      <c r="E5801" s="456">
        <v>0</v>
      </c>
      <c r="F5801" s="456"/>
      <c r="G5801" s="456"/>
      <c r="H5801" s="456"/>
    </row>
    <row r="5802" spans="1:8">
      <c r="A5802" s="696">
        <v>6825</v>
      </c>
      <c r="B5802" s="469"/>
      <c r="C5802" s="458"/>
      <c r="D5802" s="456">
        <v>0</v>
      </c>
      <c r="E5802" s="456">
        <v>0</v>
      </c>
      <c r="F5802" s="456"/>
      <c r="G5802" s="456"/>
      <c r="H5802" s="456"/>
    </row>
    <row r="5803" spans="1:8">
      <c r="A5803" s="696">
        <v>6826</v>
      </c>
      <c r="B5803" s="469"/>
      <c r="C5803" s="458"/>
      <c r="D5803" s="456">
        <v>0</v>
      </c>
      <c r="E5803" s="456">
        <v>0</v>
      </c>
      <c r="F5803" s="456"/>
      <c r="G5803" s="456"/>
      <c r="H5803" s="456"/>
    </row>
    <row r="5804" spans="1:8">
      <c r="A5804" s="696">
        <v>6827</v>
      </c>
      <c r="B5804" s="469"/>
      <c r="C5804" s="458"/>
      <c r="D5804" s="456">
        <v>0</v>
      </c>
      <c r="E5804" s="456">
        <v>0</v>
      </c>
      <c r="F5804" s="456"/>
      <c r="G5804" s="456"/>
      <c r="H5804" s="456"/>
    </row>
    <row r="5805" spans="1:8">
      <c r="A5805" s="696">
        <v>6828</v>
      </c>
      <c r="B5805" s="469"/>
      <c r="C5805" s="458"/>
      <c r="D5805" s="456">
        <v>0</v>
      </c>
      <c r="E5805" s="456">
        <v>0</v>
      </c>
      <c r="F5805" s="456"/>
      <c r="G5805" s="456"/>
      <c r="H5805" s="456"/>
    </row>
    <row r="5806" spans="1:8">
      <c r="A5806" s="696">
        <v>6829</v>
      </c>
      <c r="B5806" s="469"/>
      <c r="C5806" s="458"/>
      <c r="D5806" s="456">
        <v>0</v>
      </c>
      <c r="E5806" s="456">
        <v>0</v>
      </c>
      <c r="F5806" s="456"/>
      <c r="G5806" s="456"/>
      <c r="H5806" s="456"/>
    </row>
    <row r="5807" spans="1:8">
      <c r="A5807" s="696">
        <v>6830</v>
      </c>
      <c r="B5807" s="469"/>
      <c r="C5807" s="458"/>
      <c r="D5807" s="456">
        <v>0</v>
      </c>
      <c r="E5807" s="456">
        <v>0</v>
      </c>
      <c r="F5807" s="456"/>
      <c r="G5807" s="456"/>
      <c r="H5807" s="456"/>
    </row>
    <row r="5808" spans="1:8">
      <c r="A5808" s="696">
        <v>6831</v>
      </c>
      <c r="B5808" s="469"/>
      <c r="C5808" s="458"/>
      <c r="D5808" s="456">
        <v>0</v>
      </c>
      <c r="E5808" s="456">
        <v>0</v>
      </c>
      <c r="F5808" s="456"/>
      <c r="G5808" s="456"/>
      <c r="H5808" s="456"/>
    </row>
    <row r="5809" spans="1:8">
      <c r="A5809" s="696">
        <v>6832</v>
      </c>
      <c r="B5809" s="469"/>
      <c r="C5809" s="458"/>
      <c r="D5809" s="456">
        <v>0</v>
      </c>
      <c r="E5809" s="456">
        <v>0</v>
      </c>
      <c r="F5809" s="456"/>
      <c r="G5809" s="456"/>
      <c r="H5809" s="456"/>
    </row>
    <row r="5810" spans="1:8">
      <c r="A5810" s="696">
        <v>6833</v>
      </c>
      <c r="B5810" s="469"/>
      <c r="C5810" s="458"/>
      <c r="D5810" s="456">
        <v>0</v>
      </c>
      <c r="E5810" s="456">
        <v>0</v>
      </c>
      <c r="F5810" s="456"/>
      <c r="G5810" s="456"/>
      <c r="H5810" s="456"/>
    </row>
    <row r="5811" spans="1:8">
      <c r="A5811" s="696">
        <v>6834</v>
      </c>
      <c r="B5811" s="469"/>
      <c r="C5811" s="458"/>
      <c r="D5811" s="456">
        <v>0</v>
      </c>
      <c r="E5811" s="456">
        <v>0</v>
      </c>
      <c r="F5811" s="456"/>
      <c r="G5811" s="456"/>
      <c r="H5811" s="456"/>
    </row>
    <row r="5812" spans="1:8">
      <c r="A5812" s="696">
        <v>6835</v>
      </c>
      <c r="B5812" s="469"/>
      <c r="C5812" s="458"/>
      <c r="D5812" s="456">
        <v>0</v>
      </c>
      <c r="E5812" s="456">
        <v>0</v>
      </c>
      <c r="F5812" s="456"/>
      <c r="G5812" s="456"/>
      <c r="H5812" s="456"/>
    </row>
    <row r="5813" spans="1:8">
      <c r="A5813" s="696">
        <v>6836</v>
      </c>
      <c r="B5813" s="469"/>
      <c r="C5813" s="458"/>
      <c r="D5813" s="456">
        <v>0</v>
      </c>
      <c r="E5813" s="456">
        <v>0</v>
      </c>
      <c r="F5813" s="456"/>
      <c r="G5813" s="456"/>
      <c r="H5813" s="456"/>
    </row>
    <row r="5814" spans="1:8">
      <c r="A5814" s="696">
        <v>6837</v>
      </c>
      <c r="B5814" s="469"/>
      <c r="C5814" s="458"/>
      <c r="D5814" s="456">
        <v>0</v>
      </c>
      <c r="E5814" s="456">
        <v>0</v>
      </c>
      <c r="F5814" s="456"/>
      <c r="G5814" s="456"/>
      <c r="H5814" s="456"/>
    </row>
    <row r="5815" spans="1:8">
      <c r="A5815" s="696">
        <v>6838</v>
      </c>
      <c r="B5815" s="469"/>
      <c r="C5815" s="458"/>
      <c r="D5815" s="456">
        <v>0</v>
      </c>
      <c r="E5815" s="456">
        <v>0</v>
      </c>
      <c r="F5815" s="456"/>
      <c r="G5815" s="456"/>
      <c r="H5815" s="456"/>
    </row>
    <row r="5816" spans="1:8">
      <c r="A5816" s="696">
        <v>6839</v>
      </c>
      <c r="B5816" s="469"/>
      <c r="C5816" s="458"/>
      <c r="D5816" s="456">
        <v>0</v>
      </c>
      <c r="E5816" s="456">
        <v>0</v>
      </c>
      <c r="F5816" s="456"/>
      <c r="G5816" s="456"/>
      <c r="H5816" s="456"/>
    </row>
    <row r="5817" spans="1:8">
      <c r="A5817" s="696">
        <v>6840</v>
      </c>
      <c r="B5817" s="469"/>
      <c r="C5817" s="458"/>
      <c r="D5817" s="456">
        <v>0</v>
      </c>
      <c r="E5817" s="456">
        <v>0</v>
      </c>
      <c r="F5817" s="456"/>
      <c r="G5817" s="456"/>
      <c r="H5817" s="456"/>
    </row>
    <row r="5818" spans="1:8">
      <c r="A5818" s="696">
        <v>6841</v>
      </c>
      <c r="B5818" s="469"/>
      <c r="C5818" s="458"/>
      <c r="D5818" s="456">
        <v>0</v>
      </c>
      <c r="E5818" s="456">
        <v>0</v>
      </c>
      <c r="F5818" s="456"/>
      <c r="G5818" s="456"/>
      <c r="H5818" s="456"/>
    </row>
    <row r="5819" spans="1:8">
      <c r="A5819" s="696">
        <v>6842</v>
      </c>
      <c r="B5819" s="469"/>
      <c r="C5819" s="458"/>
      <c r="D5819" s="456">
        <v>0</v>
      </c>
      <c r="E5819" s="456">
        <v>0</v>
      </c>
      <c r="F5819" s="456"/>
      <c r="G5819" s="456"/>
      <c r="H5819" s="456"/>
    </row>
    <row r="5820" spans="1:8">
      <c r="A5820" s="696">
        <v>6843</v>
      </c>
      <c r="B5820" s="469"/>
      <c r="C5820" s="458"/>
      <c r="D5820" s="456">
        <v>0</v>
      </c>
      <c r="E5820" s="456">
        <v>0</v>
      </c>
      <c r="F5820" s="456"/>
      <c r="G5820" s="456"/>
      <c r="H5820" s="456"/>
    </row>
    <row r="5821" spans="1:8">
      <c r="A5821" s="696">
        <v>6844</v>
      </c>
      <c r="B5821" s="469"/>
      <c r="C5821" s="458"/>
      <c r="D5821" s="456">
        <v>0</v>
      </c>
      <c r="E5821" s="456">
        <v>0</v>
      </c>
      <c r="F5821" s="456"/>
      <c r="G5821" s="456"/>
      <c r="H5821" s="456"/>
    </row>
    <row r="5822" spans="1:8">
      <c r="A5822" s="696">
        <v>6845</v>
      </c>
      <c r="B5822" s="469"/>
      <c r="C5822" s="458"/>
      <c r="D5822" s="456">
        <v>0</v>
      </c>
      <c r="E5822" s="456">
        <v>0</v>
      </c>
      <c r="F5822" s="456"/>
      <c r="G5822" s="456"/>
      <c r="H5822" s="456"/>
    </row>
    <row r="5823" spans="1:8">
      <c r="A5823" s="696">
        <v>6846</v>
      </c>
      <c r="B5823" s="469"/>
      <c r="C5823" s="458"/>
      <c r="D5823" s="456">
        <v>0</v>
      </c>
      <c r="E5823" s="456">
        <v>0</v>
      </c>
      <c r="F5823" s="456"/>
      <c r="G5823" s="456"/>
      <c r="H5823" s="456"/>
    </row>
    <row r="5824" spans="1:8">
      <c r="A5824" s="696">
        <v>6847</v>
      </c>
      <c r="B5824" s="469"/>
      <c r="C5824" s="458"/>
      <c r="D5824" s="456">
        <v>0</v>
      </c>
      <c r="E5824" s="456">
        <v>0</v>
      </c>
      <c r="F5824" s="456"/>
      <c r="G5824" s="456"/>
      <c r="H5824" s="456"/>
    </row>
    <row r="5825" spans="1:8">
      <c r="A5825" s="696">
        <v>6848</v>
      </c>
      <c r="B5825" s="469"/>
      <c r="C5825" s="458"/>
      <c r="D5825" s="456">
        <v>0</v>
      </c>
      <c r="E5825" s="456">
        <v>0</v>
      </c>
      <c r="F5825" s="456"/>
      <c r="G5825" s="456"/>
      <c r="H5825" s="456"/>
    </row>
    <row r="5826" spans="1:8">
      <c r="A5826" s="696">
        <v>6849</v>
      </c>
      <c r="B5826" s="469"/>
      <c r="C5826" s="458"/>
      <c r="D5826" s="456">
        <v>0</v>
      </c>
      <c r="E5826" s="456">
        <v>0</v>
      </c>
      <c r="F5826" s="456"/>
      <c r="G5826" s="456"/>
      <c r="H5826" s="456"/>
    </row>
    <row r="5827" spans="1:8">
      <c r="A5827" s="696">
        <v>6850</v>
      </c>
      <c r="B5827" s="469"/>
      <c r="C5827" s="458"/>
      <c r="D5827" s="456">
        <v>0</v>
      </c>
      <c r="E5827" s="456">
        <v>0</v>
      </c>
      <c r="F5827" s="456"/>
      <c r="G5827" s="456"/>
      <c r="H5827" s="456"/>
    </row>
    <row r="5828" spans="1:8">
      <c r="A5828" s="696">
        <v>6851</v>
      </c>
      <c r="B5828" s="469"/>
      <c r="C5828" s="458"/>
      <c r="D5828" s="456">
        <v>0</v>
      </c>
      <c r="E5828" s="456">
        <v>0</v>
      </c>
      <c r="F5828" s="456"/>
      <c r="G5828" s="456"/>
      <c r="H5828" s="456"/>
    </row>
    <row r="5829" spans="1:8">
      <c r="A5829" s="696">
        <v>6852</v>
      </c>
      <c r="B5829" s="469"/>
      <c r="C5829" s="458"/>
      <c r="D5829" s="456">
        <v>0</v>
      </c>
      <c r="E5829" s="456">
        <v>0</v>
      </c>
      <c r="F5829" s="456"/>
      <c r="G5829" s="456"/>
      <c r="H5829" s="456"/>
    </row>
    <row r="5830" spans="1:8">
      <c r="A5830" s="696">
        <v>6853</v>
      </c>
      <c r="B5830" s="469"/>
      <c r="C5830" s="458"/>
      <c r="D5830" s="456">
        <v>0</v>
      </c>
      <c r="E5830" s="456">
        <v>0</v>
      </c>
      <c r="F5830" s="456"/>
      <c r="G5830" s="456"/>
      <c r="H5830" s="456"/>
    </row>
    <row r="5831" spans="1:8">
      <c r="A5831" s="696">
        <v>6854</v>
      </c>
      <c r="B5831" s="469"/>
      <c r="C5831" s="458"/>
      <c r="D5831" s="456">
        <v>0</v>
      </c>
      <c r="E5831" s="456">
        <v>0</v>
      </c>
      <c r="F5831" s="456"/>
      <c r="G5831" s="456"/>
      <c r="H5831" s="456"/>
    </row>
    <row r="5832" spans="1:8">
      <c r="A5832" s="696">
        <v>6855</v>
      </c>
      <c r="B5832" s="469"/>
      <c r="C5832" s="458"/>
      <c r="D5832" s="456">
        <v>0</v>
      </c>
      <c r="E5832" s="456">
        <v>0</v>
      </c>
      <c r="F5832" s="456"/>
      <c r="G5832" s="456"/>
      <c r="H5832" s="456"/>
    </row>
    <row r="5833" spans="1:8">
      <c r="A5833" s="696">
        <v>6856</v>
      </c>
      <c r="B5833" s="469"/>
      <c r="C5833" s="458"/>
      <c r="D5833" s="456">
        <v>0</v>
      </c>
      <c r="E5833" s="456">
        <v>0</v>
      </c>
      <c r="F5833" s="456"/>
      <c r="G5833" s="456"/>
      <c r="H5833" s="456"/>
    </row>
    <row r="5834" spans="1:8">
      <c r="A5834" s="696">
        <v>6857</v>
      </c>
      <c r="B5834" s="469"/>
      <c r="C5834" s="458"/>
      <c r="D5834" s="456">
        <v>0</v>
      </c>
      <c r="E5834" s="456">
        <v>0</v>
      </c>
      <c r="F5834" s="456"/>
      <c r="G5834" s="456"/>
      <c r="H5834" s="456"/>
    </row>
    <row r="5835" spans="1:8">
      <c r="A5835" s="696">
        <v>6858</v>
      </c>
      <c r="B5835" s="469"/>
      <c r="C5835" s="458"/>
      <c r="D5835" s="456">
        <v>0</v>
      </c>
      <c r="E5835" s="456">
        <v>0</v>
      </c>
      <c r="F5835" s="456"/>
      <c r="G5835" s="456"/>
      <c r="H5835" s="456"/>
    </row>
    <row r="5836" spans="1:8">
      <c r="A5836" s="696">
        <v>6859</v>
      </c>
      <c r="B5836" s="469"/>
      <c r="C5836" s="458"/>
      <c r="D5836" s="456">
        <v>0</v>
      </c>
      <c r="E5836" s="456">
        <v>0</v>
      </c>
      <c r="F5836" s="456"/>
      <c r="G5836" s="456"/>
      <c r="H5836" s="456"/>
    </row>
    <row r="5837" spans="1:8">
      <c r="A5837" s="696">
        <v>6860</v>
      </c>
      <c r="B5837" s="469"/>
      <c r="C5837" s="458"/>
      <c r="D5837" s="456">
        <v>0</v>
      </c>
      <c r="E5837" s="456">
        <v>0</v>
      </c>
      <c r="F5837" s="456"/>
      <c r="G5837" s="456"/>
      <c r="H5837" s="456"/>
    </row>
    <row r="5838" spans="1:8">
      <c r="A5838" s="696">
        <v>6861</v>
      </c>
      <c r="B5838" s="469"/>
      <c r="C5838" s="458"/>
      <c r="D5838" s="456">
        <v>0</v>
      </c>
      <c r="E5838" s="456">
        <v>0</v>
      </c>
      <c r="F5838" s="456"/>
      <c r="G5838" s="456"/>
      <c r="H5838" s="456"/>
    </row>
    <row r="5839" spans="1:8">
      <c r="A5839" s="696">
        <v>6862</v>
      </c>
      <c r="B5839" s="469"/>
      <c r="C5839" s="458"/>
      <c r="D5839" s="456">
        <v>0</v>
      </c>
      <c r="E5839" s="456">
        <v>0</v>
      </c>
      <c r="F5839" s="456"/>
      <c r="G5839" s="456"/>
      <c r="H5839" s="456"/>
    </row>
    <row r="5840" spans="1:8">
      <c r="A5840" s="696">
        <v>6863</v>
      </c>
      <c r="B5840" s="469"/>
      <c r="C5840" s="458"/>
      <c r="D5840" s="456">
        <v>0</v>
      </c>
      <c r="E5840" s="456">
        <v>0</v>
      </c>
      <c r="F5840" s="456"/>
      <c r="G5840" s="456"/>
      <c r="H5840" s="456"/>
    </row>
    <row r="5841" spans="1:8">
      <c r="A5841" s="696">
        <v>6864</v>
      </c>
      <c r="B5841" s="469"/>
      <c r="C5841" s="458"/>
      <c r="D5841" s="456">
        <v>0</v>
      </c>
      <c r="E5841" s="456">
        <v>0</v>
      </c>
      <c r="F5841" s="456"/>
      <c r="G5841" s="456"/>
      <c r="H5841" s="456"/>
    </row>
    <row r="5842" spans="1:8">
      <c r="A5842" s="696">
        <v>6865</v>
      </c>
      <c r="B5842" s="469"/>
      <c r="C5842" s="458"/>
      <c r="D5842" s="456">
        <v>0</v>
      </c>
      <c r="E5842" s="456">
        <v>0</v>
      </c>
      <c r="F5842" s="456"/>
      <c r="G5842" s="456"/>
      <c r="H5842" s="456"/>
    </row>
    <row r="5843" spans="1:8">
      <c r="A5843" s="696">
        <v>6866</v>
      </c>
      <c r="B5843" s="469"/>
      <c r="C5843" s="458"/>
      <c r="D5843" s="456">
        <v>0</v>
      </c>
      <c r="E5843" s="456">
        <v>0</v>
      </c>
      <c r="F5843" s="456"/>
      <c r="G5843" s="456"/>
      <c r="H5843" s="456"/>
    </row>
    <row r="5844" spans="1:8">
      <c r="A5844" s="696">
        <v>6867</v>
      </c>
      <c r="B5844" s="469"/>
      <c r="C5844" s="458"/>
      <c r="D5844" s="456">
        <v>0</v>
      </c>
      <c r="E5844" s="456">
        <v>0</v>
      </c>
      <c r="F5844" s="456"/>
      <c r="G5844" s="456"/>
      <c r="H5844" s="456"/>
    </row>
    <row r="5845" spans="1:8">
      <c r="A5845" s="696">
        <v>6868</v>
      </c>
      <c r="B5845" s="469"/>
      <c r="C5845" s="458"/>
      <c r="D5845" s="456">
        <v>0</v>
      </c>
      <c r="E5845" s="456">
        <v>0</v>
      </c>
      <c r="F5845" s="456"/>
      <c r="G5845" s="456"/>
      <c r="H5845" s="456"/>
    </row>
    <row r="5846" spans="1:8">
      <c r="A5846" s="696">
        <v>6869</v>
      </c>
      <c r="B5846" s="469"/>
      <c r="C5846" s="458"/>
      <c r="D5846" s="456">
        <v>0</v>
      </c>
      <c r="E5846" s="456">
        <v>0</v>
      </c>
      <c r="F5846" s="456"/>
      <c r="G5846" s="456"/>
      <c r="H5846" s="456"/>
    </row>
    <row r="5847" spans="1:8">
      <c r="A5847" s="696">
        <v>6870</v>
      </c>
      <c r="B5847" s="469"/>
      <c r="C5847" s="458"/>
      <c r="D5847" s="456">
        <v>0</v>
      </c>
      <c r="E5847" s="456">
        <v>0</v>
      </c>
      <c r="F5847" s="456"/>
      <c r="G5847" s="456"/>
      <c r="H5847" s="456"/>
    </row>
    <row r="5848" spans="1:8">
      <c r="A5848" s="696">
        <v>6871</v>
      </c>
      <c r="B5848" s="469"/>
      <c r="C5848" s="458"/>
      <c r="D5848" s="456">
        <v>0</v>
      </c>
      <c r="E5848" s="456">
        <v>0</v>
      </c>
      <c r="F5848" s="456"/>
      <c r="G5848" s="456"/>
      <c r="H5848" s="456"/>
    </row>
    <row r="5849" spans="1:8">
      <c r="A5849" s="696">
        <v>6872</v>
      </c>
      <c r="B5849" s="469"/>
      <c r="C5849" s="458"/>
      <c r="D5849" s="456">
        <v>0</v>
      </c>
      <c r="E5849" s="456">
        <v>0</v>
      </c>
      <c r="F5849" s="456"/>
      <c r="G5849" s="456"/>
      <c r="H5849" s="456"/>
    </row>
    <row r="5850" spans="1:8">
      <c r="A5850" s="696">
        <v>6873</v>
      </c>
      <c r="B5850" s="469"/>
      <c r="C5850" s="458"/>
      <c r="D5850" s="456">
        <v>0</v>
      </c>
      <c r="E5850" s="456">
        <v>0</v>
      </c>
      <c r="F5850" s="456"/>
      <c r="G5850" s="456"/>
      <c r="H5850" s="456"/>
    </row>
    <row r="5851" spans="1:8">
      <c r="A5851" s="696">
        <v>6874</v>
      </c>
      <c r="B5851" s="469"/>
      <c r="C5851" s="458"/>
      <c r="D5851" s="456">
        <v>0</v>
      </c>
      <c r="E5851" s="456">
        <v>0</v>
      </c>
      <c r="F5851" s="456"/>
      <c r="G5851" s="456"/>
      <c r="H5851" s="456"/>
    </row>
    <row r="5852" spans="1:8">
      <c r="A5852" s="696">
        <v>6875</v>
      </c>
      <c r="B5852" s="469"/>
      <c r="C5852" s="458"/>
      <c r="D5852" s="456">
        <v>0</v>
      </c>
      <c r="E5852" s="456">
        <v>0</v>
      </c>
      <c r="F5852" s="456"/>
      <c r="G5852" s="456"/>
      <c r="H5852" s="456"/>
    </row>
    <row r="5853" spans="1:8">
      <c r="A5853" s="696">
        <v>6876</v>
      </c>
      <c r="B5853" s="469"/>
      <c r="C5853" s="458"/>
      <c r="D5853" s="456">
        <v>0</v>
      </c>
      <c r="E5853" s="456">
        <v>0</v>
      </c>
      <c r="F5853" s="456"/>
      <c r="G5853" s="456"/>
      <c r="H5853" s="456"/>
    </row>
    <row r="5854" spans="1:8">
      <c r="A5854" s="696">
        <v>6877</v>
      </c>
      <c r="B5854" s="469"/>
      <c r="C5854" s="458"/>
      <c r="D5854" s="456">
        <v>0</v>
      </c>
      <c r="E5854" s="456">
        <v>0</v>
      </c>
      <c r="F5854" s="456"/>
      <c r="G5854" s="456"/>
      <c r="H5854" s="456"/>
    </row>
    <row r="5855" spans="1:8">
      <c r="A5855" s="696">
        <v>6878</v>
      </c>
      <c r="B5855" s="469"/>
      <c r="C5855" s="458"/>
      <c r="D5855" s="456">
        <v>0</v>
      </c>
      <c r="E5855" s="456">
        <v>0</v>
      </c>
      <c r="F5855" s="456"/>
      <c r="G5855" s="456"/>
      <c r="H5855" s="456"/>
    </row>
    <row r="5856" spans="1:8">
      <c r="A5856" s="696">
        <v>6879</v>
      </c>
      <c r="B5856" s="469"/>
      <c r="C5856" s="458"/>
      <c r="D5856" s="456">
        <v>0</v>
      </c>
      <c r="E5856" s="456">
        <v>0</v>
      </c>
      <c r="F5856" s="456"/>
      <c r="G5856" s="456"/>
      <c r="H5856" s="456"/>
    </row>
    <row r="5857" spans="1:8">
      <c r="A5857" s="696">
        <v>6880</v>
      </c>
      <c r="B5857" s="469"/>
      <c r="C5857" s="458"/>
      <c r="D5857" s="456">
        <v>0</v>
      </c>
      <c r="E5857" s="456">
        <v>0</v>
      </c>
      <c r="F5857" s="456"/>
      <c r="G5857" s="456"/>
      <c r="H5857" s="456"/>
    </row>
    <row r="5858" spans="1:8">
      <c r="A5858" s="696">
        <v>6881</v>
      </c>
      <c r="B5858" s="469"/>
      <c r="C5858" s="458"/>
      <c r="D5858" s="456">
        <v>0</v>
      </c>
      <c r="E5858" s="456">
        <v>0</v>
      </c>
      <c r="F5858" s="456"/>
      <c r="G5858" s="456"/>
      <c r="H5858" s="456"/>
    </row>
    <row r="5859" spans="1:8">
      <c r="A5859" s="696">
        <v>6882</v>
      </c>
      <c r="B5859" s="469"/>
      <c r="C5859" s="458"/>
      <c r="D5859" s="456">
        <v>0</v>
      </c>
      <c r="E5859" s="456">
        <v>0</v>
      </c>
      <c r="F5859" s="456"/>
      <c r="G5859" s="456"/>
      <c r="H5859" s="456"/>
    </row>
    <row r="5860" spans="1:8">
      <c r="A5860" s="696">
        <v>6883</v>
      </c>
      <c r="B5860" s="469"/>
      <c r="C5860" s="458"/>
      <c r="D5860" s="456">
        <v>0</v>
      </c>
      <c r="E5860" s="456">
        <v>0</v>
      </c>
      <c r="F5860" s="456"/>
      <c r="G5860" s="456"/>
      <c r="H5860" s="456"/>
    </row>
    <row r="5861" spans="1:8">
      <c r="A5861" s="696">
        <v>6884</v>
      </c>
      <c r="B5861" s="469"/>
      <c r="C5861" s="458"/>
      <c r="D5861" s="456">
        <v>0</v>
      </c>
      <c r="E5861" s="456">
        <v>0</v>
      </c>
      <c r="F5861" s="456"/>
      <c r="G5861" s="456"/>
      <c r="H5861" s="456"/>
    </row>
    <row r="5862" spans="1:8">
      <c r="A5862" s="696">
        <v>6885</v>
      </c>
      <c r="B5862" s="469"/>
      <c r="C5862" s="458"/>
      <c r="D5862" s="456">
        <v>0</v>
      </c>
      <c r="E5862" s="456">
        <v>0</v>
      </c>
      <c r="F5862" s="456"/>
      <c r="G5862" s="456"/>
      <c r="H5862" s="456"/>
    </row>
    <row r="5863" spans="1:8">
      <c r="A5863" s="696">
        <v>6886</v>
      </c>
      <c r="B5863" s="469"/>
      <c r="C5863" s="458"/>
      <c r="D5863" s="456">
        <v>0</v>
      </c>
      <c r="E5863" s="456">
        <v>0</v>
      </c>
      <c r="F5863" s="456"/>
      <c r="G5863" s="456"/>
      <c r="H5863" s="456"/>
    </row>
    <row r="5864" spans="1:8">
      <c r="A5864" s="696">
        <v>6887</v>
      </c>
      <c r="B5864" s="469"/>
      <c r="C5864" s="458"/>
      <c r="D5864" s="456">
        <v>0</v>
      </c>
      <c r="E5864" s="456">
        <v>0</v>
      </c>
      <c r="F5864" s="456"/>
      <c r="G5864" s="456"/>
      <c r="H5864" s="456"/>
    </row>
    <row r="5865" spans="1:8">
      <c r="A5865" s="696">
        <v>6888</v>
      </c>
      <c r="B5865" s="469"/>
      <c r="C5865" s="458"/>
      <c r="D5865" s="456">
        <v>0</v>
      </c>
      <c r="E5865" s="456">
        <v>0</v>
      </c>
      <c r="F5865" s="456"/>
      <c r="G5865" s="456"/>
      <c r="H5865" s="456"/>
    </row>
    <row r="5866" spans="1:8">
      <c r="A5866" s="696">
        <v>6889</v>
      </c>
      <c r="B5866" s="469"/>
      <c r="C5866" s="458"/>
      <c r="D5866" s="456">
        <v>0</v>
      </c>
      <c r="E5866" s="456">
        <v>0</v>
      </c>
      <c r="F5866" s="456"/>
      <c r="G5866" s="456"/>
      <c r="H5866" s="456"/>
    </row>
    <row r="5867" spans="1:8">
      <c r="A5867" s="696">
        <v>6890</v>
      </c>
      <c r="B5867" s="469"/>
      <c r="C5867" s="458"/>
      <c r="D5867" s="456">
        <v>0</v>
      </c>
      <c r="E5867" s="456">
        <v>0</v>
      </c>
      <c r="F5867" s="456"/>
      <c r="G5867" s="456"/>
      <c r="H5867" s="456"/>
    </row>
    <row r="5868" spans="1:8">
      <c r="A5868" s="696">
        <v>6891</v>
      </c>
      <c r="B5868" s="469"/>
      <c r="C5868" s="458"/>
      <c r="D5868" s="456">
        <v>0</v>
      </c>
      <c r="E5868" s="456">
        <v>0</v>
      </c>
      <c r="F5868" s="456"/>
      <c r="G5868" s="456"/>
      <c r="H5868" s="456"/>
    </row>
    <row r="5869" spans="1:8">
      <c r="A5869" s="696">
        <v>6892</v>
      </c>
      <c r="B5869" s="469"/>
      <c r="C5869" s="458"/>
      <c r="D5869" s="456">
        <v>0</v>
      </c>
      <c r="E5869" s="456">
        <v>0</v>
      </c>
      <c r="F5869" s="456"/>
      <c r="G5869" s="456"/>
      <c r="H5869" s="456"/>
    </row>
    <row r="5870" spans="1:8">
      <c r="A5870" s="696">
        <v>6893</v>
      </c>
      <c r="B5870" s="469"/>
      <c r="C5870" s="458"/>
      <c r="D5870" s="456">
        <v>0</v>
      </c>
      <c r="E5870" s="456">
        <v>0</v>
      </c>
      <c r="F5870" s="456"/>
      <c r="G5870" s="456"/>
      <c r="H5870" s="456"/>
    </row>
    <row r="5871" spans="1:8">
      <c r="A5871" s="696">
        <v>6894</v>
      </c>
      <c r="B5871" s="469"/>
      <c r="C5871" s="458"/>
      <c r="D5871" s="456">
        <v>0</v>
      </c>
      <c r="E5871" s="456">
        <v>0</v>
      </c>
      <c r="F5871" s="456"/>
      <c r="G5871" s="456"/>
      <c r="H5871" s="456"/>
    </row>
    <row r="5872" spans="1:8">
      <c r="A5872" s="696">
        <v>6895</v>
      </c>
      <c r="B5872" s="469"/>
      <c r="C5872" s="458"/>
      <c r="D5872" s="456">
        <v>0</v>
      </c>
      <c r="E5872" s="456">
        <v>0</v>
      </c>
      <c r="F5872" s="456"/>
      <c r="G5872" s="456"/>
      <c r="H5872" s="456"/>
    </row>
    <row r="5873" spans="1:8">
      <c r="A5873" s="696">
        <v>6896</v>
      </c>
      <c r="B5873" s="469"/>
      <c r="C5873" s="458"/>
      <c r="D5873" s="456">
        <v>0</v>
      </c>
      <c r="E5873" s="456">
        <v>0</v>
      </c>
      <c r="F5873" s="456"/>
      <c r="G5873" s="456"/>
      <c r="H5873" s="456"/>
    </row>
    <row r="5874" spans="1:8">
      <c r="A5874" s="696">
        <v>6897</v>
      </c>
      <c r="B5874" s="469"/>
      <c r="C5874" s="458"/>
      <c r="D5874" s="456">
        <v>0</v>
      </c>
      <c r="E5874" s="456">
        <v>0</v>
      </c>
      <c r="F5874" s="456"/>
      <c r="G5874" s="456"/>
      <c r="H5874" s="456"/>
    </row>
    <row r="5875" spans="1:8">
      <c r="A5875" s="696">
        <v>6898</v>
      </c>
      <c r="B5875" s="469"/>
      <c r="C5875" s="458"/>
      <c r="D5875" s="456">
        <v>0</v>
      </c>
      <c r="E5875" s="456">
        <v>0</v>
      </c>
      <c r="F5875" s="456"/>
      <c r="G5875" s="456"/>
      <c r="H5875" s="456"/>
    </row>
    <row r="5876" spans="1:8">
      <c r="A5876" s="696">
        <v>6899</v>
      </c>
      <c r="B5876" s="469"/>
      <c r="C5876" s="458"/>
      <c r="D5876" s="456">
        <v>0</v>
      </c>
      <c r="E5876" s="456">
        <v>0</v>
      </c>
      <c r="F5876" s="456"/>
      <c r="G5876" s="456"/>
      <c r="H5876" s="456"/>
    </row>
    <row r="5877" spans="1:8">
      <c r="A5877" s="696">
        <v>6900</v>
      </c>
      <c r="B5877" s="469"/>
      <c r="C5877" s="458"/>
      <c r="D5877" s="456">
        <v>0</v>
      </c>
      <c r="E5877" s="456">
        <v>0</v>
      </c>
      <c r="F5877" s="456"/>
      <c r="G5877" s="456"/>
      <c r="H5877" s="456"/>
    </row>
    <row r="5878" spans="1:8">
      <c r="A5878" s="696">
        <v>6901</v>
      </c>
      <c r="B5878" s="469"/>
      <c r="C5878" s="458"/>
      <c r="D5878" s="456">
        <v>0</v>
      </c>
      <c r="E5878" s="456">
        <v>0</v>
      </c>
      <c r="F5878" s="456"/>
      <c r="G5878" s="456"/>
      <c r="H5878" s="456"/>
    </row>
    <row r="5879" spans="1:8">
      <c r="A5879" s="696">
        <v>6902</v>
      </c>
      <c r="B5879" s="469"/>
      <c r="C5879" s="458"/>
      <c r="D5879" s="456">
        <v>0</v>
      </c>
      <c r="E5879" s="456">
        <v>0</v>
      </c>
      <c r="F5879" s="456"/>
      <c r="G5879" s="456"/>
      <c r="H5879" s="456"/>
    </row>
    <row r="5880" spans="1:8">
      <c r="A5880" s="696">
        <v>6903</v>
      </c>
      <c r="B5880" s="469"/>
      <c r="C5880" s="458"/>
      <c r="D5880" s="456">
        <v>0</v>
      </c>
      <c r="E5880" s="456">
        <v>0</v>
      </c>
      <c r="F5880" s="456"/>
      <c r="G5880" s="456"/>
      <c r="H5880" s="456"/>
    </row>
    <row r="5881" spans="1:8">
      <c r="A5881" s="696">
        <v>6904</v>
      </c>
      <c r="B5881" s="469"/>
      <c r="C5881" s="458"/>
      <c r="D5881" s="456">
        <v>0</v>
      </c>
      <c r="E5881" s="456">
        <v>0</v>
      </c>
      <c r="F5881" s="456"/>
      <c r="G5881" s="456"/>
      <c r="H5881" s="456"/>
    </row>
    <row r="5882" spans="1:8">
      <c r="A5882" s="696">
        <v>6905</v>
      </c>
      <c r="B5882" s="469"/>
      <c r="C5882" s="458"/>
      <c r="D5882" s="456">
        <v>0</v>
      </c>
      <c r="E5882" s="456">
        <v>0</v>
      </c>
      <c r="F5882" s="456"/>
      <c r="G5882" s="456"/>
      <c r="H5882" s="456"/>
    </row>
    <row r="5883" spans="1:8">
      <c r="A5883" s="696">
        <v>6906</v>
      </c>
      <c r="B5883" s="469"/>
      <c r="C5883" s="458"/>
      <c r="D5883" s="456">
        <v>0</v>
      </c>
      <c r="E5883" s="456">
        <v>0</v>
      </c>
      <c r="F5883" s="456"/>
      <c r="G5883" s="456"/>
      <c r="H5883" s="456"/>
    </row>
    <row r="5884" spans="1:8">
      <c r="A5884" s="696">
        <v>6907</v>
      </c>
      <c r="B5884" s="469"/>
      <c r="C5884" s="458"/>
      <c r="D5884" s="456">
        <v>0</v>
      </c>
      <c r="E5884" s="456">
        <v>0</v>
      </c>
      <c r="F5884" s="456"/>
      <c r="G5884" s="456"/>
      <c r="H5884" s="456"/>
    </row>
    <row r="5885" spans="1:8">
      <c r="A5885" s="696">
        <v>6908</v>
      </c>
      <c r="B5885" s="469"/>
      <c r="C5885" s="458"/>
      <c r="D5885" s="456">
        <v>0</v>
      </c>
      <c r="E5885" s="456">
        <v>0</v>
      </c>
      <c r="F5885" s="456"/>
      <c r="G5885" s="456"/>
      <c r="H5885" s="456"/>
    </row>
    <row r="5886" spans="1:8">
      <c r="A5886" s="696">
        <v>6909</v>
      </c>
      <c r="B5886" s="469"/>
      <c r="C5886" s="458"/>
      <c r="D5886" s="456">
        <v>0</v>
      </c>
      <c r="E5886" s="456">
        <v>0</v>
      </c>
      <c r="F5886" s="456"/>
      <c r="G5886" s="456"/>
      <c r="H5886" s="456"/>
    </row>
    <row r="5887" spans="1:8">
      <c r="A5887" s="696">
        <v>6910</v>
      </c>
      <c r="B5887" s="469"/>
      <c r="C5887" s="458"/>
      <c r="D5887" s="456">
        <v>0</v>
      </c>
      <c r="E5887" s="456">
        <v>0</v>
      </c>
      <c r="F5887" s="456"/>
      <c r="G5887" s="456"/>
      <c r="H5887" s="456"/>
    </row>
    <row r="5888" spans="1:8">
      <c r="A5888" s="696">
        <v>6911</v>
      </c>
      <c r="B5888" s="469"/>
      <c r="C5888" s="458"/>
      <c r="D5888" s="456">
        <v>0</v>
      </c>
      <c r="E5888" s="456">
        <v>0</v>
      </c>
      <c r="F5888" s="456"/>
      <c r="G5888" s="456"/>
      <c r="H5888" s="456"/>
    </row>
    <row r="5889" spans="1:8">
      <c r="A5889" s="696">
        <v>6912</v>
      </c>
      <c r="B5889" s="469"/>
      <c r="C5889" s="458"/>
      <c r="D5889" s="456">
        <v>0</v>
      </c>
      <c r="E5889" s="456">
        <v>0</v>
      </c>
      <c r="F5889" s="456"/>
      <c r="G5889" s="456"/>
      <c r="H5889" s="456"/>
    </row>
    <row r="5890" spans="1:8">
      <c r="A5890" s="696">
        <v>6913</v>
      </c>
      <c r="B5890" s="469"/>
      <c r="C5890" s="458"/>
      <c r="D5890" s="456">
        <v>0</v>
      </c>
      <c r="E5890" s="456">
        <v>0</v>
      </c>
      <c r="F5890" s="456"/>
      <c r="G5890" s="456"/>
      <c r="H5890" s="456"/>
    </row>
    <row r="5891" spans="1:8">
      <c r="A5891" s="696">
        <v>6914</v>
      </c>
      <c r="B5891" s="469"/>
      <c r="C5891" s="458"/>
      <c r="D5891" s="456">
        <v>0</v>
      </c>
      <c r="E5891" s="456">
        <v>0</v>
      </c>
      <c r="F5891" s="456"/>
      <c r="G5891" s="456"/>
      <c r="H5891" s="456"/>
    </row>
    <row r="5892" spans="1:8">
      <c r="A5892" s="696">
        <v>6915</v>
      </c>
      <c r="B5892" s="469"/>
      <c r="C5892" s="458"/>
      <c r="D5892" s="456">
        <v>0</v>
      </c>
      <c r="E5892" s="456">
        <v>0</v>
      </c>
      <c r="F5892" s="456"/>
      <c r="G5892" s="456"/>
      <c r="H5892" s="456"/>
    </row>
    <row r="5893" spans="1:8">
      <c r="A5893" s="696">
        <v>6916</v>
      </c>
      <c r="B5893" s="469"/>
      <c r="C5893" s="458"/>
      <c r="D5893" s="456">
        <v>0</v>
      </c>
      <c r="E5893" s="456">
        <v>0</v>
      </c>
      <c r="F5893" s="456"/>
      <c r="G5893" s="456"/>
      <c r="H5893" s="456"/>
    </row>
    <row r="5894" spans="1:8">
      <c r="A5894" s="696">
        <v>6917</v>
      </c>
      <c r="B5894" s="469"/>
      <c r="C5894" s="458"/>
      <c r="D5894" s="456">
        <v>0</v>
      </c>
      <c r="E5894" s="456">
        <v>0</v>
      </c>
      <c r="F5894" s="456"/>
      <c r="G5894" s="456"/>
      <c r="H5894" s="456"/>
    </row>
    <row r="5895" spans="1:8">
      <c r="A5895" s="696">
        <v>6918</v>
      </c>
      <c r="B5895" s="469"/>
      <c r="C5895" s="458"/>
      <c r="D5895" s="456">
        <v>0</v>
      </c>
      <c r="E5895" s="456">
        <v>0</v>
      </c>
      <c r="F5895" s="456"/>
      <c r="G5895" s="456"/>
      <c r="H5895" s="456"/>
    </row>
    <row r="5896" spans="1:8">
      <c r="A5896" s="696">
        <v>6919</v>
      </c>
      <c r="B5896" s="469"/>
      <c r="C5896" s="458"/>
      <c r="D5896" s="456">
        <v>0</v>
      </c>
      <c r="E5896" s="456">
        <v>0</v>
      </c>
      <c r="F5896" s="456"/>
      <c r="G5896" s="456"/>
      <c r="H5896" s="456"/>
    </row>
    <row r="5897" spans="1:8">
      <c r="A5897" s="696">
        <v>6920</v>
      </c>
      <c r="B5897" s="469"/>
      <c r="C5897" s="458"/>
      <c r="D5897" s="456">
        <v>0</v>
      </c>
      <c r="E5897" s="456">
        <v>0</v>
      </c>
      <c r="F5897" s="456"/>
      <c r="G5897" s="456"/>
      <c r="H5897" s="456"/>
    </row>
    <row r="5898" spans="1:8">
      <c r="A5898" s="696">
        <v>6921</v>
      </c>
      <c r="B5898" s="469"/>
      <c r="C5898" s="458"/>
      <c r="D5898" s="456">
        <v>0</v>
      </c>
      <c r="E5898" s="456">
        <v>0</v>
      </c>
      <c r="F5898" s="456"/>
      <c r="G5898" s="456"/>
      <c r="H5898" s="456"/>
    </row>
    <row r="5899" spans="1:8">
      <c r="A5899" s="696">
        <v>6922</v>
      </c>
      <c r="B5899" s="469"/>
      <c r="C5899" s="458"/>
      <c r="D5899" s="456">
        <v>0</v>
      </c>
      <c r="E5899" s="456">
        <v>0</v>
      </c>
      <c r="F5899" s="456"/>
      <c r="G5899" s="456"/>
      <c r="H5899" s="456"/>
    </row>
    <row r="5900" spans="1:8">
      <c r="A5900" s="696">
        <v>6923</v>
      </c>
      <c r="B5900" s="469"/>
      <c r="C5900" s="458"/>
      <c r="D5900" s="456">
        <v>0</v>
      </c>
      <c r="E5900" s="456">
        <v>0</v>
      </c>
      <c r="F5900" s="456"/>
      <c r="G5900" s="456"/>
      <c r="H5900" s="456"/>
    </row>
    <row r="5901" spans="1:8">
      <c r="A5901" s="696">
        <v>6924</v>
      </c>
      <c r="B5901" s="469"/>
      <c r="C5901" s="458"/>
      <c r="D5901" s="456">
        <v>0</v>
      </c>
      <c r="E5901" s="456">
        <v>0</v>
      </c>
      <c r="F5901" s="456"/>
      <c r="G5901" s="456"/>
      <c r="H5901" s="456"/>
    </row>
    <row r="5902" spans="1:8">
      <c r="A5902" s="696">
        <v>6925</v>
      </c>
      <c r="B5902" s="469"/>
      <c r="C5902" s="458"/>
      <c r="D5902" s="456">
        <v>0</v>
      </c>
      <c r="E5902" s="456">
        <v>0</v>
      </c>
      <c r="F5902" s="456"/>
      <c r="G5902" s="456"/>
      <c r="H5902" s="456"/>
    </row>
    <row r="5903" spans="1:8">
      <c r="A5903" s="696">
        <v>6926</v>
      </c>
      <c r="B5903" s="469"/>
      <c r="C5903" s="458"/>
      <c r="D5903" s="456">
        <v>0</v>
      </c>
      <c r="E5903" s="456">
        <v>0</v>
      </c>
      <c r="F5903" s="456"/>
      <c r="G5903" s="456"/>
      <c r="H5903" s="456"/>
    </row>
    <row r="5904" spans="1:8">
      <c r="A5904" s="696">
        <v>6927</v>
      </c>
      <c r="B5904" s="469"/>
      <c r="C5904" s="458"/>
      <c r="D5904" s="456">
        <v>0</v>
      </c>
      <c r="E5904" s="456">
        <v>0</v>
      </c>
      <c r="F5904" s="456"/>
      <c r="G5904" s="456"/>
      <c r="H5904" s="456"/>
    </row>
    <row r="5905" spans="1:8">
      <c r="A5905" s="696">
        <v>6928</v>
      </c>
      <c r="B5905" s="469"/>
      <c r="C5905" s="458"/>
      <c r="D5905" s="456">
        <v>0</v>
      </c>
      <c r="E5905" s="456">
        <v>0</v>
      </c>
      <c r="F5905" s="456"/>
      <c r="G5905" s="456"/>
      <c r="H5905" s="456"/>
    </row>
    <row r="5906" spans="1:8">
      <c r="A5906" s="696">
        <v>6929</v>
      </c>
      <c r="B5906" s="469"/>
      <c r="C5906" s="458"/>
      <c r="D5906" s="456">
        <v>0</v>
      </c>
      <c r="E5906" s="456">
        <v>0</v>
      </c>
      <c r="F5906" s="456"/>
      <c r="G5906" s="456"/>
      <c r="H5906" s="456"/>
    </row>
    <row r="5907" spans="1:8">
      <c r="A5907" s="696">
        <v>6930</v>
      </c>
      <c r="B5907" s="469"/>
      <c r="C5907" s="458"/>
      <c r="D5907" s="456">
        <v>0</v>
      </c>
      <c r="E5907" s="456">
        <v>0</v>
      </c>
      <c r="F5907" s="456"/>
      <c r="G5907" s="456"/>
      <c r="H5907" s="456"/>
    </row>
    <row r="5908" spans="1:8">
      <c r="A5908" s="696">
        <v>6931</v>
      </c>
      <c r="B5908" s="469"/>
      <c r="C5908" s="458"/>
      <c r="D5908" s="456">
        <v>0</v>
      </c>
      <c r="E5908" s="456">
        <v>0</v>
      </c>
      <c r="F5908" s="456"/>
      <c r="G5908" s="456"/>
      <c r="H5908" s="456"/>
    </row>
    <row r="5909" spans="1:8">
      <c r="A5909" s="696">
        <v>6932</v>
      </c>
      <c r="B5909" s="469"/>
      <c r="C5909" s="458"/>
      <c r="D5909" s="456">
        <v>0</v>
      </c>
      <c r="E5909" s="456">
        <v>0</v>
      </c>
      <c r="F5909" s="456"/>
      <c r="G5909" s="456"/>
      <c r="H5909" s="456"/>
    </row>
    <row r="5910" spans="1:8">
      <c r="A5910" s="696">
        <v>6933</v>
      </c>
      <c r="B5910" s="469"/>
      <c r="C5910" s="458"/>
      <c r="D5910" s="456">
        <v>0</v>
      </c>
      <c r="E5910" s="456">
        <v>0</v>
      </c>
      <c r="F5910" s="456"/>
      <c r="G5910" s="456"/>
      <c r="H5910" s="456"/>
    </row>
    <row r="5911" spans="1:8">
      <c r="A5911" s="696">
        <v>6934</v>
      </c>
      <c r="B5911" s="469"/>
      <c r="C5911" s="458"/>
      <c r="D5911" s="456">
        <v>0</v>
      </c>
      <c r="E5911" s="456">
        <v>0</v>
      </c>
      <c r="F5911" s="456"/>
      <c r="G5911" s="456"/>
      <c r="H5911" s="456"/>
    </row>
    <row r="5912" spans="1:8">
      <c r="A5912" s="696">
        <v>6935</v>
      </c>
      <c r="B5912" s="469"/>
      <c r="C5912" s="458"/>
      <c r="D5912" s="456">
        <v>0</v>
      </c>
      <c r="E5912" s="456">
        <v>0</v>
      </c>
      <c r="F5912" s="456"/>
      <c r="G5912" s="456"/>
      <c r="H5912" s="456"/>
    </row>
    <row r="5913" spans="1:8">
      <c r="A5913" s="696">
        <v>6936</v>
      </c>
      <c r="B5913" s="469"/>
      <c r="C5913" s="458"/>
      <c r="D5913" s="456">
        <v>0</v>
      </c>
      <c r="E5913" s="456">
        <v>0</v>
      </c>
      <c r="F5913" s="456"/>
      <c r="G5913" s="456"/>
      <c r="H5913" s="456"/>
    </row>
    <row r="5914" spans="1:8">
      <c r="A5914" s="696">
        <v>6937</v>
      </c>
      <c r="B5914" s="469"/>
      <c r="C5914" s="458"/>
      <c r="D5914" s="456">
        <v>0</v>
      </c>
      <c r="E5914" s="456">
        <v>0</v>
      </c>
      <c r="F5914" s="456"/>
      <c r="G5914" s="456"/>
      <c r="H5914" s="456"/>
    </row>
    <row r="5915" spans="1:8">
      <c r="A5915" s="696">
        <v>6938</v>
      </c>
      <c r="B5915" s="469"/>
      <c r="C5915" s="458"/>
      <c r="D5915" s="456">
        <v>0</v>
      </c>
      <c r="E5915" s="456">
        <v>0</v>
      </c>
      <c r="F5915" s="456"/>
      <c r="G5915" s="456"/>
      <c r="H5915" s="456"/>
    </row>
    <row r="5916" spans="1:8">
      <c r="A5916" s="696">
        <v>6939</v>
      </c>
      <c r="B5916" s="469"/>
      <c r="C5916" s="458"/>
      <c r="D5916" s="456">
        <v>0</v>
      </c>
      <c r="E5916" s="456">
        <v>0</v>
      </c>
      <c r="F5916" s="456"/>
      <c r="G5916" s="456"/>
      <c r="H5916" s="456"/>
    </row>
    <row r="5917" spans="1:8">
      <c r="A5917" s="696">
        <v>6940</v>
      </c>
      <c r="B5917" s="469"/>
      <c r="C5917" s="458"/>
      <c r="D5917" s="456">
        <v>0</v>
      </c>
      <c r="E5917" s="456">
        <v>0</v>
      </c>
      <c r="F5917" s="456"/>
      <c r="G5917" s="456"/>
      <c r="H5917" s="456"/>
    </row>
    <row r="5918" spans="1:8">
      <c r="A5918" s="696">
        <v>6941</v>
      </c>
      <c r="B5918" s="469"/>
      <c r="C5918" s="458"/>
      <c r="D5918" s="456">
        <v>0</v>
      </c>
      <c r="E5918" s="456">
        <v>0</v>
      </c>
      <c r="F5918" s="456"/>
      <c r="G5918" s="456"/>
      <c r="H5918" s="456"/>
    </row>
    <row r="5919" spans="1:8">
      <c r="A5919" s="696">
        <v>6942</v>
      </c>
      <c r="B5919" s="469"/>
      <c r="C5919" s="458"/>
      <c r="D5919" s="456">
        <v>0</v>
      </c>
      <c r="E5919" s="456">
        <v>0</v>
      </c>
      <c r="F5919" s="456"/>
      <c r="G5919" s="456"/>
      <c r="H5919" s="456"/>
    </row>
    <row r="5920" spans="1:8">
      <c r="A5920" s="696">
        <v>6943</v>
      </c>
      <c r="B5920" s="469"/>
      <c r="C5920" s="458"/>
      <c r="D5920" s="456">
        <v>0</v>
      </c>
      <c r="E5920" s="456">
        <v>0</v>
      </c>
      <c r="F5920" s="456"/>
      <c r="G5920" s="456"/>
      <c r="H5920" s="456"/>
    </row>
    <row r="5921" spans="1:8">
      <c r="A5921" s="696">
        <v>6944</v>
      </c>
      <c r="B5921" s="469"/>
      <c r="C5921" s="458"/>
      <c r="D5921" s="456">
        <v>0</v>
      </c>
      <c r="E5921" s="456">
        <v>0</v>
      </c>
      <c r="F5921" s="456"/>
      <c r="G5921" s="456"/>
      <c r="H5921" s="456"/>
    </row>
    <row r="5922" spans="1:8">
      <c r="A5922" s="696">
        <v>6945</v>
      </c>
      <c r="B5922" s="469"/>
      <c r="C5922" s="458"/>
      <c r="D5922" s="456">
        <v>0</v>
      </c>
      <c r="E5922" s="456">
        <v>0</v>
      </c>
      <c r="F5922" s="456"/>
      <c r="G5922" s="456"/>
      <c r="H5922" s="456"/>
    </row>
    <row r="5923" spans="1:8">
      <c r="A5923" s="696">
        <v>6946</v>
      </c>
      <c r="B5923" s="469"/>
      <c r="C5923" s="458"/>
      <c r="D5923" s="456">
        <v>0</v>
      </c>
      <c r="E5923" s="456">
        <v>0</v>
      </c>
      <c r="F5923" s="456"/>
      <c r="G5923" s="456"/>
      <c r="H5923" s="456"/>
    </row>
    <row r="5924" spans="1:8">
      <c r="A5924" s="696">
        <v>6947</v>
      </c>
      <c r="B5924" s="469"/>
      <c r="C5924" s="458"/>
      <c r="D5924" s="456">
        <v>0</v>
      </c>
      <c r="E5924" s="456">
        <v>0</v>
      </c>
      <c r="F5924" s="456"/>
      <c r="G5924" s="456"/>
      <c r="H5924" s="456"/>
    </row>
    <row r="5925" spans="1:8">
      <c r="A5925" s="696">
        <v>6948</v>
      </c>
      <c r="B5925" s="469"/>
      <c r="C5925" s="458"/>
      <c r="D5925" s="456">
        <v>0</v>
      </c>
      <c r="E5925" s="456">
        <v>0</v>
      </c>
      <c r="F5925" s="456"/>
      <c r="G5925" s="456"/>
      <c r="H5925" s="456"/>
    </row>
    <row r="5926" spans="1:8">
      <c r="A5926" s="696">
        <v>6949</v>
      </c>
      <c r="B5926" s="469"/>
      <c r="C5926" s="458"/>
      <c r="D5926" s="456">
        <v>0</v>
      </c>
      <c r="E5926" s="456">
        <v>0</v>
      </c>
      <c r="F5926" s="456"/>
      <c r="G5926" s="456"/>
      <c r="H5926" s="456"/>
    </row>
    <row r="5927" spans="1:8">
      <c r="A5927" s="696">
        <v>6950</v>
      </c>
      <c r="B5927" s="469"/>
      <c r="C5927" s="458"/>
      <c r="D5927" s="456">
        <v>0</v>
      </c>
      <c r="E5927" s="456">
        <v>0</v>
      </c>
      <c r="F5927" s="456"/>
      <c r="G5927" s="456"/>
      <c r="H5927" s="456"/>
    </row>
    <row r="5928" spans="1:8">
      <c r="A5928" s="696">
        <v>6951</v>
      </c>
      <c r="B5928" s="469"/>
      <c r="C5928" s="458"/>
      <c r="D5928" s="456">
        <v>0</v>
      </c>
      <c r="E5928" s="456">
        <v>0</v>
      </c>
      <c r="F5928" s="456"/>
      <c r="G5928" s="456"/>
      <c r="H5928" s="456"/>
    </row>
    <row r="5929" spans="1:8">
      <c r="A5929" s="696">
        <v>6952</v>
      </c>
      <c r="B5929" s="469"/>
      <c r="C5929" s="458"/>
      <c r="D5929" s="456">
        <v>0</v>
      </c>
      <c r="E5929" s="456">
        <v>0</v>
      </c>
      <c r="F5929" s="456"/>
      <c r="G5929" s="456"/>
      <c r="H5929" s="456"/>
    </row>
    <row r="5930" spans="1:8">
      <c r="A5930" s="696">
        <v>6953</v>
      </c>
      <c r="B5930" s="469"/>
      <c r="C5930" s="458"/>
      <c r="D5930" s="456">
        <v>0</v>
      </c>
      <c r="E5930" s="456">
        <v>0</v>
      </c>
      <c r="F5930" s="456"/>
      <c r="G5930" s="456"/>
      <c r="H5930" s="456"/>
    </row>
    <row r="5931" spans="1:8">
      <c r="A5931" s="696">
        <v>6954</v>
      </c>
      <c r="B5931" s="469"/>
      <c r="C5931" s="458"/>
      <c r="D5931" s="456">
        <v>0</v>
      </c>
      <c r="E5931" s="456">
        <v>0</v>
      </c>
      <c r="F5931" s="456"/>
      <c r="G5931" s="456"/>
      <c r="H5931" s="456"/>
    </row>
    <row r="5932" spans="1:8">
      <c r="A5932" s="696">
        <v>6955</v>
      </c>
      <c r="B5932" s="469"/>
      <c r="C5932" s="458"/>
      <c r="D5932" s="456">
        <v>0</v>
      </c>
      <c r="E5932" s="456">
        <v>0</v>
      </c>
      <c r="F5932" s="456"/>
      <c r="G5932" s="456"/>
      <c r="H5932" s="456"/>
    </row>
    <row r="5933" spans="1:8">
      <c r="A5933" s="696">
        <v>6956</v>
      </c>
      <c r="B5933" s="469"/>
      <c r="C5933" s="458"/>
      <c r="D5933" s="456">
        <v>0</v>
      </c>
      <c r="E5933" s="456">
        <v>0</v>
      </c>
      <c r="F5933" s="456"/>
      <c r="G5933" s="456"/>
      <c r="H5933" s="456"/>
    </row>
    <row r="5934" spans="1:8">
      <c r="A5934" s="696">
        <v>6957</v>
      </c>
      <c r="B5934" s="469"/>
      <c r="C5934" s="458"/>
      <c r="D5934" s="456">
        <v>0</v>
      </c>
      <c r="E5934" s="456">
        <v>0</v>
      </c>
      <c r="F5934" s="456"/>
      <c r="G5934" s="456"/>
      <c r="H5934" s="456"/>
    </row>
    <row r="5935" spans="1:8">
      <c r="A5935" s="696">
        <v>6958</v>
      </c>
      <c r="B5935" s="469"/>
      <c r="C5935" s="458"/>
      <c r="D5935" s="456">
        <v>0</v>
      </c>
      <c r="E5935" s="456">
        <v>0</v>
      </c>
      <c r="F5935" s="456"/>
      <c r="G5935" s="456"/>
      <c r="H5935" s="456"/>
    </row>
    <row r="5936" spans="1:8">
      <c r="A5936" s="696">
        <v>6959</v>
      </c>
      <c r="B5936" s="469"/>
      <c r="C5936" s="458"/>
      <c r="D5936" s="456">
        <v>0</v>
      </c>
      <c r="E5936" s="456">
        <v>0</v>
      </c>
      <c r="F5936" s="456"/>
      <c r="G5936" s="456"/>
      <c r="H5936" s="456"/>
    </row>
    <row r="5937" spans="1:8">
      <c r="A5937" s="696">
        <v>6960</v>
      </c>
      <c r="B5937" s="469"/>
      <c r="C5937" s="458"/>
      <c r="D5937" s="456">
        <v>0</v>
      </c>
      <c r="E5937" s="456">
        <v>0</v>
      </c>
      <c r="F5937" s="456"/>
      <c r="G5937" s="456"/>
      <c r="H5937" s="456"/>
    </row>
    <row r="5938" spans="1:8">
      <c r="A5938" s="696">
        <v>6961</v>
      </c>
      <c r="B5938" s="469"/>
      <c r="C5938" s="458"/>
      <c r="D5938" s="456">
        <v>0</v>
      </c>
      <c r="E5938" s="456">
        <v>0</v>
      </c>
      <c r="F5938" s="456"/>
      <c r="G5938" s="456"/>
      <c r="H5938" s="456"/>
    </row>
    <row r="5939" spans="1:8">
      <c r="A5939" s="696">
        <v>6962</v>
      </c>
      <c r="B5939" s="469"/>
      <c r="C5939" s="458"/>
      <c r="D5939" s="456">
        <v>0</v>
      </c>
      <c r="E5939" s="456">
        <v>0</v>
      </c>
      <c r="F5939" s="456"/>
      <c r="G5939" s="456"/>
      <c r="H5939" s="456"/>
    </row>
    <row r="5940" spans="1:8">
      <c r="A5940" s="696">
        <v>6963</v>
      </c>
      <c r="B5940" s="469"/>
      <c r="C5940" s="458"/>
      <c r="D5940" s="456">
        <v>0</v>
      </c>
      <c r="E5940" s="456">
        <v>0</v>
      </c>
      <c r="F5940" s="456"/>
      <c r="G5940" s="456"/>
      <c r="H5940" s="456"/>
    </row>
    <row r="5941" spans="1:8">
      <c r="A5941" s="696">
        <v>6964</v>
      </c>
      <c r="B5941" s="469"/>
      <c r="C5941" s="458"/>
      <c r="D5941" s="456">
        <v>0</v>
      </c>
      <c r="E5941" s="456">
        <v>0</v>
      </c>
      <c r="F5941" s="456"/>
      <c r="G5941" s="456"/>
      <c r="H5941" s="456"/>
    </row>
    <row r="5942" spans="1:8">
      <c r="A5942" s="696">
        <v>6965</v>
      </c>
      <c r="B5942" s="469"/>
      <c r="C5942" s="458"/>
      <c r="D5942" s="456">
        <v>0</v>
      </c>
      <c r="E5942" s="456">
        <v>0</v>
      </c>
      <c r="F5942" s="456"/>
      <c r="G5942" s="456"/>
      <c r="H5942" s="456"/>
    </row>
    <row r="5943" spans="1:8">
      <c r="A5943" s="696">
        <v>6966</v>
      </c>
      <c r="B5943" s="469"/>
      <c r="C5943" s="458"/>
      <c r="D5943" s="456">
        <v>0</v>
      </c>
      <c r="E5943" s="456">
        <v>0</v>
      </c>
      <c r="F5943" s="456"/>
      <c r="G5943" s="456"/>
      <c r="H5943" s="456"/>
    </row>
    <row r="5944" spans="1:8">
      <c r="A5944" s="696">
        <v>6967</v>
      </c>
      <c r="B5944" s="469"/>
      <c r="C5944" s="458"/>
      <c r="D5944" s="456">
        <v>0</v>
      </c>
      <c r="E5944" s="456">
        <v>0</v>
      </c>
      <c r="F5944" s="456"/>
      <c r="G5944" s="456"/>
      <c r="H5944" s="456"/>
    </row>
    <row r="5945" spans="1:8">
      <c r="A5945" s="696">
        <v>6968</v>
      </c>
      <c r="B5945" s="469"/>
      <c r="C5945" s="458"/>
      <c r="D5945" s="456">
        <v>0</v>
      </c>
      <c r="E5945" s="456">
        <v>0</v>
      </c>
      <c r="F5945" s="456"/>
      <c r="G5945" s="456"/>
      <c r="H5945" s="456"/>
    </row>
    <row r="5946" spans="1:8">
      <c r="A5946" s="696">
        <v>6969</v>
      </c>
      <c r="B5946" s="469"/>
      <c r="C5946" s="458"/>
      <c r="D5946" s="456">
        <v>0</v>
      </c>
      <c r="E5946" s="456">
        <v>0</v>
      </c>
      <c r="F5946" s="456"/>
      <c r="G5946" s="456"/>
      <c r="H5946" s="456"/>
    </row>
    <row r="5947" spans="1:8">
      <c r="A5947" s="696">
        <v>6970</v>
      </c>
      <c r="B5947" s="469"/>
      <c r="C5947" s="458"/>
      <c r="D5947" s="456">
        <v>0</v>
      </c>
      <c r="E5947" s="456">
        <v>0</v>
      </c>
      <c r="F5947" s="456"/>
      <c r="G5947" s="456"/>
      <c r="H5947" s="456"/>
    </row>
    <row r="5948" spans="1:8">
      <c r="A5948" s="696">
        <v>6971</v>
      </c>
      <c r="B5948" s="469"/>
      <c r="C5948" s="458"/>
      <c r="D5948" s="456">
        <v>0</v>
      </c>
      <c r="E5948" s="456">
        <v>0</v>
      </c>
      <c r="F5948" s="456"/>
      <c r="G5948" s="456"/>
      <c r="H5948" s="456"/>
    </row>
    <row r="5949" spans="1:8">
      <c r="A5949" s="696">
        <v>6972</v>
      </c>
      <c r="B5949" s="469"/>
      <c r="C5949" s="458"/>
      <c r="D5949" s="456">
        <v>0</v>
      </c>
      <c r="E5949" s="456">
        <v>0</v>
      </c>
      <c r="F5949" s="456"/>
      <c r="G5949" s="456"/>
      <c r="H5949" s="456"/>
    </row>
    <row r="5950" spans="1:8">
      <c r="A5950" s="696">
        <v>6973</v>
      </c>
      <c r="B5950" s="469"/>
      <c r="C5950" s="458"/>
      <c r="D5950" s="456">
        <v>0</v>
      </c>
      <c r="E5950" s="456">
        <v>0</v>
      </c>
      <c r="F5950" s="456"/>
      <c r="G5950" s="456"/>
      <c r="H5950" s="456"/>
    </row>
    <row r="5951" spans="1:8">
      <c r="A5951" s="696">
        <v>6974</v>
      </c>
      <c r="B5951" s="469"/>
      <c r="C5951" s="458"/>
      <c r="D5951" s="456">
        <v>0</v>
      </c>
      <c r="E5951" s="456">
        <v>0</v>
      </c>
      <c r="F5951" s="456"/>
      <c r="G5951" s="456"/>
      <c r="H5951" s="456"/>
    </row>
    <row r="5952" spans="1:8">
      <c r="A5952" s="696">
        <v>6975</v>
      </c>
      <c r="B5952" s="469"/>
      <c r="C5952" s="458"/>
      <c r="D5952" s="456">
        <v>0</v>
      </c>
      <c r="E5952" s="456">
        <v>0</v>
      </c>
      <c r="F5952" s="456"/>
      <c r="G5952" s="456"/>
      <c r="H5952" s="456"/>
    </row>
    <row r="5953" spans="1:8">
      <c r="A5953" s="696">
        <v>6976</v>
      </c>
      <c r="B5953" s="469"/>
      <c r="C5953" s="458"/>
      <c r="D5953" s="456">
        <v>0</v>
      </c>
      <c r="E5953" s="456">
        <v>0</v>
      </c>
      <c r="F5953" s="456"/>
      <c r="G5953" s="456"/>
      <c r="H5953" s="456"/>
    </row>
    <row r="5954" spans="1:8">
      <c r="A5954" s="696">
        <v>6977</v>
      </c>
      <c r="B5954" s="469"/>
      <c r="C5954" s="458"/>
      <c r="D5954" s="456">
        <v>0</v>
      </c>
      <c r="E5954" s="456">
        <v>0</v>
      </c>
      <c r="F5954" s="456"/>
      <c r="G5954" s="456"/>
      <c r="H5954" s="456"/>
    </row>
    <row r="5955" spans="1:8">
      <c r="A5955" s="696">
        <v>6978</v>
      </c>
      <c r="B5955" s="469"/>
      <c r="C5955" s="458"/>
      <c r="D5955" s="456">
        <v>0</v>
      </c>
      <c r="E5955" s="456">
        <v>0</v>
      </c>
      <c r="F5955" s="456"/>
      <c r="G5955" s="456"/>
      <c r="H5955" s="456"/>
    </row>
    <row r="5956" spans="1:8">
      <c r="A5956" s="696">
        <v>6979</v>
      </c>
      <c r="B5956" s="469"/>
      <c r="C5956" s="458"/>
      <c r="D5956" s="456">
        <v>0</v>
      </c>
      <c r="E5956" s="456">
        <v>0</v>
      </c>
      <c r="F5956" s="456"/>
      <c r="G5956" s="456"/>
      <c r="H5956" s="456"/>
    </row>
    <row r="5957" spans="1:8">
      <c r="A5957" s="696">
        <v>6980</v>
      </c>
      <c r="B5957" s="469"/>
      <c r="C5957" s="458"/>
      <c r="D5957" s="456">
        <v>0</v>
      </c>
      <c r="E5957" s="456">
        <v>0</v>
      </c>
      <c r="F5957" s="456"/>
      <c r="G5957" s="456"/>
      <c r="H5957" s="456"/>
    </row>
    <row r="5958" spans="1:8">
      <c r="A5958" s="696">
        <v>6981</v>
      </c>
      <c r="B5958" s="469"/>
      <c r="C5958" s="458"/>
      <c r="D5958" s="456">
        <v>0</v>
      </c>
      <c r="E5958" s="456">
        <v>0</v>
      </c>
      <c r="F5958" s="456"/>
      <c r="G5958" s="456"/>
      <c r="H5958" s="456"/>
    </row>
    <row r="5959" spans="1:8">
      <c r="A5959" s="696">
        <v>6982</v>
      </c>
      <c r="B5959" s="469"/>
      <c r="C5959" s="458"/>
      <c r="D5959" s="456">
        <v>0</v>
      </c>
      <c r="E5959" s="456">
        <v>0</v>
      </c>
      <c r="F5959" s="456"/>
      <c r="G5959" s="456"/>
      <c r="H5959" s="456"/>
    </row>
    <row r="5960" spans="1:8">
      <c r="A5960" s="696">
        <v>6983</v>
      </c>
      <c r="B5960" s="469"/>
      <c r="C5960" s="458"/>
      <c r="D5960" s="456">
        <v>0</v>
      </c>
      <c r="E5960" s="456">
        <v>0</v>
      </c>
      <c r="F5960" s="456"/>
      <c r="G5960" s="456"/>
      <c r="H5960" s="456"/>
    </row>
    <row r="5961" spans="1:8">
      <c r="A5961" s="696">
        <v>6984</v>
      </c>
      <c r="B5961" s="469"/>
      <c r="C5961" s="458"/>
      <c r="D5961" s="456">
        <v>0</v>
      </c>
      <c r="E5961" s="456">
        <v>0</v>
      </c>
      <c r="F5961" s="456"/>
      <c r="G5961" s="456"/>
      <c r="H5961" s="456"/>
    </row>
    <row r="5962" spans="1:8">
      <c r="A5962" s="696">
        <v>6985</v>
      </c>
      <c r="B5962" s="469"/>
      <c r="C5962" s="458"/>
      <c r="D5962" s="456">
        <v>0</v>
      </c>
      <c r="E5962" s="456">
        <v>0</v>
      </c>
      <c r="F5962" s="456"/>
      <c r="G5962" s="456"/>
      <c r="H5962" s="456"/>
    </row>
    <row r="5963" spans="1:8">
      <c r="A5963" s="696">
        <v>6986</v>
      </c>
      <c r="B5963" s="469"/>
      <c r="C5963" s="458"/>
      <c r="D5963" s="456">
        <v>0</v>
      </c>
      <c r="E5963" s="456">
        <v>0</v>
      </c>
      <c r="F5963" s="456"/>
      <c r="G5963" s="456"/>
      <c r="H5963" s="456"/>
    </row>
    <row r="5964" spans="1:8">
      <c r="A5964" s="696">
        <v>6987</v>
      </c>
      <c r="B5964" s="469"/>
      <c r="C5964" s="458"/>
      <c r="D5964" s="456">
        <v>0</v>
      </c>
      <c r="E5964" s="456">
        <v>0</v>
      </c>
      <c r="F5964" s="456"/>
      <c r="G5964" s="456"/>
      <c r="H5964" s="456"/>
    </row>
    <row r="5965" spans="1:8">
      <c r="A5965" s="696">
        <v>6988</v>
      </c>
      <c r="B5965" s="469"/>
      <c r="C5965" s="458"/>
      <c r="D5965" s="456">
        <v>0</v>
      </c>
      <c r="E5965" s="456">
        <v>0</v>
      </c>
      <c r="F5965" s="456"/>
      <c r="G5965" s="456"/>
      <c r="H5965" s="456"/>
    </row>
    <row r="5966" spans="1:8">
      <c r="A5966" s="696">
        <v>6989</v>
      </c>
      <c r="B5966" s="469"/>
      <c r="C5966" s="458"/>
      <c r="D5966" s="456">
        <v>0</v>
      </c>
      <c r="E5966" s="456">
        <v>0</v>
      </c>
      <c r="F5966" s="456"/>
      <c r="G5966" s="456"/>
      <c r="H5966" s="456"/>
    </row>
    <row r="5967" spans="1:8">
      <c r="A5967" s="696">
        <v>6990</v>
      </c>
      <c r="B5967" s="469"/>
      <c r="C5967" s="458"/>
      <c r="D5967" s="456">
        <v>0</v>
      </c>
      <c r="E5967" s="456">
        <v>0</v>
      </c>
      <c r="F5967" s="456"/>
      <c r="G5967" s="456"/>
      <c r="H5967" s="456"/>
    </row>
    <row r="5968" spans="1:8">
      <c r="A5968" s="696">
        <v>6991</v>
      </c>
      <c r="B5968" s="469"/>
      <c r="C5968" s="458"/>
      <c r="D5968" s="456">
        <v>0</v>
      </c>
      <c r="E5968" s="456">
        <v>0</v>
      </c>
      <c r="F5968" s="456"/>
      <c r="G5968" s="456"/>
      <c r="H5968" s="456"/>
    </row>
    <row r="5969" spans="1:8">
      <c r="A5969" s="696">
        <v>6992</v>
      </c>
      <c r="B5969" s="469"/>
      <c r="C5969" s="458"/>
      <c r="D5969" s="456">
        <v>0</v>
      </c>
      <c r="E5969" s="456">
        <v>0</v>
      </c>
      <c r="F5969" s="456"/>
      <c r="G5969" s="456"/>
      <c r="H5969" s="456"/>
    </row>
    <row r="5970" spans="1:8">
      <c r="A5970" s="696">
        <v>6993</v>
      </c>
      <c r="B5970" s="469"/>
      <c r="C5970" s="458"/>
      <c r="D5970" s="456">
        <v>0</v>
      </c>
      <c r="E5970" s="456">
        <v>0</v>
      </c>
      <c r="F5970" s="456"/>
      <c r="G5970" s="456"/>
      <c r="H5970" s="456"/>
    </row>
    <row r="5971" spans="1:8">
      <c r="A5971" s="696">
        <v>6994</v>
      </c>
      <c r="B5971" s="469"/>
      <c r="C5971" s="458"/>
      <c r="D5971" s="456">
        <v>0</v>
      </c>
      <c r="E5971" s="456">
        <v>0</v>
      </c>
      <c r="F5971" s="456"/>
      <c r="G5971" s="456"/>
      <c r="H5971" s="456"/>
    </row>
    <row r="5972" spans="1:8">
      <c r="A5972" s="696">
        <v>6995</v>
      </c>
      <c r="B5972" s="469"/>
      <c r="C5972" s="458"/>
      <c r="D5972" s="456">
        <v>0</v>
      </c>
      <c r="E5972" s="456">
        <v>0</v>
      </c>
      <c r="F5972" s="456"/>
      <c r="G5972" s="456"/>
      <c r="H5972" s="456"/>
    </row>
    <row r="5973" spans="1:8">
      <c r="A5973" s="696">
        <v>6996</v>
      </c>
      <c r="B5973" s="469"/>
      <c r="C5973" s="458"/>
      <c r="D5973" s="456">
        <v>0</v>
      </c>
      <c r="E5973" s="456">
        <v>0</v>
      </c>
      <c r="F5973" s="456"/>
      <c r="G5973" s="456"/>
      <c r="H5973" s="456"/>
    </row>
    <row r="5974" spans="1:8">
      <c r="A5974" s="696">
        <v>6997</v>
      </c>
      <c r="B5974" s="469"/>
      <c r="C5974" s="458"/>
      <c r="D5974" s="456">
        <v>0</v>
      </c>
      <c r="E5974" s="456">
        <v>0</v>
      </c>
      <c r="F5974" s="456"/>
      <c r="G5974" s="456"/>
      <c r="H5974" s="456"/>
    </row>
    <row r="5975" spans="1:8">
      <c r="A5975" s="696">
        <v>6998</v>
      </c>
      <c r="B5975" s="469"/>
      <c r="C5975" s="458"/>
      <c r="D5975" s="456">
        <v>0</v>
      </c>
      <c r="E5975" s="456">
        <v>0</v>
      </c>
      <c r="F5975" s="456"/>
      <c r="G5975" s="456"/>
      <c r="H5975" s="456"/>
    </row>
    <row r="5976" spans="1:8">
      <c r="A5976" s="696">
        <v>6999</v>
      </c>
      <c r="B5976" s="469"/>
      <c r="C5976" s="458"/>
      <c r="D5976" s="456">
        <v>0</v>
      </c>
      <c r="E5976" s="456">
        <v>0</v>
      </c>
      <c r="F5976" s="456"/>
      <c r="G5976" s="456"/>
      <c r="H5976" s="456"/>
    </row>
    <row r="5977" spans="1:8">
      <c r="A5977" s="456" t="s">
        <v>5905</v>
      </c>
      <c r="B5977" s="469" t="s">
        <v>5899</v>
      </c>
      <c r="C5977" s="458" t="s">
        <v>4720</v>
      </c>
      <c r="D5977" s="456">
        <v>0</v>
      </c>
      <c r="E5977" s="456">
        <v>0</v>
      </c>
      <c r="F5977" s="456"/>
      <c r="G5977" s="456"/>
      <c r="H5977" s="456"/>
    </row>
    <row r="5978" spans="1:8">
      <c r="A5978" s="456" t="s">
        <v>5919</v>
      </c>
      <c r="B5978" s="469" t="s">
        <v>5915</v>
      </c>
      <c r="C5978" s="458" t="s">
        <v>5916</v>
      </c>
      <c r="D5978" s="456">
        <v>0</v>
      </c>
      <c r="E5978" s="456">
        <v>0</v>
      </c>
      <c r="F5978" s="456"/>
      <c r="G5978" s="456"/>
      <c r="H5978" s="456"/>
    </row>
    <row r="5979" spans="1:8">
      <c r="A5979" s="456" t="s">
        <v>5920</v>
      </c>
      <c r="B5979" s="469" t="s">
        <v>5917</v>
      </c>
      <c r="C5979" s="458" t="s">
        <v>5916</v>
      </c>
      <c r="D5979" s="456">
        <v>0</v>
      </c>
      <c r="E5979" s="456">
        <v>0</v>
      </c>
      <c r="F5979" s="456"/>
      <c r="G5979" s="456"/>
      <c r="H5979" s="456"/>
    </row>
    <row r="5980" spans="1:8">
      <c r="A5980" s="456" t="s">
        <v>5921</v>
      </c>
      <c r="B5980" s="469" t="s">
        <v>5918</v>
      </c>
      <c r="C5980" s="458" t="s">
        <v>5916</v>
      </c>
      <c r="D5980" s="456">
        <v>0</v>
      </c>
      <c r="E5980" s="456">
        <v>0</v>
      </c>
      <c r="F5980" s="456"/>
      <c r="G5980" s="456"/>
      <c r="H5980" s="456"/>
    </row>
    <row r="5981" spans="1:8">
      <c r="A5981" s="456" t="s">
        <v>5936</v>
      </c>
      <c r="B5981" s="575"/>
      <c r="C5981" s="458"/>
      <c r="D5981" s="456">
        <v>0</v>
      </c>
      <c r="E5981" s="456">
        <v>0</v>
      </c>
      <c r="F5981" s="456"/>
      <c r="G5981" s="456"/>
      <c r="H5981" s="456"/>
    </row>
    <row r="5982" spans="1:8">
      <c r="A5982" s="579" t="s">
        <v>5937</v>
      </c>
      <c r="B5982" s="497"/>
      <c r="C5982" s="458"/>
      <c r="D5982" s="579">
        <v>0</v>
      </c>
      <c r="E5982" s="579">
        <v>0</v>
      </c>
      <c r="F5982" s="456"/>
      <c r="G5982" s="456"/>
      <c r="H5982" s="456"/>
    </row>
    <row r="5983" spans="1:8">
      <c r="A5983" s="579" t="s">
        <v>5939</v>
      </c>
      <c r="B5983" s="469" t="s">
        <v>4722</v>
      </c>
      <c r="C5983" s="458" t="s">
        <v>4722</v>
      </c>
      <c r="D5983" s="579">
        <v>0</v>
      </c>
      <c r="E5983" s="579">
        <v>0</v>
      </c>
      <c r="F5983" s="579"/>
      <c r="G5983" s="579"/>
      <c r="H5983" s="579"/>
    </row>
    <row r="5984" spans="1:8">
      <c r="A5984" s="579" t="s">
        <v>5940</v>
      </c>
      <c r="B5984" s="801" t="s">
        <v>5942</v>
      </c>
      <c r="C5984" s="458" t="s">
        <v>243</v>
      </c>
      <c r="D5984" s="579">
        <v>0</v>
      </c>
      <c r="E5984" s="579">
        <v>0</v>
      </c>
      <c r="F5984" s="579"/>
      <c r="G5984" s="579"/>
      <c r="H5984" s="579"/>
    </row>
    <row r="5985" spans="1:8">
      <c r="A5985" s="579" t="s">
        <v>5941</v>
      </c>
      <c r="B5985" s="801" t="s">
        <v>5943</v>
      </c>
      <c r="C5985" s="458" t="s">
        <v>243</v>
      </c>
      <c r="D5985" s="579">
        <v>0</v>
      </c>
      <c r="E5985" s="579">
        <v>0</v>
      </c>
      <c r="F5985" s="579"/>
      <c r="G5985" s="579"/>
      <c r="H5985" s="579"/>
    </row>
    <row r="5986" spans="1:8">
      <c r="A5986" s="456" t="s">
        <v>5975</v>
      </c>
      <c r="B5986" s="801" t="s">
        <v>5976</v>
      </c>
      <c r="C5986" s="458" t="s">
        <v>4658</v>
      </c>
      <c r="D5986" s="579">
        <v>0</v>
      </c>
      <c r="E5986" s="579">
        <v>0</v>
      </c>
      <c r="F5986" s="579"/>
      <c r="G5986" s="579"/>
      <c r="H5986" s="579"/>
    </row>
    <row r="5987" spans="1:8">
      <c r="A5987" s="456" t="s">
        <v>5951</v>
      </c>
      <c r="B5987" s="801" t="s">
        <v>5977</v>
      </c>
      <c r="C5987" s="458" t="s">
        <v>4658</v>
      </c>
      <c r="D5987" s="579">
        <v>0</v>
      </c>
      <c r="E5987" s="579">
        <v>0</v>
      </c>
      <c r="F5987" s="579"/>
      <c r="G5987" s="579"/>
      <c r="H5987" s="579"/>
    </row>
    <row r="5988" spans="1:8">
      <c r="A5988" s="456" t="s">
        <v>5950</v>
      </c>
      <c r="B5988" s="469" t="s">
        <v>5978</v>
      </c>
      <c r="C5988" s="458" t="s">
        <v>4658</v>
      </c>
      <c r="D5988" s="456">
        <v>0</v>
      </c>
      <c r="E5988" s="456">
        <v>0</v>
      </c>
      <c r="F5988" s="456"/>
      <c r="G5988" s="456"/>
      <c r="H5988" s="456"/>
    </row>
    <row r="5989" spans="1:8">
      <c r="A5989" s="456" t="s">
        <v>5970</v>
      </c>
      <c r="B5989" s="699" t="s">
        <v>5979</v>
      </c>
      <c r="C5989" s="581" t="s">
        <v>4658</v>
      </c>
      <c r="D5989" s="580">
        <v>0</v>
      </c>
      <c r="E5989" s="580">
        <v>0</v>
      </c>
      <c r="F5989" s="580"/>
      <c r="G5989" s="580"/>
      <c r="H5989" s="580"/>
    </row>
    <row r="5990" spans="1:8">
      <c r="A5990" s="456" t="s">
        <v>5971</v>
      </c>
      <c r="B5990" s="699" t="s">
        <v>5980</v>
      </c>
      <c r="C5990" s="581" t="s">
        <v>4658</v>
      </c>
      <c r="D5990" s="580">
        <v>0</v>
      </c>
      <c r="E5990" s="580">
        <v>0</v>
      </c>
      <c r="F5990" s="580"/>
      <c r="G5990" s="580"/>
      <c r="H5990" s="580"/>
    </row>
    <row r="5991" spans="1:8">
      <c r="A5991" s="696" t="s">
        <v>5972</v>
      </c>
      <c r="B5991" s="699"/>
      <c r="C5991" s="581"/>
      <c r="D5991" s="580">
        <v>0</v>
      </c>
      <c r="E5991" s="580">
        <v>0</v>
      </c>
      <c r="F5991" s="580"/>
      <c r="G5991" s="580"/>
      <c r="H5991" s="580"/>
    </row>
    <row r="5992" spans="1:8">
      <c r="A5992" s="696" t="s">
        <v>5973</v>
      </c>
      <c r="B5992" s="699"/>
      <c r="C5992" s="581"/>
      <c r="D5992" s="580">
        <v>0</v>
      </c>
      <c r="E5992" s="580">
        <v>0</v>
      </c>
      <c r="F5992" s="580"/>
      <c r="G5992" s="580"/>
      <c r="H5992" s="580"/>
    </row>
    <row r="5993" spans="1:8">
      <c r="A5993" s="696" t="s">
        <v>5974</v>
      </c>
      <c r="B5993" s="699"/>
      <c r="C5993" s="581"/>
      <c r="D5993" s="580">
        <v>0</v>
      </c>
      <c r="E5993" s="580">
        <v>0</v>
      </c>
      <c r="F5993" s="580"/>
      <c r="G5993" s="580"/>
      <c r="H5993" s="580"/>
    </row>
    <row r="5994" spans="1:8">
      <c r="A5994" s="696"/>
      <c r="B5994" s="469"/>
      <c r="C5994" s="458"/>
      <c r="D5994" s="456">
        <v>0</v>
      </c>
      <c r="E5994" s="456">
        <v>0</v>
      </c>
      <c r="F5994" s="456"/>
      <c r="G5994" s="456"/>
      <c r="H5994" s="456"/>
    </row>
    <row r="5995" spans="1:8">
      <c r="A5995" s="696"/>
      <c r="B5995" s="469"/>
      <c r="C5995" s="458"/>
      <c r="D5995" s="456">
        <v>0</v>
      </c>
      <c r="E5995" s="456">
        <v>0</v>
      </c>
      <c r="F5995" s="456"/>
      <c r="G5995" s="456"/>
      <c r="H5995" s="456"/>
    </row>
    <row r="5996" spans="1:8">
      <c r="A5996" s="696"/>
      <c r="B5996" s="469"/>
      <c r="C5996" s="458"/>
      <c r="D5996" s="456">
        <v>0</v>
      </c>
      <c r="E5996" s="456">
        <v>0</v>
      </c>
      <c r="F5996" s="456"/>
      <c r="G5996" s="456"/>
      <c r="H5996" s="456"/>
    </row>
    <row r="5997" spans="1:8">
      <c r="A5997" s="696"/>
      <c r="B5997" s="469"/>
      <c r="C5997" s="458"/>
      <c r="D5997" s="456">
        <v>0</v>
      </c>
      <c r="E5997" s="456">
        <v>0</v>
      </c>
      <c r="F5997" s="456"/>
      <c r="G5997" s="456"/>
      <c r="H5997" s="456"/>
    </row>
    <row r="5998" spans="1:8">
      <c r="A5998" s="696"/>
      <c r="B5998" s="469"/>
      <c r="C5998" s="458"/>
      <c r="D5998" s="456">
        <v>0</v>
      </c>
      <c r="E5998" s="456">
        <v>0</v>
      </c>
      <c r="F5998" s="456"/>
      <c r="G5998" s="456"/>
      <c r="H5998" s="456"/>
    </row>
    <row r="5999" spans="1:8">
      <c r="A5999" s="696"/>
      <c r="B5999" s="469"/>
      <c r="C5999" s="458"/>
      <c r="D5999" s="456">
        <v>0</v>
      </c>
      <c r="E5999" s="456">
        <v>0</v>
      </c>
      <c r="F5999" s="456"/>
      <c r="G5999" s="456"/>
      <c r="H5999" s="456"/>
    </row>
    <row r="6000" spans="1:8">
      <c r="A6000" s="696"/>
      <c r="B6000" s="469"/>
      <c r="C6000" s="458"/>
      <c r="D6000" s="456">
        <v>0</v>
      </c>
      <c r="E6000" s="456">
        <v>0</v>
      </c>
      <c r="F6000" s="456"/>
      <c r="G6000" s="456"/>
      <c r="H6000" s="456"/>
    </row>
    <row r="6001" spans="1:8">
      <c r="A6001" s="696"/>
      <c r="B6001" s="469"/>
      <c r="C6001" s="458"/>
      <c r="D6001" s="456">
        <v>0</v>
      </c>
      <c r="E6001" s="456">
        <v>0</v>
      </c>
      <c r="F6001" s="456"/>
      <c r="G6001" s="456"/>
      <c r="H6001" s="456"/>
    </row>
    <row r="6002" spans="1:8">
      <c r="A6002" s="696"/>
      <c r="B6002" s="469"/>
      <c r="C6002" s="458"/>
      <c r="D6002" s="456">
        <v>0</v>
      </c>
      <c r="E6002" s="456">
        <v>0</v>
      </c>
      <c r="F6002" s="456"/>
      <c r="G6002" s="456"/>
      <c r="H6002" s="456"/>
    </row>
    <row r="6003" spans="1:8">
      <c r="A6003" s="696"/>
      <c r="B6003" s="469"/>
      <c r="C6003" s="458"/>
      <c r="D6003" s="456" t="s">
        <v>5801</v>
      </c>
      <c r="E6003" s="456">
        <v>58</v>
      </c>
      <c r="F6003" s="456"/>
      <c r="G6003" s="456"/>
      <c r="H6003" s="456"/>
    </row>
    <row r="6004" spans="1:8">
      <c r="A6004" s="696"/>
      <c r="B6004" s="469"/>
      <c r="C6004" s="458"/>
      <c r="D6004" s="456">
        <v>0</v>
      </c>
      <c r="E6004" s="456">
        <v>0</v>
      </c>
      <c r="F6004" s="456"/>
      <c r="G6004" s="456"/>
      <c r="H6004" s="456"/>
    </row>
    <row r="6005" spans="1:8">
      <c r="A6005" s="696"/>
      <c r="B6005" s="469"/>
      <c r="C6005" s="458"/>
      <c r="D6005" s="456">
        <v>0</v>
      </c>
      <c r="E6005" s="456">
        <v>0</v>
      </c>
      <c r="F6005" s="456"/>
      <c r="G6005" s="456"/>
      <c r="H6005" s="456"/>
    </row>
    <row r="6006" spans="1:8">
      <c r="A6006" s="696"/>
      <c r="B6006" s="469"/>
      <c r="C6006" s="458"/>
      <c r="D6006" s="456">
        <v>0</v>
      </c>
      <c r="E6006" s="456">
        <v>0</v>
      </c>
      <c r="F6006" s="456"/>
      <c r="G6006" s="456"/>
      <c r="H6006" s="456"/>
    </row>
    <row r="6007" spans="1:8">
      <c r="A6007" s="696"/>
      <c r="B6007" s="469"/>
      <c r="C6007" s="458"/>
      <c r="D6007" s="456" t="s">
        <v>5801</v>
      </c>
      <c r="E6007" s="456">
        <v>36</v>
      </c>
      <c r="F6007" s="456"/>
      <c r="G6007" s="456"/>
      <c r="H6007" s="456"/>
    </row>
    <row r="6008" spans="1:8">
      <c r="A6008" s="696"/>
      <c r="B6008" s="469"/>
      <c r="C6008" s="458"/>
      <c r="D6008" s="456" t="s">
        <v>5801</v>
      </c>
      <c r="E6008" s="456">
        <v>40</v>
      </c>
      <c r="F6008" s="456"/>
      <c r="G6008" s="456"/>
      <c r="H6008" s="456"/>
    </row>
    <row r="6009" spans="1:8">
      <c r="A6009" s="696"/>
      <c r="B6009" s="469"/>
      <c r="C6009" s="458"/>
      <c r="D6009" s="456">
        <v>0</v>
      </c>
      <c r="E6009" s="456">
        <v>0</v>
      </c>
      <c r="F6009" s="456"/>
      <c r="G6009" s="456"/>
      <c r="H6009" s="456"/>
    </row>
    <row r="6010" spans="1:8">
      <c r="A6010" s="696"/>
      <c r="B6010" s="469"/>
      <c r="C6010" s="458"/>
      <c r="D6010" s="456" t="s">
        <v>5801</v>
      </c>
      <c r="E6010" s="456">
        <v>42</v>
      </c>
      <c r="F6010" s="456"/>
      <c r="G6010" s="456"/>
      <c r="H6010" s="456"/>
    </row>
    <row r="6011" spans="1:8">
      <c r="A6011" s="696"/>
      <c r="B6011" s="469"/>
      <c r="C6011" s="458"/>
      <c r="D6011" s="456" t="s">
        <v>5801</v>
      </c>
      <c r="E6011" s="456">
        <v>42</v>
      </c>
      <c r="F6011" s="456"/>
      <c r="G6011" s="456"/>
      <c r="H6011" s="456"/>
    </row>
    <row r="6012" spans="1:8">
      <c r="A6012" s="696"/>
      <c r="B6012" s="469"/>
      <c r="C6012" s="458"/>
      <c r="D6012" s="456">
        <v>0</v>
      </c>
      <c r="E6012" s="456">
        <v>0</v>
      </c>
      <c r="F6012" s="456"/>
      <c r="G6012" s="456"/>
      <c r="H6012" s="456"/>
    </row>
    <row r="6013" spans="1:8">
      <c r="A6013" s="696"/>
      <c r="B6013" s="469"/>
      <c r="C6013" s="458"/>
      <c r="D6013" s="456">
        <v>0</v>
      </c>
      <c r="E6013" s="456">
        <v>0</v>
      </c>
      <c r="F6013" s="456"/>
      <c r="G6013" s="456"/>
      <c r="H6013" s="456"/>
    </row>
    <row r="6014" spans="1:8">
      <c r="A6014" s="696"/>
      <c r="B6014" s="469"/>
      <c r="C6014" s="458"/>
      <c r="D6014" s="456">
        <v>0</v>
      </c>
      <c r="E6014" s="456">
        <v>0</v>
      </c>
      <c r="F6014" s="456"/>
      <c r="G6014" s="456"/>
      <c r="H6014" s="456"/>
    </row>
    <row r="6015" spans="1:8">
      <c r="A6015" s="696"/>
      <c r="B6015" s="469"/>
      <c r="C6015" s="458"/>
      <c r="D6015" s="456">
        <v>0</v>
      </c>
      <c r="E6015" s="456">
        <v>0</v>
      </c>
      <c r="F6015" s="456"/>
      <c r="G6015" s="456"/>
      <c r="H6015" s="456"/>
    </row>
    <row r="6016" spans="1:8">
      <c r="A6016" s="696"/>
      <c r="B6016" s="469"/>
      <c r="C6016" s="458"/>
      <c r="D6016" s="456">
        <v>0</v>
      </c>
      <c r="E6016" s="456">
        <v>0</v>
      </c>
      <c r="F6016" s="456"/>
      <c r="G6016" s="456"/>
      <c r="H6016" s="456"/>
    </row>
    <row r="6017" spans="1:8">
      <c r="A6017" s="696"/>
      <c r="B6017" s="469"/>
      <c r="C6017" s="458"/>
      <c r="D6017" s="456">
        <v>0</v>
      </c>
      <c r="E6017" s="456">
        <v>0</v>
      </c>
      <c r="F6017" s="456"/>
      <c r="G6017" s="456"/>
      <c r="H6017" s="456"/>
    </row>
    <row r="6018" spans="1:8">
      <c r="A6018" s="696"/>
      <c r="B6018" s="469"/>
      <c r="C6018" s="458"/>
      <c r="D6018" s="456">
        <v>0</v>
      </c>
      <c r="E6018" s="456">
        <v>0</v>
      </c>
      <c r="F6018" s="456"/>
      <c r="G6018" s="456"/>
      <c r="H6018" s="456"/>
    </row>
    <row r="6019" spans="1:8">
      <c r="A6019" s="696"/>
      <c r="B6019" s="469"/>
      <c r="C6019" s="458"/>
      <c r="D6019" s="456">
        <v>0</v>
      </c>
      <c r="E6019" s="456">
        <v>0</v>
      </c>
      <c r="F6019" s="456"/>
      <c r="G6019" s="456"/>
      <c r="H6019" s="456"/>
    </row>
    <row r="6020" spans="1:8">
      <c r="A6020" s="698"/>
      <c r="B6020" s="1113"/>
      <c r="C6020" s="693"/>
      <c r="D6020" s="692"/>
      <c r="E6020" s="692"/>
      <c r="F6020" s="692"/>
      <c r="G6020" s="692"/>
      <c r="H6020" s="694"/>
    </row>
    <row r="6021" spans="1:8">
      <c r="A6021" s="565"/>
      <c r="B6021" s="495"/>
      <c r="C6021" s="464"/>
      <c r="D6021" s="470"/>
      <c r="E6021" s="470"/>
      <c r="F6021" s="470"/>
      <c r="G6021" s="470"/>
      <c r="H6021" s="470"/>
    </row>
  </sheetData>
  <sheetProtection algorithmName="SHA-512" hashValue="2UyvDuubAz/91DT6RxSVrxv9TV7HsyBMhKGIoOs4hOtJe6zs8bcc/0MvCnQzVxAsYibFIYna1mUTwQVeQSRjtQ==" saltValue="1ACpjS9ZZT5I3IqZEYeB/g==" spinCount="100000" sheet="1" selectLockedCells="1" sort="0" autoFilter="0" selectUnlockedCells="1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3">
    <mergeCell ref="F2:H2"/>
    <mergeCell ref="A1:C2"/>
    <mergeCell ref="A3:H3"/>
  </mergeCells>
  <phoneticPr fontId="33" type="noConversion"/>
  <conditionalFormatting sqref="J3236:J3250">
    <cfRule type="duplicateValues" dxfId="32" priority="1"/>
  </conditionalFormatting>
  <conditionalFormatting sqref="B4:B3892 B3897:B6020">
    <cfRule type="duplicateValues" dxfId="31" priority="10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3418"/>
  <sheetViews>
    <sheetView workbookViewId="0">
      <pane ySplit="3" topLeftCell="A1854" activePane="bottomLeft" state="frozen"/>
      <selection activeCell="A3" sqref="A3"/>
      <selection pane="bottomLeft" activeCell="B1867" sqref="B1867:H1868"/>
    </sheetView>
  </sheetViews>
  <sheetFormatPr defaultRowHeight="13.5" customHeight="1" outlineLevelCol="1"/>
  <cols>
    <col min="1" max="1" width="9.1796875" style="25"/>
    <col min="2" max="2" width="31.453125" bestFit="1" customWidth="1"/>
    <col min="3" max="3" width="11" style="28" customWidth="1"/>
    <col min="4" max="4" width="18.26953125" style="28" customWidth="1" outlineLevel="1"/>
    <col min="5" max="5" width="17.26953125" style="28" customWidth="1" outlineLevel="1"/>
    <col min="6" max="6" width="9.54296875" style="28" customWidth="1" outlineLevel="1"/>
    <col min="7" max="7" width="11.54296875" style="28" customWidth="1" outlineLevel="1"/>
    <col min="8" max="8" width="8.81640625" customWidth="1" outlineLevel="1"/>
    <col min="9" max="9" width="23.1796875" customWidth="1"/>
  </cols>
  <sheetData>
    <row r="1" spans="1:8" ht="21.5" hidden="1" thickBot="1">
      <c r="A1" s="254" t="s">
        <v>4722</v>
      </c>
      <c r="B1" s="254"/>
      <c r="C1" s="467"/>
      <c r="E1" s="45">
        <v>2025</v>
      </c>
      <c r="F1" s="28">
        <f>COUNT(Table10[Year])</f>
        <v>863</v>
      </c>
      <c r="G1" s="28">
        <f>COUNT(Table10[Month])</f>
        <v>798</v>
      </c>
      <c r="H1" s="28">
        <f>COUNT(Table10[Day])</f>
        <v>799</v>
      </c>
    </row>
    <row r="2" spans="1:8" ht="25" thickBot="1">
      <c r="A2" s="1262" t="s">
        <v>5497</v>
      </c>
      <c r="B2" s="1262"/>
      <c r="C2" s="1262"/>
      <c r="D2" s="255">
        <f>Tournaments!F3</f>
        <v>46113</v>
      </c>
      <c r="E2" s="256"/>
      <c r="F2" s="1259" t="s">
        <v>371</v>
      </c>
      <c r="G2" s="1260"/>
      <c r="H2" s="1261"/>
    </row>
    <row r="3" spans="1:8" ht="126.75" customHeight="1">
      <c r="A3" s="1263"/>
      <c r="B3" s="1263"/>
      <c r="C3" s="1263"/>
      <c r="D3" s="1263"/>
      <c r="E3" s="1263"/>
      <c r="F3" s="1263"/>
      <c r="G3" s="1263"/>
      <c r="H3" s="1264"/>
    </row>
    <row r="4" spans="1:8" ht="13.5" customHeight="1">
      <c r="A4" s="582" t="s">
        <v>189</v>
      </c>
      <c r="B4" s="583" t="s">
        <v>5512</v>
      </c>
      <c r="C4" s="582" t="s">
        <v>242</v>
      </c>
      <c r="D4" s="582" t="s">
        <v>706</v>
      </c>
      <c r="E4" s="582" t="s">
        <v>372</v>
      </c>
      <c r="F4" s="565" t="s">
        <v>373</v>
      </c>
      <c r="G4" s="565" t="s">
        <v>374</v>
      </c>
      <c r="H4" s="565" t="s">
        <v>375</v>
      </c>
    </row>
    <row r="5" spans="1:8" ht="13.5" customHeight="1">
      <c r="A5" s="471">
        <v>7001</v>
      </c>
      <c r="B5" s="540" t="s">
        <v>1013</v>
      </c>
      <c r="C5" s="471" t="s">
        <v>4720</v>
      </c>
      <c r="D5" s="456">
        <f>IF(Table11[[#This Row],[Current Age]]&gt;19,"Women's",IF(E5&gt;15,"U19",IF(E5&gt;13,"U15",IF(E5&gt;11,"U13",IF(E5&gt;0,"U11",0)))))</f>
        <v>0</v>
      </c>
      <c r="E5" s="456">
        <f>IFERROR(IF(Table11[[#This Row],[Year]]&gt;0,$E$1-Table11[[#This Row],[Year]],0),"")</f>
        <v>0</v>
      </c>
      <c r="F5" s="456"/>
      <c r="G5" s="456"/>
      <c r="H5" s="456"/>
    </row>
    <row r="6" spans="1:8" ht="13.5" customHeight="1">
      <c r="A6" s="456">
        <v>7002</v>
      </c>
      <c r="B6" s="457" t="s">
        <v>1014</v>
      </c>
      <c r="C6" s="456" t="s">
        <v>4658</v>
      </c>
      <c r="D6" s="456">
        <f>IF(Table11[[#This Row],[Current Age]]&gt;19,"Women's",IF(E6&gt;15,"U19",IF(E6&gt;13,"U15",IF(E6&gt;11,"U13",IF(E6&gt;0,"U11",0)))))</f>
        <v>0</v>
      </c>
      <c r="E6" s="456">
        <f>IFERROR(IF(Table11[[#This Row],[Year]]&gt;0,$E$1-Table11[[#This Row],[Year]],0),"")</f>
        <v>0</v>
      </c>
      <c r="F6" s="456"/>
      <c r="G6" s="456"/>
      <c r="H6" s="456"/>
    </row>
    <row r="7" spans="1:8" ht="13.5" customHeight="1">
      <c r="A7" s="471">
        <v>7003</v>
      </c>
      <c r="B7" s="540" t="s">
        <v>1015</v>
      </c>
      <c r="C7" s="471" t="s">
        <v>361</v>
      </c>
      <c r="D7" s="456" t="str">
        <f>IF(Table11[[#This Row],[Current Age]]&gt;19,"Women's",IF(E7&gt;15,"U19",IF(E7&gt;13,"U15",IF(E7&gt;11,"U13",IF(E7&gt;0,"U11",0)))))</f>
        <v>Women's</v>
      </c>
      <c r="E7" s="456">
        <f>IFERROR(IF(Table11[[#This Row],[Year]]&gt;0,$E$1-Table11[[#This Row],[Year]],0),"")</f>
        <v>25</v>
      </c>
      <c r="F7" s="456">
        <v>2000</v>
      </c>
      <c r="G7" s="456">
        <v>2</v>
      </c>
      <c r="H7" s="456">
        <v>2</v>
      </c>
    </row>
    <row r="8" spans="1:8" ht="13.5" customHeight="1">
      <c r="A8" s="456">
        <v>7004</v>
      </c>
      <c r="B8" s="457" t="s">
        <v>1016</v>
      </c>
      <c r="C8" s="456" t="s">
        <v>244</v>
      </c>
      <c r="D8" s="456">
        <f>IF(Table11[[#This Row],[Current Age]]&gt;19,"Women's",IF(E8&gt;15,"U19",IF(E8&gt;13,"U15",IF(E8&gt;11,"U13",IF(E8&gt;0,"U11",0)))))</f>
        <v>0</v>
      </c>
      <c r="E8" s="456">
        <f>IFERROR(IF(Table11[[#This Row],[Year]]&gt;0,$E$1-Table11[[#This Row],[Year]],0),"")</f>
        <v>0</v>
      </c>
      <c r="F8" s="456"/>
      <c r="G8" s="456"/>
      <c r="H8" s="456"/>
    </row>
    <row r="9" spans="1:8" ht="13.5" customHeight="1">
      <c r="A9" s="471">
        <v>7005</v>
      </c>
      <c r="B9" s="540" t="s">
        <v>1017</v>
      </c>
      <c r="C9" s="471" t="s">
        <v>4720</v>
      </c>
      <c r="D9" s="456" t="str">
        <f>IF(Table11[[#This Row],[Current Age]]&gt;19,"Women's",IF(E9&gt;15,"U19",IF(E9&gt;13,"U15",IF(E9&gt;11,"U13",IF(E9&gt;0,"U11",0)))))</f>
        <v>Women's</v>
      </c>
      <c r="E9" s="456">
        <f>IFERROR(IF(Table11[[#This Row],[Year]]&gt;0,$E$1-Table11[[#This Row],[Year]],0),"")</f>
        <v>25</v>
      </c>
      <c r="F9" s="456">
        <v>2000</v>
      </c>
      <c r="G9" s="456">
        <v>10</v>
      </c>
      <c r="H9" s="456">
        <v>11</v>
      </c>
    </row>
    <row r="10" spans="1:8" ht="13.5" customHeight="1">
      <c r="A10" s="456">
        <v>7006</v>
      </c>
      <c r="B10" s="457" t="s">
        <v>1018</v>
      </c>
      <c r="C10" s="456" t="s">
        <v>247</v>
      </c>
      <c r="D10" s="456" t="str">
        <f>IF(Table11[[#This Row],[Current Age]]&gt;19,"Women's",IF(E10&gt;15,"U19",IF(E10&gt;13,"U15",IF(E10&gt;11,"U13",IF(E10&gt;0,"U11",0)))))</f>
        <v>Women's</v>
      </c>
      <c r="E10" s="456">
        <f>IFERROR(IF(Table11[[#This Row],[Year]]&gt;0,$E$1-Table11[[#This Row],[Year]],0),"")</f>
        <v>28</v>
      </c>
      <c r="F10" s="456">
        <v>1997</v>
      </c>
      <c r="G10" s="456">
        <v>2</v>
      </c>
      <c r="H10" s="456">
        <v>12</v>
      </c>
    </row>
    <row r="11" spans="1:8" ht="13.5" customHeight="1">
      <c r="A11" s="471">
        <v>7007</v>
      </c>
      <c r="B11" s="540" t="s">
        <v>1296</v>
      </c>
      <c r="C11" s="471" t="s">
        <v>361</v>
      </c>
      <c r="D11" s="456">
        <f>IF(Table11[[#This Row],[Current Age]]&gt;19,"Women's",IF(E11&gt;15,"U19",IF(E11&gt;13,"U15",IF(E11&gt;11,"U13",IF(E11&gt;0,"U11",0)))))</f>
        <v>0</v>
      </c>
      <c r="E11" s="456">
        <f>IFERROR(IF(Table11[[#This Row],[Year]]&gt;0,$E$1-Table11[[#This Row],[Year]],0),"")</f>
        <v>0</v>
      </c>
      <c r="F11" s="456"/>
      <c r="G11" s="456"/>
      <c r="H11" s="456"/>
    </row>
    <row r="12" spans="1:8" ht="13.5" customHeight="1">
      <c r="A12" s="456">
        <v>7008</v>
      </c>
      <c r="B12" s="457" t="s">
        <v>1019</v>
      </c>
      <c r="C12" s="456" t="s">
        <v>248</v>
      </c>
      <c r="D12" s="456">
        <f>IF(Table11[[#This Row],[Current Age]]&gt;19,"Women's",IF(E12&gt;15,"U19",IF(E12&gt;13,"U15",IF(E12&gt;11,"U13",IF(E12&gt;0,"U11",0)))))</f>
        <v>0</v>
      </c>
      <c r="E12" s="456">
        <f>IFERROR(IF(Table11[[#This Row],[Year]]&gt;0,$E$1-Table11[[#This Row],[Year]],0),"")</f>
        <v>0</v>
      </c>
      <c r="F12" s="456"/>
      <c r="G12" s="456"/>
      <c r="H12" s="456"/>
    </row>
    <row r="13" spans="1:8" ht="13.5" customHeight="1">
      <c r="A13" s="471">
        <v>7009</v>
      </c>
      <c r="B13" s="540" t="s">
        <v>1020</v>
      </c>
      <c r="C13" s="471" t="s">
        <v>247</v>
      </c>
      <c r="D13" s="456" t="str">
        <f>IF(Table11[[#This Row],[Current Age]]&gt;19,"Women's",IF(E13&gt;15,"U19",IF(E13&gt;13,"U15",IF(E13&gt;11,"U13",IF(E13&gt;0,"U11",0)))))</f>
        <v>Women's</v>
      </c>
      <c r="E13" s="456">
        <f>IFERROR(IF(Table11[[#This Row],[Year]]&gt;0,$E$1-Table11[[#This Row],[Year]],0),"")</f>
        <v>41</v>
      </c>
      <c r="F13" s="456">
        <v>1984</v>
      </c>
      <c r="G13" s="456">
        <v>3</v>
      </c>
      <c r="H13" s="456">
        <v>9</v>
      </c>
    </row>
    <row r="14" spans="1:8" ht="13.5" customHeight="1">
      <c r="A14" s="456">
        <v>7010</v>
      </c>
      <c r="B14" s="457" t="s">
        <v>1021</v>
      </c>
      <c r="C14" s="456" t="s">
        <v>248</v>
      </c>
      <c r="D14" s="456">
        <f>IF(Table11[[#This Row],[Current Age]]&gt;19,"Women's",IF(E14&gt;15,"U19",IF(E14&gt;13,"U15",IF(E14&gt;11,"U13",IF(E14&gt;0,"U11",0)))))</f>
        <v>0</v>
      </c>
      <c r="E14" s="456">
        <f>IFERROR(IF(Table11[[#This Row],[Year]]&gt;0,$E$1-Table11[[#This Row],[Year]],0),"")</f>
        <v>0</v>
      </c>
      <c r="F14" s="456"/>
      <c r="G14" s="456"/>
      <c r="H14" s="456"/>
    </row>
    <row r="15" spans="1:8" ht="13.5" customHeight="1">
      <c r="A15" s="471">
        <v>7011</v>
      </c>
      <c r="B15" s="540" t="s">
        <v>1022</v>
      </c>
      <c r="C15" s="471" t="s">
        <v>252</v>
      </c>
      <c r="D15" s="456">
        <f>IF(Table11[[#This Row],[Current Age]]&gt;19,"Women's",IF(E15&gt;15,"U19",IF(E15&gt;13,"U15",IF(E15&gt;11,"U13",IF(E15&gt;0,"U11",0)))))</f>
        <v>0</v>
      </c>
      <c r="E15" s="456">
        <f>IFERROR(IF(Table11[[#This Row],[Year]]&gt;0,$E$1-Table11[[#This Row],[Year]],0),"")</f>
        <v>0</v>
      </c>
      <c r="F15" s="456"/>
      <c r="G15" s="456"/>
      <c r="H15" s="456"/>
    </row>
    <row r="16" spans="1:8" ht="13.5" customHeight="1">
      <c r="A16" s="456">
        <v>7012</v>
      </c>
      <c r="B16" s="457" t="s">
        <v>1023</v>
      </c>
      <c r="C16" s="456" t="s">
        <v>4720</v>
      </c>
      <c r="D16" s="456" t="str">
        <f>IF(Table11[[#This Row],[Current Age]]&gt;19,"Women's",IF(E16&gt;15,"U19",IF(E16&gt;13,"U15",IF(E16&gt;11,"U13",IF(E16&gt;0,"U11",0)))))</f>
        <v>Women's</v>
      </c>
      <c r="E16" s="456">
        <f>IFERROR(IF(Table11[[#This Row],[Year]]&gt;0,$E$1-Table11[[#This Row],[Year]],0),"")</f>
        <v>24</v>
      </c>
      <c r="F16" s="456">
        <v>2001</v>
      </c>
      <c r="G16" s="456">
        <v>1</v>
      </c>
      <c r="H16" s="456">
        <v>13</v>
      </c>
    </row>
    <row r="17" spans="1:8" ht="13.5" customHeight="1">
      <c r="A17" s="471">
        <v>7013</v>
      </c>
      <c r="B17" s="540" t="s">
        <v>1024</v>
      </c>
      <c r="C17" s="471" t="s">
        <v>361</v>
      </c>
      <c r="D17" s="456" t="str">
        <f>IF(Table11[[#This Row],[Current Age]]&gt;19,"Women's",IF(E17&gt;15,"U19",IF(E17&gt;13,"U15",IF(E17&gt;11,"U13",IF(E17&gt;0,"U11",0)))))</f>
        <v>Women's</v>
      </c>
      <c r="E17" s="456">
        <f>IFERROR(IF(Table11[[#This Row],[Year]]&gt;0,$E$1-Table11[[#This Row],[Year]],0),"")</f>
        <v>25</v>
      </c>
      <c r="F17" s="456">
        <v>2000</v>
      </c>
      <c r="G17" s="456">
        <v>4</v>
      </c>
      <c r="H17" s="456">
        <v>17</v>
      </c>
    </row>
    <row r="18" spans="1:8" ht="13.5" customHeight="1">
      <c r="A18" s="456">
        <v>7014</v>
      </c>
      <c r="B18" s="457" t="s">
        <v>1025</v>
      </c>
      <c r="C18" s="456" t="s">
        <v>361</v>
      </c>
      <c r="D18" s="456">
        <f>IF(Table11[[#This Row],[Current Age]]&gt;19,"Women's",IF(E18&gt;15,"U19",IF(E18&gt;13,"U15",IF(E18&gt;11,"U13",IF(E18&gt;0,"U11",0)))))</f>
        <v>0</v>
      </c>
      <c r="E18" s="456">
        <f>IFERROR(IF(Table11[[#This Row],[Year]]&gt;0,$E$1-Table11[[#This Row],[Year]],0),"")</f>
        <v>0</v>
      </c>
      <c r="F18" s="456"/>
      <c r="G18" s="456"/>
      <c r="H18" s="456"/>
    </row>
    <row r="19" spans="1:8" ht="13.5" customHeight="1">
      <c r="A19" s="471">
        <v>7015</v>
      </c>
      <c r="B19" s="540" t="s">
        <v>1026</v>
      </c>
      <c r="C19" s="471" t="s">
        <v>4720</v>
      </c>
      <c r="D19" s="456">
        <f>IF(Table11[[#This Row],[Current Age]]&gt;19,"Women's",IF(E19&gt;15,"U19",IF(E19&gt;13,"U15",IF(E19&gt;11,"U13",IF(E19&gt;0,"U11",0)))))</f>
        <v>0</v>
      </c>
      <c r="E19" s="456">
        <f>IFERROR(IF(Table11[[#This Row],[Year]]&gt;0,$E$1-Table11[[#This Row],[Year]],0),"")</f>
        <v>0</v>
      </c>
      <c r="F19" s="456"/>
      <c r="G19" s="456"/>
      <c r="H19" s="456"/>
    </row>
    <row r="20" spans="1:8" ht="13.5" customHeight="1">
      <c r="A20" s="456">
        <v>7016</v>
      </c>
      <c r="B20" s="457" t="s">
        <v>1027</v>
      </c>
      <c r="C20" s="456" t="s">
        <v>3750</v>
      </c>
      <c r="D20" s="456">
        <f>IF(Table11[[#This Row],[Current Age]]&gt;19,"Women's",IF(E20&gt;15,"U19",IF(E20&gt;13,"U15",IF(E20&gt;11,"U13",IF(E20&gt;0,"U11",0)))))</f>
        <v>0</v>
      </c>
      <c r="E20" s="456">
        <f>IFERROR(IF(Table11[[#This Row],[Year]]&gt;0,$E$1-Table11[[#This Row],[Year]],0),"")</f>
        <v>0</v>
      </c>
      <c r="F20" s="456"/>
      <c r="G20" s="456"/>
      <c r="H20" s="456"/>
    </row>
    <row r="21" spans="1:8" ht="13.5" customHeight="1">
      <c r="A21" s="471">
        <v>7017</v>
      </c>
      <c r="B21" s="540" t="s">
        <v>1297</v>
      </c>
      <c r="C21" s="471" t="s">
        <v>246</v>
      </c>
      <c r="D21" s="456">
        <f>IF(Table11[[#This Row],[Current Age]]&gt;19,"Women's",IF(E21&gt;15,"U19",IF(E21&gt;13,"U15",IF(E21&gt;11,"U13",IF(E21&gt;0,"U11",0)))))</f>
        <v>0</v>
      </c>
      <c r="E21" s="456">
        <f>IFERROR(IF(Table11[[#This Row],[Year]]&gt;0,$E$1-Table11[[#This Row],[Year]],0),"")</f>
        <v>0</v>
      </c>
      <c r="F21" s="456"/>
      <c r="G21" s="456"/>
      <c r="H21" s="456"/>
    </row>
    <row r="22" spans="1:8" ht="13.5" customHeight="1">
      <c r="A22" s="456">
        <v>7018</v>
      </c>
      <c r="B22" s="457" t="s">
        <v>257</v>
      </c>
      <c r="C22" s="456" t="s">
        <v>256</v>
      </c>
      <c r="D22" s="456">
        <f>IF(Table11[[#This Row],[Current Age]]&gt;19,"Women's",IF(E22&gt;15,"U19",IF(E22&gt;13,"U15",IF(E22&gt;11,"U13",IF(E22&gt;0,"U11",0)))))</f>
        <v>0</v>
      </c>
      <c r="E22" s="456">
        <f>IFERROR(IF(Table11[[#This Row],[Year]]&gt;0,$E$1-Table11[[#This Row],[Year]],0),"")</f>
        <v>0</v>
      </c>
      <c r="F22" s="456"/>
      <c r="G22" s="456"/>
      <c r="H22" s="456"/>
    </row>
    <row r="23" spans="1:8" ht="13.5" customHeight="1">
      <c r="A23" s="471">
        <v>7019</v>
      </c>
      <c r="B23" s="540" t="s">
        <v>1028</v>
      </c>
      <c r="C23" s="471" t="s">
        <v>248</v>
      </c>
      <c r="D23" s="456">
        <f>IF(Table11[[#This Row],[Current Age]]&gt;19,"Women's",IF(E23&gt;15,"U19",IF(E23&gt;13,"U15",IF(E23&gt;11,"U13",IF(E23&gt;0,"U11",0)))))</f>
        <v>0</v>
      </c>
      <c r="E23" s="456">
        <f>IFERROR(IF(Table11[[#This Row],[Year]]&gt;0,$E$1-Table11[[#This Row],[Year]],0),"")</f>
        <v>0</v>
      </c>
      <c r="F23" s="456"/>
      <c r="G23" s="456"/>
      <c r="H23" s="456"/>
    </row>
    <row r="24" spans="1:8" ht="13.5" customHeight="1">
      <c r="A24" s="456">
        <v>7020</v>
      </c>
      <c r="B24" s="457" t="s">
        <v>1029</v>
      </c>
      <c r="C24" s="456" t="s">
        <v>251</v>
      </c>
      <c r="D24" s="456">
        <f>IF(Table11[[#This Row],[Current Age]]&gt;19,"Women's",IF(E24&gt;15,"U19",IF(E24&gt;13,"U15",IF(E24&gt;11,"U13",IF(E24&gt;0,"U11",0)))))</f>
        <v>0</v>
      </c>
      <c r="E24" s="456">
        <f>IFERROR(IF(Table11[[#This Row],[Year]]&gt;0,$E$1-Table11[[#This Row],[Year]],0),"")</f>
        <v>0</v>
      </c>
      <c r="F24" s="456"/>
      <c r="G24" s="456"/>
      <c r="H24" s="456"/>
    </row>
    <row r="25" spans="1:8" ht="13.5" customHeight="1">
      <c r="A25" s="471">
        <v>7021</v>
      </c>
      <c r="B25" s="540" t="s">
        <v>1030</v>
      </c>
      <c r="C25" s="471" t="s">
        <v>244</v>
      </c>
      <c r="D25" s="456">
        <f>IF(Table11[[#This Row],[Current Age]]&gt;19,"Women's",IF(E25&gt;15,"U19",IF(E25&gt;13,"U15",IF(E25&gt;11,"U13",IF(E25&gt;0,"U11",0)))))</f>
        <v>0</v>
      </c>
      <c r="E25" s="456">
        <f>IFERROR(IF(Table11[[#This Row],[Year]]&gt;0,$E$1-Table11[[#This Row],[Year]],0),"")</f>
        <v>0</v>
      </c>
      <c r="F25" s="456"/>
      <c r="G25" s="456"/>
      <c r="H25" s="456"/>
    </row>
    <row r="26" spans="1:8" ht="13.5" customHeight="1">
      <c r="A26" s="456">
        <v>7022</v>
      </c>
      <c r="B26" s="457" t="s">
        <v>1298</v>
      </c>
      <c r="C26" s="456" t="s">
        <v>246</v>
      </c>
      <c r="D26" s="456">
        <f>IF(Table11[[#This Row],[Current Age]]&gt;19,"Women's",IF(E26&gt;15,"U19",IF(E26&gt;13,"U15",IF(E26&gt;11,"U13",IF(E26&gt;0,"U11",0)))))</f>
        <v>0</v>
      </c>
      <c r="E26" s="456">
        <f>IFERROR(IF(Table11[[#This Row],[Year]]&gt;0,$E$1-Table11[[#This Row],[Year]],0),"")</f>
        <v>0</v>
      </c>
      <c r="F26" s="456"/>
      <c r="G26" s="456"/>
      <c r="H26" s="456"/>
    </row>
    <row r="27" spans="1:8" ht="13.5" customHeight="1">
      <c r="A27" s="471">
        <v>7023</v>
      </c>
      <c r="B27" s="540" t="s">
        <v>1031</v>
      </c>
      <c r="C27" s="471" t="s">
        <v>244</v>
      </c>
      <c r="D27" s="456">
        <f>IF(Table11[[#This Row],[Current Age]]&gt;19,"Women's",IF(E27&gt;15,"U19",IF(E27&gt;13,"U15",IF(E27&gt;11,"U13",IF(E27&gt;0,"U11",0)))))</f>
        <v>0</v>
      </c>
      <c r="E27" s="456">
        <f>IFERROR(IF(Table11[[#This Row],[Year]]&gt;0,$E$1-Table11[[#This Row],[Year]],0),"")</f>
        <v>0</v>
      </c>
      <c r="F27" s="456"/>
      <c r="G27" s="456"/>
      <c r="H27" s="456"/>
    </row>
    <row r="28" spans="1:8" ht="13.5" customHeight="1">
      <c r="A28" s="456">
        <v>7024</v>
      </c>
      <c r="B28" s="457" t="s">
        <v>2466</v>
      </c>
      <c r="C28" s="456" t="s">
        <v>361</v>
      </c>
      <c r="D28" s="456" t="str">
        <f>IF(Table11[[#This Row],[Current Age]]&gt;19,"Women's",IF(E28&gt;15,"U19",IF(E28&gt;13,"U15",IF(E28&gt;11,"U13",IF(E28&gt;0,"U11",0)))))</f>
        <v>Women's</v>
      </c>
      <c r="E28" s="456">
        <f>IFERROR(IF(Table11[[#This Row],[Year]]&gt;0,$E$1-Table11[[#This Row],[Year]],0),"")</f>
        <v>29</v>
      </c>
      <c r="F28" s="456">
        <v>1996</v>
      </c>
      <c r="G28" s="456">
        <v>3</v>
      </c>
      <c r="H28" s="456">
        <v>22</v>
      </c>
    </row>
    <row r="29" spans="1:8" ht="13.5" customHeight="1">
      <c r="A29" s="471">
        <v>7025</v>
      </c>
      <c r="B29" s="540" t="s">
        <v>1032</v>
      </c>
      <c r="C29" s="471" t="s">
        <v>4720</v>
      </c>
      <c r="D29" s="456">
        <f>IF(Table11[[#This Row],[Current Age]]&gt;19,"Women's",IF(E29&gt;15,"U19",IF(E29&gt;13,"U15",IF(E29&gt;11,"U13",IF(E29&gt;0,"U11",0)))))</f>
        <v>0</v>
      </c>
      <c r="E29" s="456">
        <f>IFERROR(IF(Table11[[#This Row],[Year]]&gt;0,$E$1-Table11[[#This Row],[Year]],0),"")</f>
        <v>0</v>
      </c>
      <c r="F29" s="456"/>
      <c r="G29" s="456"/>
      <c r="H29" s="456"/>
    </row>
    <row r="30" spans="1:8" ht="13.5" customHeight="1">
      <c r="A30" s="456">
        <v>7026</v>
      </c>
      <c r="B30" s="457" t="s">
        <v>1033</v>
      </c>
      <c r="C30" s="456" t="s">
        <v>762</v>
      </c>
      <c r="D30" s="456">
        <f>IF(Table11[[#This Row],[Current Age]]&gt;19,"Women's",IF(E30&gt;15,"U19",IF(E30&gt;13,"U15",IF(E30&gt;11,"U13",IF(E30&gt;0,"U11",0)))))</f>
        <v>0</v>
      </c>
      <c r="E30" s="456">
        <f>IFERROR(IF(Table11[[#This Row],[Year]]&gt;0,$E$1-Table11[[#This Row],[Year]],0),"")</f>
        <v>0</v>
      </c>
      <c r="F30" s="456"/>
      <c r="G30" s="456"/>
      <c r="H30" s="456"/>
    </row>
    <row r="31" spans="1:8" ht="13.5" customHeight="1">
      <c r="A31" s="471">
        <v>7027</v>
      </c>
      <c r="B31" s="540" t="s">
        <v>1034</v>
      </c>
      <c r="C31" s="471" t="s">
        <v>762</v>
      </c>
      <c r="D31" s="456">
        <f>IF(Table11[[#This Row],[Current Age]]&gt;19,"Women's",IF(E31&gt;15,"U19",IF(E31&gt;13,"U15",IF(E31&gt;11,"U13",IF(E31&gt;0,"U11",0)))))</f>
        <v>0</v>
      </c>
      <c r="E31" s="456">
        <f>IFERROR(IF(Table11[[#This Row],[Year]]&gt;0,$E$1-Table11[[#This Row],[Year]],0),"")</f>
        <v>0</v>
      </c>
      <c r="F31" s="456"/>
      <c r="G31" s="456"/>
      <c r="H31" s="456"/>
    </row>
    <row r="32" spans="1:8" ht="13.5" customHeight="1">
      <c r="A32" s="456">
        <v>7028</v>
      </c>
      <c r="B32" s="457" t="s">
        <v>3115</v>
      </c>
      <c r="C32" s="456" t="s">
        <v>256</v>
      </c>
      <c r="D32" s="456">
        <f>IF(Table11[[#This Row],[Current Age]]&gt;19,"Women's",IF(E32&gt;15,"U19",IF(E32&gt;13,"U15",IF(E32&gt;11,"U13",IF(E32&gt;0,"U11",0)))))</f>
        <v>0</v>
      </c>
      <c r="E32" s="456">
        <f>IFERROR(IF(Table11[[#This Row],[Year]]&gt;0,$E$1-Table11[[#This Row],[Year]],0),"")</f>
        <v>0</v>
      </c>
      <c r="F32" s="456"/>
      <c r="G32" s="456"/>
      <c r="H32" s="456"/>
    </row>
    <row r="33" spans="1:8" ht="13.5" customHeight="1">
      <c r="A33" s="471">
        <v>7029</v>
      </c>
      <c r="B33" s="540" t="s">
        <v>1035</v>
      </c>
      <c r="C33" s="471" t="s">
        <v>256</v>
      </c>
      <c r="D33" s="456">
        <f>IF(Table11[[#This Row],[Current Age]]&gt;19,"Women's",IF(E33&gt;15,"U19",IF(E33&gt;13,"U15",IF(E33&gt;11,"U13",IF(E33&gt;0,"U11",0)))))</f>
        <v>0</v>
      </c>
      <c r="E33" s="456">
        <f>IFERROR(IF(Table11[[#This Row],[Year]]&gt;0,$E$1-Table11[[#This Row],[Year]],0),"")</f>
        <v>0</v>
      </c>
      <c r="F33" s="456"/>
      <c r="G33" s="456"/>
      <c r="H33" s="456"/>
    </row>
    <row r="34" spans="1:8" ht="13.5" customHeight="1">
      <c r="A34" s="456">
        <v>7030</v>
      </c>
      <c r="B34" s="457" t="s">
        <v>1299</v>
      </c>
      <c r="C34" s="456" t="s">
        <v>247</v>
      </c>
      <c r="D34" s="456" t="str">
        <f>IF(Table11[[#This Row],[Current Age]]&gt;19,"Women's",IF(E34&gt;15,"U19",IF(E34&gt;13,"U15",IF(E34&gt;11,"U13",IF(E34&gt;0,"U11",0)))))</f>
        <v>Women's</v>
      </c>
      <c r="E34" s="456">
        <f>IFERROR(IF(Table11[[#This Row],[Year]]&gt;0,$E$1-Table11[[#This Row],[Year]],0),"")</f>
        <v>22</v>
      </c>
      <c r="F34" s="456">
        <v>2003</v>
      </c>
      <c r="G34" s="456">
        <v>8</v>
      </c>
      <c r="H34" s="456">
        <v>24</v>
      </c>
    </row>
    <row r="35" spans="1:8" ht="13.5" customHeight="1">
      <c r="A35" s="471">
        <v>7031</v>
      </c>
      <c r="B35" s="540" t="s">
        <v>82</v>
      </c>
      <c r="C35" s="471"/>
      <c r="D35" s="456">
        <f>IF(Table11[[#This Row],[Current Age]]&gt;19,"Women's",IF(E35&gt;15,"U19",IF(E35&gt;13,"U15",IF(E35&gt;11,"U13",IF(E35&gt;0,"U11",0)))))</f>
        <v>0</v>
      </c>
      <c r="E35" s="456">
        <f>IFERROR(IF(Table11[[#This Row],[Year]]&gt;0,$E$1-Table11[[#This Row],[Year]],0),"")</f>
        <v>0</v>
      </c>
      <c r="F35" s="456"/>
      <c r="G35" s="456"/>
      <c r="H35" s="456"/>
    </row>
    <row r="36" spans="1:8" ht="13.5" customHeight="1">
      <c r="A36" s="456">
        <v>7032</v>
      </c>
      <c r="B36" s="457" t="s">
        <v>1036</v>
      </c>
      <c r="C36" s="456" t="s">
        <v>252</v>
      </c>
      <c r="D36" s="456" t="str">
        <f>IF(Table11[[#This Row],[Current Age]]&gt;19,"Women's",IF(E36&gt;15,"U19",IF(E36&gt;13,"U15",IF(E36&gt;11,"U13",IF(E36&gt;0,"U11",0)))))</f>
        <v>Women's</v>
      </c>
      <c r="E36" s="456">
        <f>IFERROR(IF(Table11[[#This Row],[Year]]&gt;0,$E$1-Table11[[#This Row],[Year]],0),"")</f>
        <v>29</v>
      </c>
      <c r="F36" s="456">
        <v>1996</v>
      </c>
      <c r="G36" s="456">
        <v>3</v>
      </c>
      <c r="H36" s="456">
        <v>30</v>
      </c>
    </row>
    <row r="37" spans="1:8" ht="13.5" customHeight="1">
      <c r="A37" s="471">
        <v>7033</v>
      </c>
      <c r="B37" s="540" t="s">
        <v>1037</v>
      </c>
      <c r="C37" s="471" t="s">
        <v>762</v>
      </c>
      <c r="D37" s="456" t="str">
        <f>IF(Table11[[#This Row],[Current Age]]&gt;19,"Women's",IF(E37&gt;15,"U19",IF(E37&gt;13,"U15",IF(E37&gt;11,"U13",IF(E37&gt;0,"U11",0)))))</f>
        <v>Women's</v>
      </c>
      <c r="E37" s="456">
        <f>IFERROR(IF(Table11[[#This Row],[Year]]&gt;0,$E$1-Table11[[#This Row],[Year]],0),"")</f>
        <v>28</v>
      </c>
      <c r="F37" s="456">
        <v>1997</v>
      </c>
      <c r="G37" s="456">
        <v>10</v>
      </c>
      <c r="H37" s="456">
        <v>20</v>
      </c>
    </row>
    <row r="38" spans="1:8" ht="13.5" customHeight="1">
      <c r="A38" s="456">
        <v>7034</v>
      </c>
      <c r="B38" s="457" t="s">
        <v>1038</v>
      </c>
      <c r="C38" s="456" t="s">
        <v>251</v>
      </c>
      <c r="D38" s="456" t="str">
        <f>IF(Table11[[#This Row],[Current Age]]&gt;19,"Women's",IF(E38&gt;15,"U19",IF(E38&gt;13,"U15",IF(E38&gt;11,"U13",IF(E38&gt;0,"U11",0)))))</f>
        <v>Women's</v>
      </c>
      <c r="E38" s="456">
        <f>IFERROR(IF(Table11[[#This Row],[Year]]&gt;0,$E$1-Table11[[#This Row],[Year]],0),"")</f>
        <v>25</v>
      </c>
      <c r="F38" s="456">
        <v>2000</v>
      </c>
      <c r="G38" s="456">
        <v>1</v>
      </c>
      <c r="H38" s="456">
        <v>29</v>
      </c>
    </row>
    <row r="39" spans="1:8" ht="13.5" customHeight="1">
      <c r="A39" s="471">
        <v>7035</v>
      </c>
      <c r="B39" s="540" t="s">
        <v>1039</v>
      </c>
      <c r="C39" s="471" t="s">
        <v>247</v>
      </c>
      <c r="D39" s="456">
        <f>IF(Table11[[#This Row],[Current Age]]&gt;19,"Women's",IF(E39&gt;15,"U19",IF(E39&gt;13,"U15",IF(E39&gt;11,"U13",IF(E39&gt;0,"U11",0)))))</f>
        <v>0</v>
      </c>
      <c r="E39" s="456">
        <f>IFERROR(IF(Table11[[#This Row],[Year]]&gt;0,$E$1-Table11[[#This Row],[Year]],0),"")</f>
        <v>0</v>
      </c>
      <c r="F39" s="456"/>
      <c r="G39" s="456"/>
      <c r="H39" s="456"/>
    </row>
    <row r="40" spans="1:8" ht="13.5" customHeight="1">
      <c r="A40" s="456">
        <v>7036</v>
      </c>
      <c r="B40" s="457" t="s">
        <v>1040</v>
      </c>
      <c r="C40" s="456" t="s">
        <v>363</v>
      </c>
      <c r="D40" s="456">
        <f>IF(Table11[[#This Row],[Current Age]]&gt;19,"Women's",IF(E40&gt;15,"U19",IF(E40&gt;13,"U15",IF(E40&gt;11,"U13",IF(E40&gt;0,"U11",0)))))</f>
        <v>0</v>
      </c>
      <c r="E40" s="456">
        <f>IFERROR(IF(Table11[[#This Row],[Year]]&gt;0,$E$1-Table11[[#This Row],[Year]],0),"")</f>
        <v>0</v>
      </c>
      <c r="F40" s="456"/>
      <c r="G40" s="456"/>
      <c r="H40" s="456"/>
    </row>
    <row r="41" spans="1:8" ht="13.5" customHeight="1">
      <c r="A41" s="471">
        <v>7037</v>
      </c>
      <c r="B41" s="540" t="s">
        <v>1300</v>
      </c>
      <c r="C41" s="471" t="s">
        <v>246</v>
      </c>
      <c r="D41" s="456">
        <f>IF(Table11[[#This Row],[Current Age]]&gt;19,"Women's",IF(E41&gt;15,"U19",IF(E41&gt;13,"U15",IF(E41&gt;11,"U13",IF(E41&gt;0,"U11",0)))))</f>
        <v>0</v>
      </c>
      <c r="E41" s="456">
        <f>IFERROR(IF(Table11[[#This Row],[Year]]&gt;0,$E$1-Table11[[#This Row],[Year]],0),"")</f>
        <v>0</v>
      </c>
      <c r="F41" s="456"/>
      <c r="G41" s="456"/>
      <c r="H41" s="456"/>
    </row>
    <row r="42" spans="1:8" ht="13.5" customHeight="1">
      <c r="A42" s="456">
        <v>7038</v>
      </c>
      <c r="B42" s="457" t="s">
        <v>1041</v>
      </c>
      <c r="C42" s="456" t="s">
        <v>4720</v>
      </c>
      <c r="D42" s="456">
        <f>IF(Table11[[#This Row],[Current Age]]&gt;19,"Women's",IF(E42&gt;15,"U19",IF(E42&gt;13,"U15",IF(E42&gt;11,"U13",IF(E42&gt;0,"U11",0)))))</f>
        <v>0</v>
      </c>
      <c r="E42" s="456">
        <f>IFERROR(IF(Table11[[#This Row],[Year]]&gt;0,$E$1-Table11[[#This Row],[Year]],0),"")</f>
        <v>0</v>
      </c>
      <c r="F42" s="456"/>
      <c r="G42" s="456"/>
      <c r="H42" s="456"/>
    </row>
    <row r="43" spans="1:8" ht="13.5" customHeight="1">
      <c r="A43" s="471">
        <v>7039</v>
      </c>
      <c r="B43" s="540" t="s">
        <v>1042</v>
      </c>
      <c r="C43" s="471" t="s">
        <v>4720</v>
      </c>
      <c r="D43" s="456">
        <f>IF(Table11[[#This Row],[Current Age]]&gt;19,"Women's",IF(E43&gt;15,"U19",IF(E43&gt;13,"U15",IF(E43&gt;11,"U13",IF(E43&gt;0,"U11",0)))))</f>
        <v>0</v>
      </c>
      <c r="E43" s="456">
        <f>IFERROR(IF(Table11[[#This Row],[Year]]&gt;0,$E$1-Table11[[#This Row],[Year]],0),"")</f>
        <v>0</v>
      </c>
      <c r="F43" s="456"/>
      <c r="G43" s="456"/>
      <c r="H43" s="456"/>
    </row>
    <row r="44" spans="1:8" ht="13.5" customHeight="1">
      <c r="A44" s="456">
        <v>7040</v>
      </c>
      <c r="B44" s="457" t="s">
        <v>1043</v>
      </c>
      <c r="C44" s="456" t="s">
        <v>4720</v>
      </c>
      <c r="D44" s="456">
        <f>IF(Table11[[#This Row],[Current Age]]&gt;19,"Women's",IF(E44&gt;15,"U19",IF(E44&gt;13,"U15",IF(E44&gt;11,"U13",IF(E44&gt;0,"U11",0)))))</f>
        <v>0</v>
      </c>
      <c r="E44" s="456">
        <f>IFERROR(IF(Table11[[#This Row],[Year]]&gt;0,$E$1-Table11[[#This Row],[Year]],0),"")</f>
        <v>0</v>
      </c>
      <c r="F44" s="456"/>
      <c r="G44" s="456"/>
      <c r="H44" s="456"/>
    </row>
    <row r="45" spans="1:8" ht="13.5" customHeight="1">
      <c r="A45" s="471">
        <v>7041</v>
      </c>
      <c r="B45" s="540" t="s">
        <v>1044</v>
      </c>
      <c r="C45" s="471" t="s">
        <v>361</v>
      </c>
      <c r="D45" s="456">
        <f>IF(Table11[[#This Row],[Current Age]]&gt;19,"Women's",IF(E45&gt;15,"U19",IF(E45&gt;13,"U15",IF(E45&gt;11,"U13",IF(E45&gt;0,"U11",0)))))</f>
        <v>0</v>
      </c>
      <c r="E45" s="456">
        <f>IFERROR(IF(Table11[[#This Row],[Year]]&gt;0,$E$1-Table11[[#This Row],[Year]],0),"")</f>
        <v>0</v>
      </c>
      <c r="F45" s="456"/>
      <c r="G45" s="456"/>
      <c r="H45" s="456"/>
    </row>
    <row r="46" spans="1:8" ht="13.5" customHeight="1">
      <c r="A46" s="456">
        <v>7042</v>
      </c>
      <c r="B46" s="457" t="s">
        <v>1045</v>
      </c>
      <c r="C46" s="456" t="s">
        <v>363</v>
      </c>
      <c r="D46" s="456">
        <f>IF(Table11[[#This Row],[Current Age]]&gt;19,"Women's",IF(E46&gt;15,"U19",IF(E46&gt;13,"U15",IF(E46&gt;11,"U13",IF(E46&gt;0,"U11",0)))))</f>
        <v>0</v>
      </c>
      <c r="E46" s="456">
        <f>IFERROR(IF(Table11[[#This Row],[Year]]&gt;0,$E$1-Table11[[#This Row],[Year]],0),"")</f>
        <v>0</v>
      </c>
      <c r="F46" s="456"/>
      <c r="G46" s="456"/>
      <c r="H46" s="456"/>
    </row>
    <row r="47" spans="1:8" ht="13.5" customHeight="1">
      <c r="A47" s="471">
        <v>7043</v>
      </c>
      <c r="B47" s="540" t="s">
        <v>3322</v>
      </c>
      <c r="C47" s="471" t="s">
        <v>762</v>
      </c>
      <c r="D47" s="456" t="str">
        <f>IF(Table11[[#This Row],[Current Age]]&gt;19,"Women's",IF(E47&gt;15,"U19",IF(E47&gt;13,"U15",IF(E47&gt;11,"U13",IF(E47&gt;0,"U11",0)))))</f>
        <v>U13</v>
      </c>
      <c r="E47" s="456">
        <f>IFERROR(IF(Table11[[#This Row],[Year]]&gt;0,$E$1-Table11[[#This Row],[Year]],0),"")</f>
        <v>12</v>
      </c>
      <c r="F47" s="456">
        <v>2013</v>
      </c>
      <c r="G47" s="456">
        <v>2</v>
      </c>
      <c r="H47" s="456">
        <v>27</v>
      </c>
    </row>
    <row r="48" spans="1:8" ht="13.5" customHeight="1">
      <c r="A48" s="456">
        <v>7044</v>
      </c>
      <c r="B48" s="457" t="s">
        <v>1046</v>
      </c>
      <c r="C48" s="456" t="s">
        <v>4720</v>
      </c>
      <c r="D48" s="456">
        <f>IF(Table11[[#This Row],[Current Age]]&gt;19,"Women's",IF(E48&gt;15,"U19",IF(E48&gt;13,"U15",IF(E48&gt;11,"U13",IF(E48&gt;0,"U11",0)))))</f>
        <v>0</v>
      </c>
      <c r="E48" s="456">
        <f>IFERROR(IF(Table11[[#This Row],[Year]]&gt;0,$E$1-Table11[[#This Row],[Year]],0),"")</f>
        <v>0</v>
      </c>
      <c r="F48" s="456"/>
      <c r="G48" s="456"/>
      <c r="H48" s="456"/>
    </row>
    <row r="49" spans="1:8" ht="13.5" customHeight="1">
      <c r="A49" s="471">
        <v>7045</v>
      </c>
      <c r="B49" s="540" t="s">
        <v>1047</v>
      </c>
      <c r="C49" s="471" t="s">
        <v>252</v>
      </c>
      <c r="D49" s="456">
        <f>IF(Table11[[#This Row],[Current Age]]&gt;19,"Women's",IF(E49&gt;15,"U19",IF(E49&gt;13,"U15",IF(E49&gt;11,"U13",IF(E49&gt;0,"U11",0)))))</f>
        <v>0</v>
      </c>
      <c r="E49" s="456">
        <f>IFERROR(IF(Table11[[#This Row],[Year]]&gt;0,$E$1-Table11[[#This Row],[Year]],0),"")</f>
        <v>0</v>
      </c>
      <c r="F49" s="456"/>
      <c r="G49" s="456"/>
      <c r="H49" s="456"/>
    </row>
    <row r="50" spans="1:8" ht="13.5" customHeight="1">
      <c r="A50" s="456">
        <v>7046</v>
      </c>
      <c r="B50" s="457" t="s">
        <v>1048</v>
      </c>
      <c r="C50" s="456" t="s">
        <v>248</v>
      </c>
      <c r="D50" s="456">
        <f>IF(Table11[[#This Row],[Current Age]]&gt;19,"Women's",IF(E50&gt;15,"U19",IF(E50&gt;13,"U15",IF(E50&gt;11,"U13",IF(E50&gt;0,"U11",0)))))</f>
        <v>0</v>
      </c>
      <c r="E50" s="456">
        <f>IFERROR(IF(Table11[[#This Row],[Year]]&gt;0,$E$1-Table11[[#This Row],[Year]],0),"")</f>
        <v>0</v>
      </c>
      <c r="F50" s="456"/>
      <c r="G50" s="456"/>
      <c r="H50" s="456"/>
    </row>
    <row r="51" spans="1:8" ht="13.5" customHeight="1">
      <c r="A51" s="471">
        <v>7047</v>
      </c>
      <c r="B51" s="540" t="s">
        <v>1049</v>
      </c>
      <c r="C51" s="471" t="s">
        <v>251</v>
      </c>
      <c r="D51" s="456">
        <f>IF(Table11[[#This Row],[Current Age]]&gt;19,"Women's",IF(E51&gt;15,"U19",IF(E51&gt;13,"U15",IF(E51&gt;11,"U13",IF(E51&gt;0,"U11",0)))))</f>
        <v>0</v>
      </c>
      <c r="E51" s="456">
        <f>IFERROR(IF(Table11[[#This Row],[Year]]&gt;0,$E$1-Table11[[#This Row],[Year]],0),"")</f>
        <v>0</v>
      </c>
      <c r="F51" s="456"/>
      <c r="G51" s="456"/>
      <c r="H51" s="456"/>
    </row>
    <row r="52" spans="1:8" ht="13.5" customHeight="1">
      <c r="A52" s="456">
        <v>7048</v>
      </c>
      <c r="B52" s="457" t="s">
        <v>1050</v>
      </c>
      <c r="C52" s="456" t="s">
        <v>248</v>
      </c>
      <c r="D52" s="456">
        <f>IF(Table11[[#This Row],[Current Age]]&gt;19,"Women's",IF(E52&gt;15,"U19",IF(E52&gt;13,"U15",IF(E52&gt;11,"U13",IF(E52&gt;0,"U11",0)))))</f>
        <v>0</v>
      </c>
      <c r="E52" s="456">
        <f>IFERROR(IF(Table11[[#This Row],[Year]]&gt;0,$E$1-Table11[[#This Row],[Year]],0),"")</f>
        <v>0</v>
      </c>
      <c r="F52" s="456"/>
      <c r="G52" s="456"/>
      <c r="H52" s="456"/>
    </row>
    <row r="53" spans="1:8" ht="13.5" customHeight="1">
      <c r="A53" s="471">
        <v>7049</v>
      </c>
      <c r="B53" s="540" t="s">
        <v>1051</v>
      </c>
      <c r="C53" s="471" t="s">
        <v>244</v>
      </c>
      <c r="D53" s="456">
        <f>IF(Table11[[#This Row],[Current Age]]&gt;19,"Women's",IF(E53&gt;15,"U19",IF(E53&gt;13,"U15",IF(E53&gt;11,"U13",IF(E53&gt;0,"U11",0)))))</f>
        <v>0</v>
      </c>
      <c r="E53" s="456">
        <f>IFERROR(IF(Table11[[#This Row],[Year]]&gt;0,$E$1-Table11[[#This Row],[Year]],0),"")</f>
        <v>0</v>
      </c>
      <c r="F53" s="456"/>
      <c r="G53" s="456"/>
      <c r="H53" s="456"/>
    </row>
    <row r="54" spans="1:8" ht="13.5" customHeight="1">
      <c r="A54" s="456">
        <v>7050</v>
      </c>
      <c r="B54" s="457" t="s">
        <v>5544</v>
      </c>
      <c r="C54" s="456" t="s">
        <v>361</v>
      </c>
      <c r="D54" s="456" t="str">
        <f>IF(Table11[[#This Row],[Current Age]]&gt;19,"Women's",IF(E54&gt;15,"U19",IF(E54&gt;13,"U15",IF(E54&gt;11,"U13",IF(E54&gt;0,"U11",0)))))</f>
        <v>Women's</v>
      </c>
      <c r="E54" s="456">
        <f>IFERROR(IF(Table11[[#This Row],[Year]]&gt;0,$E$1-Table11[[#This Row],[Year]],0),"")</f>
        <v>29</v>
      </c>
      <c r="F54" s="456">
        <v>1996</v>
      </c>
      <c r="G54" s="456">
        <v>7</v>
      </c>
      <c r="H54" s="456">
        <v>28</v>
      </c>
    </row>
    <row r="55" spans="1:8" ht="13.5" customHeight="1">
      <c r="A55" s="471">
        <v>7051</v>
      </c>
      <c r="B55" s="540" t="s">
        <v>1052</v>
      </c>
      <c r="C55" s="471" t="s">
        <v>248</v>
      </c>
      <c r="D55" s="456">
        <f>IF(Table11[[#This Row],[Current Age]]&gt;19,"Women's",IF(E55&gt;15,"U19",IF(E55&gt;13,"U15",IF(E55&gt;11,"U13",IF(E55&gt;0,"U11",0)))))</f>
        <v>0</v>
      </c>
      <c r="E55" s="456">
        <f>IFERROR(IF(Table11[[#This Row],[Year]]&gt;0,$E$1-Table11[[#This Row],[Year]],0),"")</f>
        <v>0</v>
      </c>
      <c r="F55" s="456"/>
      <c r="G55" s="456"/>
      <c r="H55" s="456"/>
    </row>
    <row r="56" spans="1:8" ht="13.5" customHeight="1">
      <c r="A56" s="456">
        <v>7052</v>
      </c>
      <c r="B56" s="457" t="s">
        <v>1053</v>
      </c>
      <c r="C56" s="456" t="s">
        <v>256</v>
      </c>
      <c r="D56" s="456">
        <f>IF(Table11[[#This Row],[Current Age]]&gt;19,"Women's",IF(E56&gt;15,"U19",IF(E56&gt;13,"U15",IF(E56&gt;11,"U13",IF(E56&gt;0,"U11",0)))))</f>
        <v>0</v>
      </c>
      <c r="E56" s="456">
        <f>IFERROR(IF(Table11[[#This Row],[Year]]&gt;0,$E$1-Table11[[#This Row],[Year]],0),"")</f>
        <v>0</v>
      </c>
      <c r="F56" s="456"/>
      <c r="G56" s="456"/>
      <c r="H56" s="456"/>
    </row>
    <row r="57" spans="1:8" ht="13.5" customHeight="1">
      <c r="A57" s="471">
        <v>7053</v>
      </c>
      <c r="B57" s="540" t="s">
        <v>1054</v>
      </c>
      <c r="C57" s="471" t="s">
        <v>361</v>
      </c>
      <c r="D57" s="456" t="str">
        <f>IF(Table11[[#This Row],[Current Age]]&gt;19,"Women's",IF(E57&gt;15,"U19",IF(E57&gt;13,"U15",IF(E57&gt;11,"U13",IF(E57&gt;0,"U11",0)))))</f>
        <v>Women's</v>
      </c>
      <c r="E57" s="456">
        <f>IFERROR(IF(Table11[[#This Row],[Year]]&gt;0,$E$1-Table11[[#This Row],[Year]],0),"")</f>
        <v>20</v>
      </c>
      <c r="F57" s="456">
        <v>2005</v>
      </c>
      <c r="G57" s="456">
        <v>12</v>
      </c>
      <c r="H57" s="456">
        <v>19</v>
      </c>
    </row>
    <row r="58" spans="1:8" ht="13.5" customHeight="1">
      <c r="A58" s="456">
        <v>7054</v>
      </c>
      <c r="B58" s="457" t="s">
        <v>1055</v>
      </c>
      <c r="C58" s="456" t="s">
        <v>4720</v>
      </c>
      <c r="D58" s="456" t="str">
        <f>IF(Table11[[#This Row],[Current Age]]&gt;19,"Women's",IF(E58&gt;15,"U19",IF(E58&gt;13,"U15",IF(E58&gt;11,"U13",IF(E58&gt;0,"U11",0)))))</f>
        <v>Women's</v>
      </c>
      <c r="E58" s="456">
        <f>IFERROR(IF(Table11[[#This Row],[Year]]&gt;0,$E$1-Table11[[#This Row],[Year]],0),"")</f>
        <v>24</v>
      </c>
      <c r="F58" s="456">
        <v>2001</v>
      </c>
      <c r="G58" s="456">
        <v>11</v>
      </c>
      <c r="H58" s="456">
        <v>11</v>
      </c>
    </row>
    <row r="59" spans="1:8" ht="13.5" customHeight="1">
      <c r="A59" s="471">
        <v>7055</v>
      </c>
      <c r="B59" s="540" t="s">
        <v>1056</v>
      </c>
      <c r="C59" s="471" t="s">
        <v>248</v>
      </c>
      <c r="D59" s="456">
        <f>IF(Table11[[#This Row],[Current Age]]&gt;19,"Women's",IF(E59&gt;15,"U19",IF(E59&gt;13,"U15",IF(E59&gt;11,"U13",IF(E59&gt;0,"U11",0)))))</f>
        <v>0</v>
      </c>
      <c r="E59" s="456">
        <f>IFERROR(IF(Table11[[#This Row],[Year]]&gt;0,$E$1-Table11[[#This Row],[Year]],0),"")</f>
        <v>0</v>
      </c>
      <c r="F59" s="456"/>
      <c r="G59" s="456"/>
      <c r="H59" s="456"/>
    </row>
    <row r="60" spans="1:8" ht="13.5" customHeight="1">
      <c r="A60" s="456">
        <v>7056</v>
      </c>
      <c r="B60" s="457" t="s">
        <v>1057</v>
      </c>
      <c r="C60" s="456" t="s">
        <v>247</v>
      </c>
      <c r="D60" s="456" t="str">
        <f>IF(Table11[[#This Row],[Current Age]]&gt;19,"Women's",IF(E60&gt;15,"U19",IF(E60&gt;13,"U15",IF(E60&gt;11,"U13",IF(E60&gt;0,"U11",0)))))</f>
        <v>Women's</v>
      </c>
      <c r="E60" s="456">
        <f>IFERROR(IF(Table11[[#This Row],[Year]]&gt;0,$E$1-Table11[[#This Row],[Year]],0),"")</f>
        <v>30</v>
      </c>
      <c r="F60" s="456">
        <v>1995</v>
      </c>
      <c r="G60" s="456">
        <v>6</v>
      </c>
      <c r="H60" s="456">
        <v>10</v>
      </c>
    </row>
    <row r="61" spans="1:8" ht="13.5" customHeight="1">
      <c r="A61" s="471">
        <v>7057</v>
      </c>
      <c r="B61" s="540" t="s">
        <v>1058</v>
      </c>
      <c r="C61" s="471" t="s">
        <v>243</v>
      </c>
      <c r="D61" s="456" t="str">
        <f>IF(Table11[[#This Row],[Current Age]]&gt;19,"Women's",IF(E61&gt;15,"U19",IF(E61&gt;13,"U15",IF(E61&gt;11,"U13",IF(E61&gt;0,"U11",0)))))</f>
        <v>Women's</v>
      </c>
      <c r="E61" s="456">
        <f>IFERROR(IF(Table11[[#This Row],[Year]]&gt;0,$E$1-Table11[[#This Row],[Year]],0),"")</f>
        <v>25</v>
      </c>
      <c r="F61" s="456">
        <v>2000</v>
      </c>
      <c r="G61" s="456">
        <v>1</v>
      </c>
      <c r="H61" s="456">
        <v>1</v>
      </c>
    </row>
    <row r="62" spans="1:8" ht="13.5" customHeight="1">
      <c r="A62" s="456">
        <v>7058</v>
      </c>
      <c r="B62" s="457" t="s">
        <v>1059</v>
      </c>
      <c r="C62" s="456" t="s">
        <v>363</v>
      </c>
      <c r="D62" s="456" t="str">
        <f>IF(Table11[[#This Row],[Current Age]]&gt;19,"Women's",IF(E62&gt;15,"U19",IF(E62&gt;13,"U15",IF(E62&gt;11,"U13",IF(E62&gt;0,"U11",0)))))</f>
        <v>Women's</v>
      </c>
      <c r="E62" s="456">
        <f>IFERROR(IF(Table11[[#This Row],[Year]]&gt;0,$E$1-Table11[[#This Row],[Year]],0),"")</f>
        <v>24</v>
      </c>
      <c r="F62" s="456">
        <v>2001</v>
      </c>
      <c r="G62" s="456">
        <v>11</v>
      </c>
      <c r="H62" s="456">
        <v>28</v>
      </c>
    </row>
    <row r="63" spans="1:8" ht="13.5" customHeight="1">
      <c r="A63" s="471">
        <v>7059</v>
      </c>
      <c r="B63" s="540" t="s">
        <v>1060</v>
      </c>
      <c r="C63" s="471" t="s">
        <v>251</v>
      </c>
      <c r="D63" s="456">
        <f>IF(Table11[[#This Row],[Current Age]]&gt;19,"Women's",IF(E63&gt;15,"U19",IF(E63&gt;13,"U15",IF(E63&gt;11,"U13",IF(E63&gt;0,"U11",0)))))</f>
        <v>0</v>
      </c>
      <c r="E63" s="456">
        <f>IFERROR(IF(Table11[[#This Row],[Year]]&gt;0,$E$1-Table11[[#This Row],[Year]],0),"")</f>
        <v>0</v>
      </c>
      <c r="F63" s="456"/>
      <c r="G63" s="456"/>
      <c r="H63" s="456"/>
    </row>
    <row r="64" spans="1:8" ht="13.5" customHeight="1">
      <c r="A64" s="456">
        <v>7060</v>
      </c>
      <c r="B64" s="457" t="s">
        <v>1061</v>
      </c>
      <c r="C64" s="456" t="s">
        <v>243</v>
      </c>
      <c r="D64" s="456" t="str">
        <f>IF(Table11[[#This Row],[Current Age]]&gt;19,"Women's",IF(E64&gt;15,"U19",IF(E64&gt;13,"U15",IF(E64&gt;11,"U13",IF(E64&gt;0,"U11",0)))))</f>
        <v>Women's</v>
      </c>
      <c r="E64" s="456">
        <f>IFERROR(IF(Table11[[#This Row],[Year]]&gt;0,$E$1-Table11[[#This Row],[Year]],0),"")</f>
        <v>24</v>
      </c>
      <c r="F64" s="456">
        <v>2001</v>
      </c>
      <c r="G64" s="456">
        <v>9</v>
      </c>
      <c r="H64" s="456">
        <v>19</v>
      </c>
    </row>
    <row r="65" spans="1:8" ht="13.5" customHeight="1">
      <c r="A65" s="471">
        <v>7061</v>
      </c>
      <c r="B65" s="540" t="s">
        <v>1062</v>
      </c>
      <c r="C65" s="471" t="s">
        <v>258</v>
      </c>
      <c r="D65" s="456">
        <f>IF(Table11[[#This Row],[Current Age]]&gt;19,"Women's",IF(E65&gt;15,"U19",IF(E65&gt;13,"U15",IF(E65&gt;11,"U13",IF(E65&gt;0,"U11",0)))))</f>
        <v>0</v>
      </c>
      <c r="E65" s="456">
        <f>IFERROR(IF(Table11[[#This Row],[Year]]&gt;0,$E$1-Table11[[#This Row],[Year]],0),"")</f>
        <v>0</v>
      </c>
      <c r="F65" s="456"/>
      <c r="G65" s="456"/>
      <c r="H65" s="456"/>
    </row>
    <row r="66" spans="1:8" ht="13.5" customHeight="1">
      <c r="A66" s="456">
        <v>7062</v>
      </c>
      <c r="B66" s="457" t="s">
        <v>1063</v>
      </c>
      <c r="C66" s="456" t="s">
        <v>252</v>
      </c>
      <c r="D66" s="456">
        <f>IF(Table11[[#This Row],[Current Age]]&gt;19,"Women's",IF(E66&gt;15,"U19",IF(E66&gt;13,"U15",IF(E66&gt;11,"U13",IF(E66&gt;0,"U11",0)))))</f>
        <v>0</v>
      </c>
      <c r="E66" s="456">
        <f>IFERROR(IF(Table11[[#This Row],[Year]]&gt;0,$E$1-Table11[[#This Row],[Year]],0),"")</f>
        <v>0</v>
      </c>
      <c r="F66" s="456"/>
      <c r="G66" s="456"/>
      <c r="H66" s="456"/>
    </row>
    <row r="67" spans="1:8" ht="13.5" customHeight="1">
      <c r="A67" s="471">
        <v>7063</v>
      </c>
      <c r="B67" s="540" t="s">
        <v>1301</v>
      </c>
      <c r="C67" s="471" t="s">
        <v>246</v>
      </c>
      <c r="D67" s="456">
        <f>IF(Table11[[#This Row],[Current Age]]&gt;19,"Women's",IF(E67&gt;15,"U19",IF(E67&gt;13,"U15",IF(E67&gt;11,"U13",IF(E67&gt;0,"U11",0)))))</f>
        <v>0</v>
      </c>
      <c r="E67" s="456">
        <f>IFERROR(IF(Table11[[#This Row],[Year]]&gt;0,$E$1-Table11[[#This Row],[Year]],0),"")</f>
        <v>0</v>
      </c>
      <c r="F67" s="456"/>
      <c r="G67" s="456"/>
      <c r="H67" s="456"/>
    </row>
    <row r="68" spans="1:8" ht="13.5" customHeight="1">
      <c r="A68" s="456">
        <v>7064</v>
      </c>
      <c r="B68" s="457" t="s">
        <v>1064</v>
      </c>
      <c r="C68" s="456" t="s">
        <v>244</v>
      </c>
      <c r="D68" s="456">
        <f>IF(Table11[[#This Row],[Current Age]]&gt;19,"Women's",IF(E68&gt;15,"U19",IF(E68&gt;13,"U15",IF(E68&gt;11,"U13",IF(E68&gt;0,"U11",0)))))</f>
        <v>0</v>
      </c>
      <c r="E68" s="456">
        <f>IFERROR(IF(Table11[[#This Row],[Year]]&gt;0,$E$1-Table11[[#This Row],[Year]],0),"")</f>
        <v>0</v>
      </c>
      <c r="F68" s="456"/>
      <c r="G68" s="456"/>
      <c r="H68" s="456"/>
    </row>
    <row r="69" spans="1:8" ht="13.5" customHeight="1">
      <c r="A69" s="471">
        <v>7065</v>
      </c>
      <c r="B69" s="540" t="s">
        <v>1302</v>
      </c>
      <c r="C69" s="471" t="s">
        <v>252</v>
      </c>
      <c r="D69" s="456">
        <f>IF(Table11[[#This Row],[Current Age]]&gt;19,"Women's",IF(E69&gt;15,"U19",IF(E69&gt;13,"U15",IF(E69&gt;11,"U13",IF(E69&gt;0,"U11",0)))))</f>
        <v>0</v>
      </c>
      <c r="E69" s="456">
        <f>IFERROR(IF(Table11[[#This Row],[Year]]&gt;0,$E$1-Table11[[#This Row],[Year]],0),"")</f>
        <v>0</v>
      </c>
      <c r="F69" s="456"/>
      <c r="G69" s="456"/>
      <c r="H69" s="456"/>
    </row>
    <row r="70" spans="1:8" ht="13.5" customHeight="1">
      <c r="A70" s="456">
        <v>7066</v>
      </c>
      <c r="B70" s="457" t="s">
        <v>2229</v>
      </c>
      <c r="C70" s="456" t="s">
        <v>362</v>
      </c>
      <c r="D70" s="456">
        <f>IF(Table11[[#This Row],[Current Age]]&gt;19,"Women's",IF(E70&gt;15,"U19",IF(E70&gt;13,"U15",IF(E70&gt;11,"U13",IF(E70&gt;0,"U11",0)))))</f>
        <v>0</v>
      </c>
      <c r="E70" s="456">
        <f>IFERROR(IF(Table11[[#This Row],[Year]]&gt;0,$E$1-Table11[[#This Row],[Year]],0),"")</f>
        <v>0</v>
      </c>
      <c r="F70" s="456"/>
      <c r="G70" s="456"/>
      <c r="H70" s="456"/>
    </row>
    <row r="71" spans="1:8" ht="13.5" customHeight="1">
      <c r="A71" s="471">
        <v>7067</v>
      </c>
      <c r="B71" s="540" t="s">
        <v>1065</v>
      </c>
      <c r="C71" s="471" t="s">
        <v>243</v>
      </c>
      <c r="D71" s="456">
        <f>IF(Table11[[#This Row],[Current Age]]&gt;19,"Women's",IF(E71&gt;15,"U19",IF(E71&gt;13,"U15",IF(E71&gt;11,"U13",IF(E71&gt;0,"U11",0)))))</f>
        <v>0</v>
      </c>
      <c r="E71" s="456">
        <f>IFERROR(IF(Table11[[#This Row],[Year]]&gt;0,$E$1-Table11[[#This Row],[Year]],0),"")</f>
        <v>0</v>
      </c>
      <c r="F71" s="456"/>
      <c r="G71" s="456"/>
      <c r="H71" s="456"/>
    </row>
    <row r="72" spans="1:8" ht="13.5" customHeight="1">
      <c r="A72" s="456">
        <v>7068</v>
      </c>
      <c r="B72" s="457" t="s">
        <v>1066</v>
      </c>
      <c r="C72" s="456" t="s">
        <v>361</v>
      </c>
      <c r="D72" s="456">
        <f>IF(Table11[[#This Row],[Current Age]]&gt;19,"Women's",IF(E72&gt;15,"U19",IF(E72&gt;13,"U15",IF(E72&gt;11,"U13",IF(E72&gt;0,"U11",0)))))</f>
        <v>0</v>
      </c>
      <c r="E72" s="456">
        <f>IFERROR(IF(Table11[[#This Row],[Year]]&gt;0,$E$1-Table11[[#This Row],[Year]],0),"")</f>
        <v>0</v>
      </c>
      <c r="F72" s="456"/>
      <c r="G72" s="456"/>
      <c r="H72" s="456"/>
    </row>
    <row r="73" spans="1:8" ht="13.5" customHeight="1">
      <c r="A73" s="471">
        <v>7069</v>
      </c>
      <c r="B73" s="540" t="s">
        <v>1067</v>
      </c>
      <c r="C73" s="471" t="s">
        <v>252</v>
      </c>
      <c r="D73" s="456">
        <f>IF(Table11[[#This Row],[Current Age]]&gt;19,"Women's",IF(E73&gt;15,"U19",IF(E73&gt;13,"U15",IF(E73&gt;11,"U13",IF(E73&gt;0,"U11",0)))))</f>
        <v>0</v>
      </c>
      <c r="E73" s="456">
        <f>IFERROR(IF(Table11[[#This Row],[Year]]&gt;0,$E$1-Table11[[#This Row],[Year]],0),"")</f>
        <v>0</v>
      </c>
      <c r="F73" s="456"/>
      <c r="G73" s="456"/>
      <c r="H73" s="456"/>
    </row>
    <row r="74" spans="1:8" ht="13.5" customHeight="1">
      <c r="A74" s="456">
        <v>7070</v>
      </c>
      <c r="B74" s="457" t="s">
        <v>1068</v>
      </c>
      <c r="C74" s="456" t="s">
        <v>363</v>
      </c>
      <c r="D74" s="456">
        <f>IF(Table11[[#This Row],[Current Age]]&gt;19,"Women's",IF(E74&gt;15,"U19",IF(E74&gt;13,"U15",IF(E74&gt;11,"U13",IF(E74&gt;0,"U11",0)))))</f>
        <v>0</v>
      </c>
      <c r="E74" s="456">
        <f>IFERROR(IF(Table11[[#This Row],[Year]]&gt;0,$E$1-Table11[[#This Row],[Year]],0),"")</f>
        <v>0</v>
      </c>
      <c r="F74" s="456"/>
      <c r="G74" s="456"/>
      <c r="H74" s="456"/>
    </row>
    <row r="75" spans="1:8" ht="13.5" customHeight="1">
      <c r="A75" s="471">
        <v>7071</v>
      </c>
      <c r="B75" s="540" t="s">
        <v>1069</v>
      </c>
      <c r="C75" s="471" t="s">
        <v>252</v>
      </c>
      <c r="D75" s="456">
        <f>IF(Table11[[#This Row],[Current Age]]&gt;19,"Women's",IF(E75&gt;15,"U19",IF(E75&gt;13,"U15",IF(E75&gt;11,"U13",IF(E75&gt;0,"U11",0)))))</f>
        <v>0</v>
      </c>
      <c r="E75" s="456">
        <f>IFERROR(IF(Table11[[#This Row],[Year]]&gt;0,$E$1-Table11[[#This Row],[Year]],0),"")</f>
        <v>0</v>
      </c>
      <c r="F75" s="456"/>
      <c r="G75" s="456"/>
      <c r="H75" s="456"/>
    </row>
    <row r="76" spans="1:8" ht="13.5" customHeight="1">
      <c r="A76" s="456">
        <v>7072</v>
      </c>
      <c r="B76" s="457" t="s">
        <v>1070</v>
      </c>
      <c r="C76" s="456" t="s">
        <v>361</v>
      </c>
      <c r="D76" s="456">
        <f>IF(Table11[[#This Row],[Current Age]]&gt;19,"Women's",IF(E76&gt;15,"U19",IF(E76&gt;13,"U15",IF(E76&gt;11,"U13",IF(E76&gt;0,"U11",0)))))</f>
        <v>0</v>
      </c>
      <c r="E76" s="456">
        <f>IFERROR(IF(Table11[[#This Row],[Year]]&gt;0,$E$1-Table11[[#This Row],[Year]],0),"")</f>
        <v>0</v>
      </c>
      <c r="F76" s="456"/>
      <c r="G76" s="456"/>
      <c r="H76" s="456"/>
    </row>
    <row r="77" spans="1:8" ht="13.5" customHeight="1">
      <c r="A77" s="471">
        <v>7073</v>
      </c>
      <c r="B77" s="540" t="s">
        <v>1071</v>
      </c>
      <c r="C77" s="471" t="s">
        <v>256</v>
      </c>
      <c r="D77" s="456">
        <f>IF(Table11[[#This Row],[Current Age]]&gt;19,"Women's",IF(E77&gt;15,"U19",IF(E77&gt;13,"U15",IF(E77&gt;11,"U13",IF(E77&gt;0,"U11",0)))))</f>
        <v>0</v>
      </c>
      <c r="E77" s="456">
        <f>IFERROR(IF(Table11[[#This Row],[Year]]&gt;0,$E$1-Table11[[#This Row],[Year]],0),"")</f>
        <v>0</v>
      </c>
      <c r="F77" s="456"/>
      <c r="G77" s="456"/>
      <c r="H77" s="456"/>
    </row>
    <row r="78" spans="1:8" ht="13.5" customHeight="1">
      <c r="A78" s="456">
        <v>7074</v>
      </c>
      <c r="B78" s="457" t="s">
        <v>1072</v>
      </c>
      <c r="C78" s="456" t="s">
        <v>3346</v>
      </c>
      <c r="D78" s="456">
        <f>IF(Table11[[#This Row],[Current Age]]&gt;19,"Women's",IF(E78&gt;15,"U19",IF(E78&gt;13,"U15",IF(E78&gt;11,"U13",IF(E78&gt;0,"U11",0)))))</f>
        <v>0</v>
      </c>
      <c r="E78" s="456">
        <f>IFERROR(IF(Table11[[#This Row],[Year]]&gt;0,$E$1-Table11[[#This Row],[Year]],0),"")</f>
        <v>0</v>
      </c>
      <c r="F78" s="456"/>
      <c r="G78" s="456"/>
      <c r="H78" s="456"/>
    </row>
    <row r="79" spans="1:8" ht="13.5" customHeight="1">
      <c r="A79" s="471">
        <v>7075</v>
      </c>
      <c r="B79" s="540" t="s">
        <v>1303</v>
      </c>
      <c r="C79" s="471" t="s">
        <v>246</v>
      </c>
      <c r="D79" s="456">
        <f>IF(Table11[[#This Row],[Current Age]]&gt;19,"Women's",IF(E79&gt;15,"U19",IF(E79&gt;13,"U15",IF(E79&gt;11,"U13",IF(E79&gt;0,"U11",0)))))</f>
        <v>0</v>
      </c>
      <c r="E79" s="456">
        <f>IFERROR(IF(Table11[[#This Row],[Year]]&gt;0,$E$1-Table11[[#This Row],[Year]],0),"")</f>
        <v>0</v>
      </c>
      <c r="F79" s="456"/>
      <c r="G79" s="456"/>
      <c r="H79" s="456"/>
    </row>
    <row r="80" spans="1:8" ht="13.5" customHeight="1">
      <c r="A80" s="456">
        <v>7076</v>
      </c>
      <c r="B80" s="457" t="s">
        <v>1073</v>
      </c>
      <c r="C80" s="456" t="s">
        <v>247</v>
      </c>
      <c r="D80" s="456">
        <f>IF(Table11[[#This Row],[Current Age]]&gt;19,"Women's",IF(E80&gt;15,"U19",IF(E80&gt;13,"U15",IF(E80&gt;11,"U13",IF(E80&gt;0,"U11",0)))))</f>
        <v>0</v>
      </c>
      <c r="E80" s="456">
        <f>IFERROR(IF(Table11[[#This Row],[Year]]&gt;0,$E$1-Table11[[#This Row],[Year]],0),"")</f>
        <v>0</v>
      </c>
      <c r="F80" s="456"/>
      <c r="G80" s="456"/>
      <c r="H80" s="456"/>
    </row>
    <row r="81" spans="1:8" ht="13.5" customHeight="1">
      <c r="A81" s="471">
        <v>7077</v>
      </c>
      <c r="B81" s="540" t="s">
        <v>1074</v>
      </c>
      <c r="C81" s="471" t="s">
        <v>248</v>
      </c>
      <c r="D81" s="456">
        <f>IF(Table11[[#This Row],[Current Age]]&gt;19,"Women's",IF(E81&gt;15,"U19",IF(E81&gt;13,"U15",IF(E81&gt;11,"U13",IF(E81&gt;0,"U11",0)))))</f>
        <v>0</v>
      </c>
      <c r="E81" s="456">
        <f>IFERROR(IF(Table11[[#This Row],[Year]]&gt;0,$E$1-Table11[[#This Row],[Year]],0),"")</f>
        <v>0</v>
      </c>
      <c r="F81" s="456"/>
      <c r="G81" s="456"/>
      <c r="H81" s="456"/>
    </row>
    <row r="82" spans="1:8" ht="13.5" customHeight="1">
      <c r="A82" s="456">
        <v>7078</v>
      </c>
      <c r="B82" s="457" t="s">
        <v>1075</v>
      </c>
      <c r="C82" s="456" t="s">
        <v>253</v>
      </c>
      <c r="D82" s="456">
        <f>IF(Table11[[#This Row],[Current Age]]&gt;19,"Women's",IF(E82&gt;15,"U19",IF(E82&gt;13,"U15",IF(E82&gt;11,"U13",IF(E82&gt;0,"U11",0)))))</f>
        <v>0</v>
      </c>
      <c r="E82" s="456">
        <f>IFERROR(IF(Table11[[#This Row],[Year]]&gt;0,$E$1-Table11[[#This Row],[Year]],0),"")</f>
        <v>0</v>
      </c>
      <c r="F82" s="456"/>
      <c r="G82" s="456"/>
      <c r="H82" s="456"/>
    </row>
    <row r="83" spans="1:8" ht="13.5" customHeight="1">
      <c r="A83" s="471">
        <v>7079</v>
      </c>
      <c r="B83" s="540" t="s">
        <v>1076</v>
      </c>
      <c r="C83" s="471" t="s">
        <v>247</v>
      </c>
      <c r="D83" s="456">
        <f>IF(Table11[[#This Row],[Current Age]]&gt;19,"Women's",IF(E83&gt;15,"U19",IF(E83&gt;13,"U15",IF(E83&gt;11,"U13",IF(E83&gt;0,"U11",0)))))</f>
        <v>0</v>
      </c>
      <c r="E83" s="456">
        <f>IFERROR(IF(Table11[[#This Row],[Year]]&gt;0,$E$1-Table11[[#This Row],[Year]],0),"")</f>
        <v>0</v>
      </c>
      <c r="F83" s="456"/>
      <c r="G83" s="456"/>
      <c r="H83" s="456"/>
    </row>
    <row r="84" spans="1:8" ht="13.5" customHeight="1">
      <c r="A84" s="456">
        <v>7080</v>
      </c>
      <c r="B84" s="457" t="s">
        <v>1077</v>
      </c>
      <c r="C84" s="456" t="s">
        <v>243</v>
      </c>
      <c r="D84" s="456">
        <f>IF(Table11[[#This Row],[Current Age]]&gt;19,"Women's",IF(E84&gt;15,"U19",IF(E84&gt;13,"U15",IF(E84&gt;11,"U13",IF(E84&gt;0,"U11",0)))))</f>
        <v>0</v>
      </c>
      <c r="E84" s="456">
        <f>IFERROR(IF(Table11[[#This Row],[Year]]&gt;0,$E$1-Table11[[#This Row],[Year]],0),"")</f>
        <v>0</v>
      </c>
      <c r="F84" s="456"/>
      <c r="G84" s="456"/>
      <c r="H84" s="456"/>
    </row>
    <row r="85" spans="1:8" ht="13.5" customHeight="1">
      <c r="A85" s="471">
        <v>7081</v>
      </c>
      <c r="B85" s="540" t="s">
        <v>1078</v>
      </c>
      <c r="C85" s="471" t="s">
        <v>361</v>
      </c>
      <c r="D85" s="456">
        <f>IF(Table11[[#This Row],[Current Age]]&gt;19,"Women's",IF(E85&gt;15,"U19",IF(E85&gt;13,"U15",IF(E85&gt;11,"U13",IF(E85&gt;0,"U11",0)))))</f>
        <v>0</v>
      </c>
      <c r="E85" s="456">
        <f>IFERROR(IF(Table11[[#This Row],[Year]]&gt;0,$E$1-Table11[[#This Row],[Year]],0),"")</f>
        <v>0</v>
      </c>
      <c r="F85" s="456"/>
      <c r="G85" s="456"/>
      <c r="H85" s="456"/>
    </row>
    <row r="86" spans="1:8" ht="13.5" customHeight="1">
      <c r="A86" s="456">
        <v>7082</v>
      </c>
      <c r="B86" s="457" t="s">
        <v>1079</v>
      </c>
      <c r="C86" s="456" t="s">
        <v>243</v>
      </c>
      <c r="D86" s="456">
        <f>IF(Table11[[#This Row],[Current Age]]&gt;19,"Women's",IF(E86&gt;15,"U19",IF(E86&gt;13,"U15",IF(E86&gt;11,"U13",IF(E86&gt;0,"U11",0)))))</f>
        <v>0</v>
      </c>
      <c r="E86" s="456">
        <f>IFERROR(IF(Table11[[#This Row],[Year]]&gt;0,$E$1-Table11[[#This Row],[Year]],0),"")</f>
        <v>0</v>
      </c>
      <c r="F86" s="456"/>
      <c r="G86" s="456"/>
      <c r="H86" s="456"/>
    </row>
    <row r="87" spans="1:8" ht="13.5" customHeight="1">
      <c r="A87" s="471">
        <v>7083</v>
      </c>
      <c r="B87" s="540" t="s">
        <v>3310</v>
      </c>
      <c r="C87" s="471" t="s">
        <v>252</v>
      </c>
      <c r="D87" s="456">
        <f>IF(Table11[[#This Row],[Current Age]]&gt;19,"Women's",IF(E87&gt;15,"U19",IF(E87&gt;13,"U15",IF(E87&gt;11,"U13",IF(E87&gt;0,"U11",0)))))</f>
        <v>0</v>
      </c>
      <c r="E87" s="456">
        <f>IFERROR(IF(Table11[[#This Row],[Year]]&gt;0,$E$1-Table11[[#This Row],[Year]],0),"")</f>
        <v>0</v>
      </c>
      <c r="F87" s="456"/>
      <c r="G87" s="456"/>
      <c r="H87" s="456"/>
    </row>
    <row r="88" spans="1:8" ht="13.5" customHeight="1">
      <c r="A88" s="456">
        <v>7084</v>
      </c>
      <c r="B88" s="457" t="s">
        <v>1080</v>
      </c>
      <c r="C88" s="456" t="s">
        <v>4720</v>
      </c>
      <c r="D88" s="456" t="str">
        <f>IF(Table11[[#This Row],[Current Age]]&gt;19,"Women's",IF(E88&gt;15,"U19",IF(E88&gt;13,"U15",IF(E88&gt;11,"U13",IF(E88&gt;0,"U11",0)))))</f>
        <v>Women's</v>
      </c>
      <c r="E88" s="456">
        <f>IFERROR(IF(Table11[[#This Row],[Year]]&gt;0,$E$1-Table11[[#This Row],[Year]],0),"")</f>
        <v>24</v>
      </c>
      <c r="F88" s="456">
        <v>2001</v>
      </c>
      <c r="G88" s="456">
        <v>9</v>
      </c>
      <c r="H88" s="456">
        <v>19</v>
      </c>
    </row>
    <row r="89" spans="1:8" ht="13.5" customHeight="1">
      <c r="A89" s="471">
        <v>7085</v>
      </c>
      <c r="B89" s="540" t="s">
        <v>1081</v>
      </c>
      <c r="C89" s="471" t="s">
        <v>247</v>
      </c>
      <c r="D89" s="456">
        <f>IF(Table11[[#This Row],[Current Age]]&gt;19,"Women's",IF(E89&gt;15,"U19",IF(E89&gt;13,"U15",IF(E89&gt;11,"U13",IF(E89&gt;0,"U11",0)))))</f>
        <v>0</v>
      </c>
      <c r="E89" s="456">
        <f>IFERROR(IF(Table11[[#This Row],[Year]]&gt;0,$E$1-Table11[[#This Row],[Year]],0),"")</f>
        <v>0</v>
      </c>
      <c r="F89" s="456"/>
      <c r="G89" s="456"/>
      <c r="H89" s="456"/>
    </row>
    <row r="90" spans="1:8" ht="13.5" customHeight="1">
      <c r="A90" s="456">
        <v>7086</v>
      </c>
      <c r="B90" s="457" t="s">
        <v>1082</v>
      </c>
      <c r="C90" s="456" t="s">
        <v>362</v>
      </c>
      <c r="D90" s="456">
        <f>IF(Table11[[#This Row],[Current Age]]&gt;19,"Women's",IF(E90&gt;15,"U19",IF(E90&gt;13,"U15",IF(E90&gt;11,"U13",IF(E90&gt;0,"U11",0)))))</f>
        <v>0</v>
      </c>
      <c r="E90" s="456">
        <f>IFERROR(IF(Table11[[#This Row],[Year]]&gt;0,$E$1-Table11[[#This Row],[Year]],0),"")</f>
        <v>0</v>
      </c>
      <c r="F90" s="456"/>
      <c r="G90" s="456"/>
      <c r="H90" s="456"/>
    </row>
    <row r="91" spans="1:8" ht="13.5" customHeight="1">
      <c r="A91" s="471">
        <v>7087</v>
      </c>
      <c r="B91" s="540" t="s">
        <v>1083</v>
      </c>
      <c r="C91" s="471" t="s">
        <v>363</v>
      </c>
      <c r="D91" s="456">
        <f>IF(Table11[[#This Row],[Current Age]]&gt;19,"Women's",IF(E91&gt;15,"U19",IF(E91&gt;13,"U15",IF(E91&gt;11,"U13",IF(E91&gt;0,"U11",0)))))</f>
        <v>0</v>
      </c>
      <c r="E91" s="456">
        <f>IFERROR(IF(Table11[[#This Row],[Year]]&gt;0,$E$1-Table11[[#This Row],[Year]],0),"")</f>
        <v>0</v>
      </c>
      <c r="F91" s="456"/>
      <c r="G91" s="456"/>
      <c r="H91" s="456"/>
    </row>
    <row r="92" spans="1:8" ht="13.5" customHeight="1">
      <c r="A92" s="456">
        <v>7088</v>
      </c>
      <c r="B92" s="457" t="s">
        <v>1084</v>
      </c>
      <c r="C92" s="456" t="s">
        <v>361</v>
      </c>
      <c r="D92" s="456">
        <f>IF(Table11[[#This Row],[Current Age]]&gt;19,"Women's",IF(E92&gt;15,"U19",IF(E92&gt;13,"U15",IF(E92&gt;11,"U13",IF(E92&gt;0,"U11",0)))))</f>
        <v>0</v>
      </c>
      <c r="E92" s="456">
        <f>IFERROR(IF(Table11[[#This Row],[Year]]&gt;0,$E$1-Table11[[#This Row],[Year]],0),"")</f>
        <v>0</v>
      </c>
      <c r="F92" s="456"/>
      <c r="G92" s="456"/>
      <c r="H92" s="456"/>
    </row>
    <row r="93" spans="1:8" ht="13.5" customHeight="1">
      <c r="A93" s="471">
        <v>7089</v>
      </c>
      <c r="B93" s="540" t="s">
        <v>1085</v>
      </c>
      <c r="C93" s="471" t="s">
        <v>361</v>
      </c>
      <c r="D93" s="456" t="str">
        <f>IF(Table11[[#This Row],[Current Age]]&gt;19,"Women's",IF(E93&gt;15,"U19",IF(E93&gt;13,"U15",IF(E93&gt;11,"U13",IF(E93&gt;0,"U11",0)))))</f>
        <v>Women's</v>
      </c>
      <c r="E93" s="456">
        <f>IFERROR(IF(Table11[[#This Row],[Year]]&gt;0,$E$1-Table11[[#This Row],[Year]],0),"")</f>
        <v>23</v>
      </c>
      <c r="F93" s="456">
        <v>2002</v>
      </c>
      <c r="G93" s="456">
        <v>1</v>
      </c>
      <c r="H93" s="456">
        <v>16</v>
      </c>
    </row>
    <row r="94" spans="1:8" ht="13.5" customHeight="1">
      <c r="A94" s="456">
        <v>7090</v>
      </c>
      <c r="B94" s="457" t="s">
        <v>1086</v>
      </c>
      <c r="C94" s="456" t="s">
        <v>4658</v>
      </c>
      <c r="D94" s="456" t="str">
        <f>IF(Table11[[#This Row],[Current Age]]&gt;19,"Women's",IF(E94&gt;15,"U19",IF(E94&gt;13,"U15",IF(E94&gt;11,"U13",IF(E94&gt;0,"U11",0)))))</f>
        <v>Women's</v>
      </c>
      <c r="E94" s="456">
        <f>IFERROR(IF(Table11[[#This Row],[Year]]&gt;0,$E$1-Table11[[#This Row],[Year]],0),"")</f>
        <v>25</v>
      </c>
      <c r="F94" s="456">
        <v>2000</v>
      </c>
      <c r="G94" s="456">
        <v>9</v>
      </c>
      <c r="H94" s="456">
        <v>1</v>
      </c>
    </row>
    <row r="95" spans="1:8" ht="13.5" customHeight="1">
      <c r="A95" s="471">
        <v>7091</v>
      </c>
      <c r="B95" s="540" t="s">
        <v>1087</v>
      </c>
      <c r="C95" s="471" t="s">
        <v>244</v>
      </c>
      <c r="D95" s="456">
        <f>IF(Table11[[#This Row],[Current Age]]&gt;19,"Women's",IF(E95&gt;15,"U19",IF(E95&gt;13,"U15",IF(E95&gt;11,"U13",IF(E95&gt;0,"U11",0)))))</f>
        <v>0</v>
      </c>
      <c r="E95" s="456">
        <f>IFERROR(IF(Table11[[#This Row],[Year]]&gt;0,$E$1-Table11[[#This Row],[Year]],0),"")</f>
        <v>0</v>
      </c>
      <c r="F95" s="456"/>
      <c r="G95" s="456"/>
      <c r="H95" s="456"/>
    </row>
    <row r="96" spans="1:8" ht="13.5" customHeight="1">
      <c r="A96" s="456">
        <v>7092</v>
      </c>
      <c r="B96" s="457" t="s">
        <v>1088</v>
      </c>
      <c r="C96" s="456" t="s">
        <v>4720</v>
      </c>
      <c r="D96" s="456">
        <f>IF(Table11[[#This Row],[Current Age]]&gt;19,"Women's",IF(E96&gt;15,"U19",IF(E96&gt;13,"U15",IF(E96&gt;11,"U13",IF(E96&gt;0,"U11",0)))))</f>
        <v>0</v>
      </c>
      <c r="E96" s="456">
        <f>IFERROR(IF(Table11[[#This Row],[Year]]&gt;0,$E$1-Table11[[#This Row],[Year]],0),"")</f>
        <v>0</v>
      </c>
      <c r="F96" s="456"/>
      <c r="G96" s="456"/>
      <c r="H96" s="456"/>
    </row>
    <row r="97" spans="1:8" ht="13.5" customHeight="1">
      <c r="A97" s="471">
        <v>7093</v>
      </c>
      <c r="B97" s="540" t="s">
        <v>1089</v>
      </c>
      <c r="C97" s="471" t="s">
        <v>256</v>
      </c>
      <c r="D97" s="456">
        <f>IF(Table11[[#This Row],[Current Age]]&gt;19,"Women's",IF(E97&gt;15,"U19",IF(E97&gt;13,"U15",IF(E97&gt;11,"U13",IF(E97&gt;0,"U11",0)))))</f>
        <v>0</v>
      </c>
      <c r="E97" s="456">
        <f>IFERROR(IF(Table11[[#This Row],[Year]]&gt;0,$E$1-Table11[[#This Row],[Year]],0),"")</f>
        <v>0</v>
      </c>
      <c r="F97" s="456"/>
      <c r="G97" s="456"/>
      <c r="H97" s="456"/>
    </row>
    <row r="98" spans="1:8" ht="13.5" customHeight="1">
      <c r="A98" s="456">
        <v>7094</v>
      </c>
      <c r="B98" s="457" t="s">
        <v>1090</v>
      </c>
      <c r="C98" s="456" t="s">
        <v>252</v>
      </c>
      <c r="D98" s="456">
        <f>IF(Table11[[#This Row],[Current Age]]&gt;19,"Women's",IF(E98&gt;15,"U19",IF(E98&gt;13,"U15",IF(E98&gt;11,"U13",IF(E98&gt;0,"U11",0)))))</f>
        <v>0</v>
      </c>
      <c r="E98" s="456">
        <f>IFERROR(IF(Table11[[#This Row],[Year]]&gt;0,$E$1-Table11[[#This Row],[Year]],0),"")</f>
        <v>0</v>
      </c>
      <c r="F98" s="456"/>
      <c r="G98" s="456"/>
      <c r="H98" s="456"/>
    </row>
    <row r="99" spans="1:8" ht="13.5" customHeight="1">
      <c r="A99" s="471">
        <v>7095</v>
      </c>
      <c r="B99" s="540" t="s">
        <v>1091</v>
      </c>
      <c r="C99" s="471" t="s">
        <v>253</v>
      </c>
      <c r="D99" s="456">
        <f>IF(Table11[[#This Row],[Current Age]]&gt;19,"Women's",IF(E99&gt;15,"U19",IF(E99&gt;13,"U15",IF(E99&gt;11,"U13",IF(E99&gt;0,"U11",0)))))</f>
        <v>0</v>
      </c>
      <c r="E99" s="456">
        <f>IFERROR(IF(Table11[[#This Row],[Year]]&gt;0,$E$1-Table11[[#This Row],[Year]],0),"")</f>
        <v>0</v>
      </c>
      <c r="F99" s="456"/>
      <c r="G99" s="456"/>
      <c r="H99" s="456"/>
    </row>
    <row r="100" spans="1:8" ht="13.5" customHeight="1">
      <c r="A100" s="456">
        <v>7096</v>
      </c>
      <c r="B100" s="457" t="s">
        <v>1092</v>
      </c>
      <c r="C100" s="456" t="s">
        <v>4720</v>
      </c>
      <c r="D100" s="456">
        <f>IF(Table11[[#This Row],[Current Age]]&gt;19,"Women's",IF(E100&gt;15,"U19",IF(E100&gt;13,"U15",IF(E100&gt;11,"U13",IF(E100&gt;0,"U11",0)))))</f>
        <v>0</v>
      </c>
      <c r="E100" s="456">
        <f>IFERROR(IF(Table11[[#This Row],[Year]]&gt;0,$E$1-Table11[[#This Row],[Year]],0),"")</f>
        <v>0</v>
      </c>
      <c r="F100" s="456"/>
      <c r="G100" s="456"/>
      <c r="H100" s="456"/>
    </row>
    <row r="101" spans="1:8" ht="13.5" customHeight="1">
      <c r="A101" s="471">
        <v>7097</v>
      </c>
      <c r="B101" s="540" t="s">
        <v>1093</v>
      </c>
      <c r="C101" s="471" t="s">
        <v>246</v>
      </c>
      <c r="D101" s="456">
        <f>IF(Table11[[#This Row],[Current Age]]&gt;19,"Women's",IF(E101&gt;15,"U19",IF(E101&gt;13,"U15",IF(E101&gt;11,"U13",IF(E101&gt;0,"U11",0)))))</f>
        <v>0</v>
      </c>
      <c r="E101" s="456">
        <f>IFERROR(IF(Table11[[#This Row],[Year]]&gt;0,$E$1-Table11[[#This Row],[Year]],0),"")</f>
        <v>0</v>
      </c>
      <c r="F101" s="456"/>
      <c r="G101" s="456"/>
      <c r="H101" s="456"/>
    </row>
    <row r="102" spans="1:8" ht="13.5" customHeight="1">
      <c r="A102" s="456">
        <v>7098</v>
      </c>
      <c r="B102" s="457" t="s">
        <v>1094</v>
      </c>
      <c r="C102" s="456" t="s">
        <v>253</v>
      </c>
      <c r="D102" s="456">
        <f>IF(Table11[[#This Row],[Current Age]]&gt;19,"Women's",IF(E102&gt;15,"U19",IF(E102&gt;13,"U15",IF(E102&gt;11,"U13",IF(E102&gt;0,"U11",0)))))</f>
        <v>0</v>
      </c>
      <c r="E102" s="456">
        <f>IFERROR(IF(Table11[[#This Row],[Year]]&gt;0,$E$1-Table11[[#This Row],[Year]],0),"")</f>
        <v>0</v>
      </c>
      <c r="F102" s="456"/>
      <c r="G102" s="456"/>
      <c r="H102" s="456"/>
    </row>
    <row r="103" spans="1:8" ht="13.5" customHeight="1">
      <c r="A103" s="471">
        <v>7099</v>
      </c>
      <c r="B103" s="540" t="s">
        <v>1095</v>
      </c>
      <c r="C103" s="471" t="s">
        <v>246</v>
      </c>
      <c r="D103" s="456">
        <f>IF(Table11[[#This Row],[Current Age]]&gt;19,"Women's",IF(E103&gt;15,"U19",IF(E103&gt;13,"U15",IF(E103&gt;11,"U13",IF(E103&gt;0,"U11",0)))))</f>
        <v>0</v>
      </c>
      <c r="E103" s="456">
        <f>IFERROR(IF(Table11[[#This Row],[Year]]&gt;0,$E$1-Table11[[#This Row],[Year]],0),"")</f>
        <v>0</v>
      </c>
      <c r="F103" s="456"/>
      <c r="G103" s="456"/>
      <c r="H103" s="456"/>
    </row>
    <row r="104" spans="1:8" ht="13.5" customHeight="1">
      <c r="A104" s="456">
        <v>7100</v>
      </c>
      <c r="B104" s="457" t="s">
        <v>1096</v>
      </c>
      <c r="C104" s="456" t="s">
        <v>363</v>
      </c>
      <c r="D104" s="456">
        <f>IF(Table11[[#This Row],[Current Age]]&gt;19,"Women's",IF(E104&gt;15,"U19",IF(E104&gt;13,"U15",IF(E104&gt;11,"U13",IF(E104&gt;0,"U11",0)))))</f>
        <v>0</v>
      </c>
      <c r="E104" s="456">
        <f>IFERROR(IF(Table11[[#This Row],[Year]]&gt;0,$E$1-Table11[[#This Row],[Year]],0),"")</f>
        <v>0</v>
      </c>
      <c r="F104" s="456"/>
      <c r="G104" s="456"/>
      <c r="H104" s="456"/>
    </row>
    <row r="105" spans="1:8" ht="13.5" customHeight="1">
      <c r="A105" s="471">
        <v>7101</v>
      </c>
      <c r="B105" s="540" t="s">
        <v>1097</v>
      </c>
      <c r="C105" s="471" t="s">
        <v>243</v>
      </c>
      <c r="D105" s="456" t="str">
        <f>IF(Table11[[#This Row],[Current Age]]&gt;19,"Women's",IF(E105&gt;15,"U19",IF(E105&gt;13,"U15",IF(E105&gt;11,"U13",IF(E105&gt;0,"U11",0)))))</f>
        <v>Women's</v>
      </c>
      <c r="E105" s="456">
        <f>IFERROR(IF(Table11[[#This Row],[Year]]&gt;0,$E$1-Table11[[#This Row],[Year]],0),"")</f>
        <v>35</v>
      </c>
      <c r="F105" s="456">
        <v>1990</v>
      </c>
      <c r="G105" s="456">
        <v>4</v>
      </c>
      <c r="H105" s="456">
        <v>21</v>
      </c>
    </row>
    <row r="106" spans="1:8" ht="13.5" customHeight="1">
      <c r="A106" s="456">
        <v>7102</v>
      </c>
      <c r="B106" s="457" t="s">
        <v>1098</v>
      </c>
      <c r="C106" s="456" t="s">
        <v>361</v>
      </c>
      <c r="D106" s="456">
        <f>IF(Table11[[#This Row],[Current Age]]&gt;19,"Women's",IF(E106&gt;15,"U19",IF(E106&gt;13,"U15",IF(E106&gt;11,"U13",IF(E106&gt;0,"U11",0)))))</f>
        <v>0</v>
      </c>
      <c r="E106" s="456">
        <f>IFERROR(IF(Table11[[#This Row],[Year]]&gt;0,$E$1-Table11[[#This Row],[Year]],0),"")</f>
        <v>0</v>
      </c>
      <c r="F106" s="456"/>
      <c r="G106" s="456"/>
      <c r="H106" s="456"/>
    </row>
    <row r="107" spans="1:8" ht="13.5" customHeight="1">
      <c r="A107" s="471">
        <v>7103</v>
      </c>
      <c r="B107" s="540" t="s">
        <v>1099</v>
      </c>
      <c r="C107" s="471" t="s">
        <v>247</v>
      </c>
      <c r="D107" s="456">
        <f>IF(Table11[[#This Row],[Current Age]]&gt;19,"Women's",IF(E107&gt;15,"U19",IF(E107&gt;13,"U15",IF(E107&gt;11,"U13",IF(E107&gt;0,"U11",0)))))</f>
        <v>0</v>
      </c>
      <c r="E107" s="456">
        <f>IFERROR(IF(Table11[[#This Row],[Year]]&gt;0,$E$1-Table11[[#This Row],[Year]],0),"")</f>
        <v>0</v>
      </c>
      <c r="F107" s="456"/>
      <c r="G107" s="456"/>
      <c r="H107" s="456"/>
    </row>
    <row r="108" spans="1:8" ht="13.5" customHeight="1">
      <c r="A108" s="456">
        <v>7104</v>
      </c>
      <c r="B108" s="457" t="s">
        <v>1100</v>
      </c>
      <c r="C108" s="456" t="s">
        <v>362</v>
      </c>
      <c r="D108" s="456">
        <f>IF(Table11[[#This Row],[Current Age]]&gt;19,"Women's",IF(E108&gt;15,"U19",IF(E108&gt;13,"U15",IF(E108&gt;11,"U13",IF(E108&gt;0,"U11",0)))))</f>
        <v>0</v>
      </c>
      <c r="E108" s="456">
        <f>IFERROR(IF(Table11[[#This Row],[Year]]&gt;0,$E$1-Table11[[#This Row],[Year]],0),"")</f>
        <v>0</v>
      </c>
      <c r="F108" s="456"/>
      <c r="G108" s="456"/>
      <c r="H108" s="456"/>
    </row>
    <row r="109" spans="1:8" ht="13.5" customHeight="1">
      <c r="A109" s="471">
        <v>7105</v>
      </c>
      <c r="B109" s="540" t="s">
        <v>1101</v>
      </c>
      <c r="C109" s="471" t="s">
        <v>361</v>
      </c>
      <c r="D109" s="456">
        <f>IF(Table11[[#This Row],[Current Age]]&gt;19,"Women's",IF(E109&gt;15,"U19",IF(E109&gt;13,"U15",IF(E109&gt;11,"U13",IF(E109&gt;0,"U11",0)))))</f>
        <v>0</v>
      </c>
      <c r="E109" s="456">
        <f>IFERROR(IF(Table11[[#This Row],[Year]]&gt;0,$E$1-Table11[[#This Row],[Year]],0),"")</f>
        <v>0</v>
      </c>
      <c r="F109" s="456"/>
      <c r="G109" s="456"/>
      <c r="H109" s="456"/>
    </row>
    <row r="110" spans="1:8" ht="13.5" customHeight="1">
      <c r="A110" s="456">
        <v>7106</v>
      </c>
      <c r="B110" s="457" t="s">
        <v>1102</v>
      </c>
      <c r="C110" s="456" t="s">
        <v>243</v>
      </c>
      <c r="D110" s="456" t="str">
        <f>IF(Table11[[#This Row],[Current Age]]&gt;19,"Women's",IF(E110&gt;15,"U19",IF(E110&gt;13,"U15",IF(E110&gt;11,"U13",IF(E110&gt;0,"U11",0)))))</f>
        <v>Women's</v>
      </c>
      <c r="E110" s="456">
        <f>IFERROR(IF(Table11[[#This Row],[Year]]&gt;0,$E$1-Table11[[#This Row],[Year]],0),"")</f>
        <v>23</v>
      </c>
      <c r="F110" s="456">
        <v>2002</v>
      </c>
      <c r="G110" s="456">
        <v>9</v>
      </c>
      <c r="H110" s="456">
        <v>9</v>
      </c>
    </row>
    <row r="111" spans="1:8" ht="13.5" customHeight="1">
      <c r="A111" s="471">
        <v>7107</v>
      </c>
      <c r="B111" s="540" t="s">
        <v>1103</v>
      </c>
      <c r="C111" s="471" t="s">
        <v>248</v>
      </c>
      <c r="D111" s="456">
        <f>IF(Table11[[#This Row],[Current Age]]&gt;19,"Women's",IF(E111&gt;15,"U19",IF(E111&gt;13,"U15",IF(E111&gt;11,"U13",IF(E111&gt;0,"U11",0)))))</f>
        <v>0</v>
      </c>
      <c r="E111" s="456">
        <f>IFERROR(IF(Table11[[#This Row],[Year]]&gt;0,$E$1-Table11[[#This Row],[Year]],0),"")</f>
        <v>0</v>
      </c>
      <c r="F111" s="456"/>
      <c r="G111" s="456"/>
      <c r="H111" s="456"/>
    </row>
    <row r="112" spans="1:8" ht="13.5" customHeight="1">
      <c r="A112" s="456">
        <v>7108</v>
      </c>
      <c r="B112" s="457" t="s">
        <v>1104</v>
      </c>
      <c r="C112" s="456" t="s">
        <v>243</v>
      </c>
      <c r="D112" s="456">
        <f>IF(Table11[[#This Row],[Current Age]]&gt;19,"Women's",IF(E112&gt;15,"U19",IF(E112&gt;13,"U15",IF(E112&gt;11,"U13",IF(E112&gt;0,"U11",0)))))</f>
        <v>0</v>
      </c>
      <c r="E112" s="456">
        <f>IFERROR(IF(Table11[[#This Row],[Year]]&gt;0,$E$1-Table11[[#This Row],[Year]],0),"")</f>
        <v>0</v>
      </c>
      <c r="F112" s="456"/>
      <c r="G112" s="456"/>
      <c r="H112" s="456"/>
    </row>
    <row r="113" spans="1:8" ht="13.5" customHeight="1">
      <c r="A113" s="471">
        <v>7109</v>
      </c>
      <c r="B113" s="540" t="s">
        <v>1105</v>
      </c>
      <c r="C113" s="471" t="s">
        <v>252</v>
      </c>
      <c r="D113" s="456">
        <f>IF(Table11[[#This Row],[Current Age]]&gt;19,"Women's",IF(E113&gt;15,"U19",IF(E113&gt;13,"U15",IF(E113&gt;11,"U13",IF(E113&gt;0,"U11",0)))))</f>
        <v>0</v>
      </c>
      <c r="E113" s="456">
        <f>IFERROR(IF(Table11[[#This Row],[Year]]&gt;0,$E$1-Table11[[#This Row],[Year]],0),"")</f>
        <v>0</v>
      </c>
      <c r="F113" s="456"/>
      <c r="G113" s="456"/>
      <c r="H113" s="456"/>
    </row>
    <row r="114" spans="1:8" ht="13.5" customHeight="1">
      <c r="A114" s="456">
        <v>7110</v>
      </c>
      <c r="B114" s="457" t="s">
        <v>1306</v>
      </c>
      <c r="C114" s="456" t="s">
        <v>246</v>
      </c>
      <c r="D114" s="456">
        <f>IF(Table11[[#This Row],[Current Age]]&gt;19,"Women's",IF(E114&gt;15,"U19",IF(E114&gt;13,"U15",IF(E114&gt;11,"U13",IF(E114&gt;0,"U11",0)))))</f>
        <v>0</v>
      </c>
      <c r="E114" s="456">
        <f>IFERROR(IF(Table11[[#This Row],[Year]]&gt;0,$E$1-Table11[[#This Row],[Year]],0),"")</f>
        <v>0</v>
      </c>
      <c r="F114" s="456"/>
      <c r="G114" s="456"/>
      <c r="H114" s="456"/>
    </row>
    <row r="115" spans="1:8" ht="13.5" customHeight="1">
      <c r="A115" s="471">
        <v>7111</v>
      </c>
      <c r="B115" s="540" t="s">
        <v>1305</v>
      </c>
      <c r="C115" s="471" t="s">
        <v>246</v>
      </c>
      <c r="D115" s="456">
        <f>IF(Table11[[#This Row],[Current Age]]&gt;19,"Women's",IF(E115&gt;15,"U19",IF(E115&gt;13,"U15",IF(E115&gt;11,"U13",IF(E115&gt;0,"U11",0)))))</f>
        <v>0</v>
      </c>
      <c r="E115" s="456">
        <f>IFERROR(IF(Table11[[#This Row],[Year]]&gt;0,$E$1-Table11[[#This Row],[Year]],0),"")</f>
        <v>0</v>
      </c>
      <c r="F115" s="456"/>
      <c r="G115" s="456"/>
      <c r="H115" s="456"/>
    </row>
    <row r="116" spans="1:8" ht="13.5" customHeight="1">
      <c r="A116" s="456">
        <v>7112</v>
      </c>
      <c r="B116" s="457" t="s">
        <v>1106</v>
      </c>
      <c r="C116" s="456" t="s">
        <v>361</v>
      </c>
      <c r="D116" s="456" t="str">
        <f>IF(Table11[[#This Row],[Current Age]]&gt;19,"Women's",IF(E116&gt;15,"U19",IF(E116&gt;13,"U15",IF(E116&gt;11,"U13",IF(E116&gt;0,"U11",0)))))</f>
        <v>Women's</v>
      </c>
      <c r="E116" s="456">
        <f>IFERROR(IF(Table11[[#This Row],[Year]]&gt;0,$E$1-Table11[[#This Row],[Year]],0),"")</f>
        <v>23</v>
      </c>
      <c r="F116" s="456">
        <v>2002</v>
      </c>
      <c r="G116" s="456">
        <v>3</v>
      </c>
      <c r="H116" s="456">
        <v>1</v>
      </c>
    </row>
    <row r="117" spans="1:8" ht="13.5" customHeight="1">
      <c r="A117" s="471">
        <v>7113</v>
      </c>
      <c r="B117" s="540" t="s">
        <v>1107</v>
      </c>
      <c r="C117" s="471" t="s">
        <v>248</v>
      </c>
      <c r="D117" s="456" t="str">
        <f>IF(Table11[[#This Row],[Current Age]]&gt;19,"Women's",IF(E117&gt;15,"U19",IF(E117&gt;13,"U15",IF(E117&gt;11,"U13",IF(E117&gt;0,"U11",0)))))</f>
        <v>Women's</v>
      </c>
      <c r="E117" s="456">
        <f>IFERROR(IF(Table11[[#This Row],[Year]]&gt;0,$E$1-Table11[[#This Row],[Year]],0),"")</f>
        <v>25</v>
      </c>
      <c r="F117" s="456">
        <v>2000</v>
      </c>
      <c r="G117" s="456">
        <v>8</v>
      </c>
      <c r="H117" s="456">
        <v>4</v>
      </c>
    </row>
    <row r="118" spans="1:8" ht="13.5" customHeight="1">
      <c r="A118" s="456">
        <v>7114</v>
      </c>
      <c r="B118" s="457" t="s">
        <v>1108</v>
      </c>
      <c r="C118" s="456" t="s">
        <v>361</v>
      </c>
      <c r="D118" s="456" t="str">
        <f>IF(Table11[[#This Row],[Current Age]]&gt;19,"Women's",IF(E118&gt;15,"U19",IF(E118&gt;13,"U15",IF(E118&gt;11,"U13",IF(E118&gt;0,"U11",0)))))</f>
        <v>Women's</v>
      </c>
      <c r="E118" s="456">
        <f>IFERROR(IF(Table11[[#This Row],[Year]]&gt;0,$E$1-Table11[[#This Row],[Year]],0),"")</f>
        <v>23</v>
      </c>
      <c r="F118" s="456">
        <v>2002</v>
      </c>
      <c r="G118" s="456">
        <v>5</v>
      </c>
      <c r="H118" s="456">
        <v>15</v>
      </c>
    </row>
    <row r="119" spans="1:8" ht="13.5" customHeight="1">
      <c r="A119" s="471">
        <v>7115</v>
      </c>
      <c r="B119" s="540" t="s">
        <v>1109</v>
      </c>
      <c r="C119" s="471" t="s">
        <v>361</v>
      </c>
      <c r="D119" s="456">
        <f>IF(Table11[[#This Row],[Current Age]]&gt;19,"Women's",IF(E119&gt;15,"U19",IF(E119&gt;13,"U15",IF(E119&gt;11,"U13",IF(E119&gt;0,"U11",0)))))</f>
        <v>0</v>
      </c>
      <c r="E119" s="456">
        <f>IFERROR(IF(Table11[[#This Row],[Year]]&gt;0,$E$1-Table11[[#This Row],[Year]],0),"")</f>
        <v>0</v>
      </c>
      <c r="F119" s="456"/>
      <c r="G119" s="456"/>
      <c r="H119" s="456"/>
    </row>
    <row r="120" spans="1:8" ht="13.5" customHeight="1">
      <c r="A120" s="456">
        <v>7116</v>
      </c>
      <c r="B120" s="457" t="s">
        <v>1110</v>
      </c>
      <c r="C120" s="456" t="s">
        <v>251</v>
      </c>
      <c r="D120" s="456">
        <f>IF(Table11[[#This Row],[Current Age]]&gt;19,"Women's",IF(E120&gt;15,"U19",IF(E120&gt;13,"U15",IF(E120&gt;11,"U13",IF(E120&gt;0,"U11",0)))))</f>
        <v>0</v>
      </c>
      <c r="E120" s="456">
        <f>IFERROR(IF(Table11[[#This Row],[Year]]&gt;0,$E$1-Table11[[#This Row],[Year]],0),"")</f>
        <v>0</v>
      </c>
      <c r="F120" s="456"/>
      <c r="G120" s="456"/>
      <c r="H120" s="456"/>
    </row>
    <row r="121" spans="1:8" ht="13.5" customHeight="1">
      <c r="A121" s="471">
        <v>7117</v>
      </c>
      <c r="B121" s="540" t="s">
        <v>1111</v>
      </c>
      <c r="C121" s="471" t="s">
        <v>248</v>
      </c>
      <c r="D121" s="456" t="str">
        <f>IF(Table11[[#This Row],[Current Age]]&gt;19,"Women's",IF(E121&gt;15,"U19",IF(E121&gt;13,"U15",IF(E121&gt;11,"U13",IF(E121&gt;0,"U11",0)))))</f>
        <v>Women's</v>
      </c>
      <c r="E121" s="456">
        <f>IFERROR(IF(Table11[[#This Row],[Year]]&gt;0,$E$1-Table11[[#This Row],[Year]],0),"")</f>
        <v>24</v>
      </c>
      <c r="F121" s="456">
        <v>2001</v>
      </c>
      <c r="G121" s="456">
        <v>8</v>
      </c>
      <c r="H121" s="456">
        <v>4</v>
      </c>
    </row>
    <row r="122" spans="1:8" ht="13.5" customHeight="1">
      <c r="A122" s="456">
        <v>7118</v>
      </c>
      <c r="B122" s="457" t="s">
        <v>1112</v>
      </c>
      <c r="C122" s="456" t="s">
        <v>248</v>
      </c>
      <c r="D122" s="456">
        <f>IF(Table11[[#This Row],[Current Age]]&gt;19,"Women's",IF(E122&gt;15,"U19",IF(E122&gt;13,"U15",IF(E122&gt;11,"U13",IF(E122&gt;0,"U11",0)))))</f>
        <v>0</v>
      </c>
      <c r="E122" s="456">
        <f>IFERROR(IF(Table11[[#This Row],[Year]]&gt;0,$E$1-Table11[[#This Row],[Year]],0),"")</f>
        <v>0</v>
      </c>
      <c r="F122" s="456"/>
      <c r="G122" s="456"/>
      <c r="H122" s="456"/>
    </row>
    <row r="123" spans="1:8" ht="13.5" customHeight="1">
      <c r="A123" s="471">
        <v>7119</v>
      </c>
      <c r="B123" s="540" t="s">
        <v>1113</v>
      </c>
      <c r="C123" s="471" t="s">
        <v>4720</v>
      </c>
      <c r="D123" s="456">
        <f>IF(Table11[[#This Row],[Current Age]]&gt;19,"Women's",IF(E123&gt;15,"U19",IF(E123&gt;13,"U15",IF(E123&gt;11,"U13",IF(E123&gt;0,"U11",0)))))</f>
        <v>0</v>
      </c>
      <c r="E123" s="456">
        <f>IFERROR(IF(Table11[[#This Row],[Year]]&gt;0,$E$1-Table11[[#This Row],[Year]],0),"")</f>
        <v>0</v>
      </c>
      <c r="F123" s="456"/>
      <c r="G123" s="456"/>
      <c r="H123" s="456"/>
    </row>
    <row r="124" spans="1:8" ht="13.5" customHeight="1">
      <c r="A124" s="456">
        <v>7120</v>
      </c>
      <c r="B124" s="457" t="s">
        <v>1114</v>
      </c>
      <c r="C124" s="456" t="s">
        <v>362</v>
      </c>
      <c r="D124" s="456">
        <f>IF(Table11[[#This Row],[Current Age]]&gt;19,"Women's",IF(E124&gt;15,"U19",IF(E124&gt;13,"U15",IF(E124&gt;11,"U13",IF(E124&gt;0,"U11",0)))))</f>
        <v>0</v>
      </c>
      <c r="E124" s="456">
        <f>IFERROR(IF(Table11[[#This Row],[Year]]&gt;0,$E$1-Table11[[#This Row],[Year]],0),"")</f>
        <v>0</v>
      </c>
      <c r="F124" s="456"/>
      <c r="G124" s="456"/>
      <c r="H124" s="456"/>
    </row>
    <row r="125" spans="1:8" ht="13.5" customHeight="1">
      <c r="A125" s="471">
        <v>7121</v>
      </c>
      <c r="B125" s="540" t="s">
        <v>1115</v>
      </c>
      <c r="C125" s="471" t="s">
        <v>254</v>
      </c>
      <c r="D125" s="456">
        <f>IF(Table11[[#This Row],[Current Age]]&gt;19,"Women's",IF(E125&gt;15,"U19",IF(E125&gt;13,"U15",IF(E125&gt;11,"U13",IF(E125&gt;0,"U11",0)))))</f>
        <v>0</v>
      </c>
      <c r="E125" s="456">
        <f>IFERROR(IF(Table11[[#This Row],[Year]]&gt;0,$E$1-Table11[[#This Row],[Year]],0),"")</f>
        <v>0</v>
      </c>
      <c r="F125" s="456"/>
      <c r="G125" s="456"/>
      <c r="H125" s="456"/>
    </row>
    <row r="126" spans="1:8" ht="13.5" customHeight="1">
      <c r="A126" s="456">
        <v>7122</v>
      </c>
      <c r="B126" s="457" t="s">
        <v>1116</v>
      </c>
      <c r="C126" s="456" t="s">
        <v>244</v>
      </c>
      <c r="D126" s="456">
        <f>IF(Table11[[#This Row],[Current Age]]&gt;19,"Women's",IF(E126&gt;15,"U19",IF(E126&gt;13,"U15",IF(E126&gt;11,"U13",IF(E126&gt;0,"U11",0)))))</f>
        <v>0</v>
      </c>
      <c r="E126" s="456">
        <f>IFERROR(IF(Table11[[#This Row],[Year]]&gt;0,$E$1-Table11[[#This Row],[Year]],0),"")</f>
        <v>0</v>
      </c>
      <c r="F126" s="456"/>
      <c r="G126" s="456"/>
      <c r="H126" s="456"/>
    </row>
    <row r="127" spans="1:8" ht="13.5" customHeight="1">
      <c r="A127" s="471">
        <v>7123</v>
      </c>
      <c r="B127" s="540" t="s">
        <v>1117</v>
      </c>
      <c r="C127" s="471" t="s">
        <v>251</v>
      </c>
      <c r="D127" s="456">
        <f>IF(Table11[[#This Row],[Current Age]]&gt;19,"Women's",IF(E127&gt;15,"U19",IF(E127&gt;13,"U15",IF(E127&gt;11,"U13",IF(E127&gt;0,"U11",0)))))</f>
        <v>0</v>
      </c>
      <c r="E127" s="456">
        <f>IFERROR(IF(Table11[[#This Row],[Year]]&gt;0,$E$1-Table11[[#This Row],[Year]],0),"")</f>
        <v>0</v>
      </c>
      <c r="F127" s="456"/>
      <c r="G127" s="456"/>
      <c r="H127" s="456"/>
    </row>
    <row r="128" spans="1:8" ht="13.5" customHeight="1">
      <c r="A128" s="456">
        <v>7124</v>
      </c>
      <c r="B128" s="457" t="s">
        <v>1118</v>
      </c>
      <c r="C128" s="456" t="s">
        <v>363</v>
      </c>
      <c r="D128" s="456">
        <f>IF(Table11[[#This Row],[Current Age]]&gt;19,"Women's",IF(E128&gt;15,"U19",IF(E128&gt;13,"U15",IF(E128&gt;11,"U13",IF(E128&gt;0,"U11",0)))))</f>
        <v>0</v>
      </c>
      <c r="E128" s="456">
        <f>IFERROR(IF(Table11[[#This Row],[Year]]&gt;0,$E$1-Table11[[#This Row],[Year]],0),"")</f>
        <v>0</v>
      </c>
      <c r="F128" s="456"/>
      <c r="G128" s="456"/>
      <c r="H128" s="456"/>
    </row>
    <row r="129" spans="1:8" ht="13.5" customHeight="1">
      <c r="A129" s="471">
        <v>7125</v>
      </c>
      <c r="B129" s="540" t="s">
        <v>1119</v>
      </c>
      <c r="C129" s="471" t="s">
        <v>361</v>
      </c>
      <c r="D129" s="456">
        <f>IF(Table11[[#This Row],[Current Age]]&gt;19,"Women's",IF(E129&gt;15,"U19",IF(E129&gt;13,"U15",IF(E129&gt;11,"U13",IF(E129&gt;0,"U11",0)))))</f>
        <v>0</v>
      </c>
      <c r="E129" s="456">
        <f>IFERROR(IF(Table11[[#This Row],[Year]]&gt;0,$E$1-Table11[[#This Row],[Year]],0),"")</f>
        <v>0</v>
      </c>
      <c r="F129" s="456"/>
      <c r="G129" s="456"/>
      <c r="H129" s="456"/>
    </row>
    <row r="130" spans="1:8" ht="13.5" customHeight="1">
      <c r="A130" s="456">
        <v>7126</v>
      </c>
      <c r="B130" s="457" t="s">
        <v>1120</v>
      </c>
      <c r="C130" s="456" t="s">
        <v>762</v>
      </c>
      <c r="D130" s="456">
        <f>IF(Table11[[#This Row],[Current Age]]&gt;19,"Women's",IF(E130&gt;15,"U19",IF(E130&gt;13,"U15",IF(E130&gt;11,"U13",IF(E130&gt;0,"U11",0)))))</f>
        <v>0</v>
      </c>
      <c r="E130" s="456">
        <f>IFERROR(IF(Table11[[#This Row],[Year]]&gt;0,$E$1-Table11[[#This Row],[Year]],0),"")</f>
        <v>0</v>
      </c>
      <c r="F130" s="456"/>
      <c r="G130" s="456"/>
      <c r="H130" s="456"/>
    </row>
    <row r="131" spans="1:8" ht="13.5" customHeight="1">
      <c r="A131" s="471">
        <v>7127</v>
      </c>
      <c r="B131" s="540" t="s">
        <v>1121</v>
      </c>
      <c r="C131" s="471" t="s">
        <v>362</v>
      </c>
      <c r="D131" s="456">
        <f>IF(Table11[[#This Row],[Current Age]]&gt;19,"Women's",IF(E131&gt;15,"U19",IF(E131&gt;13,"U15",IF(E131&gt;11,"U13",IF(E131&gt;0,"U11",0)))))</f>
        <v>0</v>
      </c>
      <c r="E131" s="456">
        <f>IFERROR(IF(Table11[[#This Row],[Year]]&gt;0,$E$1-Table11[[#This Row],[Year]],0),"")</f>
        <v>0</v>
      </c>
      <c r="F131" s="456"/>
      <c r="G131" s="456"/>
      <c r="H131" s="456"/>
    </row>
    <row r="132" spans="1:8" ht="13.5" customHeight="1">
      <c r="A132" s="456">
        <v>7128</v>
      </c>
      <c r="B132" s="457" t="s">
        <v>1304</v>
      </c>
      <c r="C132" s="456" t="s">
        <v>249</v>
      </c>
      <c r="D132" s="456" t="str">
        <f>IF(Table11[[#This Row],[Current Age]]&gt;19,"Women's",IF(E132&gt;15,"U19",IF(E132&gt;13,"U15",IF(E132&gt;11,"U13",IF(E132&gt;0,"U11",0)))))</f>
        <v>Women's</v>
      </c>
      <c r="E132" s="456">
        <f>IFERROR(IF(Table11[[#This Row],[Year]]&gt;0,$E$1-Table11[[#This Row],[Year]],0),"")</f>
        <v>23</v>
      </c>
      <c r="F132" s="456">
        <v>2002</v>
      </c>
      <c r="G132" s="456">
        <v>12</v>
      </c>
      <c r="H132" s="456">
        <v>10</v>
      </c>
    </row>
    <row r="133" spans="1:8" ht="13.5" customHeight="1">
      <c r="A133" s="471">
        <v>7129</v>
      </c>
      <c r="B133" s="540" t="s">
        <v>1122</v>
      </c>
      <c r="C133" s="471" t="s">
        <v>363</v>
      </c>
      <c r="D133" s="456">
        <f>IF(Table11[[#This Row],[Current Age]]&gt;19,"Women's",IF(E133&gt;15,"U19",IF(E133&gt;13,"U15",IF(E133&gt;11,"U13",IF(E133&gt;0,"U11",0)))))</f>
        <v>0</v>
      </c>
      <c r="E133" s="456">
        <f>IFERROR(IF(Table11[[#This Row],[Year]]&gt;0,$E$1-Table11[[#This Row],[Year]],0),"")</f>
        <v>0</v>
      </c>
      <c r="F133" s="456"/>
      <c r="G133" s="456"/>
      <c r="H133" s="456"/>
    </row>
    <row r="134" spans="1:8" ht="13.5" customHeight="1">
      <c r="A134" s="456">
        <v>7130</v>
      </c>
      <c r="B134" s="457" t="s">
        <v>1123</v>
      </c>
      <c r="C134" s="456" t="s">
        <v>248</v>
      </c>
      <c r="D134" s="456">
        <f>IF(Table11[[#This Row],[Current Age]]&gt;19,"Women's",IF(E134&gt;15,"U19",IF(E134&gt;13,"U15",IF(E134&gt;11,"U13",IF(E134&gt;0,"U11",0)))))</f>
        <v>0</v>
      </c>
      <c r="E134" s="456">
        <f>IFERROR(IF(Table11[[#This Row],[Year]]&gt;0,$E$1-Table11[[#This Row],[Year]],0),"")</f>
        <v>0</v>
      </c>
      <c r="F134" s="456"/>
      <c r="G134" s="456"/>
      <c r="H134" s="456"/>
    </row>
    <row r="135" spans="1:8" ht="13.5" customHeight="1">
      <c r="A135" s="471">
        <v>7131</v>
      </c>
      <c r="B135" s="540" t="s">
        <v>1124</v>
      </c>
      <c r="C135" s="471" t="s">
        <v>248</v>
      </c>
      <c r="D135" s="456" t="str">
        <f>IF(Table11[[#This Row],[Current Age]]&gt;19,"Women's",IF(E135&gt;15,"U19",IF(E135&gt;13,"U15",IF(E135&gt;11,"U13",IF(E135&gt;0,"U11",0)))))</f>
        <v>Women's</v>
      </c>
      <c r="E135" s="456">
        <f>IFERROR(IF(Table11[[#This Row],[Year]]&gt;0,$E$1-Table11[[#This Row],[Year]],0),"")</f>
        <v>23</v>
      </c>
      <c r="F135" s="456">
        <v>2002</v>
      </c>
      <c r="G135" s="456">
        <v>3</v>
      </c>
      <c r="H135" s="457">
        <v>31</v>
      </c>
    </row>
    <row r="136" spans="1:8" ht="13.5" customHeight="1">
      <c r="A136" s="456">
        <v>7132</v>
      </c>
      <c r="B136" s="457" t="s">
        <v>1125</v>
      </c>
      <c r="C136" s="456" t="s">
        <v>244</v>
      </c>
      <c r="D136" s="456">
        <f>IF(Table11[[#This Row],[Current Age]]&gt;19,"Women's",IF(E136&gt;15,"U19",IF(E136&gt;13,"U15",IF(E136&gt;11,"U13",IF(E136&gt;0,"U11",0)))))</f>
        <v>0</v>
      </c>
      <c r="E136" s="456">
        <f>IFERROR(IF(Table11[[#This Row],[Year]]&gt;0,$E$1-Table11[[#This Row],[Year]],0),"")</f>
        <v>0</v>
      </c>
      <c r="F136" s="456"/>
      <c r="G136" s="456"/>
      <c r="H136" s="456"/>
    </row>
    <row r="137" spans="1:8" ht="13.5" customHeight="1">
      <c r="A137" s="471">
        <v>7133</v>
      </c>
      <c r="B137" s="540" t="s">
        <v>1126</v>
      </c>
      <c r="C137" s="471" t="s">
        <v>4720</v>
      </c>
      <c r="D137" s="456" t="str">
        <f>IF(Table11[[#This Row],[Current Age]]&gt;19,"Women's",IF(E137&gt;15,"U19",IF(E137&gt;13,"U15",IF(E137&gt;11,"U13",IF(E137&gt;0,"U11",0)))))</f>
        <v>Women's</v>
      </c>
      <c r="E137" s="456">
        <f>IFERROR(IF(Table11[[#This Row],[Year]]&gt;0,$E$1-Table11[[#This Row],[Year]],0),"")</f>
        <v>22</v>
      </c>
      <c r="F137" s="456">
        <v>2003</v>
      </c>
      <c r="G137" s="456">
        <v>7</v>
      </c>
      <c r="H137" s="456">
        <v>15</v>
      </c>
    </row>
    <row r="138" spans="1:8" ht="13.5" customHeight="1">
      <c r="A138" s="456">
        <v>7134</v>
      </c>
      <c r="B138" s="457" t="s">
        <v>1127</v>
      </c>
      <c r="C138" s="456" t="s">
        <v>363</v>
      </c>
      <c r="D138" s="456">
        <f>IF(Table11[[#This Row],[Current Age]]&gt;19,"Women's",IF(E138&gt;15,"U19",IF(E138&gt;13,"U15",IF(E138&gt;11,"U13",IF(E138&gt;0,"U11",0)))))</f>
        <v>0</v>
      </c>
      <c r="E138" s="456">
        <f>IFERROR(IF(Table11[[#This Row],[Year]]&gt;0,$E$1-Table11[[#This Row],[Year]],0),"")</f>
        <v>0</v>
      </c>
      <c r="F138" s="456"/>
      <c r="G138" s="456"/>
      <c r="H138" s="456"/>
    </row>
    <row r="139" spans="1:8" ht="13.5" customHeight="1">
      <c r="A139" s="471">
        <v>7135</v>
      </c>
      <c r="B139" s="540" t="s">
        <v>1128</v>
      </c>
      <c r="C139" s="471" t="s">
        <v>256</v>
      </c>
      <c r="D139" s="456">
        <f>IF(Table11[[#This Row],[Current Age]]&gt;19,"Women's",IF(E139&gt;15,"U19",IF(E139&gt;13,"U15",IF(E139&gt;11,"U13",IF(E139&gt;0,"U11",0)))))</f>
        <v>0</v>
      </c>
      <c r="E139" s="456">
        <f>IFERROR(IF(Table11[[#This Row],[Year]]&gt;0,$E$1-Table11[[#This Row],[Year]],0),"")</f>
        <v>0</v>
      </c>
      <c r="F139" s="456"/>
      <c r="G139" s="456"/>
      <c r="H139" s="456"/>
    </row>
    <row r="140" spans="1:8" ht="13.5" customHeight="1">
      <c r="A140" s="456">
        <v>7136</v>
      </c>
      <c r="B140" s="457" t="s">
        <v>1129</v>
      </c>
      <c r="C140" s="456" t="s">
        <v>256</v>
      </c>
      <c r="D140" s="456">
        <f>IF(Table11[[#This Row],[Current Age]]&gt;19,"Women's",IF(E140&gt;15,"U19",IF(E140&gt;13,"U15",IF(E140&gt;11,"U13",IF(E140&gt;0,"U11",0)))))</f>
        <v>0</v>
      </c>
      <c r="E140" s="456">
        <f>IFERROR(IF(Table11[[#This Row],[Year]]&gt;0,$E$1-Table11[[#This Row],[Year]],0),"")</f>
        <v>0</v>
      </c>
      <c r="F140" s="456"/>
      <c r="G140" s="456"/>
      <c r="H140" s="456"/>
    </row>
    <row r="141" spans="1:8" ht="13.5" customHeight="1">
      <c r="A141" s="471">
        <v>7137</v>
      </c>
      <c r="B141" s="540" t="s">
        <v>1130</v>
      </c>
      <c r="C141" s="471" t="s">
        <v>253</v>
      </c>
      <c r="D141" s="456">
        <f>IF(Table11[[#This Row],[Current Age]]&gt;19,"Women's",IF(E141&gt;15,"U19",IF(E141&gt;13,"U15",IF(E141&gt;11,"U13",IF(E141&gt;0,"U11",0)))))</f>
        <v>0</v>
      </c>
      <c r="E141" s="456">
        <f>IFERROR(IF(Table11[[#This Row],[Year]]&gt;0,$E$1-Table11[[#This Row],[Year]],0),"")</f>
        <v>0</v>
      </c>
      <c r="F141" s="456"/>
      <c r="G141" s="456"/>
      <c r="H141" s="456"/>
    </row>
    <row r="142" spans="1:8" ht="13.5" customHeight="1">
      <c r="A142" s="456">
        <v>7138</v>
      </c>
      <c r="B142" s="457" t="s">
        <v>1131</v>
      </c>
      <c r="C142" s="456" t="s">
        <v>247</v>
      </c>
      <c r="D142" s="456">
        <f>IF(Table11[[#This Row],[Current Age]]&gt;19,"Women's",IF(E142&gt;15,"U19",IF(E142&gt;13,"U15",IF(E142&gt;11,"U13",IF(E142&gt;0,"U11",0)))))</f>
        <v>0</v>
      </c>
      <c r="E142" s="456">
        <f>IFERROR(IF(Table11[[#This Row],[Year]]&gt;0,$E$1-Table11[[#This Row],[Year]],0),"")</f>
        <v>0</v>
      </c>
      <c r="F142" s="456"/>
      <c r="G142" s="456"/>
      <c r="H142" s="456"/>
    </row>
    <row r="143" spans="1:8" ht="13.5" customHeight="1">
      <c r="A143" s="471">
        <v>7139</v>
      </c>
      <c r="B143" s="540" t="s">
        <v>1132</v>
      </c>
      <c r="C143" s="471" t="s">
        <v>256</v>
      </c>
      <c r="D143" s="456">
        <f>IF(Table11[[#This Row],[Current Age]]&gt;19,"Women's",IF(E143&gt;15,"U19",IF(E143&gt;13,"U15",IF(E143&gt;11,"U13",IF(E143&gt;0,"U11",0)))))</f>
        <v>0</v>
      </c>
      <c r="E143" s="456">
        <f>IFERROR(IF(Table11[[#This Row],[Year]]&gt;0,$E$1-Table11[[#This Row],[Year]],0),"")</f>
        <v>0</v>
      </c>
      <c r="F143" s="456"/>
      <c r="G143" s="456"/>
      <c r="H143" s="456"/>
    </row>
    <row r="144" spans="1:8" ht="13.5" customHeight="1">
      <c r="A144" s="456">
        <v>7140</v>
      </c>
      <c r="B144" s="457" t="s">
        <v>1133</v>
      </c>
      <c r="C144" s="456" t="s">
        <v>247</v>
      </c>
      <c r="D144" s="456" t="str">
        <f>IF(Table11[[#This Row],[Current Age]]&gt;19,"Women's",IF(E144&gt;15,"U19",IF(E144&gt;13,"U15",IF(E144&gt;11,"U13",IF(E144&gt;0,"U11",0)))))</f>
        <v>Women's</v>
      </c>
      <c r="E144" s="456">
        <f>IFERROR(IF(Table11[[#This Row],[Year]]&gt;0,$E$1-Table11[[#This Row],[Year]],0),"")</f>
        <v>23</v>
      </c>
      <c r="F144" s="456">
        <v>2002</v>
      </c>
      <c r="G144" s="456">
        <v>3</v>
      </c>
      <c r="H144" s="456">
        <v>16</v>
      </c>
    </row>
    <row r="145" spans="1:8" ht="13.5" customHeight="1">
      <c r="A145" s="471">
        <v>7141</v>
      </c>
      <c r="B145" s="540" t="s">
        <v>1134</v>
      </c>
      <c r="C145" s="471" t="s">
        <v>243</v>
      </c>
      <c r="D145" s="456" t="str">
        <f>IF(Table11[[#This Row],[Current Age]]&gt;19,"Women's",IF(E145&gt;15,"U19",IF(E145&gt;13,"U15",IF(E145&gt;11,"U13",IF(E145&gt;0,"U11",0)))))</f>
        <v>Women's</v>
      </c>
      <c r="E145" s="456">
        <f>IFERROR(IF(Table11[[#This Row],[Year]]&gt;0,$E$1-Table11[[#This Row],[Year]],0),"")</f>
        <v>22</v>
      </c>
      <c r="F145" s="456">
        <v>2003</v>
      </c>
      <c r="G145" s="456">
        <v>12</v>
      </c>
      <c r="H145" s="456">
        <v>3</v>
      </c>
    </row>
    <row r="146" spans="1:8" ht="13.5" customHeight="1">
      <c r="A146" s="456">
        <v>7142</v>
      </c>
      <c r="B146" s="457" t="s">
        <v>1135</v>
      </c>
      <c r="C146" s="456" t="s">
        <v>762</v>
      </c>
      <c r="D146" s="456">
        <f>IF(Table11[[#This Row],[Current Age]]&gt;19,"Women's",IF(E146&gt;15,"U19",IF(E146&gt;13,"U15",IF(E146&gt;11,"U13",IF(E146&gt;0,"U11",0)))))</f>
        <v>0</v>
      </c>
      <c r="E146" s="456">
        <f>IFERROR(IF(Table11[[#This Row],[Year]]&gt;0,$E$1-Table11[[#This Row],[Year]],0),"")</f>
        <v>0</v>
      </c>
      <c r="F146" s="456"/>
      <c r="G146" s="456"/>
      <c r="H146" s="456"/>
    </row>
    <row r="147" spans="1:8" ht="13.5" customHeight="1">
      <c r="A147" s="471">
        <v>7143</v>
      </c>
      <c r="B147" s="540" t="s">
        <v>1136</v>
      </c>
      <c r="C147" s="471" t="s">
        <v>247</v>
      </c>
      <c r="D147" s="456">
        <f>IF(Table11[[#This Row],[Current Age]]&gt;19,"Women's",IF(E147&gt;15,"U19",IF(E147&gt;13,"U15",IF(E147&gt;11,"U13",IF(E147&gt;0,"U11",0)))))</f>
        <v>0</v>
      </c>
      <c r="E147" s="456">
        <f>IFERROR(IF(Table11[[#This Row],[Year]]&gt;0,$E$1-Table11[[#This Row],[Year]],0),"")</f>
        <v>0</v>
      </c>
      <c r="F147" s="456"/>
      <c r="G147" s="456"/>
      <c r="H147" s="456"/>
    </row>
    <row r="148" spans="1:8" ht="13.5" customHeight="1">
      <c r="A148" s="456">
        <v>7144</v>
      </c>
      <c r="B148" s="457" t="s">
        <v>1137</v>
      </c>
      <c r="C148" s="456" t="s">
        <v>362</v>
      </c>
      <c r="D148" s="456" t="str">
        <f>IF(Table11[[#This Row],[Current Age]]&gt;19,"Women's",IF(E148&gt;15,"U19",IF(E148&gt;13,"U15",IF(E148&gt;11,"U13",IF(E148&gt;0,"U11",0)))))</f>
        <v>Women's</v>
      </c>
      <c r="E148" s="456">
        <f>IFERROR(IF(Table11[[#This Row],[Year]]&gt;0,$E$1-Table11[[#This Row],[Year]],0),"")</f>
        <v>24</v>
      </c>
      <c r="F148" s="456">
        <v>2001</v>
      </c>
      <c r="G148" s="456">
        <v>4</v>
      </c>
      <c r="H148" s="456">
        <v>27</v>
      </c>
    </row>
    <row r="149" spans="1:8" ht="13.5" customHeight="1">
      <c r="A149" s="471">
        <v>7145</v>
      </c>
      <c r="B149" s="540" t="s">
        <v>1138</v>
      </c>
      <c r="C149" s="471" t="s">
        <v>243</v>
      </c>
      <c r="D149" s="456">
        <f>IF(Table11[[#This Row],[Current Age]]&gt;19,"Women's",IF(E149&gt;15,"U19",IF(E149&gt;13,"U15",IF(E149&gt;11,"U13",IF(E149&gt;0,"U11",0)))))</f>
        <v>0</v>
      </c>
      <c r="E149" s="456">
        <f>IFERROR(IF(Table11[[#This Row],[Year]]&gt;0,$E$1-Table11[[#This Row],[Year]],0),"")</f>
        <v>0</v>
      </c>
      <c r="F149" s="456"/>
      <c r="G149" s="456"/>
      <c r="H149" s="456"/>
    </row>
    <row r="150" spans="1:8" ht="13.5" customHeight="1">
      <c r="A150" s="456">
        <v>7146</v>
      </c>
      <c r="B150" s="457" t="s">
        <v>3275</v>
      </c>
      <c r="C150" s="456" t="s">
        <v>255</v>
      </c>
      <c r="D150" s="456">
        <f>IF(Table11[[#This Row],[Current Age]]&gt;19,"Women's",IF(E150&gt;15,"U19",IF(E150&gt;13,"U15",IF(E150&gt;11,"U13",IF(E150&gt;0,"U11",0)))))</f>
        <v>0</v>
      </c>
      <c r="E150" s="456">
        <f>IFERROR(IF(Table11[[#This Row],[Year]]&gt;0,$E$1-Table11[[#This Row],[Year]],0),"")</f>
        <v>0</v>
      </c>
      <c r="F150" s="456"/>
      <c r="G150" s="456"/>
      <c r="H150" s="456"/>
    </row>
    <row r="151" spans="1:8" ht="13.5" customHeight="1">
      <c r="A151" s="471">
        <v>7147</v>
      </c>
      <c r="B151" s="540" t="s">
        <v>1139</v>
      </c>
      <c r="C151" s="471" t="s">
        <v>256</v>
      </c>
      <c r="D151" s="456" t="str">
        <f>IF(Table11[[#This Row],[Current Age]]&gt;19,"Women's",IF(E151&gt;15,"U19",IF(E151&gt;13,"U15",IF(E151&gt;11,"U13",IF(E151&gt;0,"U11",0)))))</f>
        <v>Women's</v>
      </c>
      <c r="E151" s="456">
        <f>IFERROR(IF(Table11[[#This Row],[Year]]&gt;0,$E$1-Table11[[#This Row],[Year]],0),"")</f>
        <v>22</v>
      </c>
      <c r="F151" s="456">
        <v>2003</v>
      </c>
      <c r="G151" s="456">
        <v>11</v>
      </c>
      <c r="H151" s="456">
        <v>10</v>
      </c>
    </row>
    <row r="152" spans="1:8" ht="13.5" customHeight="1">
      <c r="A152" s="456">
        <v>7148</v>
      </c>
      <c r="B152" s="457" t="s">
        <v>1140</v>
      </c>
      <c r="C152" s="456" t="s">
        <v>247</v>
      </c>
      <c r="D152" s="456" t="str">
        <f>IF(Table11[[#This Row],[Current Age]]&gt;19,"Women's",IF(E152&gt;15,"U19",IF(E152&gt;13,"U15",IF(E152&gt;11,"U13",IF(E152&gt;0,"U11",0)))))</f>
        <v>Women's</v>
      </c>
      <c r="E152" s="456">
        <f>IFERROR(IF(Table11[[#This Row],[Year]]&gt;0,$E$1-Table11[[#This Row],[Year]],0),"")</f>
        <v>24</v>
      </c>
      <c r="F152" s="456">
        <v>2001</v>
      </c>
      <c r="G152" s="456">
        <v>11</v>
      </c>
      <c r="H152" s="456">
        <v>28</v>
      </c>
    </row>
    <row r="153" spans="1:8" ht="13.5" customHeight="1">
      <c r="A153" s="471">
        <v>7149</v>
      </c>
      <c r="B153" s="540" t="s">
        <v>3311</v>
      </c>
      <c r="C153" s="471" t="s">
        <v>3346</v>
      </c>
      <c r="D153" s="456">
        <f>IF(Table11[[#This Row],[Current Age]]&gt;19,"Women's",IF(E153&gt;15,"U19",IF(E153&gt;13,"U15",IF(E153&gt;11,"U13",IF(E153&gt;0,"U11",0)))))</f>
        <v>0</v>
      </c>
      <c r="E153" s="456">
        <f>IFERROR(IF(Table11[[#This Row],[Year]]&gt;0,$E$1-Table11[[#This Row],[Year]],0),"")</f>
        <v>0</v>
      </c>
      <c r="F153" s="456"/>
      <c r="G153" s="456"/>
      <c r="H153" s="456"/>
    </row>
    <row r="154" spans="1:8" ht="13.5" customHeight="1">
      <c r="A154" s="456">
        <v>7150</v>
      </c>
      <c r="B154" s="457" t="s">
        <v>1141</v>
      </c>
      <c r="C154" s="456" t="s">
        <v>254</v>
      </c>
      <c r="D154" s="456">
        <f>IF(Table11[[#This Row],[Current Age]]&gt;19,"Women's",IF(E154&gt;15,"U19",IF(E154&gt;13,"U15",IF(E154&gt;11,"U13",IF(E154&gt;0,"U11",0)))))</f>
        <v>0</v>
      </c>
      <c r="E154" s="456">
        <f>IFERROR(IF(Table11[[#This Row],[Year]]&gt;0,$E$1-Table11[[#This Row],[Year]],0),"")</f>
        <v>0</v>
      </c>
      <c r="F154" s="456"/>
      <c r="G154" s="456"/>
      <c r="H154" s="456"/>
    </row>
    <row r="155" spans="1:8" ht="13.5" customHeight="1">
      <c r="A155" s="471">
        <v>7151</v>
      </c>
      <c r="B155" s="540" t="s">
        <v>1142</v>
      </c>
      <c r="C155" s="471" t="s">
        <v>762</v>
      </c>
      <c r="D155" s="456" t="str">
        <f>IF(Table11[[#This Row],[Current Age]]&gt;19,"Women's",IF(E155&gt;15,"U19",IF(E155&gt;13,"U15",IF(E155&gt;11,"U13",IF(E155&gt;0,"U11",0)))))</f>
        <v>Women's</v>
      </c>
      <c r="E155" s="456">
        <f>IFERROR(IF(Table11[[#This Row],[Year]]&gt;0,$E$1-Table11[[#This Row],[Year]],0),"")</f>
        <v>25</v>
      </c>
      <c r="F155" s="456">
        <v>2000</v>
      </c>
      <c r="G155" s="456">
        <v>8</v>
      </c>
      <c r="H155" s="456">
        <v>7</v>
      </c>
    </row>
    <row r="156" spans="1:8" ht="13.5" customHeight="1">
      <c r="A156" s="456">
        <v>7152</v>
      </c>
      <c r="B156" s="457" t="s">
        <v>1007</v>
      </c>
      <c r="C156" s="456" t="s">
        <v>698</v>
      </c>
      <c r="D156" s="456">
        <f>IF(Table11[[#This Row],[Current Age]]&gt;19,"Women's",IF(E156&gt;15,"U19",IF(E156&gt;13,"U15",IF(E156&gt;11,"U13",IF(E156&gt;0,"U11",0)))))</f>
        <v>0</v>
      </c>
      <c r="E156" s="456">
        <f>IFERROR(IF(Table11[[#This Row],[Year]]&gt;0,$E$1-Table11[[#This Row],[Year]],0),"")</f>
        <v>0</v>
      </c>
      <c r="F156" s="456"/>
      <c r="G156" s="456"/>
      <c r="H156" s="456"/>
    </row>
    <row r="157" spans="1:8" ht="13.5" customHeight="1">
      <c r="A157" s="471">
        <v>7153</v>
      </c>
      <c r="B157" s="540" t="s">
        <v>1143</v>
      </c>
      <c r="C157" s="471" t="s">
        <v>256</v>
      </c>
      <c r="D157" s="456">
        <f>IF(Table11[[#This Row],[Current Age]]&gt;19,"Women's",IF(E157&gt;15,"U19",IF(E157&gt;13,"U15",IF(E157&gt;11,"U13",IF(E157&gt;0,"U11",0)))))</f>
        <v>0</v>
      </c>
      <c r="E157" s="456">
        <f>IFERROR(IF(Table11[[#This Row],[Year]]&gt;0,$E$1-Table11[[#This Row],[Year]],0),"")</f>
        <v>0</v>
      </c>
      <c r="F157" s="456"/>
      <c r="G157" s="456"/>
      <c r="H157" s="456"/>
    </row>
    <row r="158" spans="1:8" ht="13.5" customHeight="1">
      <c r="A158" s="456">
        <v>7154</v>
      </c>
      <c r="B158" s="457" t="s">
        <v>1144</v>
      </c>
      <c r="C158" s="456" t="s">
        <v>255</v>
      </c>
      <c r="D158" s="456">
        <f>IF(Table11[[#This Row],[Current Age]]&gt;19,"Women's",IF(E158&gt;15,"U19",IF(E158&gt;13,"U15",IF(E158&gt;11,"U13",IF(E158&gt;0,"U11",0)))))</f>
        <v>0</v>
      </c>
      <c r="E158" s="456">
        <f>IFERROR(IF(Table11[[#This Row],[Year]]&gt;0,$E$1-Table11[[#This Row],[Year]],0),"")</f>
        <v>0</v>
      </c>
      <c r="F158" s="456"/>
      <c r="G158" s="456"/>
      <c r="H158" s="456"/>
    </row>
    <row r="159" spans="1:8" ht="13.5" customHeight="1">
      <c r="A159" s="471">
        <v>7155</v>
      </c>
      <c r="B159" s="540" t="s">
        <v>1145</v>
      </c>
      <c r="C159" s="471" t="s">
        <v>363</v>
      </c>
      <c r="D159" s="456">
        <f>IF(Table11[[#This Row],[Current Age]]&gt;19,"Women's",IF(E159&gt;15,"U19",IF(E159&gt;13,"U15",IF(E159&gt;11,"U13",IF(E159&gt;0,"U11",0)))))</f>
        <v>0</v>
      </c>
      <c r="E159" s="456">
        <f>IFERROR(IF(Table11[[#This Row],[Year]]&gt;0,$E$1-Table11[[#This Row],[Year]],0),"")</f>
        <v>0</v>
      </c>
      <c r="F159" s="456"/>
      <c r="G159" s="456"/>
      <c r="H159" s="456"/>
    </row>
    <row r="160" spans="1:8" ht="13.5" customHeight="1">
      <c r="A160" s="456">
        <v>7156</v>
      </c>
      <c r="B160" s="457" t="s">
        <v>1146</v>
      </c>
      <c r="C160" s="456" t="s">
        <v>243</v>
      </c>
      <c r="D160" s="456">
        <f>IF(Table11[[#This Row],[Current Age]]&gt;19,"Women's",IF(E160&gt;15,"U19",IF(E160&gt;13,"U15",IF(E160&gt;11,"U13",IF(E160&gt;0,"U11",0)))))</f>
        <v>0</v>
      </c>
      <c r="E160" s="456">
        <f>IFERROR(IF(Table11[[#This Row],[Year]]&gt;0,$E$1-Table11[[#This Row],[Year]],0),"")</f>
        <v>0</v>
      </c>
      <c r="F160" s="456"/>
      <c r="G160" s="456"/>
      <c r="H160" s="456"/>
    </row>
    <row r="161" spans="1:8" ht="13.5" customHeight="1">
      <c r="A161" s="471">
        <v>7157</v>
      </c>
      <c r="B161" s="540" t="s">
        <v>1147</v>
      </c>
      <c r="C161" s="471" t="s">
        <v>256</v>
      </c>
      <c r="D161" s="456">
        <f>IF(Table11[[#This Row],[Current Age]]&gt;19,"Women's",IF(E161&gt;15,"U19",IF(E161&gt;13,"U15",IF(E161&gt;11,"U13",IF(E161&gt;0,"U11",0)))))</f>
        <v>0</v>
      </c>
      <c r="E161" s="456">
        <f>IFERROR(IF(Table11[[#This Row],[Year]]&gt;0,$E$1-Table11[[#This Row],[Year]],0),"")</f>
        <v>0</v>
      </c>
      <c r="F161" s="456"/>
      <c r="G161" s="456"/>
      <c r="H161" s="456"/>
    </row>
    <row r="162" spans="1:8" ht="13.5" customHeight="1">
      <c r="A162" s="456">
        <v>7158</v>
      </c>
      <c r="B162" s="457" t="s">
        <v>1148</v>
      </c>
      <c r="C162" s="456" t="s">
        <v>4720</v>
      </c>
      <c r="D162" s="456">
        <f>IF(Table11[[#This Row],[Current Age]]&gt;19,"Women's",IF(E162&gt;15,"U19",IF(E162&gt;13,"U15",IF(E162&gt;11,"U13",IF(E162&gt;0,"U11",0)))))</f>
        <v>0</v>
      </c>
      <c r="E162" s="456">
        <f>IFERROR(IF(Table11[[#This Row],[Year]]&gt;0,$E$1-Table11[[#This Row],[Year]],0),"")</f>
        <v>0</v>
      </c>
      <c r="F162" s="456"/>
      <c r="G162" s="456"/>
      <c r="H162" s="456"/>
    </row>
    <row r="163" spans="1:8" ht="13.5" customHeight="1">
      <c r="A163" s="471">
        <v>7159</v>
      </c>
      <c r="B163" s="540" t="s">
        <v>1149</v>
      </c>
      <c r="C163" s="471" t="s">
        <v>255</v>
      </c>
      <c r="D163" s="456">
        <f>IF(Table11[[#This Row],[Current Age]]&gt;19,"Women's",IF(E163&gt;15,"U19",IF(E163&gt;13,"U15",IF(E163&gt;11,"U13",IF(E163&gt;0,"U11",0)))))</f>
        <v>0</v>
      </c>
      <c r="E163" s="456">
        <f>IFERROR(IF(Table11[[#This Row],[Year]]&gt;0,$E$1-Table11[[#This Row],[Year]],0),"")</f>
        <v>0</v>
      </c>
      <c r="F163" s="456"/>
      <c r="G163" s="456"/>
      <c r="H163" s="456"/>
    </row>
    <row r="164" spans="1:8" ht="13.5" customHeight="1">
      <c r="A164" s="456">
        <v>7160</v>
      </c>
      <c r="B164" s="457" t="s">
        <v>1150</v>
      </c>
      <c r="C164" s="456" t="s">
        <v>762</v>
      </c>
      <c r="D164" s="456">
        <f>IF(Table11[[#This Row],[Current Age]]&gt;19,"Women's",IF(E164&gt;15,"U19",IF(E164&gt;13,"U15",IF(E164&gt;11,"U13",IF(E164&gt;0,"U11",0)))))</f>
        <v>0</v>
      </c>
      <c r="E164" s="456">
        <f>IFERROR(IF(Table11[[#This Row],[Year]]&gt;0,$E$1-Table11[[#This Row],[Year]],0),"")</f>
        <v>0</v>
      </c>
      <c r="F164" s="456"/>
      <c r="G164" s="456"/>
      <c r="H164" s="456"/>
    </row>
    <row r="165" spans="1:8" ht="13.5" customHeight="1">
      <c r="A165" s="471">
        <v>7161</v>
      </c>
      <c r="B165" s="540" t="s">
        <v>1151</v>
      </c>
      <c r="C165" s="471" t="s">
        <v>363</v>
      </c>
      <c r="D165" s="456">
        <f>IF(Table11[[#This Row],[Current Age]]&gt;19,"Women's",IF(E165&gt;15,"U19",IF(E165&gt;13,"U15",IF(E165&gt;11,"U13",IF(E165&gt;0,"U11",0)))))</f>
        <v>0</v>
      </c>
      <c r="E165" s="456">
        <f>IFERROR(IF(Table11[[#This Row],[Year]]&gt;0,$E$1-Table11[[#This Row],[Year]],0),"")</f>
        <v>0</v>
      </c>
      <c r="F165" s="456"/>
      <c r="G165" s="456"/>
      <c r="H165" s="456"/>
    </row>
    <row r="166" spans="1:8" ht="13.5" customHeight="1">
      <c r="A166" s="456">
        <v>7162</v>
      </c>
      <c r="B166" s="457" t="s">
        <v>1152</v>
      </c>
      <c r="C166" s="456" t="s">
        <v>251</v>
      </c>
      <c r="D166" s="456">
        <f>IF(Table11[[#This Row],[Current Age]]&gt;19,"Women's",IF(E166&gt;15,"U19",IF(E166&gt;13,"U15",IF(E166&gt;11,"U13",IF(E166&gt;0,"U11",0)))))</f>
        <v>0</v>
      </c>
      <c r="E166" s="456">
        <f>IFERROR(IF(Table11[[#This Row],[Year]]&gt;0,$E$1-Table11[[#This Row],[Year]],0),"")</f>
        <v>0</v>
      </c>
      <c r="F166" s="456"/>
      <c r="G166" s="456"/>
      <c r="H166" s="456"/>
    </row>
    <row r="167" spans="1:8" ht="13.5" customHeight="1">
      <c r="A167" s="471">
        <v>7163</v>
      </c>
      <c r="B167" s="540" t="s">
        <v>1153</v>
      </c>
      <c r="C167" s="471" t="s">
        <v>248</v>
      </c>
      <c r="D167" s="456">
        <f>IF(Table11[[#This Row],[Current Age]]&gt;19,"Women's",IF(E167&gt;15,"U19",IF(E167&gt;13,"U15",IF(E167&gt;11,"U13",IF(E167&gt;0,"U11",0)))))</f>
        <v>0</v>
      </c>
      <c r="E167" s="456">
        <f>IFERROR(IF(Table11[[#This Row],[Year]]&gt;0,$E$1-Table11[[#This Row],[Year]],0),"")</f>
        <v>0</v>
      </c>
      <c r="F167" s="456"/>
      <c r="G167" s="456"/>
      <c r="H167" s="456"/>
    </row>
    <row r="168" spans="1:8" ht="13.5" customHeight="1">
      <c r="A168" s="456">
        <v>7164</v>
      </c>
      <c r="B168" s="457" t="s">
        <v>1154</v>
      </c>
      <c r="C168" s="456" t="s">
        <v>256</v>
      </c>
      <c r="D168" s="456">
        <f>IF(Table11[[#This Row],[Current Age]]&gt;19,"Women's",IF(E168&gt;15,"U19",IF(E168&gt;13,"U15",IF(E168&gt;11,"U13",IF(E168&gt;0,"U11",0)))))</f>
        <v>0</v>
      </c>
      <c r="E168" s="456">
        <f>IFERROR(IF(Table11[[#This Row],[Year]]&gt;0,$E$1-Table11[[#This Row],[Year]],0),"")</f>
        <v>0</v>
      </c>
      <c r="F168" s="456"/>
      <c r="G168" s="456"/>
      <c r="H168" s="456"/>
    </row>
    <row r="169" spans="1:8" ht="13.5" customHeight="1">
      <c r="A169" s="471">
        <v>7165</v>
      </c>
      <c r="B169" s="540" t="s">
        <v>1155</v>
      </c>
      <c r="C169" s="471" t="s">
        <v>363</v>
      </c>
      <c r="D169" s="456">
        <f>IF(Table11[[#This Row],[Current Age]]&gt;19,"Women's",IF(E169&gt;15,"U19",IF(E169&gt;13,"U15",IF(E169&gt;11,"U13",IF(E169&gt;0,"U11",0)))))</f>
        <v>0</v>
      </c>
      <c r="E169" s="456">
        <f>IFERROR(IF(Table11[[#This Row],[Year]]&gt;0,$E$1-Table11[[#This Row],[Year]],0),"")</f>
        <v>0</v>
      </c>
      <c r="F169" s="456"/>
      <c r="G169" s="456"/>
      <c r="H169" s="456"/>
    </row>
    <row r="170" spans="1:8" ht="13.5" customHeight="1">
      <c r="A170" s="456">
        <v>7166</v>
      </c>
      <c r="B170" s="457" t="s">
        <v>1156</v>
      </c>
      <c r="C170" s="456" t="s">
        <v>252</v>
      </c>
      <c r="D170" s="456">
        <f>IF(Table11[[#This Row],[Current Age]]&gt;19,"Women's",IF(E170&gt;15,"U19",IF(E170&gt;13,"U15",IF(E170&gt;11,"U13",IF(E170&gt;0,"U11",0)))))</f>
        <v>0</v>
      </c>
      <c r="E170" s="456">
        <f>IFERROR(IF(Table11[[#This Row],[Year]]&gt;0,$E$1-Table11[[#This Row],[Year]],0),"")</f>
        <v>0</v>
      </c>
      <c r="F170" s="456"/>
      <c r="G170" s="456"/>
      <c r="H170" s="456"/>
    </row>
    <row r="171" spans="1:8" ht="13.5" customHeight="1">
      <c r="A171" s="471">
        <v>7167</v>
      </c>
      <c r="B171" s="540" t="s">
        <v>1157</v>
      </c>
      <c r="C171" s="471" t="s">
        <v>362</v>
      </c>
      <c r="D171" s="456">
        <f>IF(Table11[[#This Row],[Current Age]]&gt;19,"Women's",IF(E171&gt;15,"U19",IF(E171&gt;13,"U15",IF(E171&gt;11,"U13",IF(E171&gt;0,"U11",0)))))</f>
        <v>0</v>
      </c>
      <c r="E171" s="456">
        <f>IFERROR(IF(Table11[[#This Row],[Year]]&gt;0,$E$1-Table11[[#This Row],[Year]],0),"")</f>
        <v>0</v>
      </c>
      <c r="F171" s="456"/>
      <c r="G171" s="456"/>
      <c r="H171" s="456"/>
    </row>
    <row r="172" spans="1:8" ht="13.5" customHeight="1">
      <c r="A172" s="456">
        <v>7168</v>
      </c>
      <c r="B172" s="457" t="s">
        <v>1158</v>
      </c>
      <c r="C172" s="456" t="s">
        <v>256</v>
      </c>
      <c r="D172" s="456">
        <f>IF(Table11[[#This Row],[Current Age]]&gt;19,"Women's",IF(E172&gt;15,"U19",IF(E172&gt;13,"U15",IF(E172&gt;11,"U13",IF(E172&gt;0,"U11",0)))))</f>
        <v>0</v>
      </c>
      <c r="E172" s="456">
        <f>IFERROR(IF(Table11[[#This Row],[Year]]&gt;0,$E$1-Table11[[#This Row],[Year]],0),"")</f>
        <v>0</v>
      </c>
      <c r="F172" s="456"/>
      <c r="G172" s="456"/>
      <c r="H172" s="456"/>
    </row>
    <row r="173" spans="1:8" ht="13.5" customHeight="1">
      <c r="A173" s="471">
        <v>7169</v>
      </c>
      <c r="B173" s="540" t="s">
        <v>1159</v>
      </c>
      <c r="C173" s="471" t="s">
        <v>243</v>
      </c>
      <c r="D173" s="456" t="str">
        <f>IF(Table11[[#This Row],[Current Age]]&gt;19,"Women's",IF(E173&gt;15,"U19",IF(E173&gt;13,"U15",IF(E173&gt;11,"U13",IF(E173&gt;0,"U11",0)))))</f>
        <v>Women's</v>
      </c>
      <c r="E173" s="456">
        <f>IFERROR(IF(Table11[[#This Row],[Year]]&gt;0,$E$1-Table11[[#This Row],[Year]],0),"")</f>
        <v>22</v>
      </c>
      <c r="F173" s="456">
        <v>2003</v>
      </c>
      <c r="G173" s="456">
        <v>3</v>
      </c>
      <c r="H173" s="456">
        <v>27</v>
      </c>
    </row>
    <row r="174" spans="1:8" ht="13.5" customHeight="1">
      <c r="A174" s="456">
        <v>7170</v>
      </c>
      <c r="B174" s="457" t="s">
        <v>1160</v>
      </c>
      <c r="C174" s="456" t="s">
        <v>363</v>
      </c>
      <c r="D174" s="456">
        <f>IF(Table11[[#This Row],[Current Age]]&gt;19,"Women's",IF(E174&gt;15,"U19",IF(E174&gt;13,"U15",IF(E174&gt;11,"U13",IF(E174&gt;0,"U11",0)))))</f>
        <v>0</v>
      </c>
      <c r="E174" s="456">
        <f>IFERROR(IF(Table11[[#This Row],[Year]]&gt;0,$E$1-Table11[[#This Row],[Year]],0),"")</f>
        <v>0</v>
      </c>
      <c r="F174" s="456"/>
      <c r="G174" s="456"/>
      <c r="H174" s="456"/>
    </row>
    <row r="175" spans="1:8" ht="13.5" customHeight="1">
      <c r="A175" s="471">
        <v>7171</v>
      </c>
      <c r="B175" s="540" t="s">
        <v>2888</v>
      </c>
      <c r="C175" s="471" t="s">
        <v>3346</v>
      </c>
      <c r="D175" s="456">
        <f>IF(Table11[[#This Row],[Current Age]]&gt;19,"Women's",IF(E175&gt;15,"U19",IF(E175&gt;13,"U15",IF(E175&gt;11,"U13",IF(E175&gt;0,"U11",0)))))</f>
        <v>0</v>
      </c>
      <c r="E175" s="456">
        <f>IFERROR(IF(Table11[[#This Row],[Year]]&gt;0,$E$1-Table11[[#This Row],[Year]],0),"")</f>
        <v>0</v>
      </c>
      <c r="F175" s="456"/>
      <c r="G175" s="456"/>
      <c r="H175" s="456"/>
    </row>
    <row r="176" spans="1:8" ht="13.5" customHeight="1">
      <c r="A176" s="456">
        <v>7172</v>
      </c>
      <c r="B176" s="457" t="s">
        <v>3323</v>
      </c>
      <c r="C176" s="456" t="s">
        <v>256</v>
      </c>
      <c r="D176" s="456">
        <f>IF(Table11[[#This Row],[Current Age]]&gt;19,"Women's",IF(E176&gt;15,"U19",IF(E176&gt;13,"U15",IF(E176&gt;11,"U13",IF(E176&gt;0,"U11",0)))))</f>
        <v>0</v>
      </c>
      <c r="E176" s="456">
        <f>IFERROR(IF(Table11[[#This Row],[Year]]&gt;0,$E$1-Table11[[#This Row],[Year]],0),"")</f>
        <v>0</v>
      </c>
      <c r="F176" s="456"/>
      <c r="G176" s="456"/>
      <c r="H176" s="456"/>
    </row>
    <row r="177" spans="1:8" ht="13.5" customHeight="1">
      <c r="A177" s="471">
        <v>7173</v>
      </c>
      <c r="B177" s="540" t="s">
        <v>1161</v>
      </c>
      <c r="C177" s="471" t="s">
        <v>363</v>
      </c>
      <c r="D177" s="456">
        <f>IF(Table11[[#This Row],[Current Age]]&gt;19,"Women's",IF(E177&gt;15,"U19",IF(E177&gt;13,"U15",IF(E177&gt;11,"U13",IF(E177&gt;0,"U11",0)))))</f>
        <v>0</v>
      </c>
      <c r="E177" s="456">
        <f>IFERROR(IF(Table11[[#This Row],[Year]]&gt;0,$E$1-Table11[[#This Row],[Year]],0),"")</f>
        <v>0</v>
      </c>
      <c r="F177" s="456"/>
      <c r="G177" s="456"/>
      <c r="H177" s="456"/>
    </row>
    <row r="178" spans="1:8" ht="13.5" customHeight="1">
      <c r="A178" s="456">
        <v>7174</v>
      </c>
      <c r="B178" s="457" t="s">
        <v>1162</v>
      </c>
      <c r="C178" s="456" t="s">
        <v>253</v>
      </c>
      <c r="D178" s="456">
        <f>IF(Table11[[#This Row],[Current Age]]&gt;19,"Women's",IF(E178&gt;15,"U19",IF(E178&gt;13,"U15",IF(E178&gt;11,"U13",IF(E178&gt;0,"U11",0)))))</f>
        <v>0</v>
      </c>
      <c r="E178" s="456">
        <f>IFERROR(IF(Table11[[#This Row],[Year]]&gt;0,$E$1-Table11[[#This Row],[Year]],0),"")</f>
        <v>0</v>
      </c>
      <c r="F178" s="456"/>
      <c r="G178" s="456"/>
      <c r="H178" s="456"/>
    </row>
    <row r="179" spans="1:8" ht="13.5" customHeight="1">
      <c r="A179" s="471">
        <v>7175</v>
      </c>
      <c r="B179" s="540" t="s">
        <v>1307</v>
      </c>
      <c r="C179" s="471" t="s">
        <v>249</v>
      </c>
      <c r="D179" s="456" t="str">
        <f>IF(Table11[[#This Row],[Current Age]]&gt;19,"Women's",IF(E179&gt;15,"U19",IF(E179&gt;13,"U15",IF(E179&gt;11,"U13",IF(E179&gt;0,"U11",0)))))</f>
        <v>Women's</v>
      </c>
      <c r="E179" s="456">
        <f>IFERROR(IF(Table11[[#This Row],[Year]]&gt;0,$E$1-Table11[[#This Row],[Year]],0),"")</f>
        <v>24</v>
      </c>
      <c r="F179" s="456">
        <v>2001</v>
      </c>
      <c r="G179" s="456">
        <v>9</v>
      </c>
      <c r="H179" s="456">
        <v>5</v>
      </c>
    </row>
    <row r="180" spans="1:8" ht="13.5" customHeight="1">
      <c r="A180" s="456">
        <v>7176</v>
      </c>
      <c r="B180" s="457" t="s">
        <v>1163</v>
      </c>
      <c r="C180" s="456" t="s">
        <v>243</v>
      </c>
      <c r="D180" s="456">
        <f>IF(Table11[[#This Row],[Current Age]]&gt;19,"Women's",IF(E180&gt;15,"U19",IF(E180&gt;13,"U15",IF(E180&gt;11,"U13",IF(E180&gt;0,"U11",0)))))</f>
        <v>0</v>
      </c>
      <c r="E180" s="456">
        <f>IFERROR(IF(Table11[[#This Row],[Year]]&gt;0,$E$1-Table11[[#This Row],[Year]],0),"")</f>
        <v>0</v>
      </c>
      <c r="F180" s="456"/>
      <c r="G180" s="456"/>
      <c r="H180" s="456"/>
    </row>
    <row r="181" spans="1:8" ht="13.5" customHeight="1">
      <c r="A181" s="471">
        <v>7177</v>
      </c>
      <c r="B181" s="540" t="s">
        <v>1164</v>
      </c>
      <c r="C181" s="471" t="s">
        <v>255</v>
      </c>
      <c r="D181" s="456" t="str">
        <f>IF(Table11[[#This Row],[Current Age]]&gt;19,"Women's",IF(E181&gt;15,"U19",IF(E181&gt;13,"U15",IF(E181&gt;11,"U13",IF(E181&gt;0,"U11",0)))))</f>
        <v>U19</v>
      </c>
      <c r="E181" s="456">
        <f>IFERROR(IF(Table11[[#This Row],[Year]]&gt;0,$E$1-Table11[[#This Row],[Year]],0),"")</f>
        <v>19</v>
      </c>
      <c r="F181" s="456">
        <v>2006</v>
      </c>
      <c r="G181" s="456">
        <v>2</v>
      </c>
      <c r="H181" s="456">
        <v>18</v>
      </c>
    </row>
    <row r="182" spans="1:8" ht="13.5" customHeight="1">
      <c r="A182" s="456">
        <v>7178</v>
      </c>
      <c r="B182" s="457" t="s">
        <v>1165</v>
      </c>
      <c r="C182" s="456" t="s">
        <v>251</v>
      </c>
      <c r="D182" s="456">
        <f>IF(Table11[[#This Row],[Current Age]]&gt;19,"Women's",IF(E182&gt;15,"U19",IF(E182&gt;13,"U15",IF(E182&gt;11,"U13",IF(E182&gt;0,"U11",0)))))</f>
        <v>0</v>
      </c>
      <c r="E182" s="456">
        <f>IFERROR(IF(Table11[[#This Row],[Year]]&gt;0,$E$1-Table11[[#This Row],[Year]],0),"")</f>
        <v>0</v>
      </c>
      <c r="F182" s="456"/>
      <c r="G182" s="456"/>
      <c r="H182" s="456"/>
    </row>
    <row r="183" spans="1:8" ht="13.5" customHeight="1">
      <c r="A183" s="471">
        <v>7179</v>
      </c>
      <c r="B183" s="540" t="s">
        <v>1166</v>
      </c>
      <c r="C183" s="471" t="s">
        <v>251</v>
      </c>
      <c r="D183" s="456">
        <f>IF(Table11[[#This Row],[Current Age]]&gt;19,"Women's",IF(E183&gt;15,"U19",IF(E183&gt;13,"U15",IF(E183&gt;11,"U13",IF(E183&gt;0,"U11",0)))))</f>
        <v>0</v>
      </c>
      <c r="E183" s="456">
        <f>IFERROR(IF(Table11[[#This Row],[Year]]&gt;0,$E$1-Table11[[#This Row],[Year]],0),"")</f>
        <v>0</v>
      </c>
      <c r="F183" s="456"/>
      <c r="G183" s="456"/>
      <c r="H183" s="456"/>
    </row>
    <row r="184" spans="1:8" ht="13.5" customHeight="1">
      <c r="A184" s="456">
        <v>7180</v>
      </c>
      <c r="B184" s="457" t="s">
        <v>1167</v>
      </c>
      <c r="C184" s="456" t="s">
        <v>361</v>
      </c>
      <c r="D184" s="456" t="str">
        <f>IF(Table11[[#This Row],[Current Age]]&gt;19,"Women's",IF(E184&gt;15,"U19",IF(E184&gt;13,"U15",IF(E184&gt;11,"U13",IF(E184&gt;0,"U11",0)))))</f>
        <v>Women's</v>
      </c>
      <c r="E184" s="456">
        <f>IFERROR(IF(Table11[[#This Row],[Year]]&gt;0,$E$1-Table11[[#This Row],[Year]],0),"")</f>
        <v>22</v>
      </c>
      <c r="F184" s="456">
        <v>2003</v>
      </c>
      <c r="G184" s="456">
        <v>5</v>
      </c>
      <c r="H184" s="456">
        <v>3</v>
      </c>
    </row>
    <row r="185" spans="1:8" ht="13.5" customHeight="1">
      <c r="A185" s="471">
        <v>7181</v>
      </c>
      <c r="B185" s="540" t="s">
        <v>1168</v>
      </c>
      <c r="C185" s="471" t="s">
        <v>251</v>
      </c>
      <c r="D185" s="456">
        <f>IF(Table11[[#This Row],[Current Age]]&gt;19,"Women's",IF(E185&gt;15,"U19",IF(E185&gt;13,"U15",IF(E185&gt;11,"U13",IF(E185&gt;0,"U11",0)))))</f>
        <v>0</v>
      </c>
      <c r="E185" s="456">
        <f>IFERROR(IF(Table11[[#This Row],[Year]]&gt;0,$E$1-Table11[[#This Row],[Year]],0),"")</f>
        <v>0</v>
      </c>
      <c r="F185" s="456"/>
      <c r="G185" s="456"/>
      <c r="H185" s="456"/>
    </row>
    <row r="186" spans="1:8" ht="13.5" customHeight="1">
      <c r="A186" s="456">
        <v>7182</v>
      </c>
      <c r="B186" s="457" t="s">
        <v>1169</v>
      </c>
      <c r="C186" s="456" t="s">
        <v>252</v>
      </c>
      <c r="D186" s="456">
        <f>IF(Table11[[#This Row],[Current Age]]&gt;19,"Women's",IF(E186&gt;15,"U19",IF(E186&gt;13,"U15",IF(E186&gt;11,"U13",IF(E186&gt;0,"U11",0)))))</f>
        <v>0</v>
      </c>
      <c r="E186" s="456">
        <f>IFERROR(IF(Table11[[#This Row],[Year]]&gt;0,$E$1-Table11[[#This Row],[Year]],0),"")</f>
        <v>0</v>
      </c>
      <c r="F186" s="456"/>
      <c r="G186" s="456"/>
      <c r="H186" s="456"/>
    </row>
    <row r="187" spans="1:8" ht="13.5" customHeight="1">
      <c r="A187" s="471">
        <v>7183</v>
      </c>
      <c r="B187" s="540" t="s">
        <v>1170</v>
      </c>
      <c r="C187" s="471" t="s">
        <v>243</v>
      </c>
      <c r="D187" s="456">
        <f>IF(Table11[[#This Row],[Current Age]]&gt;19,"Women's",IF(E187&gt;15,"U19",IF(E187&gt;13,"U15",IF(E187&gt;11,"U13",IF(E187&gt;0,"U11",0)))))</f>
        <v>0</v>
      </c>
      <c r="E187" s="456">
        <f>IFERROR(IF(Table11[[#This Row],[Year]]&gt;0,$E$1-Table11[[#This Row],[Year]],0),"")</f>
        <v>0</v>
      </c>
      <c r="F187" s="456"/>
      <c r="G187" s="456"/>
      <c r="H187" s="456"/>
    </row>
    <row r="188" spans="1:8" ht="13.5" customHeight="1">
      <c r="A188" s="456">
        <v>7184</v>
      </c>
      <c r="B188" s="457" t="s">
        <v>1171</v>
      </c>
      <c r="C188" s="456" t="s">
        <v>252</v>
      </c>
      <c r="D188" s="456">
        <f>IF(Table11[[#This Row],[Current Age]]&gt;19,"Women's",IF(E188&gt;15,"U19",IF(E188&gt;13,"U15",IF(E188&gt;11,"U13",IF(E188&gt;0,"U11",0)))))</f>
        <v>0</v>
      </c>
      <c r="E188" s="456">
        <f>IFERROR(IF(Table11[[#This Row],[Year]]&gt;0,$E$1-Table11[[#This Row],[Year]],0),"")</f>
        <v>0</v>
      </c>
      <c r="F188" s="456"/>
      <c r="G188" s="456"/>
      <c r="H188" s="456"/>
    </row>
    <row r="189" spans="1:8" ht="13.5" customHeight="1">
      <c r="A189" s="471">
        <v>7185</v>
      </c>
      <c r="B189" s="540" t="s">
        <v>1172</v>
      </c>
      <c r="C189" s="471" t="s">
        <v>243</v>
      </c>
      <c r="D189" s="456">
        <f>IF(Table11[[#This Row],[Current Age]]&gt;19,"Women's",IF(E189&gt;15,"U19",IF(E189&gt;13,"U15",IF(E189&gt;11,"U13",IF(E189&gt;0,"U11",0)))))</f>
        <v>0</v>
      </c>
      <c r="E189" s="456">
        <f>IFERROR(IF(Table11[[#This Row],[Year]]&gt;0,$E$1-Table11[[#This Row],[Year]],0),"")</f>
        <v>0</v>
      </c>
      <c r="F189" s="456"/>
      <c r="G189" s="456"/>
      <c r="H189" s="456"/>
    </row>
    <row r="190" spans="1:8" ht="13.5" customHeight="1">
      <c r="A190" s="456">
        <v>7186</v>
      </c>
      <c r="B190" s="457" t="s">
        <v>1173</v>
      </c>
      <c r="C190" s="456" t="s">
        <v>4720</v>
      </c>
      <c r="D190" s="456">
        <f>IF(Table11[[#This Row],[Current Age]]&gt;19,"Women's",IF(E190&gt;15,"U19",IF(E190&gt;13,"U15",IF(E190&gt;11,"U13",IF(E190&gt;0,"U11",0)))))</f>
        <v>0</v>
      </c>
      <c r="E190" s="456">
        <f>IFERROR(IF(Table11[[#This Row],[Year]]&gt;0,$E$1-Table11[[#This Row],[Year]],0),"")</f>
        <v>0</v>
      </c>
      <c r="F190" s="456"/>
      <c r="G190" s="456"/>
      <c r="H190" s="456"/>
    </row>
    <row r="191" spans="1:8" ht="13.5" customHeight="1">
      <c r="A191" s="471">
        <v>7187</v>
      </c>
      <c r="B191" s="540" t="s">
        <v>1174</v>
      </c>
      <c r="C191" s="471" t="s">
        <v>253</v>
      </c>
      <c r="D191" s="456">
        <f>IF(Table11[[#This Row],[Current Age]]&gt;19,"Women's",IF(E191&gt;15,"U19",IF(E191&gt;13,"U15",IF(E191&gt;11,"U13",IF(E191&gt;0,"U11",0)))))</f>
        <v>0</v>
      </c>
      <c r="E191" s="456">
        <f>IFERROR(IF(Table11[[#This Row],[Year]]&gt;0,$E$1-Table11[[#This Row],[Year]],0),"")</f>
        <v>0</v>
      </c>
      <c r="F191" s="456"/>
      <c r="G191" s="456"/>
      <c r="H191" s="456"/>
    </row>
    <row r="192" spans="1:8" ht="13.5" customHeight="1">
      <c r="A192" s="456">
        <v>7188</v>
      </c>
      <c r="B192" s="457" t="s">
        <v>1175</v>
      </c>
      <c r="C192" s="456" t="s">
        <v>4720</v>
      </c>
      <c r="D192" s="456">
        <f>IF(Table11[[#This Row],[Current Age]]&gt;19,"Women's",IF(E192&gt;15,"U19",IF(E192&gt;13,"U15",IF(E192&gt;11,"U13",IF(E192&gt;0,"U11",0)))))</f>
        <v>0</v>
      </c>
      <c r="E192" s="456">
        <f>IFERROR(IF(Table11[[#This Row],[Year]]&gt;0,$E$1-Table11[[#This Row],[Year]],0),"")</f>
        <v>0</v>
      </c>
      <c r="F192" s="456"/>
      <c r="G192" s="456"/>
      <c r="H192" s="456"/>
    </row>
    <row r="193" spans="1:8" ht="13.5" customHeight="1">
      <c r="A193" s="471">
        <v>7189</v>
      </c>
      <c r="B193" s="540" t="s">
        <v>1176</v>
      </c>
      <c r="C193" s="471" t="s">
        <v>258</v>
      </c>
      <c r="D193" s="456">
        <f>IF(Table11[[#This Row],[Current Age]]&gt;19,"Women's",IF(E193&gt;15,"U19",IF(E193&gt;13,"U15",IF(E193&gt;11,"U13",IF(E193&gt;0,"U11",0)))))</f>
        <v>0</v>
      </c>
      <c r="E193" s="456">
        <f>IFERROR(IF(Table11[[#This Row],[Year]]&gt;0,$E$1-Table11[[#This Row],[Year]],0),"")</f>
        <v>0</v>
      </c>
      <c r="F193" s="456"/>
      <c r="G193" s="456"/>
      <c r="H193" s="456"/>
    </row>
    <row r="194" spans="1:8" ht="13.5" customHeight="1">
      <c r="A194" s="456">
        <v>7190</v>
      </c>
      <c r="B194" s="457" t="s">
        <v>1177</v>
      </c>
      <c r="C194" s="456" t="s">
        <v>243</v>
      </c>
      <c r="D194" s="456">
        <f>IF(Table11[[#This Row],[Current Age]]&gt;19,"Women's",IF(E194&gt;15,"U19",IF(E194&gt;13,"U15",IF(E194&gt;11,"U13",IF(E194&gt;0,"U11",0)))))</f>
        <v>0</v>
      </c>
      <c r="E194" s="456">
        <f>IFERROR(IF(Table11[[#This Row],[Year]]&gt;0,$E$1-Table11[[#This Row],[Year]],0),"")</f>
        <v>0</v>
      </c>
      <c r="F194" s="456"/>
      <c r="G194" s="456"/>
      <c r="H194" s="456"/>
    </row>
    <row r="195" spans="1:8" ht="13.5" customHeight="1">
      <c r="A195" s="471">
        <v>7191</v>
      </c>
      <c r="B195" s="540" t="s">
        <v>1178</v>
      </c>
      <c r="C195" s="471" t="s">
        <v>4720</v>
      </c>
      <c r="D195" s="456">
        <f>IF(Table11[[#This Row],[Current Age]]&gt;19,"Women's",IF(E195&gt;15,"U19",IF(E195&gt;13,"U15",IF(E195&gt;11,"U13",IF(E195&gt;0,"U11",0)))))</f>
        <v>0</v>
      </c>
      <c r="E195" s="456">
        <f>IFERROR(IF(Table11[[#This Row],[Year]]&gt;0,$E$1-Table11[[#This Row],[Year]],0),"")</f>
        <v>0</v>
      </c>
      <c r="F195" s="456"/>
      <c r="G195" s="456"/>
      <c r="H195" s="456"/>
    </row>
    <row r="196" spans="1:8" ht="13.5" customHeight="1">
      <c r="A196" s="458">
        <v>7192</v>
      </c>
      <c r="B196" s="457"/>
      <c r="C196" s="456"/>
      <c r="D196" s="456">
        <f>IF(Table11[[#This Row],[Current Age]]&gt;19,"Women's",IF(E196&gt;15,"U19",IF(E196&gt;13,"U15",IF(E196&gt;11,"U13",IF(E196&gt;0,"U11",0)))))</f>
        <v>0</v>
      </c>
      <c r="E196" s="456">
        <f>IFERROR(IF(Table11[[#This Row],[Year]]&gt;0,$E$1-Table11[[#This Row],[Year]],0),"")</f>
        <v>0</v>
      </c>
      <c r="F196" s="456"/>
      <c r="G196" s="456"/>
      <c r="H196" s="456"/>
    </row>
    <row r="197" spans="1:8" ht="13.5" customHeight="1">
      <c r="A197" s="471">
        <v>7193</v>
      </c>
      <c r="B197" s="540" t="s">
        <v>1180</v>
      </c>
      <c r="C197" s="471" t="s">
        <v>256</v>
      </c>
      <c r="D197" s="456" t="str">
        <f>IF(Table11[[#This Row],[Current Age]]&gt;19,"Women's",IF(E197&gt;15,"U19",IF(E197&gt;13,"U15",IF(E197&gt;11,"U13",IF(E197&gt;0,"U11",0)))))</f>
        <v>Women's</v>
      </c>
      <c r="E197" s="456">
        <f>IFERROR(IF(Table11[[#This Row],[Year]]&gt;0,$E$1-Table11[[#This Row],[Year]],0),"")</f>
        <v>22</v>
      </c>
      <c r="F197" s="456">
        <v>2003</v>
      </c>
      <c r="G197" s="456">
        <v>4</v>
      </c>
      <c r="H197" s="456">
        <v>30</v>
      </c>
    </row>
    <row r="198" spans="1:8" ht="13.5" customHeight="1">
      <c r="A198" s="456">
        <v>7194</v>
      </c>
      <c r="B198" s="457" t="s">
        <v>1181</v>
      </c>
      <c r="C198" s="456" t="s">
        <v>248</v>
      </c>
      <c r="D198" s="456">
        <f>IF(Table11[[#This Row],[Current Age]]&gt;19,"Women's",IF(E198&gt;15,"U19",IF(E198&gt;13,"U15",IF(E198&gt;11,"U13",IF(E198&gt;0,"U11",0)))))</f>
        <v>0</v>
      </c>
      <c r="E198" s="456">
        <f>IFERROR(IF(Table11[[#This Row],[Year]]&gt;0,$E$1-Table11[[#This Row],[Year]],0),"")</f>
        <v>0</v>
      </c>
      <c r="F198" s="456"/>
      <c r="G198" s="456"/>
      <c r="H198" s="456"/>
    </row>
    <row r="199" spans="1:8" ht="13.5" customHeight="1">
      <c r="A199" s="471">
        <v>7195</v>
      </c>
      <c r="B199" s="540" t="s">
        <v>101</v>
      </c>
      <c r="C199" s="471" t="s">
        <v>248</v>
      </c>
      <c r="D199" s="456">
        <f>IF(Table11[[#This Row],[Current Age]]&gt;19,"Women's",IF(E199&gt;15,"U19",IF(E199&gt;13,"U15",IF(E199&gt;11,"U13",IF(E199&gt;0,"U11",0)))))</f>
        <v>0</v>
      </c>
      <c r="E199" s="456">
        <f>IFERROR(IF(Table11[[#This Row],[Year]]&gt;0,$E$1-Table11[[#This Row],[Year]],0),"")</f>
        <v>0</v>
      </c>
      <c r="F199" s="456"/>
      <c r="G199" s="456"/>
      <c r="H199" s="456"/>
    </row>
    <row r="200" spans="1:8" ht="13.5" customHeight="1">
      <c r="A200" s="456">
        <v>7196</v>
      </c>
      <c r="B200" s="457" t="s">
        <v>1308</v>
      </c>
      <c r="C200" s="456" t="s">
        <v>361</v>
      </c>
      <c r="D200" s="456" t="str">
        <f>IF(Table11[[#This Row],[Current Age]]&gt;19,"Women's",IF(E200&gt;15,"U19",IF(E200&gt;13,"U15",IF(E200&gt;11,"U13",IF(E200&gt;0,"U11",0)))))</f>
        <v>Women's</v>
      </c>
      <c r="E200" s="456">
        <f>IFERROR(IF(Table11[[#This Row],[Year]]&gt;0,$E$1-Table11[[#This Row],[Year]],0),"")</f>
        <v>21</v>
      </c>
      <c r="F200" s="456">
        <v>2004</v>
      </c>
      <c r="G200" s="456">
        <v>7</v>
      </c>
      <c r="H200" s="456">
        <v>22</v>
      </c>
    </row>
    <row r="201" spans="1:8" ht="13.5" customHeight="1">
      <c r="A201" s="471">
        <v>7197</v>
      </c>
      <c r="B201" s="540" t="s">
        <v>1182</v>
      </c>
      <c r="C201" s="471" t="s">
        <v>361</v>
      </c>
      <c r="D201" s="456" t="str">
        <f>IF(Table11[[#This Row],[Current Age]]&gt;19,"Women's",IF(E201&gt;15,"U19",IF(E201&gt;13,"U15",IF(E201&gt;11,"U13",IF(E201&gt;0,"U11",0)))))</f>
        <v>Women's</v>
      </c>
      <c r="E201" s="456">
        <f>IFERROR(IF(Table11[[#This Row],[Year]]&gt;0,$E$1-Table11[[#This Row],[Year]],0),"")</f>
        <v>21</v>
      </c>
      <c r="F201" s="456">
        <v>2004</v>
      </c>
      <c r="G201" s="456">
        <v>5</v>
      </c>
      <c r="H201" s="456">
        <v>16</v>
      </c>
    </row>
    <row r="202" spans="1:8" ht="13.5" customHeight="1">
      <c r="A202" s="456">
        <v>7198</v>
      </c>
      <c r="B202" s="457" t="s">
        <v>1183</v>
      </c>
      <c r="C202" s="456" t="s">
        <v>251</v>
      </c>
      <c r="D202" s="456" t="str">
        <f>IF(Table11[[#This Row],[Current Age]]&gt;19,"Women's",IF(E202&gt;15,"U19",IF(E202&gt;13,"U15",IF(E202&gt;11,"U13",IF(E202&gt;0,"U11",0)))))</f>
        <v>Women's</v>
      </c>
      <c r="E202" s="456">
        <f>IFERROR(IF(Table11[[#This Row],[Year]]&gt;0,$E$1-Table11[[#This Row],[Year]],0),"")</f>
        <v>23</v>
      </c>
      <c r="F202" s="456">
        <v>2002</v>
      </c>
      <c r="G202" s="456">
        <v>1</v>
      </c>
      <c r="H202" s="456">
        <v>17</v>
      </c>
    </row>
    <row r="203" spans="1:8" ht="13.5" customHeight="1">
      <c r="A203" s="471">
        <v>7199</v>
      </c>
      <c r="B203" s="540" t="s">
        <v>1184</v>
      </c>
      <c r="C203" s="471" t="s">
        <v>247</v>
      </c>
      <c r="D203" s="456" t="str">
        <f>IF(Table11[[#This Row],[Current Age]]&gt;19,"Women's",IF(E203&gt;15,"U19",IF(E203&gt;13,"U15",IF(E203&gt;11,"U13",IF(E203&gt;0,"U11",0)))))</f>
        <v>Women's</v>
      </c>
      <c r="E203" s="456">
        <f>IFERROR(IF(Table11[[#This Row],[Year]]&gt;0,$E$1-Table11[[#This Row],[Year]],0),"")</f>
        <v>24</v>
      </c>
      <c r="F203" s="456">
        <v>2001</v>
      </c>
      <c r="G203" s="456">
        <v>11</v>
      </c>
      <c r="H203" s="456">
        <v>28</v>
      </c>
    </row>
    <row r="204" spans="1:8" ht="13.5" customHeight="1">
      <c r="A204" s="456">
        <v>7200</v>
      </c>
      <c r="B204" s="457" t="s">
        <v>1185</v>
      </c>
      <c r="C204" s="456" t="s">
        <v>362</v>
      </c>
      <c r="D204" s="456">
        <f>IF(Table11[[#This Row],[Current Age]]&gt;19,"Women's",IF(E204&gt;15,"U19",IF(E204&gt;13,"U15",IF(E204&gt;11,"U13",IF(E204&gt;0,"U11",0)))))</f>
        <v>0</v>
      </c>
      <c r="E204" s="456">
        <f>IFERROR(IF(Table11[[#This Row],[Year]]&gt;0,$E$1-Table11[[#This Row],[Year]],0),"")</f>
        <v>0</v>
      </c>
      <c r="F204" s="456"/>
      <c r="G204" s="456"/>
      <c r="H204" s="456"/>
    </row>
    <row r="205" spans="1:8" ht="13.5" customHeight="1">
      <c r="A205" s="471">
        <v>7201</v>
      </c>
      <c r="B205" s="540" t="s">
        <v>1186</v>
      </c>
      <c r="C205" s="471" t="s">
        <v>4720</v>
      </c>
      <c r="D205" s="456" t="str">
        <f>IF(Table11[[#This Row],[Current Age]]&gt;19,"Women's",IF(E205&gt;15,"U19",IF(E205&gt;13,"U15",IF(E205&gt;11,"U13",IF(E205&gt;0,"U11",0)))))</f>
        <v>U19</v>
      </c>
      <c r="E205" s="456">
        <f>IFERROR(IF(Table11[[#This Row],[Year]]&gt;0,$E$1-Table11[[#This Row],[Year]],0),"")</f>
        <v>19</v>
      </c>
      <c r="F205" s="456">
        <v>2006</v>
      </c>
      <c r="G205" s="456">
        <v>3</v>
      </c>
      <c r="H205" s="456">
        <v>1</v>
      </c>
    </row>
    <row r="206" spans="1:8" ht="13.5" customHeight="1">
      <c r="A206" s="456">
        <v>7202</v>
      </c>
      <c r="B206" s="457" t="s">
        <v>3312</v>
      </c>
      <c r="C206" s="456" t="s">
        <v>3346</v>
      </c>
      <c r="D206" s="456">
        <f>IF(Table11[[#This Row],[Current Age]]&gt;19,"Women's",IF(E206&gt;15,"U19",IF(E206&gt;13,"U15",IF(E206&gt;11,"U13",IF(E206&gt;0,"U11",0)))))</f>
        <v>0</v>
      </c>
      <c r="E206" s="456">
        <f>IFERROR(IF(Table11[[#This Row],[Year]]&gt;0,$E$1-Table11[[#This Row],[Year]],0),"")</f>
        <v>0</v>
      </c>
      <c r="F206" s="456"/>
      <c r="G206" s="456"/>
      <c r="H206" s="456"/>
    </row>
    <row r="207" spans="1:8" ht="13.5" customHeight="1">
      <c r="A207" s="471">
        <v>7203</v>
      </c>
      <c r="B207" s="540" t="s">
        <v>1187</v>
      </c>
      <c r="C207" s="471" t="s">
        <v>762</v>
      </c>
      <c r="D207" s="456">
        <f>IF(Table11[[#This Row],[Current Age]]&gt;19,"Women's",IF(E207&gt;15,"U19",IF(E207&gt;13,"U15",IF(E207&gt;11,"U13",IF(E207&gt;0,"U11",0)))))</f>
        <v>0</v>
      </c>
      <c r="E207" s="456">
        <f>IFERROR(IF(Table11[[#This Row],[Year]]&gt;0,$E$1-Table11[[#This Row],[Year]],0),"")</f>
        <v>0</v>
      </c>
      <c r="F207" s="456"/>
      <c r="G207" s="456"/>
      <c r="H207" s="456"/>
    </row>
    <row r="208" spans="1:8" ht="13.5" customHeight="1">
      <c r="A208" s="456">
        <v>7204</v>
      </c>
      <c r="B208" s="457" t="s">
        <v>1188</v>
      </c>
      <c r="C208" s="456" t="s">
        <v>256</v>
      </c>
      <c r="D208" s="456">
        <f>IF(Table11[[#This Row],[Current Age]]&gt;19,"Women's",IF(E208&gt;15,"U19",IF(E208&gt;13,"U15",IF(E208&gt;11,"U13",IF(E208&gt;0,"U11",0)))))</f>
        <v>0</v>
      </c>
      <c r="E208" s="456">
        <f>IFERROR(IF(Table11[[#This Row],[Year]]&gt;0,$E$1-Table11[[#This Row],[Year]],0),"")</f>
        <v>0</v>
      </c>
      <c r="F208" s="456"/>
      <c r="G208" s="456"/>
      <c r="H208" s="456"/>
    </row>
    <row r="209" spans="1:8" ht="13.5" customHeight="1">
      <c r="A209" s="471">
        <v>7205</v>
      </c>
      <c r="B209" s="540" t="s">
        <v>1189</v>
      </c>
      <c r="C209" s="471" t="s">
        <v>361</v>
      </c>
      <c r="D209" s="456" t="str">
        <f>IF(Table11[[#This Row],[Current Age]]&gt;19,"Women's",IF(E209&gt;15,"U19",IF(E209&gt;13,"U15",IF(E209&gt;11,"U13",IF(E209&gt;0,"U11",0)))))</f>
        <v>Women's</v>
      </c>
      <c r="E209" s="456">
        <f>IFERROR(IF(Table11[[#This Row],[Year]]&gt;0,$E$1-Table11[[#This Row],[Year]],0),"")</f>
        <v>21</v>
      </c>
      <c r="F209" s="456">
        <v>2004</v>
      </c>
      <c r="G209" s="456">
        <v>10</v>
      </c>
      <c r="H209" s="456">
        <v>16</v>
      </c>
    </row>
    <row r="210" spans="1:8" ht="13.5" customHeight="1">
      <c r="A210" s="456">
        <v>7206</v>
      </c>
      <c r="B210" s="457" t="s">
        <v>1190</v>
      </c>
      <c r="C210" s="456" t="s">
        <v>4720</v>
      </c>
      <c r="D210" s="456">
        <f>IF(Table11[[#This Row],[Current Age]]&gt;19,"Women's",IF(E210&gt;15,"U19",IF(E210&gt;13,"U15",IF(E210&gt;11,"U13",IF(E210&gt;0,"U11",0)))))</f>
        <v>0</v>
      </c>
      <c r="E210" s="456">
        <f>IFERROR(IF(Table11[[#This Row],[Year]]&gt;0,$E$1-Table11[[#This Row],[Year]],0),"")</f>
        <v>0</v>
      </c>
      <c r="F210" s="456"/>
      <c r="G210" s="456"/>
      <c r="H210" s="456"/>
    </row>
    <row r="211" spans="1:8" ht="13.5" customHeight="1">
      <c r="A211" s="471">
        <v>7207</v>
      </c>
      <c r="B211" s="540" t="s">
        <v>1191</v>
      </c>
      <c r="C211" s="471" t="s">
        <v>248</v>
      </c>
      <c r="D211" s="456" t="str">
        <f>IF(Table11[[#This Row],[Current Age]]&gt;19,"Women's",IF(E211&gt;15,"U19",IF(E211&gt;13,"U15",IF(E211&gt;11,"U13",IF(E211&gt;0,"U11",0)))))</f>
        <v>Women's</v>
      </c>
      <c r="E211" s="456">
        <f>IFERROR(IF(Table11[[#This Row],[Year]]&gt;0,$E$1-Table11[[#This Row],[Year]],0),"")</f>
        <v>20</v>
      </c>
      <c r="F211" s="456">
        <v>2005</v>
      </c>
      <c r="G211" s="456">
        <v>7</v>
      </c>
      <c r="H211" s="456">
        <v>9</v>
      </c>
    </row>
    <row r="212" spans="1:8" ht="13.5" customHeight="1">
      <c r="A212" s="456">
        <v>7208</v>
      </c>
      <c r="B212" s="457" t="s">
        <v>1192</v>
      </c>
      <c r="C212" s="456" t="s">
        <v>251</v>
      </c>
      <c r="D212" s="456" t="str">
        <f>IF(Table11[[#This Row],[Current Age]]&gt;19,"Women's",IF(E212&gt;15,"U19",IF(E212&gt;13,"U15",IF(E212&gt;11,"U13",IF(E212&gt;0,"U11",0)))))</f>
        <v>Women's</v>
      </c>
      <c r="E212" s="456">
        <f>IFERROR(IF(Table11[[#This Row],[Year]]&gt;0,$E$1-Table11[[#This Row],[Year]],0),"")</f>
        <v>23</v>
      </c>
      <c r="F212" s="456">
        <v>2002</v>
      </c>
      <c r="G212" s="456">
        <v>2</v>
      </c>
      <c r="H212" s="456">
        <v>11</v>
      </c>
    </row>
    <row r="213" spans="1:8" ht="13.5" customHeight="1">
      <c r="A213" s="471">
        <v>7209</v>
      </c>
      <c r="B213" s="540" t="s">
        <v>1193</v>
      </c>
      <c r="C213" s="471" t="s">
        <v>256</v>
      </c>
      <c r="D213" s="456">
        <f>IF(Table11[[#This Row],[Current Age]]&gt;19,"Women's",IF(E213&gt;15,"U19",IF(E213&gt;13,"U15",IF(E213&gt;11,"U13",IF(E213&gt;0,"U11",0)))))</f>
        <v>0</v>
      </c>
      <c r="E213" s="456">
        <f>IFERROR(IF(Table11[[#This Row],[Year]]&gt;0,$E$1-Table11[[#This Row],[Year]],0),"")</f>
        <v>0</v>
      </c>
      <c r="F213" s="456"/>
      <c r="G213" s="456"/>
      <c r="H213" s="456"/>
    </row>
    <row r="214" spans="1:8" ht="13.5" customHeight="1">
      <c r="A214" s="456">
        <v>7210</v>
      </c>
      <c r="B214" s="457" t="s">
        <v>1194</v>
      </c>
      <c r="C214" s="456" t="s">
        <v>256</v>
      </c>
      <c r="D214" s="456">
        <f>IF(Table11[[#This Row],[Current Age]]&gt;19,"Women's",IF(E214&gt;15,"U19",IF(E214&gt;13,"U15",IF(E214&gt;11,"U13",IF(E214&gt;0,"U11",0)))))</f>
        <v>0</v>
      </c>
      <c r="E214" s="456">
        <f>IFERROR(IF(Table11[[#This Row],[Year]]&gt;0,$E$1-Table11[[#This Row],[Year]],0),"")</f>
        <v>0</v>
      </c>
      <c r="F214" s="456"/>
      <c r="G214" s="456"/>
      <c r="H214" s="456"/>
    </row>
    <row r="215" spans="1:8" ht="13.5" customHeight="1">
      <c r="A215" s="471">
        <v>7211</v>
      </c>
      <c r="B215" s="540" t="s">
        <v>1195</v>
      </c>
      <c r="C215" s="471" t="s">
        <v>361</v>
      </c>
      <c r="D215" s="456">
        <f>IF(Table11[[#This Row],[Current Age]]&gt;19,"Women's",IF(E215&gt;15,"U19",IF(E215&gt;13,"U15",IF(E215&gt;11,"U13",IF(E215&gt;0,"U11",0)))))</f>
        <v>0</v>
      </c>
      <c r="E215" s="456">
        <f>IFERROR(IF(Table11[[#This Row],[Year]]&gt;0,$E$1-Table11[[#This Row],[Year]],0),"")</f>
        <v>0</v>
      </c>
      <c r="F215" s="456"/>
      <c r="G215" s="456"/>
      <c r="H215" s="456"/>
    </row>
    <row r="216" spans="1:8" ht="13.5" customHeight="1">
      <c r="A216" s="456">
        <v>7212</v>
      </c>
      <c r="B216" s="457" t="s">
        <v>1196</v>
      </c>
      <c r="C216" s="456" t="s">
        <v>3346</v>
      </c>
      <c r="D216" s="456">
        <f>IF(Table11[[#This Row],[Current Age]]&gt;19,"Women's",IF(E216&gt;15,"U19",IF(E216&gt;13,"U15",IF(E216&gt;11,"U13",IF(E216&gt;0,"U11",0)))))</f>
        <v>0</v>
      </c>
      <c r="E216" s="456">
        <f>IFERROR(IF(Table11[[#This Row],[Year]]&gt;0,$E$1-Table11[[#This Row],[Year]],0),"")</f>
        <v>0</v>
      </c>
      <c r="F216" s="456"/>
      <c r="G216" s="456"/>
      <c r="H216" s="456"/>
    </row>
    <row r="217" spans="1:8" ht="13.5" customHeight="1">
      <c r="A217" s="471">
        <v>7213</v>
      </c>
      <c r="B217" s="540" t="s">
        <v>1197</v>
      </c>
      <c r="C217" s="471" t="s">
        <v>363</v>
      </c>
      <c r="D217" s="456">
        <f>IF(Table11[[#This Row],[Current Age]]&gt;19,"Women's",IF(E217&gt;15,"U19",IF(E217&gt;13,"U15",IF(E217&gt;11,"U13",IF(E217&gt;0,"U11",0)))))</f>
        <v>0</v>
      </c>
      <c r="E217" s="456">
        <f>IFERROR(IF(Table11[[#This Row],[Year]]&gt;0,$E$1-Table11[[#This Row],[Year]],0),"")</f>
        <v>0</v>
      </c>
      <c r="F217" s="456"/>
      <c r="G217" s="456"/>
      <c r="H217" s="456"/>
    </row>
    <row r="218" spans="1:8" ht="13.5" customHeight="1">
      <c r="A218" s="456">
        <v>7214</v>
      </c>
      <c r="B218" s="457" t="s">
        <v>1198</v>
      </c>
      <c r="C218" s="456" t="s">
        <v>251</v>
      </c>
      <c r="D218" s="456" t="str">
        <f>IF(Table11[[#This Row],[Current Age]]&gt;19,"Women's",IF(E218&gt;15,"U19",IF(E218&gt;13,"U15",IF(E218&gt;11,"U13",IF(E218&gt;0,"U11",0)))))</f>
        <v>Women's</v>
      </c>
      <c r="E218" s="456">
        <f>IFERROR(IF(Table11[[#This Row],[Year]]&gt;0,$E$1-Table11[[#This Row],[Year]],0),"")</f>
        <v>23</v>
      </c>
      <c r="F218" s="456">
        <v>2002</v>
      </c>
      <c r="G218" s="456">
        <v>3</v>
      </c>
      <c r="H218" s="456">
        <v>27</v>
      </c>
    </row>
    <row r="219" spans="1:8" ht="13.5" customHeight="1">
      <c r="A219" s="471">
        <v>7215</v>
      </c>
      <c r="B219" s="540" t="s">
        <v>1309</v>
      </c>
      <c r="C219" s="471" t="s">
        <v>249</v>
      </c>
      <c r="D219" s="456">
        <f>IF(Table11[[#This Row],[Current Age]]&gt;19,"Women's",IF(E219&gt;15,"U19",IF(E219&gt;13,"U15",IF(E219&gt;11,"U13",IF(E219&gt;0,"U11",0)))))</f>
        <v>0</v>
      </c>
      <c r="E219" s="456">
        <f>IFERROR(IF(Table11[[#This Row],[Year]]&gt;0,$E$1-Table11[[#This Row],[Year]],0),"")</f>
        <v>0</v>
      </c>
      <c r="F219" s="456"/>
      <c r="G219" s="456"/>
      <c r="H219" s="456"/>
    </row>
    <row r="220" spans="1:8" ht="13.5" customHeight="1">
      <c r="A220" s="456">
        <v>7216</v>
      </c>
      <c r="B220" s="457" t="s">
        <v>259</v>
      </c>
      <c r="C220" s="456" t="s">
        <v>256</v>
      </c>
      <c r="D220" s="456">
        <f>IF(Table11[[#This Row],[Current Age]]&gt;19,"Women's",IF(E220&gt;15,"U19",IF(E220&gt;13,"U15",IF(E220&gt;11,"U13",IF(E220&gt;0,"U11",0)))))</f>
        <v>0</v>
      </c>
      <c r="E220" s="456">
        <f>IFERROR(IF(Table11[[#This Row],[Year]]&gt;0,$E$1-Table11[[#This Row],[Year]],0),"")</f>
        <v>0</v>
      </c>
      <c r="F220" s="456"/>
      <c r="G220" s="456"/>
      <c r="H220" s="456"/>
    </row>
    <row r="221" spans="1:8" ht="13.5" customHeight="1">
      <c r="A221" s="471">
        <v>7217</v>
      </c>
      <c r="B221" s="540" t="s">
        <v>1001</v>
      </c>
      <c r="C221" s="471" t="s">
        <v>698</v>
      </c>
      <c r="D221" s="456">
        <f>IF(Table11[[#This Row],[Current Age]]&gt;19,"Women's",IF(E221&gt;15,"U19",IF(E221&gt;13,"U15",IF(E221&gt;11,"U13",IF(E221&gt;0,"U11",0)))))</f>
        <v>0</v>
      </c>
      <c r="E221" s="456">
        <f>IFERROR(IF(Table11[[#This Row],[Year]]&gt;0,$E$1-Table11[[#This Row],[Year]],0),"")</f>
        <v>0</v>
      </c>
      <c r="F221" s="456"/>
      <c r="G221" s="456"/>
      <c r="H221" s="456"/>
    </row>
    <row r="222" spans="1:8" ht="13.5" customHeight="1">
      <c r="A222" s="456">
        <v>7218</v>
      </c>
      <c r="B222" s="457" t="s">
        <v>115</v>
      </c>
      <c r="C222" s="456"/>
      <c r="D222" s="456">
        <f>IF(Table11[[#This Row],[Current Age]]&gt;19,"Women's",IF(E222&gt;15,"U19",IF(E222&gt;13,"U15",IF(E222&gt;11,"U13",IF(E222&gt;0,"U11",0)))))</f>
        <v>0</v>
      </c>
      <c r="E222" s="456">
        <f>IFERROR(IF(Table11[[#This Row],[Year]]&gt;0,$E$1-Table11[[#This Row],[Year]],0),"")</f>
        <v>0</v>
      </c>
      <c r="F222" s="456"/>
      <c r="G222" s="456"/>
      <c r="H222" s="456"/>
    </row>
    <row r="223" spans="1:8" ht="13.5" customHeight="1">
      <c r="A223" s="471">
        <v>7219</v>
      </c>
      <c r="B223" s="540" t="s">
        <v>1199</v>
      </c>
      <c r="C223" s="471" t="s">
        <v>251</v>
      </c>
      <c r="D223" s="456" t="str">
        <f>IF(Table11[[#This Row],[Current Age]]&gt;19,"Women's",IF(E223&gt;15,"U19",IF(E223&gt;13,"U15",IF(E223&gt;11,"U13",IF(E223&gt;0,"U11",0)))))</f>
        <v>Women's</v>
      </c>
      <c r="E223" s="456">
        <f>IFERROR(IF(Table11[[#This Row],[Year]]&gt;0,$E$1-Table11[[#This Row],[Year]],0),"")</f>
        <v>22</v>
      </c>
      <c r="F223" s="456">
        <v>2003</v>
      </c>
      <c r="G223" s="456">
        <v>4</v>
      </c>
      <c r="H223" s="456">
        <v>28</v>
      </c>
    </row>
    <row r="224" spans="1:8" ht="13.5" customHeight="1">
      <c r="A224" s="456">
        <v>7220</v>
      </c>
      <c r="B224" s="457" t="s">
        <v>1200</v>
      </c>
      <c r="C224" s="456" t="s">
        <v>253</v>
      </c>
      <c r="D224" s="456">
        <f>IF(Table11[[#This Row],[Current Age]]&gt;19,"Women's",IF(E224&gt;15,"U19",IF(E224&gt;13,"U15",IF(E224&gt;11,"U13",IF(E224&gt;0,"U11",0)))))</f>
        <v>0</v>
      </c>
      <c r="E224" s="456">
        <f>IFERROR(IF(Table11[[#This Row],[Year]]&gt;0,$E$1-Table11[[#This Row],[Year]],0),"")</f>
        <v>0</v>
      </c>
      <c r="F224" s="456"/>
      <c r="G224" s="456"/>
      <c r="H224" s="456"/>
    </row>
    <row r="225" spans="1:8" ht="13.5" customHeight="1">
      <c r="A225" s="471">
        <v>7221</v>
      </c>
      <c r="B225" s="540" t="s">
        <v>3308</v>
      </c>
      <c r="C225" s="471" t="s">
        <v>251</v>
      </c>
      <c r="D225" s="456" t="str">
        <f>IF(Table11[[#This Row],[Current Age]]&gt;19,"Women's",IF(E225&gt;15,"U19",IF(E225&gt;13,"U15",IF(E225&gt;11,"U13",IF(E225&gt;0,"U11",0)))))</f>
        <v>Women's</v>
      </c>
      <c r="E225" s="456">
        <f>IFERROR(IF(Table11[[#This Row],[Year]]&gt;0,$E$1-Table11[[#This Row],[Year]],0),"")</f>
        <v>23</v>
      </c>
      <c r="F225" s="456">
        <v>2002</v>
      </c>
      <c r="G225" s="456">
        <v>11</v>
      </c>
      <c r="H225" s="456">
        <v>24</v>
      </c>
    </row>
    <row r="226" spans="1:8" ht="13.5" customHeight="1">
      <c r="A226" s="456">
        <v>7222</v>
      </c>
      <c r="B226" s="457" t="s">
        <v>1310</v>
      </c>
      <c r="C226" s="456" t="s">
        <v>256</v>
      </c>
      <c r="D226" s="456">
        <f>IF(Table11[[#This Row],[Current Age]]&gt;19,"Women's",IF(E226&gt;15,"U19",IF(E226&gt;13,"U15",IF(E226&gt;11,"U13",IF(E226&gt;0,"U11",0)))))</f>
        <v>0</v>
      </c>
      <c r="E226" s="456">
        <f>IFERROR(IF(Table11[[#This Row],[Year]]&gt;0,$E$1-Table11[[#This Row],[Year]],0),"")</f>
        <v>0</v>
      </c>
      <c r="F226" s="456"/>
      <c r="G226" s="456"/>
      <c r="H226" s="456"/>
    </row>
    <row r="227" spans="1:8" ht="13.5" customHeight="1">
      <c r="A227" s="471">
        <v>7223</v>
      </c>
      <c r="B227" s="540" t="s">
        <v>1921</v>
      </c>
      <c r="C227" s="471" t="s">
        <v>361</v>
      </c>
      <c r="D227" s="456">
        <f>IF(Table11[[#This Row],[Current Age]]&gt;19,"Women's",IF(E227&gt;15,"U19",IF(E227&gt;13,"U15",IF(E227&gt;11,"U13",IF(E227&gt;0,"U11",0)))))</f>
        <v>0</v>
      </c>
      <c r="E227" s="456">
        <f>IFERROR(IF(Table11[[#This Row],[Year]]&gt;0,$E$1-Table11[[#This Row],[Year]],0),"")</f>
        <v>0</v>
      </c>
      <c r="F227" s="456"/>
      <c r="G227" s="456"/>
      <c r="H227" s="456"/>
    </row>
    <row r="228" spans="1:8" ht="13.5" customHeight="1">
      <c r="A228" s="456">
        <v>7224</v>
      </c>
      <c r="B228" s="457" t="s">
        <v>1201</v>
      </c>
      <c r="C228" s="456" t="s">
        <v>243</v>
      </c>
      <c r="D228" s="456" t="str">
        <f>IF(Table11[[#This Row],[Current Age]]&gt;19,"Women's",IF(E228&gt;15,"U19",IF(E228&gt;13,"U15",IF(E228&gt;11,"U13",IF(E228&gt;0,"U11",0)))))</f>
        <v>U19</v>
      </c>
      <c r="E228" s="456">
        <f>IFERROR(IF(Table11[[#This Row],[Year]]&gt;0,$E$1-Table11[[#This Row],[Year]],0),"")</f>
        <v>19</v>
      </c>
      <c r="F228" s="456">
        <v>2006</v>
      </c>
      <c r="G228" s="456">
        <v>2</v>
      </c>
      <c r="H228" s="456">
        <v>2</v>
      </c>
    </row>
    <row r="229" spans="1:8" ht="13.5" customHeight="1">
      <c r="A229" s="471">
        <v>7225</v>
      </c>
      <c r="B229" s="540" t="s">
        <v>1202</v>
      </c>
      <c r="C229" s="471" t="s">
        <v>762</v>
      </c>
      <c r="D229" s="456">
        <f>IF(Table11[[#This Row],[Current Age]]&gt;19,"Women's",IF(E229&gt;15,"U19",IF(E229&gt;13,"U15",IF(E229&gt;11,"U13",IF(E229&gt;0,"U11",0)))))</f>
        <v>0</v>
      </c>
      <c r="E229" s="456">
        <f>IFERROR(IF(Table11[[#This Row],[Year]]&gt;0,$E$1-Table11[[#This Row],[Year]],0),"")</f>
        <v>0</v>
      </c>
      <c r="F229" s="456"/>
      <c r="G229" s="456"/>
      <c r="H229" s="456"/>
    </row>
    <row r="230" spans="1:8" ht="13.5" customHeight="1">
      <c r="A230" s="456">
        <v>7226</v>
      </c>
      <c r="B230" s="457" t="s">
        <v>1203</v>
      </c>
      <c r="C230" s="456" t="s">
        <v>4720</v>
      </c>
      <c r="D230" s="456" t="str">
        <f>IF(Table11[[#This Row],[Current Age]]&gt;19,"Women's",IF(E230&gt;15,"U19",IF(E230&gt;13,"U15",IF(E230&gt;11,"U13",IF(E230&gt;0,"U11",0)))))</f>
        <v>U19</v>
      </c>
      <c r="E230" s="456">
        <f>IFERROR(IF(Table11[[#This Row],[Year]]&gt;0,$E$1-Table11[[#This Row],[Year]],0),"")</f>
        <v>19</v>
      </c>
      <c r="F230" s="456">
        <v>2006</v>
      </c>
      <c r="G230" s="456">
        <v>10</v>
      </c>
      <c r="H230" s="456">
        <v>19</v>
      </c>
    </row>
    <row r="231" spans="1:8" ht="13.5" customHeight="1">
      <c r="A231" s="471">
        <v>7227</v>
      </c>
      <c r="B231" s="540" t="s">
        <v>1204</v>
      </c>
      <c r="C231" s="471" t="s">
        <v>256</v>
      </c>
      <c r="D231" s="456">
        <f>IF(Table11[[#This Row],[Current Age]]&gt;19,"Women's",IF(E231&gt;15,"U19",IF(E231&gt;13,"U15",IF(E231&gt;11,"U13",IF(E231&gt;0,"U11",0)))))</f>
        <v>0</v>
      </c>
      <c r="E231" s="456">
        <f>IFERROR(IF(Table11[[#This Row],[Year]]&gt;0,$E$1-Table11[[#This Row],[Year]],0),"")</f>
        <v>0</v>
      </c>
      <c r="F231" s="456"/>
      <c r="G231" s="456"/>
      <c r="H231" s="456"/>
    </row>
    <row r="232" spans="1:8" ht="13.5" customHeight="1">
      <c r="A232" s="456">
        <v>7228</v>
      </c>
      <c r="B232" s="457" t="s">
        <v>1205</v>
      </c>
      <c r="C232" s="456" t="s">
        <v>243</v>
      </c>
      <c r="D232" s="456">
        <f>IF(Table11[[#This Row],[Current Age]]&gt;19,"Women's",IF(E232&gt;15,"U19",IF(E232&gt;13,"U15",IF(E232&gt;11,"U13",IF(E232&gt;0,"U11",0)))))</f>
        <v>0</v>
      </c>
      <c r="E232" s="456">
        <f>IFERROR(IF(Table11[[#This Row],[Year]]&gt;0,$E$1-Table11[[#This Row],[Year]],0),"")</f>
        <v>0</v>
      </c>
      <c r="F232" s="456"/>
      <c r="G232" s="456"/>
      <c r="H232" s="456"/>
    </row>
    <row r="233" spans="1:8" ht="13.5" customHeight="1">
      <c r="A233" s="471">
        <v>7229</v>
      </c>
      <c r="B233" s="540" t="s">
        <v>1206</v>
      </c>
      <c r="C233" s="471" t="s">
        <v>363</v>
      </c>
      <c r="D233" s="456">
        <f>IF(Table11[[#This Row],[Current Age]]&gt;19,"Women's",IF(E233&gt;15,"U19",IF(E233&gt;13,"U15",IF(E233&gt;11,"U13",IF(E233&gt;0,"U11",0)))))</f>
        <v>0</v>
      </c>
      <c r="E233" s="456">
        <f>IFERROR(IF(Table11[[#This Row],[Year]]&gt;0,$E$1-Table11[[#This Row],[Year]],0),"")</f>
        <v>0</v>
      </c>
      <c r="F233" s="456"/>
      <c r="G233" s="456"/>
      <c r="H233" s="456"/>
    </row>
    <row r="234" spans="1:8" ht="13.5" customHeight="1">
      <c r="A234" s="456">
        <v>7230</v>
      </c>
      <c r="B234" s="457" t="s">
        <v>1207</v>
      </c>
      <c r="C234" s="456" t="s">
        <v>247</v>
      </c>
      <c r="D234" s="456">
        <f>IF(Table11[[#This Row],[Current Age]]&gt;19,"Women's",IF(E234&gt;15,"U19",IF(E234&gt;13,"U15",IF(E234&gt;11,"U13",IF(E234&gt;0,"U11",0)))))</f>
        <v>0</v>
      </c>
      <c r="E234" s="456">
        <f>IFERROR(IF(Table11[[#This Row],[Year]]&gt;0,$E$1-Table11[[#This Row],[Year]],0),"")</f>
        <v>0</v>
      </c>
      <c r="F234" s="456"/>
      <c r="G234" s="456"/>
      <c r="H234" s="456"/>
    </row>
    <row r="235" spans="1:8" ht="13.5" customHeight="1">
      <c r="A235" s="471">
        <v>7231</v>
      </c>
      <c r="B235" s="540" t="s">
        <v>116</v>
      </c>
      <c r="C235" s="471"/>
      <c r="D235" s="456" t="str">
        <f>IF(Table11[[#This Row],[Current Age]]&gt;19,"Women's",IF(E235&gt;15,"U19",IF(E235&gt;13,"U15",IF(E235&gt;11,"U13",IF(E235&gt;0,"U11",0)))))</f>
        <v>Women's</v>
      </c>
      <c r="E235" s="456">
        <f>IFERROR(IF(Table11[[#This Row],[Year]]&gt;0,$E$1-Table11[[#This Row],[Year]],0),"")</f>
        <v>21</v>
      </c>
      <c r="F235" s="456">
        <v>2004</v>
      </c>
      <c r="G235" s="456">
        <v>5</v>
      </c>
      <c r="H235" s="456">
        <v>25</v>
      </c>
    </row>
    <row r="236" spans="1:8" ht="13.5" customHeight="1">
      <c r="A236" s="456">
        <v>7232</v>
      </c>
      <c r="B236" s="457" t="s">
        <v>1208</v>
      </c>
      <c r="C236" s="456" t="s">
        <v>243</v>
      </c>
      <c r="D236" s="456" t="str">
        <f>IF(Table11[[#This Row],[Current Age]]&gt;19,"Women's",IF(E236&gt;15,"U19",IF(E236&gt;13,"U15",IF(E236&gt;11,"U13",IF(E236&gt;0,"U11",0)))))</f>
        <v>Women's</v>
      </c>
      <c r="E236" s="456">
        <f>IFERROR(IF(Table11[[#This Row],[Year]]&gt;0,$E$1-Table11[[#This Row],[Year]],0),"")</f>
        <v>21</v>
      </c>
      <c r="F236" s="456">
        <v>2004</v>
      </c>
      <c r="G236" s="456">
        <v>11</v>
      </c>
      <c r="H236" s="456">
        <v>23</v>
      </c>
    </row>
    <row r="237" spans="1:8" ht="13.5" customHeight="1">
      <c r="A237" s="471">
        <v>7233</v>
      </c>
      <c r="B237" s="540" t="s">
        <v>1209</v>
      </c>
      <c r="C237" s="471" t="s">
        <v>247</v>
      </c>
      <c r="D237" s="456" t="str">
        <f>IF(Table11[[#This Row],[Current Age]]&gt;19,"Women's",IF(E237&gt;15,"U19",IF(E237&gt;13,"U15",IF(E237&gt;11,"U13",IF(E237&gt;0,"U11",0)))))</f>
        <v>Women's</v>
      </c>
      <c r="E237" s="456">
        <f>IFERROR(IF(Table11[[#This Row],[Year]]&gt;0,$E$1-Table11[[#This Row],[Year]],0),"")</f>
        <v>22</v>
      </c>
      <c r="F237" s="456">
        <v>2003</v>
      </c>
      <c r="G237" s="456">
        <v>8</v>
      </c>
      <c r="H237" s="456">
        <v>27</v>
      </c>
    </row>
    <row r="238" spans="1:8" ht="13.5" customHeight="1">
      <c r="A238" s="456">
        <v>7234</v>
      </c>
      <c r="B238" s="457" t="s">
        <v>1012</v>
      </c>
      <c r="C238" s="456" t="s">
        <v>3346</v>
      </c>
      <c r="D238" s="456" t="str">
        <f>IF(Table11[[#This Row],[Current Age]]&gt;19,"Women's",IF(E238&gt;15,"U19",IF(E238&gt;13,"U15",IF(E238&gt;11,"U13",IF(E238&gt;0,"U11",0)))))</f>
        <v>Women's</v>
      </c>
      <c r="E238" s="456">
        <f>IFERROR(IF(Table11[[#This Row],[Year]]&gt;0,$E$1-Table11[[#This Row],[Year]],0),"")</f>
        <v>20</v>
      </c>
      <c r="F238" s="456">
        <v>2005</v>
      </c>
      <c r="G238" s="456">
        <v>1</v>
      </c>
      <c r="H238" s="456">
        <v>17</v>
      </c>
    </row>
    <row r="239" spans="1:8" ht="13.5" customHeight="1">
      <c r="A239" s="471">
        <v>7235</v>
      </c>
      <c r="B239" s="540" t="s">
        <v>1210</v>
      </c>
      <c r="C239" s="471" t="s">
        <v>256</v>
      </c>
      <c r="D239" s="456" t="str">
        <f>IF(Table11[[#This Row],[Current Age]]&gt;19,"Women's",IF(E239&gt;15,"U19",IF(E239&gt;13,"U15",IF(E239&gt;11,"U13",IF(E239&gt;0,"U11",0)))))</f>
        <v>U19</v>
      </c>
      <c r="E239" s="456">
        <f>IFERROR(IF(Table11[[#This Row],[Year]]&gt;0,$E$1-Table11[[#This Row],[Year]],0),"")</f>
        <v>18</v>
      </c>
      <c r="F239" s="456">
        <v>2007</v>
      </c>
      <c r="G239" s="456">
        <v>1</v>
      </c>
      <c r="H239" s="456">
        <v>2</v>
      </c>
    </row>
    <row r="240" spans="1:8" ht="13.5" customHeight="1">
      <c r="A240" s="456">
        <v>7236</v>
      </c>
      <c r="B240" s="457" t="s">
        <v>1211</v>
      </c>
      <c r="C240" s="456" t="s">
        <v>4720</v>
      </c>
      <c r="D240" s="456">
        <f>IF(Table11[[#This Row],[Current Age]]&gt;19,"Women's",IF(E240&gt;15,"U19",IF(E240&gt;13,"U15",IF(E240&gt;11,"U13",IF(E240&gt;0,"U11",0)))))</f>
        <v>0</v>
      </c>
      <c r="E240" s="456">
        <f>IFERROR(IF(Table11[[#This Row],[Year]]&gt;0,$E$1-Table11[[#This Row],[Year]],0),"")</f>
        <v>0</v>
      </c>
      <c r="F240" s="456"/>
      <c r="G240" s="456"/>
      <c r="H240" s="456"/>
    </row>
    <row r="241" spans="1:8" ht="13.5" customHeight="1">
      <c r="A241" s="471">
        <v>7237</v>
      </c>
      <c r="B241" s="540" t="s">
        <v>1212</v>
      </c>
      <c r="C241" s="471" t="s">
        <v>253</v>
      </c>
      <c r="D241" s="456">
        <f>IF(Table11[[#This Row],[Current Age]]&gt;19,"Women's",IF(E241&gt;15,"U19",IF(E241&gt;13,"U15",IF(E241&gt;11,"U13",IF(E241&gt;0,"U11",0)))))</f>
        <v>0</v>
      </c>
      <c r="E241" s="456">
        <f>IFERROR(IF(Table11[[#This Row],[Year]]&gt;0,$E$1-Table11[[#This Row],[Year]],0),"")</f>
        <v>0</v>
      </c>
      <c r="F241" s="456"/>
      <c r="G241" s="456"/>
      <c r="H241" s="456"/>
    </row>
    <row r="242" spans="1:8" ht="13.5" customHeight="1">
      <c r="A242" s="456">
        <v>7238</v>
      </c>
      <c r="B242" s="457" t="s">
        <v>1213</v>
      </c>
      <c r="C242" s="456" t="s">
        <v>256</v>
      </c>
      <c r="D242" s="456">
        <f>IF(Table11[[#This Row],[Current Age]]&gt;19,"Women's",IF(E242&gt;15,"U19",IF(E242&gt;13,"U15",IF(E242&gt;11,"U13",IF(E242&gt;0,"U11",0)))))</f>
        <v>0</v>
      </c>
      <c r="E242" s="456">
        <f>IFERROR(IF(Table11[[#This Row],[Year]]&gt;0,$E$1-Table11[[#This Row],[Year]],0),"")</f>
        <v>0</v>
      </c>
      <c r="F242" s="456"/>
      <c r="G242" s="456"/>
      <c r="H242" s="456"/>
    </row>
    <row r="243" spans="1:8" ht="13.5" customHeight="1">
      <c r="A243" s="471">
        <v>7239</v>
      </c>
      <c r="B243" s="540" t="s">
        <v>1214</v>
      </c>
      <c r="C243" s="471" t="s">
        <v>363</v>
      </c>
      <c r="D243" s="456">
        <f>IF(Table11[[#This Row],[Current Age]]&gt;19,"Women's",IF(E243&gt;15,"U19",IF(E243&gt;13,"U15",IF(E243&gt;11,"U13",IF(E243&gt;0,"U11",0)))))</f>
        <v>0</v>
      </c>
      <c r="E243" s="456">
        <f>IFERROR(IF(Table11[[#This Row],[Year]]&gt;0,$E$1-Table11[[#This Row],[Year]],0),"")</f>
        <v>0</v>
      </c>
      <c r="F243" s="456"/>
      <c r="G243" s="456"/>
      <c r="H243" s="456"/>
    </row>
    <row r="244" spans="1:8" ht="13.5" customHeight="1">
      <c r="A244" s="456">
        <v>7240</v>
      </c>
      <c r="B244" s="457" t="s">
        <v>1215</v>
      </c>
      <c r="C244" s="456" t="s">
        <v>255</v>
      </c>
      <c r="D244" s="456" t="str">
        <f>IF(Table11[[#This Row],[Current Age]]&gt;19,"Women's",IF(E244&gt;15,"U19",IF(E244&gt;13,"U15",IF(E244&gt;11,"U13",IF(E244&gt;0,"U11",0)))))</f>
        <v>Women's</v>
      </c>
      <c r="E244" s="456">
        <f>IFERROR(IF(Table11[[#This Row],[Year]]&gt;0,$E$1-Table11[[#This Row],[Year]],0),"")</f>
        <v>24</v>
      </c>
      <c r="F244" s="456">
        <v>2001</v>
      </c>
      <c r="G244" s="456">
        <v>6</v>
      </c>
      <c r="H244" s="456">
        <v>4</v>
      </c>
    </row>
    <row r="245" spans="1:8" ht="13.5" customHeight="1">
      <c r="A245" s="471">
        <v>7241</v>
      </c>
      <c r="B245" s="540" t="s">
        <v>1922</v>
      </c>
      <c r="C245" s="471" t="s">
        <v>361</v>
      </c>
      <c r="D245" s="456">
        <f>IF(Table11[[#This Row],[Current Age]]&gt;19,"Women's",IF(E245&gt;15,"U19",IF(E245&gt;13,"U15",IF(E245&gt;11,"U13",IF(E245&gt;0,"U11",0)))))</f>
        <v>0</v>
      </c>
      <c r="E245" s="456">
        <f>IFERROR(IF(Table11[[#This Row],[Year]]&gt;0,$E$1-Table11[[#This Row],[Year]],0),"")</f>
        <v>0</v>
      </c>
      <c r="F245" s="456"/>
      <c r="G245" s="456"/>
      <c r="H245" s="456"/>
    </row>
    <row r="246" spans="1:8" ht="13.5" customHeight="1">
      <c r="A246" s="456">
        <v>7242</v>
      </c>
      <c r="B246" s="457" t="s">
        <v>1216</v>
      </c>
      <c r="C246" s="456" t="s">
        <v>4720</v>
      </c>
      <c r="D246" s="456">
        <f>IF(Table11[[#This Row],[Current Age]]&gt;19,"Women's",IF(E246&gt;15,"U19",IF(E246&gt;13,"U15",IF(E246&gt;11,"U13",IF(E246&gt;0,"U11",0)))))</f>
        <v>0</v>
      </c>
      <c r="E246" s="456">
        <f>IFERROR(IF(Table11[[#This Row],[Year]]&gt;0,$E$1-Table11[[#This Row],[Year]],0),"")</f>
        <v>0</v>
      </c>
      <c r="F246" s="456"/>
      <c r="G246" s="456"/>
      <c r="H246" s="456"/>
    </row>
    <row r="247" spans="1:8" ht="13.5" customHeight="1">
      <c r="A247" s="471">
        <v>7243</v>
      </c>
      <c r="B247" s="540" t="s">
        <v>1217</v>
      </c>
      <c r="C247" s="471" t="s">
        <v>247</v>
      </c>
      <c r="D247" s="456" t="str">
        <f>IF(Table11[[#This Row],[Current Age]]&gt;19,"Women's",IF(E247&gt;15,"U19",IF(E247&gt;13,"U15",IF(E247&gt;11,"U13",IF(E247&gt;0,"U11",0)))))</f>
        <v>Women's</v>
      </c>
      <c r="E247" s="456">
        <f>IFERROR(IF(Table11[[#This Row],[Year]]&gt;0,$E$1-Table11[[#This Row],[Year]],0),"")</f>
        <v>20</v>
      </c>
      <c r="F247" s="456">
        <v>2005</v>
      </c>
      <c r="G247" s="456">
        <v>9</v>
      </c>
      <c r="H247" s="456">
        <v>1</v>
      </c>
    </row>
    <row r="248" spans="1:8" ht="13.5" customHeight="1">
      <c r="A248" s="456">
        <v>7244</v>
      </c>
      <c r="B248" s="457" t="s">
        <v>1218</v>
      </c>
      <c r="C248" s="456" t="s">
        <v>244</v>
      </c>
      <c r="D248" s="456" t="str">
        <f>IF(Table11[[#This Row],[Current Age]]&gt;19,"Women's",IF(E248&gt;15,"U19",IF(E248&gt;13,"U15",IF(E248&gt;11,"U13",IF(E248&gt;0,"U11",0)))))</f>
        <v>U19</v>
      </c>
      <c r="E248" s="456">
        <f>IFERROR(IF(Table11[[#This Row],[Year]]&gt;0,$E$1-Table11[[#This Row],[Year]],0),"")</f>
        <v>19</v>
      </c>
      <c r="F248" s="456">
        <v>2006</v>
      </c>
      <c r="G248" s="456">
        <v>8</v>
      </c>
      <c r="H248" s="456">
        <v>3</v>
      </c>
    </row>
    <row r="249" spans="1:8" ht="13.5" customHeight="1">
      <c r="A249" s="471">
        <v>7245</v>
      </c>
      <c r="B249" s="540" t="s">
        <v>1219</v>
      </c>
      <c r="C249" s="471" t="s">
        <v>256</v>
      </c>
      <c r="D249" s="456">
        <f>IF(Table11[[#This Row],[Current Age]]&gt;19,"Women's",IF(E249&gt;15,"U19",IF(E249&gt;13,"U15",IF(E249&gt;11,"U13",IF(E249&gt;0,"U11",0)))))</f>
        <v>0</v>
      </c>
      <c r="E249" s="456">
        <f>IFERROR(IF(Table11[[#This Row],[Year]]&gt;0,$E$1-Table11[[#This Row],[Year]],0),"")</f>
        <v>0</v>
      </c>
      <c r="F249" s="456"/>
      <c r="G249" s="456"/>
      <c r="H249" s="456"/>
    </row>
    <row r="250" spans="1:8" ht="13.5" customHeight="1">
      <c r="A250" s="456">
        <v>7246</v>
      </c>
      <c r="B250" s="457" t="s">
        <v>1220</v>
      </c>
      <c r="C250" s="456" t="s">
        <v>762</v>
      </c>
      <c r="D250" s="456">
        <f>IF(Table11[[#This Row],[Current Age]]&gt;19,"Women's",IF(E250&gt;15,"U19",IF(E250&gt;13,"U15",IF(E250&gt;11,"U13",IF(E250&gt;0,"U11",0)))))</f>
        <v>0</v>
      </c>
      <c r="E250" s="456">
        <f>IFERROR(IF(Table11[[#This Row],[Year]]&gt;0,$E$1-Table11[[#This Row],[Year]],0),"")</f>
        <v>0</v>
      </c>
      <c r="F250" s="456"/>
      <c r="G250" s="456"/>
      <c r="H250" s="456"/>
    </row>
    <row r="251" spans="1:8" ht="13.5" customHeight="1">
      <c r="A251" s="471">
        <v>7247</v>
      </c>
      <c r="B251" s="540" t="s">
        <v>1221</v>
      </c>
      <c r="C251" s="471" t="s">
        <v>363</v>
      </c>
      <c r="D251" s="456">
        <f>IF(Table11[[#This Row],[Current Age]]&gt;19,"Women's",IF(E251&gt;15,"U19",IF(E251&gt;13,"U15",IF(E251&gt;11,"U13",IF(E251&gt;0,"U11",0)))))</f>
        <v>0</v>
      </c>
      <c r="E251" s="456">
        <f>IFERROR(IF(Table11[[#This Row],[Year]]&gt;0,$E$1-Table11[[#This Row],[Year]],0),"")</f>
        <v>0</v>
      </c>
      <c r="F251" s="456"/>
      <c r="G251" s="456"/>
      <c r="H251" s="456"/>
    </row>
    <row r="252" spans="1:8" ht="13.5" customHeight="1">
      <c r="A252" s="456">
        <v>7248</v>
      </c>
      <c r="B252" s="457" t="s">
        <v>1222</v>
      </c>
      <c r="C252" s="456" t="s">
        <v>362</v>
      </c>
      <c r="D252" s="456">
        <f>IF(Table11[[#This Row],[Current Age]]&gt;19,"Women's",IF(E252&gt;15,"U19",IF(E252&gt;13,"U15",IF(E252&gt;11,"U13",IF(E252&gt;0,"U11",0)))))</f>
        <v>0</v>
      </c>
      <c r="E252" s="456">
        <f>IFERROR(IF(Table11[[#This Row],[Year]]&gt;0,$E$1-Table11[[#This Row],[Year]],0),"")</f>
        <v>0</v>
      </c>
      <c r="F252" s="456"/>
      <c r="G252" s="456"/>
      <c r="H252" s="456"/>
    </row>
    <row r="253" spans="1:8" ht="13.5" customHeight="1">
      <c r="A253" s="471">
        <v>7249</v>
      </c>
      <c r="B253" s="540" t="s">
        <v>1223</v>
      </c>
      <c r="C253" s="471" t="s">
        <v>247</v>
      </c>
      <c r="D253" s="456">
        <f>IF(Table11[[#This Row],[Current Age]]&gt;19,"Women's",IF(E253&gt;15,"U19",IF(E253&gt;13,"U15",IF(E253&gt;11,"U13",IF(E253&gt;0,"U11",0)))))</f>
        <v>0</v>
      </c>
      <c r="E253" s="456">
        <f>IFERROR(IF(Table11[[#This Row],[Year]]&gt;0,$E$1-Table11[[#This Row],[Year]],0),"")</f>
        <v>0</v>
      </c>
      <c r="F253" s="456"/>
      <c r="G253" s="456"/>
      <c r="H253" s="456"/>
    </row>
    <row r="254" spans="1:8" ht="13.5" customHeight="1">
      <c r="A254" s="456">
        <v>7250</v>
      </c>
      <c r="B254" s="457" t="s">
        <v>1224</v>
      </c>
      <c r="C254" s="456" t="s">
        <v>363</v>
      </c>
      <c r="D254" s="456">
        <f>IF(Table11[[#This Row],[Current Age]]&gt;19,"Women's",IF(E254&gt;15,"U19",IF(E254&gt;13,"U15",IF(E254&gt;11,"U13",IF(E254&gt;0,"U11",0)))))</f>
        <v>0</v>
      </c>
      <c r="E254" s="456">
        <f>IFERROR(IF(Table11[[#This Row],[Year]]&gt;0,$E$1-Table11[[#This Row],[Year]],0),"")</f>
        <v>0</v>
      </c>
      <c r="F254" s="456"/>
      <c r="G254" s="456"/>
      <c r="H254" s="456"/>
    </row>
    <row r="255" spans="1:8" ht="13.5" customHeight="1">
      <c r="A255" s="471">
        <v>7251</v>
      </c>
      <c r="B255" s="540" t="s">
        <v>1225</v>
      </c>
      <c r="C255" s="471" t="s">
        <v>4720</v>
      </c>
      <c r="D255" s="456">
        <f>IF(Table11[[#This Row],[Current Age]]&gt;19,"Women's",IF(E255&gt;15,"U19",IF(E255&gt;13,"U15",IF(E255&gt;11,"U13",IF(E255&gt;0,"U11",0)))))</f>
        <v>0</v>
      </c>
      <c r="E255" s="456">
        <f>IFERROR(IF(Table11[[#This Row],[Year]]&gt;0,$E$1-Table11[[#This Row],[Year]],0),"")</f>
        <v>0</v>
      </c>
      <c r="F255" s="456"/>
      <c r="G255" s="456"/>
      <c r="H255" s="456"/>
    </row>
    <row r="256" spans="1:8" ht="13.5" customHeight="1">
      <c r="A256" s="456">
        <v>7252</v>
      </c>
      <c r="B256" s="457" t="s">
        <v>1226</v>
      </c>
      <c r="C256" s="456" t="s">
        <v>4720</v>
      </c>
      <c r="D256" s="456" t="str">
        <f>IF(Table11[[#This Row],[Current Age]]&gt;19,"Women's",IF(E256&gt;15,"U19",IF(E256&gt;13,"U15",IF(E256&gt;11,"U13",IF(E256&gt;0,"U11",0)))))</f>
        <v>Women's</v>
      </c>
      <c r="E256" s="456">
        <f>IFERROR(IF(Table11[[#This Row],[Year]]&gt;0,$E$1-Table11[[#This Row],[Year]],0),"")</f>
        <v>20</v>
      </c>
      <c r="F256" s="456">
        <v>2005</v>
      </c>
      <c r="G256" s="456">
        <v>3</v>
      </c>
      <c r="H256" s="456">
        <v>19</v>
      </c>
    </row>
    <row r="257" spans="1:8" ht="13.5" customHeight="1">
      <c r="A257" s="471">
        <v>7253</v>
      </c>
      <c r="B257" s="540" t="s">
        <v>1227</v>
      </c>
      <c r="C257" s="471" t="s">
        <v>256</v>
      </c>
      <c r="D257" s="456">
        <f>IF(Table11[[#This Row],[Current Age]]&gt;19,"Women's",IF(E257&gt;15,"U19",IF(E257&gt;13,"U15",IF(E257&gt;11,"U13",IF(E257&gt;0,"U11",0)))))</f>
        <v>0</v>
      </c>
      <c r="E257" s="456">
        <f>IFERROR(IF(Table11[[#This Row],[Year]]&gt;0,$E$1-Table11[[#This Row],[Year]],0),"")</f>
        <v>0</v>
      </c>
      <c r="F257" s="456"/>
      <c r="G257" s="456"/>
      <c r="H257" s="456"/>
    </row>
    <row r="258" spans="1:8" ht="13.5" customHeight="1">
      <c r="A258" s="456">
        <v>7254</v>
      </c>
      <c r="B258" s="457" t="s">
        <v>1228</v>
      </c>
      <c r="C258" s="456" t="s">
        <v>256</v>
      </c>
      <c r="D258" s="456" t="str">
        <f>IF(Table11[[#This Row],[Current Age]]&gt;19,"Women's",IF(E258&gt;15,"U19",IF(E258&gt;13,"U15",IF(E258&gt;11,"U13",IF(E258&gt;0,"U11",0)))))</f>
        <v>Women's</v>
      </c>
      <c r="E258" s="456">
        <f>IFERROR(IF(Table11[[#This Row],[Year]]&gt;0,$E$1-Table11[[#This Row],[Year]],0),"")</f>
        <v>22</v>
      </c>
      <c r="F258" s="456">
        <v>2003</v>
      </c>
      <c r="G258" s="456">
        <v>10</v>
      </c>
      <c r="H258" s="456">
        <v>10</v>
      </c>
    </row>
    <row r="259" spans="1:8" ht="13.5" customHeight="1">
      <c r="A259" s="471">
        <v>7255</v>
      </c>
      <c r="B259" s="540" t="s">
        <v>1229</v>
      </c>
      <c r="C259" s="471" t="s">
        <v>243</v>
      </c>
      <c r="D259" s="456" t="str">
        <f>IF(Table11[[#This Row],[Current Age]]&gt;19,"Women's",IF(E259&gt;15,"U19",IF(E259&gt;13,"U15",IF(E259&gt;11,"U13",IF(E259&gt;0,"U11",0)))))</f>
        <v>U19</v>
      </c>
      <c r="E259" s="456">
        <f>IFERROR(IF(Table11[[#This Row],[Year]]&gt;0,$E$1-Table11[[#This Row],[Year]],0),"")</f>
        <v>18</v>
      </c>
      <c r="F259" s="456">
        <v>2007</v>
      </c>
      <c r="G259" s="456">
        <v>9</v>
      </c>
      <c r="H259" s="456">
        <v>25</v>
      </c>
    </row>
    <row r="260" spans="1:8" ht="13.5" customHeight="1">
      <c r="A260" s="456">
        <v>7256</v>
      </c>
      <c r="B260" s="457" t="s">
        <v>1230</v>
      </c>
      <c r="C260" s="456" t="s">
        <v>244</v>
      </c>
      <c r="D260" s="456">
        <f>IF(Table11[[#This Row],[Current Age]]&gt;19,"Women's",IF(E260&gt;15,"U19",IF(E260&gt;13,"U15",IF(E260&gt;11,"U13",IF(E260&gt;0,"U11",0)))))</f>
        <v>0</v>
      </c>
      <c r="E260" s="456">
        <f>IFERROR(IF(Table11[[#This Row],[Year]]&gt;0,$E$1-Table11[[#This Row],[Year]],0),"")</f>
        <v>0</v>
      </c>
      <c r="F260" s="456"/>
      <c r="G260" s="456"/>
      <c r="H260" s="456"/>
    </row>
    <row r="261" spans="1:8" ht="13.5" customHeight="1">
      <c r="A261" s="471">
        <v>7257</v>
      </c>
      <c r="B261" s="540" t="s">
        <v>1231</v>
      </c>
      <c r="C261" s="471" t="s">
        <v>363</v>
      </c>
      <c r="D261" s="456">
        <f>IF(Table11[[#This Row],[Current Age]]&gt;19,"Women's",IF(E261&gt;15,"U19",IF(E261&gt;13,"U15",IF(E261&gt;11,"U13",IF(E261&gt;0,"U11",0)))))</f>
        <v>0</v>
      </c>
      <c r="E261" s="456">
        <f>IFERROR(IF(Table11[[#This Row],[Year]]&gt;0,$E$1-Table11[[#This Row],[Year]],0),"")</f>
        <v>0</v>
      </c>
      <c r="F261" s="456"/>
      <c r="G261" s="456"/>
      <c r="H261" s="456"/>
    </row>
    <row r="262" spans="1:8" ht="13.5" customHeight="1">
      <c r="A262" s="456">
        <v>7258</v>
      </c>
      <c r="B262" s="457" t="s">
        <v>1232</v>
      </c>
      <c r="C262" s="456" t="s">
        <v>251</v>
      </c>
      <c r="D262" s="456" t="str">
        <f>IF(Table11[[#This Row],[Current Age]]&gt;19,"Women's",IF(E262&gt;15,"U19",IF(E262&gt;13,"U15",IF(E262&gt;11,"U13",IF(E262&gt;0,"U11",0)))))</f>
        <v>Women's</v>
      </c>
      <c r="E262" s="456">
        <f>IFERROR(IF(Table11[[#This Row],[Year]]&gt;0,$E$1-Table11[[#This Row],[Year]],0),"")</f>
        <v>22</v>
      </c>
      <c r="F262" s="456">
        <v>2003</v>
      </c>
      <c r="G262" s="456">
        <v>6</v>
      </c>
      <c r="H262" s="456">
        <v>3</v>
      </c>
    </row>
    <row r="263" spans="1:8" ht="13.5" customHeight="1">
      <c r="A263" s="471">
        <v>7259</v>
      </c>
      <c r="B263" s="540" t="s">
        <v>3723</v>
      </c>
      <c r="C263" s="471" t="s">
        <v>251</v>
      </c>
      <c r="D263" s="456">
        <f>IF(Table11[[#This Row],[Current Age]]&gt;19,"Women's",IF(E263&gt;15,"U19",IF(E263&gt;13,"U15",IF(E263&gt;11,"U13",IF(E263&gt;0,"U11",0)))))</f>
        <v>0</v>
      </c>
      <c r="E263" s="456">
        <f>IFERROR(IF(Table11[[#This Row],[Year]]&gt;0,$E$1-Table11[[#This Row],[Year]],0),"")</f>
        <v>0</v>
      </c>
      <c r="F263" s="456"/>
      <c r="G263" s="456"/>
      <c r="H263" s="456"/>
    </row>
    <row r="264" spans="1:8" ht="13.5" customHeight="1">
      <c r="A264" s="456">
        <v>7260</v>
      </c>
      <c r="B264" s="457" t="s">
        <v>1311</v>
      </c>
      <c r="C264" s="456" t="s">
        <v>249</v>
      </c>
      <c r="D264" s="456" t="str">
        <f>IF(Table11[[#This Row],[Current Age]]&gt;19,"Women's",IF(E264&gt;15,"U19",IF(E264&gt;13,"U15",IF(E264&gt;11,"U13",IF(E264&gt;0,"U11",0)))))</f>
        <v>Women's</v>
      </c>
      <c r="E264" s="456">
        <f>IFERROR(IF(Table11[[#This Row],[Year]]&gt;0,$E$1-Table11[[#This Row],[Year]],0),"")</f>
        <v>22</v>
      </c>
      <c r="F264" s="456">
        <v>2003</v>
      </c>
      <c r="G264" s="456">
        <v>9</v>
      </c>
      <c r="H264" s="456">
        <v>27</v>
      </c>
    </row>
    <row r="265" spans="1:8" ht="13.5" customHeight="1">
      <c r="A265" s="471">
        <v>7261</v>
      </c>
      <c r="B265" s="540" t="s">
        <v>1233</v>
      </c>
      <c r="C265" s="471" t="s">
        <v>362</v>
      </c>
      <c r="D265" s="456">
        <f>IF(Table11[[#This Row],[Current Age]]&gt;19,"Women's",IF(E265&gt;15,"U19",IF(E265&gt;13,"U15",IF(E265&gt;11,"U13",IF(E265&gt;0,"U11",0)))))</f>
        <v>0</v>
      </c>
      <c r="E265" s="456">
        <f>IFERROR(IF(Table11[[#This Row],[Year]]&gt;0,$E$1-Table11[[#This Row],[Year]],0),"")</f>
        <v>0</v>
      </c>
      <c r="F265" s="456"/>
      <c r="G265" s="456"/>
      <c r="H265" s="456"/>
    </row>
    <row r="266" spans="1:8" ht="13.5" customHeight="1">
      <c r="A266" s="456">
        <v>7262</v>
      </c>
      <c r="B266" s="457" t="s">
        <v>1234</v>
      </c>
      <c r="C266" s="456" t="s">
        <v>363</v>
      </c>
      <c r="D266" s="456">
        <f>IF(Table11[[#This Row],[Current Age]]&gt;19,"Women's",IF(E266&gt;15,"U19",IF(E266&gt;13,"U15",IF(E266&gt;11,"U13",IF(E266&gt;0,"U11",0)))))</f>
        <v>0</v>
      </c>
      <c r="E266" s="456">
        <f>IFERROR(IF(Table11[[#This Row],[Year]]&gt;0,$E$1-Table11[[#This Row],[Year]],0),"")</f>
        <v>0</v>
      </c>
      <c r="F266" s="456"/>
      <c r="G266" s="456"/>
      <c r="H266" s="456"/>
    </row>
    <row r="267" spans="1:8" ht="13.5" customHeight="1">
      <c r="A267" s="471">
        <v>7263</v>
      </c>
      <c r="B267" s="540" t="s">
        <v>1235</v>
      </c>
      <c r="C267" s="471" t="s">
        <v>243</v>
      </c>
      <c r="D267" s="456">
        <f>IF(Table11[[#This Row],[Current Age]]&gt;19,"Women's",IF(E267&gt;15,"U19",IF(E267&gt;13,"U15",IF(E267&gt;11,"U13",IF(E267&gt;0,"U11",0)))))</f>
        <v>0</v>
      </c>
      <c r="E267" s="456">
        <f>IFERROR(IF(Table11[[#This Row],[Year]]&gt;0,$E$1-Table11[[#This Row],[Year]],0),"")</f>
        <v>0</v>
      </c>
      <c r="F267" s="456"/>
      <c r="G267" s="456"/>
      <c r="H267" s="456"/>
    </row>
    <row r="268" spans="1:8" ht="13.5" customHeight="1">
      <c r="A268" s="456">
        <v>7264</v>
      </c>
      <c r="B268" s="457" t="s">
        <v>1236</v>
      </c>
      <c r="C268" s="456" t="s">
        <v>4720</v>
      </c>
      <c r="D268" s="456">
        <f>IF(Table11[[#This Row],[Current Age]]&gt;19,"Women's",IF(E268&gt;15,"U19",IF(E268&gt;13,"U15",IF(E268&gt;11,"U13",IF(E268&gt;0,"U11",0)))))</f>
        <v>0</v>
      </c>
      <c r="E268" s="456">
        <f>IFERROR(IF(Table11[[#This Row],[Year]]&gt;0,$E$1-Table11[[#This Row],[Year]],0),"")</f>
        <v>0</v>
      </c>
      <c r="F268" s="456"/>
      <c r="G268" s="456"/>
      <c r="H268" s="456"/>
    </row>
    <row r="269" spans="1:8" ht="13.5" customHeight="1">
      <c r="A269" s="471">
        <v>7265</v>
      </c>
      <c r="B269" s="540" t="s">
        <v>1237</v>
      </c>
      <c r="C269" s="471" t="s">
        <v>4720</v>
      </c>
      <c r="D269" s="456">
        <f>IF(Table11[[#This Row],[Current Age]]&gt;19,"Women's",IF(E269&gt;15,"U19",IF(E269&gt;13,"U15",IF(E269&gt;11,"U13",IF(E269&gt;0,"U11",0)))))</f>
        <v>0</v>
      </c>
      <c r="E269" s="456">
        <f>IFERROR(IF(Table11[[#This Row],[Year]]&gt;0,$E$1-Table11[[#This Row],[Year]],0),"")</f>
        <v>0</v>
      </c>
      <c r="F269" s="456"/>
      <c r="G269" s="456"/>
      <c r="H269" s="456"/>
    </row>
    <row r="270" spans="1:8" ht="13.5" customHeight="1">
      <c r="A270" s="456">
        <v>7266</v>
      </c>
      <c r="B270" s="457" t="s">
        <v>1238</v>
      </c>
      <c r="C270" s="456" t="s">
        <v>255</v>
      </c>
      <c r="D270" s="456">
        <f>IF(Table11[[#This Row],[Current Age]]&gt;19,"Women's",IF(E270&gt;15,"U19",IF(E270&gt;13,"U15",IF(E270&gt;11,"U13",IF(E270&gt;0,"U11",0)))))</f>
        <v>0</v>
      </c>
      <c r="E270" s="456">
        <f>IFERROR(IF(Table11[[#This Row],[Year]]&gt;0,$E$1-Table11[[#This Row],[Year]],0),"")</f>
        <v>0</v>
      </c>
      <c r="F270" s="456"/>
      <c r="G270" s="456"/>
      <c r="H270" s="456"/>
    </row>
    <row r="271" spans="1:8" ht="13.5" customHeight="1">
      <c r="A271" s="471">
        <v>7267</v>
      </c>
      <c r="B271" s="540" t="s">
        <v>1239</v>
      </c>
      <c r="C271" s="471" t="s">
        <v>248</v>
      </c>
      <c r="D271" s="456">
        <f>IF(Table11[[#This Row],[Current Age]]&gt;19,"Women's",IF(E271&gt;15,"U19",IF(E271&gt;13,"U15",IF(E271&gt;11,"U13",IF(E271&gt;0,"U11",0)))))</f>
        <v>0</v>
      </c>
      <c r="E271" s="456">
        <f>IFERROR(IF(Table11[[#This Row],[Year]]&gt;0,$E$1-Table11[[#This Row],[Year]],0),"")</f>
        <v>0</v>
      </c>
      <c r="F271" s="456"/>
      <c r="G271" s="456"/>
      <c r="H271" s="456"/>
    </row>
    <row r="272" spans="1:8" ht="13.5" customHeight="1">
      <c r="A272" s="456">
        <v>7268</v>
      </c>
      <c r="B272" s="457" t="s">
        <v>100</v>
      </c>
      <c r="C272" s="456"/>
      <c r="D272" s="456">
        <f>IF(Table11[[#This Row],[Current Age]]&gt;19,"Women's",IF(E272&gt;15,"U19",IF(E272&gt;13,"U15",IF(E272&gt;11,"U13",IF(E272&gt;0,"U11",0)))))</f>
        <v>0</v>
      </c>
      <c r="E272" s="456">
        <f>IFERROR(IF(Table11[[#This Row],[Year]]&gt;0,$E$1-Table11[[#This Row],[Year]],0),"")</f>
        <v>0</v>
      </c>
      <c r="F272" s="456"/>
      <c r="G272" s="456"/>
      <c r="H272" s="456"/>
    </row>
    <row r="273" spans="1:8" ht="13.5" customHeight="1">
      <c r="A273" s="471">
        <v>7269</v>
      </c>
      <c r="B273" s="540" t="s">
        <v>1240</v>
      </c>
      <c r="C273" s="471" t="s">
        <v>363</v>
      </c>
      <c r="D273" s="456">
        <f>IF(Table11[[#This Row],[Current Age]]&gt;19,"Women's",IF(E273&gt;15,"U19",IF(E273&gt;13,"U15",IF(E273&gt;11,"U13",IF(E273&gt;0,"U11",0)))))</f>
        <v>0</v>
      </c>
      <c r="E273" s="456">
        <f>IFERROR(IF(Table11[[#This Row],[Year]]&gt;0,$E$1-Table11[[#This Row],[Year]],0),"")</f>
        <v>0</v>
      </c>
      <c r="F273" s="456"/>
      <c r="G273" s="456"/>
      <c r="H273" s="456"/>
    </row>
    <row r="274" spans="1:8" ht="13.5" customHeight="1">
      <c r="A274" s="456">
        <v>7270</v>
      </c>
      <c r="B274" s="457" t="s">
        <v>1241</v>
      </c>
      <c r="C274" s="456" t="s">
        <v>248</v>
      </c>
      <c r="D274" s="456">
        <f>IF(Table11[[#This Row],[Current Age]]&gt;19,"Women's",IF(E274&gt;15,"U19",IF(E274&gt;13,"U15",IF(E274&gt;11,"U13",IF(E274&gt;0,"U11",0)))))</f>
        <v>0</v>
      </c>
      <c r="E274" s="456">
        <f>IFERROR(IF(Table11[[#This Row],[Year]]&gt;0,$E$1-Table11[[#This Row],[Year]],0),"")</f>
        <v>0</v>
      </c>
      <c r="F274" s="456"/>
      <c r="G274" s="456"/>
      <c r="H274" s="456"/>
    </row>
    <row r="275" spans="1:8" ht="13.5" customHeight="1">
      <c r="A275" s="471">
        <v>7271</v>
      </c>
      <c r="B275" s="540" t="s">
        <v>1242</v>
      </c>
      <c r="C275" s="471" t="s">
        <v>251</v>
      </c>
      <c r="D275" s="456">
        <f>IF(Table11[[#This Row],[Current Age]]&gt;19,"Women's",IF(E275&gt;15,"U19",IF(E275&gt;13,"U15",IF(E275&gt;11,"U13",IF(E275&gt;0,"U11",0)))))</f>
        <v>0</v>
      </c>
      <c r="E275" s="456">
        <f>IFERROR(IF(Table11[[#This Row],[Year]]&gt;0,$E$1-Table11[[#This Row],[Year]],0),"")</f>
        <v>0</v>
      </c>
      <c r="F275" s="456"/>
      <c r="G275" s="456"/>
      <c r="H275" s="456"/>
    </row>
    <row r="276" spans="1:8" ht="13.5" customHeight="1">
      <c r="A276" s="456">
        <v>7272</v>
      </c>
      <c r="B276" s="457" t="s">
        <v>3277</v>
      </c>
      <c r="C276" s="456" t="s">
        <v>249</v>
      </c>
      <c r="D276" s="456" t="str">
        <f>IF(Table11[[#This Row],[Current Age]]&gt;19,"Women's",IF(E276&gt;15,"U19",IF(E276&gt;13,"U15",IF(E276&gt;11,"U13",IF(E276&gt;0,"U11",0)))))</f>
        <v>Women's</v>
      </c>
      <c r="E276" s="456">
        <f>IFERROR(IF(Table11[[#This Row],[Year]]&gt;0,$E$1-Table11[[#This Row],[Year]],0),"")</f>
        <v>21</v>
      </c>
      <c r="F276" s="456">
        <v>2004</v>
      </c>
      <c r="G276" s="456">
        <v>8</v>
      </c>
      <c r="H276" s="456">
        <v>31</v>
      </c>
    </row>
    <row r="277" spans="1:8" ht="13.5" customHeight="1">
      <c r="A277" s="471">
        <v>7273</v>
      </c>
      <c r="B277" s="540" t="s">
        <v>1243</v>
      </c>
      <c r="C277" s="471" t="s">
        <v>363</v>
      </c>
      <c r="D277" s="456">
        <f>IF(Table11[[#This Row],[Current Age]]&gt;19,"Women's",IF(E277&gt;15,"U19",IF(E277&gt;13,"U15",IF(E277&gt;11,"U13",IF(E277&gt;0,"U11",0)))))</f>
        <v>0</v>
      </c>
      <c r="E277" s="456">
        <f>IFERROR(IF(Table11[[#This Row],[Year]]&gt;0,$E$1-Table11[[#This Row],[Year]],0),"")</f>
        <v>0</v>
      </c>
      <c r="F277" s="456"/>
      <c r="G277" s="456"/>
      <c r="H277" s="456"/>
    </row>
    <row r="278" spans="1:8" ht="13.5" customHeight="1">
      <c r="A278" s="456">
        <v>7274</v>
      </c>
      <c r="B278" s="457" t="s">
        <v>1244</v>
      </c>
      <c r="C278" s="456" t="s">
        <v>256</v>
      </c>
      <c r="D278" s="456">
        <f>IF(Table11[[#This Row],[Current Age]]&gt;19,"Women's",IF(E278&gt;15,"U19",IF(E278&gt;13,"U15",IF(E278&gt;11,"U13",IF(E278&gt;0,"U11",0)))))</f>
        <v>0</v>
      </c>
      <c r="E278" s="456">
        <f>IFERROR(IF(Table11[[#This Row],[Year]]&gt;0,$E$1-Table11[[#This Row],[Year]],0),"")</f>
        <v>0</v>
      </c>
      <c r="F278" s="456"/>
      <c r="G278" s="456"/>
      <c r="H278" s="456"/>
    </row>
    <row r="279" spans="1:8" ht="13.5" customHeight="1">
      <c r="A279" s="471">
        <v>7275</v>
      </c>
      <c r="B279" s="540" t="s">
        <v>112</v>
      </c>
      <c r="C279" s="471" t="s">
        <v>249</v>
      </c>
      <c r="D279" s="456" t="str">
        <f>IF(Table11[[#This Row],[Current Age]]&gt;19,"Women's",IF(E279&gt;15,"U19",IF(E279&gt;13,"U15",IF(E279&gt;11,"U13",IF(E279&gt;0,"U11",0)))))</f>
        <v>Women's</v>
      </c>
      <c r="E279" s="456">
        <f>IFERROR(IF(Table11[[#This Row],[Year]]&gt;0,$E$1-Table11[[#This Row],[Year]],0),"")</f>
        <v>21</v>
      </c>
      <c r="F279" s="456">
        <v>2004</v>
      </c>
      <c r="G279" s="456">
        <v>3</v>
      </c>
      <c r="H279" s="456">
        <v>23</v>
      </c>
    </row>
    <row r="280" spans="1:8" ht="13.5" customHeight="1">
      <c r="A280" s="456">
        <v>7276</v>
      </c>
      <c r="B280" s="457" t="s">
        <v>1245</v>
      </c>
      <c r="C280" s="456" t="s">
        <v>247</v>
      </c>
      <c r="D280" s="456" t="str">
        <f>IF(Table11[[#This Row],[Current Age]]&gt;19,"Women's",IF(E280&gt;15,"U19",IF(E280&gt;13,"U15",IF(E280&gt;11,"U13",IF(E280&gt;0,"U11",0)))))</f>
        <v>Women's</v>
      </c>
      <c r="E280" s="456">
        <f>IFERROR(IF(Table11[[#This Row],[Year]]&gt;0,$E$1-Table11[[#This Row],[Year]],0),"")</f>
        <v>21</v>
      </c>
      <c r="F280" s="456">
        <v>2004</v>
      </c>
      <c r="G280" s="456">
        <v>8</v>
      </c>
      <c r="H280" s="456">
        <v>28</v>
      </c>
    </row>
    <row r="281" spans="1:8" ht="13.5" customHeight="1">
      <c r="A281" s="471">
        <v>7277</v>
      </c>
      <c r="B281" s="540" t="s">
        <v>1246</v>
      </c>
      <c r="C281" s="471" t="s">
        <v>3346</v>
      </c>
      <c r="D281" s="456">
        <f>IF(Table11[[#This Row],[Current Age]]&gt;19,"Women's",IF(E281&gt;15,"U19",IF(E281&gt;13,"U15",IF(E281&gt;11,"U13",IF(E281&gt;0,"U11",0)))))</f>
        <v>0</v>
      </c>
      <c r="E281" s="456">
        <f>IFERROR(IF(Table11[[#This Row],[Year]]&gt;0,$E$1-Table11[[#This Row],[Year]],0),"")</f>
        <v>0</v>
      </c>
      <c r="F281" s="456"/>
      <c r="G281" s="456"/>
      <c r="H281" s="456"/>
    </row>
    <row r="282" spans="1:8" ht="13.5" customHeight="1">
      <c r="A282" s="456">
        <v>7278</v>
      </c>
      <c r="B282" s="457" t="s">
        <v>1247</v>
      </c>
      <c r="C282" s="456" t="s">
        <v>247</v>
      </c>
      <c r="D282" s="456" t="str">
        <f>IF(Table11[[#This Row],[Current Age]]&gt;19,"Women's",IF(E282&gt;15,"U19",IF(E282&gt;13,"U15",IF(E282&gt;11,"U13",IF(E282&gt;0,"U11",0)))))</f>
        <v>U19</v>
      </c>
      <c r="E282" s="456">
        <f>IFERROR(IF(Table11[[#This Row],[Year]]&gt;0,$E$1-Table11[[#This Row],[Year]],0),"")</f>
        <v>18</v>
      </c>
      <c r="F282" s="456">
        <v>2007</v>
      </c>
      <c r="G282" s="456">
        <v>10</v>
      </c>
      <c r="H282" s="456">
        <v>15</v>
      </c>
    </row>
    <row r="283" spans="1:8" ht="13.5" customHeight="1">
      <c r="A283" s="471">
        <v>7279</v>
      </c>
      <c r="B283" s="540" t="s">
        <v>1248</v>
      </c>
      <c r="C283" s="471" t="s">
        <v>256</v>
      </c>
      <c r="D283" s="456">
        <f>IF(Table11[[#This Row],[Current Age]]&gt;19,"Women's",IF(E283&gt;15,"U19",IF(E283&gt;13,"U15",IF(E283&gt;11,"U13",IF(E283&gt;0,"U11",0)))))</f>
        <v>0</v>
      </c>
      <c r="E283" s="456">
        <f>IFERROR(IF(Table11[[#This Row],[Year]]&gt;0,$E$1-Table11[[#This Row],[Year]],0),"")</f>
        <v>0</v>
      </c>
      <c r="F283" s="456"/>
      <c r="G283" s="456"/>
      <c r="H283" s="456"/>
    </row>
    <row r="284" spans="1:8" ht="13.5" customHeight="1">
      <c r="A284" s="456">
        <v>7280</v>
      </c>
      <c r="B284" s="457" t="s">
        <v>1312</v>
      </c>
      <c r="C284" s="456" t="s">
        <v>249</v>
      </c>
      <c r="D284" s="456" t="str">
        <f>IF(Table11[[#This Row],[Current Age]]&gt;19,"Women's",IF(E284&gt;15,"U19",IF(E284&gt;13,"U15",IF(E284&gt;11,"U13",IF(E284&gt;0,"U11",0)))))</f>
        <v>U19</v>
      </c>
      <c r="E284" s="456">
        <f>IFERROR(IF(Table11[[#This Row],[Year]]&gt;0,$E$1-Table11[[#This Row],[Year]],0),"")</f>
        <v>19</v>
      </c>
      <c r="F284" s="456">
        <v>2006</v>
      </c>
      <c r="G284" s="456">
        <v>12</v>
      </c>
      <c r="H284" s="456">
        <v>17</v>
      </c>
    </row>
    <row r="285" spans="1:8" ht="13.5" customHeight="1">
      <c r="A285" s="471">
        <v>7281</v>
      </c>
      <c r="B285" s="540" t="s">
        <v>945</v>
      </c>
      <c r="C285" s="471" t="s">
        <v>256</v>
      </c>
      <c r="D285" s="456">
        <f>IF(Table11[[#This Row],[Current Age]]&gt;19,"Women's",IF(E285&gt;15,"U19",IF(E285&gt;13,"U15",IF(E285&gt;11,"U13",IF(E285&gt;0,"U11",0)))))</f>
        <v>0</v>
      </c>
      <c r="E285" s="456">
        <f>IFERROR(IF(Table11[[#This Row],[Year]]&gt;0,$E$1-Table11[[#This Row],[Year]],0),"")</f>
        <v>0</v>
      </c>
      <c r="F285" s="456"/>
      <c r="G285" s="456"/>
      <c r="H285" s="456"/>
    </row>
    <row r="286" spans="1:8" ht="13.5" customHeight="1">
      <c r="A286" s="456">
        <v>7282</v>
      </c>
      <c r="B286" s="457" t="s">
        <v>1249</v>
      </c>
      <c r="C286" s="456" t="s">
        <v>256</v>
      </c>
      <c r="D286" s="456" t="str">
        <f>IF(Table11[[#This Row],[Current Age]]&gt;19,"Women's",IF(E286&gt;15,"U19",IF(E286&gt;13,"U15",IF(E286&gt;11,"U13",IF(E286&gt;0,"U11",0)))))</f>
        <v>U19</v>
      </c>
      <c r="E286" s="456">
        <f>IFERROR(IF(Table11[[#This Row],[Year]]&gt;0,$E$1-Table11[[#This Row],[Year]],0),"")</f>
        <v>17</v>
      </c>
      <c r="F286" s="456">
        <v>2008</v>
      </c>
      <c r="G286" s="456">
        <v>1</v>
      </c>
      <c r="H286" s="456">
        <v>21</v>
      </c>
    </row>
    <row r="287" spans="1:8" ht="13.5" customHeight="1">
      <c r="A287" s="471">
        <v>7283</v>
      </c>
      <c r="B287" s="540" t="s">
        <v>1250</v>
      </c>
      <c r="C287" s="471"/>
      <c r="D287" s="456">
        <f>IF(Table11[[#This Row],[Current Age]]&gt;19,"Women's",IF(E287&gt;15,"U19",IF(E287&gt;13,"U15",IF(E287&gt;11,"U13",IF(E287&gt;0,"U11",0)))))</f>
        <v>0</v>
      </c>
      <c r="E287" s="456">
        <f>IFERROR(IF(Table11[[#This Row],[Year]]&gt;0,$E$1-Table11[[#This Row],[Year]],0),"")</f>
        <v>0</v>
      </c>
      <c r="F287" s="456"/>
      <c r="G287" s="456"/>
      <c r="H287" s="456"/>
    </row>
    <row r="288" spans="1:8" ht="13.5" customHeight="1">
      <c r="A288" s="456">
        <v>7284</v>
      </c>
      <c r="B288" s="457" t="s">
        <v>1251</v>
      </c>
      <c r="C288" s="456" t="s">
        <v>256</v>
      </c>
      <c r="D288" s="456">
        <f>IF(Table11[[#This Row],[Current Age]]&gt;19,"Women's",IF(E288&gt;15,"U19",IF(E288&gt;13,"U15",IF(E288&gt;11,"U13",IF(E288&gt;0,"U11",0)))))</f>
        <v>0</v>
      </c>
      <c r="E288" s="456">
        <f>IFERROR(IF(Table11[[#This Row],[Year]]&gt;0,$E$1-Table11[[#This Row],[Year]],0),"")</f>
        <v>0</v>
      </c>
      <c r="F288" s="456"/>
      <c r="G288" s="456"/>
      <c r="H288" s="456"/>
    </row>
    <row r="289" spans="1:8" ht="13.5" customHeight="1">
      <c r="A289" s="471">
        <v>7285</v>
      </c>
      <c r="B289" s="540" t="s">
        <v>1252</v>
      </c>
      <c r="C289" s="471" t="s">
        <v>256</v>
      </c>
      <c r="D289" s="456">
        <f>IF(Table11[[#This Row],[Current Age]]&gt;19,"Women's",IF(E289&gt;15,"U19",IF(E289&gt;13,"U15",IF(E289&gt;11,"U13",IF(E289&gt;0,"U11",0)))))</f>
        <v>0</v>
      </c>
      <c r="E289" s="456">
        <f>IFERROR(IF(Table11[[#This Row],[Year]]&gt;0,$E$1-Table11[[#This Row],[Year]],0),"")</f>
        <v>0</v>
      </c>
      <c r="F289" s="456"/>
      <c r="G289" s="456"/>
      <c r="H289" s="456"/>
    </row>
    <row r="290" spans="1:8" ht="13.5" customHeight="1">
      <c r="A290" s="456">
        <v>7286</v>
      </c>
      <c r="B290" s="457" t="s">
        <v>1253</v>
      </c>
      <c r="C290" s="456" t="s">
        <v>256</v>
      </c>
      <c r="D290" s="456">
        <f>IF(Table11[[#This Row],[Current Age]]&gt;19,"Women's",IF(E290&gt;15,"U19",IF(E290&gt;13,"U15",IF(E290&gt;11,"U13",IF(E290&gt;0,"U11",0)))))</f>
        <v>0</v>
      </c>
      <c r="E290" s="456">
        <f>IFERROR(IF(Table11[[#This Row],[Year]]&gt;0,$E$1-Table11[[#This Row],[Year]],0),"")</f>
        <v>0</v>
      </c>
      <c r="F290" s="456"/>
      <c r="G290" s="456"/>
      <c r="H290" s="456"/>
    </row>
    <row r="291" spans="1:8" ht="13.5" customHeight="1">
      <c r="A291" s="471">
        <v>7287</v>
      </c>
      <c r="B291" s="540" t="s">
        <v>3313</v>
      </c>
      <c r="C291" s="471" t="s">
        <v>3287</v>
      </c>
      <c r="D291" s="456">
        <f>IF(Table11[[#This Row],[Current Age]]&gt;19,"Women's",IF(E291&gt;15,"U19",IF(E291&gt;13,"U15",IF(E291&gt;11,"U13",IF(E291&gt;0,"U11",0)))))</f>
        <v>0</v>
      </c>
      <c r="E291" s="456">
        <f>IFERROR(IF(Table11[[#This Row],[Year]]&gt;0,$E$1-Table11[[#This Row],[Year]],0),"")</f>
        <v>0</v>
      </c>
      <c r="F291" s="456"/>
      <c r="G291" s="456"/>
      <c r="H291" s="456"/>
    </row>
    <row r="292" spans="1:8" ht="13.5" customHeight="1">
      <c r="A292" s="456">
        <v>7288</v>
      </c>
      <c r="B292" s="457" t="s">
        <v>1254</v>
      </c>
      <c r="C292" s="456" t="s">
        <v>256</v>
      </c>
      <c r="D292" s="456">
        <f>IF(Table11[[#This Row],[Current Age]]&gt;19,"Women's",IF(E292&gt;15,"U19",IF(E292&gt;13,"U15",IF(E292&gt;11,"U13",IF(E292&gt;0,"U11",0)))))</f>
        <v>0</v>
      </c>
      <c r="E292" s="456">
        <f>IFERROR(IF(Table11[[#This Row],[Year]]&gt;0,$E$1-Table11[[#This Row],[Year]],0),"")</f>
        <v>0</v>
      </c>
      <c r="F292" s="456"/>
      <c r="G292" s="456"/>
      <c r="H292" s="456"/>
    </row>
    <row r="293" spans="1:8" ht="13.5" customHeight="1">
      <c r="A293" s="471">
        <v>7289</v>
      </c>
      <c r="B293" s="540" t="s">
        <v>1255</v>
      </c>
      <c r="C293" s="471" t="s">
        <v>3346</v>
      </c>
      <c r="D293" s="456">
        <f>IF(Table11[[#This Row],[Current Age]]&gt;19,"Women's",IF(E293&gt;15,"U19",IF(E293&gt;13,"U15",IF(E293&gt;11,"U13",IF(E293&gt;0,"U11",0)))))</f>
        <v>0</v>
      </c>
      <c r="E293" s="456">
        <f>IFERROR(IF(Table11[[#This Row],[Year]]&gt;0,$E$1-Table11[[#This Row],[Year]],0),"")</f>
        <v>0</v>
      </c>
      <c r="F293" s="456"/>
      <c r="G293" s="456"/>
      <c r="H293" s="456"/>
    </row>
    <row r="294" spans="1:8" ht="13.5" customHeight="1">
      <c r="A294" s="456">
        <v>7290</v>
      </c>
      <c r="B294" s="457" t="s">
        <v>1256</v>
      </c>
      <c r="C294" s="456" t="s">
        <v>251</v>
      </c>
      <c r="D294" s="456" t="str">
        <f>IF(Table11[[#This Row],[Current Age]]&gt;19,"Women's",IF(E294&gt;15,"U19",IF(E294&gt;13,"U15",IF(E294&gt;11,"U13",IF(E294&gt;0,"U11",0)))))</f>
        <v>U15</v>
      </c>
      <c r="E294" s="456">
        <f>IFERROR(IF(Table11[[#This Row],[Year]]&gt;0,$E$1-Table11[[#This Row],[Year]],0),"")</f>
        <v>15</v>
      </c>
      <c r="F294" s="456">
        <v>2010</v>
      </c>
      <c r="G294" s="456">
        <v>1</v>
      </c>
      <c r="H294" s="456">
        <v>13</v>
      </c>
    </row>
    <row r="295" spans="1:8" ht="13.5" customHeight="1">
      <c r="A295" s="471">
        <v>7291</v>
      </c>
      <c r="B295" s="540" t="s">
        <v>1257</v>
      </c>
      <c r="C295" s="471" t="s">
        <v>363</v>
      </c>
      <c r="D295" s="456">
        <f>IF(Table11[[#This Row],[Current Age]]&gt;19,"Women's",IF(E295&gt;15,"U19",IF(E295&gt;13,"U15",IF(E295&gt;11,"U13",IF(E295&gt;0,"U11",0)))))</f>
        <v>0</v>
      </c>
      <c r="E295" s="456">
        <f>IFERROR(IF(Table11[[#This Row],[Year]]&gt;0,$E$1-Table11[[#This Row],[Year]],0),"")</f>
        <v>0</v>
      </c>
      <c r="F295" s="456"/>
      <c r="G295" s="456"/>
      <c r="H295" s="456"/>
    </row>
    <row r="296" spans="1:8" ht="13.5" customHeight="1">
      <c r="A296" s="456">
        <v>7292</v>
      </c>
      <c r="B296" s="457" t="s">
        <v>3314</v>
      </c>
      <c r="C296" s="456" t="s">
        <v>3793</v>
      </c>
      <c r="D296" s="456">
        <f>IF(Table11[[#This Row],[Current Age]]&gt;19,"Women's",IF(E296&gt;15,"U19",IF(E296&gt;13,"U15",IF(E296&gt;11,"U13",IF(E296&gt;0,"U11",0)))))</f>
        <v>0</v>
      </c>
      <c r="E296" s="456">
        <f>IFERROR(IF(Table11[[#This Row],[Year]]&gt;0,$E$1-Table11[[#This Row],[Year]],0),"")</f>
        <v>0</v>
      </c>
      <c r="F296" s="456"/>
      <c r="G296" s="456"/>
      <c r="H296" s="456"/>
    </row>
    <row r="297" spans="1:8" ht="13.5" customHeight="1">
      <c r="A297" s="471">
        <v>7293</v>
      </c>
      <c r="B297" s="540" t="s">
        <v>1258</v>
      </c>
      <c r="C297" s="471" t="s">
        <v>256</v>
      </c>
      <c r="D297" s="456">
        <f>IF(Table11[[#This Row],[Current Age]]&gt;19,"Women's",IF(E297&gt;15,"U19",IF(E297&gt;13,"U15",IF(E297&gt;11,"U13",IF(E297&gt;0,"U11",0)))))</f>
        <v>0</v>
      </c>
      <c r="E297" s="456">
        <f>IFERROR(IF(Table11[[#This Row],[Year]]&gt;0,$E$1-Table11[[#This Row],[Year]],0),"")</f>
        <v>0</v>
      </c>
      <c r="F297" s="456"/>
      <c r="G297" s="456"/>
      <c r="H297" s="456"/>
    </row>
    <row r="298" spans="1:8" ht="13.5" customHeight="1">
      <c r="A298" s="456">
        <v>7294</v>
      </c>
      <c r="B298" s="457" t="s">
        <v>3022</v>
      </c>
      <c r="C298" s="456" t="s">
        <v>249</v>
      </c>
      <c r="D298" s="456" t="str">
        <f>IF(Table11[[#This Row],[Current Age]]&gt;19,"Women's",IF(E298&gt;15,"U19",IF(E298&gt;13,"U15",IF(E298&gt;11,"U13",IF(E298&gt;0,"U11",0)))))</f>
        <v>Women's</v>
      </c>
      <c r="E298" s="456">
        <f>IFERROR(IF(Table11[[#This Row],[Year]]&gt;0,$E$1-Table11[[#This Row],[Year]],0),"")</f>
        <v>21</v>
      </c>
      <c r="F298" s="456">
        <v>2004</v>
      </c>
      <c r="G298" s="456">
        <v>9</v>
      </c>
      <c r="H298" s="456">
        <v>16</v>
      </c>
    </row>
    <row r="299" spans="1:8" ht="13.5" customHeight="1">
      <c r="A299" s="471">
        <v>7295</v>
      </c>
      <c r="B299" s="540" t="s">
        <v>1259</v>
      </c>
      <c r="C299" s="471" t="s">
        <v>4720</v>
      </c>
      <c r="D299" s="456">
        <f>IF(Table11[[#This Row],[Current Age]]&gt;19,"Women's",IF(E299&gt;15,"U19",IF(E299&gt;13,"U15",IF(E299&gt;11,"U13",IF(E299&gt;0,"U11",0)))))</f>
        <v>0</v>
      </c>
      <c r="E299" s="456">
        <f>IFERROR(IF(Table11[[#This Row],[Year]]&gt;0,$E$1-Table11[[#This Row],[Year]],0),"")</f>
        <v>0</v>
      </c>
      <c r="F299" s="456"/>
      <c r="G299" s="456"/>
      <c r="H299" s="456"/>
    </row>
    <row r="300" spans="1:8" ht="13.5" customHeight="1">
      <c r="A300" s="456">
        <v>7296</v>
      </c>
      <c r="B300" s="457" t="s">
        <v>1260</v>
      </c>
      <c r="C300" s="456" t="s">
        <v>256</v>
      </c>
      <c r="D300" s="456">
        <f>IF(Table11[[#This Row],[Current Age]]&gt;19,"Women's",IF(E300&gt;15,"U19",IF(E300&gt;13,"U15",IF(E300&gt;11,"U13",IF(E300&gt;0,"U11",0)))))</f>
        <v>0</v>
      </c>
      <c r="E300" s="456">
        <f>IFERROR(IF(Table11[[#This Row],[Year]]&gt;0,$E$1-Table11[[#This Row],[Year]],0),"")</f>
        <v>0</v>
      </c>
      <c r="F300" s="456"/>
      <c r="G300" s="456"/>
      <c r="H300" s="456"/>
    </row>
    <row r="301" spans="1:8" ht="13.5" customHeight="1">
      <c r="A301" s="471">
        <v>7297</v>
      </c>
      <c r="B301" s="540" t="s">
        <v>1261</v>
      </c>
      <c r="C301" s="471" t="s">
        <v>3615</v>
      </c>
      <c r="D301" s="456" t="str">
        <f>IF(Table11[[#This Row],[Current Age]]&gt;19,"Women's",IF(E301&gt;15,"U19",IF(E301&gt;13,"U15",IF(E301&gt;11,"U13",IF(E301&gt;0,"U11",0)))))</f>
        <v>U19</v>
      </c>
      <c r="E301" s="456">
        <f>IFERROR(IF(Table11[[#This Row],[Year]]&gt;0,$E$1-Table11[[#This Row],[Year]],0),"")</f>
        <v>19</v>
      </c>
      <c r="F301" s="456">
        <v>2006</v>
      </c>
      <c r="G301" s="456">
        <v>12</v>
      </c>
      <c r="H301" s="456">
        <v>9</v>
      </c>
    </row>
    <row r="302" spans="1:8" ht="13.5" customHeight="1">
      <c r="A302" s="456">
        <v>7298</v>
      </c>
      <c r="B302" s="457" t="s">
        <v>1262</v>
      </c>
      <c r="C302" s="456" t="s">
        <v>256</v>
      </c>
      <c r="D302" s="456">
        <f>IF(Table11[[#This Row],[Current Age]]&gt;19,"Women's",IF(E302&gt;15,"U19",IF(E302&gt;13,"U15",IF(E302&gt;11,"U13",IF(E302&gt;0,"U11",0)))))</f>
        <v>0</v>
      </c>
      <c r="E302" s="456">
        <f>IFERROR(IF(Table11[[#This Row],[Year]]&gt;0,$E$1-Table11[[#This Row],[Year]],0),"")</f>
        <v>0</v>
      </c>
      <c r="F302" s="456"/>
      <c r="G302" s="456"/>
      <c r="H302" s="456"/>
    </row>
    <row r="303" spans="1:8" ht="13.5" customHeight="1">
      <c r="A303" s="471">
        <v>7299</v>
      </c>
      <c r="B303" s="540" t="s">
        <v>1263</v>
      </c>
      <c r="C303" s="471" t="s">
        <v>256</v>
      </c>
      <c r="D303" s="456" t="str">
        <f>IF(Table11[[#This Row],[Current Age]]&gt;19,"Women's",IF(E303&gt;15,"U19",IF(E303&gt;13,"U15",IF(E303&gt;11,"U13",IF(E303&gt;0,"U11",0)))))</f>
        <v>U19</v>
      </c>
      <c r="E303" s="456">
        <f>IFERROR(IF(Table11[[#This Row],[Year]]&gt;0,$E$1-Table11[[#This Row],[Year]],0),"")</f>
        <v>19</v>
      </c>
      <c r="F303" s="456">
        <v>2006</v>
      </c>
      <c r="G303" s="456">
        <v>11</v>
      </c>
      <c r="H303" s="456">
        <v>30</v>
      </c>
    </row>
    <row r="304" spans="1:8" ht="13.5" customHeight="1">
      <c r="A304" s="456">
        <v>7300</v>
      </c>
      <c r="B304" s="457" t="s">
        <v>1264</v>
      </c>
      <c r="C304" s="456" t="s">
        <v>256</v>
      </c>
      <c r="D304" s="456">
        <f>IF(Table11[[#This Row],[Current Age]]&gt;19,"Women's",IF(E304&gt;15,"U19",IF(E304&gt;13,"U15",IF(E304&gt;11,"U13",IF(E304&gt;0,"U11",0)))))</f>
        <v>0</v>
      </c>
      <c r="E304" s="456">
        <f>IFERROR(IF(Table11[[#This Row],[Year]]&gt;0,$E$1-Table11[[#This Row],[Year]],0),"")</f>
        <v>0</v>
      </c>
      <c r="F304" s="456"/>
      <c r="G304" s="456"/>
      <c r="H304" s="456"/>
    </row>
    <row r="305" spans="1:8" ht="13.5" customHeight="1">
      <c r="A305" s="471">
        <v>7301</v>
      </c>
      <c r="B305" s="540" t="s">
        <v>1265</v>
      </c>
      <c r="C305" s="471" t="s">
        <v>244</v>
      </c>
      <c r="D305" s="456" t="str">
        <f>IF(Table11[[#This Row],[Current Age]]&gt;19,"Women's",IF(E305&gt;15,"U19",IF(E305&gt;13,"U15",IF(E305&gt;11,"U13",IF(E305&gt;0,"U11",0)))))</f>
        <v>U19</v>
      </c>
      <c r="E305" s="456">
        <f>IFERROR(IF(Table11[[#This Row],[Year]]&gt;0,$E$1-Table11[[#This Row],[Year]],0),"")</f>
        <v>19</v>
      </c>
      <c r="F305" s="456">
        <v>2006</v>
      </c>
      <c r="G305" s="456">
        <v>8</v>
      </c>
      <c r="H305" s="456">
        <v>3</v>
      </c>
    </row>
    <row r="306" spans="1:8" ht="13.5" customHeight="1">
      <c r="A306" s="456">
        <v>7302</v>
      </c>
      <c r="B306" s="457" t="s">
        <v>1266</v>
      </c>
      <c r="C306" s="456" t="s">
        <v>255</v>
      </c>
      <c r="D306" s="456">
        <f>IF(Table11[[#This Row],[Current Age]]&gt;19,"Women's",IF(E306&gt;15,"U19",IF(E306&gt;13,"U15",IF(E306&gt;11,"U13",IF(E306&gt;0,"U11",0)))))</f>
        <v>0</v>
      </c>
      <c r="E306" s="456">
        <f>IFERROR(IF(Table11[[#This Row],[Year]]&gt;0,$E$1-Table11[[#This Row],[Year]],0),"")</f>
        <v>0</v>
      </c>
      <c r="F306" s="456"/>
      <c r="G306" s="456"/>
      <c r="H306" s="456"/>
    </row>
    <row r="307" spans="1:8" ht="13.5" customHeight="1">
      <c r="A307" s="471">
        <v>7303</v>
      </c>
      <c r="B307" s="540" t="s">
        <v>1267</v>
      </c>
      <c r="C307" s="471" t="s">
        <v>256</v>
      </c>
      <c r="D307" s="456">
        <f>IF(Table11[[#This Row],[Current Age]]&gt;19,"Women's",IF(E307&gt;15,"U19",IF(E307&gt;13,"U15",IF(E307&gt;11,"U13",IF(E307&gt;0,"U11",0)))))</f>
        <v>0</v>
      </c>
      <c r="E307" s="456">
        <f>IFERROR(IF(Table11[[#This Row],[Year]]&gt;0,$E$1-Table11[[#This Row],[Year]],0),"")</f>
        <v>0</v>
      </c>
      <c r="F307" s="456"/>
      <c r="G307" s="456"/>
      <c r="H307" s="456"/>
    </row>
    <row r="308" spans="1:8" ht="13.5" customHeight="1">
      <c r="A308" s="456">
        <v>7304</v>
      </c>
      <c r="B308" s="457" t="s">
        <v>1268</v>
      </c>
      <c r="C308" s="456" t="s">
        <v>253</v>
      </c>
      <c r="D308" s="456">
        <f>IF(Table11[[#This Row],[Current Age]]&gt;19,"Women's",IF(E308&gt;15,"U19",IF(E308&gt;13,"U15",IF(E308&gt;11,"U13",IF(E308&gt;0,"U11",0)))))</f>
        <v>0</v>
      </c>
      <c r="E308" s="456">
        <f>IFERROR(IF(Table11[[#This Row],[Year]]&gt;0,$E$1-Table11[[#This Row],[Year]],0),"")</f>
        <v>0</v>
      </c>
      <c r="F308" s="456"/>
      <c r="G308" s="456"/>
      <c r="H308" s="456"/>
    </row>
    <row r="309" spans="1:8" ht="13.5" customHeight="1">
      <c r="A309" s="471">
        <v>7305</v>
      </c>
      <c r="B309" s="540" t="s">
        <v>1269</v>
      </c>
      <c r="C309" s="471" t="s">
        <v>247</v>
      </c>
      <c r="D309" s="456">
        <f>IF(Table11[[#This Row],[Current Age]]&gt;19,"Women's",IF(E309&gt;15,"U19",IF(E309&gt;13,"U15",IF(E309&gt;11,"U13",IF(E309&gt;0,"U11",0)))))</f>
        <v>0</v>
      </c>
      <c r="E309" s="456">
        <f>IFERROR(IF(Table11[[#This Row],[Year]]&gt;0,$E$1-Table11[[#This Row],[Year]],0),"")</f>
        <v>0</v>
      </c>
      <c r="F309" s="456"/>
      <c r="G309" s="456"/>
      <c r="H309" s="456"/>
    </row>
    <row r="310" spans="1:8" ht="13.5" customHeight="1">
      <c r="A310" s="456">
        <v>7306</v>
      </c>
      <c r="B310" s="457" t="s">
        <v>1270</v>
      </c>
      <c r="C310" s="456" t="s">
        <v>243</v>
      </c>
      <c r="D310" s="456">
        <f>IF(Table11[[#This Row],[Current Age]]&gt;19,"Women's",IF(E310&gt;15,"U19",IF(E310&gt;13,"U15",IF(E310&gt;11,"U13",IF(E310&gt;0,"U11",0)))))</f>
        <v>0</v>
      </c>
      <c r="E310" s="456">
        <f>IFERROR(IF(Table11[[#This Row],[Year]]&gt;0,$E$1-Table11[[#This Row],[Year]],0),"")</f>
        <v>0</v>
      </c>
      <c r="F310" s="456"/>
      <c r="G310" s="456"/>
      <c r="H310" s="456"/>
    </row>
    <row r="311" spans="1:8" ht="13.5" customHeight="1">
      <c r="A311" s="471">
        <v>7307</v>
      </c>
      <c r="B311" s="540" t="s">
        <v>1271</v>
      </c>
      <c r="C311" s="471" t="s">
        <v>247</v>
      </c>
      <c r="D311" s="456">
        <f>IF(Table11[[#This Row],[Current Age]]&gt;19,"Women's",IF(E311&gt;15,"U19",IF(E311&gt;13,"U15",IF(E311&gt;11,"U13",IF(E311&gt;0,"U11",0)))))</f>
        <v>0</v>
      </c>
      <c r="E311" s="456">
        <f>IFERROR(IF(Table11[[#This Row],[Year]]&gt;0,$E$1-Table11[[#This Row],[Year]],0),"")</f>
        <v>0</v>
      </c>
      <c r="F311" s="456"/>
      <c r="G311" s="456"/>
      <c r="H311" s="456"/>
    </row>
    <row r="312" spans="1:8" ht="13.5" customHeight="1">
      <c r="A312" s="456">
        <v>7308</v>
      </c>
      <c r="B312" s="543" t="s">
        <v>3859</v>
      </c>
      <c r="C312" s="456" t="s">
        <v>251</v>
      </c>
      <c r="D312" s="456">
        <f>IF(Table11[[#This Row],[Current Age]]&gt;19,"Women's",IF(E312&gt;15,"U19",IF(E312&gt;13,"U15",IF(E312&gt;11,"U13",IF(E312&gt;0,"U11",0)))))</f>
        <v>0</v>
      </c>
      <c r="E312" s="456">
        <f>IFERROR(IF(Table11[[#This Row],[Year]]&gt;0,$E$1-Table11[[#This Row],[Year]],0),"")</f>
        <v>0</v>
      </c>
      <c r="F312" s="456"/>
      <c r="G312" s="456"/>
      <c r="H312" s="456"/>
    </row>
    <row r="313" spans="1:8" ht="13.5" customHeight="1">
      <c r="A313" s="471">
        <v>7309</v>
      </c>
      <c r="B313" s="540" t="s">
        <v>1272</v>
      </c>
      <c r="C313" s="471" t="s">
        <v>251</v>
      </c>
      <c r="D313" s="456">
        <f>IF(Table11[[#This Row],[Current Age]]&gt;19,"Women's",IF(E313&gt;15,"U19",IF(E313&gt;13,"U15",IF(E313&gt;11,"U13",IF(E313&gt;0,"U11",0)))))</f>
        <v>0</v>
      </c>
      <c r="E313" s="456">
        <f>IFERROR(IF(Table11[[#This Row],[Year]]&gt;0,$E$1-Table11[[#This Row],[Year]],0),"")</f>
        <v>0</v>
      </c>
      <c r="F313" s="456"/>
      <c r="G313" s="456"/>
      <c r="H313" s="456"/>
    </row>
    <row r="314" spans="1:8" ht="13.5" customHeight="1">
      <c r="A314" s="456">
        <v>7310</v>
      </c>
      <c r="B314" s="457" t="s">
        <v>1273</v>
      </c>
      <c r="C314" s="456" t="s">
        <v>255</v>
      </c>
      <c r="D314" s="456">
        <f>IF(Table11[[#This Row],[Current Age]]&gt;19,"Women's",IF(E314&gt;15,"U19",IF(E314&gt;13,"U15",IF(E314&gt;11,"U13",IF(E314&gt;0,"U11",0)))))</f>
        <v>0</v>
      </c>
      <c r="E314" s="456">
        <f>IFERROR(IF(Table11[[#This Row],[Year]]&gt;0,$E$1-Table11[[#This Row],[Year]],0),"")</f>
        <v>0</v>
      </c>
      <c r="F314" s="456"/>
      <c r="G314" s="456"/>
      <c r="H314" s="456"/>
    </row>
    <row r="315" spans="1:8" ht="13.5" customHeight="1">
      <c r="A315" s="471">
        <v>7311</v>
      </c>
      <c r="B315" s="540" t="s">
        <v>1274</v>
      </c>
      <c r="C315" s="471" t="s">
        <v>243</v>
      </c>
      <c r="D315" s="456">
        <f>IF(Table11[[#This Row],[Current Age]]&gt;19,"Women's",IF(E315&gt;15,"U19",IF(E315&gt;13,"U15",IF(E315&gt;11,"U13",IF(E315&gt;0,"U11",0)))))</f>
        <v>0</v>
      </c>
      <c r="E315" s="456">
        <f>IFERROR(IF(Table11[[#This Row],[Year]]&gt;0,$E$1-Table11[[#This Row],[Year]],0),"")</f>
        <v>0</v>
      </c>
      <c r="F315" s="456"/>
      <c r="G315" s="456"/>
      <c r="H315" s="456"/>
    </row>
    <row r="316" spans="1:8" ht="13.5" customHeight="1">
      <c r="A316" s="456">
        <v>7312</v>
      </c>
      <c r="B316" s="457" t="s">
        <v>1275</v>
      </c>
      <c r="C316" s="456" t="s">
        <v>361</v>
      </c>
      <c r="D316" s="456" t="str">
        <f>IF(Table11[[#This Row],[Current Age]]&gt;19,"Women's",IF(E316&gt;15,"U19",IF(E316&gt;13,"U15",IF(E316&gt;11,"U13",IF(E316&gt;0,"U11",0)))))</f>
        <v>Women's</v>
      </c>
      <c r="E316" s="456">
        <f>IFERROR(IF(Table11[[#This Row],[Year]]&gt;0,$E$1-Table11[[#This Row],[Year]],0),"")</f>
        <v>20</v>
      </c>
      <c r="F316" s="456">
        <v>2005</v>
      </c>
      <c r="G316" s="456">
        <v>10</v>
      </c>
      <c r="H316" s="456">
        <v>20</v>
      </c>
    </row>
    <row r="317" spans="1:8" ht="13.5" customHeight="1">
      <c r="A317" s="471">
        <v>7313</v>
      </c>
      <c r="B317" s="540" t="s">
        <v>1276</v>
      </c>
      <c r="C317" s="471"/>
      <c r="D317" s="456">
        <f>IF(Table11[[#This Row],[Current Age]]&gt;19,"Women's",IF(E317&gt;15,"U19",IF(E317&gt;13,"U15",IF(E317&gt;11,"U13",IF(E317&gt;0,"U11",0)))))</f>
        <v>0</v>
      </c>
      <c r="E317" s="456">
        <f>IFERROR(IF(Table11[[#This Row],[Year]]&gt;0,$E$1-Table11[[#This Row],[Year]],0),"")</f>
        <v>0</v>
      </c>
      <c r="F317" s="456"/>
      <c r="G317" s="456"/>
      <c r="H317" s="456"/>
    </row>
    <row r="318" spans="1:8" ht="13.5" customHeight="1">
      <c r="A318" s="456">
        <v>7314</v>
      </c>
      <c r="B318" s="457" t="s">
        <v>222</v>
      </c>
      <c r="C318" s="456" t="s">
        <v>4658</v>
      </c>
      <c r="D318" s="456" t="str">
        <f>IF(Table11[[#This Row],[Current Age]]&gt;19,"Women's",IF(E318&gt;15,"U19",IF(E318&gt;13,"U15",IF(E318&gt;11,"U13",IF(E318&gt;0,"U11",0)))))</f>
        <v>Women's</v>
      </c>
      <c r="E318" s="456">
        <f>IFERROR(IF(Table11[[#This Row],[Year]]&gt;0,$E$1-Table11[[#This Row],[Year]],0),"")</f>
        <v>24</v>
      </c>
      <c r="F318" s="456">
        <v>2001</v>
      </c>
      <c r="G318" s="456">
        <v>11</v>
      </c>
      <c r="H318" s="456">
        <v>1</v>
      </c>
    </row>
    <row r="319" spans="1:8" ht="13.5" customHeight="1">
      <c r="A319" s="471">
        <v>7315</v>
      </c>
      <c r="B319" s="540" t="s">
        <v>223</v>
      </c>
      <c r="C319" s="471"/>
      <c r="D319" s="456">
        <f>IF(Table11[[#This Row],[Current Age]]&gt;19,"Women's",IF(E319&gt;15,"U19",IF(E319&gt;13,"U15",IF(E319&gt;11,"U13",IF(E319&gt;0,"U11",0)))))</f>
        <v>0</v>
      </c>
      <c r="E319" s="456">
        <f>IFERROR(IF(Table11[[#This Row],[Year]]&gt;0,$E$1-Table11[[#This Row],[Year]],0),"")</f>
        <v>0</v>
      </c>
      <c r="F319" s="456"/>
      <c r="G319" s="456"/>
      <c r="H319" s="456"/>
    </row>
    <row r="320" spans="1:8" ht="13.5" customHeight="1">
      <c r="A320" s="456">
        <v>7316</v>
      </c>
      <c r="B320" s="457" t="s">
        <v>1923</v>
      </c>
      <c r="C320" s="456" t="s">
        <v>1908</v>
      </c>
      <c r="D320" s="456">
        <f>IF(Table11[[#This Row],[Current Age]]&gt;19,"Women's",IF(E320&gt;15,"U19",IF(E320&gt;13,"U15",IF(E320&gt;11,"U13",IF(E320&gt;0,"U11",0)))))</f>
        <v>0</v>
      </c>
      <c r="E320" s="456">
        <f>IFERROR(IF(Table11[[#This Row],[Year]]&gt;0,$E$1-Table11[[#This Row],[Year]],0),"")</f>
        <v>0</v>
      </c>
      <c r="F320" s="456"/>
      <c r="G320" s="456"/>
      <c r="H320" s="456"/>
    </row>
    <row r="321" spans="1:8" ht="13.5" customHeight="1">
      <c r="A321" s="471">
        <v>7317</v>
      </c>
      <c r="B321" s="540" t="s">
        <v>234</v>
      </c>
      <c r="C321" s="471"/>
      <c r="D321" s="456">
        <f>IF(Table11[[#This Row],[Current Age]]&gt;19,"Women's",IF(E321&gt;15,"U19",IF(E321&gt;13,"U15",IF(E321&gt;11,"U13",IF(E321&gt;0,"U11",0)))))</f>
        <v>0</v>
      </c>
      <c r="E321" s="456">
        <f>IFERROR(IF(Table11[[#This Row],[Year]]&gt;0,$E$1-Table11[[#This Row],[Year]],0),"")</f>
        <v>0</v>
      </c>
      <c r="F321" s="456"/>
      <c r="G321" s="456"/>
      <c r="H321" s="456"/>
    </row>
    <row r="322" spans="1:8" ht="13.5" customHeight="1">
      <c r="A322" s="456">
        <v>7318</v>
      </c>
      <c r="B322" s="457" t="s">
        <v>235</v>
      </c>
      <c r="C322" s="456" t="s">
        <v>4658</v>
      </c>
      <c r="D322" s="456">
        <f>IF(Table11[[#This Row],[Current Age]]&gt;19,"Women's",IF(E322&gt;15,"U19",IF(E322&gt;13,"U15",IF(E322&gt;11,"U13",IF(E322&gt;0,"U11",0)))))</f>
        <v>0</v>
      </c>
      <c r="E322" s="456">
        <f>IFERROR(IF(Table11[[#This Row],[Year]]&gt;0,$E$1-Table11[[#This Row],[Year]],0),"")</f>
        <v>0</v>
      </c>
      <c r="F322" s="456"/>
      <c r="G322" s="456"/>
      <c r="H322" s="456"/>
    </row>
    <row r="323" spans="1:8" ht="13.5" customHeight="1">
      <c r="A323" s="471">
        <v>7319</v>
      </c>
      <c r="B323" s="540" t="s">
        <v>236</v>
      </c>
      <c r="C323" s="471"/>
      <c r="D323" s="456">
        <f>IF(Table11[[#This Row],[Current Age]]&gt;19,"Women's",IF(E323&gt;15,"U19",IF(E323&gt;13,"U15",IF(E323&gt;11,"U13",IF(E323&gt;0,"U11",0)))))</f>
        <v>0</v>
      </c>
      <c r="E323" s="456">
        <f>IFERROR(IF(Table11[[#This Row],[Year]]&gt;0,$E$1-Table11[[#This Row],[Year]],0),"")</f>
        <v>0</v>
      </c>
      <c r="F323" s="456"/>
      <c r="G323" s="456"/>
      <c r="H323" s="456"/>
    </row>
    <row r="324" spans="1:8" ht="13.5" customHeight="1">
      <c r="A324" s="456">
        <v>7320</v>
      </c>
      <c r="B324" s="457" t="s">
        <v>237</v>
      </c>
      <c r="C324" s="456"/>
      <c r="D324" s="456">
        <f>IF(Table11[[#This Row],[Current Age]]&gt;19,"Women's",IF(E324&gt;15,"U19",IF(E324&gt;13,"U15",IF(E324&gt;11,"U13",IF(E324&gt;0,"U11",0)))))</f>
        <v>0</v>
      </c>
      <c r="E324" s="456">
        <f>IFERROR(IF(Table11[[#This Row],[Year]]&gt;0,$E$1-Table11[[#This Row],[Year]],0),"")</f>
        <v>0</v>
      </c>
      <c r="F324" s="456"/>
      <c r="G324" s="456"/>
      <c r="H324" s="456"/>
    </row>
    <row r="325" spans="1:8" ht="13.5" customHeight="1">
      <c r="A325" s="471">
        <v>7321</v>
      </c>
      <c r="B325" s="540" t="s">
        <v>1277</v>
      </c>
      <c r="C325" s="471" t="s">
        <v>248</v>
      </c>
      <c r="D325" s="456">
        <f>IF(Table11[[#This Row],[Current Age]]&gt;19,"Women's",IF(E325&gt;15,"U19",IF(E325&gt;13,"U15",IF(E325&gt;11,"U13",IF(E325&gt;0,"U11",0)))))</f>
        <v>0</v>
      </c>
      <c r="E325" s="456">
        <f>IFERROR(IF(Table11[[#This Row],[Year]]&gt;0,$E$1-Table11[[#This Row],[Year]],0),"")</f>
        <v>0</v>
      </c>
      <c r="F325" s="456"/>
      <c r="G325" s="456"/>
      <c r="H325" s="456"/>
    </row>
    <row r="326" spans="1:8" ht="13.5" customHeight="1">
      <c r="A326" s="456">
        <v>7322</v>
      </c>
      <c r="B326" s="457" t="s">
        <v>1278</v>
      </c>
      <c r="C326" s="456" t="s">
        <v>248</v>
      </c>
      <c r="D326" s="456" t="str">
        <f>IF(Table11[[#This Row],[Current Age]]&gt;19,"Women's",IF(E326&gt;15,"U19",IF(E326&gt;13,"U15",IF(E326&gt;11,"U13",IF(E326&gt;0,"U11",0)))))</f>
        <v>U19</v>
      </c>
      <c r="E326" s="456">
        <f>IFERROR(IF(Table11[[#This Row],[Year]]&gt;0,$E$1-Table11[[#This Row],[Year]],0),"")</f>
        <v>19</v>
      </c>
      <c r="F326" s="456">
        <v>2006</v>
      </c>
      <c r="G326" s="456">
        <v>4</v>
      </c>
      <c r="H326" s="456">
        <v>1</v>
      </c>
    </row>
    <row r="327" spans="1:8" ht="13.5" customHeight="1">
      <c r="A327" s="471">
        <v>7323</v>
      </c>
      <c r="B327" s="540" t="s">
        <v>1279</v>
      </c>
      <c r="C327" s="471" t="s">
        <v>248</v>
      </c>
      <c r="D327" s="456">
        <f>IF(Table11[[#This Row],[Current Age]]&gt;19,"Women's",IF(E327&gt;15,"U19",IF(E327&gt;13,"U15",IF(E327&gt;11,"U13",IF(E327&gt;0,"U11",0)))))</f>
        <v>0</v>
      </c>
      <c r="E327" s="456">
        <f>IFERROR(IF(Table11[[#This Row],[Year]]&gt;0,$E$1-Table11[[#This Row],[Year]],0),"")</f>
        <v>0</v>
      </c>
      <c r="F327" s="456"/>
      <c r="G327" s="456"/>
      <c r="H327" s="456"/>
    </row>
    <row r="328" spans="1:8" ht="13.5" customHeight="1">
      <c r="A328" s="456">
        <v>7324</v>
      </c>
      <c r="B328" s="457" t="s">
        <v>1280</v>
      </c>
      <c r="C328" s="456" t="s">
        <v>248</v>
      </c>
      <c r="D328" s="456">
        <f>IF(Table11[[#This Row],[Current Age]]&gt;19,"Women's",IF(E328&gt;15,"U19",IF(E328&gt;13,"U15",IF(E328&gt;11,"U13",IF(E328&gt;0,"U11",0)))))</f>
        <v>0</v>
      </c>
      <c r="E328" s="456">
        <f>IFERROR(IF(Table11[[#This Row],[Year]]&gt;0,$E$1-Table11[[#This Row],[Year]],0),"")</f>
        <v>0</v>
      </c>
      <c r="F328" s="456"/>
      <c r="G328" s="456"/>
      <c r="H328" s="456"/>
    </row>
    <row r="329" spans="1:8" ht="13.5" customHeight="1">
      <c r="A329" s="471">
        <v>7325</v>
      </c>
      <c r="B329" s="540" t="s">
        <v>1281</v>
      </c>
      <c r="C329" s="471" t="s">
        <v>248</v>
      </c>
      <c r="D329" s="456">
        <f>IF(Table11[[#This Row],[Current Age]]&gt;19,"Women's",IF(E329&gt;15,"U19",IF(E329&gt;13,"U15",IF(E329&gt;11,"U13",IF(E329&gt;0,"U11",0)))))</f>
        <v>0</v>
      </c>
      <c r="E329" s="456">
        <f>IFERROR(IF(Table11[[#This Row],[Year]]&gt;0,$E$1-Table11[[#This Row],[Year]],0),"")</f>
        <v>0</v>
      </c>
      <c r="F329" s="456"/>
      <c r="G329" s="456"/>
      <c r="H329" s="456"/>
    </row>
    <row r="330" spans="1:8" ht="13.5" customHeight="1">
      <c r="A330" s="456">
        <v>7326</v>
      </c>
      <c r="B330" s="457" t="s">
        <v>1282</v>
      </c>
      <c r="C330" s="456" t="s">
        <v>248</v>
      </c>
      <c r="D330" s="456">
        <f>IF(Table11[[#This Row],[Current Age]]&gt;19,"Women's",IF(E330&gt;15,"U19",IF(E330&gt;13,"U15",IF(E330&gt;11,"U13",IF(E330&gt;0,"U11",0)))))</f>
        <v>0</v>
      </c>
      <c r="E330" s="456">
        <f>IFERROR(IF(Table11[[#This Row],[Year]]&gt;0,$E$1-Table11[[#This Row],[Year]],0),"")</f>
        <v>0</v>
      </c>
      <c r="F330" s="456"/>
      <c r="G330" s="456"/>
      <c r="H330" s="456"/>
    </row>
    <row r="331" spans="1:8" ht="13.5" customHeight="1">
      <c r="A331" s="471">
        <v>7327</v>
      </c>
      <c r="B331" s="540" t="s">
        <v>1283</v>
      </c>
      <c r="C331" s="471" t="s">
        <v>3750</v>
      </c>
      <c r="D331" s="456">
        <f>IF(Table11[[#This Row],[Current Age]]&gt;19,"Women's",IF(E331&gt;15,"U19",IF(E331&gt;13,"U15",IF(E331&gt;11,"U13",IF(E331&gt;0,"U11",0)))))</f>
        <v>0</v>
      </c>
      <c r="E331" s="456">
        <f>IFERROR(IF(Table11[[#This Row],[Year]]&gt;0,$E$1-Table11[[#This Row],[Year]],0),"")</f>
        <v>0</v>
      </c>
      <c r="F331" s="456"/>
      <c r="G331" s="456"/>
      <c r="H331" s="456"/>
    </row>
    <row r="332" spans="1:8" ht="13.5" customHeight="1">
      <c r="A332" s="456">
        <v>7328</v>
      </c>
      <c r="B332" s="457" t="s">
        <v>1284</v>
      </c>
      <c r="C332" s="456" t="s">
        <v>248</v>
      </c>
      <c r="D332" s="456">
        <f>IF(Table11[[#This Row],[Current Age]]&gt;19,"Women's",IF(E332&gt;15,"U19",IF(E332&gt;13,"U15",IF(E332&gt;11,"U13",IF(E332&gt;0,"U11",0)))))</f>
        <v>0</v>
      </c>
      <c r="E332" s="456">
        <f>IFERROR(IF(Table11[[#This Row],[Year]]&gt;0,$E$1-Table11[[#This Row],[Year]],0),"")</f>
        <v>0</v>
      </c>
      <c r="F332" s="456"/>
      <c r="G332" s="456"/>
      <c r="H332" s="456"/>
    </row>
    <row r="333" spans="1:8" ht="13.5" customHeight="1">
      <c r="A333" s="471">
        <v>7329</v>
      </c>
      <c r="B333" s="540" t="s">
        <v>1285</v>
      </c>
      <c r="C333" s="471" t="s">
        <v>248</v>
      </c>
      <c r="D333" s="456">
        <f>IF(Table11[[#This Row],[Current Age]]&gt;19,"Women's",IF(E333&gt;15,"U19",IF(E333&gt;13,"U15",IF(E333&gt;11,"U13",IF(E333&gt;0,"U11",0)))))</f>
        <v>0</v>
      </c>
      <c r="E333" s="456">
        <f>IFERROR(IF(Table11[[#This Row],[Year]]&gt;0,$E$1-Table11[[#This Row],[Year]],0),"")</f>
        <v>0</v>
      </c>
      <c r="F333" s="456"/>
      <c r="G333" s="456"/>
      <c r="H333" s="456"/>
    </row>
    <row r="334" spans="1:8" ht="13.5" customHeight="1">
      <c r="A334" s="456">
        <v>7330</v>
      </c>
      <c r="B334" s="457" t="s">
        <v>1286</v>
      </c>
      <c r="C334" s="456" t="s">
        <v>248</v>
      </c>
      <c r="D334" s="456">
        <f>IF(Table11[[#This Row],[Current Age]]&gt;19,"Women's",IF(E334&gt;15,"U19",IF(E334&gt;13,"U15",IF(E334&gt;11,"U13",IF(E334&gt;0,"U11",0)))))</f>
        <v>0</v>
      </c>
      <c r="E334" s="456">
        <f>IFERROR(IF(Table11[[#This Row],[Year]]&gt;0,$E$1-Table11[[#This Row],[Year]],0),"")</f>
        <v>0</v>
      </c>
      <c r="F334" s="456"/>
      <c r="G334" s="456"/>
      <c r="H334" s="456"/>
    </row>
    <row r="335" spans="1:8" ht="13.5" customHeight="1">
      <c r="A335" s="471">
        <v>7331</v>
      </c>
      <c r="B335" s="540" t="s">
        <v>1287</v>
      </c>
      <c r="C335" s="471" t="s">
        <v>248</v>
      </c>
      <c r="D335" s="456">
        <f>IF(Table11[[#This Row],[Current Age]]&gt;19,"Women's",IF(E335&gt;15,"U19",IF(E335&gt;13,"U15",IF(E335&gt;11,"U13",IF(E335&gt;0,"U11",0)))))</f>
        <v>0</v>
      </c>
      <c r="E335" s="456">
        <f>IFERROR(IF(Table11[[#This Row],[Year]]&gt;0,$E$1-Table11[[#This Row],[Year]],0),"")</f>
        <v>0</v>
      </c>
      <c r="F335" s="456"/>
      <c r="G335" s="456"/>
      <c r="H335" s="456"/>
    </row>
    <row r="336" spans="1:8" ht="13.5" customHeight="1">
      <c r="A336" s="456">
        <v>7332</v>
      </c>
      <c r="B336" s="457" t="s">
        <v>1288</v>
      </c>
      <c r="C336" s="456" t="s">
        <v>248</v>
      </c>
      <c r="D336" s="456">
        <f>IF(Table11[[#This Row],[Current Age]]&gt;19,"Women's",IF(E336&gt;15,"U19",IF(E336&gt;13,"U15",IF(E336&gt;11,"U13",IF(E336&gt;0,"U11",0)))))</f>
        <v>0</v>
      </c>
      <c r="E336" s="456">
        <f>IFERROR(IF(Table11[[#This Row],[Year]]&gt;0,$E$1-Table11[[#This Row],[Year]],0),"")</f>
        <v>0</v>
      </c>
      <c r="F336" s="456"/>
      <c r="G336" s="456"/>
      <c r="H336" s="456"/>
    </row>
    <row r="337" spans="1:8" ht="13.5" customHeight="1">
      <c r="A337" s="471">
        <v>7333</v>
      </c>
      <c r="B337" s="540" t="s">
        <v>1289</v>
      </c>
      <c r="C337" s="471" t="s">
        <v>248</v>
      </c>
      <c r="D337" s="456">
        <f>IF(Table11[[#This Row],[Current Age]]&gt;19,"Women's",IF(E337&gt;15,"U19",IF(E337&gt;13,"U15",IF(E337&gt;11,"U13",IF(E337&gt;0,"U11",0)))))</f>
        <v>0</v>
      </c>
      <c r="E337" s="456">
        <f>IFERROR(IF(Table11[[#This Row],[Year]]&gt;0,$E$1-Table11[[#This Row],[Year]],0),"")</f>
        <v>0</v>
      </c>
      <c r="F337" s="456"/>
      <c r="G337" s="456"/>
      <c r="H337" s="456"/>
    </row>
    <row r="338" spans="1:8" ht="13.5" customHeight="1">
      <c r="A338" s="456">
        <v>7334</v>
      </c>
      <c r="B338" s="457" t="s">
        <v>1290</v>
      </c>
      <c r="C338" s="456" t="s">
        <v>248</v>
      </c>
      <c r="D338" s="456">
        <f>IF(Table11[[#This Row],[Current Age]]&gt;19,"Women's",IF(E338&gt;15,"U19",IF(E338&gt;13,"U15",IF(E338&gt;11,"U13",IF(E338&gt;0,"U11",0)))))</f>
        <v>0</v>
      </c>
      <c r="E338" s="456">
        <f>IFERROR(IF(Table11[[#This Row],[Year]]&gt;0,$E$1-Table11[[#This Row],[Year]],0),"")</f>
        <v>0</v>
      </c>
      <c r="F338" s="456"/>
      <c r="G338" s="456"/>
      <c r="H338" s="456"/>
    </row>
    <row r="339" spans="1:8" ht="13.5" customHeight="1">
      <c r="A339" s="471">
        <v>7335</v>
      </c>
      <c r="B339" s="540" t="s">
        <v>1291</v>
      </c>
      <c r="C339" s="471" t="s">
        <v>248</v>
      </c>
      <c r="D339" s="456">
        <f>IF(Table11[[#This Row],[Current Age]]&gt;19,"Women's",IF(E339&gt;15,"U19",IF(E339&gt;13,"U15",IF(E339&gt;11,"U13",IF(E339&gt;0,"U11",0)))))</f>
        <v>0</v>
      </c>
      <c r="E339" s="456">
        <f>IFERROR(IF(Table11[[#This Row],[Year]]&gt;0,$E$1-Table11[[#This Row],[Year]],0),"")</f>
        <v>0</v>
      </c>
      <c r="F339" s="456"/>
      <c r="G339" s="456"/>
      <c r="H339" s="456"/>
    </row>
    <row r="340" spans="1:8" ht="13.5" customHeight="1">
      <c r="A340" s="456">
        <v>7336</v>
      </c>
      <c r="B340" s="457" t="s">
        <v>1292</v>
      </c>
      <c r="C340" s="456" t="s">
        <v>248</v>
      </c>
      <c r="D340" s="456">
        <f>IF(Table11[[#This Row],[Current Age]]&gt;19,"Women's",IF(E340&gt;15,"U19",IF(E340&gt;13,"U15",IF(E340&gt;11,"U13",IF(E340&gt;0,"U11",0)))))</f>
        <v>0</v>
      </c>
      <c r="E340" s="456">
        <f>IFERROR(IF(Table11[[#This Row],[Year]]&gt;0,$E$1-Table11[[#This Row],[Year]],0),"")</f>
        <v>0</v>
      </c>
      <c r="F340" s="456"/>
      <c r="G340" s="456"/>
      <c r="H340" s="456"/>
    </row>
    <row r="341" spans="1:8" ht="13.5" customHeight="1">
      <c r="A341" s="471">
        <v>7337</v>
      </c>
      <c r="B341" s="540" t="s">
        <v>3315</v>
      </c>
      <c r="C341" s="471" t="s">
        <v>3346</v>
      </c>
      <c r="D341" s="456">
        <f>IF(Table11[[#This Row],[Current Age]]&gt;19,"Women's",IF(E341&gt;15,"U19",IF(E341&gt;13,"U15",IF(E341&gt;11,"U13",IF(E341&gt;0,"U11",0)))))</f>
        <v>0</v>
      </c>
      <c r="E341" s="456">
        <f>IFERROR(IF(Table11[[#This Row],[Year]]&gt;0,$E$1-Table11[[#This Row],[Year]],0),"")</f>
        <v>0</v>
      </c>
      <c r="F341" s="456"/>
      <c r="G341" s="456"/>
      <c r="H341" s="456"/>
    </row>
    <row r="342" spans="1:8" ht="13.5" customHeight="1">
      <c r="A342" s="456">
        <v>7338</v>
      </c>
      <c r="B342" s="457" t="s">
        <v>3316</v>
      </c>
      <c r="C342" s="456" t="s">
        <v>3346</v>
      </c>
      <c r="D342" s="456">
        <f>IF(Table11[[#This Row],[Current Age]]&gt;19,"Women's",IF(E342&gt;15,"U19",IF(E342&gt;13,"U15",IF(E342&gt;11,"U13",IF(E342&gt;0,"U11",0)))))</f>
        <v>0</v>
      </c>
      <c r="E342" s="456">
        <f>IFERROR(IF(Table11[[#This Row],[Year]]&gt;0,$E$1-Table11[[#This Row],[Year]],0),"")</f>
        <v>0</v>
      </c>
      <c r="F342" s="456"/>
      <c r="G342" s="456"/>
      <c r="H342" s="456"/>
    </row>
    <row r="343" spans="1:8" ht="13.5" customHeight="1">
      <c r="A343" s="471">
        <v>7339</v>
      </c>
      <c r="B343" s="540" t="s">
        <v>3317</v>
      </c>
      <c r="C343" s="471" t="s">
        <v>253</v>
      </c>
      <c r="D343" s="456">
        <f>IF(Table11[[#This Row],[Current Age]]&gt;19,"Women's",IF(E343&gt;15,"U19",IF(E343&gt;13,"U15",IF(E343&gt;11,"U13",IF(E343&gt;0,"U11",0)))))</f>
        <v>0</v>
      </c>
      <c r="E343" s="456">
        <f>IFERROR(IF(Table11[[#This Row],[Year]]&gt;0,$E$1-Table11[[#This Row],[Year]],0),"")</f>
        <v>0</v>
      </c>
      <c r="F343" s="456"/>
      <c r="G343" s="456"/>
      <c r="H343" s="456"/>
    </row>
    <row r="344" spans="1:8" ht="13.5" customHeight="1">
      <c r="A344" s="456">
        <v>7340</v>
      </c>
      <c r="B344" s="457" t="s">
        <v>820</v>
      </c>
      <c r="C344" s="456" t="s">
        <v>361</v>
      </c>
      <c r="D344" s="456" t="str">
        <f>IF(Table11[[#This Row],[Current Age]]&gt;19,"Women's",IF(E344&gt;15,"U19",IF(E344&gt;13,"U15",IF(E344&gt;11,"U13",IF(E344&gt;0,"U11",0)))))</f>
        <v>Women's</v>
      </c>
      <c r="E344" s="456">
        <f>IFERROR(IF(Table11[[#This Row],[Year]]&gt;0,$E$1-Table11[[#This Row],[Year]],0),"")</f>
        <v>20</v>
      </c>
      <c r="F344" s="456">
        <v>2005</v>
      </c>
      <c r="G344" s="456">
        <v>12</v>
      </c>
      <c r="H344" s="456">
        <v>24</v>
      </c>
    </row>
    <row r="345" spans="1:8" ht="13.5" customHeight="1">
      <c r="A345" s="471">
        <v>7341</v>
      </c>
      <c r="B345" s="540" t="s">
        <v>1293</v>
      </c>
      <c r="C345" s="471" t="s">
        <v>361</v>
      </c>
      <c r="D345" s="456" t="str">
        <f>IF(Table11[[#This Row],[Current Age]]&gt;19,"Women's",IF(E345&gt;15,"U19",IF(E345&gt;13,"U15",IF(E345&gt;11,"U13",IF(E345&gt;0,"U11",0)))))</f>
        <v>U19</v>
      </c>
      <c r="E345" s="456">
        <f>IFERROR(IF(Table11[[#This Row],[Year]]&gt;0,$E$1-Table11[[#This Row],[Year]],0),"")</f>
        <v>19</v>
      </c>
      <c r="F345" s="456">
        <v>2006</v>
      </c>
      <c r="G345" s="456">
        <v>9</v>
      </c>
      <c r="H345" s="456">
        <v>29</v>
      </c>
    </row>
    <row r="346" spans="1:8" ht="13.5" customHeight="1">
      <c r="A346" s="456">
        <v>7342</v>
      </c>
      <c r="B346" s="457" t="s">
        <v>1294</v>
      </c>
      <c r="C346" s="456" t="s">
        <v>361</v>
      </c>
      <c r="D346" s="456">
        <f>IF(Table11[[#This Row],[Current Age]]&gt;19,"Women's",IF(E346&gt;15,"U19",IF(E346&gt;13,"U15",IF(E346&gt;11,"U13",IF(E346&gt;0,"U11",0)))))</f>
        <v>0</v>
      </c>
      <c r="E346" s="456">
        <f>IFERROR(IF(Table11[[#This Row],[Year]]&gt;0,$E$1-Table11[[#This Row],[Year]],0),"")</f>
        <v>0</v>
      </c>
      <c r="F346" s="456"/>
      <c r="G346" s="456"/>
      <c r="H346" s="456"/>
    </row>
    <row r="347" spans="1:8" ht="13.5" customHeight="1">
      <c r="A347" s="471">
        <v>7343</v>
      </c>
      <c r="B347" s="540" t="s">
        <v>1295</v>
      </c>
      <c r="C347" s="471" t="s">
        <v>361</v>
      </c>
      <c r="D347" s="456" t="str">
        <f>IF(Table11[[#This Row],[Current Age]]&gt;19,"Women's",IF(E347&gt;15,"U19",IF(E347&gt;13,"U15",IF(E347&gt;11,"U13",IF(E347&gt;0,"U11",0)))))</f>
        <v>Women's</v>
      </c>
      <c r="E347" s="456">
        <f>IFERROR(IF(Table11[[#This Row],[Year]]&gt;0,$E$1-Table11[[#This Row],[Year]],0),"")</f>
        <v>54</v>
      </c>
      <c r="F347" s="456">
        <v>1971</v>
      </c>
      <c r="G347" s="456">
        <v>10</v>
      </c>
      <c r="H347" s="456">
        <v>16</v>
      </c>
    </row>
    <row r="348" spans="1:8" ht="13.5" customHeight="1">
      <c r="A348" s="456">
        <v>7344</v>
      </c>
      <c r="B348" s="457" t="s">
        <v>822</v>
      </c>
      <c r="C348" s="456" t="s">
        <v>361</v>
      </c>
      <c r="D348" s="456" t="str">
        <f>IF(Table11[[#This Row],[Current Age]]&gt;19,"Women's",IF(E348&gt;15,"U19",IF(E348&gt;13,"U15",IF(E348&gt;11,"U13",IF(E348&gt;0,"U11",0)))))</f>
        <v>Women's</v>
      </c>
      <c r="E348" s="456">
        <f>IFERROR(IF(Table11[[#This Row],[Year]]&gt;0,$E$1-Table11[[#This Row],[Year]],0),"")</f>
        <v>37</v>
      </c>
      <c r="F348" s="456">
        <v>1988</v>
      </c>
      <c r="G348" s="456">
        <v>12</v>
      </c>
      <c r="H348" s="456">
        <v>24</v>
      </c>
    </row>
    <row r="349" spans="1:8" ht="13.5" customHeight="1">
      <c r="A349" s="471">
        <v>7345</v>
      </c>
      <c r="B349" s="540" t="s">
        <v>707</v>
      </c>
      <c r="C349" s="471" t="s">
        <v>362</v>
      </c>
      <c r="D349" s="456">
        <f>IF(Table11[[#This Row],[Current Age]]&gt;19,"Women's",IF(E349&gt;15,"U19",IF(E349&gt;13,"U15",IF(E349&gt;11,"U13",IF(E349&gt;0,"U11",0)))))</f>
        <v>0</v>
      </c>
      <c r="E349" s="456">
        <f>IFERROR(IF(Table11[[#This Row],[Year]]&gt;0,$E$1-Table11[[#This Row],[Year]],0),"")</f>
        <v>0</v>
      </c>
      <c r="F349" s="456"/>
      <c r="G349" s="456"/>
      <c r="H349" s="456"/>
    </row>
    <row r="350" spans="1:8" ht="13.5" customHeight="1">
      <c r="A350" s="456">
        <v>7346</v>
      </c>
      <c r="B350" s="457" t="s">
        <v>708</v>
      </c>
      <c r="C350" s="456" t="s">
        <v>362</v>
      </c>
      <c r="D350" s="456">
        <f>IF(Table11[[#This Row],[Current Age]]&gt;19,"Women's",IF(E350&gt;15,"U19",IF(E350&gt;13,"U15",IF(E350&gt;11,"U13",IF(E350&gt;0,"U11",0)))))</f>
        <v>0</v>
      </c>
      <c r="E350" s="456">
        <f>IFERROR(IF(Table11[[#This Row],[Year]]&gt;0,$E$1-Table11[[#This Row],[Year]],0),"")</f>
        <v>0</v>
      </c>
      <c r="F350" s="456"/>
      <c r="G350" s="456"/>
      <c r="H350" s="456"/>
    </row>
    <row r="351" spans="1:8" ht="13.5" customHeight="1">
      <c r="A351" s="471">
        <v>7347</v>
      </c>
      <c r="B351" s="540" t="s">
        <v>709</v>
      </c>
      <c r="C351" s="471" t="s">
        <v>362</v>
      </c>
      <c r="D351" s="456">
        <f>IF(Table11[[#This Row],[Current Age]]&gt;19,"Women's",IF(E351&gt;15,"U19",IF(E351&gt;13,"U15",IF(E351&gt;11,"U13",IF(E351&gt;0,"U11",0)))))</f>
        <v>0</v>
      </c>
      <c r="E351" s="456">
        <f>IFERROR(IF(Table11[[#This Row],[Year]]&gt;0,$E$1-Table11[[#This Row],[Year]],0),"")</f>
        <v>0</v>
      </c>
      <c r="F351" s="456"/>
      <c r="G351" s="456"/>
      <c r="H351" s="456"/>
    </row>
    <row r="352" spans="1:8" ht="13.5" customHeight="1">
      <c r="A352" s="456">
        <v>7348</v>
      </c>
      <c r="B352" s="457" t="s">
        <v>710</v>
      </c>
      <c r="C352" s="456" t="s">
        <v>362</v>
      </c>
      <c r="D352" s="456">
        <f>IF(Table11[[#This Row],[Current Age]]&gt;19,"Women's",IF(E352&gt;15,"U19",IF(E352&gt;13,"U15",IF(E352&gt;11,"U13",IF(E352&gt;0,"U11",0)))))</f>
        <v>0</v>
      </c>
      <c r="E352" s="456">
        <f>IFERROR(IF(Table11[[#This Row],[Year]]&gt;0,$E$1-Table11[[#This Row],[Year]],0),"")</f>
        <v>0</v>
      </c>
      <c r="F352" s="456"/>
      <c r="G352" s="456"/>
      <c r="H352" s="456"/>
    </row>
    <row r="353" spans="1:8" ht="13.5" customHeight="1">
      <c r="A353" s="471">
        <v>7349</v>
      </c>
      <c r="B353" s="540" t="s">
        <v>711</v>
      </c>
      <c r="C353" s="471" t="s">
        <v>362</v>
      </c>
      <c r="D353" s="456">
        <f>IF(Table11[[#This Row],[Current Age]]&gt;19,"Women's",IF(E353&gt;15,"U19",IF(E353&gt;13,"U15",IF(E353&gt;11,"U13",IF(E353&gt;0,"U11",0)))))</f>
        <v>0</v>
      </c>
      <c r="E353" s="456">
        <f>IFERROR(IF(Table11[[#This Row],[Year]]&gt;0,$E$1-Table11[[#This Row],[Year]],0),"")</f>
        <v>0</v>
      </c>
      <c r="F353" s="456"/>
      <c r="G353" s="456"/>
      <c r="H353" s="456"/>
    </row>
    <row r="354" spans="1:8" ht="13.5" customHeight="1">
      <c r="A354" s="456">
        <v>7350</v>
      </c>
      <c r="B354" s="457" t="s">
        <v>712</v>
      </c>
      <c r="C354" s="456" t="s">
        <v>362</v>
      </c>
      <c r="D354" s="456">
        <f>IF(Table11[[#This Row],[Current Age]]&gt;19,"Women's",IF(E354&gt;15,"U19",IF(E354&gt;13,"U15",IF(E354&gt;11,"U13",IF(E354&gt;0,"U11",0)))))</f>
        <v>0</v>
      </c>
      <c r="E354" s="456">
        <f>IFERROR(IF(Table11[[#This Row],[Year]]&gt;0,$E$1-Table11[[#This Row],[Year]],0),"")</f>
        <v>0</v>
      </c>
      <c r="F354" s="456"/>
      <c r="G354" s="456"/>
      <c r="H354" s="456"/>
    </row>
    <row r="355" spans="1:8" ht="13.5" customHeight="1">
      <c r="A355" s="471">
        <v>7351</v>
      </c>
      <c r="B355" s="540" t="s">
        <v>713</v>
      </c>
      <c r="C355" s="471" t="s">
        <v>362</v>
      </c>
      <c r="D355" s="456">
        <f>IF(Table11[[#This Row],[Current Age]]&gt;19,"Women's",IF(E355&gt;15,"U19",IF(E355&gt;13,"U15",IF(E355&gt;11,"U13",IF(E355&gt;0,"U11",0)))))</f>
        <v>0</v>
      </c>
      <c r="E355" s="456">
        <f>IFERROR(IF(Table11[[#This Row],[Year]]&gt;0,$E$1-Table11[[#This Row],[Year]],0),"")</f>
        <v>0</v>
      </c>
      <c r="F355" s="456"/>
      <c r="G355" s="456"/>
      <c r="H355" s="456"/>
    </row>
    <row r="356" spans="1:8" ht="13.5" customHeight="1">
      <c r="A356" s="456">
        <v>7352</v>
      </c>
      <c r="B356" s="457" t="s">
        <v>714</v>
      </c>
      <c r="C356" s="456" t="s">
        <v>362</v>
      </c>
      <c r="D356" s="456">
        <f>IF(Table11[[#This Row],[Current Age]]&gt;19,"Women's",IF(E356&gt;15,"U19",IF(E356&gt;13,"U15",IF(E356&gt;11,"U13",IF(E356&gt;0,"U11",0)))))</f>
        <v>0</v>
      </c>
      <c r="E356" s="456">
        <f>IFERROR(IF(Table11[[#This Row],[Year]]&gt;0,$E$1-Table11[[#This Row],[Year]],0),"")</f>
        <v>0</v>
      </c>
      <c r="F356" s="456"/>
      <c r="G356" s="456"/>
      <c r="H356" s="456"/>
    </row>
    <row r="357" spans="1:8" ht="13.5" customHeight="1">
      <c r="A357" s="471">
        <v>7353</v>
      </c>
      <c r="B357" s="540" t="s">
        <v>715</v>
      </c>
      <c r="C357" s="471" t="s">
        <v>362</v>
      </c>
      <c r="D357" s="456">
        <f>IF(Table11[[#This Row],[Current Age]]&gt;19,"Women's",IF(E357&gt;15,"U19",IF(E357&gt;13,"U15",IF(E357&gt;11,"U13",IF(E357&gt;0,"U11",0)))))</f>
        <v>0</v>
      </c>
      <c r="E357" s="456">
        <f>IFERROR(IF(Table11[[#This Row],[Year]]&gt;0,$E$1-Table11[[#This Row],[Year]],0),"")</f>
        <v>0</v>
      </c>
      <c r="F357" s="456"/>
      <c r="G357" s="456"/>
      <c r="H357" s="456"/>
    </row>
    <row r="358" spans="1:8" ht="13.5" customHeight="1">
      <c r="A358" s="456">
        <v>7354</v>
      </c>
      <c r="B358" s="457" t="s">
        <v>716</v>
      </c>
      <c r="C358" s="456" t="s">
        <v>362</v>
      </c>
      <c r="D358" s="456">
        <f>IF(Table11[[#This Row],[Current Age]]&gt;19,"Women's",IF(E358&gt;15,"U19",IF(E358&gt;13,"U15",IF(E358&gt;11,"U13",IF(E358&gt;0,"U11",0)))))</f>
        <v>0</v>
      </c>
      <c r="E358" s="456">
        <f>IFERROR(IF(Table11[[#This Row],[Year]]&gt;0,$E$1-Table11[[#This Row],[Year]],0),"")</f>
        <v>0</v>
      </c>
      <c r="F358" s="456"/>
      <c r="G358" s="456"/>
      <c r="H358" s="456"/>
    </row>
    <row r="359" spans="1:8" ht="13.5" customHeight="1">
      <c r="A359" s="471">
        <v>7355</v>
      </c>
      <c r="B359" s="540" t="s">
        <v>717</v>
      </c>
      <c r="C359" s="471" t="s">
        <v>362</v>
      </c>
      <c r="D359" s="456">
        <f>IF(Table11[[#This Row],[Current Age]]&gt;19,"Women's",IF(E359&gt;15,"U19",IF(E359&gt;13,"U15",IF(E359&gt;11,"U13",IF(E359&gt;0,"U11",0)))))</f>
        <v>0</v>
      </c>
      <c r="E359" s="456">
        <f>IFERROR(IF(Table11[[#This Row],[Year]]&gt;0,$E$1-Table11[[#This Row],[Year]],0),"")</f>
        <v>0</v>
      </c>
      <c r="F359" s="456"/>
      <c r="G359" s="456"/>
      <c r="H359" s="456"/>
    </row>
    <row r="360" spans="1:8" ht="13.5" customHeight="1">
      <c r="A360" s="456">
        <v>7356</v>
      </c>
      <c r="B360" s="457" t="s">
        <v>718</v>
      </c>
      <c r="C360" s="456" t="s">
        <v>362</v>
      </c>
      <c r="D360" s="456">
        <f>IF(Table11[[#This Row],[Current Age]]&gt;19,"Women's",IF(E360&gt;15,"U19",IF(E360&gt;13,"U15",IF(E360&gt;11,"U13",IF(E360&gt;0,"U11",0)))))</f>
        <v>0</v>
      </c>
      <c r="E360" s="456">
        <f>IFERROR(IF(Table11[[#This Row],[Year]]&gt;0,$E$1-Table11[[#This Row],[Year]],0),"")</f>
        <v>0</v>
      </c>
      <c r="F360" s="456"/>
      <c r="G360" s="456"/>
      <c r="H360" s="456"/>
    </row>
    <row r="361" spans="1:8" ht="13.5" customHeight="1">
      <c r="A361" s="471">
        <v>7357</v>
      </c>
      <c r="B361" s="540" t="s">
        <v>719</v>
      </c>
      <c r="C361" s="471" t="s">
        <v>362</v>
      </c>
      <c r="D361" s="456">
        <f>IF(Table11[[#This Row],[Current Age]]&gt;19,"Women's",IF(E361&gt;15,"U19",IF(E361&gt;13,"U15",IF(E361&gt;11,"U13",IF(E361&gt;0,"U11",0)))))</f>
        <v>0</v>
      </c>
      <c r="E361" s="456">
        <f>IFERROR(IF(Table11[[#This Row],[Year]]&gt;0,$E$1-Table11[[#This Row],[Year]],0),"")</f>
        <v>0</v>
      </c>
      <c r="F361" s="456"/>
      <c r="G361" s="456"/>
      <c r="H361" s="456"/>
    </row>
    <row r="362" spans="1:8" ht="13.5" customHeight="1">
      <c r="A362" s="456">
        <v>7358</v>
      </c>
      <c r="B362" s="457" t="s">
        <v>720</v>
      </c>
      <c r="C362" s="456" t="s">
        <v>362</v>
      </c>
      <c r="D362" s="456">
        <f>IF(Table11[[#This Row],[Current Age]]&gt;19,"Women's",IF(E362&gt;15,"U19",IF(E362&gt;13,"U15",IF(E362&gt;11,"U13",IF(E362&gt;0,"U11",0)))))</f>
        <v>0</v>
      </c>
      <c r="E362" s="456">
        <f>IFERROR(IF(Table11[[#This Row],[Year]]&gt;0,$E$1-Table11[[#This Row],[Year]],0),"")</f>
        <v>0</v>
      </c>
      <c r="F362" s="456"/>
      <c r="G362" s="456"/>
      <c r="H362" s="456"/>
    </row>
    <row r="363" spans="1:8" ht="13.5" customHeight="1">
      <c r="A363" s="471">
        <v>7359</v>
      </c>
      <c r="B363" s="540" t="s">
        <v>721</v>
      </c>
      <c r="C363" s="471" t="s">
        <v>362</v>
      </c>
      <c r="D363" s="456">
        <f>IF(Table11[[#This Row],[Current Age]]&gt;19,"Women's",IF(E363&gt;15,"U19",IF(E363&gt;13,"U15",IF(E363&gt;11,"U13",IF(E363&gt;0,"U11",0)))))</f>
        <v>0</v>
      </c>
      <c r="E363" s="456">
        <f>IFERROR(IF(Table11[[#This Row],[Year]]&gt;0,$E$1-Table11[[#This Row],[Year]],0),"")</f>
        <v>0</v>
      </c>
      <c r="F363" s="456"/>
      <c r="G363" s="456"/>
      <c r="H363" s="456"/>
    </row>
    <row r="364" spans="1:8" ht="13.5" customHeight="1">
      <c r="A364" s="456">
        <v>7360</v>
      </c>
      <c r="B364" s="457" t="s">
        <v>722</v>
      </c>
      <c r="C364" s="456" t="s">
        <v>362</v>
      </c>
      <c r="D364" s="456">
        <f>IF(Table11[[#This Row],[Current Age]]&gt;19,"Women's",IF(E364&gt;15,"U19",IF(E364&gt;13,"U15",IF(E364&gt;11,"U13",IF(E364&gt;0,"U11",0)))))</f>
        <v>0</v>
      </c>
      <c r="E364" s="456">
        <f>IFERROR(IF(Table11[[#This Row],[Year]]&gt;0,$E$1-Table11[[#This Row],[Year]],0),"")</f>
        <v>0</v>
      </c>
      <c r="F364" s="456"/>
      <c r="G364" s="456"/>
      <c r="H364" s="456"/>
    </row>
    <row r="365" spans="1:8" ht="13.5" customHeight="1">
      <c r="A365" s="471">
        <v>7361</v>
      </c>
      <c r="B365" s="540" t="s">
        <v>723</v>
      </c>
      <c r="C365" s="471" t="s">
        <v>362</v>
      </c>
      <c r="D365" s="456">
        <f>IF(Table11[[#This Row],[Current Age]]&gt;19,"Women's",IF(E365&gt;15,"U19",IF(E365&gt;13,"U15",IF(E365&gt;11,"U13",IF(E365&gt;0,"U11",0)))))</f>
        <v>0</v>
      </c>
      <c r="E365" s="456">
        <f>IFERROR(IF(Table11[[#This Row],[Year]]&gt;0,$E$1-Table11[[#This Row],[Year]],0),"")</f>
        <v>0</v>
      </c>
      <c r="F365" s="456"/>
      <c r="G365" s="456"/>
      <c r="H365" s="456"/>
    </row>
    <row r="366" spans="1:8" ht="13.5" customHeight="1">
      <c r="A366" s="456">
        <v>7362</v>
      </c>
      <c r="B366" s="457" t="s">
        <v>724</v>
      </c>
      <c r="C366" s="456" t="s">
        <v>362</v>
      </c>
      <c r="D366" s="456">
        <f>IF(Table11[[#This Row],[Current Age]]&gt;19,"Women's",IF(E366&gt;15,"U19",IF(E366&gt;13,"U15",IF(E366&gt;11,"U13",IF(E366&gt;0,"U11",0)))))</f>
        <v>0</v>
      </c>
      <c r="E366" s="456">
        <f>IFERROR(IF(Table11[[#This Row],[Year]]&gt;0,$E$1-Table11[[#This Row],[Year]],0),"")</f>
        <v>0</v>
      </c>
      <c r="F366" s="456"/>
      <c r="G366" s="456"/>
      <c r="H366" s="456"/>
    </row>
    <row r="367" spans="1:8" ht="13.5" customHeight="1">
      <c r="A367" s="471">
        <v>7363</v>
      </c>
      <c r="B367" s="540" t="s">
        <v>725</v>
      </c>
      <c r="C367" s="471" t="s">
        <v>362</v>
      </c>
      <c r="D367" s="456">
        <f>IF(Table11[[#This Row],[Current Age]]&gt;19,"Women's",IF(E367&gt;15,"U19",IF(E367&gt;13,"U15",IF(E367&gt;11,"U13",IF(E367&gt;0,"U11",0)))))</f>
        <v>0</v>
      </c>
      <c r="E367" s="456">
        <f>IFERROR(IF(Table11[[#This Row],[Year]]&gt;0,$E$1-Table11[[#This Row],[Year]],0),"")</f>
        <v>0</v>
      </c>
      <c r="F367" s="456"/>
      <c r="G367" s="456"/>
      <c r="H367" s="456"/>
    </row>
    <row r="368" spans="1:8" ht="13.5" customHeight="1">
      <c r="A368" s="456">
        <v>7364</v>
      </c>
      <c r="B368" s="457" t="s">
        <v>726</v>
      </c>
      <c r="C368" s="456" t="s">
        <v>362</v>
      </c>
      <c r="D368" s="456">
        <f>IF(Table11[[#This Row],[Current Age]]&gt;19,"Women's",IF(E368&gt;15,"U19",IF(E368&gt;13,"U15",IF(E368&gt;11,"U13",IF(E368&gt;0,"U11",0)))))</f>
        <v>0</v>
      </c>
      <c r="E368" s="456">
        <f>IFERROR(IF(Table11[[#This Row],[Year]]&gt;0,$E$1-Table11[[#This Row],[Year]],0),"")</f>
        <v>0</v>
      </c>
      <c r="F368" s="456"/>
      <c r="G368" s="456"/>
      <c r="H368" s="456"/>
    </row>
    <row r="369" spans="1:8" ht="13.5" customHeight="1">
      <c r="A369" s="471">
        <v>7365</v>
      </c>
      <c r="B369" s="540" t="s">
        <v>727</v>
      </c>
      <c r="C369" s="471" t="s">
        <v>362</v>
      </c>
      <c r="D369" s="456">
        <f>IF(Table11[[#This Row],[Current Age]]&gt;19,"Women's",IF(E369&gt;15,"U19",IF(E369&gt;13,"U15",IF(E369&gt;11,"U13",IF(E369&gt;0,"U11",0)))))</f>
        <v>0</v>
      </c>
      <c r="E369" s="456">
        <f>IFERROR(IF(Table11[[#This Row],[Year]]&gt;0,$E$1-Table11[[#This Row],[Year]],0),"")</f>
        <v>0</v>
      </c>
      <c r="F369" s="456"/>
      <c r="G369" s="456"/>
      <c r="H369" s="456"/>
    </row>
    <row r="370" spans="1:8" ht="13.5" customHeight="1">
      <c r="A370" s="456">
        <v>7366</v>
      </c>
      <c r="B370" s="457" t="s">
        <v>728</v>
      </c>
      <c r="C370" s="456" t="s">
        <v>362</v>
      </c>
      <c r="D370" s="456">
        <f>IF(Table11[[#This Row],[Current Age]]&gt;19,"Women's",IF(E370&gt;15,"U19",IF(E370&gt;13,"U15",IF(E370&gt;11,"U13",IF(E370&gt;0,"U11",0)))))</f>
        <v>0</v>
      </c>
      <c r="E370" s="456">
        <f>IFERROR(IF(Table11[[#This Row],[Year]]&gt;0,$E$1-Table11[[#This Row],[Year]],0),"")</f>
        <v>0</v>
      </c>
      <c r="F370" s="456"/>
      <c r="G370" s="456"/>
      <c r="H370" s="456"/>
    </row>
    <row r="371" spans="1:8" ht="13.5" customHeight="1">
      <c r="A371" s="471">
        <v>7367</v>
      </c>
      <c r="B371" s="540" t="s">
        <v>729</v>
      </c>
      <c r="C371" s="471" t="s">
        <v>362</v>
      </c>
      <c r="D371" s="456">
        <f>IF(Table11[[#This Row],[Current Age]]&gt;19,"Women's",IF(E371&gt;15,"U19",IF(E371&gt;13,"U15",IF(E371&gt;11,"U13",IF(E371&gt;0,"U11",0)))))</f>
        <v>0</v>
      </c>
      <c r="E371" s="456">
        <f>IFERROR(IF(Table11[[#This Row],[Year]]&gt;0,$E$1-Table11[[#This Row],[Year]],0),"")</f>
        <v>0</v>
      </c>
      <c r="F371" s="456"/>
      <c r="G371" s="456"/>
      <c r="H371" s="456"/>
    </row>
    <row r="372" spans="1:8" ht="13.5" customHeight="1">
      <c r="A372" s="456">
        <v>7368</v>
      </c>
      <c r="B372" s="457" t="s">
        <v>730</v>
      </c>
      <c r="C372" s="456" t="s">
        <v>362</v>
      </c>
      <c r="D372" s="456">
        <f>IF(Table11[[#This Row],[Current Age]]&gt;19,"Women's",IF(E372&gt;15,"U19",IF(E372&gt;13,"U15",IF(E372&gt;11,"U13",IF(E372&gt;0,"U11",0)))))</f>
        <v>0</v>
      </c>
      <c r="E372" s="456">
        <f>IFERROR(IF(Table11[[#This Row],[Year]]&gt;0,$E$1-Table11[[#This Row],[Year]],0),"")</f>
        <v>0</v>
      </c>
      <c r="F372" s="456"/>
      <c r="G372" s="456"/>
      <c r="H372" s="456"/>
    </row>
    <row r="373" spans="1:8" ht="13.5" customHeight="1">
      <c r="A373" s="471">
        <v>7369</v>
      </c>
      <c r="B373" s="540" t="s">
        <v>731</v>
      </c>
      <c r="C373" s="471" t="s">
        <v>362</v>
      </c>
      <c r="D373" s="456">
        <f>IF(Table11[[#This Row],[Current Age]]&gt;19,"Women's",IF(E373&gt;15,"U19",IF(E373&gt;13,"U15",IF(E373&gt;11,"U13",IF(E373&gt;0,"U11",0)))))</f>
        <v>0</v>
      </c>
      <c r="E373" s="456">
        <f>IFERROR(IF(Table11[[#This Row],[Year]]&gt;0,$E$1-Table11[[#This Row],[Year]],0),"")</f>
        <v>0</v>
      </c>
      <c r="F373" s="456"/>
      <c r="G373" s="456"/>
      <c r="H373" s="456"/>
    </row>
    <row r="374" spans="1:8" ht="13.5" customHeight="1">
      <c r="A374" s="456">
        <v>7370</v>
      </c>
      <c r="B374" s="457" t="s">
        <v>732</v>
      </c>
      <c r="C374" s="456" t="s">
        <v>362</v>
      </c>
      <c r="D374" s="456">
        <f>IF(Table11[[#This Row],[Current Age]]&gt;19,"Women's",IF(E374&gt;15,"U19",IF(E374&gt;13,"U15",IF(E374&gt;11,"U13",IF(E374&gt;0,"U11",0)))))</f>
        <v>0</v>
      </c>
      <c r="E374" s="456">
        <f>IFERROR(IF(Table11[[#This Row],[Year]]&gt;0,$E$1-Table11[[#This Row],[Year]],0),"")</f>
        <v>0</v>
      </c>
      <c r="F374" s="456"/>
      <c r="G374" s="456"/>
      <c r="H374" s="456"/>
    </row>
    <row r="375" spans="1:8" ht="13.5" customHeight="1">
      <c r="A375" s="471">
        <v>7371</v>
      </c>
      <c r="B375" s="540" t="s">
        <v>733</v>
      </c>
      <c r="C375" s="471" t="s">
        <v>362</v>
      </c>
      <c r="D375" s="456">
        <f>IF(Table11[[#This Row],[Current Age]]&gt;19,"Women's",IF(E375&gt;15,"U19",IF(E375&gt;13,"U15",IF(E375&gt;11,"U13",IF(E375&gt;0,"U11",0)))))</f>
        <v>0</v>
      </c>
      <c r="E375" s="456">
        <f>IFERROR(IF(Table11[[#This Row],[Year]]&gt;0,$E$1-Table11[[#This Row],[Year]],0),"")</f>
        <v>0</v>
      </c>
      <c r="F375" s="456"/>
      <c r="G375" s="456"/>
      <c r="H375" s="456"/>
    </row>
    <row r="376" spans="1:8" ht="13.5" customHeight="1">
      <c r="A376" s="456">
        <v>7372</v>
      </c>
      <c r="B376" s="457" t="s">
        <v>734</v>
      </c>
      <c r="C376" s="456" t="s">
        <v>362</v>
      </c>
      <c r="D376" s="456">
        <f>IF(Table11[[#This Row],[Current Age]]&gt;19,"Women's",IF(E376&gt;15,"U19",IF(E376&gt;13,"U15",IF(E376&gt;11,"U13",IF(E376&gt;0,"U11",0)))))</f>
        <v>0</v>
      </c>
      <c r="E376" s="456">
        <f>IFERROR(IF(Table11[[#This Row],[Year]]&gt;0,$E$1-Table11[[#This Row],[Year]],0),"")</f>
        <v>0</v>
      </c>
      <c r="F376" s="456"/>
      <c r="G376" s="456"/>
      <c r="H376" s="456"/>
    </row>
    <row r="377" spans="1:8" ht="13.5" customHeight="1">
      <c r="A377" s="471">
        <v>7373</v>
      </c>
      <c r="B377" s="540" t="s">
        <v>735</v>
      </c>
      <c r="C377" s="471" t="s">
        <v>362</v>
      </c>
      <c r="D377" s="456">
        <f>IF(Table11[[#This Row],[Current Age]]&gt;19,"Women's",IF(E377&gt;15,"U19",IF(E377&gt;13,"U15",IF(E377&gt;11,"U13",IF(E377&gt;0,"U11",0)))))</f>
        <v>0</v>
      </c>
      <c r="E377" s="456">
        <f>IFERROR(IF(Table11[[#This Row],[Year]]&gt;0,$E$1-Table11[[#This Row],[Year]],0),"")</f>
        <v>0</v>
      </c>
      <c r="F377" s="456"/>
      <c r="G377" s="456"/>
      <c r="H377" s="456"/>
    </row>
    <row r="378" spans="1:8" ht="13.5" customHeight="1">
      <c r="A378" s="456">
        <v>7374</v>
      </c>
      <c r="B378" s="457" t="s">
        <v>736</v>
      </c>
      <c r="C378" s="456" t="s">
        <v>362</v>
      </c>
      <c r="D378" s="456">
        <f>IF(Table11[[#This Row],[Current Age]]&gt;19,"Women's",IF(E378&gt;15,"U19",IF(E378&gt;13,"U15",IF(E378&gt;11,"U13",IF(E378&gt;0,"U11",0)))))</f>
        <v>0</v>
      </c>
      <c r="E378" s="456">
        <f>IFERROR(IF(Table11[[#This Row],[Year]]&gt;0,$E$1-Table11[[#This Row],[Year]],0),"")</f>
        <v>0</v>
      </c>
      <c r="F378" s="456"/>
      <c r="G378" s="456"/>
      <c r="H378" s="456"/>
    </row>
    <row r="379" spans="1:8" ht="13.5" customHeight="1">
      <c r="A379" s="471">
        <v>7375</v>
      </c>
      <c r="B379" s="540" t="s">
        <v>737</v>
      </c>
      <c r="C379" s="471" t="s">
        <v>362</v>
      </c>
      <c r="D379" s="456">
        <f>IF(Table11[[#This Row],[Current Age]]&gt;19,"Women's",IF(E379&gt;15,"U19",IF(E379&gt;13,"U15",IF(E379&gt;11,"U13",IF(E379&gt;0,"U11",0)))))</f>
        <v>0</v>
      </c>
      <c r="E379" s="456">
        <f>IFERROR(IF(Table11[[#This Row],[Year]]&gt;0,$E$1-Table11[[#This Row],[Year]],0),"")</f>
        <v>0</v>
      </c>
      <c r="F379" s="456"/>
      <c r="G379" s="456"/>
      <c r="H379" s="456"/>
    </row>
    <row r="380" spans="1:8" ht="13.5" customHeight="1">
      <c r="A380" s="456">
        <v>7376</v>
      </c>
      <c r="B380" s="457" t="s">
        <v>738</v>
      </c>
      <c r="C380" s="456" t="s">
        <v>362</v>
      </c>
      <c r="D380" s="456">
        <f>IF(Table11[[#This Row],[Current Age]]&gt;19,"Women's",IF(E380&gt;15,"U19",IF(E380&gt;13,"U15",IF(E380&gt;11,"U13",IF(E380&gt;0,"U11",0)))))</f>
        <v>0</v>
      </c>
      <c r="E380" s="456">
        <f>IFERROR(IF(Table11[[#This Row],[Year]]&gt;0,$E$1-Table11[[#This Row],[Year]],0),"")</f>
        <v>0</v>
      </c>
      <c r="F380" s="456"/>
      <c r="G380" s="456"/>
      <c r="H380" s="456"/>
    </row>
    <row r="381" spans="1:8" ht="13.5" customHeight="1">
      <c r="A381" s="471">
        <v>7377</v>
      </c>
      <c r="B381" s="540" t="s">
        <v>739</v>
      </c>
      <c r="C381" s="471" t="s">
        <v>362</v>
      </c>
      <c r="D381" s="456">
        <f>IF(Table11[[#This Row],[Current Age]]&gt;19,"Women's",IF(E381&gt;15,"U19",IF(E381&gt;13,"U15",IF(E381&gt;11,"U13",IF(E381&gt;0,"U11",0)))))</f>
        <v>0</v>
      </c>
      <c r="E381" s="456">
        <f>IFERROR(IF(Table11[[#This Row],[Year]]&gt;0,$E$1-Table11[[#This Row],[Year]],0),"")</f>
        <v>0</v>
      </c>
      <c r="F381" s="456"/>
      <c r="G381" s="456"/>
      <c r="H381" s="456"/>
    </row>
    <row r="382" spans="1:8" ht="13.5" customHeight="1">
      <c r="A382" s="456">
        <v>7378</v>
      </c>
      <c r="B382" s="457" t="s">
        <v>740</v>
      </c>
      <c r="C382" s="456" t="s">
        <v>362</v>
      </c>
      <c r="D382" s="456">
        <f>IF(Table11[[#This Row],[Current Age]]&gt;19,"Women's",IF(E382&gt;15,"U19",IF(E382&gt;13,"U15",IF(E382&gt;11,"U13",IF(E382&gt;0,"U11",0)))))</f>
        <v>0</v>
      </c>
      <c r="E382" s="456">
        <f>IFERROR(IF(Table11[[#This Row],[Year]]&gt;0,$E$1-Table11[[#This Row],[Year]],0),"")</f>
        <v>0</v>
      </c>
      <c r="F382" s="456"/>
      <c r="G382" s="456"/>
      <c r="H382" s="456"/>
    </row>
    <row r="383" spans="1:8" ht="13.5" customHeight="1">
      <c r="A383" s="471">
        <v>7379</v>
      </c>
      <c r="B383" s="540" t="s">
        <v>741</v>
      </c>
      <c r="C383" s="471" t="s">
        <v>362</v>
      </c>
      <c r="D383" s="456">
        <f>IF(Table11[[#This Row],[Current Age]]&gt;19,"Women's",IF(E383&gt;15,"U19",IF(E383&gt;13,"U15",IF(E383&gt;11,"U13",IF(E383&gt;0,"U11",0)))))</f>
        <v>0</v>
      </c>
      <c r="E383" s="456">
        <f>IFERROR(IF(Table11[[#This Row],[Year]]&gt;0,$E$1-Table11[[#This Row],[Year]],0),"")</f>
        <v>0</v>
      </c>
      <c r="F383" s="456"/>
      <c r="G383" s="456"/>
      <c r="H383" s="456"/>
    </row>
    <row r="384" spans="1:8" ht="13.5" customHeight="1">
      <c r="A384" s="456">
        <v>7380</v>
      </c>
      <c r="B384" s="457" t="s">
        <v>742</v>
      </c>
      <c r="C384" s="456" t="s">
        <v>362</v>
      </c>
      <c r="D384" s="456">
        <f>IF(Table11[[#This Row],[Current Age]]&gt;19,"Women's",IF(E384&gt;15,"U19",IF(E384&gt;13,"U15",IF(E384&gt;11,"U13",IF(E384&gt;0,"U11",0)))))</f>
        <v>0</v>
      </c>
      <c r="E384" s="456">
        <f>IFERROR(IF(Table11[[#This Row],[Year]]&gt;0,$E$1-Table11[[#This Row],[Year]],0),"")</f>
        <v>0</v>
      </c>
      <c r="F384" s="456"/>
      <c r="G384" s="456"/>
      <c r="H384" s="456"/>
    </row>
    <row r="385" spans="1:8" ht="13.5" customHeight="1">
      <c r="A385" s="471">
        <v>7381</v>
      </c>
      <c r="B385" s="540" t="s">
        <v>743</v>
      </c>
      <c r="C385" s="471" t="s">
        <v>362</v>
      </c>
      <c r="D385" s="456">
        <f>IF(Table11[[#This Row],[Current Age]]&gt;19,"Women's",IF(E385&gt;15,"U19",IF(E385&gt;13,"U15",IF(E385&gt;11,"U13",IF(E385&gt;0,"U11",0)))))</f>
        <v>0</v>
      </c>
      <c r="E385" s="456">
        <f>IFERROR(IF(Table11[[#This Row],[Year]]&gt;0,$E$1-Table11[[#This Row],[Year]],0),"")</f>
        <v>0</v>
      </c>
      <c r="F385" s="456"/>
      <c r="G385" s="456"/>
      <c r="H385" s="456"/>
    </row>
    <row r="386" spans="1:8" ht="13.5" customHeight="1">
      <c r="A386" s="456">
        <v>7382</v>
      </c>
      <c r="B386" s="457" t="s">
        <v>744</v>
      </c>
      <c r="C386" s="456" t="s">
        <v>362</v>
      </c>
      <c r="D386" s="456">
        <f>IF(Table11[[#This Row],[Current Age]]&gt;19,"Women's",IF(E386&gt;15,"U19",IF(E386&gt;13,"U15",IF(E386&gt;11,"U13",IF(E386&gt;0,"U11",0)))))</f>
        <v>0</v>
      </c>
      <c r="E386" s="456">
        <f>IFERROR(IF(Table11[[#This Row],[Year]]&gt;0,$E$1-Table11[[#This Row],[Year]],0),"")</f>
        <v>0</v>
      </c>
      <c r="F386" s="456"/>
      <c r="G386" s="456"/>
      <c r="H386" s="456"/>
    </row>
    <row r="387" spans="1:8" ht="13.5" customHeight="1">
      <c r="A387" s="471">
        <v>7383</v>
      </c>
      <c r="B387" s="540" t="s">
        <v>745</v>
      </c>
      <c r="C387" s="471" t="s">
        <v>362</v>
      </c>
      <c r="D387" s="456">
        <f>IF(Table11[[#This Row],[Current Age]]&gt;19,"Women's",IF(E387&gt;15,"U19",IF(E387&gt;13,"U15",IF(E387&gt;11,"U13",IF(E387&gt;0,"U11",0)))))</f>
        <v>0</v>
      </c>
      <c r="E387" s="456">
        <f>IFERROR(IF(Table11[[#This Row],[Year]]&gt;0,$E$1-Table11[[#This Row],[Year]],0),"")</f>
        <v>0</v>
      </c>
      <c r="F387" s="456"/>
      <c r="G387" s="456"/>
      <c r="H387" s="456"/>
    </row>
    <row r="388" spans="1:8" ht="13.5" customHeight="1">
      <c r="A388" s="456">
        <v>7384</v>
      </c>
      <c r="B388" s="457" t="s">
        <v>746</v>
      </c>
      <c r="C388" s="456" t="s">
        <v>362</v>
      </c>
      <c r="D388" s="456">
        <f>IF(Table11[[#This Row],[Current Age]]&gt;19,"Women's",IF(E388&gt;15,"U19",IF(E388&gt;13,"U15",IF(E388&gt;11,"U13",IF(E388&gt;0,"U11",0)))))</f>
        <v>0</v>
      </c>
      <c r="E388" s="456">
        <f>IFERROR(IF(Table11[[#This Row],[Year]]&gt;0,$E$1-Table11[[#This Row],[Year]],0),"")</f>
        <v>0</v>
      </c>
      <c r="F388" s="456"/>
      <c r="G388" s="456"/>
      <c r="H388" s="456"/>
    </row>
    <row r="389" spans="1:8" ht="13.5" customHeight="1">
      <c r="A389" s="471">
        <v>7385</v>
      </c>
      <c r="B389" s="540" t="s">
        <v>747</v>
      </c>
      <c r="C389" s="471" t="s">
        <v>362</v>
      </c>
      <c r="D389" s="456">
        <f>IF(Table11[[#This Row],[Current Age]]&gt;19,"Women's",IF(E389&gt;15,"U19",IF(E389&gt;13,"U15",IF(E389&gt;11,"U13",IF(E389&gt;0,"U11",0)))))</f>
        <v>0</v>
      </c>
      <c r="E389" s="456">
        <f>IFERROR(IF(Table11[[#This Row],[Year]]&gt;0,$E$1-Table11[[#This Row],[Year]],0),"")</f>
        <v>0</v>
      </c>
      <c r="F389" s="456"/>
      <c r="G389" s="456"/>
      <c r="H389" s="456"/>
    </row>
    <row r="390" spans="1:8" ht="13.5" customHeight="1">
      <c r="A390" s="456">
        <v>7386</v>
      </c>
      <c r="B390" s="457" t="s">
        <v>748</v>
      </c>
      <c r="C390" s="456" t="s">
        <v>362</v>
      </c>
      <c r="D390" s="456">
        <f>IF(Table11[[#This Row],[Current Age]]&gt;19,"Women's",IF(E390&gt;15,"U19",IF(E390&gt;13,"U15",IF(E390&gt;11,"U13",IF(E390&gt;0,"U11",0)))))</f>
        <v>0</v>
      </c>
      <c r="E390" s="456">
        <f>IFERROR(IF(Table11[[#This Row],[Year]]&gt;0,$E$1-Table11[[#This Row],[Year]],0),"")</f>
        <v>0</v>
      </c>
      <c r="F390" s="456"/>
      <c r="G390" s="456"/>
      <c r="H390" s="456"/>
    </row>
    <row r="391" spans="1:8" ht="13.5" customHeight="1">
      <c r="A391" s="471">
        <v>7387</v>
      </c>
      <c r="B391" s="540" t="s">
        <v>749</v>
      </c>
      <c r="C391" s="471" t="s">
        <v>362</v>
      </c>
      <c r="D391" s="456">
        <f>IF(Table11[[#This Row],[Current Age]]&gt;19,"Women's",IF(E391&gt;15,"U19",IF(E391&gt;13,"U15",IF(E391&gt;11,"U13",IF(E391&gt;0,"U11",0)))))</f>
        <v>0</v>
      </c>
      <c r="E391" s="456">
        <f>IFERROR(IF(Table11[[#This Row],[Year]]&gt;0,$E$1-Table11[[#This Row],[Year]],0),"")</f>
        <v>0</v>
      </c>
      <c r="F391" s="456"/>
      <c r="G391" s="456"/>
      <c r="H391" s="456"/>
    </row>
    <row r="392" spans="1:8" ht="13.5" customHeight="1">
      <c r="A392" s="456">
        <v>7388</v>
      </c>
      <c r="B392" s="457" t="s">
        <v>1924</v>
      </c>
      <c r="C392" s="456" t="s">
        <v>1908</v>
      </c>
      <c r="D392" s="456">
        <f>IF(Table11[[#This Row],[Current Age]]&gt;19,"Women's",IF(E392&gt;15,"U19",IF(E392&gt;13,"U15",IF(E392&gt;11,"U13",IF(E392&gt;0,"U11",0)))))</f>
        <v>0</v>
      </c>
      <c r="E392" s="456">
        <f>IFERROR(IF(Table11[[#This Row],[Year]]&gt;0,$E$1-Table11[[#This Row],[Year]],0),"")</f>
        <v>0</v>
      </c>
      <c r="F392" s="456"/>
      <c r="G392" s="456"/>
      <c r="H392" s="456"/>
    </row>
    <row r="393" spans="1:8" ht="13.5" customHeight="1">
      <c r="A393" s="471">
        <v>7389</v>
      </c>
      <c r="B393" s="540" t="s">
        <v>751</v>
      </c>
      <c r="C393" s="471" t="s">
        <v>362</v>
      </c>
      <c r="D393" s="456">
        <f>IF(Table11[[#This Row],[Current Age]]&gt;19,"Women's",IF(E393&gt;15,"U19",IF(E393&gt;13,"U15",IF(E393&gt;11,"U13",IF(E393&gt;0,"U11",0)))))</f>
        <v>0</v>
      </c>
      <c r="E393" s="456">
        <f>IFERROR(IF(Table11[[#This Row],[Year]]&gt;0,$E$1-Table11[[#This Row],[Year]],0),"")</f>
        <v>0</v>
      </c>
      <c r="F393" s="456"/>
      <c r="G393" s="456"/>
      <c r="H393" s="456"/>
    </row>
    <row r="394" spans="1:8" ht="13.5" customHeight="1">
      <c r="A394" s="456">
        <v>7390</v>
      </c>
      <c r="B394" s="457" t="s">
        <v>752</v>
      </c>
      <c r="C394" s="456" t="s">
        <v>249</v>
      </c>
      <c r="D394" s="456">
        <f>IF(Table11[[#This Row],[Current Age]]&gt;19,"Women's",IF(E394&gt;15,"U19",IF(E394&gt;13,"U15",IF(E394&gt;11,"U13",IF(E394&gt;0,"U11",0)))))</f>
        <v>0</v>
      </c>
      <c r="E394" s="456">
        <f>IFERROR(IF(Table11[[#This Row],[Year]]&gt;0,$E$1-Table11[[#This Row],[Year]],0),"")</f>
        <v>0</v>
      </c>
      <c r="F394" s="456"/>
      <c r="G394" s="456"/>
      <c r="H394" s="456"/>
    </row>
    <row r="395" spans="1:8" ht="13.5" customHeight="1">
      <c r="A395" s="471">
        <v>7391</v>
      </c>
      <c r="B395" s="540" t="s">
        <v>753</v>
      </c>
      <c r="C395" s="471" t="s">
        <v>249</v>
      </c>
      <c r="D395" s="456">
        <f>IF(Table11[[#This Row],[Current Age]]&gt;19,"Women's",IF(E395&gt;15,"U19",IF(E395&gt;13,"U15",IF(E395&gt;11,"U13",IF(E395&gt;0,"U11",0)))))</f>
        <v>0</v>
      </c>
      <c r="E395" s="456">
        <f>IFERROR(IF(Table11[[#This Row],[Year]]&gt;0,$E$1-Table11[[#This Row],[Year]],0),"")</f>
        <v>0</v>
      </c>
      <c r="F395" s="456"/>
      <c r="G395" s="456"/>
      <c r="H395" s="456"/>
    </row>
    <row r="396" spans="1:8" ht="13.5" customHeight="1">
      <c r="A396" s="456">
        <v>7392</v>
      </c>
      <c r="B396" s="457" t="s">
        <v>329</v>
      </c>
      <c r="C396" s="456" t="s">
        <v>249</v>
      </c>
      <c r="D396" s="456">
        <f>IF(Table11[[#This Row],[Current Age]]&gt;19,"Women's",IF(E396&gt;15,"U19",IF(E396&gt;13,"U15",IF(E396&gt;11,"U13",IF(E396&gt;0,"U11",0)))))</f>
        <v>0</v>
      </c>
      <c r="E396" s="456">
        <f>IFERROR(IF(Table11[[#This Row],[Year]]&gt;0,$E$1-Table11[[#This Row],[Year]],0),"")</f>
        <v>0</v>
      </c>
      <c r="F396" s="456"/>
      <c r="G396" s="456"/>
      <c r="H396" s="456"/>
    </row>
    <row r="397" spans="1:8" ht="13.5" customHeight="1">
      <c r="A397" s="471">
        <v>7393</v>
      </c>
      <c r="B397" s="540" t="s">
        <v>754</v>
      </c>
      <c r="C397" s="471" t="s">
        <v>249</v>
      </c>
      <c r="D397" s="456">
        <f>IF(Table11[[#This Row],[Current Age]]&gt;19,"Women's",IF(E397&gt;15,"U19",IF(E397&gt;13,"U15",IF(E397&gt;11,"U13",IF(E397&gt;0,"U11",0)))))</f>
        <v>0</v>
      </c>
      <c r="E397" s="456">
        <f>IFERROR(IF(Table11[[#This Row],[Year]]&gt;0,$E$1-Table11[[#This Row],[Year]],0),"")</f>
        <v>0</v>
      </c>
      <c r="F397" s="456"/>
      <c r="G397" s="456"/>
      <c r="H397" s="456"/>
    </row>
    <row r="398" spans="1:8" ht="13.5" customHeight="1">
      <c r="A398" s="456">
        <v>7394</v>
      </c>
      <c r="B398" s="457" t="s">
        <v>755</v>
      </c>
      <c r="C398" s="456" t="s">
        <v>249</v>
      </c>
      <c r="D398" s="456">
        <f>IF(Table11[[#This Row],[Current Age]]&gt;19,"Women's",IF(E398&gt;15,"U19",IF(E398&gt;13,"U15",IF(E398&gt;11,"U13",IF(E398&gt;0,"U11",0)))))</f>
        <v>0</v>
      </c>
      <c r="E398" s="456">
        <f>IFERROR(IF(Table11[[#This Row],[Year]]&gt;0,$E$1-Table11[[#This Row],[Year]],0),"")</f>
        <v>0</v>
      </c>
      <c r="F398" s="456"/>
      <c r="G398" s="456"/>
      <c r="H398" s="456"/>
    </row>
    <row r="399" spans="1:8" ht="13.5" customHeight="1">
      <c r="A399" s="471">
        <v>7395</v>
      </c>
      <c r="B399" s="540" t="s">
        <v>756</v>
      </c>
      <c r="C399" s="471" t="s">
        <v>249</v>
      </c>
      <c r="D399" s="456">
        <f>IF(Table11[[#This Row],[Current Age]]&gt;19,"Women's",IF(E399&gt;15,"U19",IF(E399&gt;13,"U15",IF(E399&gt;11,"U13",IF(E399&gt;0,"U11",0)))))</f>
        <v>0</v>
      </c>
      <c r="E399" s="456">
        <f>IFERROR(IF(Table11[[#This Row],[Year]]&gt;0,$E$1-Table11[[#This Row],[Year]],0),"")</f>
        <v>0</v>
      </c>
      <c r="F399" s="456"/>
      <c r="G399" s="456"/>
      <c r="H399" s="456"/>
    </row>
    <row r="400" spans="1:8" ht="13.5" customHeight="1">
      <c r="A400" s="456">
        <v>7396</v>
      </c>
      <c r="B400" s="457" t="s">
        <v>757</v>
      </c>
      <c r="C400" s="456" t="s">
        <v>249</v>
      </c>
      <c r="D400" s="456">
        <f>IF(Table11[[#This Row],[Current Age]]&gt;19,"Women's",IF(E400&gt;15,"U19",IF(E400&gt;13,"U15",IF(E400&gt;11,"U13",IF(E400&gt;0,"U11",0)))))</f>
        <v>0</v>
      </c>
      <c r="E400" s="456">
        <f>IFERROR(IF(Table11[[#This Row],[Year]]&gt;0,$E$1-Table11[[#This Row],[Year]],0),"")</f>
        <v>0</v>
      </c>
      <c r="F400" s="456"/>
      <c r="G400" s="456"/>
      <c r="H400" s="456"/>
    </row>
    <row r="401" spans="1:8" ht="13.5" customHeight="1">
      <c r="A401" s="471">
        <v>7397</v>
      </c>
      <c r="B401" s="540" t="s">
        <v>758</v>
      </c>
      <c r="C401" s="471" t="s">
        <v>249</v>
      </c>
      <c r="D401" s="456" t="str">
        <f>IF(Table11[[#This Row],[Current Age]]&gt;19,"Women's",IF(E401&gt;15,"U19",IF(E401&gt;13,"U15",IF(E401&gt;11,"U13",IF(E401&gt;0,"U11",0)))))</f>
        <v>U19</v>
      </c>
      <c r="E401" s="456">
        <f>IFERROR(IF(Table11[[#This Row],[Year]]&gt;0,$E$1-Table11[[#This Row],[Year]],0),"")</f>
        <v>16</v>
      </c>
      <c r="F401" s="456">
        <v>2009</v>
      </c>
      <c r="G401" s="456">
        <v>7</v>
      </c>
      <c r="H401" s="456">
        <v>13</v>
      </c>
    </row>
    <row r="402" spans="1:8" ht="13.5" customHeight="1">
      <c r="A402" s="456">
        <v>7398</v>
      </c>
      <c r="B402" s="457" t="s">
        <v>759</v>
      </c>
      <c r="C402" s="456" t="s">
        <v>249</v>
      </c>
      <c r="D402" s="456" t="str">
        <f>IF(Table11[[#This Row],[Current Age]]&gt;19,"Women's",IF(E402&gt;15,"U19",IF(E402&gt;13,"U15",IF(E402&gt;11,"U13",IF(E402&gt;0,"U11",0)))))</f>
        <v>Women's</v>
      </c>
      <c r="E402" s="456">
        <f>IFERROR(IF(Table11[[#This Row],[Year]]&gt;0,$E$1-Table11[[#This Row],[Year]],0),"")</f>
        <v>20</v>
      </c>
      <c r="F402" s="456">
        <v>2005</v>
      </c>
      <c r="G402" s="456">
        <v>1</v>
      </c>
      <c r="H402" s="456">
        <v>27</v>
      </c>
    </row>
    <row r="403" spans="1:8" ht="13.5" customHeight="1">
      <c r="A403" s="471">
        <v>7399</v>
      </c>
      <c r="B403" s="540" t="s">
        <v>760</v>
      </c>
      <c r="C403" s="471" t="s">
        <v>249</v>
      </c>
      <c r="D403" s="456">
        <f>IF(Table11[[#This Row],[Current Age]]&gt;19,"Women's",IF(E403&gt;15,"U19",IF(E403&gt;13,"U15",IF(E403&gt;11,"U13",IF(E403&gt;0,"U11",0)))))</f>
        <v>0</v>
      </c>
      <c r="E403" s="456">
        <f>IFERROR(IF(Table11[[#This Row],[Year]]&gt;0,$E$1-Table11[[#This Row],[Year]],0),"")</f>
        <v>0</v>
      </c>
      <c r="F403" s="456"/>
      <c r="G403" s="456"/>
      <c r="H403" s="456"/>
    </row>
    <row r="404" spans="1:8" ht="13.5" customHeight="1">
      <c r="A404" s="456">
        <v>7400</v>
      </c>
      <c r="B404" s="457" t="s">
        <v>1925</v>
      </c>
      <c r="C404" s="456" t="s">
        <v>361</v>
      </c>
      <c r="D404" s="456">
        <f>IF(Table11[[#This Row],[Current Age]]&gt;19,"Women's",IF(E404&gt;15,"U19",IF(E404&gt;13,"U15",IF(E404&gt;11,"U13",IF(E404&gt;0,"U11",0)))))</f>
        <v>0</v>
      </c>
      <c r="E404" s="456">
        <f>IFERROR(IF(Table11[[#This Row],[Year]]&gt;0,$E$1-Table11[[#This Row],[Year]],0),"")</f>
        <v>0</v>
      </c>
      <c r="F404" s="456"/>
      <c r="G404" s="456"/>
      <c r="H404" s="456"/>
    </row>
    <row r="405" spans="1:8" ht="13.5" customHeight="1">
      <c r="A405" s="471">
        <v>7401</v>
      </c>
      <c r="B405" s="540" t="s">
        <v>761</v>
      </c>
      <c r="C405" s="471" t="s">
        <v>762</v>
      </c>
      <c r="D405" s="456" t="str">
        <f>IF(Table11[[#This Row],[Current Age]]&gt;19,"Women's",IF(E405&gt;15,"U19",IF(E405&gt;13,"U15",IF(E405&gt;11,"U13",IF(E405&gt;0,"U11",0)))))</f>
        <v>Women's</v>
      </c>
      <c r="E405" s="456">
        <f>IFERROR(IF(Table11[[#This Row],[Year]]&gt;0,$E$1-Table11[[#This Row],[Year]],0),"")</f>
        <v>21</v>
      </c>
      <c r="F405" s="456">
        <v>2004</v>
      </c>
      <c r="G405" s="456">
        <v>8</v>
      </c>
      <c r="H405" s="456">
        <v>20</v>
      </c>
    </row>
    <row r="406" spans="1:8" ht="13.5" customHeight="1">
      <c r="A406" s="456">
        <v>7402</v>
      </c>
      <c r="B406" s="457" t="s">
        <v>763</v>
      </c>
      <c r="C406" s="456" t="s">
        <v>762</v>
      </c>
      <c r="D406" s="456">
        <f>IF(Table11[[#This Row],[Current Age]]&gt;19,"Women's",IF(E406&gt;15,"U19",IF(E406&gt;13,"U15",IF(E406&gt;11,"U13",IF(E406&gt;0,"U11",0)))))</f>
        <v>0</v>
      </c>
      <c r="E406" s="456">
        <f>IFERROR(IF(Table11[[#This Row],[Year]]&gt;0,$E$1-Table11[[#This Row],[Year]],0),"")</f>
        <v>0</v>
      </c>
      <c r="F406" s="456"/>
      <c r="G406" s="456"/>
      <c r="H406" s="456"/>
    </row>
    <row r="407" spans="1:8" ht="13.5" customHeight="1">
      <c r="A407" s="471">
        <v>7403</v>
      </c>
      <c r="B407" s="540" t="s">
        <v>764</v>
      </c>
      <c r="C407" s="471" t="s">
        <v>246</v>
      </c>
      <c r="D407" s="456">
        <f>IF(Table11[[#This Row],[Current Age]]&gt;19,"Women's",IF(E407&gt;15,"U19",IF(E407&gt;13,"U15",IF(E407&gt;11,"U13",IF(E407&gt;0,"U11",0)))))</f>
        <v>0</v>
      </c>
      <c r="E407" s="456">
        <f>IFERROR(IF(Table11[[#This Row],[Year]]&gt;0,$E$1-Table11[[#This Row],[Year]],0),"")</f>
        <v>0</v>
      </c>
      <c r="F407" s="456"/>
      <c r="G407" s="456"/>
      <c r="H407" s="456"/>
    </row>
    <row r="408" spans="1:8" ht="13.5" customHeight="1">
      <c r="A408" s="456">
        <v>7404</v>
      </c>
      <c r="B408" s="457" t="s">
        <v>765</v>
      </c>
      <c r="C408" s="456" t="s">
        <v>246</v>
      </c>
      <c r="D408" s="456">
        <f>IF(Table11[[#This Row],[Current Age]]&gt;19,"Women's",IF(E408&gt;15,"U19",IF(E408&gt;13,"U15",IF(E408&gt;11,"U13",IF(E408&gt;0,"U11",0)))))</f>
        <v>0</v>
      </c>
      <c r="E408" s="456">
        <f>IFERROR(IF(Table11[[#This Row],[Year]]&gt;0,$E$1-Table11[[#This Row],[Year]],0),"")</f>
        <v>0</v>
      </c>
      <c r="F408" s="456"/>
      <c r="G408" s="456"/>
      <c r="H408" s="456"/>
    </row>
    <row r="409" spans="1:8" ht="13.5" customHeight="1">
      <c r="A409" s="471">
        <v>7405</v>
      </c>
      <c r="B409" s="540" t="s">
        <v>766</v>
      </c>
      <c r="C409" s="471" t="s">
        <v>246</v>
      </c>
      <c r="D409" s="456">
        <f>IF(Table11[[#This Row],[Current Age]]&gt;19,"Women's",IF(E409&gt;15,"U19",IF(E409&gt;13,"U15",IF(E409&gt;11,"U13",IF(E409&gt;0,"U11",0)))))</f>
        <v>0</v>
      </c>
      <c r="E409" s="456">
        <f>IFERROR(IF(Table11[[#This Row],[Year]]&gt;0,$E$1-Table11[[#This Row],[Year]],0),"")</f>
        <v>0</v>
      </c>
      <c r="F409" s="456"/>
      <c r="G409" s="456"/>
      <c r="H409" s="456"/>
    </row>
    <row r="410" spans="1:8" ht="13.5" customHeight="1">
      <c r="A410" s="456">
        <v>7406</v>
      </c>
      <c r="B410" s="457" t="s">
        <v>767</v>
      </c>
      <c r="C410" s="456" t="s">
        <v>246</v>
      </c>
      <c r="D410" s="456">
        <f>IF(Table11[[#This Row],[Current Age]]&gt;19,"Women's",IF(E410&gt;15,"U19",IF(E410&gt;13,"U15",IF(E410&gt;11,"U13",IF(E410&gt;0,"U11",0)))))</f>
        <v>0</v>
      </c>
      <c r="E410" s="456">
        <f>IFERROR(IF(Table11[[#This Row],[Year]]&gt;0,$E$1-Table11[[#This Row],[Year]],0),"")</f>
        <v>0</v>
      </c>
      <c r="F410" s="456"/>
      <c r="G410" s="456"/>
      <c r="H410" s="456"/>
    </row>
    <row r="411" spans="1:8" ht="13.5" customHeight="1">
      <c r="A411" s="471">
        <v>7407</v>
      </c>
      <c r="B411" s="540" t="s">
        <v>768</v>
      </c>
      <c r="C411" s="471" t="s">
        <v>246</v>
      </c>
      <c r="D411" s="456">
        <f>IF(Table11[[#This Row],[Current Age]]&gt;19,"Women's",IF(E411&gt;15,"U19",IF(E411&gt;13,"U15",IF(E411&gt;11,"U13",IF(E411&gt;0,"U11",0)))))</f>
        <v>0</v>
      </c>
      <c r="E411" s="456">
        <f>IFERROR(IF(Table11[[#This Row],[Year]]&gt;0,$E$1-Table11[[#This Row],[Year]],0),"")</f>
        <v>0</v>
      </c>
      <c r="F411" s="456"/>
      <c r="G411" s="456"/>
      <c r="H411" s="456"/>
    </row>
    <row r="412" spans="1:8" ht="13.5" customHeight="1">
      <c r="A412" s="456">
        <v>7408</v>
      </c>
      <c r="B412" s="457" t="s">
        <v>527</v>
      </c>
      <c r="C412" s="456" t="s">
        <v>246</v>
      </c>
      <c r="D412" s="456">
        <f>IF(Table11[[#This Row],[Current Age]]&gt;19,"Women's",IF(E412&gt;15,"U19",IF(E412&gt;13,"U15",IF(E412&gt;11,"U13",IF(E412&gt;0,"U11",0)))))</f>
        <v>0</v>
      </c>
      <c r="E412" s="456">
        <f>IFERROR(IF(Table11[[#This Row],[Year]]&gt;0,$E$1-Table11[[#This Row],[Year]],0),"")</f>
        <v>0</v>
      </c>
      <c r="F412" s="456"/>
      <c r="G412" s="456"/>
      <c r="H412" s="456"/>
    </row>
    <row r="413" spans="1:8" ht="13.5" customHeight="1">
      <c r="A413" s="471">
        <v>7409</v>
      </c>
      <c r="B413" s="540" t="s">
        <v>769</v>
      </c>
      <c r="C413" s="471" t="s">
        <v>246</v>
      </c>
      <c r="D413" s="456">
        <f>IF(Table11[[#This Row],[Current Age]]&gt;19,"Women's",IF(E413&gt;15,"U19",IF(E413&gt;13,"U15",IF(E413&gt;11,"U13",IF(E413&gt;0,"U11",0)))))</f>
        <v>0</v>
      </c>
      <c r="E413" s="456">
        <f>IFERROR(IF(Table11[[#This Row],[Year]]&gt;0,$E$1-Table11[[#This Row],[Year]],0),"")</f>
        <v>0</v>
      </c>
      <c r="F413" s="456"/>
      <c r="G413" s="456"/>
      <c r="H413" s="456"/>
    </row>
    <row r="414" spans="1:8" ht="13.5" customHeight="1">
      <c r="A414" s="456">
        <v>7410</v>
      </c>
      <c r="B414" s="457" t="s">
        <v>770</v>
      </c>
      <c r="C414" s="456" t="s">
        <v>246</v>
      </c>
      <c r="D414" s="456">
        <f>IF(Table11[[#This Row],[Current Age]]&gt;19,"Women's",IF(E414&gt;15,"U19",IF(E414&gt;13,"U15",IF(E414&gt;11,"U13",IF(E414&gt;0,"U11",0)))))</f>
        <v>0</v>
      </c>
      <c r="E414" s="456">
        <f>IFERROR(IF(Table11[[#This Row],[Year]]&gt;0,$E$1-Table11[[#This Row],[Year]],0),"")</f>
        <v>0</v>
      </c>
      <c r="F414" s="456"/>
      <c r="G414" s="456"/>
      <c r="H414" s="456"/>
    </row>
    <row r="415" spans="1:8" ht="13.5" customHeight="1">
      <c r="A415" s="471">
        <v>7411</v>
      </c>
      <c r="B415" s="540" t="s">
        <v>771</v>
      </c>
      <c r="C415" s="471" t="s">
        <v>246</v>
      </c>
      <c r="D415" s="456">
        <f>IF(Table11[[#This Row],[Current Age]]&gt;19,"Women's",IF(E415&gt;15,"U19",IF(E415&gt;13,"U15",IF(E415&gt;11,"U13",IF(E415&gt;0,"U11",0)))))</f>
        <v>0</v>
      </c>
      <c r="E415" s="456">
        <f>IFERROR(IF(Table11[[#This Row],[Year]]&gt;0,$E$1-Table11[[#This Row],[Year]],0),"")</f>
        <v>0</v>
      </c>
      <c r="F415" s="456"/>
      <c r="G415" s="456"/>
      <c r="H415" s="456"/>
    </row>
    <row r="416" spans="1:8" ht="13.5" customHeight="1">
      <c r="A416" s="456">
        <v>7412</v>
      </c>
      <c r="B416" s="457" t="s">
        <v>772</v>
      </c>
      <c r="C416" s="456" t="s">
        <v>246</v>
      </c>
      <c r="D416" s="456">
        <f>IF(Table11[[#This Row],[Current Age]]&gt;19,"Women's",IF(E416&gt;15,"U19",IF(E416&gt;13,"U15",IF(E416&gt;11,"U13",IF(E416&gt;0,"U11",0)))))</f>
        <v>0</v>
      </c>
      <c r="E416" s="456">
        <f>IFERROR(IF(Table11[[#This Row],[Year]]&gt;0,$E$1-Table11[[#This Row],[Year]],0),"")</f>
        <v>0</v>
      </c>
      <c r="F416" s="456"/>
      <c r="G416" s="456"/>
      <c r="H416" s="456"/>
    </row>
    <row r="417" spans="1:8" ht="13.5" customHeight="1">
      <c r="A417" s="471">
        <v>7413</v>
      </c>
      <c r="B417" s="540" t="s">
        <v>773</v>
      </c>
      <c r="C417" s="471" t="s">
        <v>246</v>
      </c>
      <c r="D417" s="456">
        <f>IF(Table11[[#This Row],[Current Age]]&gt;19,"Women's",IF(E417&gt;15,"U19",IF(E417&gt;13,"U15",IF(E417&gt;11,"U13",IF(E417&gt;0,"U11",0)))))</f>
        <v>0</v>
      </c>
      <c r="E417" s="456">
        <f>IFERROR(IF(Table11[[#This Row],[Year]]&gt;0,$E$1-Table11[[#This Row],[Year]],0),"")</f>
        <v>0</v>
      </c>
      <c r="F417" s="456"/>
      <c r="G417" s="456"/>
      <c r="H417" s="456"/>
    </row>
    <row r="418" spans="1:8" ht="13.5" customHeight="1">
      <c r="A418" s="456">
        <v>7414</v>
      </c>
      <c r="B418" s="457" t="s">
        <v>774</v>
      </c>
      <c r="C418" s="456" t="s">
        <v>246</v>
      </c>
      <c r="D418" s="456">
        <f>IF(Table11[[#This Row],[Current Age]]&gt;19,"Women's",IF(E418&gt;15,"U19",IF(E418&gt;13,"U15",IF(E418&gt;11,"U13",IF(E418&gt;0,"U11",0)))))</f>
        <v>0</v>
      </c>
      <c r="E418" s="456">
        <f>IFERROR(IF(Table11[[#This Row],[Year]]&gt;0,$E$1-Table11[[#This Row],[Year]],0),"")</f>
        <v>0</v>
      </c>
      <c r="F418" s="456"/>
      <c r="G418" s="456"/>
      <c r="H418" s="456"/>
    </row>
    <row r="419" spans="1:8" ht="13.5" customHeight="1">
      <c r="A419" s="471">
        <v>7415</v>
      </c>
      <c r="B419" s="540" t="s">
        <v>775</v>
      </c>
      <c r="C419" s="471" t="s">
        <v>246</v>
      </c>
      <c r="D419" s="456">
        <f>IF(Table11[[#This Row],[Current Age]]&gt;19,"Women's",IF(E419&gt;15,"U19",IF(E419&gt;13,"U15",IF(E419&gt;11,"U13",IF(E419&gt;0,"U11",0)))))</f>
        <v>0</v>
      </c>
      <c r="E419" s="456">
        <f>IFERROR(IF(Table11[[#This Row],[Year]]&gt;0,$E$1-Table11[[#This Row],[Year]],0),"")</f>
        <v>0</v>
      </c>
      <c r="F419" s="456"/>
      <c r="G419" s="456"/>
      <c r="H419" s="456"/>
    </row>
    <row r="420" spans="1:8" ht="13.5" customHeight="1">
      <c r="A420" s="456">
        <v>7416</v>
      </c>
      <c r="B420" s="457" t="s">
        <v>547</v>
      </c>
      <c r="C420" s="456" t="s">
        <v>246</v>
      </c>
      <c r="D420" s="456">
        <f>IF(Table11[[#This Row],[Current Age]]&gt;19,"Women's",IF(E420&gt;15,"U19",IF(E420&gt;13,"U15",IF(E420&gt;11,"U13",IF(E420&gt;0,"U11",0)))))</f>
        <v>0</v>
      </c>
      <c r="E420" s="456">
        <f>IFERROR(IF(Table11[[#This Row],[Year]]&gt;0,$E$1-Table11[[#This Row],[Year]],0),"")</f>
        <v>0</v>
      </c>
      <c r="F420" s="456"/>
      <c r="G420" s="456"/>
      <c r="H420" s="456"/>
    </row>
    <row r="421" spans="1:8" ht="13.5" customHeight="1">
      <c r="A421" s="471">
        <v>7417</v>
      </c>
      <c r="B421" s="540" t="s">
        <v>776</v>
      </c>
      <c r="C421" s="471" t="s">
        <v>246</v>
      </c>
      <c r="D421" s="456">
        <f>IF(Table11[[#This Row],[Current Age]]&gt;19,"Women's",IF(E421&gt;15,"U19",IF(E421&gt;13,"U15",IF(E421&gt;11,"U13",IF(E421&gt;0,"U11",0)))))</f>
        <v>0</v>
      </c>
      <c r="E421" s="456">
        <f>IFERROR(IF(Table11[[#This Row],[Year]]&gt;0,$E$1-Table11[[#This Row],[Year]],0),"")</f>
        <v>0</v>
      </c>
      <c r="F421" s="456"/>
      <c r="G421" s="456"/>
      <c r="H421" s="456"/>
    </row>
    <row r="422" spans="1:8" ht="13.5" customHeight="1">
      <c r="A422" s="456">
        <v>7418</v>
      </c>
      <c r="B422" s="457" t="s">
        <v>777</v>
      </c>
      <c r="C422" s="456" t="s">
        <v>246</v>
      </c>
      <c r="D422" s="456">
        <f>IF(Table11[[#This Row],[Current Age]]&gt;19,"Women's",IF(E422&gt;15,"U19",IF(E422&gt;13,"U15",IF(E422&gt;11,"U13",IF(E422&gt;0,"U11",0)))))</f>
        <v>0</v>
      </c>
      <c r="E422" s="456">
        <f>IFERROR(IF(Table11[[#This Row],[Year]]&gt;0,$E$1-Table11[[#This Row],[Year]],0),"")</f>
        <v>0</v>
      </c>
      <c r="F422" s="456"/>
      <c r="G422" s="456"/>
      <c r="H422" s="456"/>
    </row>
    <row r="423" spans="1:8" ht="13.5" customHeight="1">
      <c r="A423" s="471">
        <v>7419</v>
      </c>
      <c r="B423" s="540" t="s">
        <v>778</v>
      </c>
      <c r="C423" s="471" t="s">
        <v>246</v>
      </c>
      <c r="D423" s="456">
        <f>IF(Table11[[#This Row],[Current Age]]&gt;19,"Women's",IF(E423&gt;15,"U19",IF(E423&gt;13,"U15",IF(E423&gt;11,"U13",IF(E423&gt;0,"U11",0)))))</f>
        <v>0</v>
      </c>
      <c r="E423" s="456">
        <f>IFERROR(IF(Table11[[#This Row],[Year]]&gt;0,$E$1-Table11[[#This Row],[Year]],0),"")</f>
        <v>0</v>
      </c>
      <c r="F423" s="456"/>
      <c r="G423" s="456"/>
      <c r="H423" s="456"/>
    </row>
    <row r="424" spans="1:8" ht="13.5" customHeight="1">
      <c r="A424" s="456">
        <v>7420</v>
      </c>
      <c r="B424" s="457" t="s">
        <v>779</v>
      </c>
      <c r="C424" s="456" t="s">
        <v>246</v>
      </c>
      <c r="D424" s="456">
        <f>IF(Table11[[#This Row],[Current Age]]&gt;19,"Women's",IF(E424&gt;15,"U19",IF(E424&gt;13,"U15",IF(E424&gt;11,"U13",IF(E424&gt;0,"U11",0)))))</f>
        <v>0</v>
      </c>
      <c r="E424" s="456">
        <f>IFERROR(IF(Table11[[#This Row],[Year]]&gt;0,$E$1-Table11[[#This Row],[Year]],0),"")</f>
        <v>0</v>
      </c>
      <c r="F424" s="456"/>
      <c r="G424" s="456"/>
      <c r="H424" s="456"/>
    </row>
    <row r="425" spans="1:8" ht="13.5" customHeight="1">
      <c r="A425" s="471">
        <v>7421</v>
      </c>
      <c r="B425" s="540" t="s">
        <v>780</v>
      </c>
      <c r="C425" s="471" t="s">
        <v>246</v>
      </c>
      <c r="D425" s="456">
        <f>IF(Table11[[#This Row],[Current Age]]&gt;19,"Women's",IF(E425&gt;15,"U19",IF(E425&gt;13,"U15",IF(E425&gt;11,"U13",IF(E425&gt;0,"U11",0)))))</f>
        <v>0</v>
      </c>
      <c r="E425" s="456">
        <f>IFERROR(IF(Table11[[#This Row],[Year]]&gt;0,$E$1-Table11[[#This Row],[Year]],0),"")</f>
        <v>0</v>
      </c>
      <c r="F425" s="456"/>
      <c r="G425" s="456"/>
      <c r="H425" s="456"/>
    </row>
    <row r="426" spans="1:8" ht="13.5" customHeight="1">
      <c r="A426" s="456">
        <v>7422</v>
      </c>
      <c r="B426" s="457" t="s">
        <v>781</v>
      </c>
      <c r="C426" s="456" t="s">
        <v>246</v>
      </c>
      <c r="D426" s="456">
        <f>IF(Table11[[#This Row],[Current Age]]&gt;19,"Women's",IF(E426&gt;15,"U19",IF(E426&gt;13,"U15",IF(E426&gt;11,"U13",IF(E426&gt;0,"U11",0)))))</f>
        <v>0</v>
      </c>
      <c r="E426" s="456">
        <f>IFERROR(IF(Table11[[#This Row],[Year]]&gt;0,$E$1-Table11[[#This Row],[Year]],0),"")</f>
        <v>0</v>
      </c>
      <c r="F426" s="456"/>
      <c r="G426" s="456"/>
      <c r="H426" s="456"/>
    </row>
    <row r="427" spans="1:8" ht="13.5" customHeight="1">
      <c r="A427" s="471">
        <v>7423</v>
      </c>
      <c r="B427" s="540" t="s">
        <v>782</v>
      </c>
      <c r="C427" s="471" t="s">
        <v>246</v>
      </c>
      <c r="D427" s="456">
        <f>IF(Table11[[#This Row],[Current Age]]&gt;19,"Women's",IF(E427&gt;15,"U19",IF(E427&gt;13,"U15",IF(E427&gt;11,"U13",IF(E427&gt;0,"U11",0)))))</f>
        <v>0</v>
      </c>
      <c r="E427" s="456">
        <f>IFERROR(IF(Table11[[#This Row],[Year]]&gt;0,$E$1-Table11[[#This Row],[Year]],0),"")</f>
        <v>0</v>
      </c>
      <c r="F427" s="456"/>
      <c r="G427" s="456"/>
      <c r="H427" s="456"/>
    </row>
    <row r="428" spans="1:8" ht="13.5" customHeight="1">
      <c r="A428" s="456">
        <v>7424</v>
      </c>
      <c r="B428" s="457" t="s">
        <v>783</v>
      </c>
      <c r="C428" s="456" t="s">
        <v>246</v>
      </c>
      <c r="D428" s="456">
        <f>IF(Table11[[#This Row],[Current Age]]&gt;19,"Women's",IF(E428&gt;15,"U19",IF(E428&gt;13,"U15",IF(E428&gt;11,"U13",IF(E428&gt;0,"U11",0)))))</f>
        <v>0</v>
      </c>
      <c r="E428" s="456">
        <f>IFERROR(IF(Table11[[#This Row],[Year]]&gt;0,$E$1-Table11[[#This Row],[Year]],0),"")</f>
        <v>0</v>
      </c>
      <c r="F428" s="456"/>
      <c r="G428" s="456"/>
      <c r="H428" s="456"/>
    </row>
    <row r="429" spans="1:8" ht="13.5" customHeight="1">
      <c r="A429" s="471">
        <v>7425</v>
      </c>
      <c r="B429" s="540" t="s">
        <v>784</v>
      </c>
      <c r="C429" s="471" t="s">
        <v>246</v>
      </c>
      <c r="D429" s="456">
        <f>IF(Table11[[#This Row],[Current Age]]&gt;19,"Women's",IF(E429&gt;15,"U19",IF(E429&gt;13,"U15",IF(E429&gt;11,"U13",IF(E429&gt;0,"U11",0)))))</f>
        <v>0</v>
      </c>
      <c r="E429" s="456">
        <f>IFERROR(IF(Table11[[#This Row],[Year]]&gt;0,$E$1-Table11[[#This Row],[Year]],0),"")</f>
        <v>0</v>
      </c>
      <c r="F429" s="456"/>
      <c r="G429" s="456"/>
      <c r="H429" s="456"/>
    </row>
    <row r="430" spans="1:8" ht="13.5" customHeight="1">
      <c r="A430" s="456">
        <v>7426</v>
      </c>
      <c r="B430" s="457" t="s">
        <v>785</v>
      </c>
      <c r="C430" s="456" t="s">
        <v>246</v>
      </c>
      <c r="D430" s="456">
        <f>IF(Table11[[#This Row],[Current Age]]&gt;19,"Women's",IF(E430&gt;15,"U19",IF(E430&gt;13,"U15",IF(E430&gt;11,"U13",IF(E430&gt;0,"U11",0)))))</f>
        <v>0</v>
      </c>
      <c r="E430" s="456">
        <f>IFERROR(IF(Table11[[#This Row],[Year]]&gt;0,$E$1-Table11[[#This Row],[Year]],0),"")</f>
        <v>0</v>
      </c>
      <c r="F430" s="456"/>
      <c r="G430" s="456"/>
      <c r="H430" s="456"/>
    </row>
    <row r="431" spans="1:8" ht="13.5" customHeight="1">
      <c r="A431" s="471">
        <v>7427</v>
      </c>
      <c r="B431" s="540" t="s">
        <v>786</v>
      </c>
      <c r="C431" s="471" t="s">
        <v>246</v>
      </c>
      <c r="D431" s="456">
        <f>IF(Table11[[#This Row],[Current Age]]&gt;19,"Women's",IF(E431&gt;15,"U19",IF(E431&gt;13,"U15",IF(E431&gt;11,"U13",IF(E431&gt;0,"U11",0)))))</f>
        <v>0</v>
      </c>
      <c r="E431" s="456">
        <f>IFERROR(IF(Table11[[#This Row],[Year]]&gt;0,$E$1-Table11[[#This Row],[Year]],0),"")</f>
        <v>0</v>
      </c>
      <c r="F431" s="456"/>
      <c r="G431" s="456"/>
      <c r="H431" s="456"/>
    </row>
    <row r="432" spans="1:8" ht="13.5" customHeight="1">
      <c r="A432" s="456">
        <v>7428</v>
      </c>
      <c r="B432" s="457" t="s">
        <v>787</v>
      </c>
      <c r="C432" s="456" t="s">
        <v>246</v>
      </c>
      <c r="D432" s="456">
        <f>IF(Table11[[#This Row],[Current Age]]&gt;19,"Women's",IF(E432&gt;15,"U19",IF(E432&gt;13,"U15",IF(E432&gt;11,"U13",IF(E432&gt;0,"U11",0)))))</f>
        <v>0</v>
      </c>
      <c r="E432" s="456">
        <f>IFERROR(IF(Table11[[#This Row],[Year]]&gt;0,$E$1-Table11[[#This Row],[Year]],0),"")</f>
        <v>0</v>
      </c>
      <c r="F432" s="456"/>
      <c r="G432" s="456"/>
      <c r="H432" s="456"/>
    </row>
    <row r="433" spans="1:8" ht="13.5" customHeight="1">
      <c r="A433" s="471">
        <v>7429</v>
      </c>
      <c r="B433" s="540" t="s">
        <v>788</v>
      </c>
      <c r="C433" s="471" t="s">
        <v>246</v>
      </c>
      <c r="D433" s="456">
        <f>IF(Table11[[#This Row],[Current Age]]&gt;19,"Women's",IF(E433&gt;15,"U19",IF(E433&gt;13,"U15",IF(E433&gt;11,"U13",IF(E433&gt;0,"U11",0)))))</f>
        <v>0</v>
      </c>
      <c r="E433" s="456">
        <f>IFERROR(IF(Table11[[#This Row],[Year]]&gt;0,$E$1-Table11[[#This Row],[Year]],0),"")</f>
        <v>0</v>
      </c>
      <c r="F433" s="456"/>
      <c r="G433" s="456"/>
      <c r="H433" s="456"/>
    </row>
    <row r="434" spans="1:8" ht="13.5" customHeight="1">
      <c r="A434" s="456">
        <v>7430</v>
      </c>
      <c r="B434" s="457" t="s">
        <v>789</v>
      </c>
      <c r="C434" s="456" t="s">
        <v>246</v>
      </c>
      <c r="D434" s="456">
        <f>IF(Table11[[#This Row],[Current Age]]&gt;19,"Women's",IF(E434&gt;15,"U19",IF(E434&gt;13,"U15",IF(E434&gt;11,"U13",IF(E434&gt;0,"U11",0)))))</f>
        <v>0</v>
      </c>
      <c r="E434" s="456">
        <f>IFERROR(IF(Table11[[#This Row],[Year]]&gt;0,$E$1-Table11[[#This Row],[Year]],0),"")</f>
        <v>0</v>
      </c>
      <c r="F434" s="456"/>
      <c r="G434" s="456"/>
      <c r="H434" s="456"/>
    </row>
    <row r="435" spans="1:8" ht="13.5" customHeight="1">
      <c r="A435" s="471">
        <v>7431</v>
      </c>
      <c r="B435" s="540" t="s">
        <v>790</v>
      </c>
      <c r="C435" s="471" t="s">
        <v>246</v>
      </c>
      <c r="D435" s="456">
        <f>IF(Table11[[#This Row],[Current Age]]&gt;19,"Women's",IF(E435&gt;15,"U19",IF(E435&gt;13,"U15",IF(E435&gt;11,"U13",IF(E435&gt;0,"U11",0)))))</f>
        <v>0</v>
      </c>
      <c r="E435" s="456">
        <f>IFERROR(IF(Table11[[#This Row],[Year]]&gt;0,$E$1-Table11[[#This Row],[Year]],0),"")</f>
        <v>0</v>
      </c>
      <c r="F435" s="456"/>
      <c r="G435" s="456"/>
      <c r="H435" s="456"/>
    </row>
    <row r="436" spans="1:8" ht="13.5" customHeight="1">
      <c r="A436" s="456">
        <v>7432</v>
      </c>
      <c r="B436" s="457" t="s">
        <v>791</v>
      </c>
      <c r="C436" s="456" t="s">
        <v>246</v>
      </c>
      <c r="D436" s="456">
        <f>IF(Table11[[#This Row],[Current Age]]&gt;19,"Women's",IF(E436&gt;15,"U19",IF(E436&gt;13,"U15",IF(E436&gt;11,"U13",IF(E436&gt;0,"U11",0)))))</f>
        <v>0</v>
      </c>
      <c r="E436" s="456">
        <f>IFERROR(IF(Table11[[#This Row],[Year]]&gt;0,$E$1-Table11[[#This Row],[Year]],0),"")</f>
        <v>0</v>
      </c>
      <c r="F436" s="456"/>
      <c r="G436" s="456"/>
      <c r="H436" s="456"/>
    </row>
    <row r="437" spans="1:8" ht="13.5" customHeight="1">
      <c r="A437" s="471">
        <v>7433</v>
      </c>
      <c r="B437" s="540" t="s">
        <v>792</v>
      </c>
      <c r="C437" s="471" t="s">
        <v>246</v>
      </c>
      <c r="D437" s="456">
        <f>IF(Table11[[#This Row],[Current Age]]&gt;19,"Women's",IF(E437&gt;15,"U19",IF(E437&gt;13,"U15",IF(E437&gt;11,"U13",IF(E437&gt;0,"U11",0)))))</f>
        <v>0</v>
      </c>
      <c r="E437" s="456">
        <f>IFERROR(IF(Table11[[#This Row],[Year]]&gt;0,$E$1-Table11[[#This Row],[Year]],0),"")</f>
        <v>0</v>
      </c>
      <c r="F437" s="456"/>
      <c r="G437" s="456"/>
      <c r="H437" s="456"/>
    </row>
    <row r="438" spans="1:8" ht="13.5" customHeight="1">
      <c r="A438" s="456">
        <v>7434</v>
      </c>
      <c r="B438" s="457" t="s">
        <v>793</v>
      </c>
      <c r="C438" s="456" t="s">
        <v>246</v>
      </c>
      <c r="D438" s="456">
        <f>IF(Table11[[#This Row],[Current Age]]&gt;19,"Women's",IF(E438&gt;15,"U19",IF(E438&gt;13,"U15",IF(E438&gt;11,"U13",IF(E438&gt;0,"U11",0)))))</f>
        <v>0</v>
      </c>
      <c r="E438" s="456">
        <f>IFERROR(IF(Table11[[#This Row],[Year]]&gt;0,$E$1-Table11[[#This Row],[Year]],0),"")</f>
        <v>0</v>
      </c>
      <c r="F438" s="456"/>
      <c r="G438" s="456"/>
      <c r="H438" s="456"/>
    </row>
    <row r="439" spans="1:8" ht="13.5" customHeight="1">
      <c r="A439" s="471">
        <v>7435</v>
      </c>
      <c r="B439" s="540" t="s">
        <v>794</v>
      </c>
      <c r="C439" s="471" t="s">
        <v>246</v>
      </c>
      <c r="D439" s="456">
        <f>IF(Table11[[#This Row],[Current Age]]&gt;19,"Women's",IF(E439&gt;15,"U19",IF(E439&gt;13,"U15",IF(E439&gt;11,"U13",IF(E439&gt;0,"U11",0)))))</f>
        <v>0</v>
      </c>
      <c r="E439" s="456">
        <f>IFERROR(IF(Table11[[#This Row],[Year]]&gt;0,$E$1-Table11[[#This Row],[Year]],0),"")</f>
        <v>0</v>
      </c>
      <c r="F439" s="456"/>
      <c r="G439" s="456"/>
      <c r="H439" s="456"/>
    </row>
    <row r="440" spans="1:8" ht="13.5" customHeight="1">
      <c r="A440" s="456">
        <v>7436</v>
      </c>
      <c r="B440" s="457" t="s">
        <v>795</v>
      </c>
      <c r="C440" s="456" t="s">
        <v>246</v>
      </c>
      <c r="D440" s="456">
        <f>IF(Table11[[#This Row],[Current Age]]&gt;19,"Women's",IF(E440&gt;15,"U19",IF(E440&gt;13,"U15",IF(E440&gt;11,"U13",IF(E440&gt;0,"U11",0)))))</f>
        <v>0</v>
      </c>
      <c r="E440" s="456">
        <f>IFERROR(IF(Table11[[#This Row],[Year]]&gt;0,$E$1-Table11[[#This Row],[Year]],0),"")</f>
        <v>0</v>
      </c>
      <c r="F440" s="456"/>
      <c r="G440" s="456"/>
      <c r="H440" s="456"/>
    </row>
    <row r="441" spans="1:8" ht="13.5" customHeight="1">
      <c r="A441" s="471">
        <v>7437</v>
      </c>
      <c r="B441" s="540" t="s">
        <v>5163</v>
      </c>
      <c r="C441" s="471" t="s">
        <v>246</v>
      </c>
      <c r="D441" s="456">
        <f>IF(Table11[[#This Row],[Current Age]]&gt;19,"Women's",IF(E441&gt;15,"U19",IF(E441&gt;13,"U15",IF(E441&gt;11,"U13",IF(E441&gt;0,"U11",0)))))</f>
        <v>0</v>
      </c>
      <c r="E441" s="456">
        <f>IFERROR(IF(Table11[[#This Row],[Year]]&gt;0,$E$1-Table11[[#This Row],[Year]],0),"")</f>
        <v>0</v>
      </c>
      <c r="F441" s="456"/>
      <c r="G441" s="456"/>
      <c r="H441" s="456"/>
    </row>
    <row r="442" spans="1:8" ht="13.5" customHeight="1">
      <c r="A442" s="456">
        <v>7438</v>
      </c>
      <c r="B442" s="457" t="s">
        <v>796</v>
      </c>
      <c r="C442" s="456" t="s">
        <v>246</v>
      </c>
      <c r="D442" s="456">
        <f>IF(Table11[[#This Row],[Current Age]]&gt;19,"Women's",IF(E442&gt;15,"U19",IF(E442&gt;13,"U15",IF(E442&gt;11,"U13",IF(E442&gt;0,"U11",0)))))</f>
        <v>0</v>
      </c>
      <c r="E442" s="456">
        <f>IFERROR(IF(Table11[[#This Row],[Year]]&gt;0,$E$1-Table11[[#This Row],[Year]],0),"")</f>
        <v>0</v>
      </c>
      <c r="F442" s="456"/>
      <c r="G442" s="456"/>
      <c r="H442" s="456"/>
    </row>
    <row r="443" spans="1:8" ht="13.5" customHeight="1">
      <c r="A443" s="471">
        <v>7439</v>
      </c>
      <c r="B443" s="540" t="s">
        <v>797</v>
      </c>
      <c r="C443" s="471" t="s">
        <v>246</v>
      </c>
      <c r="D443" s="456">
        <f>IF(Table11[[#This Row],[Current Age]]&gt;19,"Women's",IF(E443&gt;15,"U19",IF(E443&gt;13,"U15",IF(E443&gt;11,"U13",IF(E443&gt;0,"U11",0)))))</f>
        <v>0</v>
      </c>
      <c r="E443" s="456">
        <f>IFERROR(IF(Table11[[#This Row],[Year]]&gt;0,$E$1-Table11[[#This Row],[Year]],0),"")</f>
        <v>0</v>
      </c>
      <c r="F443" s="456"/>
      <c r="G443" s="456"/>
      <c r="H443" s="456"/>
    </row>
    <row r="444" spans="1:8" ht="13.5" customHeight="1">
      <c r="A444" s="456">
        <v>7440</v>
      </c>
      <c r="B444" s="457" t="s">
        <v>798</v>
      </c>
      <c r="C444" s="456" t="s">
        <v>246</v>
      </c>
      <c r="D444" s="456">
        <f>IF(Table11[[#This Row],[Current Age]]&gt;19,"Women's",IF(E444&gt;15,"U19",IF(E444&gt;13,"U15",IF(E444&gt;11,"U13",IF(E444&gt;0,"U11",0)))))</f>
        <v>0</v>
      </c>
      <c r="E444" s="456">
        <f>IFERROR(IF(Table11[[#This Row],[Year]]&gt;0,$E$1-Table11[[#This Row],[Year]],0),"")</f>
        <v>0</v>
      </c>
      <c r="F444" s="456"/>
      <c r="G444" s="456"/>
      <c r="H444" s="456"/>
    </row>
    <row r="445" spans="1:8" ht="13.5" customHeight="1">
      <c r="A445" s="471">
        <v>7441</v>
      </c>
      <c r="B445" s="540" t="s">
        <v>799</v>
      </c>
      <c r="C445" s="471" t="s">
        <v>246</v>
      </c>
      <c r="D445" s="456">
        <f>IF(Table11[[#This Row],[Current Age]]&gt;19,"Women's",IF(E445&gt;15,"U19",IF(E445&gt;13,"U15",IF(E445&gt;11,"U13",IF(E445&gt;0,"U11",0)))))</f>
        <v>0</v>
      </c>
      <c r="E445" s="456">
        <f>IFERROR(IF(Table11[[#This Row],[Year]]&gt;0,$E$1-Table11[[#This Row],[Year]],0),"")</f>
        <v>0</v>
      </c>
      <c r="F445" s="456"/>
      <c r="G445" s="456"/>
      <c r="H445" s="456"/>
    </row>
    <row r="446" spans="1:8" ht="13.5" customHeight="1">
      <c r="A446" s="456">
        <v>7442</v>
      </c>
      <c r="B446" s="457" t="s">
        <v>800</v>
      </c>
      <c r="C446" s="456" t="s">
        <v>246</v>
      </c>
      <c r="D446" s="456">
        <f>IF(Table11[[#This Row],[Current Age]]&gt;19,"Women's",IF(E446&gt;15,"U19",IF(E446&gt;13,"U15",IF(E446&gt;11,"U13",IF(E446&gt;0,"U11",0)))))</f>
        <v>0</v>
      </c>
      <c r="E446" s="456">
        <f>IFERROR(IF(Table11[[#This Row],[Year]]&gt;0,$E$1-Table11[[#This Row],[Year]],0),"")</f>
        <v>0</v>
      </c>
      <c r="F446" s="456"/>
      <c r="G446" s="456"/>
      <c r="H446" s="456"/>
    </row>
    <row r="447" spans="1:8" ht="13.5" customHeight="1">
      <c r="A447" s="471">
        <v>7443</v>
      </c>
      <c r="B447" s="540" t="s">
        <v>801</v>
      </c>
      <c r="C447" s="471" t="s">
        <v>246</v>
      </c>
      <c r="D447" s="456">
        <f>IF(Table11[[#This Row],[Current Age]]&gt;19,"Women's",IF(E447&gt;15,"U19",IF(E447&gt;13,"U15",IF(E447&gt;11,"U13",IF(E447&gt;0,"U11",0)))))</f>
        <v>0</v>
      </c>
      <c r="E447" s="456">
        <f>IFERROR(IF(Table11[[#This Row],[Year]]&gt;0,$E$1-Table11[[#This Row],[Year]],0),"")</f>
        <v>0</v>
      </c>
      <c r="F447" s="456"/>
      <c r="G447" s="456"/>
      <c r="H447" s="456"/>
    </row>
    <row r="448" spans="1:8" ht="13.5" customHeight="1">
      <c r="A448" s="456">
        <v>7444</v>
      </c>
      <c r="B448" s="457" t="s">
        <v>802</v>
      </c>
      <c r="C448" s="456" t="s">
        <v>246</v>
      </c>
      <c r="D448" s="456">
        <f>IF(Table11[[#This Row],[Current Age]]&gt;19,"Women's",IF(E448&gt;15,"U19",IF(E448&gt;13,"U15",IF(E448&gt;11,"U13",IF(E448&gt;0,"U11",0)))))</f>
        <v>0</v>
      </c>
      <c r="E448" s="456">
        <f>IFERROR(IF(Table11[[#This Row],[Year]]&gt;0,$E$1-Table11[[#This Row],[Year]],0),"")</f>
        <v>0</v>
      </c>
      <c r="F448" s="456"/>
      <c r="G448" s="456"/>
      <c r="H448" s="456"/>
    </row>
    <row r="449" spans="1:8" ht="13.5" customHeight="1">
      <c r="A449" s="471">
        <v>7445</v>
      </c>
      <c r="B449" s="540" t="s">
        <v>803</v>
      </c>
      <c r="C449" s="471" t="s">
        <v>246</v>
      </c>
      <c r="D449" s="456">
        <f>IF(Table11[[#This Row],[Current Age]]&gt;19,"Women's",IF(E449&gt;15,"U19",IF(E449&gt;13,"U15",IF(E449&gt;11,"U13",IF(E449&gt;0,"U11",0)))))</f>
        <v>0</v>
      </c>
      <c r="E449" s="456">
        <f>IFERROR(IF(Table11[[#This Row],[Year]]&gt;0,$E$1-Table11[[#This Row],[Year]],0),"")</f>
        <v>0</v>
      </c>
      <c r="F449" s="456"/>
      <c r="G449" s="456"/>
      <c r="H449" s="456"/>
    </row>
    <row r="450" spans="1:8" ht="13.5" customHeight="1">
      <c r="A450" s="456">
        <v>7446</v>
      </c>
      <c r="B450" s="457" t="s">
        <v>804</v>
      </c>
      <c r="C450" s="456" t="s">
        <v>246</v>
      </c>
      <c r="D450" s="456">
        <f>IF(Table11[[#This Row],[Current Age]]&gt;19,"Women's",IF(E450&gt;15,"U19",IF(E450&gt;13,"U15",IF(E450&gt;11,"U13",IF(E450&gt;0,"U11",0)))))</f>
        <v>0</v>
      </c>
      <c r="E450" s="456">
        <f>IFERROR(IF(Table11[[#This Row],[Year]]&gt;0,$E$1-Table11[[#This Row],[Year]],0),"")</f>
        <v>0</v>
      </c>
      <c r="F450" s="456"/>
      <c r="G450" s="456"/>
      <c r="H450" s="456"/>
    </row>
    <row r="451" spans="1:8" ht="13.5" customHeight="1">
      <c r="A451" s="471">
        <v>7447</v>
      </c>
      <c r="B451" s="540" t="s">
        <v>805</v>
      </c>
      <c r="C451" s="471" t="s">
        <v>246</v>
      </c>
      <c r="D451" s="456">
        <f>IF(Table11[[#This Row],[Current Age]]&gt;19,"Women's",IF(E451&gt;15,"U19",IF(E451&gt;13,"U15",IF(E451&gt;11,"U13",IF(E451&gt;0,"U11",0)))))</f>
        <v>0</v>
      </c>
      <c r="E451" s="456">
        <f>IFERROR(IF(Table11[[#This Row],[Year]]&gt;0,$E$1-Table11[[#This Row],[Year]],0),"")</f>
        <v>0</v>
      </c>
      <c r="F451" s="456"/>
      <c r="G451" s="456"/>
      <c r="H451" s="456"/>
    </row>
    <row r="452" spans="1:8" ht="13.5" customHeight="1">
      <c r="A452" s="456">
        <v>7448</v>
      </c>
      <c r="B452" s="457" t="s">
        <v>806</v>
      </c>
      <c r="C452" s="456" t="s">
        <v>246</v>
      </c>
      <c r="D452" s="456">
        <f>IF(Table11[[#This Row],[Current Age]]&gt;19,"Women's",IF(E452&gt;15,"U19",IF(E452&gt;13,"U15",IF(E452&gt;11,"U13",IF(E452&gt;0,"U11",0)))))</f>
        <v>0</v>
      </c>
      <c r="E452" s="456">
        <f>IFERROR(IF(Table11[[#This Row],[Year]]&gt;0,$E$1-Table11[[#This Row],[Year]],0),"")</f>
        <v>0</v>
      </c>
      <c r="F452" s="456"/>
      <c r="G452" s="456"/>
      <c r="H452" s="456"/>
    </row>
    <row r="453" spans="1:8" ht="13.5" customHeight="1">
      <c r="A453" s="471">
        <v>7449</v>
      </c>
      <c r="B453" s="540" t="s">
        <v>807</v>
      </c>
      <c r="C453" s="471" t="s">
        <v>246</v>
      </c>
      <c r="D453" s="456">
        <f>IF(Table11[[#This Row],[Current Age]]&gt;19,"Women's",IF(E453&gt;15,"U19",IF(E453&gt;13,"U15",IF(E453&gt;11,"U13",IF(E453&gt;0,"U11",0)))))</f>
        <v>0</v>
      </c>
      <c r="E453" s="456">
        <f>IFERROR(IF(Table11[[#This Row],[Year]]&gt;0,$E$1-Table11[[#This Row],[Year]],0),"")</f>
        <v>0</v>
      </c>
      <c r="F453" s="456"/>
      <c r="G453" s="456"/>
      <c r="H453" s="456"/>
    </row>
    <row r="454" spans="1:8" ht="13.5" customHeight="1">
      <c r="A454" s="456">
        <v>7450</v>
      </c>
      <c r="B454" s="457" t="s">
        <v>808</v>
      </c>
      <c r="C454" s="456" t="s">
        <v>246</v>
      </c>
      <c r="D454" s="456">
        <f>IF(Table11[[#This Row],[Current Age]]&gt;19,"Women's",IF(E454&gt;15,"U19",IF(E454&gt;13,"U15",IF(E454&gt;11,"U13",IF(E454&gt;0,"U11",0)))))</f>
        <v>0</v>
      </c>
      <c r="E454" s="456">
        <f>IFERROR(IF(Table11[[#This Row],[Year]]&gt;0,$E$1-Table11[[#This Row],[Year]],0),"")</f>
        <v>0</v>
      </c>
      <c r="F454" s="456"/>
      <c r="G454" s="456"/>
      <c r="H454" s="456"/>
    </row>
    <row r="455" spans="1:8" ht="13.5" customHeight="1">
      <c r="A455" s="471">
        <v>7451</v>
      </c>
      <c r="B455" s="540" t="s">
        <v>809</v>
      </c>
      <c r="C455" s="471" t="s">
        <v>243</v>
      </c>
      <c r="D455" s="456">
        <f>IF(Table11[[#This Row],[Current Age]]&gt;19,"Women's",IF(E455&gt;15,"U19",IF(E455&gt;13,"U15",IF(E455&gt;11,"U13",IF(E455&gt;0,"U11",0)))))</f>
        <v>0</v>
      </c>
      <c r="E455" s="456">
        <f>IFERROR(IF(Table11[[#This Row],[Year]]&gt;0,$E$1-Table11[[#This Row],[Year]],0),"")</f>
        <v>0</v>
      </c>
      <c r="F455" s="456"/>
      <c r="G455" s="456"/>
      <c r="H455" s="456"/>
    </row>
    <row r="456" spans="1:8" ht="13.5" customHeight="1">
      <c r="A456" s="456">
        <v>7452</v>
      </c>
      <c r="B456" s="457" t="s">
        <v>1926</v>
      </c>
      <c r="C456" s="456" t="s">
        <v>1908</v>
      </c>
      <c r="D456" s="456">
        <f>IF(Table11[[#This Row],[Current Age]]&gt;19,"Women's",IF(E456&gt;15,"U19",IF(E456&gt;13,"U15",IF(E456&gt;11,"U13",IF(E456&gt;0,"U11",0)))))</f>
        <v>0</v>
      </c>
      <c r="E456" s="456">
        <f>IFERROR(IF(Table11[[#This Row],[Year]]&gt;0,$E$1-Table11[[#This Row],[Year]],0),"")</f>
        <v>0</v>
      </c>
      <c r="F456" s="456"/>
      <c r="G456" s="456"/>
      <c r="H456" s="456"/>
    </row>
    <row r="457" spans="1:8" ht="13.5" customHeight="1">
      <c r="A457" s="471">
        <v>7453</v>
      </c>
      <c r="B457" s="540" t="s">
        <v>810</v>
      </c>
      <c r="C457" s="471" t="s">
        <v>244</v>
      </c>
      <c r="D457" s="456">
        <f>IF(Table11[[#This Row],[Current Age]]&gt;19,"Women's",IF(E457&gt;15,"U19",IF(E457&gt;13,"U15",IF(E457&gt;11,"U13",IF(E457&gt;0,"U11",0)))))</f>
        <v>0</v>
      </c>
      <c r="E457" s="456">
        <f>IFERROR(IF(Table11[[#This Row],[Year]]&gt;0,$E$1-Table11[[#This Row],[Year]],0),"")</f>
        <v>0</v>
      </c>
      <c r="F457" s="456"/>
      <c r="G457" s="456"/>
      <c r="H457" s="456"/>
    </row>
    <row r="458" spans="1:8" ht="13.5" customHeight="1">
      <c r="A458" s="456">
        <v>7454</v>
      </c>
      <c r="B458" s="457" t="s">
        <v>811</v>
      </c>
      <c r="C458" s="456" t="s">
        <v>243</v>
      </c>
      <c r="D458" s="456">
        <f>IF(Table11[[#This Row],[Current Age]]&gt;19,"Women's",IF(E458&gt;15,"U19",IF(E458&gt;13,"U15",IF(E458&gt;11,"U13",IF(E458&gt;0,"U11",0)))))</f>
        <v>0</v>
      </c>
      <c r="E458" s="456">
        <f>IFERROR(IF(Table11[[#This Row],[Year]]&gt;0,$E$1-Table11[[#This Row],[Year]],0),"")</f>
        <v>0</v>
      </c>
      <c r="F458" s="456"/>
      <c r="G458" s="456"/>
      <c r="H458" s="456"/>
    </row>
    <row r="459" spans="1:8" ht="13.5" customHeight="1">
      <c r="A459" s="471">
        <v>7455</v>
      </c>
      <c r="B459" s="540" t="s">
        <v>1927</v>
      </c>
      <c r="C459" s="471" t="s">
        <v>1908</v>
      </c>
      <c r="D459" s="456" t="str">
        <f>IF(Table11[[#This Row],[Current Age]]&gt;19,"Women's",IF(E459&gt;15,"U19",IF(E459&gt;13,"U15",IF(E459&gt;11,"U13",IF(E459&gt;0,"U11",0)))))</f>
        <v>Women's</v>
      </c>
      <c r="E459" s="456">
        <f>IFERROR(IF(Table11[[#This Row],[Year]]&gt;0,$E$1-Table11[[#This Row],[Year]],0),"")</f>
        <v>25</v>
      </c>
      <c r="F459" s="456">
        <v>2000</v>
      </c>
      <c r="G459" s="456">
        <v>10</v>
      </c>
      <c r="H459" s="456">
        <v>11</v>
      </c>
    </row>
    <row r="460" spans="1:8" ht="13.5" customHeight="1">
      <c r="A460" s="456">
        <v>7456</v>
      </c>
      <c r="B460" s="457" t="s">
        <v>812</v>
      </c>
      <c r="C460" s="456" t="s">
        <v>243</v>
      </c>
      <c r="D460" s="456">
        <f>IF(Table11[[#This Row],[Current Age]]&gt;19,"Women's",IF(E460&gt;15,"U19",IF(E460&gt;13,"U15",IF(E460&gt;11,"U13",IF(E460&gt;0,"U11",0)))))</f>
        <v>0</v>
      </c>
      <c r="E460" s="456">
        <f>IFERROR(IF(Table11[[#This Row],[Year]]&gt;0,$E$1-Table11[[#This Row],[Year]],0),"")</f>
        <v>0</v>
      </c>
      <c r="F460" s="456"/>
      <c r="G460" s="456"/>
      <c r="H460" s="456"/>
    </row>
    <row r="461" spans="1:8" ht="13.5" customHeight="1">
      <c r="A461" s="471">
        <v>7457</v>
      </c>
      <c r="B461" s="540" t="s">
        <v>813</v>
      </c>
      <c r="C461" s="471" t="s">
        <v>243</v>
      </c>
      <c r="D461" s="456" t="str">
        <f>IF(Table11[[#This Row],[Current Age]]&gt;19,"Women's",IF(E461&gt;15,"U19",IF(E461&gt;13,"U15",IF(E461&gt;11,"U13",IF(E461&gt;0,"U11",0)))))</f>
        <v>U19</v>
      </c>
      <c r="E461" s="456">
        <f>IFERROR(IF(Table11[[#This Row],[Year]]&gt;0,$E$1-Table11[[#This Row],[Year]],0),"")</f>
        <v>19</v>
      </c>
      <c r="F461" s="456">
        <v>2006</v>
      </c>
      <c r="G461" s="456">
        <v>2</v>
      </c>
      <c r="H461" s="456">
        <v>4</v>
      </c>
    </row>
    <row r="462" spans="1:8" ht="13.5" customHeight="1">
      <c r="A462" s="456">
        <v>7458</v>
      </c>
      <c r="B462" s="457" t="s">
        <v>814</v>
      </c>
      <c r="C462" s="456" t="s">
        <v>243</v>
      </c>
      <c r="D462" s="456">
        <f>IF(Table11[[#This Row],[Current Age]]&gt;19,"Women's",IF(E462&gt;15,"U19",IF(E462&gt;13,"U15",IF(E462&gt;11,"U13",IF(E462&gt;0,"U11",0)))))</f>
        <v>0</v>
      </c>
      <c r="E462" s="456">
        <f>IFERROR(IF(Table11[[#This Row],[Year]]&gt;0,$E$1-Table11[[#This Row],[Year]],0),"")</f>
        <v>0</v>
      </c>
      <c r="F462" s="456"/>
      <c r="G462" s="456"/>
      <c r="H462" s="456"/>
    </row>
    <row r="463" spans="1:8" ht="13.5" customHeight="1">
      <c r="A463" s="471">
        <v>7459</v>
      </c>
      <c r="B463" s="540" t="s">
        <v>815</v>
      </c>
      <c r="C463" s="471" t="s">
        <v>243</v>
      </c>
      <c r="D463" s="456">
        <f>IF(Table11[[#This Row],[Current Age]]&gt;19,"Women's",IF(E463&gt;15,"U19",IF(E463&gt;13,"U15",IF(E463&gt;11,"U13",IF(E463&gt;0,"U11",0)))))</f>
        <v>0</v>
      </c>
      <c r="E463" s="456">
        <f>IFERROR(IF(Table11[[#This Row],[Year]]&gt;0,$E$1-Table11[[#This Row],[Year]],0),"")</f>
        <v>0</v>
      </c>
      <c r="F463" s="456"/>
      <c r="G463" s="456"/>
      <c r="H463" s="456"/>
    </row>
    <row r="464" spans="1:8" ht="13.5" customHeight="1">
      <c r="A464" s="456">
        <v>7460</v>
      </c>
      <c r="B464" s="457" t="s">
        <v>816</v>
      </c>
      <c r="C464" s="456" t="s">
        <v>243</v>
      </c>
      <c r="D464" s="456" t="str">
        <f>IF(Table11[[#This Row],[Current Age]]&gt;19,"Women's",IF(E464&gt;15,"U19",IF(E464&gt;13,"U15",IF(E464&gt;11,"U13",IF(E464&gt;0,"U11",0)))))</f>
        <v>Women's</v>
      </c>
      <c r="E464" s="456">
        <f>IFERROR(IF(Table11[[#This Row],[Year]]&gt;0,$E$1-Table11[[#This Row],[Year]],0),"")</f>
        <v>22</v>
      </c>
      <c r="F464" s="456">
        <v>2003</v>
      </c>
      <c r="G464" s="456">
        <v>11</v>
      </c>
      <c r="H464" s="456">
        <v>2</v>
      </c>
    </row>
    <row r="465" spans="1:8" ht="13.5" customHeight="1">
      <c r="A465" s="471">
        <v>7461</v>
      </c>
      <c r="B465" s="540" t="s">
        <v>817</v>
      </c>
      <c r="C465" s="471" t="s">
        <v>243</v>
      </c>
      <c r="D465" s="456" t="str">
        <f>IF(Table11[[#This Row],[Current Age]]&gt;19,"Women's",IF(E465&gt;15,"U19",IF(E465&gt;13,"U15",IF(E465&gt;11,"U13",IF(E465&gt;0,"U11",0)))))</f>
        <v>Women's</v>
      </c>
      <c r="E465" s="456">
        <f>IFERROR(IF(Table11[[#This Row],[Year]]&gt;0,$E$1-Table11[[#This Row],[Year]],0),"")</f>
        <v>20</v>
      </c>
      <c r="F465" s="456">
        <v>2005</v>
      </c>
      <c r="G465" s="456">
        <v>5</v>
      </c>
      <c r="H465" s="456">
        <v>20</v>
      </c>
    </row>
    <row r="466" spans="1:8" ht="13.5" customHeight="1">
      <c r="A466" s="456">
        <v>7462</v>
      </c>
      <c r="B466" s="457" t="s">
        <v>818</v>
      </c>
      <c r="C466" s="456" t="s">
        <v>243</v>
      </c>
      <c r="D466" s="456">
        <f>IF(Table11[[#This Row],[Current Age]]&gt;19,"Women's",IF(E466&gt;15,"U19",IF(E466&gt;13,"U15",IF(E466&gt;11,"U13",IF(E466&gt;0,"U11",0)))))</f>
        <v>0</v>
      </c>
      <c r="E466" s="456">
        <f>IFERROR(IF(Table11[[#This Row],[Year]]&gt;0,$E$1-Table11[[#This Row],[Year]],0),"")</f>
        <v>0</v>
      </c>
      <c r="F466" s="456"/>
      <c r="G466" s="456"/>
      <c r="H466" s="456"/>
    </row>
    <row r="467" spans="1:8" ht="13.5" customHeight="1">
      <c r="A467" s="471">
        <v>7463</v>
      </c>
      <c r="B467" s="540" t="s">
        <v>819</v>
      </c>
      <c r="C467" s="471" t="s">
        <v>243</v>
      </c>
      <c r="D467" s="456">
        <f>IF(Table11[[#This Row],[Current Age]]&gt;19,"Women's",IF(E467&gt;15,"U19",IF(E467&gt;13,"U15",IF(E467&gt;11,"U13",IF(E467&gt;0,"U11",0)))))</f>
        <v>0</v>
      </c>
      <c r="E467" s="456">
        <f>IFERROR(IF(Table11[[#This Row],[Year]]&gt;0,$E$1-Table11[[#This Row],[Year]],0),"")</f>
        <v>0</v>
      </c>
      <c r="F467" s="456"/>
      <c r="G467" s="456"/>
      <c r="H467" s="456"/>
    </row>
    <row r="468" spans="1:8" ht="13.5" customHeight="1">
      <c r="A468" s="456">
        <v>7464</v>
      </c>
      <c r="B468" s="457" t="s">
        <v>1928</v>
      </c>
      <c r="C468" s="456" t="s">
        <v>1908</v>
      </c>
      <c r="D468" s="456">
        <f>IF(Table11[[#This Row],[Current Age]]&gt;19,"Women's",IF(E468&gt;15,"U19",IF(E468&gt;13,"U15",IF(E468&gt;11,"U13",IF(E468&gt;0,"U11",0)))))</f>
        <v>0</v>
      </c>
      <c r="E468" s="456">
        <f>IFERROR(IF(Table11[[#This Row],[Year]]&gt;0,$E$1-Table11[[#This Row],[Year]],0),"")</f>
        <v>0</v>
      </c>
      <c r="F468" s="456"/>
      <c r="G468" s="456"/>
      <c r="H468" s="456"/>
    </row>
    <row r="469" spans="1:8" ht="13.5" customHeight="1">
      <c r="A469" s="471">
        <v>7465</v>
      </c>
      <c r="B469" s="540" t="s">
        <v>1929</v>
      </c>
      <c r="C469" s="471" t="s">
        <v>1908</v>
      </c>
      <c r="D469" s="456">
        <f>IF(Table11[[#This Row],[Current Age]]&gt;19,"Women's",IF(E469&gt;15,"U19",IF(E469&gt;13,"U15",IF(E469&gt;11,"U13",IF(E469&gt;0,"U11",0)))))</f>
        <v>0</v>
      </c>
      <c r="E469" s="456">
        <f>IFERROR(IF(Table11[[#This Row],[Year]]&gt;0,$E$1-Table11[[#This Row],[Year]],0),"")</f>
        <v>0</v>
      </c>
      <c r="F469" s="456"/>
      <c r="G469" s="456"/>
      <c r="H469" s="456"/>
    </row>
    <row r="470" spans="1:8" ht="13.5" customHeight="1">
      <c r="A470" s="456">
        <v>7466</v>
      </c>
      <c r="B470" s="457" t="s">
        <v>821</v>
      </c>
      <c r="C470" s="456" t="s">
        <v>361</v>
      </c>
      <c r="D470" s="456" t="str">
        <f>IF(Table11[[#This Row],[Current Age]]&gt;19,"Women's",IF(E470&gt;15,"U19",IF(E470&gt;13,"U15",IF(E470&gt;11,"U13",IF(E470&gt;0,"U11",0)))))</f>
        <v>Women's</v>
      </c>
      <c r="E470" s="456">
        <f>IFERROR(IF(Table11[[#This Row],[Year]]&gt;0,$E$1-Table11[[#This Row],[Year]],0),"")</f>
        <v>27</v>
      </c>
      <c r="F470" s="456">
        <v>1998</v>
      </c>
      <c r="G470" s="456">
        <v>11</v>
      </c>
      <c r="H470" s="456">
        <v>17</v>
      </c>
    </row>
    <row r="471" spans="1:8" ht="13.5" customHeight="1">
      <c r="A471" s="471">
        <v>7467</v>
      </c>
      <c r="B471" s="540" t="s">
        <v>1930</v>
      </c>
      <c r="C471" s="471" t="s">
        <v>1908</v>
      </c>
      <c r="D471" s="456">
        <f>IF(Table11[[#This Row],[Current Age]]&gt;19,"Women's",IF(E471&gt;15,"U19",IF(E471&gt;13,"U15",IF(E471&gt;11,"U13",IF(E471&gt;0,"U11",0)))))</f>
        <v>0</v>
      </c>
      <c r="E471" s="456">
        <f>IFERROR(IF(Table11[[#This Row],[Year]]&gt;0,$E$1-Table11[[#This Row],[Year]],0),"")</f>
        <v>0</v>
      </c>
      <c r="F471" s="456"/>
      <c r="G471" s="456"/>
      <c r="H471" s="456"/>
    </row>
    <row r="472" spans="1:8" ht="13.5" customHeight="1">
      <c r="A472" s="456">
        <v>7468</v>
      </c>
      <c r="B472" s="457" t="s">
        <v>823</v>
      </c>
      <c r="C472" s="456" t="s">
        <v>361</v>
      </c>
      <c r="D472" s="456">
        <f>IF(Table11[[#This Row],[Current Age]]&gt;19,"Women's",IF(E472&gt;15,"U19",IF(E472&gt;13,"U15",IF(E472&gt;11,"U13",IF(E472&gt;0,"U11",0)))))</f>
        <v>0</v>
      </c>
      <c r="E472" s="456">
        <f>IFERROR(IF(Table11[[#This Row],[Year]]&gt;0,$E$1-Table11[[#This Row],[Year]],0),"")</f>
        <v>0</v>
      </c>
      <c r="F472" s="456"/>
      <c r="G472" s="456"/>
      <c r="H472" s="456"/>
    </row>
    <row r="473" spans="1:8" ht="13.5" customHeight="1">
      <c r="A473" s="471">
        <v>7469</v>
      </c>
      <c r="B473" s="540" t="s">
        <v>824</v>
      </c>
      <c r="C473" s="471" t="s">
        <v>243</v>
      </c>
      <c r="D473" s="456">
        <f>IF(Table11[[#This Row],[Current Age]]&gt;19,"Women's",IF(E473&gt;15,"U19",IF(E473&gt;13,"U15",IF(E473&gt;11,"U13",IF(E473&gt;0,"U11",0)))))</f>
        <v>0</v>
      </c>
      <c r="E473" s="456">
        <f>IFERROR(IF(Table11[[#This Row],[Year]]&gt;0,$E$1-Table11[[#This Row],[Year]],0),"")</f>
        <v>0</v>
      </c>
      <c r="F473" s="456"/>
      <c r="G473" s="456"/>
      <c r="H473" s="456"/>
    </row>
    <row r="474" spans="1:8" ht="13.5" customHeight="1">
      <c r="A474" s="456">
        <v>7470</v>
      </c>
      <c r="B474" s="457" t="s">
        <v>825</v>
      </c>
      <c r="C474" s="456" t="s">
        <v>243</v>
      </c>
      <c r="D474" s="456" t="str">
        <f>IF(Table11[[#This Row],[Current Age]]&gt;19,"Women's",IF(E474&gt;15,"U19",IF(E474&gt;13,"U15",IF(E474&gt;11,"U13",IF(E474&gt;0,"U11",0)))))</f>
        <v>U19</v>
      </c>
      <c r="E474" s="456">
        <f>IFERROR(IF(Table11[[#This Row],[Year]]&gt;0,$E$1-Table11[[#This Row],[Year]],0),"")</f>
        <v>18</v>
      </c>
      <c r="F474" s="456">
        <v>2007</v>
      </c>
      <c r="G474" s="456">
        <v>7</v>
      </c>
      <c r="H474" s="456">
        <v>5</v>
      </c>
    </row>
    <row r="475" spans="1:8" ht="13.5" customHeight="1">
      <c r="A475" s="471">
        <v>7471</v>
      </c>
      <c r="B475" s="540" t="s">
        <v>826</v>
      </c>
      <c r="C475" s="471" t="s">
        <v>243</v>
      </c>
      <c r="D475" s="456">
        <f>IF(Table11[[#This Row],[Current Age]]&gt;19,"Women's",IF(E475&gt;15,"U19",IF(E475&gt;13,"U15",IF(E475&gt;11,"U13",IF(E475&gt;0,"U11",0)))))</f>
        <v>0</v>
      </c>
      <c r="E475" s="456">
        <f>IFERROR(IF(Table11[[#This Row],[Year]]&gt;0,$E$1-Table11[[#This Row],[Year]],0),"")</f>
        <v>0</v>
      </c>
      <c r="F475" s="456"/>
      <c r="G475" s="456"/>
      <c r="H475" s="456"/>
    </row>
    <row r="476" spans="1:8" ht="13.5" customHeight="1">
      <c r="A476" s="456">
        <v>7472</v>
      </c>
      <c r="B476" s="457" t="s">
        <v>827</v>
      </c>
      <c r="C476" s="456" t="s">
        <v>243</v>
      </c>
      <c r="D476" s="456">
        <f>IF(Table11[[#This Row],[Current Age]]&gt;19,"Women's",IF(E476&gt;15,"U19",IF(E476&gt;13,"U15",IF(E476&gt;11,"U13",IF(E476&gt;0,"U11",0)))))</f>
        <v>0</v>
      </c>
      <c r="E476" s="456">
        <f>IFERROR(IF(Table11[[#This Row],[Year]]&gt;0,$E$1-Table11[[#This Row],[Year]],0),"")</f>
        <v>0</v>
      </c>
      <c r="F476" s="456"/>
      <c r="G476" s="456"/>
      <c r="H476" s="456"/>
    </row>
    <row r="477" spans="1:8" ht="13.5" customHeight="1">
      <c r="A477" s="471">
        <v>7473</v>
      </c>
      <c r="B477" s="540" t="s">
        <v>828</v>
      </c>
      <c r="C477" s="471" t="s">
        <v>628</v>
      </c>
      <c r="D477" s="456" t="str">
        <f>IF(Table11[[#This Row],[Current Age]]&gt;19,"Women's",IF(E477&gt;15,"U19",IF(E477&gt;13,"U15",IF(E477&gt;11,"U13",IF(E477&gt;0,"U11",0)))))</f>
        <v>Women's</v>
      </c>
      <c r="E477" s="456">
        <f>IFERROR(IF(Table11[[#This Row],[Year]]&gt;0,$E$1-Table11[[#This Row],[Year]],0),"")</f>
        <v>23</v>
      </c>
      <c r="F477" s="456">
        <v>2002</v>
      </c>
      <c r="G477" s="456">
        <v>4</v>
      </c>
      <c r="H477" s="456">
        <v>14</v>
      </c>
    </row>
    <row r="478" spans="1:8" ht="13.5" customHeight="1">
      <c r="A478" s="456">
        <v>7474</v>
      </c>
      <c r="B478" s="457" t="s">
        <v>829</v>
      </c>
      <c r="C478" s="456" t="s">
        <v>628</v>
      </c>
      <c r="D478" s="456" t="str">
        <f>IF(Table11[[#This Row],[Current Age]]&gt;19,"Women's",IF(E478&gt;15,"U19",IF(E478&gt;13,"U15",IF(E478&gt;11,"U13",IF(E478&gt;0,"U11",0)))))</f>
        <v>Women's</v>
      </c>
      <c r="E478" s="456">
        <f>IFERROR(IF(Table11[[#This Row],[Year]]&gt;0,$E$1-Table11[[#This Row],[Year]],0),"")</f>
        <v>20</v>
      </c>
      <c r="F478" s="456">
        <v>2005</v>
      </c>
      <c r="G478" s="456">
        <v>11</v>
      </c>
      <c r="H478" s="456">
        <v>20</v>
      </c>
    </row>
    <row r="479" spans="1:8" ht="13.5" customHeight="1">
      <c r="A479" s="471">
        <v>7475</v>
      </c>
      <c r="B479" s="540" t="s">
        <v>830</v>
      </c>
      <c r="C479" s="471" t="s">
        <v>628</v>
      </c>
      <c r="D479" s="456" t="str">
        <f>IF(Table11[[#This Row],[Current Age]]&gt;19,"Women's",IF(E479&gt;15,"U19",IF(E479&gt;13,"U15",IF(E479&gt;11,"U13",IF(E479&gt;0,"U11",0)))))</f>
        <v>Women's</v>
      </c>
      <c r="E479" s="456">
        <f>IFERROR(IF(Table11[[#This Row],[Year]]&gt;0,$E$1-Table11[[#This Row],[Year]],0),"")</f>
        <v>22</v>
      </c>
      <c r="F479" s="456">
        <v>2003</v>
      </c>
      <c r="G479" s="456">
        <v>9</v>
      </c>
      <c r="H479" s="456">
        <v>3</v>
      </c>
    </row>
    <row r="480" spans="1:8" ht="13.5" customHeight="1">
      <c r="A480" s="456">
        <v>7476</v>
      </c>
      <c r="B480" s="457" t="s">
        <v>831</v>
      </c>
      <c r="C480" s="456" t="s">
        <v>628</v>
      </c>
      <c r="D480" s="456" t="str">
        <f>IF(Table11[[#This Row],[Current Age]]&gt;19,"Women's",IF(E480&gt;15,"U19",IF(E480&gt;13,"U15",IF(E480&gt;11,"U13",IF(E480&gt;0,"U11",0)))))</f>
        <v>Women's</v>
      </c>
      <c r="E480" s="456">
        <f>IFERROR(IF(Table11[[#This Row],[Year]]&gt;0,$E$1-Table11[[#This Row],[Year]],0),"")</f>
        <v>22</v>
      </c>
      <c r="F480" s="456">
        <v>2003</v>
      </c>
      <c r="G480" s="456">
        <v>3</v>
      </c>
      <c r="H480" s="456">
        <v>14</v>
      </c>
    </row>
    <row r="481" spans="1:8" ht="13.5" customHeight="1">
      <c r="A481" s="471">
        <v>7477</v>
      </c>
      <c r="B481" s="540" t="s">
        <v>832</v>
      </c>
      <c r="C481" s="471" t="s">
        <v>3346</v>
      </c>
      <c r="D481" s="456">
        <f>IF(Table11[[#This Row],[Current Age]]&gt;19,"Women's",IF(E481&gt;15,"U19",IF(E481&gt;13,"U15",IF(E481&gt;11,"U13",IF(E481&gt;0,"U11",0)))))</f>
        <v>0</v>
      </c>
      <c r="E481" s="456">
        <f>IFERROR(IF(Table11[[#This Row],[Year]]&gt;0,$E$1-Table11[[#This Row],[Year]],0),"")</f>
        <v>0</v>
      </c>
      <c r="F481" s="456"/>
      <c r="G481" s="456"/>
      <c r="H481" s="456"/>
    </row>
    <row r="482" spans="1:8" ht="13.5" customHeight="1">
      <c r="A482" s="456">
        <v>7478</v>
      </c>
      <c r="B482" s="457" t="s">
        <v>833</v>
      </c>
      <c r="C482" s="456" t="s">
        <v>3346</v>
      </c>
      <c r="D482" s="456">
        <f>IF(Table11[[#This Row],[Current Age]]&gt;19,"Women's",IF(E482&gt;15,"U19",IF(E482&gt;13,"U15",IF(E482&gt;11,"U13",IF(E482&gt;0,"U11",0)))))</f>
        <v>0</v>
      </c>
      <c r="E482" s="456">
        <f>IFERROR(IF(Table11[[#This Row],[Year]]&gt;0,$E$1-Table11[[#This Row],[Year]],0),"")</f>
        <v>0</v>
      </c>
      <c r="F482" s="456"/>
      <c r="G482" s="456"/>
      <c r="H482" s="456"/>
    </row>
    <row r="483" spans="1:8" ht="13.5" customHeight="1">
      <c r="A483" s="471">
        <v>7479</v>
      </c>
      <c r="B483" s="540" t="s">
        <v>834</v>
      </c>
      <c r="C483" s="471" t="s">
        <v>3346</v>
      </c>
      <c r="D483" s="456">
        <f>IF(Table11[[#This Row],[Current Age]]&gt;19,"Women's",IF(E483&gt;15,"U19",IF(E483&gt;13,"U15",IF(E483&gt;11,"U13",IF(E483&gt;0,"U11",0)))))</f>
        <v>0</v>
      </c>
      <c r="E483" s="456">
        <f>IFERROR(IF(Table11[[#This Row],[Year]]&gt;0,$E$1-Table11[[#This Row],[Year]],0),"")</f>
        <v>0</v>
      </c>
      <c r="F483" s="456"/>
      <c r="G483" s="456"/>
      <c r="H483" s="456"/>
    </row>
    <row r="484" spans="1:8" ht="13.5" customHeight="1">
      <c r="A484" s="456">
        <v>7480</v>
      </c>
      <c r="B484" s="457" t="s">
        <v>835</v>
      </c>
      <c r="C484" s="456" t="s">
        <v>3346</v>
      </c>
      <c r="D484" s="456">
        <f>IF(Table11[[#This Row],[Current Age]]&gt;19,"Women's",IF(E484&gt;15,"U19",IF(E484&gt;13,"U15",IF(E484&gt;11,"U13",IF(E484&gt;0,"U11",0)))))</f>
        <v>0</v>
      </c>
      <c r="E484" s="456">
        <f>IFERROR(IF(Table11[[#This Row],[Year]]&gt;0,$E$1-Table11[[#This Row],[Year]],0),"")</f>
        <v>0</v>
      </c>
      <c r="F484" s="456"/>
      <c r="G484" s="456"/>
      <c r="H484" s="456"/>
    </row>
    <row r="485" spans="1:8" ht="13.5" customHeight="1">
      <c r="A485" s="471">
        <v>7481</v>
      </c>
      <c r="B485" s="540" t="s">
        <v>836</v>
      </c>
      <c r="C485" s="471" t="s">
        <v>3346</v>
      </c>
      <c r="D485" s="456">
        <f>IF(Table11[[#This Row],[Current Age]]&gt;19,"Women's",IF(E485&gt;15,"U19",IF(E485&gt;13,"U15",IF(E485&gt;11,"U13",IF(E485&gt;0,"U11",0)))))</f>
        <v>0</v>
      </c>
      <c r="E485" s="456">
        <f>IFERROR(IF(Table11[[#This Row],[Year]]&gt;0,$E$1-Table11[[#This Row],[Year]],0),"")</f>
        <v>0</v>
      </c>
      <c r="F485" s="456"/>
      <c r="G485" s="456"/>
      <c r="H485" s="456"/>
    </row>
    <row r="486" spans="1:8" ht="13.5" customHeight="1">
      <c r="A486" s="456">
        <v>7482</v>
      </c>
      <c r="B486" s="457" t="s">
        <v>837</v>
      </c>
      <c r="C486" s="456" t="s">
        <v>3346</v>
      </c>
      <c r="D486" s="456">
        <f>IF(Table11[[#This Row],[Current Age]]&gt;19,"Women's",IF(E486&gt;15,"U19",IF(E486&gt;13,"U15",IF(E486&gt;11,"U13",IF(E486&gt;0,"U11",0)))))</f>
        <v>0</v>
      </c>
      <c r="E486" s="456">
        <f>IFERROR(IF(Table11[[#This Row],[Year]]&gt;0,$E$1-Table11[[#This Row],[Year]],0),"")</f>
        <v>0</v>
      </c>
      <c r="F486" s="456"/>
      <c r="G486" s="456"/>
      <c r="H486" s="456"/>
    </row>
    <row r="487" spans="1:8" ht="13.5" customHeight="1">
      <c r="A487" s="471">
        <v>7483</v>
      </c>
      <c r="B487" s="540" t="s">
        <v>838</v>
      </c>
      <c r="C487" s="471" t="s">
        <v>3346</v>
      </c>
      <c r="D487" s="456">
        <f>IF(Table11[[#This Row],[Current Age]]&gt;19,"Women's",IF(E487&gt;15,"U19",IF(E487&gt;13,"U15",IF(E487&gt;11,"U13",IF(E487&gt;0,"U11",0)))))</f>
        <v>0</v>
      </c>
      <c r="E487" s="456">
        <f>IFERROR(IF(Table11[[#This Row],[Year]]&gt;0,$E$1-Table11[[#This Row],[Year]],0),"")</f>
        <v>0</v>
      </c>
      <c r="F487" s="456"/>
      <c r="G487" s="456"/>
      <c r="H487" s="456"/>
    </row>
    <row r="488" spans="1:8" ht="13.5" customHeight="1">
      <c r="A488" s="456">
        <v>7484</v>
      </c>
      <c r="B488" s="457" t="s">
        <v>1931</v>
      </c>
      <c r="C488" s="456" t="s">
        <v>361</v>
      </c>
      <c r="D488" s="456">
        <f>IF(Table11[[#This Row],[Current Age]]&gt;19,"Women's",IF(E488&gt;15,"U19",IF(E488&gt;13,"U15",IF(E488&gt;11,"U13",IF(E488&gt;0,"U11",0)))))</f>
        <v>0</v>
      </c>
      <c r="E488" s="456">
        <f>IFERROR(IF(Table11[[#This Row],[Year]]&gt;0,$E$1-Table11[[#This Row],[Year]],0),"")</f>
        <v>0</v>
      </c>
      <c r="F488" s="456"/>
      <c r="G488" s="456"/>
      <c r="H488" s="456"/>
    </row>
    <row r="489" spans="1:8" ht="13.5" customHeight="1">
      <c r="A489" s="471">
        <v>7485</v>
      </c>
      <c r="B489" s="540" t="s">
        <v>839</v>
      </c>
      <c r="C489" s="471" t="s">
        <v>3346</v>
      </c>
      <c r="D489" s="456">
        <f>IF(Table11[[#This Row],[Current Age]]&gt;19,"Women's",IF(E489&gt;15,"U19",IF(E489&gt;13,"U15",IF(E489&gt;11,"U13",IF(E489&gt;0,"U11",0)))))</f>
        <v>0</v>
      </c>
      <c r="E489" s="456">
        <f>IFERROR(IF(Table11[[#This Row],[Year]]&gt;0,$E$1-Table11[[#This Row],[Year]],0),"")</f>
        <v>0</v>
      </c>
      <c r="F489" s="456"/>
      <c r="G489" s="456"/>
      <c r="H489" s="456"/>
    </row>
    <row r="490" spans="1:8" ht="13.5" customHeight="1">
      <c r="A490" s="456">
        <v>7486</v>
      </c>
      <c r="B490" s="457" t="s">
        <v>1932</v>
      </c>
      <c r="C490" s="456" t="s">
        <v>1908</v>
      </c>
      <c r="D490" s="456">
        <f>IF(Table11[[#This Row],[Current Age]]&gt;19,"Women's",IF(E490&gt;15,"U19",IF(E490&gt;13,"U15",IF(E490&gt;11,"U13",IF(E490&gt;0,"U11",0)))))</f>
        <v>0</v>
      </c>
      <c r="E490" s="456">
        <f>IFERROR(IF(Table11[[#This Row],[Year]]&gt;0,$E$1-Table11[[#This Row],[Year]],0),"")</f>
        <v>0</v>
      </c>
      <c r="F490" s="456"/>
      <c r="G490" s="456"/>
      <c r="H490" s="456"/>
    </row>
    <row r="491" spans="1:8" ht="13.5" customHeight="1">
      <c r="A491" s="471">
        <v>7487</v>
      </c>
      <c r="B491" s="540" t="s">
        <v>840</v>
      </c>
      <c r="C491" s="471" t="s">
        <v>247</v>
      </c>
      <c r="D491" s="456">
        <f>IF(Table11[[#This Row],[Current Age]]&gt;19,"Women's",IF(E491&gt;15,"U19",IF(E491&gt;13,"U15",IF(E491&gt;11,"U13",IF(E491&gt;0,"U11",0)))))</f>
        <v>0</v>
      </c>
      <c r="E491" s="456">
        <f>IFERROR(IF(Table11[[#This Row],[Year]]&gt;0,$E$1-Table11[[#This Row],[Year]],0),"")</f>
        <v>0</v>
      </c>
      <c r="F491" s="456"/>
      <c r="G491" s="456"/>
      <c r="H491" s="456"/>
    </row>
    <row r="492" spans="1:8" ht="13.5" customHeight="1">
      <c r="A492" s="456">
        <v>7488</v>
      </c>
      <c r="B492" s="457" t="s">
        <v>841</v>
      </c>
      <c r="C492" s="456" t="s">
        <v>247</v>
      </c>
      <c r="D492" s="456" t="str">
        <f>IF(Table11[[#This Row],[Current Age]]&gt;19,"Women's",IF(E492&gt;15,"U19",IF(E492&gt;13,"U15",IF(E492&gt;11,"U13",IF(E492&gt;0,"U11",0)))))</f>
        <v>U19</v>
      </c>
      <c r="E492" s="456">
        <f>IFERROR(IF(Table11[[#This Row],[Year]]&gt;0,$E$1-Table11[[#This Row],[Year]],0),"")</f>
        <v>18</v>
      </c>
      <c r="F492" s="456">
        <v>2007</v>
      </c>
      <c r="G492" s="456">
        <v>1</v>
      </c>
      <c r="H492" s="456">
        <v>2</v>
      </c>
    </row>
    <row r="493" spans="1:8" ht="13.5" customHeight="1">
      <c r="A493" s="471">
        <v>7489</v>
      </c>
      <c r="B493" s="540" t="s">
        <v>842</v>
      </c>
      <c r="C493" s="471" t="s">
        <v>247</v>
      </c>
      <c r="D493" s="456" t="str">
        <f>IF(Table11[[#This Row],[Current Age]]&gt;19,"Women's",IF(E493&gt;15,"U19",IF(E493&gt;13,"U15",IF(E493&gt;11,"U13",IF(E493&gt;0,"U11",0)))))</f>
        <v>Women's</v>
      </c>
      <c r="E493" s="456">
        <f>IFERROR(IF(Table11[[#This Row],[Year]]&gt;0,$E$1-Table11[[#This Row],[Year]],0),"")</f>
        <v>20</v>
      </c>
      <c r="F493" s="456">
        <v>2005</v>
      </c>
      <c r="G493" s="456">
        <v>1</v>
      </c>
      <c r="H493" s="456">
        <v>17</v>
      </c>
    </row>
    <row r="494" spans="1:8" ht="13.5" customHeight="1">
      <c r="A494" s="456">
        <v>7490</v>
      </c>
      <c r="B494" s="457" t="s">
        <v>843</v>
      </c>
      <c r="C494" s="456" t="s">
        <v>247</v>
      </c>
      <c r="D494" s="456">
        <f>IF(Table11[[#This Row],[Current Age]]&gt;19,"Women's",IF(E494&gt;15,"U19",IF(E494&gt;13,"U15",IF(E494&gt;11,"U13",IF(E494&gt;0,"U11",0)))))</f>
        <v>0</v>
      </c>
      <c r="E494" s="456">
        <f>IFERROR(IF(Table11[[#This Row],[Year]]&gt;0,$E$1-Table11[[#This Row],[Year]],0),"")</f>
        <v>0</v>
      </c>
      <c r="F494" s="456"/>
      <c r="G494" s="456"/>
      <c r="H494" s="456"/>
    </row>
    <row r="495" spans="1:8" ht="13.5" customHeight="1">
      <c r="A495" s="471">
        <v>7491</v>
      </c>
      <c r="B495" s="540" t="s">
        <v>844</v>
      </c>
      <c r="C495" s="471" t="s">
        <v>3346</v>
      </c>
      <c r="D495" s="456">
        <f>IF(Table11[[#This Row],[Current Age]]&gt;19,"Women's",IF(E495&gt;15,"U19",IF(E495&gt;13,"U15",IF(E495&gt;11,"U13",IF(E495&gt;0,"U11",0)))))</f>
        <v>0</v>
      </c>
      <c r="E495" s="456">
        <f>IFERROR(IF(Table11[[#This Row],[Year]]&gt;0,$E$1-Table11[[#This Row],[Year]],0),"")</f>
        <v>0</v>
      </c>
      <c r="F495" s="456"/>
      <c r="G495" s="456"/>
      <c r="H495" s="456"/>
    </row>
    <row r="496" spans="1:8" ht="13.5" customHeight="1">
      <c r="A496" s="456">
        <v>7492</v>
      </c>
      <c r="B496" s="457" t="s">
        <v>845</v>
      </c>
      <c r="C496" s="456" t="s">
        <v>3346</v>
      </c>
      <c r="D496" s="456">
        <f>IF(Table11[[#This Row],[Current Age]]&gt;19,"Women's",IF(E496&gt;15,"U19",IF(E496&gt;13,"U15",IF(E496&gt;11,"U13",IF(E496&gt;0,"U11",0)))))</f>
        <v>0</v>
      </c>
      <c r="E496" s="456">
        <f>IFERROR(IF(Table11[[#This Row],[Year]]&gt;0,$E$1-Table11[[#This Row],[Year]],0),"")</f>
        <v>0</v>
      </c>
      <c r="F496" s="456"/>
      <c r="G496" s="456"/>
      <c r="H496" s="456"/>
    </row>
    <row r="497" spans="1:8" ht="13.5" customHeight="1">
      <c r="A497" s="471">
        <v>7493</v>
      </c>
      <c r="B497" s="540" t="s">
        <v>1933</v>
      </c>
      <c r="C497" s="471" t="s">
        <v>1908</v>
      </c>
      <c r="D497" s="456">
        <f>IF(Table11[[#This Row],[Current Age]]&gt;19,"Women's",IF(E497&gt;15,"U19",IF(E497&gt;13,"U15",IF(E497&gt;11,"U13",IF(E497&gt;0,"U11",0)))))</f>
        <v>0</v>
      </c>
      <c r="E497" s="456">
        <f>IFERROR(IF(Table11[[#This Row],[Year]]&gt;0,$E$1-Table11[[#This Row],[Year]],0),"")</f>
        <v>0</v>
      </c>
      <c r="F497" s="456"/>
      <c r="G497" s="456"/>
      <c r="H497" s="456"/>
    </row>
    <row r="498" spans="1:8" ht="13.5" customHeight="1">
      <c r="A498" s="456">
        <v>7494</v>
      </c>
      <c r="B498" s="457" t="s">
        <v>846</v>
      </c>
      <c r="C498" s="456" t="s">
        <v>3346</v>
      </c>
      <c r="D498" s="456">
        <f>IF(Table11[[#This Row],[Current Age]]&gt;19,"Women's",IF(E498&gt;15,"U19",IF(E498&gt;13,"U15",IF(E498&gt;11,"U13",IF(E498&gt;0,"U11",0)))))</f>
        <v>0</v>
      </c>
      <c r="E498" s="456">
        <f>IFERROR(IF(Table11[[#This Row],[Year]]&gt;0,$E$1-Table11[[#This Row],[Year]],0),"")</f>
        <v>0</v>
      </c>
      <c r="F498" s="456"/>
      <c r="G498" s="456"/>
      <c r="H498" s="456"/>
    </row>
    <row r="499" spans="1:8" ht="13.5" customHeight="1">
      <c r="A499" s="471">
        <v>7495</v>
      </c>
      <c r="B499" s="540" t="s">
        <v>103</v>
      </c>
      <c r="C499" s="471" t="s">
        <v>248</v>
      </c>
      <c r="D499" s="456">
        <f>IF(Table11[[#This Row],[Current Age]]&gt;19,"Women's",IF(E499&gt;15,"U19",IF(E499&gt;13,"U15",IF(E499&gt;11,"U13",IF(E499&gt;0,"U11",0)))))</f>
        <v>0</v>
      </c>
      <c r="E499" s="456">
        <f>IFERROR(IF(Table11[[#This Row],[Year]]&gt;0,$E$1-Table11[[#This Row],[Year]],0),"")</f>
        <v>0</v>
      </c>
      <c r="F499" s="456"/>
      <c r="G499" s="456"/>
      <c r="H499" s="456"/>
    </row>
    <row r="500" spans="1:8" ht="13.5" customHeight="1">
      <c r="A500" s="456">
        <v>7496</v>
      </c>
      <c r="B500" s="457" t="s">
        <v>848</v>
      </c>
      <c r="C500" s="456" t="s">
        <v>251</v>
      </c>
      <c r="D500" s="456" t="str">
        <f>IF(Table11[[#This Row],[Current Age]]&gt;19,"Women's",IF(E500&gt;15,"U19",IF(E500&gt;13,"U15",IF(E500&gt;11,"U13",IF(E500&gt;0,"U11",0)))))</f>
        <v>U19</v>
      </c>
      <c r="E500" s="456">
        <f>IFERROR(IF(Table11[[#This Row],[Year]]&gt;0,$E$1-Table11[[#This Row],[Year]],0),"")</f>
        <v>19</v>
      </c>
      <c r="F500" s="456">
        <v>2006</v>
      </c>
      <c r="G500" s="456">
        <v>8</v>
      </c>
      <c r="H500" s="456">
        <v>17</v>
      </c>
    </row>
    <row r="501" spans="1:8" ht="13.5" customHeight="1">
      <c r="A501" s="471">
        <v>7497</v>
      </c>
      <c r="B501" s="540" t="s">
        <v>849</v>
      </c>
      <c r="C501" s="471" t="s">
        <v>251</v>
      </c>
      <c r="D501" s="456" t="str">
        <f>IF(Table11[[#This Row],[Current Age]]&gt;19,"Women's",IF(E501&gt;15,"U19",IF(E501&gt;13,"U15",IF(E501&gt;11,"U13",IF(E501&gt;0,"U11",0)))))</f>
        <v>Women's</v>
      </c>
      <c r="E501" s="456">
        <f>IFERROR(IF(Table11[[#This Row],[Year]]&gt;0,$E$1-Table11[[#This Row],[Year]],0),"")</f>
        <v>20</v>
      </c>
      <c r="F501" s="456">
        <v>2005</v>
      </c>
      <c r="G501" s="456">
        <v>12</v>
      </c>
      <c r="H501" s="456">
        <v>10</v>
      </c>
    </row>
    <row r="502" spans="1:8" ht="13.5" customHeight="1">
      <c r="A502" s="456">
        <v>7498</v>
      </c>
      <c r="B502" s="457" t="s">
        <v>850</v>
      </c>
      <c r="C502" s="456" t="s">
        <v>251</v>
      </c>
      <c r="D502" s="456" t="str">
        <f>IF(Table11[[#This Row],[Current Age]]&gt;19,"Women's",IF(E502&gt;15,"U19",IF(E502&gt;13,"U15",IF(E502&gt;11,"U13",IF(E502&gt;0,"U11",0)))))</f>
        <v>Women's</v>
      </c>
      <c r="E502" s="456">
        <f>IFERROR(IF(Table11[[#This Row],[Year]]&gt;0,$E$1-Table11[[#This Row],[Year]],0),"")</f>
        <v>20</v>
      </c>
      <c r="F502" s="456">
        <v>2005</v>
      </c>
      <c r="G502" s="456">
        <v>6</v>
      </c>
      <c r="H502" s="456">
        <v>12</v>
      </c>
    </row>
    <row r="503" spans="1:8" ht="13.5" customHeight="1">
      <c r="A503" s="471">
        <v>7499</v>
      </c>
      <c r="B503" s="540" t="s">
        <v>851</v>
      </c>
      <c r="C503" s="471" t="s">
        <v>251</v>
      </c>
      <c r="D503" s="456" t="str">
        <f>IF(Table11[[#This Row],[Current Age]]&gt;19,"Women's",IF(E503&gt;15,"U19",IF(E503&gt;13,"U15",IF(E503&gt;11,"U13",IF(E503&gt;0,"U11",0)))))</f>
        <v>Women's</v>
      </c>
      <c r="E503" s="456">
        <f>IFERROR(IF(Table11[[#This Row],[Year]]&gt;0,$E$1-Table11[[#This Row],[Year]],0),"")</f>
        <v>20</v>
      </c>
      <c r="F503" s="456">
        <v>2005</v>
      </c>
      <c r="G503" s="456">
        <v>1</v>
      </c>
      <c r="H503" s="456">
        <v>26</v>
      </c>
    </row>
    <row r="504" spans="1:8" ht="13.5" customHeight="1">
      <c r="A504" s="456">
        <v>7500</v>
      </c>
      <c r="B504" s="457" t="s">
        <v>852</v>
      </c>
      <c r="C504" s="456" t="s">
        <v>251</v>
      </c>
      <c r="D504" s="456" t="str">
        <f>IF(Table11[[#This Row],[Current Age]]&gt;19,"Women's",IF(E504&gt;15,"U19",IF(E504&gt;13,"U15",IF(E504&gt;11,"U13",IF(E504&gt;0,"U11",0)))))</f>
        <v>Women's</v>
      </c>
      <c r="E504" s="456">
        <f>IFERROR(IF(Table11[[#This Row],[Year]]&gt;0,$E$1-Table11[[#This Row],[Year]],0),"")</f>
        <v>21</v>
      </c>
      <c r="F504" s="456">
        <v>2004</v>
      </c>
      <c r="G504" s="456">
        <v>1</v>
      </c>
      <c r="H504" s="456">
        <v>13</v>
      </c>
    </row>
    <row r="505" spans="1:8" ht="13.5" customHeight="1">
      <c r="A505" s="471">
        <v>7501</v>
      </c>
      <c r="B505" s="540" t="s">
        <v>853</v>
      </c>
      <c r="C505" s="471" t="s">
        <v>251</v>
      </c>
      <c r="D505" s="456" t="str">
        <f>IF(Table11[[#This Row],[Current Age]]&gt;19,"Women's",IF(E505&gt;15,"U19",IF(E505&gt;13,"U15",IF(E505&gt;11,"U13",IF(E505&gt;0,"U11",0)))))</f>
        <v>Women's</v>
      </c>
      <c r="E505" s="456">
        <f>IFERROR(IF(Table11[[#This Row],[Year]]&gt;0,$E$1-Table11[[#This Row],[Year]],0),"")</f>
        <v>20</v>
      </c>
      <c r="F505" s="456">
        <v>2005</v>
      </c>
      <c r="G505" s="456">
        <v>1</v>
      </c>
      <c r="H505" s="456">
        <v>14</v>
      </c>
    </row>
    <row r="506" spans="1:8" ht="13.5" customHeight="1">
      <c r="A506" s="456">
        <v>7502</v>
      </c>
      <c r="B506" s="457" t="s">
        <v>854</v>
      </c>
      <c r="C506" s="456" t="s">
        <v>251</v>
      </c>
      <c r="D506" s="456" t="str">
        <f>IF(Table11[[#This Row],[Current Age]]&gt;19,"Women's",IF(E506&gt;15,"U19",IF(E506&gt;13,"U15",IF(E506&gt;11,"U13",IF(E506&gt;0,"U11",0)))))</f>
        <v>Women's</v>
      </c>
      <c r="E506" s="456">
        <f>IFERROR(IF(Table11[[#This Row],[Year]]&gt;0,$E$1-Table11[[#This Row],[Year]],0),"")</f>
        <v>24</v>
      </c>
      <c r="F506" s="456">
        <v>2001</v>
      </c>
      <c r="G506" s="456">
        <v>10</v>
      </c>
      <c r="H506" s="456">
        <v>11</v>
      </c>
    </row>
    <row r="507" spans="1:8" ht="13.5" customHeight="1">
      <c r="A507" s="471">
        <v>7503</v>
      </c>
      <c r="B507" s="540" t="s">
        <v>855</v>
      </c>
      <c r="C507" s="471" t="s">
        <v>244</v>
      </c>
      <c r="D507" s="456">
        <f>IF(Table11[[#This Row],[Current Age]]&gt;19,"Women's",IF(E507&gt;15,"U19",IF(E507&gt;13,"U15",IF(E507&gt;11,"U13",IF(E507&gt;0,"U11",0)))))</f>
        <v>0</v>
      </c>
      <c r="E507" s="456">
        <f>IFERROR(IF(Table11[[#This Row],[Year]]&gt;0,$E$1-Table11[[#This Row],[Year]],0),"")</f>
        <v>0</v>
      </c>
      <c r="F507" s="456"/>
      <c r="G507" s="456"/>
      <c r="H507" s="456"/>
    </row>
    <row r="508" spans="1:8" ht="13.5" customHeight="1">
      <c r="A508" s="456">
        <v>7504</v>
      </c>
      <c r="B508" s="457" t="s">
        <v>856</v>
      </c>
      <c r="C508" s="456" t="s">
        <v>244</v>
      </c>
      <c r="D508" s="456">
        <f>IF(Table11[[#This Row],[Current Age]]&gt;19,"Women's",IF(E508&gt;15,"U19",IF(E508&gt;13,"U15",IF(E508&gt;11,"U13",IF(E508&gt;0,"U11",0)))))</f>
        <v>0</v>
      </c>
      <c r="E508" s="456">
        <f>IFERROR(IF(Table11[[#This Row],[Year]]&gt;0,$E$1-Table11[[#This Row],[Year]],0),"")</f>
        <v>0</v>
      </c>
      <c r="F508" s="456"/>
      <c r="G508" s="456"/>
      <c r="H508" s="456"/>
    </row>
    <row r="509" spans="1:8" ht="13.5" customHeight="1">
      <c r="A509" s="471">
        <v>7505</v>
      </c>
      <c r="B509" s="540" t="s">
        <v>857</v>
      </c>
      <c r="C509" s="471" t="s">
        <v>244</v>
      </c>
      <c r="D509" s="456" t="str">
        <f>IF(Table11[[#This Row],[Current Age]]&gt;19,"Women's",IF(E509&gt;15,"U19",IF(E509&gt;13,"U15",IF(E509&gt;11,"U13",IF(E509&gt;0,"U11",0)))))</f>
        <v>Women's</v>
      </c>
      <c r="E509" s="456">
        <f>IFERROR(IF(Table11[[#This Row],[Year]]&gt;0,$E$1-Table11[[#This Row],[Year]],0),"")</f>
        <v>21</v>
      </c>
      <c r="F509" s="456">
        <v>2004</v>
      </c>
      <c r="G509" s="456">
        <v>5</v>
      </c>
      <c r="H509" s="456">
        <v>8</v>
      </c>
    </row>
    <row r="510" spans="1:8" ht="13.5" customHeight="1">
      <c r="A510" s="456">
        <v>7506</v>
      </c>
      <c r="B510" s="457" t="s">
        <v>858</v>
      </c>
      <c r="C510" s="456" t="s">
        <v>244</v>
      </c>
      <c r="D510" s="456">
        <f>IF(Table11[[#This Row],[Current Age]]&gt;19,"Women's",IF(E510&gt;15,"U19",IF(E510&gt;13,"U15",IF(E510&gt;11,"U13",IF(E510&gt;0,"U11",0)))))</f>
        <v>0</v>
      </c>
      <c r="E510" s="456">
        <f>IFERROR(IF(Table11[[#This Row],[Year]]&gt;0,$E$1-Table11[[#This Row],[Year]],0),"")</f>
        <v>0</v>
      </c>
      <c r="F510" s="456"/>
      <c r="G510" s="456"/>
      <c r="H510" s="456"/>
    </row>
    <row r="511" spans="1:8" ht="13.5" customHeight="1">
      <c r="A511" s="471">
        <v>7507</v>
      </c>
      <c r="B511" s="540" t="s">
        <v>859</v>
      </c>
      <c r="C511" s="471" t="s">
        <v>244</v>
      </c>
      <c r="D511" s="456">
        <f>IF(Table11[[#This Row],[Current Age]]&gt;19,"Women's",IF(E511&gt;15,"U19",IF(E511&gt;13,"U15",IF(E511&gt;11,"U13",IF(E511&gt;0,"U11",0)))))</f>
        <v>0</v>
      </c>
      <c r="E511" s="456">
        <f>IFERROR(IF(Table11[[#This Row],[Year]]&gt;0,$E$1-Table11[[#This Row],[Year]],0),"")</f>
        <v>0</v>
      </c>
      <c r="F511" s="456"/>
      <c r="G511" s="456"/>
      <c r="H511" s="456"/>
    </row>
    <row r="512" spans="1:8" ht="13.5" customHeight="1">
      <c r="A512" s="456">
        <v>7508</v>
      </c>
      <c r="B512" s="457" t="s">
        <v>860</v>
      </c>
      <c r="C512" s="456" t="s">
        <v>244</v>
      </c>
      <c r="D512" s="456">
        <f>IF(Table11[[#This Row],[Current Age]]&gt;19,"Women's",IF(E512&gt;15,"U19",IF(E512&gt;13,"U15",IF(E512&gt;11,"U13",IF(E512&gt;0,"U11",0)))))</f>
        <v>0</v>
      </c>
      <c r="E512" s="456">
        <f>IFERROR(IF(Table11[[#This Row],[Year]]&gt;0,$E$1-Table11[[#This Row],[Year]],0),"")</f>
        <v>0</v>
      </c>
      <c r="F512" s="456"/>
      <c r="G512" s="456"/>
      <c r="H512" s="456"/>
    </row>
    <row r="513" spans="1:8" ht="13.5" customHeight="1">
      <c r="A513" s="471">
        <v>7509</v>
      </c>
      <c r="B513" s="540" t="s">
        <v>861</v>
      </c>
      <c r="C513" s="471" t="s">
        <v>244</v>
      </c>
      <c r="D513" s="456">
        <f>IF(Table11[[#This Row],[Current Age]]&gt;19,"Women's",IF(E513&gt;15,"U19",IF(E513&gt;13,"U15",IF(E513&gt;11,"U13",IF(E513&gt;0,"U11",0)))))</f>
        <v>0</v>
      </c>
      <c r="E513" s="456">
        <f>IFERROR(IF(Table11[[#This Row],[Year]]&gt;0,$E$1-Table11[[#This Row],[Year]],0),"")</f>
        <v>0</v>
      </c>
      <c r="F513" s="456"/>
      <c r="G513" s="456"/>
      <c r="H513" s="456"/>
    </row>
    <row r="514" spans="1:8" ht="13.5" customHeight="1">
      <c r="A514" s="456">
        <v>7510</v>
      </c>
      <c r="B514" s="457" t="s">
        <v>862</v>
      </c>
      <c r="C514" s="456" t="s">
        <v>244</v>
      </c>
      <c r="D514" s="456" t="str">
        <f>IF(Table11[[#This Row],[Current Age]]&gt;19,"Women's",IF(E514&gt;15,"U19",IF(E514&gt;13,"U15",IF(E514&gt;11,"U13",IF(E514&gt;0,"U11",0)))))</f>
        <v>Women's</v>
      </c>
      <c r="E514" s="456">
        <f>IFERROR(IF(Table11[[#This Row],[Year]]&gt;0,$E$1-Table11[[#This Row],[Year]],0),"")</f>
        <v>28</v>
      </c>
      <c r="F514" s="456">
        <v>1997</v>
      </c>
      <c r="G514" s="456">
        <v>7</v>
      </c>
      <c r="H514" s="456">
        <v>25</v>
      </c>
    </row>
    <row r="515" spans="1:8" ht="13.5" customHeight="1">
      <c r="A515" s="471">
        <v>7511</v>
      </c>
      <c r="B515" s="540" t="s">
        <v>863</v>
      </c>
      <c r="C515" s="471" t="s">
        <v>649</v>
      </c>
      <c r="D515" s="456" t="str">
        <f>IF(Table11[[#This Row],[Current Age]]&gt;19,"Women's",IF(E515&gt;15,"U19",IF(E515&gt;13,"U15",IF(E515&gt;11,"U13",IF(E515&gt;0,"U11",0)))))</f>
        <v>Women's</v>
      </c>
      <c r="E515" s="456">
        <f>IFERROR(IF(Table11[[#This Row],[Year]]&gt;0,$E$1-Table11[[#This Row],[Year]],0),"")</f>
        <v>31</v>
      </c>
      <c r="F515" s="456">
        <v>1994</v>
      </c>
      <c r="G515" s="456">
        <v>11</v>
      </c>
      <c r="H515" s="456">
        <v>18</v>
      </c>
    </row>
    <row r="516" spans="1:8" ht="13.5" customHeight="1">
      <c r="A516" s="456">
        <v>7512</v>
      </c>
      <c r="B516" s="457" t="s">
        <v>864</v>
      </c>
      <c r="C516" s="456" t="s">
        <v>649</v>
      </c>
      <c r="D516" s="456" t="str">
        <f>IF(Table11[[#This Row],[Current Age]]&gt;19,"Women's",IF(E516&gt;15,"U19",IF(E516&gt;13,"U15",IF(E516&gt;11,"U13",IF(E516&gt;0,"U11",0)))))</f>
        <v>Women's</v>
      </c>
      <c r="E516" s="456">
        <f>IFERROR(IF(Table11[[#This Row],[Year]]&gt;0,$E$1-Table11[[#This Row],[Year]],0),"")</f>
        <v>29</v>
      </c>
      <c r="F516" s="456">
        <v>1996</v>
      </c>
      <c r="G516" s="456">
        <v>4</v>
      </c>
      <c r="H516" s="456">
        <v>24</v>
      </c>
    </row>
    <row r="517" spans="1:8" ht="13.5" customHeight="1">
      <c r="A517" s="471">
        <v>7513</v>
      </c>
      <c r="B517" s="540" t="s">
        <v>865</v>
      </c>
      <c r="C517" s="471" t="s">
        <v>649</v>
      </c>
      <c r="D517" s="456">
        <f>IF(Table11[[#This Row],[Current Age]]&gt;19,"Women's",IF(E517&gt;15,"U19",IF(E517&gt;13,"U15",IF(E517&gt;11,"U13",IF(E517&gt;0,"U11",0)))))</f>
        <v>0</v>
      </c>
      <c r="E517" s="456">
        <f>IFERROR(IF(Table11[[#This Row],[Year]]&gt;0,$E$1-Table11[[#This Row],[Year]],0),"")</f>
        <v>0</v>
      </c>
      <c r="F517" s="456"/>
      <c r="G517" s="456"/>
      <c r="H517" s="456"/>
    </row>
    <row r="518" spans="1:8" ht="13.5" customHeight="1">
      <c r="A518" s="456">
        <v>7514</v>
      </c>
      <c r="B518" s="457" t="s">
        <v>866</v>
      </c>
      <c r="C518" s="456" t="s">
        <v>4720</v>
      </c>
      <c r="D518" s="456" t="str">
        <f>IF(Table11[[#This Row],[Current Age]]&gt;19,"Women's",IF(E518&gt;15,"U19",IF(E518&gt;13,"U15",IF(E518&gt;11,"U13",IF(E518&gt;0,"U11",0)))))</f>
        <v>Women's</v>
      </c>
      <c r="E518" s="456">
        <f>IFERROR(IF(Table11[[#This Row],[Year]]&gt;0,$E$1-Table11[[#This Row],[Year]],0),"")</f>
        <v>21</v>
      </c>
      <c r="F518" s="456">
        <v>2004</v>
      </c>
      <c r="G518" s="456">
        <v>11</v>
      </c>
      <c r="H518" s="456">
        <v>8</v>
      </c>
    </row>
    <row r="519" spans="1:8" ht="13.5" customHeight="1">
      <c r="A519" s="471">
        <v>7515</v>
      </c>
      <c r="B519" s="540" t="s">
        <v>867</v>
      </c>
      <c r="C519" s="471" t="s">
        <v>4720</v>
      </c>
      <c r="D519" s="456" t="str">
        <f>IF(Table11[[#This Row],[Current Age]]&gt;19,"Women's",IF(E519&gt;15,"U19",IF(E519&gt;13,"U15",IF(E519&gt;11,"U13",IF(E519&gt;0,"U11",0)))))</f>
        <v>Women's</v>
      </c>
      <c r="E519" s="456">
        <f>IFERROR(IF(Table11[[#This Row],[Year]]&gt;0,$E$1-Table11[[#This Row],[Year]],0),"")</f>
        <v>21</v>
      </c>
      <c r="F519" s="456">
        <v>2004</v>
      </c>
      <c r="G519" s="456">
        <v>8</v>
      </c>
      <c r="H519" s="456">
        <v>29</v>
      </c>
    </row>
    <row r="520" spans="1:8" ht="13.5" customHeight="1">
      <c r="A520" s="456">
        <v>7516</v>
      </c>
      <c r="B520" s="457" t="s">
        <v>868</v>
      </c>
      <c r="C520" s="456" t="s">
        <v>4720</v>
      </c>
      <c r="D520" s="456" t="str">
        <f>IF(Table11[[#This Row],[Current Age]]&gt;19,"Women's",IF(E520&gt;15,"U19",IF(E520&gt;13,"U15",IF(E520&gt;11,"U13",IF(E520&gt;0,"U11",0)))))</f>
        <v>Women's</v>
      </c>
      <c r="E520" s="456">
        <f>IFERROR(IF(Table11[[#This Row],[Year]]&gt;0,$E$1-Table11[[#This Row],[Year]],0),"")</f>
        <v>21</v>
      </c>
      <c r="F520" s="456">
        <v>2004</v>
      </c>
      <c r="G520" s="456">
        <v>1</v>
      </c>
      <c r="H520" s="456">
        <v>15</v>
      </c>
    </row>
    <row r="521" spans="1:8" ht="13.5" customHeight="1">
      <c r="A521" s="471">
        <v>7517</v>
      </c>
      <c r="B521" s="540" t="s">
        <v>4176</v>
      </c>
      <c r="C521" s="471" t="s">
        <v>4658</v>
      </c>
      <c r="D521" s="456" t="str">
        <f>IF(Table11[[#This Row],[Current Age]]&gt;19,"Women's",IF(E521&gt;15,"U19",IF(E521&gt;13,"U15",IF(E521&gt;11,"U13",IF(E521&gt;0,"U11",0)))))</f>
        <v>Women's</v>
      </c>
      <c r="E521" s="456">
        <f>IFERROR(IF(Table11[[#This Row],[Year]]&gt;0,$E$1-Table11[[#This Row],[Year]],0),"")</f>
        <v>24</v>
      </c>
      <c r="F521" s="456">
        <v>2001</v>
      </c>
      <c r="G521" s="456">
        <v>1</v>
      </c>
      <c r="H521" s="456">
        <v>11</v>
      </c>
    </row>
    <row r="522" spans="1:8" ht="13.5" customHeight="1">
      <c r="A522" s="456">
        <v>7518</v>
      </c>
      <c r="B522" s="457" t="s">
        <v>869</v>
      </c>
      <c r="C522" s="456" t="s">
        <v>243</v>
      </c>
      <c r="D522" s="456">
        <f>IF(Table11[[#This Row],[Current Age]]&gt;19,"Women's",IF(E522&gt;15,"U19",IF(E522&gt;13,"U15",IF(E522&gt;11,"U13",IF(E522&gt;0,"U11",0)))))</f>
        <v>0</v>
      </c>
      <c r="E522" s="456">
        <f>IFERROR(IF(Table11[[#This Row],[Year]]&gt;0,$E$1-Table11[[#This Row],[Year]],0),"")</f>
        <v>0</v>
      </c>
      <c r="F522" s="456"/>
      <c r="G522" s="456"/>
      <c r="H522" s="456"/>
    </row>
    <row r="523" spans="1:8" ht="13.5" customHeight="1">
      <c r="A523" s="471">
        <v>7519</v>
      </c>
      <c r="B523" s="540" t="s">
        <v>870</v>
      </c>
      <c r="C523" s="471" t="s">
        <v>2857</v>
      </c>
      <c r="D523" s="456">
        <f>IF(Table11[[#This Row],[Current Age]]&gt;19,"Women's",IF(E523&gt;15,"U19",IF(E523&gt;13,"U15",IF(E523&gt;11,"U13",IF(E523&gt;0,"U11",0)))))</f>
        <v>0</v>
      </c>
      <c r="E523" s="456">
        <f>IFERROR(IF(Table11[[#This Row],[Year]]&gt;0,$E$1-Table11[[#This Row],[Year]],0),"")</f>
        <v>0</v>
      </c>
      <c r="F523" s="456"/>
      <c r="G523" s="456"/>
      <c r="H523" s="456"/>
    </row>
    <row r="524" spans="1:8" ht="13.5" customHeight="1">
      <c r="A524" s="456">
        <v>7520</v>
      </c>
      <c r="B524" s="457" t="s">
        <v>871</v>
      </c>
      <c r="C524" s="456" t="s">
        <v>256</v>
      </c>
      <c r="D524" s="456">
        <f>IF(Table11[[#This Row],[Current Age]]&gt;19,"Women's",IF(E524&gt;15,"U19",IF(E524&gt;13,"U15",IF(E524&gt;11,"U13",IF(E524&gt;0,"U11",0)))))</f>
        <v>0</v>
      </c>
      <c r="E524" s="456">
        <f>IFERROR(IF(Table11[[#This Row],[Year]]&gt;0,$E$1-Table11[[#This Row],[Year]],0),"")</f>
        <v>0</v>
      </c>
      <c r="F524" s="456"/>
      <c r="G524" s="456"/>
      <c r="H524" s="456"/>
    </row>
    <row r="525" spans="1:8" ht="13.5" customHeight="1">
      <c r="A525" s="471">
        <v>7521</v>
      </c>
      <c r="B525" s="540" t="s">
        <v>872</v>
      </c>
      <c r="C525" s="471" t="s">
        <v>256</v>
      </c>
      <c r="D525" s="456">
        <f>IF(Table11[[#This Row],[Current Age]]&gt;19,"Women's",IF(E525&gt;15,"U19",IF(E525&gt;13,"U15",IF(E525&gt;11,"U13",IF(E525&gt;0,"U11",0)))))</f>
        <v>0</v>
      </c>
      <c r="E525" s="456">
        <f>IFERROR(IF(Table11[[#This Row],[Year]]&gt;0,$E$1-Table11[[#This Row],[Year]],0),"")</f>
        <v>0</v>
      </c>
      <c r="F525" s="456"/>
      <c r="G525" s="456"/>
      <c r="H525" s="456"/>
    </row>
    <row r="526" spans="1:8" ht="13.5" customHeight="1">
      <c r="A526" s="456">
        <v>7522</v>
      </c>
      <c r="B526" s="457" t="s">
        <v>873</v>
      </c>
      <c r="C526" s="456" t="s">
        <v>256</v>
      </c>
      <c r="D526" s="456">
        <f>IF(Table11[[#This Row],[Current Age]]&gt;19,"Women's",IF(E526&gt;15,"U19",IF(E526&gt;13,"U15",IF(E526&gt;11,"U13",IF(E526&gt;0,"U11",0)))))</f>
        <v>0</v>
      </c>
      <c r="E526" s="456">
        <f>IFERROR(IF(Table11[[#This Row],[Year]]&gt;0,$E$1-Table11[[#This Row],[Year]],0),"")</f>
        <v>0</v>
      </c>
      <c r="F526" s="456"/>
      <c r="G526" s="456"/>
      <c r="H526" s="456"/>
    </row>
    <row r="527" spans="1:8" ht="13.5" customHeight="1">
      <c r="A527" s="471">
        <v>7523</v>
      </c>
      <c r="B527" s="540" t="s">
        <v>874</v>
      </c>
      <c r="C527" s="471" t="s">
        <v>256</v>
      </c>
      <c r="D527" s="456">
        <f>IF(Table11[[#This Row],[Current Age]]&gt;19,"Women's",IF(E527&gt;15,"U19",IF(E527&gt;13,"U15",IF(E527&gt;11,"U13",IF(E527&gt;0,"U11",0)))))</f>
        <v>0</v>
      </c>
      <c r="E527" s="456">
        <f>IFERROR(IF(Table11[[#This Row],[Year]]&gt;0,$E$1-Table11[[#This Row],[Year]],0),"")</f>
        <v>0</v>
      </c>
      <c r="F527" s="456"/>
      <c r="G527" s="456"/>
      <c r="H527" s="456"/>
    </row>
    <row r="528" spans="1:8" ht="13.5" customHeight="1">
      <c r="A528" s="456">
        <v>7524</v>
      </c>
      <c r="B528" s="457" t="s">
        <v>875</v>
      </c>
      <c r="C528" s="456" t="s">
        <v>256</v>
      </c>
      <c r="D528" s="456">
        <f>IF(Table11[[#This Row],[Current Age]]&gt;19,"Women's",IF(E528&gt;15,"U19",IF(E528&gt;13,"U15",IF(E528&gt;11,"U13",IF(E528&gt;0,"U11",0)))))</f>
        <v>0</v>
      </c>
      <c r="E528" s="456">
        <f>IFERROR(IF(Table11[[#This Row],[Year]]&gt;0,$E$1-Table11[[#This Row],[Year]],0),"")</f>
        <v>0</v>
      </c>
      <c r="F528" s="456"/>
      <c r="G528" s="456"/>
      <c r="H528" s="456"/>
    </row>
    <row r="529" spans="1:8" ht="13.5" customHeight="1">
      <c r="A529" s="471">
        <v>7525</v>
      </c>
      <c r="B529" s="540" t="s">
        <v>876</v>
      </c>
      <c r="C529" s="471" t="s">
        <v>256</v>
      </c>
      <c r="D529" s="456">
        <f>IF(Table11[[#This Row],[Current Age]]&gt;19,"Women's",IF(E529&gt;15,"U19",IF(E529&gt;13,"U15",IF(E529&gt;11,"U13",IF(E529&gt;0,"U11",0)))))</f>
        <v>0</v>
      </c>
      <c r="E529" s="456">
        <f>IFERROR(IF(Table11[[#This Row],[Year]]&gt;0,$E$1-Table11[[#This Row],[Year]],0),"")</f>
        <v>0</v>
      </c>
      <c r="F529" s="456"/>
      <c r="G529" s="456"/>
      <c r="H529" s="456"/>
    </row>
    <row r="530" spans="1:8" ht="13.5" customHeight="1">
      <c r="A530" s="456">
        <v>7526</v>
      </c>
      <c r="B530" s="457" t="s">
        <v>877</v>
      </c>
      <c r="C530" s="456" t="s">
        <v>2857</v>
      </c>
      <c r="D530" s="456">
        <f>IF(Table11[[#This Row],[Current Age]]&gt;19,"Women's",IF(E530&gt;15,"U19",IF(E530&gt;13,"U15",IF(E530&gt;11,"U13",IF(E530&gt;0,"U11",0)))))</f>
        <v>0</v>
      </c>
      <c r="E530" s="456">
        <f>IFERROR(IF(Table11[[#This Row],[Year]]&gt;0,$E$1-Table11[[#This Row],[Year]],0),"")</f>
        <v>0</v>
      </c>
      <c r="F530" s="456"/>
      <c r="G530" s="456"/>
      <c r="H530" s="456"/>
    </row>
    <row r="531" spans="1:8" ht="13.5" customHeight="1">
      <c r="A531" s="471">
        <v>7527</v>
      </c>
      <c r="B531" s="540" t="s">
        <v>878</v>
      </c>
      <c r="C531" s="471" t="s">
        <v>256</v>
      </c>
      <c r="D531" s="456">
        <f>IF(Table11[[#This Row],[Current Age]]&gt;19,"Women's",IF(E531&gt;15,"U19",IF(E531&gt;13,"U15",IF(E531&gt;11,"U13",IF(E531&gt;0,"U11",0)))))</f>
        <v>0</v>
      </c>
      <c r="E531" s="456">
        <f>IFERROR(IF(Table11[[#This Row],[Year]]&gt;0,$E$1-Table11[[#This Row],[Year]],0),"")</f>
        <v>0</v>
      </c>
      <c r="F531" s="456"/>
      <c r="G531" s="456"/>
      <c r="H531" s="456"/>
    </row>
    <row r="532" spans="1:8" ht="13.5" customHeight="1">
      <c r="A532" s="456">
        <v>7528</v>
      </c>
      <c r="B532" s="457" t="s">
        <v>879</v>
      </c>
      <c r="C532" s="456" t="s">
        <v>256</v>
      </c>
      <c r="D532" s="456">
        <f>IF(Table11[[#This Row],[Current Age]]&gt;19,"Women's",IF(E532&gt;15,"U19",IF(E532&gt;13,"U15",IF(E532&gt;11,"U13",IF(E532&gt;0,"U11",0)))))</f>
        <v>0</v>
      </c>
      <c r="E532" s="456">
        <f>IFERROR(IF(Table11[[#This Row],[Year]]&gt;0,$E$1-Table11[[#This Row],[Year]],0),"")</f>
        <v>0</v>
      </c>
      <c r="F532" s="456"/>
      <c r="G532" s="456"/>
      <c r="H532" s="456"/>
    </row>
    <row r="533" spans="1:8" ht="13.5" customHeight="1">
      <c r="A533" s="471">
        <v>7529</v>
      </c>
      <c r="B533" s="540" t="s">
        <v>880</v>
      </c>
      <c r="C533" s="471" t="s">
        <v>256</v>
      </c>
      <c r="D533" s="456">
        <f>IF(Table11[[#This Row],[Current Age]]&gt;19,"Women's",IF(E533&gt;15,"U19",IF(E533&gt;13,"U15",IF(E533&gt;11,"U13",IF(E533&gt;0,"U11",0)))))</f>
        <v>0</v>
      </c>
      <c r="E533" s="456">
        <f>IFERROR(IF(Table11[[#This Row],[Year]]&gt;0,$E$1-Table11[[#This Row],[Year]],0),"")</f>
        <v>0</v>
      </c>
      <c r="F533" s="456"/>
      <c r="G533" s="456"/>
      <c r="H533" s="456"/>
    </row>
    <row r="534" spans="1:8" ht="13.5" customHeight="1">
      <c r="A534" s="456">
        <v>7530</v>
      </c>
      <c r="B534" s="457" t="s">
        <v>881</v>
      </c>
      <c r="C534" s="456" t="s">
        <v>256</v>
      </c>
      <c r="D534" s="456">
        <f>IF(Table11[[#This Row],[Current Age]]&gt;19,"Women's",IF(E534&gt;15,"U19",IF(E534&gt;13,"U15",IF(E534&gt;11,"U13",IF(E534&gt;0,"U11",0)))))</f>
        <v>0</v>
      </c>
      <c r="E534" s="456">
        <f>IFERROR(IF(Table11[[#This Row],[Year]]&gt;0,$E$1-Table11[[#This Row],[Year]],0),"")</f>
        <v>0</v>
      </c>
      <c r="F534" s="456"/>
      <c r="G534" s="456"/>
      <c r="H534" s="456"/>
    </row>
    <row r="535" spans="1:8" ht="13.5" customHeight="1">
      <c r="A535" s="471">
        <v>7531</v>
      </c>
      <c r="B535" s="540" t="s">
        <v>882</v>
      </c>
      <c r="C535" s="471" t="s">
        <v>256</v>
      </c>
      <c r="D535" s="456">
        <f>IF(Table11[[#This Row],[Current Age]]&gt;19,"Women's",IF(E535&gt;15,"U19",IF(E535&gt;13,"U15",IF(E535&gt;11,"U13",IF(E535&gt;0,"U11",0)))))</f>
        <v>0</v>
      </c>
      <c r="E535" s="456">
        <f>IFERROR(IF(Table11[[#This Row],[Year]]&gt;0,$E$1-Table11[[#This Row],[Year]],0),"")</f>
        <v>0</v>
      </c>
      <c r="F535" s="456"/>
      <c r="G535" s="456"/>
      <c r="H535" s="456"/>
    </row>
    <row r="536" spans="1:8" ht="13.5" customHeight="1">
      <c r="A536" s="456">
        <v>7532</v>
      </c>
      <c r="B536" s="457" t="s">
        <v>883</v>
      </c>
      <c r="C536" s="456" t="s">
        <v>256</v>
      </c>
      <c r="D536" s="456">
        <f>IF(Table11[[#This Row],[Current Age]]&gt;19,"Women's",IF(E536&gt;15,"U19",IF(E536&gt;13,"U15",IF(E536&gt;11,"U13",IF(E536&gt;0,"U11",0)))))</f>
        <v>0</v>
      </c>
      <c r="E536" s="456">
        <f>IFERROR(IF(Table11[[#This Row],[Year]]&gt;0,$E$1-Table11[[#This Row],[Year]],0),"")</f>
        <v>0</v>
      </c>
      <c r="F536" s="456"/>
      <c r="G536" s="456"/>
      <c r="H536" s="456"/>
    </row>
    <row r="537" spans="1:8" ht="13.5" customHeight="1">
      <c r="A537" s="471">
        <v>7533</v>
      </c>
      <c r="B537" s="540" t="s">
        <v>884</v>
      </c>
      <c r="C537" s="471" t="s">
        <v>256</v>
      </c>
      <c r="D537" s="456">
        <f>IF(Table11[[#This Row],[Current Age]]&gt;19,"Women's",IF(E537&gt;15,"U19",IF(E537&gt;13,"U15",IF(E537&gt;11,"U13",IF(E537&gt;0,"U11",0)))))</f>
        <v>0</v>
      </c>
      <c r="E537" s="456">
        <f>IFERROR(IF(Table11[[#This Row],[Year]]&gt;0,$E$1-Table11[[#This Row],[Year]],0),"")</f>
        <v>0</v>
      </c>
      <c r="F537" s="456"/>
      <c r="G537" s="456"/>
      <c r="H537" s="456"/>
    </row>
    <row r="538" spans="1:8" ht="13.5" customHeight="1">
      <c r="A538" s="456">
        <v>7534</v>
      </c>
      <c r="B538" s="457" t="s">
        <v>885</v>
      </c>
      <c r="C538" s="456" t="s">
        <v>886</v>
      </c>
      <c r="D538" s="456">
        <f>IF(Table11[[#This Row],[Current Age]]&gt;19,"Women's",IF(E538&gt;15,"U19",IF(E538&gt;13,"U15",IF(E538&gt;11,"U13",IF(E538&gt;0,"U11",0)))))</f>
        <v>0</v>
      </c>
      <c r="E538" s="456">
        <f>IFERROR(IF(Table11[[#This Row],[Year]]&gt;0,$E$1-Table11[[#This Row],[Year]],0),"")</f>
        <v>0</v>
      </c>
      <c r="F538" s="456"/>
      <c r="G538" s="456"/>
      <c r="H538" s="456"/>
    </row>
    <row r="539" spans="1:8" ht="13.5" customHeight="1">
      <c r="A539" s="471">
        <v>7535</v>
      </c>
      <c r="B539" s="540" t="s">
        <v>887</v>
      </c>
      <c r="C539" s="471" t="s">
        <v>249</v>
      </c>
      <c r="D539" s="456" t="str">
        <f>IF(Table11[[#This Row],[Current Age]]&gt;19,"Women's",IF(E539&gt;15,"U19",IF(E539&gt;13,"U15",IF(E539&gt;11,"U13",IF(E539&gt;0,"U11",0)))))</f>
        <v>Women's</v>
      </c>
      <c r="E539" s="456">
        <f>IFERROR(IF(Table11[[#This Row],[Year]]&gt;0,$E$1-Table11[[#This Row],[Year]],0),"")</f>
        <v>20</v>
      </c>
      <c r="F539" s="456">
        <v>2005</v>
      </c>
      <c r="G539" s="456">
        <v>4</v>
      </c>
      <c r="H539" s="456">
        <v>21</v>
      </c>
    </row>
    <row r="540" spans="1:8" ht="13.5" customHeight="1">
      <c r="A540" s="456">
        <v>7536</v>
      </c>
      <c r="B540" s="457" t="s">
        <v>888</v>
      </c>
      <c r="C540" s="456" t="s">
        <v>248</v>
      </c>
      <c r="D540" s="456" t="str">
        <f>IF(Table11[[#This Row],[Current Age]]&gt;19,"Women's",IF(E540&gt;15,"U19",IF(E540&gt;13,"U15",IF(E540&gt;11,"U13",IF(E540&gt;0,"U11",0)))))</f>
        <v>U19</v>
      </c>
      <c r="E540" s="456">
        <f>IFERROR(IF(Table11[[#This Row],[Year]]&gt;0,$E$1-Table11[[#This Row],[Year]],0),"")</f>
        <v>19</v>
      </c>
      <c r="F540" s="456">
        <v>2006</v>
      </c>
      <c r="G540" s="456">
        <v>12</v>
      </c>
      <c r="H540" s="456">
        <v>6</v>
      </c>
    </row>
    <row r="541" spans="1:8" ht="13.5" customHeight="1">
      <c r="A541" s="471">
        <v>7537</v>
      </c>
      <c r="B541" s="540" t="s">
        <v>889</v>
      </c>
      <c r="C541" s="471" t="s">
        <v>248</v>
      </c>
      <c r="D541" s="456" t="str">
        <f>IF(Table11[[#This Row],[Current Age]]&gt;19,"Women's",IF(E541&gt;15,"U19",IF(E541&gt;13,"U15",IF(E541&gt;11,"U13",IF(E541&gt;0,"U11",0)))))</f>
        <v>Women's</v>
      </c>
      <c r="E541" s="456">
        <f>IFERROR(IF(Table11[[#This Row],[Year]]&gt;0,$E$1-Table11[[#This Row],[Year]],0),"")</f>
        <v>20</v>
      </c>
      <c r="F541" s="456">
        <v>2005</v>
      </c>
      <c r="G541" s="456">
        <v>3</v>
      </c>
      <c r="H541" s="456">
        <v>30</v>
      </c>
    </row>
    <row r="542" spans="1:8" ht="13.5" customHeight="1">
      <c r="A542" s="456">
        <v>7538</v>
      </c>
      <c r="B542" s="457" t="s">
        <v>890</v>
      </c>
      <c r="C542" s="456" t="s">
        <v>248</v>
      </c>
      <c r="D542" s="456" t="str">
        <f>IF(Table11[[#This Row],[Current Age]]&gt;19,"Women's",IF(E542&gt;15,"U19",IF(E542&gt;13,"U15",IF(E542&gt;11,"U13",IF(E542&gt;0,"U11",0)))))</f>
        <v>Women's</v>
      </c>
      <c r="E542" s="456">
        <f>IFERROR(IF(Table11[[#This Row],[Year]]&gt;0,$E$1-Table11[[#This Row],[Year]],0),"")</f>
        <v>21</v>
      </c>
      <c r="F542" s="456">
        <v>2004</v>
      </c>
      <c r="G542" s="456">
        <v>11</v>
      </c>
      <c r="H542" s="456">
        <v>28</v>
      </c>
    </row>
    <row r="543" spans="1:8" ht="13.5" customHeight="1">
      <c r="A543" s="471">
        <v>7539</v>
      </c>
      <c r="B543" s="540" t="s">
        <v>891</v>
      </c>
      <c r="C543" s="471" t="s">
        <v>248</v>
      </c>
      <c r="D543" s="456" t="str">
        <f>IF(Table11[[#This Row],[Current Age]]&gt;19,"Women's",IF(E543&gt;15,"U19",IF(E543&gt;13,"U15",IF(E543&gt;11,"U13",IF(E543&gt;0,"U11",0)))))</f>
        <v>Women's</v>
      </c>
      <c r="E543" s="456">
        <f>IFERROR(IF(Table11[[#This Row],[Year]]&gt;0,$E$1-Table11[[#This Row],[Year]],0),"")</f>
        <v>21</v>
      </c>
      <c r="F543" s="456">
        <v>2004</v>
      </c>
      <c r="G543" s="456">
        <v>11</v>
      </c>
      <c r="H543" s="456">
        <v>14</v>
      </c>
    </row>
    <row r="544" spans="1:8" ht="13.5" customHeight="1">
      <c r="A544" s="456">
        <v>7540</v>
      </c>
      <c r="B544" s="457" t="s">
        <v>892</v>
      </c>
      <c r="C544" s="456" t="s">
        <v>248</v>
      </c>
      <c r="D544" s="456" t="str">
        <f>IF(Table11[[#This Row],[Current Age]]&gt;19,"Women's",IF(E544&gt;15,"U19",IF(E544&gt;13,"U15",IF(E544&gt;11,"U13",IF(E544&gt;0,"U11",0)))))</f>
        <v>Women's</v>
      </c>
      <c r="E544" s="456">
        <f>IFERROR(IF(Table11[[#This Row],[Year]]&gt;0,$E$1-Table11[[#This Row],[Year]],0),"")</f>
        <v>22</v>
      </c>
      <c r="F544" s="456">
        <v>2003</v>
      </c>
      <c r="G544" s="456">
        <v>4</v>
      </c>
      <c r="H544" s="456">
        <v>6</v>
      </c>
    </row>
    <row r="545" spans="1:8" ht="13.5" customHeight="1">
      <c r="A545" s="471">
        <v>7541</v>
      </c>
      <c r="B545" s="540" t="s">
        <v>893</v>
      </c>
      <c r="C545" s="471" t="s">
        <v>248</v>
      </c>
      <c r="D545" s="456" t="str">
        <f>IF(Table11[[#This Row],[Current Age]]&gt;19,"Women's",IF(E545&gt;15,"U19",IF(E545&gt;13,"U15",IF(E545&gt;11,"U13",IF(E545&gt;0,"U11",0)))))</f>
        <v>Women's</v>
      </c>
      <c r="E545" s="456">
        <f>IFERROR(IF(Table11[[#This Row],[Year]]&gt;0,$E$1-Table11[[#This Row],[Year]],0),"")</f>
        <v>22</v>
      </c>
      <c r="F545" s="456">
        <v>2003</v>
      </c>
      <c r="G545" s="456">
        <v>10</v>
      </c>
      <c r="H545" s="456">
        <v>17</v>
      </c>
    </row>
    <row r="546" spans="1:8" ht="13.5" customHeight="1">
      <c r="A546" s="456">
        <v>7542</v>
      </c>
      <c r="B546" s="457" t="s">
        <v>894</v>
      </c>
      <c r="C546" s="456" t="s">
        <v>248</v>
      </c>
      <c r="D546" s="456" t="str">
        <f>IF(Table11[[#This Row],[Current Age]]&gt;19,"Women's",IF(E546&gt;15,"U19",IF(E546&gt;13,"U15",IF(E546&gt;11,"U13",IF(E546&gt;0,"U11",0)))))</f>
        <v>Women's</v>
      </c>
      <c r="E546" s="456">
        <f>IFERROR(IF(Table11[[#This Row],[Year]]&gt;0,$E$1-Table11[[#This Row],[Year]],0),"")</f>
        <v>25</v>
      </c>
      <c r="F546" s="456">
        <v>2000</v>
      </c>
      <c r="G546" s="456">
        <v>10</v>
      </c>
      <c r="H546" s="456">
        <v>31</v>
      </c>
    </row>
    <row r="547" spans="1:8" ht="13.5" customHeight="1">
      <c r="A547" s="471">
        <v>7543</v>
      </c>
      <c r="B547" s="540" t="s">
        <v>895</v>
      </c>
      <c r="C547" s="471" t="s">
        <v>4720</v>
      </c>
      <c r="D547" s="456">
        <f>IF(Table11[[#This Row],[Current Age]]&gt;19,"Women's",IF(E547&gt;15,"U19",IF(E547&gt;13,"U15",IF(E547&gt;11,"U13",IF(E547&gt;0,"U11",0)))))</f>
        <v>0</v>
      </c>
      <c r="E547" s="456">
        <f>IFERROR(IF(Table11[[#This Row],[Year]]&gt;0,$E$1-Table11[[#This Row],[Year]],0),"")</f>
        <v>0</v>
      </c>
      <c r="F547" s="456"/>
      <c r="G547" s="456"/>
      <c r="H547" s="456"/>
    </row>
    <row r="548" spans="1:8" ht="13.5" customHeight="1">
      <c r="A548" s="456">
        <v>7544</v>
      </c>
      <c r="B548" s="457" t="s">
        <v>896</v>
      </c>
      <c r="C548" s="456" t="s">
        <v>4720</v>
      </c>
      <c r="D548" s="456">
        <f>IF(Table11[[#This Row],[Current Age]]&gt;19,"Women's",IF(E548&gt;15,"U19",IF(E548&gt;13,"U15",IF(E548&gt;11,"U13",IF(E548&gt;0,"U11",0)))))</f>
        <v>0</v>
      </c>
      <c r="E548" s="456">
        <f>IFERROR(IF(Table11[[#This Row],[Year]]&gt;0,$E$1-Table11[[#This Row],[Year]],0),"")</f>
        <v>0</v>
      </c>
      <c r="F548" s="456"/>
      <c r="G548" s="456"/>
      <c r="H548" s="456"/>
    </row>
    <row r="549" spans="1:8" ht="13.5" customHeight="1">
      <c r="A549" s="471">
        <v>7545</v>
      </c>
      <c r="B549" s="540" t="s">
        <v>897</v>
      </c>
      <c r="C549" s="471" t="s">
        <v>4720</v>
      </c>
      <c r="D549" s="456">
        <f>IF(Table11[[#This Row],[Current Age]]&gt;19,"Women's",IF(E549&gt;15,"U19",IF(E549&gt;13,"U15",IF(E549&gt;11,"U13",IF(E549&gt;0,"U11",0)))))</f>
        <v>0</v>
      </c>
      <c r="E549" s="456">
        <f>IFERROR(IF(Table11[[#This Row],[Year]]&gt;0,$E$1-Table11[[#This Row],[Year]],0),"")</f>
        <v>0</v>
      </c>
      <c r="F549" s="456"/>
      <c r="G549" s="456"/>
      <c r="H549" s="456"/>
    </row>
    <row r="550" spans="1:8" ht="13.5" customHeight="1">
      <c r="A550" s="456">
        <v>7546</v>
      </c>
      <c r="B550" s="457" t="s">
        <v>898</v>
      </c>
      <c r="C550" s="456" t="s">
        <v>4720</v>
      </c>
      <c r="D550" s="456">
        <f>IF(Table11[[#This Row],[Current Age]]&gt;19,"Women's",IF(E550&gt;15,"U19",IF(E550&gt;13,"U15",IF(E550&gt;11,"U13",IF(E550&gt;0,"U11",0)))))</f>
        <v>0</v>
      </c>
      <c r="E550" s="456">
        <f>IFERROR(IF(Table11[[#This Row],[Year]]&gt;0,$E$1-Table11[[#This Row],[Year]],0),"")</f>
        <v>0</v>
      </c>
      <c r="F550" s="456"/>
      <c r="G550" s="456"/>
      <c r="H550" s="456"/>
    </row>
    <row r="551" spans="1:8" ht="13.5" customHeight="1">
      <c r="A551" s="471">
        <v>7547</v>
      </c>
      <c r="B551" s="540" t="s">
        <v>899</v>
      </c>
      <c r="C551" s="471" t="s">
        <v>3346</v>
      </c>
      <c r="D551" s="456">
        <f>IF(Table11[[#This Row],[Current Age]]&gt;19,"Women's",IF(E551&gt;15,"U19",IF(E551&gt;13,"U15",IF(E551&gt;11,"U13",IF(E551&gt;0,"U11",0)))))</f>
        <v>0</v>
      </c>
      <c r="E551" s="456">
        <f>IFERROR(IF(Table11[[#This Row],[Year]]&gt;0,$E$1-Table11[[#This Row],[Year]],0),"")</f>
        <v>0</v>
      </c>
      <c r="F551" s="456"/>
      <c r="G551" s="456"/>
      <c r="H551" s="456"/>
    </row>
    <row r="552" spans="1:8" ht="13.5" customHeight="1">
      <c r="A552" s="456">
        <v>7548</v>
      </c>
      <c r="B552" s="457" t="s">
        <v>900</v>
      </c>
      <c r="C552" s="456" t="s">
        <v>3346</v>
      </c>
      <c r="D552" s="456">
        <f>IF(Table11[[#This Row],[Current Age]]&gt;19,"Women's",IF(E552&gt;15,"U19",IF(E552&gt;13,"U15",IF(E552&gt;11,"U13",IF(E552&gt;0,"U11",0)))))</f>
        <v>0</v>
      </c>
      <c r="E552" s="456">
        <f>IFERROR(IF(Table11[[#This Row],[Year]]&gt;0,$E$1-Table11[[#This Row],[Year]],0),"")</f>
        <v>0</v>
      </c>
      <c r="F552" s="456"/>
      <c r="G552" s="456"/>
      <c r="H552" s="456"/>
    </row>
    <row r="553" spans="1:8" ht="13.5" customHeight="1">
      <c r="A553" s="471">
        <v>7549</v>
      </c>
      <c r="B553" s="540" t="s">
        <v>901</v>
      </c>
      <c r="C553" s="471" t="s">
        <v>3346</v>
      </c>
      <c r="D553" s="456">
        <f>IF(Table11[[#This Row],[Current Age]]&gt;19,"Women's",IF(E553&gt;15,"U19",IF(E553&gt;13,"U15",IF(E553&gt;11,"U13",IF(E553&gt;0,"U11",0)))))</f>
        <v>0</v>
      </c>
      <c r="E553" s="456">
        <f>IFERROR(IF(Table11[[#This Row],[Year]]&gt;0,$E$1-Table11[[#This Row],[Year]],0),"")</f>
        <v>0</v>
      </c>
      <c r="F553" s="456"/>
      <c r="G553" s="456"/>
      <c r="H553" s="456"/>
    </row>
    <row r="554" spans="1:8" ht="13.5" customHeight="1">
      <c r="A554" s="456">
        <v>7550</v>
      </c>
      <c r="B554" s="457" t="s">
        <v>902</v>
      </c>
      <c r="C554" s="456" t="s">
        <v>3346</v>
      </c>
      <c r="D554" s="456">
        <f>IF(Table11[[#This Row],[Current Age]]&gt;19,"Women's",IF(E554&gt;15,"U19",IF(E554&gt;13,"U15",IF(E554&gt;11,"U13",IF(E554&gt;0,"U11",0)))))</f>
        <v>0</v>
      </c>
      <c r="E554" s="456">
        <f>IFERROR(IF(Table11[[#This Row],[Year]]&gt;0,$E$1-Table11[[#This Row],[Year]],0),"")</f>
        <v>0</v>
      </c>
      <c r="F554" s="456"/>
      <c r="G554" s="456"/>
      <c r="H554" s="456"/>
    </row>
    <row r="555" spans="1:8" ht="13.5" customHeight="1">
      <c r="A555" s="471">
        <v>7551</v>
      </c>
      <c r="B555" s="540" t="s">
        <v>903</v>
      </c>
      <c r="C555" s="471" t="s">
        <v>3346</v>
      </c>
      <c r="D555" s="456">
        <f>IF(Table11[[#This Row],[Current Age]]&gt;19,"Women's",IF(E555&gt;15,"U19",IF(E555&gt;13,"U15",IF(E555&gt;11,"U13",IF(E555&gt;0,"U11",0)))))</f>
        <v>0</v>
      </c>
      <c r="E555" s="456">
        <f>IFERROR(IF(Table11[[#This Row],[Year]]&gt;0,$E$1-Table11[[#This Row],[Year]],0),"")</f>
        <v>0</v>
      </c>
      <c r="F555" s="456"/>
      <c r="G555" s="456"/>
      <c r="H555" s="456"/>
    </row>
    <row r="556" spans="1:8" ht="13.5" customHeight="1">
      <c r="A556" s="456">
        <v>7552</v>
      </c>
      <c r="B556" s="457" t="s">
        <v>904</v>
      </c>
      <c r="C556" s="456" t="s">
        <v>3346</v>
      </c>
      <c r="D556" s="456">
        <f>IF(Table11[[#This Row],[Current Age]]&gt;19,"Women's",IF(E556&gt;15,"U19",IF(E556&gt;13,"U15",IF(E556&gt;11,"U13",IF(E556&gt;0,"U11",0)))))</f>
        <v>0</v>
      </c>
      <c r="E556" s="456">
        <f>IFERROR(IF(Table11[[#This Row],[Year]]&gt;0,$E$1-Table11[[#This Row],[Year]],0),"")</f>
        <v>0</v>
      </c>
      <c r="F556" s="456"/>
      <c r="G556" s="456"/>
      <c r="H556" s="456"/>
    </row>
    <row r="557" spans="1:8" ht="13.5" customHeight="1">
      <c r="A557" s="471">
        <v>7553</v>
      </c>
      <c r="B557" s="540" t="s">
        <v>905</v>
      </c>
      <c r="C557" s="471" t="s">
        <v>256</v>
      </c>
      <c r="D557" s="456">
        <f>IF(Table11[[#This Row],[Current Age]]&gt;19,"Women's",IF(E557&gt;15,"U19",IF(E557&gt;13,"U15",IF(E557&gt;11,"U13",IF(E557&gt;0,"U11",0)))))</f>
        <v>0</v>
      </c>
      <c r="E557" s="456">
        <f>IFERROR(IF(Table11[[#This Row],[Year]]&gt;0,$E$1-Table11[[#This Row],[Year]],0),"")</f>
        <v>0</v>
      </c>
      <c r="F557" s="456"/>
      <c r="G557" s="456"/>
      <c r="H557" s="456"/>
    </row>
    <row r="558" spans="1:8" ht="13.5" customHeight="1">
      <c r="A558" s="456">
        <v>7554</v>
      </c>
      <c r="B558" s="457" t="s">
        <v>906</v>
      </c>
      <c r="C558" s="456" t="s">
        <v>256</v>
      </c>
      <c r="D558" s="456">
        <f>IF(Table11[[#This Row],[Current Age]]&gt;19,"Women's",IF(E558&gt;15,"U19",IF(E558&gt;13,"U15",IF(E558&gt;11,"U13",IF(E558&gt;0,"U11",0)))))</f>
        <v>0</v>
      </c>
      <c r="E558" s="456">
        <f>IFERROR(IF(Table11[[#This Row],[Year]]&gt;0,$E$1-Table11[[#This Row],[Year]],0),"")</f>
        <v>0</v>
      </c>
      <c r="F558" s="456"/>
      <c r="G558" s="456"/>
      <c r="H558" s="456"/>
    </row>
    <row r="559" spans="1:8" ht="13.5" customHeight="1">
      <c r="A559" s="471">
        <v>7555</v>
      </c>
      <c r="B559" s="540" t="s">
        <v>907</v>
      </c>
      <c r="C559" s="471" t="s">
        <v>256</v>
      </c>
      <c r="D559" s="456">
        <f>IF(Table11[[#This Row],[Current Age]]&gt;19,"Women's",IF(E559&gt;15,"U19",IF(E559&gt;13,"U15",IF(E559&gt;11,"U13",IF(E559&gt;0,"U11",0)))))</f>
        <v>0</v>
      </c>
      <c r="E559" s="456">
        <f>IFERROR(IF(Table11[[#This Row],[Year]]&gt;0,$E$1-Table11[[#This Row],[Year]],0),"")</f>
        <v>0</v>
      </c>
      <c r="F559" s="456"/>
      <c r="G559" s="456"/>
      <c r="H559" s="456"/>
    </row>
    <row r="560" spans="1:8" ht="13.5" customHeight="1">
      <c r="A560" s="456">
        <v>7556</v>
      </c>
      <c r="B560" s="457" t="s">
        <v>908</v>
      </c>
      <c r="C560" s="456" t="s">
        <v>256</v>
      </c>
      <c r="D560" s="456">
        <f>IF(Table11[[#This Row],[Current Age]]&gt;19,"Women's",IF(E560&gt;15,"U19",IF(E560&gt;13,"U15",IF(E560&gt;11,"U13",IF(E560&gt;0,"U11",0)))))</f>
        <v>0</v>
      </c>
      <c r="E560" s="456">
        <f>IFERROR(IF(Table11[[#This Row],[Year]]&gt;0,$E$1-Table11[[#This Row],[Year]],0),"")</f>
        <v>0</v>
      </c>
      <c r="F560" s="456"/>
      <c r="G560" s="456"/>
      <c r="H560" s="456"/>
    </row>
    <row r="561" spans="1:8" ht="13.5" customHeight="1">
      <c r="A561" s="471">
        <v>7557</v>
      </c>
      <c r="B561" s="540" t="s">
        <v>909</v>
      </c>
      <c r="C561" s="471" t="s">
        <v>256</v>
      </c>
      <c r="D561" s="456">
        <f>IF(Table11[[#This Row],[Current Age]]&gt;19,"Women's",IF(E561&gt;15,"U19",IF(E561&gt;13,"U15",IF(E561&gt;11,"U13",IF(E561&gt;0,"U11",0)))))</f>
        <v>0</v>
      </c>
      <c r="E561" s="456">
        <f>IFERROR(IF(Table11[[#This Row],[Year]]&gt;0,$E$1-Table11[[#This Row],[Year]],0),"")</f>
        <v>0</v>
      </c>
      <c r="F561" s="456"/>
      <c r="G561" s="456"/>
      <c r="H561" s="456"/>
    </row>
    <row r="562" spans="1:8" ht="13.5" customHeight="1">
      <c r="A562" s="456">
        <v>7558</v>
      </c>
      <c r="B562" s="457" t="s">
        <v>910</v>
      </c>
      <c r="C562" s="456" t="s">
        <v>256</v>
      </c>
      <c r="D562" s="456">
        <f>IF(Table11[[#This Row],[Current Age]]&gt;19,"Women's",IF(E562&gt;15,"U19",IF(E562&gt;13,"U15",IF(E562&gt;11,"U13",IF(E562&gt;0,"U11",0)))))</f>
        <v>0</v>
      </c>
      <c r="E562" s="456">
        <f>IFERROR(IF(Table11[[#This Row],[Year]]&gt;0,$E$1-Table11[[#This Row],[Year]],0),"")</f>
        <v>0</v>
      </c>
      <c r="F562" s="456"/>
      <c r="G562" s="456"/>
      <c r="H562" s="456"/>
    </row>
    <row r="563" spans="1:8" ht="13.5" customHeight="1">
      <c r="A563" s="471">
        <v>7559</v>
      </c>
      <c r="B563" s="540" t="s">
        <v>911</v>
      </c>
      <c r="C563" s="471" t="s">
        <v>256</v>
      </c>
      <c r="D563" s="456">
        <f>IF(Table11[[#This Row],[Current Age]]&gt;19,"Women's",IF(E563&gt;15,"U19",IF(E563&gt;13,"U15",IF(E563&gt;11,"U13",IF(E563&gt;0,"U11",0)))))</f>
        <v>0</v>
      </c>
      <c r="E563" s="456">
        <f>IFERROR(IF(Table11[[#This Row],[Year]]&gt;0,$E$1-Table11[[#This Row],[Year]],0),"")</f>
        <v>0</v>
      </c>
      <c r="F563" s="456"/>
      <c r="G563" s="456"/>
      <c r="H563" s="456"/>
    </row>
    <row r="564" spans="1:8" ht="13.5" customHeight="1">
      <c r="A564" s="456">
        <v>7560</v>
      </c>
      <c r="B564" s="457" t="s">
        <v>912</v>
      </c>
      <c r="C564" s="456" t="s">
        <v>256</v>
      </c>
      <c r="D564" s="456">
        <f>IF(Table11[[#This Row],[Current Age]]&gt;19,"Women's",IF(E564&gt;15,"U19",IF(E564&gt;13,"U15",IF(E564&gt;11,"U13",IF(E564&gt;0,"U11",0)))))</f>
        <v>0</v>
      </c>
      <c r="E564" s="456">
        <f>IFERROR(IF(Table11[[#This Row],[Year]]&gt;0,$E$1-Table11[[#This Row],[Year]],0),"")</f>
        <v>0</v>
      </c>
      <c r="F564" s="456"/>
      <c r="G564" s="456"/>
      <c r="H564" s="456"/>
    </row>
    <row r="565" spans="1:8" ht="13.5" customHeight="1">
      <c r="A565" s="471">
        <v>7561</v>
      </c>
      <c r="B565" s="540" t="s">
        <v>913</v>
      </c>
      <c r="C565" s="471" t="s">
        <v>256</v>
      </c>
      <c r="D565" s="456">
        <f>IF(Table11[[#This Row],[Current Age]]&gt;19,"Women's",IF(E565&gt;15,"U19",IF(E565&gt;13,"U15",IF(E565&gt;11,"U13",IF(E565&gt;0,"U11",0)))))</f>
        <v>0</v>
      </c>
      <c r="E565" s="456">
        <f>IFERROR(IF(Table11[[#This Row],[Year]]&gt;0,$E$1-Table11[[#This Row],[Year]],0),"")</f>
        <v>0</v>
      </c>
      <c r="F565" s="456"/>
      <c r="G565" s="456"/>
      <c r="H565" s="456"/>
    </row>
    <row r="566" spans="1:8" ht="13.5" customHeight="1">
      <c r="A566" s="456">
        <v>7562</v>
      </c>
      <c r="B566" s="457" t="s">
        <v>914</v>
      </c>
      <c r="C566" s="456" t="s">
        <v>256</v>
      </c>
      <c r="D566" s="456">
        <f>IF(Table11[[#This Row],[Current Age]]&gt;19,"Women's",IF(E566&gt;15,"U19",IF(E566&gt;13,"U15",IF(E566&gt;11,"U13",IF(E566&gt;0,"U11",0)))))</f>
        <v>0</v>
      </c>
      <c r="E566" s="456">
        <f>IFERROR(IF(Table11[[#This Row],[Year]]&gt;0,$E$1-Table11[[#This Row],[Year]],0),"")</f>
        <v>0</v>
      </c>
      <c r="F566" s="456"/>
      <c r="G566" s="456"/>
      <c r="H566" s="456"/>
    </row>
    <row r="567" spans="1:8" ht="13.5" customHeight="1">
      <c r="A567" s="471">
        <v>7563</v>
      </c>
      <c r="B567" s="540" t="s">
        <v>915</v>
      </c>
      <c r="C567" s="471" t="s">
        <v>256</v>
      </c>
      <c r="D567" s="456">
        <f>IF(Table11[[#This Row],[Current Age]]&gt;19,"Women's",IF(E567&gt;15,"U19",IF(E567&gt;13,"U15",IF(E567&gt;11,"U13",IF(E567&gt;0,"U11",0)))))</f>
        <v>0</v>
      </c>
      <c r="E567" s="456">
        <f>IFERROR(IF(Table11[[#This Row],[Year]]&gt;0,$E$1-Table11[[#This Row],[Year]],0),"")</f>
        <v>0</v>
      </c>
      <c r="F567" s="456"/>
      <c r="G567" s="456"/>
      <c r="H567" s="456"/>
    </row>
    <row r="568" spans="1:8" ht="13.5" customHeight="1">
      <c r="A568" s="456">
        <v>7564</v>
      </c>
      <c r="B568" s="457" t="s">
        <v>916</v>
      </c>
      <c r="C568" s="456" t="s">
        <v>255</v>
      </c>
      <c r="D568" s="456" t="str">
        <f>IF(Table11[[#This Row],[Current Age]]&gt;19,"Women's",IF(E568&gt;15,"U19",IF(E568&gt;13,"U15",IF(E568&gt;11,"U13",IF(E568&gt;0,"U11",0)))))</f>
        <v>Women's</v>
      </c>
      <c r="E568" s="456">
        <f>IFERROR(IF(Table11[[#This Row],[Year]]&gt;0,$E$1-Table11[[#This Row],[Year]],0),"")</f>
        <v>20</v>
      </c>
      <c r="F568" s="456">
        <v>2005</v>
      </c>
      <c r="G568" s="456">
        <v>12</v>
      </c>
      <c r="H568" s="456">
        <v>10</v>
      </c>
    </row>
    <row r="569" spans="1:8" ht="13.5" customHeight="1">
      <c r="A569" s="471">
        <v>7565</v>
      </c>
      <c r="B569" s="540" t="s">
        <v>917</v>
      </c>
      <c r="C569" s="471" t="s">
        <v>255</v>
      </c>
      <c r="D569" s="456" t="str">
        <f>IF(Table11[[#This Row],[Current Age]]&gt;19,"Women's",IF(E569&gt;15,"U19",IF(E569&gt;13,"U15",IF(E569&gt;11,"U13",IF(E569&gt;0,"U11",0)))))</f>
        <v>U19</v>
      </c>
      <c r="E569" s="456">
        <f>IFERROR(IF(Table11[[#This Row],[Year]]&gt;0,$E$1-Table11[[#This Row],[Year]],0),"")</f>
        <v>19</v>
      </c>
      <c r="F569" s="456">
        <v>2006</v>
      </c>
      <c r="G569" s="456">
        <v>8</v>
      </c>
      <c r="H569" s="456">
        <v>6</v>
      </c>
    </row>
    <row r="570" spans="1:8" ht="13.5" customHeight="1">
      <c r="A570" s="456">
        <v>7566</v>
      </c>
      <c r="B570" s="457" t="s">
        <v>918</v>
      </c>
      <c r="C570" s="456" t="s">
        <v>255</v>
      </c>
      <c r="D570" s="456" t="str">
        <f>IF(Table11[[#This Row],[Current Age]]&gt;19,"Women's",IF(E570&gt;15,"U19",IF(E570&gt;13,"U15",IF(E570&gt;11,"U13",IF(E570&gt;0,"U11",0)))))</f>
        <v>U19</v>
      </c>
      <c r="E570" s="456">
        <f>IFERROR(IF(Table11[[#This Row],[Year]]&gt;0,$E$1-Table11[[#This Row],[Year]],0),"")</f>
        <v>19</v>
      </c>
      <c r="F570" s="456">
        <v>2006</v>
      </c>
      <c r="G570" s="456">
        <v>5</v>
      </c>
      <c r="H570" s="456">
        <v>30</v>
      </c>
    </row>
    <row r="571" spans="1:8" ht="13.5" customHeight="1">
      <c r="A571" s="471">
        <v>7567</v>
      </c>
      <c r="B571" s="540" t="s">
        <v>919</v>
      </c>
      <c r="C571" s="471" t="s">
        <v>255</v>
      </c>
      <c r="D571" s="456">
        <f>IF(Table11[[#This Row],[Current Age]]&gt;19,"Women's",IF(E571&gt;15,"U19",IF(E571&gt;13,"U15",IF(E571&gt;11,"U13",IF(E571&gt;0,"U11",0)))))</f>
        <v>0</v>
      </c>
      <c r="E571" s="456">
        <f>IFERROR(IF(Table11[[#This Row],[Year]]&gt;0,$E$1-Table11[[#This Row],[Year]],0),"")</f>
        <v>0</v>
      </c>
      <c r="F571" s="456"/>
      <c r="G571" s="456"/>
      <c r="H571" s="456"/>
    </row>
    <row r="572" spans="1:8" ht="13.5" customHeight="1">
      <c r="A572" s="456">
        <v>7568</v>
      </c>
      <c r="B572" s="457" t="s">
        <v>920</v>
      </c>
      <c r="C572" s="456" t="s">
        <v>255</v>
      </c>
      <c r="D572" s="456" t="str">
        <f>IF(Table11[[#This Row],[Current Age]]&gt;19,"Women's",IF(E572&gt;15,"U19",IF(E572&gt;13,"U15",IF(E572&gt;11,"U13",IF(E572&gt;0,"U11",0)))))</f>
        <v>Women's</v>
      </c>
      <c r="E572" s="456">
        <f>IFERROR(IF(Table11[[#This Row],[Year]]&gt;0,$E$1-Table11[[#This Row],[Year]],0),"")</f>
        <v>21</v>
      </c>
      <c r="F572" s="456">
        <v>2004</v>
      </c>
      <c r="G572" s="456">
        <v>9</v>
      </c>
      <c r="H572" s="456">
        <v>5</v>
      </c>
    </row>
    <row r="573" spans="1:8" ht="13.5" customHeight="1">
      <c r="A573" s="471">
        <v>7569</v>
      </c>
      <c r="B573" s="540" t="s">
        <v>921</v>
      </c>
      <c r="C573" s="471" t="s">
        <v>255</v>
      </c>
      <c r="D573" s="456" t="str">
        <f>IF(Table11[[#This Row],[Current Age]]&gt;19,"Women's",IF(E573&gt;15,"U19",IF(E573&gt;13,"U15",IF(E573&gt;11,"U13",IF(E573&gt;0,"U11",0)))))</f>
        <v>Women's</v>
      </c>
      <c r="E573" s="456">
        <f>IFERROR(IF(Table11[[#This Row],[Year]]&gt;0,$E$1-Table11[[#This Row],[Year]],0),"")</f>
        <v>21</v>
      </c>
      <c r="F573" s="456">
        <v>2004</v>
      </c>
      <c r="G573" s="456">
        <v>2</v>
      </c>
      <c r="H573" s="456">
        <v>10</v>
      </c>
    </row>
    <row r="574" spans="1:8" ht="13.5" customHeight="1">
      <c r="A574" s="456">
        <v>7570</v>
      </c>
      <c r="B574" s="457" t="s">
        <v>922</v>
      </c>
      <c r="C574" s="456" t="s">
        <v>255</v>
      </c>
      <c r="D574" s="456" t="str">
        <f>IF(Table11[[#This Row],[Current Age]]&gt;19,"Women's",IF(E574&gt;15,"U19",IF(E574&gt;13,"U15",IF(E574&gt;11,"U13",IF(E574&gt;0,"U11",0)))))</f>
        <v>Women's</v>
      </c>
      <c r="E574" s="456">
        <f>IFERROR(IF(Table11[[#This Row],[Year]]&gt;0,$E$1-Table11[[#This Row],[Year]],0),"")</f>
        <v>21</v>
      </c>
      <c r="F574" s="456">
        <v>2004</v>
      </c>
      <c r="G574" s="456">
        <v>4</v>
      </c>
      <c r="H574" s="456">
        <v>14</v>
      </c>
    </row>
    <row r="575" spans="1:8" ht="13.5" customHeight="1">
      <c r="A575" s="471">
        <v>7571</v>
      </c>
      <c r="B575" s="540" t="s">
        <v>923</v>
      </c>
      <c r="C575" s="471" t="s">
        <v>255</v>
      </c>
      <c r="D575" s="456">
        <f>IF(Table11[[#This Row],[Current Age]]&gt;19,"Women's",IF(E575&gt;15,"U19",IF(E575&gt;13,"U15",IF(E575&gt;11,"U13",IF(E575&gt;0,"U11",0)))))</f>
        <v>0</v>
      </c>
      <c r="E575" s="456">
        <f>IFERROR(IF(Table11[[#This Row],[Year]]&gt;0,$E$1-Table11[[#This Row],[Year]],0),"")</f>
        <v>0</v>
      </c>
      <c r="F575" s="456"/>
      <c r="G575" s="456"/>
      <c r="H575" s="456"/>
    </row>
    <row r="576" spans="1:8" ht="13.5" customHeight="1">
      <c r="A576" s="456">
        <v>7572</v>
      </c>
      <c r="B576" s="457" t="s">
        <v>924</v>
      </c>
      <c r="C576" s="456" t="s">
        <v>255</v>
      </c>
      <c r="D576" s="456" t="str">
        <f>IF(Table11[[#This Row],[Current Age]]&gt;19,"Women's",IF(E576&gt;15,"U19",IF(E576&gt;13,"U15",IF(E576&gt;11,"U13",IF(E576&gt;0,"U11",0)))))</f>
        <v>Women's</v>
      </c>
      <c r="E576" s="456">
        <f>IFERROR(IF(Table11[[#This Row],[Year]]&gt;0,$E$1-Table11[[#This Row],[Year]],0),"")</f>
        <v>23</v>
      </c>
      <c r="F576" s="456">
        <v>2002</v>
      </c>
      <c r="G576" s="456">
        <v>2</v>
      </c>
      <c r="H576" s="456">
        <v>18</v>
      </c>
    </row>
    <row r="577" spans="1:8" ht="13.5" customHeight="1">
      <c r="A577" s="471">
        <v>7573</v>
      </c>
      <c r="B577" s="540" t="s">
        <v>925</v>
      </c>
      <c r="C577" s="471" t="s">
        <v>255</v>
      </c>
      <c r="D577" s="456" t="str">
        <f>IF(Table11[[#This Row],[Current Age]]&gt;19,"Women's",IF(E577&gt;15,"U19",IF(E577&gt;13,"U15",IF(E577&gt;11,"U13",IF(E577&gt;0,"U11",0)))))</f>
        <v>Women's</v>
      </c>
      <c r="E577" s="456">
        <f>IFERROR(IF(Table11[[#This Row],[Year]]&gt;0,$E$1-Table11[[#This Row],[Year]],0),"")</f>
        <v>23</v>
      </c>
      <c r="F577" s="456">
        <v>2002</v>
      </c>
      <c r="G577" s="456">
        <v>7</v>
      </c>
      <c r="H577" s="456">
        <v>8</v>
      </c>
    </row>
    <row r="578" spans="1:8" ht="13.5" customHeight="1">
      <c r="A578" s="456">
        <v>7574</v>
      </c>
      <c r="B578" s="457" t="s">
        <v>926</v>
      </c>
      <c r="C578" s="456" t="s">
        <v>255</v>
      </c>
      <c r="D578" s="456" t="str">
        <f>IF(Table11[[#This Row],[Current Age]]&gt;19,"Women's",IF(E578&gt;15,"U19",IF(E578&gt;13,"U15",IF(E578&gt;11,"U13",IF(E578&gt;0,"U11",0)))))</f>
        <v>Women's</v>
      </c>
      <c r="E578" s="456">
        <f>IFERROR(IF(Table11[[#This Row],[Year]]&gt;0,$E$1-Table11[[#This Row],[Year]],0),"")</f>
        <v>23</v>
      </c>
      <c r="F578" s="456">
        <v>2002</v>
      </c>
      <c r="G578" s="456">
        <v>6</v>
      </c>
      <c r="H578" s="456">
        <v>26</v>
      </c>
    </row>
    <row r="579" spans="1:8" ht="13.5" customHeight="1">
      <c r="A579" s="471">
        <v>7575</v>
      </c>
      <c r="B579" s="540" t="s">
        <v>927</v>
      </c>
      <c r="C579" s="471" t="s">
        <v>255</v>
      </c>
      <c r="D579" s="456">
        <f>IF(Table11[[#This Row],[Current Age]]&gt;19,"Women's",IF(E579&gt;15,"U19",IF(E579&gt;13,"U15",IF(E579&gt;11,"U13",IF(E579&gt;0,"U11",0)))))</f>
        <v>0</v>
      </c>
      <c r="E579" s="456">
        <f>IFERROR(IF(Table11[[#This Row],[Year]]&gt;0,$E$1-Table11[[#This Row],[Year]],0),"")</f>
        <v>0</v>
      </c>
      <c r="F579" s="456"/>
      <c r="G579" s="456"/>
      <c r="H579" s="456"/>
    </row>
    <row r="580" spans="1:8" ht="13.5" customHeight="1">
      <c r="A580" s="456">
        <v>7576</v>
      </c>
      <c r="B580" s="457" t="s">
        <v>928</v>
      </c>
      <c r="C580" s="456" t="s">
        <v>255</v>
      </c>
      <c r="D580" s="456">
        <f>IF(Table11[[#This Row],[Current Age]]&gt;19,"Women's",IF(E580&gt;15,"U19",IF(E580&gt;13,"U15",IF(E580&gt;11,"U13",IF(E580&gt;0,"U11",0)))))</f>
        <v>0</v>
      </c>
      <c r="E580" s="456">
        <f>IFERROR(IF(Table11[[#This Row],[Year]]&gt;0,$E$1-Table11[[#This Row],[Year]],0),"")</f>
        <v>0</v>
      </c>
      <c r="F580" s="456"/>
      <c r="G580" s="456"/>
      <c r="H580" s="456"/>
    </row>
    <row r="581" spans="1:8" ht="13.5" customHeight="1">
      <c r="A581" s="471">
        <v>7577</v>
      </c>
      <c r="B581" s="540" t="s">
        <v>1934</v>
      </c>
      <c r="C581" s="471" t="s">
        <v>1908</v>
      </c>
      <c r="D581" s="456">
        <f>IF(Table11[[#This Row],[Current Age]]&gt;19,"Women's",IF(E581&gt;15,"U19",IF(E581&gt;13,"U15",IF(E581&gt;11,"U13",IF(E581&gt;0,"U11",0)))))</f>
        <v>0</v>
      </c>
      <c r="E581" s="456">
        <f>IFERROR(IF(Table11[[#This Row],[Year]]&gt;0,$E$1-Table11[[#This Row],[Year]],0),"")</f>
        <v>0</v>
      </c>
      <c r="F581" s="456"/>
      <c r="G581" s="456"/>
      <c r="H581" s="456"/>
    </row>
    <row r="582" spans="1:8" ht="13.5" customHeight="1">
      <c r="A582" s="456">
        <v>7578</v>
      </c>
      <c r="B582" s="457" t="s">
        <v>930</v>
      </c>
      <c r="C582" s="456" t="s">
        <v>256</v>
      </c>
      <c r="D582" s="456">
        <f>IF(Table11[[#This Row],[Current Age]]&gt;19,"Women's",IF(E582&gt;15,"U19",IF(E582&gt;13,"U15",IF(E582&gt;11,"U13",IF(E582&gt;0,"U11",0)))))</f>
        <v>0</v>
      </c>
      <c r="E582" s="456">
        <f>IFERROR(IF(Table11[[#This Row],[Year]]&gt;0,$E$1-Table11[[#This Row],[Year]],0),"")</f>
        <v>0</v>
      </c>
      <c r="F582" s="456"/>
      <c r="G582" s="456"/>
      <c r="H582" s="456"/>
    </row>
    <row r="583" spans="1:8" ht="13.5" customHeight="1">
      <c r="A583" s="471">
        <v>7579</v>
      </c>
      <c r="B583" s="540" t="s">
        <v>931</v>
      </c>
      <c r="C583" s="471" t="s">
        <v>2857</v>
      </c>
      <c r="D583" s="456">
        <f>IF(Table11[[#This Row],[Current Age]]&gt;19,"Women's",IF(E583&gt;15,"U19",IF(E583&gt;13,"U15",IF(E583&gt;11,"U13",IF(E583&gt;0,"U11",0)))))</f>
        <v>0</v>
      </c>
      <c r="E583" s="456">
        <f>IFERROR(IF(Table11[[#This Row],[Year]]&gt;0,$E$1-Table11[[#This Row],[Year]],0),"")</f>
        <v>0</v>
      </c>
      <c r="F583" s="456"/>
      <c r="G583" s="456"/>
      <c r="H583" s="456"/>
    </row>
    <row r="584" spans="1:8" ht="13.5" customHeight="1">
      <c r="A584" s="456">
        <v>7580</v>
      </c>
      <c r="B584" s="457" t="s">
        <v>932</v>
      </c>
      <c r="C584" s="456" t="s">
        <v>253</v>
      </c>
      <c r="D584" s="456">
        <f>IF(Table11[[#This Row],[Current Age]]&gt;19,"Women's",IF(E584&gt;15,"U19",IF(E584&gt;13,"U15",IF(E584&gt;11,"U13",IF(E584&gt;0,"U11",0)))))</f>
        <v>0</v>
      </c>
      <c r="E584" s="456">
        <f>IFERROR(IF(Table11[[#This Row],[Year]]&gt;0,$E$1-Table11[[#This Row],[Year]],0),"")</f>
        <v>0</v>
      </c>
      <c r="F584" s="456"/>
      <c r="G584" s="456"/>
      <c r="H584" s="456"/>
    </row>
    <row r="585" spans="1:8" ht="13.5" customHeight="1">
      <c r="A585" s="471">
        <v>7581</v>
      </c>
      <c r="B585" s="540" t="s">
        <v>933</v>
      </c>
      <c r="C585" s="471" t="s">
        <v>253</v>
      </c>
      <c r="D585" s="456">
        <f>IF(Table11[[#This Row],[Current Age]]&gt;19,"Women's",IF(E585&gt;15,"U19",IF(E585&gt;13,"U15",IF(E585&gt;11,"U13",IF(E585&gt;0,"U11",0)))))</f>
        <v>0</v>
      </c>
      <c r="E585" s="456">
        <f>IFERROR(IF(Table11[[#This Row],[Year]]&gt;0,$E$1-Table11[[#This Row],[Year]],0),"")</f>
        <v>0</v>
      </c>
      <c r="F585" s="456"/>
      <c r="G585" s="456"/>
      <c r="H585" s="456"/>
    </row>
    <row r="586" spans="1:8" ht="13.5" customHeight="1">
      <c r="A586" s="456">
        <v>7582</v>
      </c>
      <c r="B586" s="457" t="s">
        <v>934</v>
      </c>
      <c r="C586" s="456" t="s">
        <v>253</v>
      </c>
      <c r="D586" s="456">
        <f>IF(Table11[[#This Row],[Current Age]]&gt;19,"Women's",IF(E586&gt;15,"U19",IF(E586&gt;13,"U15",IF(E586&gt;11,"U13",IF(E586&gt;0,"U11",0)))))</f>
        <v>0</v>
      </c>
      <c r="E586" s="456">
        <f>IFERROR(IF(Table11[[#This Row],[Year]]&gt;0,$E$1-Table11[[#This Row],[Year]],0),"")</f>
        <v>0</v>
      </c>
      <c r="F586" s="456"/>
      <c r="G586" s="456"/>
      <c r="H586" s="456"/>
    </row>
    <row r="587" spans="1:8" ht="13.5" customHeight="1">
      <c r="A587" s="471">
        <v>7583</v>
      </c>
      <c r="B587" s="540" t="s">
        <v>935</v>
      </c>
      <c r="C587" s="471" t="s">
        <v>253</v>
      </c>
      <c r="D587" s="456">
        <f>IF(Table11[[#This Row],[Current Age]]&gt;19,"Women's",IF(E587&gt;15,"U19",IF(E587&gt;13,"U15",IF(E587&gt;11,"U13",IF(E587&gt;0,"U11",0)))))</f>
        <v>0</v>
      </c>
      <c r="E587" s="456">
        <f>IFERROR(IF(Table11[[#This Row],[Year]]&gt;0,$E$1-Table11[[#This Row],[Year]],0),"")</f>
        <v>0</v>
      </c>
      <c r="F587" s="456"/>
      <c r="G587" s="456"/>
      <c r="H587" s="456"/>
    </row>
    <row r="588" spans="1:8" ht="13.5" customHeight="1">
      <c r="A588" s="456">
        <v>7584</v>
      </c>
      <c r="B588" s="457" t="s">
        <v>936</v>
      </c>
      <c r="C588" s="456" t="s">
        <v>253</v>
      </c>
      <c r="D588" s="456">
        <f>IF(Table11[[#This Row],[Current Age]]&gt;19,"Women's",IF(E588&gt;15,"U19",IF(E588&gt;13,"U15",IF(E588&gt;11,"U13",IF(E588&gt;0,"U11",0)))))</f>
        <v>0</v>
      </c>
      <c r="E588" s="456">
        <f>IFERROR(IF(Table11[[#This Row],[Year]]&gt;0,$E$1-Table11[[#This Row],[Year]],0),"")</f>
        <v>0</v>
      </c>
      <c r="F588" s="456"/>
      <c r="G588" s="456"/>
      <c r="H588" s="456"/>
    </row>
    <row r="589" spans="1:8" ht="13.5" customHeight="1">
      <c r="A589" s="471">
        <v>7585</v>
      </c>
      <c r="B589" s="540" t="s">
        <v>937</v>
      </c>
      <c r="C589" s="471" t="s">
        <v>253</v>
      </c>
      <c r="D589" s="456">
        <f>IF(Table11[[#This Row],[Current Age]]&gt;19,"Women's",IF(E589&gt;15,"U19",IF(E589&gt;13,"U15",IF(E589&gt;11,"U13",IF(E589&gt;0,"U11",0)))))</f>
        <v>0</v>
      </c>
      <c r="E589" s="456">
        <f>IFERROR(IF(Table11[[#This Row],[Year]]&gt;0,$E$1-Table11[[#This Row],[Year]],0),"")</f>
        <v>0</v>
      </c>
      <c r="F589" s="456"/>
      <c r="G589" s="456"/>
      <c r="H589" s="456"/>
    </row>
    <row r="590" spans="1:8" ht="13.5" customHeight="1">
      <c r="A590" s="456">
        <v>7586</v>
      </c>
      <c r="B590" s="457" t="s">
        <v>938</v>
      </c>
      <c r="C590" s="456" t="s">
        <v>253</v>
      </c>
      <c r="D590" s="456">
        <f>IF(Table11[[#This Row],[Current Age]]&gt;19,"Women's",IF(E590&gt;15,"U19",IF(E590&gt;13,"U15",IF(E590&gt;11,"U13",IF(E590&gt;0,"U11",0)))))</f>
        <v>0</v>
      </c>
      <c r="E590" s="456">
        <f>IFERROR(IF(Table11[[#This Row],[Year]]&gt;0,$E$1-Table11[[#This Row],[Year]],0),"")</f>
        <v>0</v>
      </c>
      <c r="F590" s="456"/>
      <c r="G590" s="456"/>
      <c r="H590" s="456"/>
    </row>
    <row r="591" spans="1:8" ht="13.5" customHeight="1">
      <c r="A591" s="471">
        <v>7587</v>
      </c>
      <c r="B591" s="540" t="s">
        <v>939</v>
      </c>
      <c r="C591" s="471" t="s">
        <v>253</v>
      </c>
      <c r="D591" s="456">
        <f>IF(Table11[[#This Row],[Current Age]]&gt;19,"Women's",IF(E591&gt;15,"U19",IF(E591&gt;13,"U15",IF(E591&gt;11,"U13",IF(E591&gt;0,"U11",0)))))</f>
        <v>0</v>
      </c>
      <c r="E591" s="456">
        <f>IFERROR(IF(Table11[[#This Row],[Year]]&gt;0,$E$1-Table11[[#This Row],[Year]],0),"")</f>
        <v>0</v>
      </c>
      <c r="F591" s="456"/>
      <c r="G591" s="456"/>
      <c r="H591" s="456"/>
    </row>
    <row r="592" spans="1:8" ht="13.5" customHeight="1">
      <c r="A592" s="456">
        <v>7588</v>
      </c>
      <c r="B592" s="457" t="s">
        <v>940</v>
      </c>
      <c r="C592" s="456" t="s">
        <v>253</v>
      </c>
      <c r="D592" s="456">
        <f>IF(Table11[[#This Row],[Current Age]]&gt;19,"Women's",IF(E592&gt;15,"U19",IF(E592&gt;13,"U15",IF(E592&gt;11,"U13",IF(E592&gt;0,"U11",0)))))</f>
        <v>0</v>
      </c>
      <c r="E592" s="456">
        <f>IFERROR(IF(Table11[[#This Row],[Year]]&gt;0,$E$1-Table11[[#This Row],[Year]],0),"")</f>
        <v>0</v>
      </c>
      <c r="F592" s="456"/>
      <c r="G592" s="456"/>
      <c r="H592" s="456"/>
    </row>
    <row r="593" spans="1:8" ht="13.5" customHeight="1">
      <c r="A593" s="471">
        <v>7589</v>
      </c>
      <c r="B593" s="540" t="s">
        <v>941</v>
      </c>
      <c r="C593" s="471" t="s">
        <v>253</v>
      </c>
      <c r="D593" s="456">
        <f>IF(Table11[[#This Row],[Current Age]]&gt;19,"Women's",IF(E593&gt;15,"U19",IF(E593&gt;13,"U15",IF(E593&gt;11,"U13",IF(E593&gt;0,"U11",0)))))</f>
        <v>0</v>
      </c>
      <c r="E593" s="456">
        <f>IFERROR(IF(Table11[[#This Row],[Year]]&gt;0,$E$1-Table11[[#This Row],[Year]],0),"")</f>
        <v>0</v>
      </c>
      <c r="F593" s="456"/>
      <c r="G593" s="456"/>
      <c r="H593" s="456"/>
    </row>
    <row r="594" spans="1:8" ht="13.5" customHeight="1">
      <c r="A594" s="456">
        <v>7590</v>
      </c>
      <c r="B594" s="457" t="s">
        <v>942</v>
      </c>
      <c r="C594" s="456" t="s">
        <v>253</v>
      </c>
      <c r="D594" s="456">
        <f>IF(Table11[[#This Row],[Current Age]]&gt;19,"Women's",IF(E594&gt;15,"U19",IF(E594&gt;13,"U15",IF(E594&gt;11,"U13",IF(E594&gt;0,"U11",0)))))</f>
        <v>0</v>
      </c>
      <c r="E594" s="456">
        <f>IFERROR(IF(Table11[[#This Row],[Year]]&gt;0,$E$1-Table11[[#This Row],[Year]],0),"")</f>
        <v>0</v>
      </c>
      <c r="F594" s="456"/>
      <c r="G594" s="456"/>
      <c r="H594" s="456"/>
    </row>
    <row r="595" spans="1:8" ht="13.5" customHeight="1">
      <c r="A595" s="471">
        <v>7591</v>
      </c>
      <c r="B595" s="540" t="s">
        <v>943</v>
      </c>
      <c r="C595" s="471" t="s">
        <v>253</v>
      </c>
      <c r="D595" s="456">
        <f>IF(Table11[[#This Row],[Current Age]]&gt;19,"Women's",IF(E595&gt;15,"U19",IF(E595&gt;13,"U15",IF(E595&gt;11,"U13",IF(E595&gt;0,"U11",0)))))</f>
        <v>0</v>
      </c>
      <c r="E595" s="456">
        <f>IFERROR(IF(Table11[[#This Row],[Year]]&gt;0,$E$1-Table11[[#This Row],[Year]],0),"")</f>
        <v>0</v>
      </c>
      <c r="F595" s="456"/>
      <c r="G595" s="456"/>
      <c r="H595" s="456"/>
    </row>
    <row r="596" spans="1:8" ht="13.5" customHeight="1">
      <c r="A596" s="456">
        <v>7592</v>
      </c>
      <c r="B596" s="457" t="s">
        <v>944</v>
      </c>
      <c r="C596" s="456" t="s">
        <v>256</v>
      </c>
      <c r="D596" s="456">
        <f>IF(Table11[[#This Row],[Current Age]]&gt;19,"Women's",IF(E596&gt;15,"U19",IF(E596&gt;13,"U15",IF(E596&gt;11,"U13",IF(E596&gt;0,"U11",0)))))</f>
        <v>0</v>
      </c>
      <c r="E596" s="456">
        <f>IFERROR(IF(Table11[[#This Row],[Year]]&gt;0,$E$1-Table11[[#This Row],[Year]],0),"")</f>
        <v>0</v>
      </c>
      <c r="F596" s="456"/>
      <c r="G596" s="456"/>
      <c r="H596" s="456"/>
    </row>
    <row r="597" spans="1:8" ht="13.5" customHeight="1">
      <c r="A597" s="471">
        <v>7593</v>
      </c>
      <c r="B597" s="540" t="s">
        <v>1935</v>
      </c>
      <c r="C597" s="471" t="s">
        <v>1908</v>
      </c>
      <c r="D597" s="456">
        <f>IF(Table11[[#This Row],[Current Age]]&gt;19,"Women's",IF(E597&gt;15,"U19",IF(E597&gt;13,"U15",IF(E597&gt;11,"U13",IF(E597&gt;0,"U11",0)))))</f>
        <v>0</v>
      </c>
      <c r="E597" s="456">
        <f>IFERROR(IF(Table11[[#This Row],[Year]]&gt;0,$E$1-Table11[[#This Row],[Year]],0),"")</f>
        <v>0</v>
      </c>
      <c r="F597" s="456"/>
      <c r="G597" s="456"/>
      <c r="H597" s="456"/>
    </row>
    <row r="598" spans="1:8" ht="13.5" customHeight="1">
      <c r="A598" s="456">
        <v>7594</v>
      </c>
      <c r="B598" s="457" t="s">
        <v>946</v>
      </c>
      <c r="C598" s="456" t="s">
        <v>256</v>
      </c>
      <c r="D598" s="456">
        <f>IF(Table11[[#This Row],[Current Age]]&gt;19,"Women's",IF(E598&gt;15,"U19",IF(E598&gt;13,"U15",IF(E598&gt;11,"U13",IF(E598&gt;0,"U11",0)))))</f>
        <v>0</v>
      </c>
      <c r="E598" s="456">
        <f>IFERROR(IF(Table11[[#This Row],[Year]]&gt;0,$E$1-Table11[[#This Row],[Year]],0),"")</f>
        <v>0</v>
      </c>
      <c r="F598" s="456"/>
      <c r="G598" s="456"/>
      <c r="H598" s="456"/>
    </row>
    <row r="599" spans="1:8" ht="13.5" customHeight="1">
      <c r="A599" s="471">
        <v>7595</v>
      </c>
      <c r="B599" s="540" t="s">
        <v>947</v>
      </c>
      <c r="C599" s="471" t="s">
        <v>256</v>
      </c>
      <c r="D599" s="456">
        <f>IF(Table11[[#This Row],[Current Age]]&gt;19,"Women's",IF(E599&gt;15,"U19",IF(E599&gt;13,"U15",IF(E599&gt;11,"U13",IF(E599&gt;0,"U11",0)))))</f>
        <v>0</v>
      </c>
      <c r="E599" s="456">
        <f>IFERROR(IF(Table11[[#This Row],[Year]]&gt;0,$E$1-Table11[[#This Row],[Year]],0),"")</f>
        <v>0</v>
      </c>
      <c r="F599" s="456"/>
      <c r="G599" s="456"/>
      <c r="H599" s="456"/>
    </row>
    <row r="600" spans="1:8" ht="13.5" customHeight="1">
      <c r="A600" s="456">
        <v>7596</v>
      </c>
      <c r="B600" s="457" t="s">
        <v>948</v>
      </c>
      <c r="C600" s="456" t="s">
        <v>256</v>
      </c>
      <c r="D600" s="456">
        <f>IF(Table11[[#This Row],[Current Age]]&gt;19,"Women's",IF(E600&gt;15,"U19",IF(E600&gt;13,"U15",IF(E600&gt;11,"U13",IF(E600&gt;0,"U11",0)))))</f>
        <v>0</v>
      </c>
      <c r="E600" s="456">
        <f>IFERROR(IF(Table11[[#This Row],[Year]]&gt;0,$E$1-Table11[[#This Row],[Year]],0),"")</f>
        <v>0</v>
      </c>
      <c r="F600" s="456"/>
      <c r="G600" s="456"/>
      <c r="H600" s="456"/>
    </row>
    <row r="601" spans="1:8" ht="13.5" customHeight="1">
      <c r="A601" s="471">
        <v>7597</v>
      </c>
      <c r="B601" s="540" t="s">
        <v>949</v>
      </c>
      <c r="C601" s="471" t="s">
        <v>256</v>
      </c>
      <c r="D601" s="456">
        <f>IF(Table11[[#This Row],[Current Age]]&gt;19,"Women's",IF(E601&gt;15,"U19",IF(E601&gt;13,"U15",IF(E601&gt;11,"U13",IF(E601&gt;0,"U11",0)))))</f>
        <v>0</v>
      </c>
      <c r="E601" s="456">
        <f>IFERROR(IF(Table11[[#This Row],[Year]]&gt;0,$E$1-Table11[[#This Row],[Year]],0),"")</f>
        <v>0</v>
      </c>
      <c r="F601" s="456"/>
      <c r="G601" s="456"/>
      <c r="H601" s="456"/>
    </row>
    <row r="602" spans="1:8" ht="13.5" customHeight="1">
      <c r="A602" s="456">
        <v>7598</v>
      </c>
      <c r="B602" s="457" t="s">
        <v>950</v>
      </c>
      <c r="C602" s="456" t="s">
        <v>252</v>
      </c>
      <c r="D602" s="456">
        <f>IF(Table11[[#This Row],[Current Age]]&gt;19,"Women's",IF(E602&gt;15,"U19",IF(E602&gt;13,"U15",IF(E602&gt;11,"U13",IF(E602&gt;0,"U11",0)))))</f>
        <v>0</v>
      </c>
      <c r="E602" s="456">
        <f>IFERROR(IF(Table11[[#This Row],[Year]]&gt;0,$E$1-Table11[[#This Row],[Year]],0),"")</f>
        <v>0</v>
      </c>
      <c r="F602" s="456"/>
      <c r="G602" s="456"/>
      <c r="H602" s="456"/>
    </row>
    <row r="603" spans="1:8" ht="13.5" customHeight="1">
      <c r="A603" s="471">
        <v>7599</v>
      </c>
      <c r="B603" s="540" t="s">
        <v>951</v>
      </c>
      <c r="C603" s="471" t="s">
        <v>698</v>
      </c>
      <c r="D603" s="456">
        <f>IF(Table11[[#This Row],[Current Age]]&gt;19,"Women's",IF(E603&gt;15,"U19",IF(E603&gt;13,"U15",IF(E603&gt;11,"U13",IF(E603&gt;0,"U11",0)))))</f>
        <v>0</v>
      </c>
      <c r="E603" s="456">
        <f>IFERROR(IF(Table11[[#This Row],[Year]]&gt;0,$E$1-Table11[[#This Row],[Year]],0),"")</f>
        <v>0</v>
      </c>
      <c r="F603" s="456"/>
      <c r="G603" s="456"/>
      <c r="H603" s="456"/>
    </row>
    <row r="604" spans="1:8" ht="13.5" customHeight="1">
      <c r="A604" s="456">
        <v>7600</v>
      </c>
      <c r="B604" s="457" t="s">
        <v>952</v>
      </c>
      <c r="C604" s="456" t="s">
        <v>3346</v>
      </c>
      <c r="D604" s="456">
        <f>IF(Table11[[#This Row],[Current Age]]&gt;19,"Women's",IF(E604&gt;15,"U19",IF(E604&gt;13,"U15",IF(E604&gt;11,"U13",IF(E604&gt;0,"U11",0)))))</f>
        <v>0</v>
      </c>
      <c r="E604" s="456">
        <f>IFERROR(IF(Table11[[#This Row],[Year]]&gt;0,$E$1-Table11[[#This Row],[Year]],0),"")</f>
        <v>0</v>
      </c>
      <c r="F604" s="456"/>
      <c r="G604" s="456"/>
      <c r="H604" s="456"/>
    </row>
    <row r="605" spans="1:8" ht="13.5" customHeight="1">
      <c r="A605" s="471">
        <v>7601</v>
      </c>
      <c r="B605" s="540" t="s">
        <v>953</v>
      </c>
      <c r="C605" s="471" t="s">
        <v>698</v>
      </c>
      <c r="D605" s="456">
        <f>IF(Table11[[#This Row],[Current Age]]&gt;19,"Women's",IF(E605&gt;15,"U19",IF(E605&gt;13,"U15",IF(E605&gt;11,"U13",IF(E605&gt;0,"U11",0)))))</f>
        <v>0</v>
      </c>
      <c r="E605" s="456">
        <f>IFERROR(IF(Table11[[#This Row],[Year]]&gt;0,$E$1-Table11[[#This Row],[Year]],0),"")</f>
        <v>0</v>
      </c>
      <c r="F605" s="456"/>
      <c r="G605" s="456"/>
      <c r="H605" s="456"/>
    </row>
    <row r="606" spans="1:8" ht="13.5" customHeight="1">
      <c r="A606" s="456">
        <v>7602</v>
      </c>
      <c r="B606" s="457" t="s">
        <v>954</v>
      </c>
      <c r="C606" s="456" t="s">
        <v>698</v>
      </c>
      <c r="D606" s="456">
        <f>IF(Table11[[#This Row],[Current Age]]&gt;19,"Women's",IF(E606&gt;15,"U19",IF(E606&gt;13,"U15",IF(E606&gt;11,"U13",IF(E606&gt;0,"U11",0)))))</f>
        <v>0</v>
      </c>
      <c r="E606" s="456">
        <f>IFERROR(IF(Table11[[#This Row],[Year]]&gt;0,$E$1-Table11[[#This Row],[Year]],0),"")</f>
        <v>0</v>
      </c>
      <c r="F606" s="456"/>
      <c r="G606" s="456"/>
      <c r="H606" s="456"/>
    </row>
    <row r="607" spans="1:8" ht="13.5" customHeight="1">
      <c r="A607" s="471">
        <v>7603</v>
      </c>
      <c r="B607" s="540" t="s">
        <v>955</v>
      </c>
      <c r="C607" s="471" t="s">
        <v>362</v>
      </c>
      <c r="D607" s="456" t="str">
        <f>IF(Table11[[#This Row],[Current Age]]&gt;19,"Women's",IF(E607&gt;15,"U19",IF(E607&gt;13,"U15",IF(E607&gt;11,"U13",IF(E607&gt;0,"U11",0)))))</f>
        <v>Women's</v>
      </c>
      <c r="E607" s="456">
        <f>IFERROR(IF(Table11[[#This Row],[Year]]&gt;0,$E$1-Table11[[#This Row],[Year]],0),"")</f>
        <v>20</v>
      </c>
      <c r="F607" s="456">
        <v>2005</v>
      </c>
      <c r="G607" s="456">
        <v>11</v>
      </c>
      <c r="H607" s="456">
        <v>1</v>
      </c>
    </row>
    <row r="608" spans="1:8" ht="13.5" customHeight="1">
      <c r="A608" s="456">
        <v>7604</v>
      </c>
      <c r="B608" s="457" t="s">
        <v>956</v>
      </c>
      <c r="C608" s="456" t="s">
        <v>698</v>
      </c>
      <c r="D608" s="456">
        <f>IF(Table11[[#This Row],[Current Age]]&gt;19,"Women's",IF(E608&gt;15,"U19",IF(E608&gt;13,"U15",IF(E608&gt;11,"U13",IF(E608&gt;0,"U11",0)))))</f>
        <v>0</v>
      </c>
      <c r="E608" s="456">
        <f>IFERROR(IF(Table11[[#This Row],[Year]]&gt;0,$E$1-Table11[[#This Row],[Year]],0),"")</f>
        <v>0</v>
      </c>
      <c r="F608" s="456"/>
      <c r="G608" s="456"/>
      <c r="H608" s="456"/>
    </row>
    <row r="609" spans="1:8" ht="13.5" customHeight="1">
      <c r="A609" s="471">
        <v>7605</v>
      </c>
      <c r="B609" s="540" t="s">
        <v>957</v>
      </c>
      <c r="C609" s="471" t="s">
        <v>698</v>
      </c>
      <c r="D609" s="456">
        <f>IF(Table11[[#This Row],[Current Age]]&gt;19,"Women's",IF(E609&gt;15,"U19",IF(E609&gt;13,"U15",IF(E609&gt;11,"U13",IF(E609&gt;0,"U11",0)))))</f>
        <v>0</v>
      </c>
      <c r="E609" s="456">
        <f>IFERROR(IF(Table11[[#This Row],[Year]]&gt;0,$E$1-Table11[[#This Row],[Year]],0),"")</f>
        <v>0</v>
      </c>
      <c r="F609" s="456"/>
      <c r="G609" s="456"/>
      <c r="H609" s="456"/>
    </row>
    <row r="610" spans="1:8" ht="13.5" customHeight="1">
      <c r="A610" s="456">
        <v>7606</v>
      </c>
      <c r="B610" s="457" t="s">
        <v>958</v>
      </c>
      <c r="C610" s="456" t="s">
        <v>698</v>
      </c>
      <c r="D610" s="456">
        <f>IF(Table11[[#This Row],[Current Age]]&gt;19,"Women's",IF(E610&gt;15,"U19",IF(E610&gt;13,"U15",IF(E610&gt;11,"U13",IF(E610&gt;0,"U11",0)))))</f>
        <v>0</v>
      </c>
      <c r="E610" s="456">
        <f>IFERROR(IF(Table11[[#This Row],[Year]]&gt;0,$E$1-Table11[[#This Row],[Year]],0),"")</f>
        <v>0</v>
      </c>
      <c r="F610" s="456"/>
      <c r="G610" s="456"/>
      <c r="H610" s="456"/>
    </row>
    <row r="611" spans="1:8" ht="13.5" customHeight="1">
      <c r="A611" s="471">
        <v>7607</v>
      </c>
      <c r="B611" s="540" t="s">
        <v>1002</v>
      </c>
      <c r="C611" s="471" t="s">
        <v>248</v>
      </c>
      <c r="D611" s="456">
        <f>IF(Table11[[#This Row],[Current Age]]&gt;19,"Women's",IF(E611&gt;15,"U19",IF(E611&gt;13,"U15",IF(E611&gt;11,"U13",IF(E611&gt;0,"U11",0)))))</f>
        <v>0</v>
      </c>
      <c r="E611" s="456">
        <f>IFERROR(IF(Table11[[#This Row],[Year]]&gt;0,$E$1-Table11[[#This Row],[Year]],0),"")</f>
        <v>0</v>
      </c>
      <c r="F611" s="456"/>
      <c r="G611" s="456"/>
      <c r="H611" s="456"/>
    </row>
    <row r="612" spans="1:8" ht="13.5" customHeight="1">
      <c r="A612" s="456">
        <v>7608</v>
      </c>
      <c r="B612" s="457" t="s">
        <v>1011</v>
      </c>
      <c r="C612" s="456" t="s">
        <v>248</v>
      </c>
      <c r="D612" s="456">
        <f>IF(Table11[[#This Row],[Current Age]]&gt;19,"Women's",IF(E612&gt;15,"U19",IF(E612&gt;13,"U15",IF(E612&gt;11,"U13",IF(E612&gt;0,"U11",0)))))</f>
        <v>0</v>
      </c>
      <c r="E612" s="456">
        <f>IFERROR(IF(Table11[[#This Row],[Year]]&gt;0,$E$1-Table11[[#This Row],[Year]],0),"")</f>
        <v>0</v>
      </c>
      <c r="F612" s="456"/>
      <c r="G612" s="456"/>
      <c r="H612" s="456"/>
    </row>
    <row r="613" spans="1:8" ht="13.5" customHeight="1">
      <c r="A613" s="471">
        <v>7609</v>
      </c>
      <c r="B613" s="540" t="s">
        <v>3451</v>
      </c>
      <c r="C613" s="471" t="s">
        <v>361</v>
      </c>
      <c r="D613" s="456" t="str">
        <f>IF(Table11[[#This Row],[Current Age]]&gt;19,"Women's",IF(E613&gt;15,"U19",IF(E613&gt;13,"U15",IF(E613&gt;11,"U13",IF(E613&gt;0,"U11",0)))))</f>
        <v>U19</v>
      </c>
      <c r="E613" s="456">
        <f>IFERROR(IF(Table11[[#This Row],[Year]]&gt;0,$E$1-Table11[[#This Row],[Year]],0),"")</f>
        <v>18</v>
      </c>
      <c r="F613" s="456">
        <v>2007</v>
      </c>
      <c r="G613" s="456">
        <v>1</v>
      </c>
      <c r="H613" s="456">
        <v>16</v>
      </c>
    </row>
    <row r="614" spans="1:8" ht="13.5" customHeight="1">
      <c r="A614" s="456">
        <v>7610</v>
      </c>
      <c r="B614" s="457" t="s">
        <v>960</v>
      </c>
      <c r="C614" s="456" t="s">
        <v>361</v>
      </c>
      <c r="D614" s="456" t="str">
        <f>IF(Table11[[#This Row],[Current Age]]&gt;19,"Women's",IF(E614&gt;15,"U19",IF(E614&gt;13,"U15",IF(E614&gt;11,"U13",IF(E614&gt;0,"U11",0)))))</f>
        <v>Women's</v>
      </c>
      <c r="E614" s="456">
        <f>IFERROR(IF(Table11[[#This Row],[Year]]&gt;0,$E$1-Table11[[#This Row],[Year]],0),"")</f>
        <v>20</v>
      </c>
      <c r="F614" s="456">
        <v>2005</v>
      </c>
      <c r="G614" s="456">
        <v>5</v>
      </c>
      <c r="H614" s="456">
        <v>18</v>
      </c>
    </row>
    <row r="615" spans="1:8" ht="13.5" customHeight="1">
      <c r="A615" s="471">
        <v>7611</v>
      </c>
      <c r="B615" s="540" t="s">
        <v>3324</v>
      </c>
      <c r="C615" s="471" t="s">
        <v>248</v>
      </c>
      <c r="D615" s="456">
        <f>IF(Table11[[#This Row],[Current Age]]&gt;19,"Women's",IF(E615&gt;15,"U19",IF(E615&gt;13,"U15",IF(E615&gt;11,"U13",IF(E615&gt;0,"U11",0)))))</f>
        <v>0</v>
      </c>
      <c r="E615" s="456">
        <f>IFERROR(IF(Table11[[#This Row],[Year]]&gt;0,$E$1-Table11[[#This Row],[Year]],0),"")</f>
        <v>0</v>
      </c>
      <c r="F615" s="456"/>
      <c r="G615" s="456"/>
      <c r="H615" s="456"/>
    </row>
    <row r="616" spans="1:8" ht="13.5" customHeight="1">
      <c r="A616" s="456">
        <v>7612</v>
      </c>
      <c r="B616" s="457" t="s">
        <v>961</v>
      </c>
      <c r="C616" s="456" t="s">
        <v>361</v>
      </c>
      <c r="D616" s="456" t="str">
        <f>IF(Table11[[#This Row],[Current Age]]&gt;19,"Women's",IF(E616&gt;15,"U19",IF(E616&gt;13,"U15",IF(E616&gt;11,"U13",IF(E616&gt;0,"U11",0)))))</f>
        <v>U19</v>
      </c>
      <c r="E616" s="456">
        <f>IFERROR(IF(Table11[[#This Row],[Year]]&gt;0,$E$1-Table11[[#This Row],[Year]],0),"")</f>
        <v>16</v>
      </c>
      <c r="F616" s="456">
        <v>2009</v>
      </c>
      <c r="G616" s="456">
        <v>3</v>
      </c>
      <c r="H616" s="456">
        <v>18</v>
      </c>
    </row>
    <row r="617" spans="1:8" ht="13.5" customHeight="1">
      <c r="A617" s="471">
        <v>7613</v>
      </c>
      <c r="B617" s="540" t="s">
        <v>2398</v>
      </c>
      <c r="C617" s="471" t="s">
        <v>361</v>
      </c>
      <c r="D617" s="456" t="str">
        <f>IF(Table11[[#This Row],[Current Age]]&gt;19,"Women's",IF(E617&gt;15,"U19",IF(E617&gt;13,"U15",IF(E617&gt;11,"U13",IF(E617&gt;0,"U11",0)))))</f>
        <v>U19</v>
      </c>
      <c r="E617" s="456">
        <f>IFERROR(IF(Table11[[#This Row],[Year]]&gt;0,$E$1-Table11[[#This Row],[Year]],0),"")</f>
        <v>18</v>
      </c>
      <c r="F617" s="456">
        <v>2007</v>
      </c>
      <c r="G617" s="456">
        <v>5</v>
      </c>
      <c r="H617" s="456">
        <v>23</v>
      </c>
    </row>
    <row r="618" spans="1:8" ht="13.5" customHeight="1">
      <c r="A618" s="456">
        <v>7614</v>
      </c>
      <c r="B618" s="457" t="s">
        <v>962</v>
      </c>
      <c r="C618" s="456" t="s">
        <v>361</v>
      </c>
      <c r="D618" s="456" t="str">
        <f>IF(Table11[[#This Row],[Current Age]]&gt;19,"Women's",IF(E618&gt;15,"U19",IF(E618&gt;13,"U15",IF(E618&gt;11,"U13",IF(E618&gt;0,"U11",0)))))</f>
        <v>U19</v>
      </c>
      <c r="E618" s="456">
        <f>IFERROR(IF(Table11[[#This Row],[Year]]&gt;0,$E$1-Table11[[#This Row],[Year]],0),"")</f>
        <v>18</v>
      </c>
      <c r="F618" s="456">
        <v>2007</v>
      </c>
      <c r="G618" s="456">
        <v>12</v>
      </c>
      <c r="H618" s="456">
        <v>20</v>
      </c>
    </row>
    <row r="619" spans="1:8" ht="13.5" customHeight="1">
      <c r="A619" s="471">
        <v>7615</v>
      </c>
      <c r="B619" s="540" t="s">
        <v>3325</v>
      </c>
      <c r="C619" s="471" t="s">
        <v>248</v>
      </c>
      <c r="D619" s="456">
        <f>IF(Table11[[#This Row],[Current Age]]&gt;19,"Women's",IF(E619&gt;15,"U19",IF(E619&gt;13,"U15",IF(E619&gt;11,"U13",IF(E619&gt;0,"U11",0)))))</f>
        <v>0</v>
      </c>
      <c r="E619" s="456">
        <f>IFERROR(IF(Table11[[#This Row],[Year]]&gt;0,$E$1-Table11[[#This Row],[Year]],0),"")</f>
        <v>0</v>
      </c>
      <c r="F619" s="456"/>
      <c r="G619" s="456"/>
      <c r="H619" s="456"/>
    </row>
    <row r="620" spans="1:8" ht="13.5" customHeight="1">
      <c r="A620" s="456">
        <v>7616</v>
      </c>
      <c r="B620" s="457" t="s">
        <v>963</v>
      </c>
      <c r="C620" s="456" t="s">
        <v>361</v>
      </c>
      <c r="D620" s="456" t="str">
        <f>IF(Table11[[#This Row],[Current Age]]&gt;19,"Women's",IF(E620&gt;15,"U19",IF(E620&gt;13,"U15",IF(E620&gt;11,"U13",IF(E620&gt;0,"U11",0)))))</f>
        <v>U19</v>
      </c>
      <c r="E620" s="456">
        <f>IFERROR(IF(Table11[[#This Row],[Year]]&gt;0,$E$1-Table11[[#This Row],[Year]],0),"")</f>
        <v>17</v>
      </c>
      <c r="F620" s="456">
        <v>2008</v>
      </c>
      <c r="G620" s="456">
        <v>3</v>
      </c>
      <c r="H620" s="456">
        <v>17</v>
      </c>
    </row>
    <row r="621" spans="1:8" ht="13.5" customHeight="1">
      <c r="A621" s="471">
        <v>7617</v>
      </c>
      <c r="B621" s="542" t="s">
        <v>985</v>
      </c>
      <c r="C621" s="471" t="s">
        <v>361</v>
      </c>
      <c r="D621" s="456" t="str">
        <f>IF(Table11[[#This Row],[Current Age]]&gt;19,"Women's",IF(E621&gt;15,"U19",IF(E621&gt;13,"U15",IF(E621&gt;11,"U13",IF(E621&gt;0,"U11",0)))))</f>
        <v>Women's</v>
      </c>
      <c r="E621" s="456">
        <f>IFERROR(IF(Table11[[#This Row],[Year]]&gt;0,$E$1-Table11[[#This Row],[Year]],0),"")</f>
        <v>21</v>
      </c>
      <c r="F621" s="456">
        <v>2004</v>
      </c>
      <c r="G621" s="456">
        <v>6</v>
      </c>
      <c r="H621" s="456">
        <v>20</v>
      </c>
    </row>
    <row r="622" spans="1:8" ht="13.5" customHeight="1">
      <c r="A622" s="456">
        <v>7618</v>
      </c>
      <c r="B622" s="457" t="s">
        <v>986</v>
      </c>
      <c r="C622" s="456" t="s">
        <v>361</v>
      </c>
      <c r="D622" s="456">
        <f>IF(Table11[[#This Row],[Current Age]]&gt;19,"Women's",IF(E622&gt;15,"U19",IF(E622&gt;13,"U15",IF(E622&gt;11,"U13",IF(E622&gt;0,"U11",0)))))</f>
        <v>0</v>
      </c>
      <c r="E622" s="456">
        <f>IFERROR(IF(Table11[[#This Row],[Year]]&gt;0,$E$1-Table11[[#This Row],[Year]],0),"")</f>
        <v>0</v>
      </c>
      <c r="F622" s="456"/>
      <c r="G622" s="456"/>
      <c r="H622" s="456"/>
    </row>
    <row r="623" spans="1:8" ht="13.5" customHeight="1">
      <c r="A623" s="471">
        <v>7619</v>
      </c>
      <c r="B623" s="540" t="s">
        <v>959</v>
      </c>
      <c r="C623" s="471" t="s">
        <v>361</v>
      </c>
      <c r="D623" s="456">
        <f>IF(Table11[[#This Row],[Current Age]]&gt;19,"Women's",IF(E623&gt;15,"U19",IF(E623&gt;13,"U15",IF(E623&gt;11,"U13",IF(E623&gt;0,"U11",0)))))</f>
        <v>0</v>
      </c>
      <c r="E623" s="456">
        <f>IFERROR(IF(Table11[[#This Row],[Year]]&gt;0,$E$1-Table11[[#This Row],[Year]],0),"")</f>
        <v>0</v>
      </c>
      <c r="F623" s="456"/>
      <c r="G623" s="456"/>
      <c r="H623" s="456"/>
    </row>
    <row r="624" spans="1:8" ht="13.5" customHeight="1">
      <c r="A624" s="456">
        <v>7620</v>
      </c>
      <c r="B624" s="457" t="s">
        <v>1936</v>
      </c>
      <c r="C624" s="456" t="s">
        <v>1908</v>
      </c>
      <c r="D624" s="456">
        <f>IF(Table11[[#This Row],[Current Age]]&gt;19,"Women's",IF(E624&gt;15,"U19",IF(E624&gt;13,"U15",IF(E624&gt;11,"U13",IF(E624&gt;0,"U11",0)))))</f>
        <v>0</v>
      </c>
      <c r="E624" s="456">
        <f>IFERROR(IF(Table11[[#This Row],[Year]]&gt;0,$E$1-Table11[[#This Row],[Year]],0),"")</f>
        <v>0</v>
      </c>
      <c r="F624" s="456"/>
      <c r="G624" s="456"/>
      <c r="H624" s="456"/>
    </row>
    <row r="625" spans="1:8" ht="13.5" customHeight="1">
      <c r="A625" s="471">
        <v>7621</v>
      </c>
      <c r="B625" s="540" t="s">
        <v>1996</v>
      </c>
      <c r="C625" s="471" t="s">
        <v>649</v>
      </c>
      <c r="D625" s="456">
        <f>IF(Table11[[#This Row],[Current Age]]&gt;19,"Women's",IF(E625&gt;15,"U19",IF(E625&gt;13,"U15",IF(E625&gt;11,"U13",IF(E625&gt;0,"U11",0)))))</f>
        <v>0</v>
      </c>
      <c r="E625" s="456">
        <f>IFERROR(IF(Table11[[#This Row],[Year]]&gt;0,$E$1-Table11[[#This Row],[Year]],0),"")</f>
        <v>0</v>
      </c>
      <c r="F625" s="456"/>
      <c r="G625" s="456"/>
      <c r="H625" s="456"/>
    </row>
    <row r="626" spans="1:8" ht="13.5" customHeight="1">
      <c r="A626" s="456">
        <v>7622</v>
      </c>
      <c r="B626" s="457" t="s">
        <v>1997</v>
      </c>
      <c r="C626" s="456" t="s">
        <v>649</v>
      </c>
      <c r="D626" s="456">
        <f>IF(Table11[[#This Row],[Current Age]]&gt;19,"Women's",IF(E626&gt;15,"U19",IF(E626&gt;13,"U15",IF(E626&gt;11,"U13",IF(E626&gt;0,"U11",0)))))</f>
        <v>0</v>
      </c>
      <c r="E626" s="456">
        <f>IFERROR(IF(Table11[[#This Row],[Year]]&gt;0,$E$1-Table11[[#This Row],[Year]],0),"")</f>
        <v>0</v>
      </c>
      <c r="F626" s="456"/>
      <c r="G626" s="456"/>
      <c r="H626" s="456"/>
    </row>
    <row r="627" spans="1:8" ht="13.5" customHeight="1">
      <c r="A627" s="471">
        <v>7623</v>
      </c>
      <c r="B627" s="540" t="s">
        <v>1998</v>
      </c>
      <c r="C627" s="471" t="s">
        <v>649</v>
      </c>
      <c r="D627" s="456">
        <f>IF(Table11[[#This Row],[Current Age]]&gt;19,"Women's",IF(E627&gt;15,"U19",IF(E627&gt;13,"U15",IF(E627&gt;11,"U13",IF(E627&gt;0,"U11",0)))))</f>
        <v>0</v>
      </c>
      <c r="E627" s="456">
        <f>IFERROR(IF(Table11[[#This Row],[Year]]&gt;0,$E$1-Table11[[#This Row],[Year]],0),"")</f>
        <v>0</v>
      </c>
      <c r="F627" s="456"/>
      <c r="G627" s="456"/>
      <c r="H627" s="456"/>
    </row>
    <row r="628" spans="1:8" ht="13.5" customHeight="1">
      <c r="A628" s="456">
        <v>7624</v>
      </c>
      <c r="B628" s="457" t="s">
        <v>1999</v>
      </c>
      <c r="C628" s="456" t="s">
        <v>649</v>
      </c>
      <c r="D628" s="456">
        <f>IF(Table11[[#This Row],[Current Age]]&gt;19,"Women's",IF(E628&gt;15,"U19",IF(E628&gt;13,"U15",IF(E628&gt;11,"U13",IF(E628&gt;0,"U11",0)))))</f>
        <v>0</v>
      </c>
      <c r="E628" s="456">
        <f>IFERROR(IF(Table11[[#This Row],[Year]]&gt;0,$E$1-Table11[[#This Row],[Year]],0),"")</f>
        <v>0</v>
      </c>
      <c r="F628" s="456"/>
      <c r="G628" s="456"/>
      <c r="H628" s="456"/>
    </row>
    <row r="629" spans="1:8" ht="13.5" customHeight="1">
      <c r="A629" s="471">
        <v>7625</v>
      </c>
      <c r="B629" s="540" t="s">
        <v>3176</v>
      </c>
      <c r="C629" s="471" t="s">
        <v>251</v>
      </c>
      <c r="D629" s="456" t="str">
        <f>IF(Table11[[#This Row],[Current Age]]&gt;19,"Women's",IF(E629&gt;15,"U19",IF(E629&gt;13,"U15",IF(E629&gt;11,"U13",IF(E629&gt;0,"U11",0)))))</f>
        <v>Women's</v>
      </c>
      <c r="E629" s="456">
        <f>IFERROR(IF(Table11[[#This Row],[Year]]&gt;0,$E$1-Table11[[#This Row],[Year]],0),"")</f>
        <v>28</v>
      </c>
      <c r="F629" s="456">
        <v>1997</v>
      </c>
      <c r="G629" s="456">
        <v>9</v>
      </c>
      <c r="H629" s="456">
        <v>4</v>
      </c>
    </row>
    <row r="630" spans="1:8" ht="13.5" customHeight="1">
      <c r="A630" s="456">
        <v>7626</v>
      </c>
      <c r="B630" s="457" t="s">
        <v>2511</v>
      </c>
      <c r="C630" s="456" t="s">
        <v>243</v>
      </c>
      <c r="D630" s="456">
        <f>IF(Table11[[#This Row],[Current Age]]&gt;19,"Women's",IF(E630&gt;15,"U19",IF(E630&gt;13,"U15",IF(E630&gt;11,"U13",IF(E630&gt;0,"U11",0)))))</f>
        <v>0</v>
      </c>
      <c r="E630" s="456">
        <f>IFERROR(IF(Table11[[#This Row],[Year]]&gt;0,$E$1-Table11[[#This Row],[Year]],0),"")</f>
        <v>0</v>
      </c>
      <c r="F630" s="456"/>
      <c r="G630" s="456"/>
      <c r="H630" s="456"/>
    </row>
    <row r="631" spans="1:8" ht="13.5" customHeight="1">
      <c r="A631" s="471">
        <v>7627</v>
      </c>
      <c r="B631" s="540" t="s">
        <v>2000</v>
      </c>
      <c r="C631" s="471" t="s">
        <v>247</v>
      </c>
      <c r="D631" s="456">
        <f>IF(Table11[[#This Row],[Current Age]]&gt;19,"Women's",IF(E631&gt;15,"U19",IF(E631&gt;13,"U15",IF(E631&gt;11,"U13",IF(E631&gt;0,"U11",0)))))</f>
        <v>0</v>
      </c>
      <c r="E631" s="456">
        <f>IFERROR(IF(Table11[[#This Row],[Year]]&gt;0,$E$1-Table11[[#This Row],[Year]],0),"")</f>
        <v>0</v>
      </c>
      <c r="F631" s="456"/>
      <c r="G631" s="456"/>
      <c r="H631" s="456"/>
    </row>
    <row r="632" spans="1:8" ht="13.5" customHeight="1">
      <c r="A632" s="456">
        <v>7628</v>
      </c>
      <c r="B632" s="457" t="s">
        <v>2002</v>
      </c>
      <c r="C632" s="456" t="s">
        <v>649</v>
      </c>
      <c r="D632" s="456">
        <f>IF(Table11[[#This Row],[Current Age]]&gt;19,"Women's",IF(E632&gt;15,"U19",IF(E632&gt;13,"U15",IF(E632&gt;11,"U13",IF(E632&gt;0,"U11",0)))))</f>
        <v>0</v>
      </c>
      <c r="E632" s="456">
        <f>IFERROR(IF(Table11[[#This Row],[Year]]&gt;0,$E$1-Table11[[#This Row],[Year]],0),"")</f>
        <v>0</v>
      </c>
      <c r="F632" s="456"/>
      <c r="G632" s="456"/>
      <c r="H632" s="456"/>
    </row>
    <row r="633" spans="1:8" ht="13.5" customHeight="1">
      <c r="A633" s="471">
        <v>7629</v>
      </c>
      <c r="B633" s="540" t="s">
        <v>3811</v>
      </c>
      <c r="C633" s="471" t="s">
        <v>244</v>
      </c>
      <c r="D633" s="456">
        <f>IF(Table11[[#This Row],[Current Age]]&gt;19,"Women's",IF(E633&gt;15,"U19",IF(E633&gt;13,"U15",IF(E633&gt;11,"U13",IF(E633&gt;0,"U11",0)))))</f>
        <v>0</v>
      </c>
      <c r="E633" s="456">
        <f>IFERROR(IF(Table11[[#This Row],[Year]]&gt;0,$E$1-Table11[[#This Row],[Year]],0),"")</f>
        <v>0</v>
      </c>
      <c r="F633" s="456"/>
      <c r="G633" s="456"/>
      <c r="H633" s="456"/>
    </row>
    <row r="634" spans="1:8" ht="13.5" customHeight="1">
      <c r="A634" s="456">
        <v>7630</v>
      </c>
      <c r="B634" s="457" t="s">
        <v>2003</v>
      </c>
      <c r="C634" s="456" t="s">
        <v>649</v>
      </c>
      <c r="D634" s="456">
        <f>IF(Table11[[#This Row],[Current Age]]&gt;19,"Women's",IF(E634&gt;15,"U19",IF(E634&gt;13,"U15",IF(E634&gt;11,"U13",IF(E634&gt;0,"U11",0)))))</f>
        <v>0</v>
      </c>
      <c r="E634" s="456">
        <f>IFERROR(IF(Table11[[#This Row],[Year]]&gt;0,$E$1-Table11[[#This Row],[Year]],0),"")</f>
        <v>0</v>
      </c>
      <c r="F634" s="456"/>
      <c r="G634" s="456"/>
      <c r="H634" s="456"/>
    </row>
    <row r="635" spans="1:8" ht="13.5" customHeight="1">
      <c r="A635" s="471">
        <v>7631</v>
      </c>
      <c r="B635" s="540" t="s">
        <v>2004</v>
      </c>
      <c r="C635" s="471" t="s">
        <v>649</v>
      </c>
      <c r="D635" s="456">
        <f>IF(Table11[[#This Row],[Current Age]]&gt;19,"Women's",IF(E635&gt;15,"U19",IF(E635&gt;13,"U15",IF(E635&gt;11,"U13",IF(E635&gt;0,"U11",0)))))</f>
        <v>0</v>
      </c>
      <c r="E635" s="456">
        <f>IFERROR(IF(Table11[[#This Row],[Year]]&gt;0,$E$1-Table11[[#This Row],[Year]],0),"")</f>
        <v>0</v>
      </c>
      <c r="F635" s="456"/>
      <c r="G635" s="456"/>
      <c r="H635" s="456"/>
    </row>
    <row r="636" spans="1:8" ht="13.5" customHeight="1">
      <c r="A636" s="456">
        <v>7632</v>
      </c>
      <c r="B636" s="457" t="s">
        <v>2005</v>
      </c>
      <c r="C636" s="456" t="s">
        <v>649</v>
      </c>
      <c r="D636" s="456">
        <f>IF(Table11[[#This Row],[Current Age]]&gt;19,"Women's",IF(E636&gt;15,"U19",IF(E636&gt;13,"U15",IF(E636&gt;11,"U13",IF(E636&gt;0,"U11",0)))))</f>
        <v>0</v>
      </c>
      <c r="E636" s="456">
        <f>IFERROR(IF(Table11[[#This Row],[Year]]&gt;0,$E$1-Table11[[#This Row],[Year]],0),"")</f>
        <v>0</v>
      </c>
      <c r="F636" s="456"/>
      <c r="G636" s="456"/>
      <c r="H636" s="456"/>
    </row>
    <row r="637" spans="1:8" ht="13.5" customHeight="1">
      <c r="A637" s="471">
        <v>7633</v>
      </c>
      <c r="B637" s="540" t="s">
        <v>2006</v>
      </c>
      <c r="C637" s="471" t="s">
        <v>649</v>
      </c>
      <c r="D637" s="456">
        <f>IF(Table11[[#This Row],[Current Age]]&gt;19,"Women's",IF(E637&gt;15,"U19",IF(E637&gt;13,"U15",IF(E637&gt;11,"U13",IF(E637&gt;0,"U11",0)))))</f>
        <v>0</v>
      </c>
      <c r="E637" s="456">
        <f>IFERROR(IF(Table11[[#This Row],[Year]]&gt;0,$E$1-Table11[[#This Row],[Year]],0),"")</f>
        <v>0</v>
      </c>
      <c r="F637" s="456"/>
      <c r="G637" s="456"/>
      <c r="H637" s="456"/>
    </row>
    <row r="638" spans="1:8" ht="13.5" customHeight="1">
      <c r="A638" s="456">
        <v>7634</v>
      </c>
      <c r="B638" s="457" t="s">
        <v>2007</v>
      </c>
      <c r="C638" s="456" t="s">
        <v>362</v>
      </c>
      <c r="D638" s="456">
        <f>IF(Table11[[#This Row],[Current Age]]&gt;19,"Women's",IF(E638&gt;15,"U19",IF(E638&gt;13,"U15",IF(E638&gt;11,"U13",IF(E638&gt;0,"U11",0)))))</f>
        <v>0</v>
      </c>
      <c r="E638" s="456">
        <f>IFERROR(IF(Table11[[#This Row],[Year]]&gt;0,$E$1-Table11[[#This Row],[Year]],0),"")</f>
        <v>0</v>
      </c>
      <c r="F638" s="456"/>
      <c r="G638" s="456"/>
      <c r="H638" s="456"/>
    </row>
    <row r="639" spans="1:8" ht="13.5" customHeight="1">
      <c r="A639" s="471">
        <v>7635</v>
      </c>
      <c r="B639" s="540" t="s">
        <v>2008</v>
      </c>
      <c r="C639" s="471" t="s">
        <v>649</v>
      </c>
      <c r="D639" s="456">
        <f>IF(Table11[[#This Row],[Current Age]]&gt;19,"Women's",IF(E639&gt;15,"U19",IF(E639&gt;13,"U15",IF(E639&gt;11,"U13",IF(E639&gt;0,"U11",0)))))</f>
        <v>0</v>
      </c>
      <c r="E639" s="456">
        <f>IFERROR(IF(Table11[[#This Row],[Year]]&gt;0,$E$1-Table11[[#This Row],[Year]],0),"")</f>
        <v>0</v>
      </c>
      <c r="F639" s="456"/>
      <c r="G639" s="456"/>
      <c r="H639" s="456"/>
    </row>
    <row r="640" spans="1:8" ht="13.5" customHeight="1">
      <c r="A640" s="456">
        <v>7636</v>
      </c>
      <c r="B640" s="457" t="s">
        <v>2009</v>
      </c>
      <c r="C640" s="456" t="s">
        <v>251</v>
      </c>
      <c r="D640" s="456">
        <f>IF(Table11[[#This Row],[Current Age]]&gt;19,"Women's",IF(E640&gt;15,"U19",IF(E640&gt;13,"U15",IF(E640&gt;11,"U13",IF(E640&gt;0,"U11",0)))))</f>
        <v>0</v>
      </c>
      <c r="E640" s="456">
        <f>IFERROR(IF(Table11[[#This Row],[Year]]&gt;0,$E$1-Table11[[#This Row],[Year]],0),"")</f>
        <v>0</v>
      </c>
      <c r="F640" s="456"/>
      <c r="G640" s="456"/>
      <c r="H640" s="456"/>
    </row>
    <row r="641" spans="1:8" ht="13.5" customHeight="1">
      <c r="A641" s="471">
        <v>7637</v>
      </c>
      <c r="B641" s="540" t="s">
        <v>2010</v>
      </c>
      <c r="C641" s="471" t="s">
        <v>649</v>
      </c>
      <c r="D641" s="456">
        <f>IF(Table11[[#This Row],[Current Age]]&gt;19,"Women's",IF(E641&gt;15,"U19",IF(E641&gt;13,"U15",IF(E641&gt;11,"U13",IF(E641&gt;0,"U11",0)))))</f>
        <v>0</v>
      </c>
      <c r="E641" s="456">
        <f>IFERROR(IF(Table11[[#This Row],[Year]]&gt;0,$E$1-Table11[[#This Row],[Year]],0),"")</f>
        <v>0</v>
      </c>
      <c r="F641" s="456"/>
      <c r="G641" s="456"/>
      <c r="H641" s="456"/>
    </row>
    <row r="642" spans="1:8" ht="13.5" customHeight="1">
      <c r="A642" s="456">
        <v>7638</v>
      </c>
      <c r="B642" s="457" t="s">
        <v>2011</v>
      </c>
      <c r="C642" s="456" t="s">
        <v>649</v>
      </c>
      <c r="D642" s="456">
        <f>IF(Table11[[#This Row],[Current Age]]&gt;19,"Women's",IF(E642&gt;15,"U19",IF(E642&gt;13,"U15",IF(E642&gt;11,"U13",IF(E642&gt;0,"U11",0)))))</f>
        <v>0</v>
      </c>
      <c r="E642" s="456">
        <f>IFERROR(IF(Table11[[#This Row],[Year]]&gt;0,$E$1-Table11[[#This Row],[Year]],0),"")</f>
        <v>0</v>
      </c>
      <c r="F642" s="456"/>
      <c r="G642" s="456"/>
      <c r="H642" s="456"/>
    </row>
    <row r="643" spans="1:8" ht="13.5" customHeight="1">
      <c r="A643" s="471">
        <v>7639</v>
      </c>
      <c r="B643" s="540" t="s">
        <v>2012</v>
      </c>
      <c r="C643" s="471" t="s">
        <v>649</v>
      </c>
      <c r="D643" s="456">
        <f>IF(Table11[[#This Row],[Current Age]]&gt;19,"Women's",IF(E643&gt;15,"U19",IF(E643&gt;13,"U15",IF(E643&gt;11,"U13",IF(E643&gt;0,"U11",0)))))</f>
        <v>0</v>
      </c>
      <c r="E643" s="456">
        <f>IFERROR(IF(Table11[[#This Row],[Year]]&gt;0,$E$1-Table11[[#This Row],[Year]],0),"")</f>
        <v>0</v>
      </c>
      <c r="F643" s="456"/>
      <c r="G643" s="456"/>
      <c r="H643" s="456"/>
    </row>
    <row r="644" spans="1:8" ht="13.5" customHeight="1">
      <c r="A644" s="456">
        <v>7640</v>
      </c>
      <c r="B644" s="457" t="s">
        <v>2013</v>
      </c>
      <c r="C644" s="456" t="s">
        <v>649</v>
      </c>
      <c r="D644" s="456">
        <f>IF(Table11[[#This Row],[Current Age]]&gt;19,"Women's",IF(E644&gt;15,"U19",IF(E644&gt;13,"U15",IF(E644&gt;11,"U13",IF(E644&gt;0,"U11",0)))))</f>
        <v>0</v>
      </c>
      <c r="E644" s="456">
        <f>IFERROR(IF(Table11[[#This Row],[Year]]&gt;0,$E$1-Table11[[#This Row],[Year]],0),"")</f>
        <v>0</v>
      </c>
      <c r="F644" s="456"/>
      <c r="G644" s="456"/>
      <c r="H644" s="456"/>
    </row>
    <row r="645" spans="1:8" ht="13.5" customHeight="1">
      <c r="A645" s="471">
        <v>7641</v>
      </c>
      <c r="B645" s="540" t="s">
        <v>2014</v>
      </c>
      <c r="C645" s="471" t="s">
        <v>362</v>
      </c>
      <c r="D645" s="456">
        <f>IF(Table11[[#This Row],[Current Age]]&gt;19,"Women's",IF(E645&gt;15,"U19",IF(E645&gt;13,"U15",IF(E645&gt;11,"U13",IF(E645&gt;0,"U11",0)))))</f>
        <v>0</v>
      </c>
      <c r="E645" s="456">
        <f>IFERROR(IF(Table11[[#This Row],[Year]]&gt;0,$E$1-Table11[[#This Row],[Year]],0),"")</f>
        <v>0</v>
      </c>
      <c r="F645" s="456"/>
      <c r="G645" s="456"/>
      <c r="H645" s="456"/>
    </row>
    <row r="646" spans="1:8" ht="13.5" customHeight="1">
      <c r="A646" s="456">
        <v>7642</v>
      </c>
      <c r="B646" s="457" t="s">
        <v>2018</v>
      </c>
      <c r="C646" s="456" t="s">
        <v>649</v>
      </c>
      <c r="D646" s="456">
        <f>IF(Table11[[#This Row],[Current Age]]&gt;19,"Women's",IF(E646&gt;15,"U19",IF(E646&gt;13,"U15",IF(E646&gt;11,"U13",IF(E646&gt;0,"U11",0)))))</f>
        <v>0</v>
      </c>
      <c r="E646" s="456">
        <f>IFERROR(IF(Table11[[#This Row],[Year]]&gt;0,$E$1-Table11[[#This Row],[Year]],0),"")</f>
        <v>0</v>
      </c>
      <c r="F646" s="456"/>
      <c r="G646" s="456"/>
      <c r="H646" s="456"/>
    </row>
    <row r="647" spans="1:8" ht="13.5" customHeight="1">
      <c r="A647" s="471">
        <v>7643</v>
      </c>
      <c r="B647" s="540" t="s">
        <v>2017</v>
      </c>
      <c r="C647" s="471" t="s">
        <v>649</v>
      </c>
      <c r="D647" s="456">
        <f>IF(Table11[[#This Row],[Current Age]]&gt;19,"Women's",IF(E647&gt;15,"U19",IF(E647&gt;13,"U15",IF(E647&gt;11,"U13",IF(E647&gt;0,"U11",0)))))</f>
        <v>0</v>
      </c>
      <c r="E647" s="456">
        <f>IFERROR(IF(Table11[[#This Row],[Year]]&gt;0,$E$1-Table11[[#This Row],[Year]],0),"")</f>
        <v>0</v>
      </c>
      <c r="F647" s="456"/>
      <c r="G647" s="456"/>
      <c r="H647" s="456"/>
    </row>
    <row r="648" spans="1:8" ht="13.5" customHeight="1">
      <c r="A648" s="456">
        <v>7644</v>
      </c>
      <c r="B648" s="457" t="s">
        <v>2016</v>
      </c>
      <c r="C648" s="456" t="s">
        <v>649</v>
      </c>
      <c r="D648" s="456">
        <f>IF(Table11[[#This Row],[Current Age]]&gt;19,"Women's",IF(E648&gt;15,"U19",IF(E648&gt;13,"U15",IF(E648&gt;11,"U13",IF(E648&gt;0,"U11",0)))))</f>
        <v>0</v>
      </c>
      <c r="E648" s="456">
        <f>IFERROR(IF(Table11[[#This Row],[Year]]&gt;0,$E$1-Table11[[#This Row],[Year]],0),"")</f>
        <v>0</v>
      </c>
      <c r="F648" s="456"/>
      <c r="G648" s="456"/>
      <c r="H648" s="456"/>
    </row>
    <row r="649" spans="1:8" ht="13.5" customHeight="1">
      <c r="A649" s="471">
        <v>7645</v>
      </c>
      <c r="B649" s="540" t="s">
        <v>2015</v>
      </c>
      <c r="C649" s="471" t="s">
        <v>649</v>
      </c>
      <c r="D649" s="456">
        <f>IF(Table11[[#This Row],[Current Age]]&gt;19,"Women's",IF(E649&gt;15,"U19",IF(E649&gt;13,"U15",IF(E649&gt;11,"U13",IF(E649&gt;0,"U11",0)))))</f>
        <v>0</v>
      </c>
      <c r="E649" s="456">
        <f>IFERROR(IF(Table11[[#This Row],[Year]]&gt;0,$E$1-Table11[[#This Row],[Year]],0),"")</f>
        <v>0</v>
      </c>
      <c r="F649" s="456"/>
      <c r="G649" s="456"/>
      <c r="H649" s="456"/>
    </row>
    <row r="650" spans="1:8" ht="13.5" customHeight="1">
      <c r="A650" s="456">
        <v>7646</v>
      </c>
      <c r="B650" s="457" t="s">
        <v>2019</v>
      </c>
      <c r="C650" s="456" t="s">
        <v>649</v>
      </c>
      <c r="D650" s="456">
        <f>IF(Table11[[#This Row],[Current Age]]&gt;19,"Women's",IF(E650&gt;15,"U19",IF(E650&gt;13,"U15",IF(E650&gt;11,"U13",IF(E650&gt;0,"U11",0)))))</f>
        <v>0</v>
      </c>
      <c r="E650" s="456">
        <f>IFERROR(IF(Table11[[#This Row],[Year]]&gt;0,$E$1-Table11[[#This Row],[Year]],0),"")</f>
        <v>0</v>
      </c>
      <c r="F650" s="456"/>
      <c r="G650" s="456"/>
      <c r="H650" s="456"/>
    </row>
    <row r="651" spans="1:8" ht="13.5" customHeight="1">
      <c r="A651" s="471">
        <v>7647</v>
      </c>
      <c r="B651" s="540" t="s">
        <v>2020</v>
      </c>
      <c r="C651" s="471" t="s">
        <v>649</v>
      </c>
      <c r="D651" s="456">
        <f>IF(Table11[[#This Row],[Current Age]]&gt;19,"Women's",IF(E651&gt;15,"U19",IF(E651&gt;13,"U15",IF(E651&gt;11,"U13",IF(E651&gt;0,"U11",0)))))</f>
        <v>0</v>
      </c>
      <c r="E651" s="456">
        <f>IFERROR(IF(Table11[[#This Row],[Year]]&gt;0,$E$1-Table11[[#This Row],[Year]],0),"")</f>
        <v>0</v>
      </c>
      <c r="F651" s="456"/>
      <c r="G651" s="456"/>
      <c r="H651" s="456"/>
    </row>
    <row r="652" spans="1:8" ht="13.5" customHeight="1">
      <c r="A652" s="456">
        <v>7648</v>
      </c>
      <c r="B652" s="457" t="s">
        <v>2021</v>
      </c>
      <c r="C652" s="456" t="s">
        <v>649</v>
      </c>
      <c r="D652" s="456">
        <f>IF(Table11[[#This Row],[Current Age]]&gt;19,"Women's",IF(E652&gt;15,"U19",IF(E652&gt;13,"U15",IF(E652&gt;11,"U13",IF(E652&gt;0,"U11",0)))))</f>
        <v>0</v>
      </c>
      <c r="E652" s="456">
        <f>IFERROR(IF(Table11[[#This Row],[Year]]&gt;0,$E$1-Table11[[#This Row],[Year]],0),"")</f>
        <v>0</v>
      </c>
      <c r="F652" s="456"/>
      <c r="G652" s="456"/>
      <c r="H652" s="456"/>
    </row>
    <row r="653" spans="1:8" ht="13.5" customHeight="1">
      <c r="A653" s="471">
        <v>7649</v>
      </c>
      <c r="B653" s="540" t="s">
        <v>6031</v>
      </c>
      <c r="C653" s="471" t="s">
        <v>252</v>
      </c>
      <c r="D653" s="456" t="s">
        <v>5895</v>
      </c>
      <c r="E653" s="456">
        <v>10</v>
      </c>
      <c r="F653" s="456">
        <v>2015</v>
      </c>
      <c r="G653" s="456">
        <v>4</v>
      </c>
      <c r="H653" s="456">
        <v>25</v>
      </c>
    </row>
    <row r="654" spans="1:8" ht="13.5" customHeight="1">
      <c r="A654" s="456">
        <v>7650</v>
      </c>
      <c r="B654" s="457" t="s">
        <v>2023</v>
      </c>
      <c r="C654" s="456" t="s">
        <v>649</v>
      </c>
      <c r="D654" s="456">
        <f>IF(Table11[[#This Row],[Current Age]]&gt;19,"Women's",IF(E654&gt;15,"U19",IF(E654&gt;13,"U15",IF(E654&gt;11,"U13",IF(E654&gt;0,"U11",0)))))</f>
        <v>0</v>
      </c>
      <c r="E654" s="456">
        <f>IFERROR(IF(Table11[[#This Row],[Year]]&gt;0,$E$1-Table11[[#This Row],[Year]],0),"")</f>
        <v>0</v>
      </c>
      <c r="F654" s="456"/>
      <c r="G654" s="456"/>
      <c r="H654" s="456"/>
    </row>
    <row r="655" spans="1:8" ht="13.5" customHeight="1">
      <c r="A655" s="471">
        <v>7651</v>
      </c>
      <c r="B655" s="540" t="s">
        <v>2024</v>
      </c>
      <c r="C655" s="471" t="s">
        <v>649</v>
      </c>
      <c r="D655" s="456">
        <f>IF(Table11[[#This Row],[Current Age]]&gt;19,"Women's",IF(E655&gt;15,"U19",IF(E655&gt;13,"U15",IF(E655&gt;11,"U13",IF(E655&gt;0,"U11",0)))))</f>
        <v>0</v>
      </c>
      <c r="E655" s="456">
        <f>IFERROR(IF(Table11[[#This Row],[Year]]&gt;0,$E$1-Table11[[#This Row],[Year]],0),"")</f>
        <v>0</v>
      </c>
      <c r="F655" s="456"/>
      <c r="G655" s="456"/>
      <c r="H655" s="456"/>
    </row>
    <row r="656" spans="1:8" ht="13.5" customHeight="1">
      <c r="A656" s="456">
        <v>7652</v>
      </c>
      <c r="B656" s="457" t="s">
        <v>2025</v>
      </c>
      <c r="C656" s="456" t="s">
        <v>649</v>
      </c>
      <c r="D656" s="456">
        <f>IF(Table11[[#This Row],[Current Age]]&gt;19,"Women's",IF(E656&gt;15,"U19",IF(E656&gt;13,"U15",IF(E656&gt;11,"U13",IF(E656&gt;0,"U11",0)))))</f>
        <v>0</v>
      </c>
      <c r="E656" s="456">
        <f>IFERROR(IF(Table11[[#This Row],[Year]]&gt;0,$E$1-Table11[[#This Row],[Year]],0),"")</f>
        <v>0</v>
      </c>
      <c r="F656" s="456"/>
      <c r="G656" s="456"/>
      <c r="H656" s="456"/>
    </row>
    <row r="657" spans="1:8" ht="13.5" customHeight="1">
      <c r="A657" s="471">
        <v>7653</v>
      </c>
      <c r="B657" s="540" t="s">
        <v>2026</v>
      </c>
      <c r="C657" s="471" t="s">
        <v>649</v>
      </c>
      <c r="D657" s="456">
        <f>IF(Table11[[#This Row],[Current Age]]&gt;19,"Women's",IF(E657&gt;15,"U19",IF(E657&gt;13,"U15",IF(E657&gt;11,"U13",IF(E657&gt;0,"U11",0)))))</f>
        <v>0</v>
      </c>
      <c r="E657" s="456">
        <f>IFERROR(IF(Table11[[#This Row],[Year]]&gt;0,$E$1-Table11[[#This Row],[Year]],0),"")</f>
        <v>0</v>
      </c>
      <c r="F657" s="456"/>
      <c r="G657" s="456"/>
      <c r="H657" s="456"/>
    </row>
    <row r="658" spans="1:8" ht="13.5" customHeight="1">
      <c r="A658" s="456">
        <v>7654</v>
      </c>
      <c r="B658" s="457" t="s">
        <v>2027</v>
      </c>
      <c r="C658" s="456" t="s">
        <v>649</v>
      </c>
      <c r="D658" s="456">
        <f>IF(Table11[[#This Row],[Current Age]]&gt;19,"Women's",IF(E658&gt;15,"U19",IF(E658&gt;13,"U15",IF(E658&gt;11,"U13",IF(E658&gt;0,"U11",0)))))</f>
        <v>0</v>
      </c>
      <c r="E658" s="456">
        <f>IFERROR(IF(Table11[[#This Row],[Year]]&gt;0,$E$1-Table11[[#This Row],[Year]],0),"")</f>
        <v>0</v>
      </c>
      <c r="F658" s="456"/>
      <c r="G658" s="456"/>
      <c r="H658" s="456"/>
    </row>
    <row r="659" spans="1:8" ht="13.5" customHeight="1">
      <c r="A659" s="471">
        <v>7655</v>
      </c>
      <c r="B659" s="540" t="s">
        <v>2028</v>
      </c>
      <c r="C659" s="471" t="s">
        <v>649</v>
      </c>
      <c r="D659" s="456">
        <f>IF(Table11[[#This Row],[Current Age]]&gt;19,"Women's",IF(E659&gt;15,"U19",IF(E659&gt;13,"U15",IF(E659&gt;11,"U13",IF(E659&gt;0,"U11",0)))))</f>
        <v>0</v>
      </c>
      <c r="E659" s="456">
        <f>IFERROR(IF(Table11[[#This Row],[Year]]&gt;0,$E$1-Table11[[#This Row],[Year]],0),"")</f>
        <v>0</v>
      </c>
      <c r="F659" s="456"/>
      <c r="G659" s="456"/>
      <c r="H659" s="456"/>
    </row>
    <row r="660" spans="1:8" ht="13.5" customHeight="1">
      <c r="A660" s="456">
        <v>7656</v>
      </c>
      <c r="B660" s="457" t="s">
        <v>2029</v>
      </c>
      <c r="C660" s="456" t="s">
        <v>649</v>
      </c>
      <c r="D660" s="456">
        <f>IF(Table11[[#This Row],[Current Age]]&gt;19,"Women's",IF(E660&gt;15,"U19",IF(E660&gt;13,"U15",IF(E660&gt;11,"U13",IF(E660&gt;0,"U11",0)))))</f>
        <v>0</v>
      </c>
      <c r="E660" s="456">
        <f>IFERROR(IF(Table11[[#This Row],[Year]]&gt;0,$E$1-Table11[[#This Row],[Year]],0),"")</f>
        <v>0</v>
      </c>
      <c r="F660" s="456"/>
      <c r="G660" s="456"/>
      <c r="H660" s="456"/>
    </row>
    <row r="661" spans="1:8" ht="13.5" customHeight="1">
      <c r="A661" s="471">
        <v>7657</v>
      </c>
      <c r="B661" s="540" t="s">
        <v>2067</v>
      </c>
      <c r="C661" s="471" t="s">
        <v>248</v>
      </c>
      <c r="D661" s="456">
        <f>IF(Table11[[#This Row],[Current Age]]&gt;19,"Women's",IF(E661&gt;15,"U19",IF(E661&gt;13,"U15",IF(E661&gt;11,"U13",IF(E661&gt;0,"U11",0)))))</f>
        <v>0</v>
      </c>
      <c r="E661" s="456">
        <f>IFERROR(IF(Table11[[#This Row],[Year]]&gt;0,$E$1-Table11[[#This Row],[Year]],0),"")</f>
        <v>0</v>
      </c>
      <c r="F661" s="456"/>
      <c r="G661" s="456"/>
      <c r="H661" s="456"/>
    </row>
    <row r="662" spans="1:8" ht="13.5" customHeight="1">
      <c r="A662" s="456">
        <v>7658</v>
      </c>
      <c r="B662" s="457" t="s">
        <v>2064</v>
      </c>
      <c r="C662" s="456" t="s">
        <v>248</v>
      </c>
      <c r="D662" s="456">
        <f>IF(Table11[[#This Row],[Current Age]]&gt;19,"Women's",IF(E662&gt;15,"U19",IF(E662&gt;13,"U15",IF(E662&gt;11,"U13",IF(E662&gt;0,"U11",0)))))</f>
        <v>0</v>
      </c>
      <c r="E662" s="456">
        <f>IFERROR(IF(Table11[[#This Row],[Year]]&gt;0,$E$1-Table11[[#This Row],[Year]],0),"")</f>
        <v>0</v>
      </c>
      <c r="F662" s="456"/>
      <c r="G662" s="456"/>
      <c r="H662" s="456"/>
    </row>
    <row r="663" spans="1:8" ht="13.5" customHeight="1">
      <c r="A663" s="471">
        <v>7659</v>
      </c>
      <c r="B663" s="540" t="s">
        <v>2066</v>
      </c>
      <c r="C663" s="471" t="s">
        <v>248</v>
      </c>
      <c r="D663" s="456">
        <f>IF(Table11[[#This Row],[Current Age]]&gt;19,"Women's",IF(E663&gt;15,"U19",IF(E663&gt;13,"U15",IF(E663&gt;11,"U13",IF(E663&gt;0,"U11",0)))))</f>
        <v>0</v>
      </c>
      <c r="E663" s="456">
        <f>IFERROR(IF(Table11[[#This Row],[Year]]&gt;0,$E$1-Table11[[#This Row],[Year]],0),"")</f>
        <v>0</v>
      </c>
      <c r="F663" s="456"/>
      <c r="G663" s="456"/>
      <c r="H663" s="456"/>
    </row>
    <row r="664" spans="1:8" ht="13.5" customHeight="1">
      <c r="A664" s="456">
        <v>7660</v>
      </c>
      <c r="B664" s="457" t="s">
        <v>2065</v>
      </c>
      <c r="C664" s="456" t="s">
        <v>248</v>
      </c>
      <c r="D664" s="456">
        <f>IF(Table11[[#This Row],[Current Age]]&gt;19,"Women's",IF(E664&gt;15,"U19",IF(E664&gt;13,"U15",IF(E664&gt;11,"U13",IF(E664&gt;0,"U11",0)))))</f>
        <v>0</v>
      </c>
      <c r="E664" s="456">
        <f>IFERROR(IF(Table11[[#This Row],[Year]]&gt;0,$E$1-Table11[[#This Row],[Year]],0),"")</f>
        <v>0</v>
      </c>
      <c r="F664" s="456"/>
      <c r="G664" s="456"/>
      <c r="H664" s="456"/>
    </row>
    <row r="665" spans="1:8" ht="13.5" customHeight="1">
      <c r="A665" s="471">
        <v>7661</v>
      </c>
      <c r="B665" s="540" t="s">
        <v>2068</v>
      </c>
      <c r="C665" s="471" t="s">
        <v>248</v>
      </c>
      <c r="D665" s="456">
        <f>IF(Table11[[#This Row],[Current Age]]&gt;19,"Women's",IF(E665&gt;15,"U19",IF(E665&gt;13,"U15",IF(E665&gt;11,"U13",IF(E665&gt;0,"U11",0)))))</f>
        <v>0</v>
      </c>
      <c r="E665" s="456">
        <f>IFERROR(IF(Table11[[#This Row],[Year]]&gt;0,$E$1-Table11[[#This Row],[Year]],0),"")</f>
        <v>0</v>
      </c>
      <c r="F665" s="456"/>
      <c r="G665" s="456"/>
      <c r="H665" s="456"/>
    </row>
    <row r="666" spans="1:8" ht="13.5" customHeight="1">
      <c r="A666" s="456">
        <v>7662</v>
      </c>
      <c r="B666" s="457" t="s">
        <v>2070</v>
      </c>
      <c r="C666" s="456" t="s">
        <v>248</v>
      </c>
      <c r="D666" s="456">
        <f>IF(Table11[[#This Row],[Current Age]]&gt;19,"Women's",IF(E666&gt;15,"U19",IF(E666&gt;13,"U15",IF(E666&gt;11,"U13",IF(E666&gt;0,"U11",0)))))</f>
        <v>0</v>
      </c>
      <c r="E666" s="456">
        <f>IFERROR(IF(Table11[[#This Row],[Year]]&gt;0,$E$1-Table11[[#This Row],[Year]],0),"")</f>
        <v>0</v>
      </c>
      <c r="F666" s="456"/>
      <c r="G666" s="456"/>
      <c r="H666" s="456"/>
    </row>
    <row r="667" spans="1:8" ht="13.5" customHeight="1">
      <c r="A667" s="471">
        <v>7663</v>
      </c>
      <c r="B667" s="540" t="s">
        <v>2069</v>
      </c>
      <c r="C667" s="471" t="s">
        <v>248</v>
      </c>
      <c r="D667" s="456">
        <f>IF(Table11[[#This Row],[Current Age]]&gt;19,"Women's",IF(E667&gt;15,"U19",IF(E667&gt;13,"U15",IF(E667&gt;11,"U13",IF(E667&gt;0,"U11",0)))))</f>
        <v>0</v>
      </c>
      <c r="E667" s="456">
        <f>IFERROR(IF(Table11[[#This Row],[Year]]&gt;0,$E$1-Table11[[#This Row],[Year]],0),"")</f>
        <v>0</v>
      </c>
      <c r="F667" s="456"/>
      <c r="G667" s="456"/>
      <c r="H667" s="456"/>
    </row>
    <row r="668" spans="1:8" ht="13.5" customHeight="1">
      <c r="A668" s="456">
        <v>7664</v>
      </c>
      <c r="B668" s="457" t="s">
        <v>2071</v>
      </c>
      <c r="C668" s="456" t="s">
        <v>248</v>
      </c>
      <c r="D668" s="456">
        <f>IF(Table11[[#This Row],[Current Age]]&gt;19,"Women's",IF(E668&gt;15,"U19",IF(E668&gt;13,"U15",IF(E668&gt;11,"U13",IF(E668&gt;0,"U11",0)))))</f>
        <v>0</v>
      </c>
      <c r="E668" s="456">
        <f>IFERROR(IF(Table11[[#This Row],[Year]]&gt;0,$E$1-Table11[[#This Row],[Year]],0),"")</f>
        <v>0</v>
      </c>
      <c r="F668" s="456"/>
      <c r="G668" s="456"/>
      <c r="H668" s="456"/>
    </row>
    <row r="669" spans="1:8" ht="13.5" customHeight="1">
      <c r="A669" s="471">
        <v>7665</v>
      </c>
      <c r="B669" s="540" t="s">
        <v>2072</v>
      </c>
      <c r="C669" s="471" t="s">
        <v>248</v>
      </c>
      <c r="D669" s="456">
        <f>IF(Table11[[#This Row],[Current Age]]&gt;19,"Women's",IF(E669&gt;15,"U19",IF(E669&gt;13,"U15",IF(E669&gt;11,"U13",IF(E669&gt;0,"U11",0)))))</f>
        <v>0</v>
      </c>
      <c r="E669" s="456">
        <f>IFERROR(IF(Table11[[#This Row],[Year]]&gt;0,$E$1-Table11[[#This Row],[Year]],0),"")</f>
        <v>0</v>
      </c>
      <c r="F669" s="456"/>
      <c r="G669" s="456"/>
      <c r="H669" s="456"/>
    </row>
    <row r="670" spans="1:8" ht="13.5" customHeight="1">
      <c r="A670" s="456">
        <v>7666</v>
      </c>
      <c r="B670" s="457" t="s">
        <v>2073</v>
      </c>
      <c r="C670" s="456" t="s">
        <v>248</v>
      </c>
      <c r="D670" s="456">
        <f>IF(Table11[[#This Row],[Current Age]]&gt;19,"Women's",IF(E670&gt;15,"U19",IF(E670&gt;13,"U15",IF(E670&gt;11,"U13",IF(E670&gt;0,"U11",0)))))</f>
        <v>0</v>
      </c>
      <c r="E670" s="456">
        <f>IFERROR(IF(Table11[[#This Row],[Year]]&gt;0,$E$1-Table11[[#This Row],[Year]],0),"")</f>
        <v>0</v>
      </c>
      <c r="F670" s="456"/>
      <c r="G670" s="456"/>
      <c r="H670" s="456"/>
    </row>
    <row r="671" spans="1:8" ht="13.5" customHeight="1">
      <c r="A671" s="471">
        <v>7667</v>
      </c>
      <c r="B671" s="540" t="s">
        <v>2074</v>
      </c>
      <c r="C671" s="471" t="s">
        <v>248</v>
      </c>
      <c r="D671" s="456">
        <f>IF(Table11[[#This Row],[Current Age]]&gt;19,"Women's",IF(E671&gt;15,"U19",IF(E671&gt;13,"U15",IF(E671&gt;11,"U13",IF(E671&gt;0,"U11",0)))))</f>
        <v>0</v>
      </c>
      <c r="E671" s="456">
        <f>IFERROR(IF(Table11[[#This Row],[Year]]&gt;0,$E$1-Table11[[#This Row],[Year]],0),"")</f>
        <v>0</v>
      </c>
      <c r="F671" s="456"/>
      <c r="G671" s="456"/>
      <c r="H671" s="456"/>
    </row>
    <row r="672" spans="1:8" ht="13.5" customHeight="1">
      <c r="A672" s="456">
        <v>7668</v>
      </c>
      <c r="B672" s="457" t="s">
        <v>2075</v>
      </c>
      <c r="C672" s="456" t="s">
        <v>248</v>
      </c>
      <c r="D672" s="456">
        <f>IF(Table11[[#This Row],[Current Age]]&gt;19,"Women's",IF(E672&gt;15,"U19",IF(E672&gt;13,"U15",IF(E672&gt;11,"U13",IF(E672&gt;0,"U11",0)))))</f>
        <v>0</v>
      </c>
      <c r="E672" s="456">
        <f>IFERROR(IF(Table11[[#This Row],[Year]]&gt;0,$E$1-Table11[[#This Row],[Year]],0),"")</f>
        <v>0</v>
      </c>
      <c r="F672" s="456"/>
      <c r="G672" s="456"/>
      <c r="H672" s="456"/>
    </row>
    <row r="673" spans="1:8" ht="13.5" customHeight="1">
      <c r="A673" s="471">
        <v>7669</v>
      </c>
      <c r="B673" s="540" t="s">
        <v>2076</v>
      </c>
      <c r="C673" s="471" t="s">
        <v>248</v>
      </c>
      <c r="D673" s="456" t="str">
        <f>IF(Table11[[#This Row],[Current Age]]&gt;19,"Women's",IF(E673&gt;15,"U19",IF(E673&gt;13,"U15",IF(E673&gt;11,"U13",IF(E673&gt;0,"U11",0)))))</f>
        <v>Women's</v>
      </c>
      <c r="E673" s="456">
        <f>IFERROR(IF(Table11[[#This Row],[Year]]&gt;0,$E$1-Table11[[#This Row],[Year]],0),"")</f>
        <v>53</v>
      </c>
      <c r="F673" s="456">
        <v>1972</v>
      </c>
      <c r="G673" s="456">
        <v>2</v>
      </c>
      <c r="H673" s="456">
        <v>5</v>
      </c>
    </row>
    <row r="674" spans="1:8" ht="13.5" customHeight="1">
      <c r="A674" s="456">
        <v>7670</v>
      </c>
      <c r="B674" s="457" t="s">
        <v>2079</v>
      </c>
      <c r="C674" s="456" t="s">
        <v>361</v>
      </c>
      <c r="D674" s="456" t="str">
        <f>IF(Table11[[#This Row],[Current Age]]&gt;19,"Women's",IF(E674&gt;15,"U19",IF(E674&gt;13,"U15",IF(E674&gt;11,"U13",IF(E674&gt;0,"U11",0)))))</f>
        <v>Women's</v>
      </c>
      <c r="E674" s="456">
        <f>IFERROR(IF(Table11[[#This Row],[Year]]&gt;0,$E$1-Table11[[#This Row],[Year]],0),"")</f>
        <v>53</v>
      </c>
      <c r="F674" s="456">
        <v>1972</v>
      </c>
      <c r="G674" s="456">
        <v>3</v>
      </c>
      <c r="H674" s="456">
        <v>17</v>
      </c>
    </row>
    <row r="675" spans="1:8" ht="13.5" customHeight="1">
      <c r="A675" s="471">
        <v>7671</v>
      </c>
      <c r="B675" s="540" t="s">
        <v>2090</v>
      </c>
      <c r="C675" s="471" t="s">
        <v>762</v>
      </c>
      <c r="D675" s="456">
        <f>IF(Table11[[#This Row],[Current Age]]&gt;19,"Women's",IF(E675&gt;15,"U19",IF(E675&gt;13,"U15",IF(E675&gt;11,"U13",IF(E675&gt;0,"U11",0)))))</f>
        <v>0</v>
      </c>
      <c r="E675" s="456">
        <f>IFERROR(IF(Table11[[#This Row],[Year]]&gt;0,$E$1-Table11[[#This Row],[Year]],0),"")</f>
        <v>0</v>
      </c>
      <c r="F675" s="456"/>
      <c r="G675" s="456"/>
      <c r="H675" s="456"/>
    </row>
    <row r="676" spans="1:8" ht="13.5" customHeight="1">
      <c r="A676" s="456">
        <v>7672</v>
      </c>
      <c r="B676" s="457" t="s">
        <v>2091</v>
      </c>
      <c r="C676" s="456" t="s">
        <v>762</v>
      </c>
      <c r="D676" s="456">
        <f>IF(Table11[[#This Row],[Current Age]]&gt;19,"Women's",IF(E676&gt;15,"U19",IF(E676&gt;13,"U15",IF(E676&gt;11,"U13",IF(E676&gt;0,"U11",0)))))</f>
        <v>0</v>
      </c>
      <c r="E676" s="456">
        <f>IFERROR(IF(Table11[[#This Row],[Year]]&gt;0,$E$1-Table11[[#This Row],[Year]],0),"")</f>
        <v>0</v>
      </c>
      <c r="F676" s="456"/>
      <c r="G676" s="456"/>
      <c r="H676" s="456"/>
    </row>
    <row r="677" spans="1:8" ht="13.5" customHeight="1">
      <c r="A677" s="471">
        <v>7673</v>
      </c>
      <c r="B677" s="540" t="s">
        <v>2092</v>
      </c>
      <c r="C677" s="471" t="s">
        <v>361</v>
      </c>
      <c r="D677" s="456">
        <f>IF(Table11[[#This Row],[Current Age]]&gt;19,"Women's",IF(E677&gt;15,"U19",IF(E677&gt;13,"U15",IF(E677&gt;11,"U13",IF(E677&gt;0,"U11",0)))))</f>
        <v>0</v>
      </c>
      <c r="E677" s="456">
        <f>IFERROR(IF(Table11[[#This Row],[Year]]&gt;0,$E$1-Table11[[#This Row],[Year]],0),"")</f>
        <v>0</v>
      </c>
      <c r="F677" s="456"/>
      <c r="G677" s="456"/>
      <c r="H677" s="456"/>
    </row>
    <row r="678" spans="1:8" ht="13.5" customHeight="1">
      <c r="A678" s="456">
        <v>7674</v>
      </c>
      <c r="B678" s="457" t="s">
        <v>2119</v>
      </c>
      <c r="C678" s="456" t="s">
        <v>246</v>
      </c>
      <c r="D678" s="456">
        <f>IF(Table11[[#This Row],[Current Age]]&gt;19,"Women's",IF(E678&gt;15,"U19",IF(E678&gt;13,"U15",IF(E678&gt;11,"U13",IF(E678&gt;0,"U11",0)))))</f>
        <v>0</v>
      </c>
      <c r="E678" s="456">
        <f>IFERROR(IF(Table11[[#This Row],[Year]]&gt;0,$E$1-Table11[[#This Row],[Year]],0),"")</f>
        <v>0</v>
      </c>
      <c r="F678" s="456"/>
      <c r="G678" s="456"/>
      <c r="H678" s="456"/>
    </row>
    <row r="679" spans="1:8" ht="13.5" customHeight="1">
      <c r="A679" s="471">
        <v>7675</v>
      </c>
      <c r="B679" s="540" t="s">
        <v>2120</v>
      </c>
      <c r="C679" s="471" t="s">
        <v>246</v>
      </c>
      <c r="D679" s="456">
        <f>IF(Table11[[#This Row],[Current Age]]&gt;19,"Women's",IF(E679&gt;15,"U19",IF(E679&gt;13,"U15",IF(E679&gt;11,"U13",IF(E679&gt;0,"U11",0)))))</f>
        <v>0</v>
      </c>
      <c r="E679" s="456">
        <f>IFERROR(IF(Table11[[#This Row],[Year]]&gt;0,$E$1-Table11[[#This Row],[Year]],0),"")</f>
        <v>0</v>
      </c>
      <c r="F679" s="456"/>
      <c r="G679" s="456"/>
      <c r="H679" s="456"/>
    </row>
    <row r="680" spans="1:8" ht="13.5" customHeight="1">
      <c r="A680" s="456">
        <v>7676</v>
      </c>
      <c r="B680" s="457" t="s">
        <v>2121</v>
      </c>
      <c r="C680" s="456" t="s">
        <v>246</v>
      </c>
      <c r="D680" s="456">
        <f>IF(Table11[[#This Row],[Current Age]]&gt;19,"Women's",IF(E680&gt;15,"U19",IF(E680&gt;13,"U15",IF(E680&gt;11,"U13",IF(E680&gt;0,"U11",0)))))</f>
        <v>0</v>
      </c>
      <c r="E680" s="456">
        <f>IFERROR(IF(Table11[[#This Row],[Year]]&gt;0,$E$1-Table11[[#This Row],[Year]],0),"")</f>
        <v>0</v>
      </c>
      <c r="F680" s="456"/>
      <c r="G680" s="456"/>
      <c r="H680" s="456"/>
    </row>
    <row r="681" spans="1:8" ht="13.5" customHeight="1">
      <c r="A681" s="471">
        <v>7677</v>
      </c>
      <c r="B681" s="540" t="s">
        <v>2122</v>
      </c>
      <c r="C681" s="471" t="s">
        <v>246</v>
      </c>
      <c r="D681" s="456">
        <f>IF(Table11[[#This Row],[Current Age]]&gt;19,"Women's",IF(E681&gt;15,"U19",IF(E681&gt;13,"U15",IF(E681&gt;11,"U13",IF(E681&gt;0,"U11",0)))))</f>
        <v>0</v>
      </c>
      <c r="E681" s="456">
        <f>IFERROR(IF(Table11[[#This Row],[Year]]&gt;0,$E$1-Table11[[#This Row],[Year]],0),"")</f>
        <v>0</v>
      </c>
      <c r="F681" s="456"/>
      <c r="G681" s="456"/>
      <c r="H681" s="456"/>
    </row>
    <row r="682" spans="1:8" ht="13.5" customHeight="1">
      <c r="A682" s="456">
        <v>7678</v>
      </c>
      <c r="B682" s="457" t="s">
        <v>2123</v>
      </c>
      <c r="C682" s="456" t="s">
        <v>246</v>
      </c>
      <c r="D682" s="456">
        <f>IF(Table11[[#This Row],[Current Age]]&gt;19,"Women's",IF(E682&gt;15,"U19",IF(E682&gt;13,"U15",IF(E682&gt;11,"U13",IF(E682&gt;0,"U11",0)))))</f>
        <v>0</v>
      </c>
      <c r="E682" s="456">
        <f>IFERROR(IF(Table11[[#This Row],[Year]]&gt;0,$E$1-Table11[[#This Row],[Year]],0),"")</f>
        <v>0</v>
      </c>
      <c r="F682" s="456"/>
      <c r="G682" s="456"/>
      <c r="H682" s="456"/>
    </row>
    <row r="683" spans="1:8" ht="13.5" customHeight="1">
      <c r="A683" s="471">
        <v>7679</v>
      </c>
      <c r="B683" s="540" t="s">
        <v>2124</v>
      </c>
      <c r="C683" s="471" t="s">
        <v>246</v>
      </c>
      <c r="D683" s="456">
        <f>IF(Table11[[#This Row],[Current Age]]&gt;19,"Women's",IF(E683&gt;15,"U19",IF(E683&gt;13,"U15",IF(E683&gt;11,"U13",IF(E683&gt;0,"U11",0)))))</f>
        <v>0</v>
      </c>
      <c r="E683" s="456">
        <f>IFERROR(IF(Table11[[#This Row],[Year]]&gt;0,$E$1-Table11[[#This Row],[Year]],0),"")</f>
        <v>0</v>
      </c>
      <c r="F683" s="456"/>
      <c r="G683" s="456"/>
      <c r="H683" s="456"/>
    </row>
    <row r="684" spans="1:8" ht="13.5" customHeight="1">
      <c r="A684" s="456">
        <v>7680</v>
      </c>
      <c r="B684" s="457" t="s">
        <v>2125</v>
      </c>
      <c r="C684" s="456" t="s">
        <v>246</v>
      </c>
      <c r="D684" s="456">
        <f>IF(Table11[[#This Row],[Current Age]]&gt;19,"Women's",IF(E684&gt;15,"U19",IF(E684&gt;13,"U15",IF(E684&gt;11,"U13",IF(E684&gt;0,"U11",0)))))</f>
        <v>0</v>
      </c>
      <c r="E684" s="456">
        <f>IFERROR(IF(Table11[[#This Row],[Year]]&gt;0,$E$1-Table11[[#This Row],[Year]],0),"")</f>
        <v>0</v>
      </c>
      <c r="F684" s="456"/>
      <c r="G684" s="456"/>
      <c r="H684" s="456"/>
    </row>
    <row r="685" spans="1:8" ht="13.5" customHeight="1">
      <c r="A685" s="471">
        <v>7681</v>
      </c>
      <c r="B685" s="540" t="s">
        <v>2126</v>
      </c>
      <c r="C685" s="471" t="s">
        <v>246</v>
      </c>
      <c r="D685" s="456">
        <f>IF(Table11[[#This Row],[Current Age]]&gt;19,"Women's",IF(E685&gt;15,"U19",IF(E685&gt;13,"U15",IF(E685&gt;11,"U13",IF(E685&gt;0,"U11",0)))))</f>
        <v>0</v>
      </c>
      <c r="E685" s="456">
        <f>IFERROR(IF(Table11[[#This Row],[Year]]&gt;0,$E$1-Table11[[#This Row],[Year]],0),"")</f>
        <v>0</v>
      </c>
      <c r="F685" s="456"/>
      <c r="G685" s="456"/>
      <c r="H685" s="456"/>
    </row>
    <row r="686" spans="1:8" ht="13.5" customHeight="1">
      <c r="A686" s="456">
        <v>7682</v>
      </c>
      <c r="B686" s="457" t="s">
        <v>2127</v>
      </c>
      <c r="C686" s="456" t="s">
        <v>246</v>
      </c>
      <c r="D686" s="456">
        <f>IF(Table11[[#This Row],[Current Age]]&gt;19,"Women's",IF(E686&gt;15,"U19",IF(E686&gt;13,"U15",IF(E686&gt;11,"U13",IF(E686&gt;0,"U11",0)))))</f>
        <v>0</v>
      </c>
      <c r="E686" s="456">
        <f>IFERROR(IF(Table11[[#This Row],[Year]]&gt;0,$E$1-Table11[[#This Row],[Year]],0),"")</f>
        <v>0</v>
      </c>
      <c r="F686" s="456"/>
      <c r="G686" s="456"/>
      <c r="H686" s="456"/>
    </row>
    <row r="687" spans="1:8" ht="13.5" customHeight="1">
      <c r="A687" s="471">
        <v>7683</v>
      </c>
      <c r="B687" s="540" t="s">
        <v>2128</v>
      </c>
      <c r="C687" s="471" t="s">
        <v>246</v>
      </c>
      <c r="D687" s="456">
        <f>IF(Table11[[#This Row],[Current Age]]&gt;19,"Women's",IF(E687&gt;15,"U19",IF(E687&gt;13,"U15",IF(E687&gt;11,"U13",IF(E687&gt;0,"U11",0)))))</f>
        <v>0</v>
      </c>
      <c r="E687" s="456">
        <f>IFERROR(IF(Table11[[#This Row],[Year]]&gt;0,$E$1-Table11[[#This Row],[Year]],0),"")</f>
        <v>0</v>
      </c>
      <c r="F687" s="456"/>
      <c r="G687" s="456"/>
      <c r="H687" s="456"/>
    </row>
    <row r="688" spans="1:8" ht="13.5" customHeight="1">
      <c r="A688" s="456">
        <v>7684</v>
      </c>
      <c r="B688" s="457" t="s">
        <v>2129</v>
      </c>
      <c r="C688" s="456" t="s">
        <v>246</v>
      </c>
      <c r="D688" s="456">
        <f>IF(Table11[[#This Row],[Current Age]]&gt;19,"Women's",IF(E688&gt;15,"U19",IF(E688&gt;13,"U15",IF(E688&gt;11,"U13",IF(E688&gt;0,"U11",0)))))</f>
        <v>0</v>
      </c>
      <c r="E688" s="456">
        <f>IFERROR(IF(Table11[[#This Row],[Year]]&gt;0,$E$1-Table11[[#This Row],[Year]],0),"")</f>
        <v>0</v>
      </c>
      <c r="F688" s="456"/>
      <c r="G688" s="456"/>
      <c r="H688" s="456"/>
    </row>
    <row r="689" spans="1:8" ht="13.5" customHeight="1">
      <c r="A689" s="471">
        <v>7685</v>
      </c>
      <c r="B689" s="540" t="s">
        <v>2130</v>
      </c>
      <c r="C689" s="471" t="s">
        <v>246</v>
      </c>
      <c r="D689" s="456">
        <f>IF(Table11[[#This Row],[Current Age]]&gt;19,"Women's",IF(E689&gt;15,"U19",IF(E689&gt;13,"U15",IF(E689&gt;11,"U13",IF(E689&gt;0,"U11",0)))))</f>
        <v>0</v>
      </c>
      <c r="E689" s="456">
        <f>IFERROR(IF(Table11[[#This Row],[Year]]&gt;0,$E$1-Table11[[#This Row],[Year]],0),"")</f>
        <v>0</v>
      </c>
      <c r="F689" s="456"/>
      <c r="G689" s="456"/>
      <c r="H689" s="456"/>
    </row>
    <row r="690" spans="1:8" ht="13.5" customHeight="1">
      <c r="A690" s="456">
        <v>7686</v>
      </c>
      <c r="B690" s="457" t="s">
        <v>2131</v>
      </c>
      <c r="C690" s="456" t="s">
        <v>246</v>
      </c>
      <c r="D690" s="456">
        <f>IF(Table11[[#This Row],[Current Age]]&gt;19,"Women's",IF(E690&gt;15,"U19",IF(E690&gt;13,"U15",IF(E690&gt;11,"U13",IF(E690&gt;0,"U11",0)))))</f>
        <v>0</v>
      </c>
      <c r="E690" s="456">
        <f>IFERROR(IF(Table11[[#This Row],[Year]]&gt;0,$E$1-Table11[[#This Row],[Year]],0),"")</f>
        <v>0</v>
      </c>
      <c r="F690" s="456"/>
      <c r="G690" s="456"/>
      <c r="H690" s="456"/>
    </row>
    <row r="691" spans="1:8" ht="13.5" customHeight="1">
      <c r="A691" s="471">
        <v>7687</v>
      </c>
      <c r="B691" s="540" t="s">
        <v>2132</v>
      </c>
      <c r="C691" s="471" t="s">
        <v>246</v>
      </c>
      <c r="D691" s="456">
        <f>IF(Table11[[#This Row],[Current Age]]&gt;19,"Women's",IF(E691&gt;15,"U19",IF(E691&gt;13,"U15",IF(E691&gt;11,"U13",IF(E691&gt;0,"U11",0)))))</f>
        <v>0</v>
      </c>
      <c r="E691" s="456">
        <f>IFERROR(IF(Table11[[#This Row],[Year]]&gt;0,$E$1-Table11[[#This Row],[Year]],0),"")</f>
        <v>0</v>
      </c>
      <c r="F691" s="456"/>
      <c r="G691" s="456"/>
      <c r="H691" s="456"/>
    </row>
    <row r="692" spans="1:8" ht="13.5" customHeight="1">
      <c r="A692" s="456">
        <v>7688</v>
      </c>
      <c r="B692" s="457" t="s">
        <v>2133</v>
      </c>
      <c r="C692" s="456" t="s">
        <v>246</v>
      </c>
      <c r="D692" s="456">
        <f>IF(Table11[[#This Row],[Current Age]]&gt;19,"Women's",IF(E692&gt;15,"U19",IF(E692&gt;13,"U15",IF(E692&gt;11,"U13",IF(E692&gt;0,"U11",0)))))</f>
        <v>0</v>
      </c>
      <c r="E692" s="456">
        <f>IFERROR(IF(Table11[[#This Row],[Year]]&gt;0,$E$1-Table11[[#This Row],[Year]],0),"")</f>
        <v>0</v>
      </c>
      <c r="F692" s="456"/>
      <c r="G692" s="456"/>
      <c r="H692" s="456"/>
    </row>
    <row r="693" spans="1:8" ht="13.5" customHeight="1">
      <c r="A693" s="471">
        <v>7689</v>
      </c>
      <c r="B693" s="540" t="s">
        <v>2134</v>
      </c>
      <c r="C693" s="471" t="s">
        <v>246</v>
      </c>
      <c r="D693" s="456">
        <f>IF(Table11[[#This Row],[Current Age]]&gt;19,"Women's",IF(E693&gt;15,"U19",IF(E693&gt;13,"U15",IF(E693&gt;11,"U13",IF(E693&gt;0,"U11",0)))))</f>
        <v>0</v>
      </c>
      <c r="E693" s="456">
        <f>IFERROR(IF(Table11[[#This Row],[Year]]&gt;0,$E$1-Table11[[#This Row],[Year]],0),"")</f>
        <v>0</v>
      </c>
      <c r="F693" s="456"/>
      <c r="G693" s="456"/>
      <c r="H693" s="456"/>
    </row>
    <row r="694" spans="1:8" ht="13.5" customHeight="1">
      <c r="A694" s="456">
        <v>7690</v>
      </c>
      <c r="B694" s="457" t="s">
        <v>2135</v>
      </c>
      <c r="C694" s="456" t="s">
        <v>246</v>
      </c>
      <c r="D694" s="456">
        <f>IF(Table11[[#This Row],[Current Age]]&gt;19,"Women's",IF(E694&gt;15,"U19",IF(E694&gt;13,"U15",IF(E694&gt;11,"U13",IF(E694&gt;0,"U11",0)))))</f>
        <v>0</v>
      </c>
      <c r="E694" s="456">
        <f>IFERROR(IF(Table11[[#This Row],[Year]]&gt;0,$E$1-Table11[[#This Row],[Year]],0),"")</f>
        <v>0</v>
      </c>
      <c r="F694" s="456"/>
      <c r="G694" s="456"/>
      <c r="H694" s="456"/>
    </row>
    <row r="695" spans="1:8" ht="13.5" customHeight="1">
      <c r="A695" s="471">
        <v>7691</v>
      </c>
      <c r="B695" s="540" t="s">
        <v>2136</v>
      </c>
      <c r="C695" s="471" t="s">
        <v>246</v>
      </c>
      <c r="D695" s="456">
        <f>IF(Table11[[#This Row],[Current Age]]&gt;19,"Women's",IF(E695&gt;15,"U19",IF(E695&gt;13,"U15",IF(E695&gt;11,"U13",IF(E695&gt;0,"U11",0)))))</f>
        <v>0</v>
      </c>
      <c r="E695" s="456">
        <f>IFERROR(IF(Table11[[#This Row],[Year]]&gt;0,$E$1-Table11[[#This Row],[Year]],0),"")</f>
        <v>0</v>
      </c>
      <c r="F695" s="456"/>
      <c r="G695" s="456"/>
      <c r="H695" s="456"/>
    </row>
    <row r="696" spans="1:8" ht="13.5" customHeight="1">
      <c r="A696" s="456">
        <v>7692</v>
      </c>
      <c r="B696" s="457" t="s">
        <v>2137</v>
      </c>
      <c r="C696" s="456" t="s">
        <v>246</v>
      </c>
      <c r="D696" s="456">
        <f>IF(Table11[[#This Row],[Current Age]]&gt;19,"Women's",IF(E696&gt;15,"U19",IF(E696&gt;13,"U15",IF(E696&gt;11,"U13",IF(E696&gt;0,"U11",0)))))</f>
        <v>0</v>
      </c>
      <c r="E696" s="456">
        <f>IFERROR(IF(Table11[[#This Row],[Year]]&gt;0,$E$1-Table11[[#This Row],[Year]],0),"")</f>
        <v>0</v>
      </c>
      <c r="F696" s="456"/>
      <c r="G696" s="456"/>
      <c r="H696" s="456"/>
    </row>
    <row r="697" spans="1:8" ht="13.5" customHeight="1">
      <c r="A697" s="471">
        <v>7693</v>
      </c>
      <c r="B697" s="540" t="s">
        <v>2138</v>
      </c>
      <c r="C697" s="471" t="s">
        <v>246</v>
      </c>
      <c r="D697" s="456">
        <f>IF(Table11[[#This Row],[Current Age]]&gt;19,"Women's",IF(E697&gt;15,"U19",IF(E697&gt;13,"U15",IF(E697&gt;11,"U13",IF(E697&gt;0,"U11",0)))))</f>
        <v>0</v>
      </c>
      <c r="E697" s="456">
        <f>IFERROR(IF(Table11[[#This Row],[Year]]&gt;0,$E$1-Table11[[#This Row],[Year]],0),"")</f>
        <v>0</v>
      </c>
      <c r="F697" s="456"/>
      <c r="G697" s="456"/>
      <c r="H697" s="456"/>
    </row>
    <row r="698" spans="1:8" ht="13.5" customHeight="1">
      <c r="A698" s="456">
        <v>7694</v>
      </c>
      <c r="B698" s="457" t="s">
        <v>2139</v>
      </c>
      <c r="C698" s="456" t="s">
        <v>246</v>
      </c>
      <c r="D698" s="456">
        <f>IF(Table11[[#This Row],[Current Age]]&gt;19,"Women's",IF(E698&gt;15,"U19",IF(E698&gt;13,"U15",IF(E698&gt;11,"U13",IF(E698&gt;0,"U11",0)))))</f>
        <v>0</v>
      </c>
      <c r="E698" s="456">
        <f>IFERROR(IF(Table11[[#This Row],[Year]]&gt;0,$E$1-Table11[[#This Row],[Year]],0),"")</f>
        <v>0</v>
      </c>
      <c r="F698" s="456"/>
      <c r="G698" s="456"/>
      <c r="H698" s="456"/>
    </row>
    <row r="699" spans="1:8" ht="13.5" customHeight="1">
      <c r="A699" s="471">
        <v>7695</v>
      </c>
      <c r="B699" s="540" t="s">
        <v>2140</v>
      </c>
      <c r="C699" s="471" t="s">
        <v>246</v>
      </c>
      <c r="D699" s="456">
        <f>IF(Table11[[#This Row],[Current Age]]&gt;19,"Women's",IF(E699&gt;15,"U19",IF(E699&gt;13,"U15",IF(E699&gt;11,"U13",IF(E699&gt;0,"U11",0)))))</f>
        <v>0</v>
      </c>
      <c r="E699" s="456">
        <f>IFERROR(IF(Table11[[#This Row],[Year]]&gt;0,$E$1-Table11[[#This Row],[Year]],0),"")</f>
        <v>0</v>
      </c>
      <c r="F699" s="456"/>
      <c r="G699" s="456"/>
      <c r="H699" s="456"/>
    </row>
    <row r="700" spans="1:8" ht="13.5" customHeight="1">
      <c r="A700" s="456">
        <v>7696</v>
      </c>
      <c r="B700" s="457" t="s">
        <v>2141</v>
      </c>
      <c r="C700" s="456" t="s">
        <v>246</v>
      </c>
      <c r="D700" s="456">
        <f>IF(Table11[[#This Row],[Current Age]]&gt;19,"Women's",IF(E700&gt;15,"U19",IF(E700&gt;13,"U15",IF(E700&gt;11,"U13",IF(E700&gt;0,"U11",0)))))</f>
        <v>0</v>
      </c>
      <c r="E700" s="456">
        <f>IFERROR(IF(Table11[[#This Row],[Year]]&gt;0,$E$1-Table11[[#This Row],[Year]],0),"")</f>
        <v>0</v>
      </c>
      <c r="F700" s="456"/>
      <c r="G700" s="456"/>
      <c r="H700" s="456"/>
    </row>
    <row r="701" spans="1:8" ht="13.5" customHeight="1">
      <c r="A701" s="471">
        <v>7697</v>
      </c>
      <c r="B701" s="540" t="s">
        <v>1599</v>
      </c>
      <c r="C701" s="471" t="s">
        <v>4720</v>
      </c>
      <c r="D701" s="456">
        <f>IF(Table11[[#This Row],[Current Age]]&gt;19,"Women's",IF(E701&gt;15,"U19",IF(E701&gt;13,"U15",IF(E701&gt;11,"U13",IF(E701&gt;0,"U11",0)))))</f>
        <v>0</v>
      </c>
      <c r="E701" s="456">
        <f>IFERROR(IF(Table11[[#This Row],[Year]]&gt;0,$E$1-Table11[[#This Row],[Year]],0),"")</f>
        <v>0</v>
      </c>
      <c r="F701" s="456"/>
      <c r="G701" s="456"/>
      <c r="H701" s="456"/>
    </row>
    <row r="702" spans="1:8" ht="13.5" customHeight="1">
      <c r="A702" s="456">
        <v>7698</v>
      </c>
      <c r="B702" s="457" t="s">
        <v>2158</v>
      </c>
      <c r="C702" s="456" t="s">
        <v>4720</v>
      </c>
      <c r="D702" s="456">
        <f>IF(Table11[[#This Row],[Current Age]]&gt;19,"Women's",IF(E702&gt;15,"U19",IF(E702&gt;13,"U15",IF(E702&gt;11,"U13",IF(E702&gt;0,"U11",0)))))</f>
        <v>0</v>
      </c>
      <c r="E702" s="456">
        <f>IFERROR(IF(Table11[[#This Row],[Year]]&gt;0,$E$1-Table11[[#This Row],[Year]],0),"")</f>
        <v>0</v>
      </c>
      <c r="F702" s="456"/>
      <c r="G702" s="456"/>
      <c r="H702" s="456"/>
    </row>
    <row r="703" spans="1:8" ht="13.5" customHeight="1">
      <c r="A703" s="471">
        <v>7699</v>
      </c>
      <c r="B703" s="540" t="s">
        <v>2159</v>
      </c>
      <c r="C703" s="471" t="s">
        <v>4720</v>
      </c>
      <c r="D703" s="456">
        <f>IF(Table11[[#This Row],[Current Age]]&gt;19,"Women's",IF(E703&gt;15,"U19",IF(E703&gt;13,"U15",IF(E703&gt;11,"U13",IF(E703&gt;0,"U11",0)))))</f>
        <v>0</v>
      </c>
      <c r="E703" s="456">
        <f>IFERROR(IF(Table11[[#This Row],[Year]]&gt;0,$E$1-Table11[[#This Row],[Year]],0),"")</f>
        <v>0</v>
      </c>
      <c r="F703" s="456"/>
      <c r="G703" s="456"/>
      <c r="H703" s="456"/>
    </row>
    <row r="704" spans="1:8" ht="13.5" customHeight="1">
      <c r="A704" s="456">
        <v>7700</v>
      </c>
      <c r="B704" s="564" t="s">
        <v>2160</v>
      </c>
      <c r="C704" s="490" t="s">
        <v>4720</v>
      </c>
      <c r="D704" s="456">
        <f>IF(Table11[[#This Row],[Current Age]]&gt;19,"Women's",IF(E704&gt;15,"U19",IF(E704&gt;13,"U15",IF(E704&gt;11,"U13",IF(E704&gt;0,"U11",0)))))</f>
        <v>0</v>
      </c>
      <c r="E704" s="456">
        <f>IFERROR(IF(Table11[[#This Row],[Year]]&gt;0,$E$1-Table11[[#This Row],[Year]],0),"")</f>
        <v>0</v>
      </c>
      <c r="F704" s="456"/>
      <c r="G704" s="456"/>
      <c r="H704" s="456"/>
    </row>
    <row r="705" spans="1:8" ht="13.5" customHeight="1">
      <c r="A705" s="471">
        <v>7701</v>
      </c>
      <c r="B705" s="542" t="s">
        <v>2161</v>
      </c>
      <c r="C705" s="489" t="s">
        <v>4720</v>
      </c>
      <c r="D705" s="456">
        <f>IF(Table11[[#This Row],[Current Age]]&gt;19,"Women's",IF(E705&gt;15,"U19",IF(E705&gt;13,"U15",IF(E705&gt;11,"U13",IF(E705&gt;0,"U11",0)))))</f>
        <v>0</v>
      </c>
      <c r="E705" s="456">
        <f>IFERROR(IF(Table11[[#This Row],[Year]]&gt;0,$E$1-Table11[[#This Row],[Year]],0),"")</f>
        <v>0</v>
      </c>
      <c r="F705" s="456"/>
      <c r="G705" s="456"/>
      <c r="H705" s="456"/>
    </row>
    <row r="706" spans="1:8" ht="13.5" customHeight="1">
      <c r="A706" s="456">
        <v>7702</v>
      </c>
      <c r="B706" s="457" t="s">
        <v>2162</v>
      </c>
      <c r="C706" s="456" t="s">
        <v>247</v>
      </c>
      <c r="D706" s="456">
        <f>IF(Table11[[#This Row],[Current Age]]&gt;19,"Women's",IF(E706&gt;15,"U19",IF(E706&gt;13,"U15",IF(E706&gt;11,"U13",IF(E706&gt;0,"U11",0)))))</f>
        <v>0</v>
      </c>
      <c r="E706" s="456">
        <f>IFERROR(IF(Table11[[#This Row],[Year]]&gt;0,$E$1-Table11[[#This Row],[Year]],0),"")</f>
        <v>0</v>
      </c>
      <c r="F706" s="456"/>
      <c r="G706" s="456"/>
      <c r="H706" s="456"/>
    </row>
    <row r="707" spans="1:8" ht="13.5" customHeight="1">
      <c r="A707" s="471">
        <v>7703</v>
      </c>
      <c r="B707" s="540" t="s">
        <v>2163</v>
      </c>
      <c r="C707" s="471" t="s">
        <v>256</v>
      </c>
      <c r="D707" s="456">
        <f>IF(Table11[[#This Row],[Current Age]]&gt;19,"Women's",IF(E707&gt;15,"U19",IF(E707&gt;13,"U15",IF(E707&gt;11,"U13",IF(E707&gt;0,"U11",0)))))</f>
        <v>0</v>
      </c>
      <c r="E707" s="456">
        <f>IFERROR(IF(Table11[[#This Row],[Year]]&gt;0,$E$1-Table11[[#This Row],[Year]],0),"")</f>
        <v>0</v>
      </c>
      <c r="F707" s="456"/>
      <c r="G707" s="456"/>
      <c r="H707" s="456"/>
    </row>
    <row r="708" spans="1:8" ht="13.5" customHeight="1">
      <c r="A708" s="456">
        <v>7704</v>
      </c>
      <c r="B708" s="457" t="s">
        <v>2164</v>
      </c>
      <c r="C708" s="456" t="s">
        <v>247</v>
      </c>
      <c r="D708" s="456">
        <f>IF(Table11[[#This Row],[Current Age]]&gt;19,"Women's",IF(E708&gt;15,"U19",IF(E708&gt;13,"U15",IF(E708&gt;11,"U13",IF(E708&gt;0,"U11",0)))))</f>
        <v>0</v>
      </c>
      <c r="E708" s="456">
        <f>IFERROR(IF(Table11[[#This Row],[Year]]&gt;0,$E$1-Table11[[#This Row],[Year]],0),"")</f>
        <v>0</v>
      </c>
      <c r="F708" s="456"/>
      <c r="G708" s="456"/>
      <c r="H708" s="456"/>
    </row>
    <row r="709" spans="1:8" ht="13.5" customHeight="1">
      <c r="A709" s="471">
        <v>7705</v>
      </c>
      <c r="B709" s="540" t="s">
        <v>2165</v>
      </c>
      <c r="C709" s="471" t="s">
        <v>247</v>
      </c>
      <c r="D709" s="456">
        <f>IF(Table11[[#This Row],[Current Age]]&gt;19,"Women's",IF(E709&gt;15,"U19",IF(E709&gt;13,"U15",IF(E709&gt;11,"U13",IF(E709&gt;0,"U11",0)))))</f>
        <v>0</v>
      </c>
      <c r="E709" s="456">
        <f>IFERROR(IF(Table11[[#This Row],[Year]]&gt;0,$E$1-Table11[[#This Row],[Year]],0),"")</f>
        <v>0</v>
      </c>
      <c r="F709" s="456"/>
      <c r="G709" s="456"/>
      <c r="H709" s="456"/>
    </row>
    <row r="710" spans="1:8" ht="13.5" customHeight="1">
      <c r="A710" s="456">
        <v>7706</v>
      </c>
      <c r="B710" s="457" t="s">
        <v>2166</v>
      </c>
      <c r="C710" s="456" t="s">
        <v>247</v>
      </c>
      <c r="D710" s="456">
        <f>IF(Table11[[#This Row],[Current Age]]&gt;19,"Women's",IF(E710&gt;15,"U19",IF(E710&gt;13,"U15",IF(E710&gt;11,"U13",IF(E710&gt;0,"U11",0)))))</f>
        <v>0</v>
      </c>
      <c r="E710" s="456">
        <f>IFERROR(IF(Table11[[#This Row],[Year]]&gt;0,$E$1-Table11[[#This Row],[Year]],0),"")</f>
        <v>0</v>
      </c>
      <c r="F710" s="456"/>
      <c r="G710" s="456"/>
      <c r="H710" s="456"/>
    </row>
    <row r="711" spans="1:8" ht="13.5" customHeight="1">
      <c r="A711" s="471">
        <v>7707</v>
      </c>
      <c r="B711" s="540" t="s">
        <v>2167</v>
      </c>
      <c r="C711" s="471" t="s">
        <v>247</v>
      </c>
      <c r="D711" s="456">
        <f>IF(Table11[[#This Row],[Current Age]]&gt;19,"Women's",IF(E711&gt;15,"U19",IF(E711&gt;13,"U15",IF(E711&gt;11,"U13",IF(E711&gt;0,"U11",0)))))</f>
        <v>0</v>
      </c>
      <c r="E711" s="456">
        <f>IFERROR(IF(Table11[[#This Row],[Year]]&gt;0,$E$1-Table11[[#This Row],[Year]],0),"")</f>
        <v>0</v>
      </c>
      <c r="F711" s="456"/>
      <c r="G711" s="456"/>
      <c r="H711" s="456"/>
    </row>
    <row r="712" spans="1:8" ht="13.5" customHeight="1">
      <c r="A712" s="456">
        <v>7708</v>
      </c>
      <c r="B712" s="457" t="s">
        <v>2168</v>
      </c>
      <c r="C712" s="456" t="s">
        <v>247</v>
      </c>
      <c r="D712" s="456">
        <f>IF(Table11[[#This Row],[Current Age]]&gt;19,"Women's",IF(E712&gt;15,"U19",IF(E712&gt;13,"U15",IF(E712&gt;11,"U13",IF(E712&gt;0,"U11",0)))))</f>
        <v>0</v>
      </c>
      <c r="E712" s="456">
        <f>IFERROR(IF(Table11[[#This Row],[Year]]&gt;0,$E$1-Table11[[#This Row],[Year]],0),"")</f>
        <v>0</v>
      </c>
      <c r="F712" s="456"/>
      <c r="G712" s="456"/>
      <c r="H712" s="456"/>
    </row>
    <row r="713" spans="1:8" ht="13.5" customHeight="1">
      <c r="A713" s="471">
        <v>7709</v>
      </c>
      <c r="B713" s="540" t="s">
        <v>2001</v>
      </c>
      <c r="C713" s="471" t="s">
        <v>247</v>
      </c>
      <c r="D713" s="456">
        <f>IF(Table11[[#This Row],[Current Age]]&gt;19,"Women's",IF(E713&gt;15,"U19",IF(E713&gt;13,"U15",IF(E713&gt;11,"U13",IF(E713&gt;0,"U11",0)))))</f>
        <v>0</v>
      </c>
      <c r="E713" s="456">
        <f>IFERROR(IF(Table11[[#This Row],[Year]]&gt;0,$E$1-Table11[[#This Row],[Year]],0),"")</f>
        <v>0</v>
      </c>
      <c r="F713" s="456"/>
      <c r="G713" s="456"/>
      <c r="H713" s="456"/>
    </row>
    <row r="714" spans="1:8" ht="13.5" customHeight="1">
      <c r="A714" s="456">
        <v>7710</v>
      </c>
      <c r="B714" s="457" t="s">
        <v>2169</v>
      </c>
      <c r="C714" s="456" t="s">
        <v>256</v>
      </c>
      <c r="D714" s="456">
        <f>IF(Table11[[#This Row],[Current Age]]&gt;19,"Women's",IF(E714&gt;15,"U19",IF(E714&gt;13,"U15",IF(E714&gt;11,"U13",IF(E714&gt;0,"U11",0)))))</f>
        <v>0</v>
      </c>
      <c r="E714" s="456">
        <f>IFERROR(IF(Table11[[#This Row],[Year]]&gt;0,$E$1-Table11[[#This Row],[Year]],0),"")</f>
        <v>0</v>
      </c>
      <c r="F714" s="456"/>
      <c r="G714" s="456"/>
      <c r="H714" s="456"/>
    </row>
    <row r="715" spans="1:8" ht="13.5" customHeight="1">
      <c r="A715" s="471">
        <v>7711</v>
      </c>
      <c r="B715" s="540" t="s">
        <v>2171</v>
      </c>
      <c r="C715" s="471" t="s">
        <v>247</v>
      </c>
      <c r="D715" s="456">
        <f>IF(Table11[[#This Row],[Current Age]]&gt;19,"Women's",IF(E715&gt;15,"U19",IF(E715&gt;13,"U15",IF(E715&gt;11,"U13",IF(E715&gt;0,"U11",0)))))</f>
        <v>0</v>
      </c>
      <c r="E715" s="456">
        <f>IFERROR(IF(Table11[[#This Row],[Year]]&gt;0,$E$1-Table11[[#This Row],[Year]],0),"")</f>
        <v>0</v>
      </c>
      <c r="F715" s="456"/>
      <c r="G715" s="456"/>
      <c r="H715" s="456"/>
    </row>
    <row r="716" spans="1:8" ht="13.5" customHeight="1">
      <c r="A716" s="456">
        <v>7712</v>
      </c>
      <c r="B716" s="457" t="s">
        <v>2170</v>
      </c>
      <c r="C716" s="456" t="s">
        <v>247</v>
      </c>
      <c r="D716" s="456">
        <f>IF(Table11[[#This Row],[Current Age]]&gt;19,"Women's",IF(E716&gt;15,"U19",IF(E716&gt;13,"U15",IF(E716&gt;11,"U13",IF(E716&gt;0,"U11",0)))))</f>
        <v>0</v>
      </c>
      <c r="E716" s="456">
        <f>IFERROR(IF(Table11[[#This Row],[Year]]&gt;0,$E$1-Table11[[#This Row],[Year]],0),"")</f>
        <v>0</v>
      </c>
      <c r="F716" s="456"/>
      <c r="G716" s="456"/>
      <c r="H716" s="456"/>
    </row>
    <row r="717" spans="1:8" ht="13.5" customHeight="1">
      <c r="A717" s="471">
        <v>7713</v>
      </c>
      <c r="B717" s="540" t="s">
        <v>2172</v>
      </c>
      <c r="C717" s="471" t="s">
        <v>247</v>
      </c>
      <c r="D717" s="456">
        <f>IF(Table11[[#This Row],[Current Age]]&gt;19,"Women's",IF(E717&gt;15,"U19",IF(E717&gt;13,"U15",IF(E717&gt;11,"U13",IF(E717&gt;0,"U11",0)))))</f>
        <v>0</v>
      </c>
      <c r="E717" s="456">
        <f>IFERROR(IF(Table11[[#This Row],[Year]]&gt;0,$E$1-Table11[[#This Row],[Year]],0),"")</f>
        <v>0</v>
      </c>
      <c r="F717" s="456"/>
      <c r="G717" s="456"/>
      <c r="H717" s="456"/>
    </row>
    <row r="718" spans="1:8" ht="13.5" customHeight="1">
      <c r="A718" s="456">
        <v>7714</v>
      </c>
      <c r="B718" s="457" t="s">
        <v>2173</v>
      </c>
      <c r="C718" s="456" t="s">
        <v>247</v>
      </c>
      <c r="D718" s="456">
        <f>IF(Table11[[#This Row],[Current Age]]&gt;19,"Women's",IF(E718&gt;15,"U19",IF(E718&gt;13,"U15",IF(E718&gt;11,"U13",IF(E718&gt;0,"U11",0)))))</f>
        <v>0</v>
      </c>
      <c r="E718" s="456">
        <f>IFERROR(IF(Table11[[#This Row],[Year]]&gt;0,$E$1-Table11[[#This Row],[Year]],0),"")</f>
        <v>0</v>
      </c>
      <c r="F718" s="456"/>
      <c r="G718" s="456"/>
      <c r="H718" s="456"/>
    </row>
    <row r="719" spans="1:8" ht="13.5" customHeight="1">
      <c r="A719" s="471">
        <v>7715</v>
      </c>
      <c r="B719" s="540" t="s">
        <v>2184</v>
      </c>
      <c r="C719" s="471" t="s">
        <v>3346</v>
      </c>
      <c r="D719" s="456">
        <f>IF(Table11[[#This Row],[Current Age]]&gt;19,"Women's",IF(E719&gt;15,"U19",IF(E719&gt;13,"U15",IF(E719&gt;11,"U13",IF(E719&gt;0,"U11",0)))))</f>
        <v>0</v>
      </c>
      <c r="E719" s="456">
        <f>IFERROR(IF(Table11[[#This Row],[Year]]&gt;0,$E$1-Table11[[#This Row],[Year]],0),"")</f>
        <v>0</v>
      </c>
      <c r="F719" s="456"/>
      <c r="G719" s="456"/>
      <c r="H719" s="456"/>
    </row>
    <row r="720" spans="1:8" ht="13.5" customHeight="1">
      <c r="A720" s="456">
        <v>7716</v>
      </c>
      <c r="B720" s="457" t="s">
        <v>2185</v>
      </c>
      <c r="C720" s="456" t="s">
        <v>3346</v>
      </c>
      <c r="D720" s="456">
        <f>IF(Table11[[#This Row],[Current Age]]&gt;19,"Women's",IF(E720&gt;15,"U19",IF(E720&gt;13,"U15",IF(E720&gt;11,"U13",IF(E720&gt;0,"U11",0)))))</f>
        <v>0</v>
      </c>
      <c r="E720" s="456">
        <f>IFERROR(IF(Table11[[#This Row],[Year]]&gt;0,$E$1-Table11[[#This Row],[Year]],0),"")</f>
        <v>0</v>
      </c>
      <c r="F720" s="456"/>
      <c r="G720" s="456"/>
      <c r="H720" s="456"/>
    </row>
    <row r="721" spans="1:8" ht="13.5" customHeight="1">
      <c r="A721" s="471">
        <v>7717</v>
      </c>
      <c r="B721" s="540" t="s">
        <v>2186</v>
      </c>
      <c r="C721" s="471" t="s">
        <v>3346</v>
      </c>
      <c r="D721" s="456">
        <f>IF(Table11[[#This Row],[Current Age]]&gt;19,"Women's",IF(E721&gt;15,"U19",IF(E721&gt;13,"U15",IF(E721&gt;11,"U13",IF(E721&gt;0,"U11",0)))))</f>
        <v>0</v>
      </c>
      <c r="E721" s="456">
        <f>IFERROR(IF(Table11[[#This Row],[Year]]&gt;0,$E$1-Table11[[#This Row],[Year]],0),"")</f>
        <v>0</v>
      </c>
      <c r="F721" s="456"/>
      <c r="G721" s="456"/>
      <c r="H721" s="456"/>
    </row>
    <row r="722" spans="1:8" ht="13.5" customHeight="1">
      <c r="A722" s="456">
        <v>7718</v>
      </c>
      <c r="B722" s="457" t="s">
        <v>2187</v>
      </c>
      <c r="C722" s="456" t="s">
        <v>3346</v>
      </c>
      <c r="D722" s="456">
        <f>IF(Table11[[#This Row],[Current Age]]&gt;19,"Women's",IF(E722&gt;15,"U19",IF(E722&gt;13,"U15",IF(E722&gt;11,"U13",IF(E722&gt;0,"U11",0)))))</f>
        <v>0</v>
      </c>
      <c r="E722" s="456">
        <f>IFERROR(IF(Table11[[#This Row],[Year]]&gt;0,$E$1-Table11[[#This Row],[Year]],0),"")</f>
        <v>0</v>
      </c>
      <c r="F722" s="456"/>
      <c r="G722" s="456"/>
      <c r="H722" s="456"/>
    </row>
    <row r="723" spans="1:8" ht="13.5" customHeight="1">
      <c r="A723" s="471">
        <v>7719</v>
      </c>
      <c r="B723" s="540" t="s">
        <v>2188</v>
      </c>
      <c r="C723" s="471" t="s">
        <v>3346</v>
      </c>
      <c r="D723" s="456">
        <f>IF(Table11[[#This Row],[Current Age]]&gt;19,"Women's",IF(E723&gt;15,"U19",IF(E723&gt;13,"U15",IF(E723&gt;11,"U13",IF(E723&gt;0,"U11",0)))))</f>
        <v>0</v>
      </c>
      <c r="E723" s="456">
        <f>IFERROR(IF(Table11[[#This Row],[Year]]&gt;0,$E$1-Table11[[#This Row],[Year]],0),"")</f>
        <v>0</v>
      </c>
      <c r="F723" s="456"/>
      <c r="G723" s="456"/>
      <c r="H723" s="456"/>
    </row>
    <row r="724" spans="1:8" ht="13.5" customHeight="1">
      <c r="A724" s="456">
        <v>7720</v>
      </c>
      <c r="B724" s="457" t="s">
        <v>2189</v>
      </c>
      <c r="C724" s="456" t="s">
        <v>3346</v>
      </c>
      <c r="D724" s="456">
        <f>IF(Table11[[#This Row],[Current Age]]&gt;19,"Women's",IF(E724&gt;15,"U19",IF(E724&gt;13,"U15",IF(E724&gt;11,"U13",IF(E724&gt;0,"U11",0)))))</f>
        <v>0</v>
      </c>
      <c r="E724" s="456">
        <f>IFERROR(IF(Table11[[#This Row],[Year]]&gt;0,$E$1-Table11[[#This Row],[Year]],0),"")</f>
        <v>0</v>
      </c>
      <c r="F724" s="456"/>
      <c r="G724" s="456"/>
      <c r="H724" s="456"/>
    </row>
    <row r="725" spans="1:8" ht="13.5" customHeight="1">
      <c r="A725" s="471">
        <v>7721</v>
      </c>
      <c r="B725" s="540" t="s">
        <v>2190</v>
      </c>
      <c r="C725" s="471" t="s">
        <v>3346</v>
      </c>
      <c r="D725" s="456">
        <f>IF(Table11[[#This Row],[Current Age]]&gt;19,"Women's",IF(E725&gt;15,"U19",IF(E725&gt;13,"U15",IF(E725&gt;11,"U13",IF(E725&gt;0,"U11",0)))))</f>
        <v>0</v>
      </c>
      <c r="E725" s="456">
        <f>IFERROR(IF(Table11[[#This Row],[Year]]&gt;0,$E$1-Table11[[#This Row],[Year]],0),"")</f>
        <v>0</v>
      </c>
      <c r="F725" s="456"/>
      <c r="G725" s="456"/>
      <c r="H725" s="456"/>
    </row>
    <row r="726" spans="1:8" ht="13.5" customHeight="1">
      <c r="A726" s="456">
        <v>7722</v>
      </c>
      <c r="B726" s="457" t="s">
        <v>2217</v>
      </c>
      <c r="C726" s="456" t="s">
        <v>3346</v>
      </c>
      <c r="D726" s="456">
        <f>IF(Table11[[#This Row],[Current Age]]&gt;19,"Women's",IF(E726&gt;15,"U19",IF(E726&gt;13,"U15",IF(E726&gt;11,"U13",IF(E726&gt;0,"U11",0)))))</f>
        <v>0</v>
      </c>
      <c r="E726" s="456">
        <f>IFERROR(IF(Table11[[#This Row],[Year]]&gt;0,$E$1-Table11[[#This Row],[Year]],0),"")</f>
        <v>0</v>
      </c>
      <c r="F726" s="456"/>
      <c r="G726" s="456"/>
      <c r="H726" s="456"/>
    </row>
    <row r="727" spans="1:8" ht="13.5" customHeight="1">
      <c r="A727" s="471">
        <v>7723</v>
      </c>
      <c r="B727" s="540" t="s">
        <v>2224</v>
      </c>
      <c r="C727" s="471" t="s">
        <v>362</v>
      </c>
      <c r="D727" s="456" t="str">
        <f>IF(Table11[[#This Row],[Current Age]]&gt;19,"Women's",IF(E727&gt;15,"U19",IF(E727&gt;13,"U15",IF(E727&gt;11,"U13",IF(E727&gt;0,"U11",0)))))</f>
        <v>U19</v>
      </c>
      <c r="E727" s="456">
        <f>IFERROR(IF(Table11[[#This Row],[Year]]&gt;0,$E$1-Table11[[#This Row],[Year]],0),"")</f>
        <v>19</v>
      </c>
      <c r="F727" s="456">
        <v>2006</v>
      </c>
      <c r="G727" s="456">
        <v>12</v>
      </c>
      <c r="H727" s="456">
        <v>20</v>
      </c>
    </row>
    <row r="728" spans="1:8" ht="13.5" customHeight="1">
      <c r="A728" s="456">
        <v>7724</v>
      </c>
      <c r="B728" s="457" t="s">
        <v>2223</v>
      </c>
      <c r="C728" s="456" t="s">
        <v>362</v>
      </c>
      <c r="D728" s="456" t="str">
        <f>IF(Table11[[#This Row],[Current Age]]&gt;19,"Women's",IF(E728&gt;15,"U19",IF(E728&gt;13,"U15",IF(E728&gt;11,"U13",IF(E728&gt;0,"U11",0)))))</f>
        <v>U19</v>
      </c>
      <c r="E728" s="456">
        <f>IFERROR(IF(Table11[[#This Row],[Year]]&gt;0,$E$1-Table11[[#This Row],[Year]],0),"")</f>
        <v>19</v>
      </c>
      <c r="F728" s="456">
        <v>2006</v>
      </c>
      <c r="G728" s="456">
        <v>4</v>
      </c>
      <c r="H728" s="456">
        <v>10</v>
      </c>
    </row>
    <row r="729" spans="1:8" ht="13.5" customHeight="1">
      <c r="A729" s="471">
        <v>7725</v>
      </c>
      <c r="B729" s="540" t="s">
        <v>2222</v>
      </c>
      <c r="C729" s="471" t="s">
        <v>362</v>
      </c>
      <c r="D729" s="456" t="str">
        <f>IF(Table11[[#This Row],[Current Age]]&gt;19,"Women's",IF(E729&gt;15,"U19",IF(E729&gt;13,"U15",IF(E729&gt;11,"U13",IF(E729&gt;0,"U11",0)))))</f>
        <v>Women's</v>
      </c>
      <c r="E729" s="456">
        <f>IFERROR(IF(Table11[[#This Row],[Year]]&gt;0,$E$1-Table11[[#This Row],[Year]],0),"")</f>
        <v>22</v>
      </c>
      <c r="F729" s="456">
        <v>2003</v>
      </c>
      <c r="G729" s="456">
        <v>7</v>
      </c>
      <c r="H729" s="456">
        <v>30</v>
      </c>
    </row>
    <row r="730" spans="1:8" ht="13.5" customHeight="1">
      <c r="A730" s="456">
        <v>7726</v>
      </c>
      <c r="B730" s="457" t="s">
        <v>2221</v>
      </c>
      <c r="C730" s="456" t="s">
        <v>362</v>
      </c>
      <c r="D730" s="456" t="str">
        <f>IF(Table11[[#This Row],[Current Age]]&gt;19,"Women's",IF(E730&gt;15,"U19",IF(E730&gt;13,"U15",IF(E730&gt;11,"U13",IF(E730&gt;0,"U11",0)))))</f>
        <v>Women's</v>
      </c>
      <c r="E730" s="456">
        <f>IFERROR(IF(Table11[[#This Row],[Year]]&gt;0,$E$1-Table11[[#This Row],[Year]],0),"")</f>
        <v>22</v>
      </c>
      <c r="F730" s="456">
        <v>2003</v>
      </c>
      <c r="G730" s="456">
        <v>3</v>
      </c>
      <c r="H730" s="456">
        <v>15</v>
      </c>
    </row>
    <row r="731" spans="1:8" ht="13.5" customHeight="1">
      <c r="A731" s="471">
        <v>7727</v>
      </c>
      <c r="B731" s="540" t="s">
        <v>2538</v>
      </c>
      <c r="C731" s="471" t="s">
        <v>244</v>
      </c>
      <c r="D731" s="456">
        <f>IF(Table11[[#This Row],[Current Age]]&gt;19,"Women's",IF(E731&gt;15,"U19",IF(E731&gt;13,"U15",IF(E731&gt;11,"U13",IF(E731&gt;0,"U11",0)))))</f>
        <v>0</v>
      </c>
      <c r="E731" s="456">
        <f>IFERROR(IF(Table11[[#This Row],[Year]]&gt;0,$E$1-Table11[[#This Row],[Year]],0),"")</f>
        <v>0</v>
      </c>
      <c r="F731" s="456"/>
      <c r="G731" s="456"/>
      <c r="H731" s="456"/>
    </row>
    <row r="732" spans="1:8" ht="13.5" customHeight="1">
      <c r="A732" s="456">
        <v>7728</v>
      </c>
      <c r="B732" s="457" t="s">
        <v>2227</v>
      </c>
      <c r="C732" s="456" t="s">
        <v>362</v>
      </c>
      <c r="D732" s="456">
        <f>IF(Table11[[#This Row],[Current Age]]&gt;19,"Women's",IF(E732&gt;15,"U19",IF(E732&gt;13,"U15",IF(E732&gt;11,"U13",IF(E732&gt;0,"U11",0)))))</f>
        <v>0</v>
      </c>
      <c r="E732" s="456">
        <f>IFERROR(IF(Table11[[#This Row],[Year]]&gt;0,$E$1-Table11[[#This Row],[Year]],0),"")</f>
        <v>0</v>
      </c>
      <c r="F732" s="456"/>
      <c r="G732" s="456"/>
      <c r="H732" s="456"/>
    </row>
    <row r="733" spans="1:8" ht="13.5" customHeight="1">
      <c r="A733" s="471">
        <v>7729</v>
      </c>
      <c r="B733" s="540" t="s">
        <v>2228</v>
      </c>
      <c r="C733" s="471" t="s">
        <v>362</v>
      </c>
      <c r="D733" s="456" t="str">
        <f>IF(Table11[[#This Row],[Current Age]]&gt;19,"Women's",IF(E733&gt;15,"U19",IF(E733&gt;13,"U15",IF(E733&gt;11,"U13",IF(E733&gt;0,"U11",0)))))</f>
        <v>Women's</v>
      </c>
      <c r="E733" s="456">
        <f>IFERROR(IF(Table11[[#This Row],[Year]]&gt;0,$E$1-Table11[[#This Row],[Year]],0),"")</f>
        <v>33</v>
      </c>
      <c r="F733" s="456">
        <v>1992</v>
      </c>
      <c r="G733" s="456">
        <v>1</v>
      </c>
      <c r="H733" s="456">
        <v>4</v>
      </c>
    </row>
    <row r="734" spans="1:8" ht="13.5" customHeight="1">
      <c r="A734" s="456">
        <v>7730</v>
      </c>
      <c r="B734" s="457" t="s">
        <v>2242</v>
      </c>
      <c r="C734" s="456" t="s">
        <v>1914</v>
      </c>
      <c r="D734" s="456" t="str">
        <f>IF(Table11[[#This Row],[Current Age]]&gt;19,"Women's",IF(E734&gt;15,"U19",IF(E734&gt;13,"U15",IF(E734&gt;11,"U13",IF(E734&gt;0,"U11",0)))))</f>
        <v>Women's</v>
      </c>
      <c r="E734" s="456">
        <f>IFERROR(IF(Table11[[#This Row],[Year]]&gt;0,$E$1-Table11[[#This Row],[Year]],0),"")</f>
        <v>22</v>
      </c>
      <c r="F734" s="456">
        <v>2003</v>
      </c>
      <c r="G734" s="456">
        <v>1</v>
      </c>
      <c r="H734" s="457">
        <v>20</v>
      </c>
    </row>
    <row r="735" spans="1:8" ht="13.5" customHeight="1">
      <c r="A735" s="471">
        <v>7731</v>
      </c>
      <c r="B735" s="540" t="s">
        <v>2241</v>
      </c>
      <c r="C735" s="471" t="s">
        <v>1914</v>
      </c>
      <c r="D735" s="456" t="str">
        <f>IF(Table11[[#This Row],[Current Age]]&gt;19,"Women's",IF(E735&gt;15,"U19",IF(E735&gt;13,"U15",IF(E735&gt;11,"U13",IF(E735&gt;0,"U11",0)))))</f>
        <v>Women's</v>
      </c>
      <c r="E735" s="456">
        <f>IFERROR(IF(Table11[[#This Row],[Year]]&gt;0,$E$1-Table11[[#This Row],[Year]],0),"")</f>
        <v>22</v>
      </c>
      <c r="F735" s="456">
        <v>2003</v>
      </c>
      <c r="G735" s="456">
        <v>12</v>
      </c>
      <c r="H735" s="457">
        <v>28</v>
      </c>
    </row>
    <row r="736" spans="1:8" ht="13.5" customHeight="1">
      <c r="A736" s="456">
        <v>7732</v>
      </c>
      <c r="B736" s="457" t="s">
        <v>2240</v>
      </c>
      <c r="C736" s="456" t="s">
        <v>1914</v>
      </c>
      <c r="D736" s="456">
        <f>IF(Table11[[#This Row],[Current Age]]&gt;19,"Women's",IF(E736&gt;15,"U19",IF(E736&gt;13,"U15",IF(E736&gt;11,"U13",IF(E736&gt;0,"U11",0)))))</f>
        <v>0</v>
      </c>
      <c r="E736" s="456">
        <f>IFERROR(IF(Table11[[#This Row],[Year]]&gt;0,$E$1-Table11[[#This Row],[Year]],0),"")</f>
        <v>0</v>
      </c>
      <c r="F736" s="456"/>
      <c r="G736" s="456"/>
      <c r="H736" s="456"/>
    </row>
    <row r="737" spans="1:8" ht="13.5" customHeight="1">
      <c r="A737" s="471">
        <v>7733</v>
      </c>
      <c r="B737" s="540" t="s">
        <v>2239</v>
      </c>
      <c r="C737" s="471" t="s">
        <v>1914</v>
      </c>
      <c r="D737" s="456" t="str">
        <f>IF(Table11[[#This Row],[Current Age]]&gt;19,"Women's",IF(E737&gt;15,"U19",IF(E737&gt;13,"U15",IF(E737&gt;11,"U13",IF(E737&gt;0,"U11",0)))))</f>
        <v>U19</v>
      </c>
      <c r="E737" s="456">
        <f>IFERROR(IF(Table11[[#This Row],[Year]]&gt;0,$E$1-Table11[[#This Row],[Year]],0),"")</f>
        <v>19</v>
      </c>
      <c r="F737" s="456">
        <v>2006</v>
      </c>
      <c r="G737" s="456">
        <v>8</v>
      </c>
      <c r="H737" s="457">
        <v>14</v>
      </c>
    </row>
    <row r="738" spans="1:8" ht="13.5" customHeight="1">
      <c r="A738" s="456">
        <v>7734</v>
      </c>
      <c r="B738" s="457" t="s">
        <v>2243</v>
      </c>
      <c r="C738" s="456" t="s">
        <v>1914</v>
      </c>
      <c r="D738" s="456" t="str">
        <f>IF(Table11[[#This Row],[Current Age]]&gt;19,"Women's",IF(E738&gt;15,"U19",IF(E738&gt;13,"U15",IF(E738&gt;11,"U13",IF(E738&gt;0,"U11",0)))))</f>
        <v>Women's</v>
      </c>
      <c r="E738" s="456">
        <f>IFERROR(IF(Table11[[#This Row],[Year]]&gt;0,$E$1-Table11[[#This Row],[Year]],0),"")</f>
        <v>20</v>
      </c>
      <c r="F738" s="456">
        <v>2005</v>
      </c>
      <c r="G738" s="456">
        <v>7</v>
      </c>
      <c r="H738" s="457">
        <v>7</v>
      </c>
    </row>
    <row r="739" spans="1:8" ht="13.5" customHeight="1">
      <c r="A739" s="471">
        <v>7735</v>
      </c>
      <c r="B739" s="540" t="s">
        <v>2244</v>
      </c>
      <c r="C739" s="471" t="s">
        <v>1914</v>
      </c>
      <c r="D739" s="456" t="str">
        <f>IF(Table11[[#This Row],[Current Age]]&gt;19,"Women's",IF(E739&gt;15,"U19",IF(E739&gt;13,"U15",IF(E739&gt;11,"U13",IF(E739&gt;0,"U11",0)))))</f>
        <v>Women's</v>
      </c>
      <c r="E739" s="456">
        <f>IFERROR(IF(Table11[[#This Row],[Year]]&gt;0,$E$1-Table11[[#This Row],[Year]],0),"")</f>
        <v>20</v>
      </c>
      <c r="F739" s="456">
        <v>2005</v>
      </c>
      <c r="G739" s="456">
        <v>4</v>
      </c>
      <c r="H739" s="457">
        <v>15</v>
      </c>
    </row>
    <row r="740" spans="1:8" ht="13.5" customHeight="1">
      <c r="A740" s="456">
        <v>7736</v>
      </c>
      <c r="B740" s="457" t="s">
        <v>2245</v>
      </c>
      <c r="C740" s="456" t="s">
        <v>1914</v>
      </c>
      <c r="D740" s="456" t="str">
        <f>IF(Table11[[#This Row],[Current Age]]&gt;19,"Women's",IF(E740&gt;15,"U19",IF(E740&gt;13,"U15",IF(E740&gt;11,"U13",IF(E740&gt;0,"U11",0)))))</f>
        <v>U19</v>
      </c>
      <c r="E740" s="456">
        <f>IFERROR(IF(Table11[[#This Row],[Year]]&gt;0,$E$1-Table11[[#This Row],[Year]],0),"")</f>
        <v>19</v>
      </c>
      <c r="F740" s="456">
        <v>2006</v>
      </c>
      <c r="G740" s="456">
        <v>5</v>
      </c>
      <c r="H740" s="457">
        <v>15</v>
      </c>
    </row>
    <row r="741" spans="1:8" ht="13.5" customHeight="1">
      <c r="A741" s="471">
        <v>7737</v>
      </c>
      <c r="B741" s="540" t="s">
        <v>2246</v>
      </c>
      <c r="C741" s="471" t="s">
        <v>1914</v>
      </c>
      <c r="D741" s="456" t="str">
        <f>IF(Table11[[#This Row],[Current Age]]&gt;19,"Women's",IF(E741&gt;15,"U19",IF(E741&gt;13,"U15",IF(E741&gt;11,"U13",IF(E741&gt;0,"U11",0)))))</f>
        <v>U19</v>
      </c>
      <c r="E741" s="456">
        <f>IFERROR(IF(Table11[[#This Row],[Year]]&gt;0,$E$1-Table11[[#This Row],[Year]],0),"")</f>
        <v>18</v>
      </c>
      <c r="F741" s="456">
        <v>2007</v>
      </c>
      <c r="G741" s="456">
        <v>1</v>
      </c>
      <c r="H741" s="457">
        <v>21</v>
      </c>
    </row>
    <row r="742" spans="1:8" ht="13.5" customHeight="1">
      <c r="A742" s="456">
        <v>7738</v>
      </c>
      <c r="B742" s="457" t="s">
        <v>2255</v>
      </c>
      <c r="C742" s="456" t="s">
        <v>361</v>
      </c>
      <c r="D742" s="456">
        <f>IF(Table11[[#This Row],[Current Age]]&gt;19,"Women's",IF(E742&gt;15,"U19",IF(E742&gt;13,"U15",IF(E742&gt;11,"U13",IF(E742&gt;0,"U11",0)))))</f>
        <v>0</v>
      </c>
      <c r="E742" s="456">
        <f>IFERROR(IF(Table11[[#This Row],[Year]]&gt;0,$E$1-Table11[[#This Row],[Year]],0),"")</f>
        <v>0</v>
      </c>
      <c r="F742" s="456"/>
      <c r="G742" s="456"/>
      <c r="H742" s="456"/>
    </row>
    <row r="743" spans="1:8" ht="13.5" customHeight="1">
      <c r="A743" s="471">
        <v>7739</v>
      </c>
      <c r="B743" s="540" t="s">
        <v>2256</v>
      </c>
      <c r="C743" s="471" t="s">
        <v>361</v>
      </c>
      <c r="D743" s="456">
        <f>IF(Table11[[#This Row],[Current Age]]&gt;19,"Women's",IF(E743&gt;15,"U19",IF(E743&gt;13,"U15",IF(E743&gt;11,"U13",IF(E743&gt;0,"U11",0)))))</f>
        <v>0</v>
      </c>
      <c r="E743" s="456">
        <f>IFERROR(IF(Table11[[#This Row],[Year]]&gt;0,$E$1-Table11[[#This Row],[Year]],0),"")</f>
        <v>0</v>
      </c>
      <c r="F743" s="456"/>
      <c r="G743" s="456"/>
      <c r="H743" s="456"/>
    </row>
    <row r="744" spans="1:8" ht="13.5" customHeight="1">
      <c r="A744" s="456">
        <v>7740</v>
      </c>
      <c r="B744" s="457" t="s">
        <v>3540</v>
      </c>
      <c r="C744" s="456" t="s">
        <v>361</v>
      </c>
      <c r="D744" s="456" t="str">
        <f>IF(Table11[[#This Row],[Current Age]]&gt;19,"Women's",IF(E744&gt;15,"U19",IF(E744&gt;13,"U15",IF(E744&gt;11,"U13",IF(E744&gt;0,"U11",0)))))</f>
        <v>U15</v>
      </c>
      <c r="E744" s="456">
        <f>IFERROR(IF(Table11[[#This Row],[Year]]&gt;0,$E$1-Table11[[#This Row],[Year]],0),"")</f>
        <v>14</v>
      </c>
      <c r="F744" s="456">
        <v>2011</v>
      </c>
      <c r="G744" s="456">
        <v>11</v>
      </c>
      <c r="H744" s="456">
        <v>1</v>
      </c>
    </row>
    <row r="745" spans="1:8" ht="13.5" customHeight="1">
      <c r="A745" s="471">
        <v>7741</v>
      </c>
      <c r="B745" s="540" t="s">
        <v>3283</v>
      </c>
      <c r="C745" s="471" t="s">
        <v>361</v>
      </c>
      <c r="D745" s="456" t="str">
        <f>IF(Table11[[#This Row],[Current Age]]&gt;19,"Women's",IF(E745&gt;15,"U19",IF(E745&gt;13,"U15",IF(E745&gt;11,"U13",IF(E745&gt;0,"U11",0)))))</f>
        <v>U19</v>
      </c>
      <c r="E745" s="456">
        <f>IFERROR(IF(Table11[[#This Row],[Year]]&gt;0,$E$1-Table11[[#This Row],[Year]],0),"")</f>
        <v>17</v>
      </c>
      <c r="F745" s="456">
        <v>2008</v>
      </c>
      <c r="G745" s="456">
        <v>11</v>
      </c>
      <c r="H745" s="456">
        <v>25</v>
      </c>
    </row>
    <row r="746" spans="1:8" ht="13.5" customHeight="1">
      <c r="A746" s="456">
        <v>7742</v>
      </c>
      <c r="B746" s="457" t="s">
        <v>2261</v>
      </c>
      <c r="C746" s="456" t="s">
        <v>361</v>
      </c>
      <c r="D746" s="456">
        <f>IF(Table11[[#This Row],[Current Age]]&gt;19,"Women's",IF(E746&gt;15,"U19",IF(E746&gt;13,"U15",IF(E746&gt;11,"U13",IF(E746&gt;0,"U11",0)))))</f>
        <v>0</v>
      </c>
      <c r="E746" s="456">
        <f>IFERROR(IF(Table11[[#This Row],[Year]]&gt;0,$E$1-Table11[[#This Row],[Year]],0),"")</f>
        <v>0</v>
      </c>
      <c r="F746" s="456"/>
      <c r="G746" s="456"/>
      <c r="H746" s="456"/>
    </row>
    <row r="747" spans="1:8" ht="13.5" customHeight="1">
      <c r="A747" s="471">
        <v>7743</v>
      </c>
      <c r="B747" s="540" t="s">
        <v>6032</v>
      </c>
      <c r="C747" s="471" t="s">
        <v>252</v>
      </c>
      <c r="D747" s="456" t="s">
        <v>6033</v>
      </c>
      <c r="E747" s="456">
        <v>14</v>
      </c>
      <c r="F747" s="456">
        <v>2011</v>
      </c>
      <c r="G747" s="456">
        <v>4</v>
      </c>
      <c r="H747" s="456">
        <v>13</v>
      </c>
    </row>
    <row r="748" spans="1:8" ht="13.5" customHeight="1">
      <c r="A748" s="456">
        <v>7744</v>
      </c>
      <c r="B748" s="457" t="s">
        <v>2272</v>
      </c>
      <c r="C748" s="456" t="s">
        <v>361</v>
      </c>
      <c r="D748" s="456">
        <f>IF(Table11[[#This Row],[Current Age]]&gt;19,"Women's",IF(E748&gt;15,"U19",IF(E748&gt;13,"U15",IF(E748&gt;11,"U13",IF(E748&gt;0,"U11",0)))))</f>
        <v>0</v>
      </c>
      <c r="E748" s="456">
        <f>IFERROR(IF(Table11[[#This Row],[Year]]&gt;0,$E$1-Table11[[#This Row],[Year]],0),"")</f>
        <v>0</v>
      </c>
      <c r="F748" s="456"/>
      <c r="G748" s="456"/>
      <c r="H748" s="456"/>
    </row>
    <row r="749" spans="1:8" ht="13.5" customHeight="1">
      <c r="A749" s="471">
        <v>7745</v>
      </c>
      <c r="B749" s="540" t="s">
        <v>2275</v>
      </c>
      <c r="C749" s="471" t="s">
        <v>361</v>
      </c>
      <c r="D749" s="456" t="str">
        <f>IF(Table11[[#This Row],[Current Age]]&gt;19,"Women's",IF(E749&gt;15,"U19",IF(E749&gt;13,"U15",IF(E749&gt;11,"U13",IF(E749&gt;0,"U11",0)))))</f>
        <v>U19</v>
      </c>
      <c r="E749" s="456">
        <f>IFERROR(IF(Table11[[#This Row],[Year]]&gt;0,$E$1-Table11[[#This Row],[Year]],0),"")</f>
        <v>17</v>
      </c>
      <c r="F749" s="456">
        <v>2008</v>
      </c>
      <c r="G749" s="456">
        <v>10</v>
      </c>
      <c r="H749" s="456">
        <v>2</v>
      </c>
    </row>
    <row r="750" spans="1:8" ht="13.5" customHeight="1">
      <c r="A750" s="456">
        <v>7746</v>
      </c>
      <c r="B750" s="457" t="s">
        <v>2277</v>
      </c>
      <c r="C750" s="456" t="s">
        <v>361</v>
      </c>
      <c r="D750" s="456">
        <f>IF(Table11[[#This Row],[Current Age]]&gt;19,"Women's",IF(E750&gt;15,"U19",IF(E750&gt;13,"U15",IF(E750&gt;11,"U13",IF(E750&gt;0,"U11",0)))))</f>
        <v>0</v>
      </c>
      <c r="E750" s="456">
        <f>IFERROR(IF(Table11[[#This Row],[Year]]&gt;0,$E$1-Table11[[#This Row],[Year]],0),"")</f>
        <v>0</v>
      </c>
      <c r="F750" s="456"/>
      <c r="G750" s="456"/>
      <c r="H750" s="456"/>
    </row>
    <row r="751" spans="1:8" ht="13.5" customHeight="1">
      <c r="A751" s="471">
        <v>7747</v>
      </c>
      <c r="B751" s="540" t="s">
        <v>2287</v>
      </c>
      <c r="C751" s="471" t="s">
        <v>361</v>
      </c>
      <c r="D751" s="456">
        <f>IF(Table11[[#This Row],[Current Age]]&gt;19,"Women's",IF(E751&gt;15,"U19",IF(E751&gt;13,"U15",IF(E751&gt;11,"U13",IF(E751&gt;0,"U11",0)))))</f>
        <v>0</v>
      </c>
      <c r="E751" s="456">
        <f>IFERROR(IF(Table11[[#This Row],[Year]]&gt;0,$E$1-Table11[[#This Row],[Year]],0),"")</f>
        <v>0</v>
      </c>
      <c r="F751" s="456"/>
      <c r="G751" s="456"/>
      <c r="H751" s="456"/>
    </row>
    <row r="752" spans="1:8" ht="13.5" customHeight="1">
      <c r="A752" s="456">
        <v>7748</v>
      </c>
      <c r="B752" s="457" t="s">
        <v>2288</v>
      </c>
      <c r="C752" s="456" t="s">
        <v>361</v>
      </c>
      <c r="D752" s="456">
        <f>IF(Table11[[#This Row],[Current Age]]&gt;19,"Women's",IF(E752&gt;15,"U19",IF(E752&gt;13,"U15",IF(E752&gt;11,"U13",IF(E752&gt;0,"U11",0)))))</f>
        <v>0</v>
      </c>
      <c r="E752" s="456">
        <f>IFERROR(IF(Table11[[#This Row],[Year]]&gt;0,$E$1-Table11[[#This Row],[Year]],0),"")</f>
        <v>0</v>
      </c>
      <c r="F752" s="456"/>
      <c r="G752" s="456"/>
      <c r="H752" s="456"/>
    </row>
    <row r="753" spans="1:8" ht="13.5" customHeight="1">
      <c r="A753" s="471">
        <v>7749</v>
      </c>
      <c r="B753" s="540" t="s">
        <v>2294</v>
      </c>
      <c r="C753" s="471" t="s">
        <v>362</v>
      </c>
      <c r="D753" s="456" t="str">
        <f>IF(Table11[[#This Row],[Current Age]]&gt;19,"Women's",IF(E753&gt;15,"U19",IF(E753&gt;13,"U15",IF(E753&gt;11,"U13",IF(E753&gt;0,"U11",0)))))</f>
        <v>Women's</v>
      </c>
      <c r="E753" s="456">
        <f>IFERROR(IF(Table11[[#This Row],[Year]]&gt;0,$E$1-Table11[[#This Row],[Year]],0),"")</f>
        <v>22</v>
      </c>
      <c r="F753" s="456">
        <v>2003</v>
      </c>
      <c r="G753" s="456">
        <v>11</v>
      </c>
      <c r="H753" s="456">
        <v>4</v>
      </c>
    </row>
    <row r="754" spans="1:8" ht="13.5" customHeight="1">
      <c r="A754" s="456">
        <v>7750</v>
      </c>
      <c r="B754" s="457" t="s">
        <v>2307</v>
      </c>
      <c r="C754" s="456" t="s">
        <v>4720</v>
      </c>
      <c r="D754" s="456">
        <f>IF(Table11[[#This Row],[Current Age]]&gt;19,"Women's",IF(E754&gt;15,"U19",IF(E754&gt;13,"U15",IF(E754&gt;11,"U13",IF(E754&gt;0,"U11",0)))))</f>
        <v>0</v>
      </c>
      <c r="E754" s="456">
        <f>IFERROR(IF(Table11[[#This Row],[Year]]&gt;0,$E$1-Table11[[#This Row],[Year]],0),"")</f>
        <v>0</v>
      </c>
      <c r="F754" s="456"/>
      <c r="G754" s="456"/>
      <c r="H754" s="456"/>
    </row>
    <row r="755" spans="1:8" ht="13.5" customHeight="1">
      <c r="A755" s="471">
        <v>7751</v>
      </c>
      <c r="B755" s="540" t="s">
        <v>2317</v>
      </c>
      <c r="C755" s="471" t="s">
        <v>248</v>
      </c>
      <c r="D755" s="456">
        <f>IF(Table11[[#This Row],[Current Age]]&gt;19,"Women's",IF(E755&gt;15,"U19",IF(E755&gt;13,"U15",IF(E755&gt;11,"U13",IF(E755&gt;0,"U11",0)))))</f>
        <v>0</v>
      </c>
      <c r="E755" s="456">
        <f>IFERROR(IF(Table11[[#This Row],[Year]]&gt;0,$E$1-Table11[[#This Row],[Year]],0),"")</f>
        <v>0</v>
      </c>
      <c r="F755" s="456"/>
      <c r="G755" s="456"/>
      <c r="H755" s="456"/>
    </row>
    <row r="756" spans="1:8" ht="13.5" customHeight="1">
      <c r="A756" s="456">
        <v>7752</v>
      </c>
      <c r="B756" s="457" t="s">
        <v>2318</v>
      </c>
      <c r="C756" s="456" t="s">
        <v>248</v>
      </c>
      <c r="D756" s="456">
        <f>IF(Table11[[#This Row],[Current Age]]&gt;19,"Women's",IF(E756&gt;15,"U19",IF(E756&gt;13,"U15",IF(E756&gt;11,"U13",IF(E756&gt;0,"U11",0)))))</f>
        <v>0</v>
      </c>
      <c r="E756" s="456">
        <f>IFERROR(IF(Table11[[#This Row],[Year]]&gt;0,$E$1-Table11[[#This Row],[Year]],0),"")</f>
        <v>0</v>
      </c>
      <c r="F756" s="456"/>
      <c r="G756" s="456"/>
      <c r="H756" s="456"/>
    </row>
    <row r="757" spans="1:8" ht="13.5" customHeight="1">
      <c r="A757" s="471">
        <v>7753</v>
      </c>
      <c r="B757" s="540" t="s">
        <v>2319</v>
      </c>
      <c r="C757" s="471" t="s">
        <v>248</v>
      </c>
      <c r="D757" s="456">
        <f>IF(Table11[[#This Row],[Current Age]]&gt;19,"Women's",IF(E757&gt;15,"U19",IF(E757&gt;13,"U15",IF(E757&gt;11,"U13",IF(E757&gt;0,"U11",0)))))</f>
        <v>0</v>
      </c>
      <c r="E757" s="456">
        <f>IFERROR(IF(Table11[[#This Row],[Year]]&gt;0,$E$1-Table11[[#This Row],[Year]],0),"")</f>
        <v>0</v>
      </c>
      <c r="F757" s="456"/>
      <c r="G757" s="456"/>
      <c r="H757" s="456"/>
    </row>
    <row r="758" spans="1:8" ht="13.5" customHeight="1">
      <c r="A758" s="456">
        <v>7754</v>
      </c>
      <c r="B758" s="457" t="s">
        <v>2320</v>
      </c>
      <c r="C758" s="456" t="s">
        <v>248</v>
      </c>
      <c r="D758" s="456">
        <f>IF(Table11[[#This Row],[Current Age]]&gt;19,"Women's",IF(E758&gt;15,"U19",IF(E758&gt;13,"U15",IF(E758&gt;11,"U13",IF(E758&gt;0,"U11",0)))))</f>
        <v>0</v>
      </c>
      <c r="E758" s="456">
        <f>IFERROR(IF(Table11[[#This Row],[Year]]&gt;0,$E$1-Table11[[#This Row],[Year]],0),"")</f>
        <v>0</v>
      </c>
      <c r="F758" s="456"/>
      <c r="G758" s="456"/>
      <c r="H758" s="456"/>
    </row>
    <row r="759" spans="1:8" ht="13.5" customHeight="1">
      <c r="A759" s="471">
        <v>7755</v>
      </c>
      <c r="B759" s="540" t="s">
        <v>2321</v>
      </c>
      <c r="C759" s="471" t="s">
        <v>248</v>
      </c>
      <c r="D759" s="456">
        <f>IF(Table11[[#This Row],[Current Age]]&gt;19,"Women's",IF(E759&gt;15,"U19",IF(E759&gt;13,"U15",IF(E759&gt;11,"U13",IF(E759&gt;0,"U11",0)))))</f>
        <v>0</v>
      </c>
      <c r="E759" s="456">
        <f>IFERROR(IF(Table11[[#This Row],[Year]]&gt;0,$E$1-Table11[[#This Row],[Year]],0),"")</f>
        <v>0</v>
      </c>
      <c r="F759" s="456"/>
      <c r="G759" s="456"/>
      <c r="H759" s="456"/>
    </row>
    <row r="760" spans="1:8" ht="13.5" customHeight="1">
      <c r="A760" s="456">
        <v>7756</v>
      </c>
      <c r="B760" s="457" t="s">
        <v>2322</v>
      </c>
      <c r="C760" s="456" t="s">
        <v>248</v>
      </c>
      <c r="D760" s="456">
        <f>IF(Table11[[#This Row],[Current Age]]&gt;19,"Women's",IF(E760&gt;15,"U19",IF(E760&gt;13,"U15",IF(E760&gt;11,"U13",IF(E760&gt;0,"U11",0)))))</f>
        <v>0</v>
      </c>
      <c r="E760" s="456">
        <f>IFERROR(IF(Table11[[#This Row],[Year]]&gt;0,$E$1-Table11[[#This Row],[Year]],0),"")</f>
        <v>0</v>
      </c>
      <c r="F760" s="456"/>
      <c r="G760" s="456"/>
      <c r="H760" s="456"/>
    </row>
    <row r="761" spans="1:8" ht="13.5" customHeight="1">
      <c r="A761" s="471">
        <v>7757</v>
      </c>
      <c r="B761" s="540" t="s">
        <v>2323</v>
      </c>
      <c r="C761" s="471" t="s">
        <v>248</v>
      </c>
      <c r="D761" s="456">
        <f>IF(Table11[[#This Row],[Current Age]]&gt;19,"Women's",IF(E761&gt;15,"U19",IF(E761&gt;13,"U15",IF(E761&gt;11,"U13",IF(E761&gt;0,"U11",0)))))</f>
        <v>0</v>
      </c>
      <c r="E761" s="456">
        <f>IFERROR(IF(Table11[[#This Row],[Year]]&gt;0,$E$1-Table11[[#This Row],[Year]],0),"")</f>
        <v>0</v>
      </c>
      <c r="F761" s="456"/>
      <c r="G761" s="456"/>
      <c r="H761" s="456"/>
    </row>
    <row r="762" spans="1:8" ht="13.5" customHeight="1">
      <c r="A762" s="456">
        <v>7758</v>
      </c>
      <c r="B762" s="457" t="s">
        <v>2324</v>
      </c>
      <c r="C762" s="456" t="s">
        <v>248</v>
      </c>
      <c r="D762" s="456">
        <f>IF(Table11[[#This Row],[Current Age]]&gt;19,"Women's",IF(E762&gt;15,"U19",IF(E762&gt;13,"U15",IF(E762&gt;11,"U13",IF(E762&gt;0,"U11",0)))))</f>
        <v>0</v>
      </c>
      <c r="E762" s="456">
        <f>IFERROR(IF(Table11[[#This Row],[Year]]&gt;0,$E$1-Table11[[#This Row],[Year]],0),"")</f>
        <v>0</v>
      </c>
      <c r="F762" s="456"/>
      <c r="G762" s="456"/>
      <c r="H762" s="456"/>
    </row>
    <row r="763" spans="1:8" ht="13.5" customHeight="1">
      <c r="A763" s="471">
        <v>7759</v>
      </c>
      <c r="B763" s="540" t="s">
        <v>2325</v>
      </c>
      <c r="C763" s="471" t="s">
        <v>248</v>
      </c>
      <c r="D763" s="456">
        <f>IF(Table11[[#This Row],[Current Age]]&gt;19,"Women's",IF(E763&gt;15,"U19",IF(E763&gt;13,"U15",IF(E763&gt;11,"U13",IF(E763&gt;0,"U11",0)))))</f>
        <v>0</v>
      </c>
      <c r="E763" s="456">
        <f>IFERROR(IF(Table11[[#This Row],[Year]]&gt;0,$E$1-Table11[[#This Row],[Year]],0),"")</f>
        <v>0</v>
      </c>
      <c r="F763" s="456"/>
      <c r="G763" s="456"/>
      <c r="H763" s="456"/>
    </row>
    <row r="764" spans="1:8" ht="13.5" customHeight="1">
      <c r="A764" s="456">
        <v>7760</v>
      </c>
      <c r="B764" s="457" t="s">
        <v>2326</v>
      </c>
      <c r="C764" s="456" t="s">
        <v>248</v>
      </c>
      <c r="D764" s="456">
        <f>IF(Table11[[#This Row],[Current Age]]&gt;19,"Women's",IF(E764&gt;15,"U19",IF(E764&gt;13,"U15",IF(E764&gt;11,"U13",IF(E764&gt;0,"U11",0)))))</f>
        <v>0</v>
      </c>
      <c r="E764" s="456">
        <f>IFERROR(IF(Table11[[#This Row],[Year]]&gt;0,$E$1-Table11[[#This Row],[Year]],0),"")</f>
        <v>0</v>
      </c>
      <c r="F764" s="456"/>
      <c r="G764" s="456"/>
      <c r="H764" s="456"/>
    </row>
    <row r="765" spans="1:8" ht="13.5" customHeight="1">
      <c r="A765" s="471">
        <v>7761</v>
      </c>
      <c r="B765" s="540" t="s">
        <v>2327</v>
      </c>
      <c r="C765" s="471" t="s">
        <v>248</v>
      </c>
      <c r="D765" s="456">
        <f>IF(Table11[[#This Row],[Current Age]]&gt;19,"Women's",IF(E765&gt;15,"U19",IF(E765&gt;13,"U15",IF(E765&gt;11,"U13",IF(E765&gt;0,"U11",0)))))</f>
        <v>0</v>
      </c>
      <c r="E765" s="456">
        <f>IFERROR(IF(Table11[[#This Row],[Year]]&gt;0,$E$1-Table11[[#This Row],[Year]],0),"")</f>
        <v>0</v>
      </c>
      <c r="F765" s="456"/>
      <c r="G765" s="456"/>
      <c r="H765" s="456"/>
    </row>
    <row r="766" spans="1:8" ht="13.5" customHeight="1">
      <c r="A766" s="456">
        <v>7762</v>
      </c>
      <c r="B766" s="457" t="s">
        <v>2329</v>
      </c>
      <c r="C766" s="456" t="s">
        <v>361</v>
      </c>
      <c r="D766" s="456" t="str">
        <f>IF(Table11[[#This Row],[Current Age]]&gt;19,"Women's",IF(E766&gt;15,"U19",IF(E766&gt;13,"U15",IF(E766&gt;11,"U13",IF(E766&gt;0,"U11",0)))))</f>
        <v>Women's</v>
      </c>
      <c r="E766" s="456">
        <f>IFERROR(IF(Table11[[#This Row],[Year]]&gt;0,$E$1-Table11[[#This Row],[Year]],0),"")</f>
        <v>23</v>
      </c>
      <c r="F766" s="456">
        <v>2002</v>
      </c>
      <c r="G766" s="456">
        <v>0</v>
      </c>
      <c r="H766" s="456">
        <v>0</v>
      </c>
    </row>
    <row r="767" spans="1:8" ht="13.5" customHeight="1">
      <c r="A767" s="471">
        <v>7763</v>
      </c>
      <c r="B767" s="540" t="s">
        <v>3274</v>
      </c>
      <c r="C767" s="471" t="s">
        <v>361</v>
      </c>
      <c r="D767" s="456" t="str">
        <f>IF(Table11[[#This Row],[Current Age]]&gt;19,"Women's",IF(E767&gt;15,"U19",IF(E767&gt;13,"U15",IF(E767&gt;11,"U13",IF(E767&gt;0,"U11",0)))))</f>
        <v>U19</v>
      </c>
      <c r="E767" s="456">
        <f>IFERROR(IF(Table11[[#This Row],[Year]]&gt;0,$E$1-Table11[[#This Row],[Year]],0),"")</f>
        <v>19</v>
      </c>
      <c r="F767" s="456">
        <v>2006</v>
      </c>
      <c r="G767" s="456">
        <v>1</v>
      </c>
      <c r="H767" s="456">
        <v>6</v>
      </c>
    </row>
    <row r="768" spans="1:8" ht="13.5" customHeight="1">
      <c r="A768" s="456">
        <v>7764</v>
      </c>
      <c r="B768" s="457" t="s">
        <v>2348</v>
      </c>
      <c r="C768" s="456" t="s">
        <v>248</v>
      </c>
      <c r="D768" s="456">
        <f>IF(Table11[[#This Row],[Current Age]]&gt;19,"Women's",IF(E768&gt;15,"U19",IF(E768&gt;13,"U15",IF(E768&gt;11,"U13",IF(E768&gt;0,"U11",0)))))</f>
        <v>0</v>
      </c>
      <c r="E768" s="456">
        <f>IFERROR(IF(Table11[[#This Row],[Year]]&gt;0,$E$1-Table11[[#This Row],[Year]],0),"")</f>
        <v>0</v>
      </c>
      <c r="F768" s="456"/>
      <c r="G768" s="456"/>
      <c r="H768" s="456"/>
    </row>
    <row r="769" spans="1:8" ht="13.5" customHeight="1">
      <c r="A769" s="471">
        <v>7765</v>
      </c>
      <c r="B769" s="540" t="s">
        <v>2349</v>
      </c>
      <c r="C769" s="471" t="s">
        <v>248</v>
      </c>
      <c r="D769" s="456">
        <f>IF(Table11[[#This Row],[Current Age]]&gt;19,"Women's",IF(E769&gt;15,"U19",IF(E769&gt;13,"U15",IF(E769&gt;11,"U13",IF(E769&gt;0,"U11",0)))))</f>
        <v>0</v>
      </c>
      <c r="E769" s="456">
        <f>IFERROR(IF(Table11[[#This Row],[Year]]&gt;0,$E$1-Table11[[#This Row],[Year]],0),"")</f>
        <v>0</v>
      </c>
      <c r="F769" s="456"/>
      <c r="G769" s="456"/>
      <c r="H769" s="456"/>
    </row>
    <row r="770" spans="1:8" ht="13.5" customHeight="1">
      <c r="A770" s="456">
        <v>7766</v>
      </c>
      <c r="B770" s="457" t="s">
        <v>2350</v>
      </c>
      <c r="C770" s="456" t="s">
        <v>248</v>
      </c>
      <c r="D770" s="456">
        <f>IF(Table11[[#This Row],[Current Age]]&gt;19,"Women's",IF(E770&gt;15,"U19",IF(E770&gt;13,"U15",IF(E770&gt;11,"U13",IF(E770&gt;0,"U11",0)))))</f>
        <v>0</v>
      </c>
      <c r="E770" s="456">
        <f>IFERROR(IF(Table11[[#This Row],[Year]]&gt;0,$E$1-Table11[[#This Row],[Year]],0),"")</f>
        <v>0</v>
      </c>
      <c r="F770" s="456"/>
      <c r="G770" s="456"/>
      <c r="H770" s="456"/>
    </row>
    <row r="771" spans="1:8" ht="13.5" customHeight="1">
      <c r="A771" s="471">
        <v>7767</v>
      </c>
      <c r="B771" s="540" t="s">
        <v>2351</v>
      </c>
      <c r="C771" s="471" t="s">
        <v>248</v>
      </c>
      <c r="D771" s="456">
        <f>IF(Table11[[#This Row],[Current Age]]&gt;19,"Women's",IF(E771&gt;15,"U19",IF(E771&gt;13,"U15",IF(E771&gt;11,"U13",IF(E771&gt;0,"U11",0)))))</f>
        <v>0</v>
      </c>
      <c r="E771" s="456">
        <f>IFERROR(IF(Table11[[#This Row],[Year]]&gt;0,$E$1-Table11[[#This Row],[Year]],0),"")</f>
        <v>0</v>
      </c>
      <c r="F771" s="456"/>
      <c r="G771" s="456"/>
      <c r="H771" s="456"/>
    </row>
    <row r="772" spans="1:8" ht="13.5" customHeight="1">
      <c r="A772" s="456">
        <v>7768</v>
      </c>
      <c r="B772" s="457" t="s">
        <v>2352</v>
      </c>
      <c r="C772" s="456" t="s">
        <v>248</v>
      </c>
      <c r="D772" s="456">
        <f>IF(Table11[[#This Row],[Current Age]]&gt;19,"Women's",IF(E772&gt;15,"U19",IF(E772&gt;13,"U15",IF(E772&gt;11,"U13",IF(E772&gt;0,"U11",0)))))</f>
        <v>0</v>
      </c>
      <c r="E772" s="456">
        <f>IFERROR(IF(Table11[[#This Row],[Year]]&gt;0,$E$1-Table11[[#This Row],[Year]],0),"")</f>
        <v>0</v>
      </c>
      <c r="F772" s="456"/>
      <c r="G772" s="456"/>
      <c r="H772" s="456"/>
    </row>
    <row r="773" spans="1:8" ht="13.5" customHeight="1">
      <c r="A773" s="471">
        <v>7769</v>
      </c>
      <c r="B773" s="540" t="s">
        <v>2353</v>
      </c>
      <c r="C773" s="471" t="s">
        <v>248</v>
      </c>
      <c r="D773" s="456">
        <f>IF(Table11[[#This Row],[Current Age]]&gt;19,"Women's",IF(E773&gt;15,"U19",IF(E773&gt;13,"U15",IF(E773&gt;11,"U13",IF(E773&gt;0,"U11",0)))))</f>
        <v>0</v>
      </c>
      <c r="E773" s="456">
        <f>IFERROR(IF(Table11[[#This Row],[Year]]&gt;0,$E$1-Table11[[#This Row],[Year]],0),"")</f>
        <v>0</v>
      </c>
      <c r="F773" s="456"/>
      <c r="G773" s="456"/>
      <c r="H773" s="456"/>
    </row>
    <row r="774" spans="1:8" ht="13.5" customHeight="1">
      <c r="A774" s="456">
        <v>7770</v>
      </c>
      <c r="B774" s="457" t="s">
        <v>2354</v>
      </c>
      <c r="C774" s="456" t="s">
        <v>3750</v>
      </c>
      <c r="D774" s="456">
        <f>IF(Table11[[#This Row],[Current Age]]&gt;19,"Women's",IF(E774&gt;15,"U19",IF(E774&gt;13,"U15",IF(E774&gt;11,"U13",IF(E774&gt;0,"U11",0)))))</f>
        <v>0</v>
      </c>
      <c r="E774" s="456">
        <f>IFERROR(IF(Table11[[#This Row],[Year]]&gt;0,$E$1-Table11[[#This Row],[Year]],0),"")</f>
        <v>0</v>
      </c>
      <c r="F774" s="456"/>
      <c r="G774" s="456"/>
      <c r="H774" s="456"/>
    </row>
    <row r="775" spans="1:8" ht="13.5" customHeight="1">
      <c r="A775" s="471">
        <v>7771</v>
      </c>
      <c r="B775" s="540" t="s">
        <v>2387</v>
      </c>
      <c r="C775" s="471" t="s">
        <v>361</v>
      </c>
      <c r="D775" s="456">
        <f>IF(Table11[[#This Row],[Current Age]]&gt;19,"Women's",IF(E775&gt;15,"U19",IF(E775&gt;13,"U15",IF(E775&gt;11,"U13",IF(E775&gt;0,"U11",0)))))</f>
        <v>0</v>
      </c>
      <c r="E775" s="456">
        <f>IFERROR(IF(Table11[[#This Row],[Year]]&gt;0,$E$1-Table11[[#This Row],[Year]],0),"")</f>
        <v>0</v>
      </c>
      <c r="F775" s="456"/>
      <c r="G775" s="456"/>
      <c r="H775" s="456"/>
    </row>
    <row r="776" spans="1:8" ht="13.5" customHeight="1">
      <c r="A776" s="456">
        <v>7772</v>
      </c>
      <c r="B776" s="457" t="s">
        <v>2388</v>
      </c>
      <c r="C776" s="456" t="s">
        <v>361</v>
      </c>
      <c r="D776" s="456">
        <f>IF(Table11[[#This Row],[Current Age]]&gt;19,"Women's",IF(E776&gt;15,"U19",IF(E776&gt;13,"U15",IF(E776&gt;11,"U13",IF(E776&gt;0,"U11",0)))))</f>
        <v>0</v>
      </c>
      <c r="E776" s="456">
        <f>IFERROR(IF(Table11[[#This Row],[Year]]&gt;0,$E$1-Table11[[#This Row],[Year]],0),"")</f>
        <v>0</v>
      </c>
      <c r="F776" s="456"/>
      <c r="G776" s="456"/>
      <c r="H776" s="456"/>
    </row>
    <row r="777" spans="1:8" ht="13.5" customHeight="1">
      <c r="A777" s="471">
        <v>7773</v>
      </c>
      <c r="B777" s="540" t="s">
        <v>2389</v>
      </c>
      <c r="C777" s="471" t="s">
        <v>361</v>
      </c>
      <c r="D777" s="456">
        <f>IF(Table11[[#This Row],[Current Age]]&gt;19,"Women's",IF(E777&gt;15,"U19",IF(E777&gt;13,"U15",IF(E777&gt;11,"U13",IF(E777&gt;0,"U11",0)))))</f>
        <v>0</v>
      </c>
      <c r="E777" s="456">
        <f>IFERROR(IF(Table11[[#This Row],[Year]]&gt;0,$E$1-Table11[[#This Row],[Year]],0),"")</f>
        <v>0</v>
      </c>
      <c r="F777" s="456"/>
      <c r="G777" s="456"/>
      <c r="H777" s="456"/>
    </row>
    <row r="778" spans="1:8" ht="13.5" customHeight="1">
      <c r="A778" s="456">
        <v>7774</v>
      </c>
      <c r="B778" s="457" t="s">
        <v>2390</v>
      </c>
      <c r="C778" s="456" t="s">
        <v>361</v>
      </c>
      <c r="D778" s="456" t="str">
        <f>IF(Table11[[#This Row],[Current Age]]&gt;19,"Women's",IF(E778&gt;15,"U19",IF(E778&gt;13,"U15",IF(E778&gt;11,"U13",IF(E778&gt;0,"U11",0)))))</f>
        <v>U19</v>
      </c>
      <c r="E778" s="456">
        <f>IFERROR(IF(Table11[[#This Row],[Year]]&gt;0,$E$1-Table11[[#This Row],[Year]],0),"")</f>
        <v>17</v>
      </c>
      <c r="F778" s="456">
        <v>2008</v>
      </c>
      <c r="G778" s="456"/>
      <c r="H778" s="456"/>
    </row>
    <row r="779" spans="1:8" ht="13.5" customHeight="1">
      <c r="A779" s="471">
        <v>7775</v>
      </c>
      <c r="B779" s="540" t="s">
        <v>2391</v>
      </c>
      <c r="C779" s="471" t="s">
        <v>361</v>
      </c>
      <c r="D779" s="456">
        <f>IF(Table11[[#This Row],[Current Age]]&gt;19,"Women's",IF(E779&gt;15,"U19",IF(E779&gt;13,"U15",IF(E779&gt;11,"U13",IF(E779&gt;0,"U11",0)))))</f>
        <v>0</v>
      </c>
      <c r="E779" s="456">
        <f>IFERROR(IF(Table11[[#This Row],[Year]]&gt;0,$E$1-Table11[[#This Row],[Year]],0),"")</f>
        <v>0</v>
      </c>
      <c r="F779" s="456"/>
      <c r="G779" s="456"/>
      <c r="H779" s="456"/>
    </row>
    <row r="780" spans="1:8" ht="13.5" customHeight="1">
      <c r="A780" s="456">
        <v>7776</v>
      </c>
      <c r="B780" s="457" t="s">
        <v>2392</v>
      </c>
      <c r="C780" s="456" t="s">
        <v>361</v>
      </c>
      <c r="D780" s="456">
        <f>IF(Table11[[#This Row],[Current Age]]&gt;19,"Women's",IF(E780&gt;15,"U19",IF(E780&gt;13,"U15",IF(E780&gt;11,"U13",IF(E780&gt;0,"U11",0)))))</f>
        <v>0</v>
      </c>
      <c r="E780" s="456">
        <f>IFERROR(IF(Table11[[#This Row],[Year]]&gt;0,$E$1-Table11[[#This Row],[Year]],0),"")</f>
        <v>0</v>
      </c>
      <c r="F780" s="456"/>
      <c r="G780" s="456"/>
      <c r="H780" s="456"/>
    </row>
    <row r="781" spans="1:8" ht="13.5" customHeight="1">
      <c r="A781" s="471">
        <v>7777</v>
      </c>
      <c r="B781" s="540" t="s">
        <v>2393</v>
      </c>
      <c r="C781" s="471" t="s">
        <v>246</v>
      </c>
      <c r="D781" s="456">
        <f>IF(Table11[[#This Row],[Current Age]]&gt;19,"Women's",IF(E781&gt;15,"U19",IF(E781&gt;13,"U15",IF(E781&gt;11,"U13",IF(E781&gt;0,"U11",0)))))</f>
        <v>0</v>
      </c>
      <c r="E781" s="456">
        <f>IFERROR(IF(Table11[[#This Row],[Year]]&gt;0,$E$1-Table11[[#This Row],[Year]],0),"")</f>
        <v>0</v>
      </c>
      <c r="F781" s="456"/>
      <c r="G781" s="456"/>
      <c r="H781" s="456"/>
    </row>
    <row r="782" spans="1:8" ht="13.5" customHeight="1">
      <c r="A782" s="456">
        <v>7778</v>
      </c>
      <c r="B782" s="457" t="s">
        <v>2394</v>
      </c>
      <c r="C782" s="456" t="s">
        <v>246</v>
      </c>
      <c r="D782" s="456">
        <f>IF(Table11[[#This Row],[Current Age]]&gt;19,"Women's",IF(E782&gt;15,"U19",IF(E782&gt;13,"U15",IF(E782&gt;11,"U13",IF(E782&gt;0,"U11",0)))))</f>
        <v>0</v>
      </c>
      <c r="E782" s="456">
        <f>IFERROR(IF(Table11[[#This Row],[Year]]&gt;0,$E$1-Table11[[#This Row],[Year]],0),"")</f>
        <v>0</v>
      </c>
      <c r="F782" s="456"/>
      <c r="G782" s="456"/>
      <c r="H782" s="456"/>
    </row>
    <row r="783" spans="1:8" ht="13.5" customHeight="1">
      <c r="A783" s="471">
        <v>7779</v>
      </c>
      <c r="B783" s="540" t="s">
        <v>2395</v>
      </c>
      <c r="C783" s="471" t="s">
        <v>361</v>
      </c>
      <c r="D783" s="456">
        <f>IF(Table11[[#This Row],[Current Age]]&gt;19,"Women's",IF(E783&gt;15,"U19",IF(E783&gt;13,"U15",IF(E783&gt;11,"U13",IF(E783&gt;0,"U11",0)))))</f>
        <v>0</v>
      </c>
      <c r="E783" s="456">
        <f>IFERROR(IF(Table11[[#This Row],[Year]]&gt;0,$E$1-Table11[[#This Row],[Year]],0),"")</f>
        <v>0</v>
      </c>
      <c r="F783" s="456"/>
      <c r="G783" s="456"/>
      <c r="H783" s="456"/>
    </row>
    <row r="784" spans="1:8" ht="13.5" customHeight="1">
      <c r="A784" s="456">
        <v>7780</v>
      </c>
      <c r="B784" s="457" t="s">
        <v>2396</v>
      </c>
      <c r="C784" s="456" t="s">
        <v>361</v>
      </c>
      <c r="D784" s="456" t="str">
        <f>IF(Table11[[#This Row],[Current Age]]&gt;19,"Women's",IF(E784&gt;15,"U19",IF(E784&gt;13,"U15",IF(E784&gt;11,"U13",IF(E784&gt;0,"U11",0)))))</f>
        <v>Women's</v>
      </c>
      <c r="E784" s="456">
        <f>IFERROR(IF(Table11[[#This Row],[Year]]&gt;0,$E$1-Table11[[#This Row],[Year]],0),"")</f>
        <v>48</v>
      </c>
      <c r="F784" s="456">
        <v>1977</v>
      </c>
      <c r="G784" s="456">
        <v>8</v>
      </c>
      <c r="H784" s="456">
        <v>18</v>
      </c>
    </row>
    <row r="785" spans="1:8" ht="13.5" customHeight="1">
      <c r="A785" s="471">
        <v>7781</v>
      </c>
      <c r="B785" s="540" t="s">
        <v>2367</v>
      </c>
      <c r="C785" s="471" t="s">
        <v>244</v>
      </c>
      <c r="D785" s="456" t="str">
        <f>IF(Table11[[#This Row],[Current Age]]&gt;19,"Women's",IF(E785&gt;15,"U19",IF(E785&gt;13,"U15",IF(E785&gt;11,"U13",IF(E785&gt;0,"U11",0)))))</f>
        <v>U19</v>
      </c>
      <c r="E785" s="456">
        <f>IFERROR(IF(Table11[[#This Row],[Year]]&gt;0,$E$1-Table11[[#This Row],[Year]],0),"")</f>
        <v>17</v>
      </c>
      <c r="F785" s="456">
        <v>2008</v>
      </c>
      <c r="G785" s="456">
        <v>1</v>
      </c>
      <c r="H785" s="456">
        <v>11</v>
      </c>
    </row>
    <row r="786" spans="1:8" ht="13.5" customHeight="1">
      <c r="A786" s="456">
        <v>7782</v>
      </c>
      <c r="B786" s="457" t="s">
        <v>3054</v>
      </c>
      <c r="C786" s="456" t="s">
        <v>251</v>
      </c>
      <c r="D786" s="456">
        <f>IF(Table11[[#This Row],[Current Age]]&gt;19,"Women's",IF(E786&gt;15,"U19",IF(E786&gt;13,"U15",IF(E786&gt;11,"U13",IF(E786&gt;0,"U11",0)))))</f>
        <v>0</v>
      </c>
      <c r="E786" s="456">
        <f>IFERROR(IF(Table11[[#This Row],[Year]]&gt;0,$E$1-Table11[[#This Row],[Year]],0),"")</f>
        <v>0</v>
      </c>
      <c r="F786" s="456"/>
      <c r="G786" s="456"/>
      <c r="H786" s="456"/>
    </row>
    <row r="787" spans="1:8" ht="13.5" customHeight="1">
      <c r="A787" s="471">
        <v>7783</v>
      </c>
      <c r="B787" s="540" t="s">
        <v>2402</v>
      </c>
      <c r="C787" s="471" t="s">
        <v>4720</v>
      </c>
      <c r="D787" s="456" t="str">
        <f>IF(Table11[[#This Row],[Current Age]]&gt;19,"Women's",IF(E787&gt;15,"U19",IF(E787&gt;13,"U15",IF(E787&gt;11,"U13",IF(E787&gt;0,"U11",0)))))</f>
        <v>Women's</v>
      </c>
      <c r="E787" s="456">
        <f>IFERROR(IF(Table11[[#This Row],[Year]]&gt;0,$E$1-Table11[[#This Row],[Year]],0),"")</f>
        <v>21</v>
      </c>
      <c r="F787" s="456">
        <v>2004</v>
      </c>
      <c r="G787" s="456">
        <v>11</v>
      </c>
      <c r="H787" s="456">
        <v>11</v>
      </c>
    </row>
    <row r="788" spans="1:8" ht="13.5" customHeight="1">
      <c r="A788" s="456">
        <v>7784</v>
      </c>
      <c r="B788" s="457" t="s">
        <v>2418</v>
      </c>
      <c r="C788" s="456" t="s">
        <v>243</v>
      </c>
      <c r="D788" s="456">
        <f>IF(Table11[[#This Row],[Current Age]]&gt;19,"Women's",IF(E788&gt;15,"U19",IF(E788&gt;13,"U15",IF(E788&gt;11,"U13",IF(E788&gt;0,"U11",0)))))</f>
        <v>0</v>
      </c>
      <c r="E788" s="456">
        <f>IFERROR(IF(Table11[[#This Row],[Year]]&gt;0,$E$1-Table11[[#This Row],[Year]],0),"")</f>
        <v>0</v>
      </c>
      <c r="F788" s="456"/>
      <c r="G788" s="456"/>
      <c r="H788" s="456"/>
    </row>
    <row r="789" spans="1:8" ht="13.5" customHeight="1">
      <c r="A789" s="471">
        <v>7785</v>
      </c>
      <c r="B789" s="540" t="s">
        <v>2419</v>
      </c>
      <c r="C789" s="471" t="s">
        <v>243</v>
      </c>
      <c r="D789" s="456">
        <f>IF(Table11[[#This Row],[Current Age]]&gt;19,"Women's",IF(E789&gt;15,"U19",IF(E789&gt;13,"U15",IF(E789&gt;11,"U13",IF(E789&gt;0,"U11",0)))))</f>
        <v>0</v>
      </c>
      <c r="E789" s="456">
        <f>IFERROR(IF(Table11[[#This Row],[Year]]&gt;0,$E$1-Table11[[#This Row],[Year]],0),"")</f>
        <v>0</v>
      </c>
      <c r="F789" s="456"/>
      <c r="G789" s="456"/>
      <c r="H789" s="456"/>
    </row>
    <row r="790" spans="1:8" ht="13.5" customHeight="1">
      <c r="A790" s="456">
        <v>7786</v>
      </c>
      <c r="B790" s="457" t="s">
        <v>2425</v>
      </c>
      <c r="C790" s="456" t="s">
        <v>247</v>
      </c>
      <c r="D790" s="456">
        <f>IF(Table11[[#This Row],[Current Age]]&gt;19,"Women's",IF(E790&gt;15,"U19",IF(E790&gt;13,"U15",IF(E790&gt;11,"U13",IF(E790&gt;0,"U11",0)))))</f>
        <v>0</v>
      </c>
      <c r="E790" s="456">
        <f>IFERROR(IF(Table11[[#This Row],[Year]]&gt;0,$E$1-Table11[[#This Row],[Year]],0),"")</f>
        <v>0</v>
      </c>
      <c r="F790" s="456"/>
      <c r="G790" s="456"/>
      <c r="H790" s="456"/>
    </row>
    <row r="791" spans="1:8" ht="13.5" customHeight="1">
      <c r="A791" s="471">
        <v>7787</v>
      </c>
      <c r="B791" s="540" t="s">
        <v>2464</v>
      </c>
      <c r="C791" s="471" t="s">
        <v>361</v>
      </c>
      <c r="D791" s="456" t="str">
        <f>IF(Table11[[#This Row],[Current Age]]&gt;19,"Women's",IF(E791&gt;15,"U19",IF(E791&gt;13,"U15",IF(E791&gt;11,"U13",IF(E791&gt;0,"U11",0)))))</f>
        <v>U19</v>
      </c>
      <c r="E791" s="456">
        <f>IFERROR(IF(Table11[[#This Row],[Year]]&gt;0,$E$1-Table11[[#This Row],[Year]],0),"")</f>
        <v>17</v>
      </c>
      <c r="F791" s="456">
        <v>2008</v>
      </c>
      <c r="G791" s="456"/>
      <c r="H791" s="456"/>
    </row>
    <row r="792" spans="1:8" ht="13.5" customHeight="1">
      <c r="A792" s="456">
        <v>7788</v>
      </c>
      <c r="B792" s="457" t="s">
        <v>3318</v>
      </c>
      <c r="C792" s="456" t="s">
        <v>253</v>
      </c>
      <c r="D792" s="456">
        <f>IF(Table11[[#This Row],[Current Age]]&gt;19,"Women's",IF(E792&gt;15,"U19",IF(E792&gt;13,"U15",IF(E792&gt;11,"U13",IF(E792&gt;0,"U11",0)))))</f>
        <v>0</v>
      </c>
      <c r="E792" s="456">
        <f>IFERROR(IF(Table11[[#This Row],[Year]]&gt;0,$E$1-Table11[[#This Row],[Year]],0),"")</f>
        <v>0</v>
      </c>
      <c r="F792" s="456"/>
      <c r="G792" s="456"/>
      <c r="H792" s="456"/>
    </row>
    <row r="793" spans="1:8" ht="13.5" customHeight="1">
      <c r="A793" s="471">
        <v>7789</v>
      </c>
      <c r="B793" s="540" t="s">
        <v>3319</v>
      </c>
      <c r="C793" s="471" t="s">
        <v>244</v>
      </c>
      <c r="D793" s="456">
        <f>IF(Table11[[#This Row],[Current Age]]&gt;19,"Women's",IF(E793&gt;15,"U19",IF(E793&gt;13,"U15",IF(E793&gt;11,"U13",IF(E793&gt;0,"U11",0)))))</f>
        <v>0</v>
      </c>
      <c r="E793" s="456">
        <f>IFERROR(IF(Table11[[#This Row],[Year]]&gt;0,$E$1-Table11[[#This Row],[Year]],0),"")</f>
        <v>0</v>
      </c>
      <c r="F793" s="456"/>
      <c r="G793" s="456"/>
      <c r="H793" s="456"/>
    </row>
    <row r="794" spans="1:8" ht="13.5" customHeight="1">
      <c r="A794" s="456">
        <v>7790</v>
      </c>
      <c r="B794" s="457" t="s">
        <v>3018</v>
      </c>
      <c r="C794" s="456" t="s">
        <v>361</v>
      </c>
      <c r="D794" s="456">
        <f>IF(Table11[[#This Row],[Current Age]]&gt;19,"Women's",IF(E794&gt;15,"U19",IF(E794&gt;13,"U15",IF(E794&gt;11,"U13",IF(E794&gt;0,"U11",0)))))</f>
        <v>0</v>
      </c>
      <c r="E794" s="456">
        <f>IFERROR(IF(Table11[[#This Row],[Year]]&gt;0,$E$1-Table11[[#This Row],[Year]],0),"")</f>
        <v>0</v>
      </c>
      <c r="F794" s="456"/>
      <c r="G794" s="456"/>
      <c r="H794" s="456"/>
    </row>
    <row r="795" spans="1:8" ht="13.5" customHeight="1">
      <c r="A795" s="471">
        <v>7791</v>
      </c>
      <c r="B795" s="540" t="s">
        <v>2461</v>
      </c>
      <c r="C795" s="471" t="s">
        <v>361</v>
      </c>
      <c r="D795" s="456">
        <f>IF(Table11[[#This Row],[Current Age]]&gt;19,"Women's",IF(E795&gt;15,"U19",IF(E795&gt;13,"U15",IF(E795&gt;11,"U13",IF(E795&gt;0,"U11",0)))))</f>
        <v>0</v>
      </c>
      <c r="E795" s="456">
        <f>IFERROR(IF(Table11[[#This Row],[Year]]&gt;0,$E$1-Table11[[#This Row],[Year]],0),"")</f>
        <v>0</v>
      </c>
      <c r="F795" s="456"/>
      <c r="G795" s="456"/>
      <c r="H795" s="456"/>
    </row>
    <row r="796" spans="1:8" ht="13.5" customHeight="1">
      <c r="A796" s="456">
        <v>7792</v>
      </c>
      <c r="B796" s="457" t="s">
        <v>2463</v>
      </c>
      <c r="C796" s="456" t="s">
        <v>361</v>
      </c>
      <c r="D796" s="456">
        <f>IF(Table11[[#This Row],[Current Age]]&gt;19,"Women's",IF(E796&gt;15,"U19",IF(E796&gt;13,"U15",IF(E796&gt;11,"U13",IF(E796&gt;0,"U11",0)))))</f>
        <v>0</v>
      </c>
      <c r="E796" s="456">
        <f>IFERROR(IF(Table11[[#This Row],[Year]]&gt;0,$E$1-Table11[[#This Row],[Year]],0),"")</f>
        <v>0</v>
      </c>
      <c r="F796" s="456"/>
      <c r="G796" s="456"/>
      <c r="H796" s="456"/>
    </row>
    <row r="797" spans="1:8" ht="13.5" customHeight="1">
      <c r="A797" s="471">
        <v>7793</v>
      </c>
      <c r="B797" s="540" t="s">
        <v>3020</v>
      </c>
      <c r="C797" s="471" t="s">
        <v>361</v>
      </c>
      <c r="D797" s="456">
        <f>IF(Table11[[#This Row],[Current Age]]&gt;19,"Women's",IF(E797&gt;15,"U19",IF(E797&gt;13,"U15",IF(E797&gt;11,"U13",IF(E797&gt;0,"U11",0)))))</f>
        <v>0</v>
      </c>
      <c r="E797" s="456">
        <f>IFERROR(IF(Table11[[#This Row],[Year]]&gt;0,$E$1-Table11[[#This Row],[Year]],0),"")</f>
        <v>0</v>
      </c>
      <c r="F797" s="456"/>
      <c r="G797" s="456"/>
      <c r="H797" s="456"/>
    </row>
    <row r="798" spans="1:8" ht="13.5" customHeight="1">
      <c r="A798" s="456">
        <v>7794</v>
      </c>
      <c r="B798" s="457" t="s">
        <v>3320</v>
      </c>
      <c r="C798" s="456" t="s">
        <v>3346</v>
      </c>
      <c r="D798" s="456">
        <f>IF(Table11[[#This Row],[Current Age]]&gt;19,"Women's",IF(E798&gt;15,"U19",IF(E798&gt;13,"U15",IF(E798&gt;11,"U13",IF(E798&gt;0,"U11",0)))))</f>
        <v>0</v>
      </c>
      <c r="E798" s="456">
        <f>IFERROR(IF(Table11[[#This Row],[Year]]&gt;0,$E$1-Table11[[#This Row],[Year]],0),"")</f>
        <v>0</v>
      </c>
      <c r="F798" s="456"/>
      <c r="G798" s="456"/>
      <c r="H798" s="456"/>
    </row>
    <row r="799" spans="1:8" ht="13.5" customHeight="1">
      <c r="A799" s="471">
        <v>7795</v>
      </c>
      <c r="B799" s="540" t="s">
        <v>3019</v>
      </c>
      <c r="C799" s="471" t="s">
        <v>361</v>
      </c>
      <c r="D799" s="456">
        <f>IF(Table11[[#This Row],[Current Age]]&gt;19,"Women's",IF(E799&gt;15,"U19",IF(E799&gt;13,"U15",IF(E799&gt;11,"U13",IF(E799&gt;0,"U11",0)))))</f>
        <v>0</v>
      </c>
      <c r="E799" s="456">
        <f>IFERROR(IF(Table11[[#This Row],[Year]]&gt;0,$E$1-Table11[[#This Row],[Year]],0),"")</f>
        <v>0</v>
      </c>
      <c r="F799" s="456"/>
      <c r="G799" s="456"/>
      <c r="H799" s="456"/>
    </row>
    <row r="800" spans="1:8" ht="13.5" customHeight="1">
      <c r="A800" s="456">
        <v>7796</v>
      </c>
      <c r="B800" s="457" t="s">
        <v>3023</v>
      </c>
      <c r="C800" s="456" t="s">
        <v>361</v>
      </c>
      <c r="D800" s="456">
        <f>IF(Table11[[#This Row],[Current Age]]&gt;19,"Women's",IF(E800&gt;15,"U19",IF(E800&gt;13,"U15",IF(E800&gt;11,"U13",IF(E800&gt;0,"U11",0)))))</f>
        <v>0</v>
      </c>
      <c r="E800" s="456">
        <f>IFERROR(IF(Table11[[#This Row],[Year]]&gt;0,$E$1-Table11[[#This Row],[Year]],0),"")</f>
        <v>0</v>
      </c>
      <c r="F800" s="456"/>
      <c r="G800" s="456"/>
      <c r="H800" s="456"/>
    </row>
    <row r="801" spans="1:8" ht="13.5" customHeight="1">
      <c r="A801" s="471">
        <v>7797</v>
      </c>
      <c r="B801" s="540" t="s">
        <v>2462</v>
      </c>
      <c r="C801" s="471" t="s">
        <v>361</v>
      </c>
      <c r="D801" s="456">
        <f>IF(Table11[[#This Row],[Current Age]]&gt;19,"Women's",IF(E801&gt;15,"U19",IF(E801&gt;13,"U15",IF(E801&gt;11,"U13",IF(E801&gt;0,"U11",0)))))</f>
        <v>0</v>
      </c>
      <c r="E801" s="456">
        <f>IFERROR(IF(Table11[[#This Row],[Year]]&gt;0,$E$1-Table11[[#This Row],[Year]],0),"")</f>
        <v>0</v>
      </c>
      <c r="F801" s="456"/>
      <c r="G801" s="456"/>
      <c r="H801" s="456"/>
    </row>
    <row r="802" spans="1:8" ht="13.5" customHeight="1">
      <c r="A802" s="456">
        <v>7798</v>
      </c>
      <c r="B802" s="457" t="s">
        <v>3321</v>
      </c>
      <c r="C802" s="456" t="s">
        <v>3346</v>
      </c>
      <c r="D802" s="456">
        <f>IF(Table11[[#This Row],[Current Age]]&gt;19,"Women's",IF(E802&gt;15,"U19",IF(E802&gt;13,"U15",IF(E802&gt;11,"U13",IF(E802&gt;0,"U11",0)))))</f>
        <v>0</v>
      </c>
      <c r="E802" s="456">
        <f>IFERROR(IF(Table11[[#This Row],[Year]]&gt;0,$E$1-Table11[[#This Row],[Year]],0),"")</f>
        <v>0</v>
      </c>
      <c r="F802" s="456"/>
      <c r="G802" s="456"/>
      <c r="H802" s="456"/>
    </row>
    <row r="803" spans="1:8" ht="13.5" customHeight="1">
      <c r="A803" s="471">
        <v>7799</v>
      </c>
      <c r="B803" s="540" t="s">
        <v>2465</v>
      </c>
      <c r="C803" s="471" t="s">
        <v>361</v>
      </c>
      <c r="D803" s="456">
        <f>IF(Table11[[#This Row],[Current Age]]&gt;19,"Women's",IF(E803&gt;15,"U19",IF(E803&gt;13,"U15",IF(E803&gt;11,"U13",IF(E803&gt;0,"U11",0)))))</f>
        <v>0</v>
      </c>
      <c r="E803" s="456">
        <f>IFERROR(IF(Table11[[#This Row],[Year]]&gt;0,$E$1-Table11[[#This Row],[Year]],0),"")</f>
        <v>0</v>
      </c>
      <c r="F803" s="456"/>
      <c r="G803" s="456"/>
      <c r="H803" s="456"/>
    </row>
    <row r="804" spans="1:8" ht="13.5" customHeight="1">
      <c r="A804" s="456">
        <v>7800</v>
      </c>
      <c r="B804" s="457" t="s">
        <v>2473</v>
      </c>
      <c r="C804" s="456" t="s">
        <v>251</v>
      </c>
      <c r="D804" s="456">
        <f>IF(Table11[[#This Row],[Current Age]]&gt;19,"Women's",IF(E804&gt;15,"U19",IF(E804&gt;13,"U15",IF(E804&gt;11,"U13",IF(E804&gt;0,"U11",0)))))</f>
        <v>0</v>
      </c>
      <c r="E804" s="456">
        <f>IFERROR(IF(Table11[[#This Row],[Year]]&gt;0,$E$1-Table11[[#This Row],[Year]],0),"")</f>
        <v>0</v>
      </c>
      <c r="F804" s="456"/>
      <c r="G804" s="456"/>
      <c r="H804" s="456"/>
    </row>
    <row r="805" spans="1:8" ht="13.5" customHeight="1">
      <c r="A805" s="471">
        <v>7801</v>
      </c>
      <c r="B805" s="540" t="s">
        <v>2474</v>
      </c>
      <c r="C805" s="471" t="s">
        <v>251</v>
      </c>
      <c r="D805" s="456">
        <f>IF(Table11[[#This Row],[Current Age]]&gt;19,"Women's",IF(E805&gt;15,"U19",IF(E805&gt;13,"U15",IF(E805&gt;11,"U13",IF(E805&gt;0,"U11",0)))))</f>
        <v>0</v>
      </c>
      <c r="E805" s="456">
        <f>IFERROR(IF(Table11[[#This Row],[Year]]&gt;0,$E$1-Table11[[#This Row],[Year]],0),"")</f>
        <v>0</v>
      </c>
      <c r="F805" s="456"/>
      <c r="G805" s="456"/>
      <c r="H805" s="456"/>
    </row>
    <row r="806" spans="1:8" ht="13.5" customHeight="1">
      <c r="A806" s="456">
        <v>7802</v>
      </c>
      <c r="B806" s="457" t="s">
        <v>2477</v>
      </c>
      <c r="C806" s="456" t="s">
        <v>251</v>
      </c>
      <c r="D806" s="456">
        <f>IF(Table11[[#This Row],[Current Age]]&gt;19,"Women's",IF(E806&gt;15,"U19",IF(E806&gt;13,"U15",IF(E806&gt;11,"U13",IF(E806&gt;0,"U11",0)))))</f>
        <v>0</v>
      </c>
      <c r="E806" s="456">
        <f>IFERROR(IF(Table11[[#This Row],[Year]]&gt;0,$E$1-Table11[[#This Row],[Year]],0),"")</f>
        <v>0</v>
      </c>
      <c r="F806" s="456"/>
      <c r="G806" s="456"/>
      <c r="H806" s="456"/>
    </row>
    <row r="807" spans="1:8" ht="13.5" customHeight="1">
      <c r="A807" s="471">
        <v>7803</v>
      </c>
      <c r="B807" s="540" t="s">
        <v>2476</v>
      </c>
      <c r="C807" s="471" t="s">
        <v>762</v>
      </c>
      <c r="D807" s="456">
        <f>IF(Table11[[#This Row],[Current Age]]&gt;19,"Women's",IF(E807&gt;15,"U19",IF(E807&gt;13,"U15",IF(E807&gt;11,"U13",IF(E807&gt;0,"U11",0)))))</f>
        <v>0</v>
      </c>
      <c r="E807" s="456">
        <f>IFERROR(IF(Table11[[#This Row],[Year]]&gt;0,$E$1-Table11[[#This Row],[Year]],0),"")</f>
        <v>0</v>
      </c>
      <c r="F807" s="456"/>
      <c r="G807" s="456"/>
      <c r="H807" s="456"/>
    </row>
    <row r="808" spans="1:8" ht="13.5" customHeight="1">
      <c r="A808" s="456">
        <v>7804</v>
      </c>
      <c r="B808" s="457" t="s">
        <v>2475</v>
      </c>
      <c r="C808" s="456" t="s">
        <v>251</v>
      </c>
      <c r="D808" s="456">
        <f>IF(Table11[[#This Row],[Current Age]]&gt;19,"Women's",IF(E808&gt;15,"U19",IF(E808&gt;13,"U15",IF(E808&gt;11,"U13",IF(E808&gt;0,"U11",0)))))</f>
        <v>0</v>
      </c>
      <c r="E808" s="456">
        <f>IFERROR(IF(Table11[[#This Row],[Year]]&gt;0,$E$1-Table11[[#This Row],[Year]],0),"")</f>
        <v>0</v>
      </c>
      <c r="F808" s="456"/>
      <c r="G808" s="456"/>
      <c r="H808" s="456"/>
    </row>
    <row r="809" spans="1:8" ht="13.5" customHeight="1">
      <c r="A809" s="471">
        <v>7805</v>
      </c>
      <c r="B809" s="540" t="s">
        <v>2489</v>
      </c>
      <c r="C809" s="471" t="s">
        <v>762</v>
      </c>
      <c r="D809" s="456">
        <f>IF(Table11[[#This Row],[Current Age]]&gt;19,"Women's",IF(E809&gt;15,"U19",IF(E809&gt;13,"U15",IF(E809&gt;11,"U13",IF(E809&gt;0,"U11",0)))))</f>
        <v>0</v>
      </c>
      <c r="E809" s="456">
        <f>IFERROR(IF(Table11[[#This Row],[Year]]&gt;0,$E$1-Table11[[#This Row],[Year]],0),"")</f>
        <v>0</v>
      </c>
      <c r="F809" s="456"/>
      <c r="G809" s="456"/>
      <c r="H809" s="456"/>
    </row>
    <row r="810" spans="1:8" ht="13.5" customHeight="1">
      <c r="A810" s="456">
        <v>7806</v>
      </c>
      <c r="B810" s="457" t="s">
        <v>2537</v>
      </c>
      <c r="C810" s="456" t="s">
        <v>244</v>
      </c>
      <c r="D810" s="456">
        <f>IF(Table11[[#This Row],[Current Age]]&gt;19,"Women's",IF(E810&gt;15,"U19",IF(E810&gt;13,"U15",IF(E810&gt;11,"U13",IF(E810&gt;0,"U11",0)))))</f>
        <v>0</v>
      </c>
      <c r="E810" s="456">
        <f>IFERROR(IF(Table11[[#This Row],[Year]]&gt;0,$E$1-Table11[[#This Row],[Year]],0),"")</f>
        <v>0</v>
      </c>
      <c r="F810" s="456"/>
      <c r="G810" s="456"/>
      <c r="H810" s="456"/>
    </row>
    <row r="811" spans="1:8" ht="13.5" customHeight="1">
      <c r="A811" s="471">
        <v>7807</v>
      </c>
      <c r="B811" s="540" t="s">
        <v>2487</v>
      </c>
      <c r="C811" s="471" t="s">
        <v>251</v>
      </c>
      <c r="D811" s="456">
        <f>IF(Table11[[#This Row],[Current Age]]&gt;19,"Women's",IF(E811&gt;15,"U19",IF(E811&gt;13,"U15",IF(E811&gt;11,"U13",IF(E811&gt;0,"U11",0)))))</f>
        <v>0</v>
      </c>
      <c r="E811" s="456">
        <f>IFERROR(IF(Table11[[#This Row],[Year]]&gt;0,$E$1-Table11[[#This Row],[Year]],0),"")</f>
        <v>0</v>
      </c>
      <c r="F811" s="456"/>
      <c r="G811" s="456"/>
      <c r="H811" s="456"/>
    </row>
    <row r="812" spans="1:8" ht="13.5" customHeight="1">
      <c r="A812" s="456">
        <v>7808</v>
      </c>
      <c r="B812" s="457" t="s">
        <v>2488</v>
      </c>
      <c r="C812" s="456" t="s">
        <v>251</v>
      </c>
      <c r="D812" s="456">
        <f>IF(Table11[[#This Row],[Current Age]]&gt;19,"Women's",IF(E812&gt;15,"U19",IF(E812&gt;13,"U15",IF(E812&gt;11,"U13",IF(E812&gt;0,"U11",0)))))</f>
        <v>0</v>
      </c>
      <c r="E812" s="456">
        <f>IFERROR(IF(Table11[[#This Row],[Year]]&gt;0,$E$1-Table11[[#This Row],[Year]],0),"")</f>
        <v>0</v>
      </c>
      <c r="F812" s="456"/>
      <c r="G812" s="456"/>
      <c r="H812" s="456"/>
    </row>
    <row r="813" spans="1:8" ht="13.5" customHeight="1">
      <c r="A813" s="471">
        <v>7809</v>
      </c>
      <c r="B813" s="540" t="s">
        <v>2539</v>
      </c>
      <c r="C813" s="471" t="s">
        <v>244</v>
      </c>
      <c r="D813" s="456">
        <f>IF(Table11[[#This Row],[Current Age]]&gt;19,"Women's",IF(E813&gt;15,"U19",IF(E813&gt;13,"U15",IF(E813&gt;11,"U13",IF(E813&gt;0,"U11",0)))))</f>
        <v>0</v>
      </c>
      <c r="E813" s="456">
        <f>IFERROR(IF(Table11[[#This Row],[Year]]&gt;0,$E$1-Table11[[#This Row],[Year]],0),"")</f>
        <v>0</v>
      </c>
      <c r="F813" s="456"/>
      <c r="G813" s="456"/>
      <c r="H813" s="456"/>
    </row>
    <row r="814" spans="1:8" ht="13.5" customHeight="1">
      <c r="A814" s="456">
        <v>7810</v>
      </c>
      <c r="B814" s="457" t="s">
        <v>2540</v>
      </c>
      <c r="C814" s="456" t="s">
        <v>244</v>
      </c>
      <c r="D814" s="456">
        <f>IF(Table11[[#This Row],[Current Age]]&gt;19,"Women's",IF(E814&gt;15,"U19",IF(E814&gt;13,"U15",IF(E814&gt;11,"U13",IF(E814&gt;0,"U11",0)))))</f>
        <v>0</v>
      </c>
      <c r="E814" s="456">
        <f>IFERROR(IF(Table11[[#This Row],[Year]]&gt;0,$E$1-Table11[[#This Row],[Year]],0),"")</f>
        <v>0</v>
      </c>
      <c r="F814" s="456"/>
      <c r="G814" s="456"/>
      <c r="H814" s="456"/>
    </row>
    <row r="815" spans="1:8" ht="13.5" customHeight="1">
      <c r="A815" s="471">
        <v>7811</v>
      </c>
      <c r="B815" s="540" t="s">
        <v>2541</v>
      </c>
      <c r="C815" s="471"/>
      <c r="D815" s="456">
        <f>IF(Table11[[#This Row],[Current Age]]&gt;19,"Women's",IF(E815&gt;15,"U19",IF(E815&gt;13,"U15",IF(E815&gt;11,"U13",IF(E815&gt;0,"U11",0)))))</f>
        <v>0</v>
      </c>
      <c r="E815" s="456">
        <f>IFERROR(IF(Table11[[#This Row],[Year]]&gt;0,$E$1-Table11[[#This Row],[Year]],0),"")</f>
        <v>0</v>
      </c>
      <c r="F815" s="456"/>
      <c r="G815" s="456"/>
      <c r="H815" s="456"/>
    </row>
    <row r="816" spans="1:8" ht="13.5" customHeight="1">
      <c r="A816" s="456">
        <v>7812</v>
      </c>
      <c r="B816" s="457" t="s">
        <v>2542</v>
      </c>
      <c r="C816" s="456"/>
      <c r="D816" s="456">
        <f>IF(Table11[[#This Row],[Current Age]]&gt;19,"Women's",IF(E816&gt;15,"U19",IF(E816&gt;13,"U15",IF(E816&gt;11,"U13",IF(E816&gt;0,"U11",0)))))</f>
        <v>0</v>
      </c>
      <c r="E816" s="456">
        <f>IFERROR(IF(Table11[[#This Row],[Year]]&gt;0,$E$1-Table11[[#This Row],[Year]],0),"")</f>
        <v>0</v>
      </c>
      <c r="F816" s="456"/>
      <c r="G816" s="456"/>
      <c r="H816" s="456"/>
    </row>
    <row r="817" spans="1:8" ht="13.5" customHeight="1">
      <c r="A817" s="471">
        <v>7813</v>
      </c>
      <c r="B817" s="540" t="s">
        <v>2543</v>
      </c>
      <c r="C817" s="471" t="s">
        <v>4720</v>
      </c>
      <c r="D817" s="456">
        <f>IF(Table11[[#This Row],[Current Age]]&gt;19,"Women's",IF(E817&gt;15,"U19",IF(E817&gt;13,"U15",IF(E817&gt;11,"U13",IF(E817&gt;0,"U11",0)))))</f>
        <v>0</v>
      </c>
      <c r="E817" s="456">
        <f>IFERROR(IF(Table11[[#This Row],[Year]]&gt;0,$E$1-Table11[[#This Row],[Year]],0),"")</f>
        <v>0</v>
      </c>
      <c r="F817" s="456"/>
      <c r="G817" s="456"/>
      <c r="H817" s="456"/>
    </row>
    <row r="818" spans="1:8" ht="13.5" customHeight="1">
      <c r="A818" s="456">
        <v>7814</v>
      </c>
      <c r="B818" s="457" t="s">
        <v>2560</v>
      </c>
      <c r="C818" s="456" t="s">
        <v>4720</v>
      </c>
      <c r="D818" s="456">
        <f>IF(Table11[[#This Row],[Current Age]]&gt;19,"Women's",IF(E818&gt;15,"U19",IF(E818&gt;13,"U15",IF(E818&gt;11,"U13",IF(E818&gt;0,"U11",0)))))</f>
        <v>0</v>
      </c>
      <c r="E818" s="456">
        <f>IFERROR(IF(Table11[[#This Row],[Year]]&gt;0,$E$1-Table11[[#This Row],[Year]],0),"")</f>
        <v>0</v>
      </c>
      <c r="F818" s="456"/>
      <c r="G818" s="456"/>
      <c r="H818" s="456"/>
    </row>
    <row r="819" spans="1:8" ht="13.5" customHeight="1">
      <c r="A819" s="471">
        <v>7815</v>
      </c>
      <c r="B819" s="540" t="s">
        <v>2561</v>
      </c>
      <c r="C819" s="471" t="s">
        <v>244</v>
      </c>
      <c r="D819" s="456" t="str">
        <f>IF(Table11[[#This Row],[Current Age]]&gt;19,"Women's",IF(E819&gt;15,"U19",IF(E819&gt;13,"U15",IF(E819&gt;11,"U13",IF(E819&gt;0,"U11",0)))))</f>
        <v>Women's</v>
      </c>
      <c r="E819" s="456">
        <f>IFERROR(IF(Table11[[#This Row],[Year]]&gt;0,$E$1-Table11[[#This Row],[Year]],0),"")</f>
        <v>22</v>
      </c>
      <c r="F819" s="456">
        <v>2003</v>
      </c>
      <c r="G819" s="456">
        <v>11</v>
      </c>
      <c r="H819" s="456">
        <v>23</v>
      </c>
    </row>
    <row r="820" spans="1:8" ht="13.5" customHeight="1">
      <c r="A820" s="456">
        <v>7816</v>
      </c>
      <c r="B820" s="457" t="s">
        <v>2572</v>
      </c>
      <c r="C820" s="456" t="s">
        <v>361</v>
      </c>
      <c r="D820" s="456">
        <f>IF(Table11[[#This Row],[Current Age]]&gt;19,"Women's",IF(E820&gt;15,"U19",IF(E820&gt;13,"U15",IF(E820&gt;11,"U13",IF(E820&gt;0,"U11",0)))))</f>
        <v>0</v>
      </c>
      <c r="E820" s="456">
        <f>IFERROR(IF(Table11[[#This Row],[Year]]&gt;0,$E$1-Table11[[#This Row],[Year]],0),"")</f>
        <v>0</v>
      </c>
      <c r="F820" s="456"/>
      <c r="G820" s="456"/>
      <c r="H820" s="456"/>
    </row>
    <row r="821" spans="1:8" ht="13.5" customHeight="1">
      <c r="A821" s="471">
        <v>7817</v>
      </c>
      <c r="B821" s="540" t="s">
        <v>2573</v>
      </c>
      <c r="C821" s="471" t="s">
        <v>247</v>
      </c>
      <c r="D821" s="456" t="str">
        <f>IF(Table11[[#This Row],[Current Age]]&gt;19,"Women's",IF(E821&gt;15,"U19",IF(E821&gt;13,"U15",IF(E821&gt;11,"U13",IF(E821&gt;0,"U11",0)))))</f>
        <v>Women's</v>
      </c>
      <c r="E821" s="456">
        <f>IFERROR(IF(Table11[[#This Row],[Year]]&gt;0,$E$1-Table11[[#This Row],[Year]],0),"")</f>
        <v>21</v>
      </c>
      <c r="F821" s="456">
        <v>2004</v>
      </c>
      <c r="G821" s="456">
        <v>3</v>
      </c>
      <c r="H821" s="456">
        <v>14</v>
      </c>
    </row>
    <row r="822" spans="1:8" ht="13.5" customHeight="1">
      <c r="A822" s="456">
        <v>7818</v>
      </c>
      <c r="B822" s="457" t="s">
        <v>2574</v>
      </c>
      <c r="C822" s="456" t="s">
        <v>247</v>
      </c>
      <c r="D822" s="456">
        <f>IF(Table11[[#This Row],[Current Age]]&gt;19,"Women's",IF(E822&gt;15,"U19",IF(E822&gt;13,"U15",IF(E822&gt;11,"U13",IF(E822&gt;0,"U11",0)))))</f>
        <v>0</v>
      </c>
      <c r="E822" s="456">
        <f>IFERROR(IF(Table11[[#This Row],[Year]]&gt;0,$E$1-Table11[[#This Row],[Year]],0),"")</f>
        <v>0</v>
      </c>
      <c r="F822" s="456"/>
      <c r="G822" s="456"/>
      <c r="H822" s="456"/>
    </row>
    <row r="823" spans="1:8" ht="13.5" customHeight="1">
      <c r="A823" s="471">
        <v>7819</v>
      </c>
      <c r="B823" s="540" t="s">
        <v>2586</v>
      </c>
      <c r="C823" s="471" t="s">
        <v>251</v>
      </c>
      <c r="D823" s="456">
        <f>IF(Table11[[#This Row],[Current Age]]&gt;19,"Women's",IF(E823&gt;15,"U19",IF(E823&gt;13,"U15",IF(E823&gt;11,"U13",IF(E823&gt;0,"U11",0)))))</f>
        <v>0</v>
      </c>
      <c r="E823" s="456">
        <f>IFERROR(IF(Table11[[#This Row],[Year]]&gt;0,$E$1-Table11[[#This Row],[Year]],0),"")</f>
        <v>0</v>
      </c>
      <c r="F823" s="456"/>
      <c r="G823" s="456"/>
      <c r="H823" s="456"/>
    </row>
    <row r="824" spans="1:8" ht="13.5" customHeight="1">
      <c r="A824" s="456">
        <v>7820</v>
      </c>
      <c r="B824" s="457" t="s">
        <v>2587</v>
      </c>
      <c r="C824" s="456" t="s">
        <v>251</v>
      </c>
      <c r="D824" s="456">
        <f>IF(Table11[[#This Row],[Current Age]]&gt;19,"Women's",IF(E824&gt;15,"U19",IF(E824&gt;13,"U15",IF(E824&gt;11,"U13",IF(E824&gt;0,"U11",0)))))</f>
        <v>0</v>
      </c>
      <c r="E824" s="456">
        <f>IFERROR(IF(Table11[[#This Row],[Year]]&gt;0,$E$1-Table11[[#This Row],[Year]],0),"")</f>
        <v>0</v>
      </c>
      <c r="F824" s="456"/>
      <c r="G824" s="456"/>
      <c r="H824" s="456"/>
    </row>
    <row r="825" spans="1:8" ht="13.5" customHeight="1">
      <c r="A825" s="471">
        <v>7821</v>
      </c>
      <c r="B825" s="540" t="s">
        <v>2588</v>
      </c>
      <c r="C825" s="471" t="s">
        <v>251</v>
      </c>
      <c r="D825" s="456">
        <f>IF(Table11[[#This Row],[Current Age]]&gt;19,"Women's",IF(E825&gt;15,"U19",IF(E825&gt;13,"U15",IF(E825&gt;11,"U13",IF(E825&gt;0,"U11",0)))))</f>
        <v>0</v>
      </c>
      <c r="E825" s="456">
        <f>IFERROR(IF(Table11[[#This Row],[Year]]&gt;0,$E$1-Table11[[#This Row],[Year]],0),"")</f>
        <v>0</v>
      </c>
      <c r="F825" s="456"/>
      <c r="G825" s="456"/>
      <c r="H825" s="456"/>
    </row>
    <row r="826" spans="1:8" ht="13.5" customHeight="1">
      <c r="A826" s="456">
        <v>7822</v>
      </c>
      <c r="B826" s="457" t="s">
        <v>3044</v>
      </c>
      <c r="C826" s="456" t="s">
        <v>251</v>
      </c>
      <c r="D826" s="456">
        <f>IF(Table11[[#This Row],[Current Age]]&gt;19,"Women's",IF(E826&gt;15,"U19",IF(E826&gt;13,"U15",IF(E826&gt;11,"U13",IF(E826&gt;0,"U11",0)))))</f>
        <v>0</v>
      </c>
      <c r="E826" s="456">
        <f>IFERROR(IF(Table11[[#This Row],[Year]]&gt;0,$E$1-Table11[[#This Row],[Year]],0),"")</f>
        <v>0</v>
      </c>
      <c r="F826" s="456"/>
      <c r="G826" s="456"/>
      <c r="H826" s="456"/>
    </row>
    <row r="827" spans="1:8" ht="13.5" customHeight="1">
      <c r="A827" s="471">
        <v>7823</v>
      </c>
      <c r="B827" s="540" t="s">
        <v>2589</v>
      </c>
      <c r="C827" s="471" t="s">
        <v>251</v>
      </c>
      <c r="D827" s="456">
        <f>IF(Table11[[#This Row],[Current Age]]&gt;19,"Women's",IF(E827&gt;15,"U19",IF(E827&gt;13,"U15",IF(E827&gt;11,"U13",IF(E827&gt;0,"U11",0)))))</f>
        <v>0</v>
      </c>
      <c r="E827" s="456">
        <f>IFERROR(IF(Table11[[#This Row],[Year]]&gt;0,$E$1-Table11[[#This Row],[Year]],0),"")</f>
        <v>0</v>
      </c>
      <c r="F827" s="456"/>
      <c r="G827" s="456"/>
      <c r="H827" s="456"/>
    </row>
    <row r="828" spans="1:8" ht="13.5" customHeight="1">
      <c r="A828" s="456">
        <v>7824</v>
      </c>
      <c r="B828" s="457" t="s">
        <v>2590</v>
      </c>
      <c r="C828" s="456" t="s">
        <v>251</v>
      </c>
      <c r="D828" s="456">
        <f>IF(Table11[[#This Row],[Current Age]]&gt;19,"Women's",IF(E828&gt;15,"U19",IF(E828&gt;13,"U15",IF(E828&gt;11,"U13",IF(E828&gt;0,"U11",0)))))</f>
        <v>0</v>
      </c>
      <c r="E828" s="456">
        <f>IFERROR(IF(Table11[[#This Row],[Year]]&gt;0,$E$1-Table11[[#This Row],[Year]],0),"")</f>
        <v>0</v>
      </c>
      <c r="F828" s="456"/>
      <c r="G828" s="456"/>
      <c r="H828" s="456"/>
    </row>
    <row r="829" spans="1:8" ht="13.5" customHeight="1">
      <c r="A829" s="471">
        <v>7825</v>
      </c>
      <c r="B829" s="540" t="s">
        <v>2591</v>
      </c>
      <c r="C829" s="471" t="s">
        <v>4720</v>
      </c>
      <c r="D829" s="456">
        <f>IF(Table11[[#This Row],[Current Age]]&gt;19,"Women's",IF(E829&gt;15,"U19",IF(E829&gt;13,"U15",IF(E829&gt;11,"U13",IF(E829&gt;0,"U11",0)))))</f>
        <v>0</v>
      </c>
      <c r="E829" s="456">
        <f>IFERROR(IF(Table11[[#This Row],[Year]]&gt;0,$E$1-Table11[[#This Row],[Year]],0),"")</f>
        <v>0</v>
      </c>
      <c r="F829" s="456"/>
      <c r="G829" s="456"/>
      <c r="H829" s="456"/>
    </row>
    <row r="830" spans="1:8" ht="13.5" customHeight="1">
      <c r="A830" s="456">
        <v>7826</v>
      </c>
      <c r="B830" s="457" t="s">
        <v>2640</v>
      </c>
      <c r="C830" s="456" t="s">
        <v>1914</v>
      </c>
      <c r="D830" s="456" t="str">
        <f>IF(Table11[[#This Row],[Current Age]]&gt;19,"Women's",IF(E830&gt;15,"U19",IF(E830&gt;13,"U15",IF(E830&gt;11,"U13",IF(E830&gt;0,"U11",0)))))</f>
        <v>Women's</v>
      </c>
      <c r="E830" s="456">
        <f>IFERROR(IF(Table11[[#This Row],[Year]]&gt;0,$E$1-Table11[[#This Row],[Year]],0),"")</f>
        <v>20</v>
      </c>
      <c r="F830" s="456">
        <v>2005</v>
      </c>
      <c r="G830" s="456">
        <v>3</v>
      </c>
      <c r="H830" s="457">
        <v>19</v>
      </c>
    </row>
    <row r="831" spans="1:8" ht="13.5" customHeight="1">
      <c r="A831" s="471">
        <v>7827</v>
      </c>
      <c r="B831" s="540" t="s">
        <v>5556</v>
      </c>
      <c r="C831" s="471" t="s">
        <v>251</v>
      </c>
      <c r="D831" s="456">
        <f>IF(Table11[[#This Row],[Current Age]]&gt;19,"Women's",IF(E831&gt;15,"U19",IF(E831&gt;13,"U15",IF(E831&gt;11,"U13",IF(E831&gt;0,"U11",0)))))</f>
        <v>0</v>
      </c>
      <c r="E831" s="456">
        <f>IFERROR(IF(Table11[[#This Row],[Year]]&gt;0,$E$1-Table11[[#This Row],[Year]],0),"")</f>
        <v>0</v>
      </c>
      <c r="F831" s="456"/>
      <c r="G831" s="456"/>
      <c r="H831" s="457"/>
    </row>
    <row r="832" spans="1:8" ht="13.5" customHeight="1">
      <c r="A832" s="456">
        <v>7828</v>
      </c>
      <c r="B832" s="457"/>
      <c r="C832" s="456"/>
      <c r="D832" s="456">
        <f>IF(Table11[[#This Row],[Current Age]]&gt;19,"Women's",IF(E832&gt;15,"U19",IF(E832&gt;13,"U15",IF(E832&gt;11,"U13",IF(E832&gt;0,"U11",0)))))</f>
        <v>0</v>
      </c>
      <c r="E832" s="456">
        <f>IFERROR(IF(Table11[[#This Row],[Year]]&gt;0,$E$1-Table11[[#This Row],[Year]],0),"")</f>
        <v>0</v>
      </c>
      <c r="F832" s="456"/>
      <c r="G832" s="456"/>
      <c r="H832" s="456"/>
    </row>
    <row r="833" spans="1:8" ht="13.5" customHeight="1">
      <c r="A833" s="471">
        <v>7829</v>
      </c>
      <c r="B833" s="540" t="s">
        <v>2642</v>
      </c>
      <c r="C833" s="471" t="s">
        <v>1914</v>
      </c>
      <c r="D833" s="456">
        <f>IF(Table11[[#This Row],[Current Age]]&gt;19,"Women's",IF(E833&gt;15,"U19",IF(E833&gt;13,"U15",IF(E833&gt;11,"U13",IF(E833&gt;0,"U11",0)))))</f>
        <v>0</v>
      </c>
      <c r="E833" s="456">
        <f>IFERROR(IF(Table11[[#This Row],[Year]]&gt;0,$E$1-Table11[[#This Row],[Year]],0),"")</f>
        <v>0</v>
      </c>
      <c r="F833" s="456"/>
      <c r="G833" s="456"/>
      <c r="H833" s="456"/>
    </row>
    <row r="834" spans="1:8" ht="13.5" customHeight="1">
      <c r="A834" s="456">
        <v>7830</v>
      </c>
      <c r="B834" s="457" t="s">
        <v>2643</v>
      </c>
      <c r="C834" s="456" t="s">
        <v>1914</v>
      </c>
      <c r="D834" s="456" t="str">
        <f>IF(Table11[[#This Row],[Current Age]]&gt;19,"Women's",IF(E834&gt;15,"U19",IF(E834&gt;13,"U15",IF(E834&gt;11,"U13",IF(E834&gt;0,"U11",0)))))</f>
        <v>U19</v>
      </c>
      <c r="E834" s="456">
        <f>IFERROR(IF(Table11[[#This Row],[Year]]&gt;0,$E$1-Table11[[#This Row],[Year]],0),"")</f>
        <v>19</v>
      </c>
      <c r="F834" s="456">
        <v>2006</v>
      </c>
      <c r="G834" s="456">
        <v>7</v>
      </c>
      <c r="H834" s="457">
        <v>14</v>
      </c>
    </row>
    <row r="835" spans="1:8" ht="13.5" customHeight="1">
      <c r="A835" s="471">
        <v>7831</v>
      </c>
      <c r="B835" s="540" t="s">
        <v>2644</v>
      </c>
      <c r="C835" s="471" t="s">
        <v>1914</v>
      </c>
      <c r="D835" s="456">
        <f>IF(Table11[[#This Row],[Current Age]]&gt;19,"Women's",IF(E835&gt;15,"U19",IF(E835&gt;13,"U15",IF(E835&gt;11,"U13",IF(E835&gt;0,"U11",0)))))</f>
        <v>0</v>
      </c>
      <c r="E835" s="456">
        <f>IFERROR(IF(Table11[[#This Row],[Year]]&gt;0,$E$1-Table11[[#This Row],[Year]],0),"")</f>
        <v>0</v>
      </c>
      <c r="F835" s="456"/>
      <c r="G835" s="456"/>
      <c r="H835" s="456"/>
    </row>
    <row r="836" spans="1:8" ht="13.5" customHeight="1">
      <c r="A836" s="456">
        <v>7832</v>
      </c>
      <c r="B836" s="457" t="s">
        <v>2645</v>
      </c>
      <c r="C836" s="456" t="s">
        <v>1914</v>
      </c>
      <c r="D836" s="456">
        <f>IF(Table11[[#This Row],[Current Age]]&gt;19,"Women's",IF(E836&gt;15,"U19",IF(E836&gt;13,"U15",IF(E836&gt;11,"U13",IF(E836&gt;0,"U11",0)))))</f>
        <v>0</v>
      </c>
      <c r="E836" s="456">
        <f>IFERROR(IF(Table11[[#This Row],[Year]]&gt;0,$E$1-Table11[[#This Row],[Year]],0),"")</f>
        <v>0</v>
      </c>
      <c r="F836" s="456"/>
      <c r="G836" s="456"/>
      <c r="H836" s="456"/>
    </row>
    <row r="837" spans="1:8" ht="13.5" customHeight="1">
      <c r="A837" s="471">
        <v>7833</v>
      </c>
      <c r="B837" s="540" t="s">
        <v>2646</v>
      </c>
      <c r="C837" s="471" t="s">
        <v>1914</v>
      </c>
      <c r="D837" s="456">
        <f>IF(Table11[[#This Row],[Current Age]]&gt;19,"Women's",IF(E837&gt;15,"U19",IF(E837&gt;13,"U15",IF(E837&gt;11,"U13",IF(E837&gt;0,"U11",0)))))</f>
        <v>0</v>
      </c>
      <c r="E837" s="456">
        <f>IFERROR(IF(Table11[[#This Row],[Year]]&gt;0,$E$1-Table11[[#This Row],[Year]],0),"")</f>
        <v>0</v>
      </c>
      <c r="F837" s="456"/>
      <c r="G837" s="456"/>
      <c r="H837" s="456"/>
    </row>
    <row r="838" spans="1:8" ht="13.5" customHeight="1">
      <c r="A838" s="456">
        <v>7834</v>
      </c>
      <c r="B838" s="457" t="s">
        <v>2647</v>
      </c>
      <c r="C838" s="456" t="s">
        <v>1914</v>
      </c>
      <c r="D838" s="456">
        <f>IF(Table11[[#This Row],[Current Age]]&gt;19,"Women's",IF(E838&gt;15,"U19",IF(E838&gt;13,"U15",IF(E838&gt;11,"U13",IF(E838&gt;0,"U11",0)))))</f>
        <v>0</v>
      </c>
      <c r="E838" s="456">
        <f>IFERROR(IF(Table11[[#This Row],[Year]]&gt;0,$E$1-Table11[[#This Row],[Year]],0),"")</f>
        <v>0</v>
      </c>
      <c r="F838" s="456"/>
      <c r="G838" s="456"/>
      <c r="H838" s="456"/>
    </row>
    <row r="839" spans="1:8" ht="13.5" customHeight="1">
      <c r="A839" s="471">
        <v>7835</v>
      </c>
      <c r="B839" s="540" t="s">
        <v>2747</v>
      </c>
      <c r="C839" s="471" t="s">
        <v>248</v>
      </c>
      <c r="D839" s="456">
        <f>IF(Table11[[#This Row],[Current Age]]&gt;19,"Women's",IF(E839&gt;15,"U19",IF(E839&gt;13,"U15",IF(E839&gt;11,"U13",IF(E839&gt;0,"U11",0)))))</f>
        <v>0</v>
      </c>
      <c r="E839" s="456">
        <f>IFERROR(IF(Table11[[#This Row],[Year]]&gt;0,$E$1-Table11[[#This Row],[Year]],0),"")</f>
        <v>0</v>
      </c>
      <c r="F839" s="456"/>
      <c r="G839" s="456"/>
      <c r="H839" s="456"/>
    </row>
    <row r="840" spans="1:8" ht="13.5" customHeight="1">
      <c r="A840" s="456">
        <v>7836</v>
      </c>
      <c r="B840" s="457" t="s">
        <v>2748</v>
      </c>
      <c r="C840" s="456" t="s">
        <v>4720</v>
      </c>
      <c r="D840" s="456">
        <f>IF(Table11[[#This Row],[Current Age]]&gt;19,"Women's",IF(E840&gt;15,"U19",IF(E840&gt;13,"U15",IF(E840&gt;11,"U13",IF(E840&gt;0,"U11",0)))))</f>
        <v>0</v>
      </c>
      <c r="E840" s="456">
        <f>IFERROR(IF(Table11[[#This Row],[Year]]&gt;0,$E$1-Table11[[#This Row],[Year]],0),"")</f>
        <v>0</v>
      </c>
      <c r="F840" s="456"/>
      <c r="G840" s="456"/>
      <c r="H840" s="456"/>
    </row>
    <row r="841" spans="1:8" ht="13.5" customHeight="1">
      <c r="A841" s="471">
        <v>7837</v>
      </c>
      <c r="B841" s="540" t="s">
        <v>2749</v>
      </c>
      <c r="C841" s="471" t="s">
        <v>248</v>
      </c>
      <c r="D841" s="456">
        <f>IF(Table11[[#This Row],[Current Age]]&gt;19,"Women's",IF(E841&gt;15,"U19",IF(E841&gt;13,"U15",IF(E841&gt;11,"U13",IF(E841&gt;0,"U11",0)))))</f>
        <v>0</v>
      </c>
      <c r="E841" s="456">
        <f>IFERROR(IF(Table11[[#This Row],[Year]]&gt;0,$E$1-Table11[[#This Row],[Year]],0),"")</f>
        <v>0</v>
      </c>
      <c r="F841" s="456"/>
      <c r="G841" s="456"/>
      <c r="H841" s="456"/>
    </row>
    <row r="842" spans="1:8" ht="13.5" customHeight="1">
      <c r="A842" s="456">
        <v>7838</v>
      </c>
      <c r="B842" s="457" t="s">
        <v>2750</v>
      </c>
      <c r="C842" s="456" t="s">
        <v>248</v>
      </c>
      <c r="D842" s="456">
        <f>IF(Table11[[#This Row],[Current Age]]&gt;19,"Women's",IF(E842&gt;15,"U19",IF(E842&gt;13,"U15",IF(E842&gt;11,"U13",IF(E842&gt;0,"U11",0)))))</f>
        <v>0</v>
      </c>
      <c r="E842" s="456">
        <f>IFERROR(IF(Table11[[#This Row],[Year]]&gt;0,$E$1-Table11[[#This Row],[Year]],0),"")</f>
        <v>0</v>
      </c>
      <c r="F842" s="456"/>
      <c r="G842" s="456"/>
      <c r="H842" s="456"/>
    </row>
    <row r="843" spans="1:8" ht="13.5" customHeight="1">
      <c r="A843" s="471">
        <v>7839</v>
      </c>
      <c r="B843" s="540" t="s">
        <v>2751</v>
      </c>
      <c r="C843" s="471" t="s">
        <v>248</v>
      </c>
      <c r="D843" s="456">
        <f>IF(Table11[[#This Row],[Current Age]]&gt;19,"Women's",IF(E843&gt;15,"U19",IF(E843&gt;13,"U15",IF(E843&gt;11,"U13",IF(E843&gt;0,"U11",0)))))</f>
        <v>0</v>
      </c>
      <c r="E843" s="456">
        <f>IFERROR(IF(Table11[[#This Row],[Year]]&gt;0,$E$1-Table11[[#This Row],[Year]],0),"")</f>
        <v>0</v>
      </c>
      <c r="F843" s="456"/>
      <c r="G843" s="456"/>
      <c r="H843" s="456"/>
    </row>
    <row r="844" spans="1:8" ht="13.5" customHeight="1">
      <c r="A844" s="456">
        <v>7840</v>
      </c>
      <c r="B844" s="457" t="s">
        <v>2752</v>
      </c>
      <c r="C844" s="456" t="s">
        <v>248</v>
      </c>
      <c r="D844" s="456">
        <f>IF(Table11[[#This Row],[Current Age]]&gt;19,"Women's",IF(E844&gt;15,"U19",IF(E844&gt;13,"U15",IF(E844&gt;11,"U13",IF(E844&gt;0,"U11",0)))))</f>
        <v>0</v>
      </c>
      <c r="E844" s="456">
        <f>IFERROR(IF(Table11[[#This Row],[Year]]&gt;0,$E$1-Table11[[#This Row],[Year]],0),"")</f>
        <v>0</v>
      </c>
      <c r="F844" s="456"/>
      <c r="G844" s="456"/>
      <c r="H844" s="456"/>
    </row>
    <row r="845" spans="1:8" ht="13.5" customHeight="1">
      <c r="A845" s="471">
        <v>7841</v>
      </c>
      <c r="B845" s="540" t="s">
        <v>2753</v>
      </c>
      <c r="C845" s="471" t="s">
        <v>248</v>
      </c>
      <c r="D845" s="456">
        <f>IF(Table11[[#This Row],[Current Age]]&gt;19,"Women's",IF(E845&gt;15,"U19",IF(E845&gt;13,"U15",IF(E845&gt;11,"U13",IF(E845&gt;0,"U11",0)))))</f>
        <v>0</v>
      </c>
      <c r="E845" s="456">
        <f>IFERROR(IF(Table11[[#This Row],[Year]]&gt;0,$E$1-Table11[[#This Row],[Year]],0),"")</f>
        <v>0</v>
      </c>
      <c r="F845" s="456"/>
      <c r="G845" s="456"/>
      <c r="H845" s="456"/>
    </row>
    <row r="846" spans="1:8" ht="13.5" customHeight="1">
      <c r="A846" s="456">
        <v>7842</v>
      </c>
      <c r="B846" s="457" t="s">
        <v>2754</v>
      </c>
      <c r="C846" s="456" t="s">
        <v>248</v>
      </c>
      <c r="D846" s="456">
        <f>IF(Table11[[#This Row],[Current Age]]&gt;19,"Women's",IF(E846&gt;15,"U19",IF(E846&gt;13,"U15",IF(E846&gt;11,"U13",IF(E846&gt;0,"U11",0)))))</f>
        <v>0</v>
      </c>
      <c r="E846" s="456">
        <f>IFERROR(IF(Table11[[#This Row],[Year]]&gt;0,$E$1-Table11[[#This Row],[Year]],0),"")</f>
        <v>0</v>
      </c>
      <c r="F846" s="456"/>
      <c r="G846" s="456"/>
      <c r="H846" s="456"/>
    </row>
    <row r="847" spans="1:8" ht="13.5" customHeight="1">
      <c r="A847" s="471">
        <v>7843</v>
      </c>
      <c r="B847" s="540" t="s">
        <v>2755</v>
      </c>
      <c r="C847" s="471" t="s">
        <v>248</v>
      </c>
      <c r="D847" s="456">
        <f>IF(Table11[[#This Row],[Current Age]]&gt;19,"Women's",IF(E847&gt;15,"U19",IF(E847&gt;13,"U15",IF(E847&gt;11,"U13",IF(E847&gt;0,"U11",0)))))</f>
        <v>0</v>
      </c>
      <c r="E847" s="456">
        <f>IFERROR(IF(Table11[[#This Row],[Year]]&gt;0,$E$1-Table11[[#This Row],[Year]],0),"")</f>
        <v>0</v>
      </c>
      <c r="F847" s="456"/>
      <c r="G847" s="456"/>
      <c r="H847" s="456"/>
    </row>
    <row r="848" spans="1:8" ht="13.5" customHeight="1">
      <c r="A848" s="456">
        <v>7844</v>
      </c>
      <c r="B848" s="457" t="s">
        <v>2756</v>
      </c>
      <c r="C848" s="456" t="s">
        <v>248</v>
      </c>
      <c r="D848" s="456">
        <f>IF(Table11[[#This Row],[Current Age]]&gt;19,"Women's",IF(E848&gt;15,"U19",IF(E848&gt;13,"U15",IF(E848&gt;11,"U13",IF(E848&gt;0,"U11",0)))))</f>
        <v>0</v>
      </c>
      <c r="E848" s="456">
        <f>IFERROR(IF(Table11[[#This Row],[Year]]&gt;0,$E$1-Table11[[#This Row],[Year]],0),"")</f>
        <v>0</v>
      </c>
      <c r="F848" s="456"/>
      <c r="G848" s="456"/>
      <c r="H848" s="456"/>
    </row>
    <row r="849" spans="1:8" ht="13.5" customHeight="1">
      <c r="A849" s="471">
        <v>7845</v>
      </c>
      <c r="B849" s="540" t="s">
        <v>2757</v>
      </c>
      <c r="C849" s="471" t="s">
        <v>248</v>
      </c>
      <c r="D849" s="456">
        <f>IF(Table11[[#This Row],[Current Age]]&gt;19,"Women's",IF(E849&gt;15,"U19",IF(E849&gt;13,"U15",IF(E849&gt;11,"U13",IF(E849&gt;0,"U11",0)))))</f>
        <v>0</v>
      </c>
      <c r="E849" s="456">
        <f>IFERROR(IF(Table11[[#This Row],[Year]]&gt;0,$E$1-Table11[[#This Row],[Year]],0),"")</f>
        <v>0</v>
      </c>
      <c r="F849" s="456"/>
      <c r="G849" s="456"/>
      <c r="H849" s="456"/>
    </row>
    <row r="850" spans="1:8" ht="13.5" customHeight="1">
      <c r="A850" s="456">
        <v>7846</v>
      </c>
      <c r="B850" s="457" t="s">
        <v>2758</v>
      </c>
      <c r="C850" s="456" t="s">
        <v>248</v>
      </c>
      <c r="D850" s="456">
        <f>IF(Table11[[#This Row],[Current Age]]&gt;19,"Women's",IF(E850&gt;15,"U19",IF(E850&gt;13,"U15",IF(E850&gt;11,"U13",IF(E850&gt;0,"U11",0)))))</f>
        <v>0</v>
      </c>
      <c r="E850" s="456">
        <f>IFERROR(IF(Table11[[#This Row],[Year]]&gt;0,$E$1-Table11[[#This Row],[Year]],0),"")</f>
        <v>0</v>
      </c>
      <c r="F850" s="456"/>
      <c r="G850" s="456"/>
      <c r="H850" s="456"/>
    </row>
    <row r="851" spans="1:8" ht="13.5" customHeight="1">
      <c r="A851" s="471">
        <v>7847</v>
      </c>
      <c r="B851" s="540" t="s">
        <v>2759</v>
      </c>
      <c r="C851" s="471" t="s">
        <v>248</v>
      </c>
      <c r="D851" s="456">
        <f>IF(Table11[[#This Row],[Current Age]]&gt;19,"Women's",IF(E851&gt;15,"U19",IF(E851&gt;13,"U15",IF(E851&gt;11,"U13",IF(E851&gt;0,"U11",0)))))</f>
        <v>0</v>
      </c>
      <c r="E851" s="456">
        <f>IFERROR(IF(Table11[[#This Row],[Year]]&gt;0,$E$1-Table11[[#This Row],[Year]],0),"")</f>
        <v>0</v>
      </c>
      <c r="F851" s="456"/>
      <c r="G851" s="456"/>
      <c r="H851" s="456"/>
    </row>
    <row r="852" spans="1:8" ht="13.5" customHeight="1">
      <c r="A852" s="456">
        <v>7848</v>
      </c>
      <c r="B852" s="457" t="s">
        <v>2760</v>
      </c>
      <c r="C852" s="456" t="s">
        <v>248</v>
      </c>
      <c r="D852" s="456">
        <f>IF(Table11[[#This Row],[Current Age]]&gt;19,"Women's",IF(E852&gt;15,"U19",IF(E852&gt;13,"U15",IF(E852&gt;11,"U13",IF(E852&gt;0,"U11",0)))))</f>
        <v>0</v>
      </c>
      <c r="E852" s="456">
        <f>IFERROR(IF(Table11[[#This Row],[Year]]&gt;0,$E$1-Table11[[#This Row],[Year]],0),"")</f>
        <v>0</v>
      </c>
      <c r="F852" s="456"/>
      <c r="G852" s="456"/>
      <c r="H852" s="456"/>
    </row>
    <row r="853" spans="1:8" ht="13.5" customHeight="1">
      <c r="A853" s="471">
        <v>7849</v>
      </c>
      <c r="B853" s="540" t="s">
        <v>2761</v>
      </c>
      <c r="C853" s="471" t="s">
        <v>248</v>
      </c>
      <c r="D853" s="456">
        <f>IF(Table11[[#This Row],[Current Age]]&gt;19,"Women's",IF(E853&gt;15,"U19",IF(E853&gt;13,"U15",IF(E853&gt;11,"U13",IF(E853&gt;0,"U11",0)))))</f>
        <v>0</v>
      </c>
      <c r="E853" s="456">
        <f>IFERROR(IF(Table11[[#This Row],[Year]]&gt;0,$E$1-Table11[[#This Row],[Year]],0),"")</f>
        <v>0</v>
      </c>
      <c r="F853" s="456"/>
      <c r="G853" s="456"/>
      <c r="H853" s="456"/>
    </row>
    <row r="854" spans="1:8" ht="13.5" customHeight="1">
      <c r="A854" s="456">
        <v>7850</v>
      </c>
      <c r="B854" s="457" t="s">
        <v>2762</v>
      </c>
      <c r="C854" s="456" t="s">
        <v>248</v>
      </c>
      <c r="D854" s="456">
        <f>IF(Table11[[#This Row],[Current Age]]&gt;19,"Women's",IF(E854&gt;15,"U19",IF(E854&gt;13,"U15",IF(E854&gt;11,"U13",IF(E854&gt;0,"U11",0)))))</f>
        <v>0</v>
      </c>
      <c r="E854" s="456">
        <f>IFERROR(IF(Table11[[#This Row],[Year]]&gt;0,$E$1-Table11[[#This Row],[Year]],0),"")</f>
        <v>0</v>
      </c>
      <c r="F854" s="456"/>
      <c r="G854" s="456"/>
      <c r="H854" s="456"/>
    </row>
    <row r="855" spans="1:8" ht="13.5" customHeight="1">
      <c r="A855" s="471">
        <v>7851</v>
      </c>
      <c r="B855" s="540" t="s">
        <v>2763</v>
      </c>
      <c r="C855" s="471" t="s">
        <v>248</v>
      </c>
      <c r="D855" s="456">
        <f>IF(Table11[[#This Row],[Current Age]]&gt;19,"Women's",IF(E855&gt;15,"U19",IF(E855&gt;13,"U15",IF(E855&gt;11,"U13",IF(E855&gt;0,"U11",0)))))</f>
        <v>0</v>
      </c>
      <c r="E855" s="456">
        <f>IFERROR(IF(Table11[[#This Row],[Year]]&gt;0,$E$1-Table11[[#This Row],[Year]],0),"")</f>
        <v>0</v>
      </c>
      <c r="F855" s="456"/>
      <c r="G855" s="456"/>
      <c r="H855" s="456"/>
    </row>
    <row r="856" spans="1:8" ht="13.5" customHeight="1">
      <c r="A856" s="456">
        <v>7852</v>
      </c>
      <c r="B856" s="457" t="s">
        <v>2764</v>
      </c>
      <c r="C856" s="456" t="s">
        <v>248</v>
      </c>
      <c r="D856" s="456">
        <f>IF(Table11[[#This Row],[Current Age]]&gt;19,"Women's",IF(E856&gt;15,"U19",IF(E856&gt;13,"U15",IF(E856&gt;11,"U13",IF(E856&gt;0,"U11",0)))))</f>
        <v>0</v>
      </c>
      <c r="E856" s="456">
        <f>IFERROR(IF(Table11[[#This Row],[Year]]&gt;0,$E$1-Table11[[#This Row],[Year]],0),"")</f>
        <v>0</v>
      </c>
      <c r="F856" s="456"/>
      <c r="G856" s="456"/>
      <c r="H856" s="456"/>
    </row>
    <row r="857" spans="1:8" ht="13.5" customHeight="1">
      <c r="A857" s="471">
        <v>7853</v>
      </c>
      <c r="B857" s="540" t="s">
        <v>2765</v>
      </c>
      <c r="C857" s="471" t="s">
        <v>248</v>
      </c>
      <c r="D857" s="456">
        <f>IF(Table11[[#This Row],[Current Age]]&gt;19,"Women's",IF(E857&gt;15,"U19",IF(E857&gt;13,"U15",IF(E857&gt;11,"U13",IF(E857&gt;0,"U11",0)))))</f>
        <v>0</v>
      </c>
      <c r="E857" s="456">
        <f>IFERROR(IF(Table11[[#This Row],[Year]]&gt;0,$E$1-Table11[[#This Row],[Year]],0),"")</f>
        <v>0</v>
      </c>
      <c r="F857" s="456"/>
      <c r="G857" s="456"/>
      <c r="H857" s="456"/>
    </row>
    <row r="858" spans="1:8" ht="13.5" customHeight="1">
      <c r="A858" s="456">
        <v>7854</v>
      </c>
      <c r="B858" s="457" t="s">
        <v>2766</v>
      </c>
      <c r="C858" s="456" t="s">
        <v>248</v>
      </c>
      <c r="D858" s="456">
        <f>IF(Table11[[#This Row],[Current Age]]&gt;19,"Women's",IF(E858&gt;15,"U19",IF(E858&gt;13,"U15",IF(E858&gt;11,"U13",IF(E858&gt;0,"U11",0)))))</f>
        <v>0</v>
      </c>
      <c r="E858" s="456">
        <f>IFERROR(IF(Table11[[#This Row],[Year]]&gt;0,$E$1-Table11[[#This Row],[Year]],0),"")</f>
        <v>0</v>
      </c>
      <c r="F858" s="456"/>
      <c r="G858" s="456"/>
      <c r="H858" s="456"/>
    </row>
    <row r="859" spans="1:8" ht="13.5" customHeight="1">
      <c r="A859" s="471">
        <v>7855</v>
      </c>
      <c r="B859" s="540" t="s">
        <v>2767</v>
      </c>
      <c r="C859" s="471" t="s">
        <v>248</v>
      </c>
      <c r="D859" s="456">
        <f>IF(Table11[[#This Row],[Current Age]]&gt;19,"Women's",IF(E859&gt;15,"U19",IF(E859&gt;13,"U15",IF(E859&gt;11,"U13",IF(E859&gt;0,"U11",0)))))</f>
        <v>0</v>
      </c>
      <c r="E859" s="456">
        <f>IFERROR(IF(Table11[[#This Row],[Year]]&gt;0,$E$1-Table11[[#This Row],[Year]],0),"")</f>
        <v>0</v>
      </c>
      <c r="F859" s="456"/>
      <c r="G859" s="456"/>
      <c r="H859" s="456"/>
    </row>
    <row r="860" spans="1:8" ht="13.5" customHeight="1">
      <c r="A860" s="456">
        <v>7856</v>
      </c>
      <c r="B860" s="457" t="s">
        <v>2768</v>
      </c>
      <c r="C860" s="456" t="s">
        <v>248</v>
      </c>
      <c r="D860" s="456">
        <f>IF(Table11[[#This Row],[Current Age]]&gt;19,"Women's",IF(E860&gt;15,"U19",IF(E860&gt;13,"U15",IF(E860&gt;11,"U13",IF(E860&gt;0,"U11",0)))))</f>
        <v>0</v>
      </c>
      <c r="E860" s="456">
        <f>IFERROR(IF(Table11[[#This Row],[Year]]&gt;0,$E$1-Table11[[#This Row],[Year]],0),"")</f>
        <v>0</v>
      </c>
      <c r="F860" s="456"/>
      <c r="G860" s="456"/>
      <c r="H860" s="456"/>
    </row>
    <row r="861" spans="1:8" ht="13.5" customHeight="1">
      <c r="A861" s="471">
        <v>7857</v>
      </c>
      <c r="B861" s="540" t="s">
        <v>2769</v>
      </c>
      <c r="C861" s="471" t="s">
        <v>248</v>
      </c>
      <c r="D861" s="456">
        <f>IF(Table11[[#This Row],[Current Age]]&gt;19,"Women's",IF(E861&gt;15,"U19",IF(E861&gt;13,"U15",IF(E861&gt;11,"U13",IF(E861&gt;0,"U11",0)))))</f>
        <v>0</v>
      </c>
      <c r="E861" s="456">
        <f>IFERROR(IF(Table11[[#This Row],[Year]]&gt;0,$E$1-Table11[[#This Row],[Year]],0),"")</f>
        <v>0</v>
      </c>
      <c r="F861" s="456"/>
      <c r="G861" s="456"/>
      <c r="H861" s="456"/>
    </row>
    <row r="862" spans="1:8" ht="13.5" customHeight="1">
      <c r="A862" s="456">
        <v>7858</v>
      </c>
      <c r="B862" s="457" t="s">
        <v>2770</v>
      </c>
      <c r="C862" s="456" t="s">
        <v>248</v>
      </c>
      <c r="D862" s="456">
        <f>IF(Table11[[#This Row],[Current Age]]&gt;19,"Women's",IF(E862&gt;15,"U19",IF(E862&gt;13,"U15",IF(E862&gt;11,"U13",IF(E862&gt;0,"U11",0)))))</f>
        <v>0</v>
      </c>
      <c r="E862" s="456">
        <f>IFERROR(IF(Table11[[#This Row],[Year]]&gt;0,$E$1-Table11[[#This Row],[Year]],0),"")</f>
        <v>0</v>
      </c>
      <c r="F862" s="456"/>
      <c r="G862" s="456"/>
      <c r="H862" s="456"/>
    </row>
    <row r="863" spans="1:8" ht="13.5" customHeight="1">
      <c r="A863" s="471">
        <v>7859</v>
      </c>
      <c r="B863" s="540" t="s">
        <v>2771</v>
      </c>
      <c r="C863" s="471" t="s">
        <v>248</v>
      </c>
      <c r="D863" s="456">
        <f>IF(Table11[[#This Row],[Current Age]]&gt;19,"Women's",IF(E863&gt;15,"U19",IF(E863&gt;13,"U15",IF(E863&gt;11,"U13",IF(E863&gt;0,"U11",0)))))</f>
        <v>0</v>
      </c>
      <c r="E863" s="456">
        <f>IFERROR(IF(Table11[[#This Row],[Year]]&gt;0,$E$1-Table11[[#This Row],[Year]],0),"")</f>
        <v>0</v>
      </c>
      <c r="F863" s="456"/>
      <c r="G863" s="456"/>
      <c r="H863" s="456"/>
    </row>
    <row r="864" spans="1:8" ht="13.5" customHeight="1">
      <c r="A864" s="456">
        <v>7860</v>
      </c>
      <c r="B864" s="457" t="s">
        <v>2772</v>
      </c>
      <c r="C864" s="456" t="s">
        <v>248</v>
      </c>
      <c r="D864" s="456">
        <f>IF(Table11[[#This Row],[Current Age]]&gt;19,"Women's",IF(E864&gt;15,"U19",IF(E864&gt;13,"U15",IF(E864&gt;11,"U13",IF(E864&gt;0,"U11",0)))))</f>
        <v>0</v>
      </c>
      <c r="E864" s="456">
        <f>IFERROR(IF(Table11[[#This Row],[Year]]&gt;0,$E$1-Table11[[#This Row],[Year]],0),"")</f>
        <v>0</v>
      </c>
      <c r="F864" s="456"/>
      <c r="G864" s="456"/>
      <c r="H864" s="456"/>
    </row>
    <row r="865" spans="1:8" ht="13.5" customHeight="1">
      <c r="A865" s="471">
        <v>7861</v>
      </c>
      <c r="B865" s="540" t="s">
        <v>2773</v>
      </c>
      <c r="C865" s="471" t="s">
        <v>248</v>
      </c>
      <c r="D865" s="456">
        <f>IF(Table11[[#This Row],[Current Age]]&gt;19,"Women's",IF(E865&gt;15,"U19",IF(E865&gt;13,"U15",IF(E865&gt;11,"U13",IF(E865&gt;0,"U11",0)))))</f>
        <v>0</v>
      </c>
      <c r="E865" s="456">
        <f>IFERROR(IF(Table11[[#This Row],[Year]]&gt;0,$E$1-Table11[[#This Row],[Year]],0),"")</f>
        <v>0</v>
      </c>
      <c r="F865" s="456"/>
      <c r="G865" s="456"/>
      <c r="H865" s="456"/>
    </row>
    <row r="866" spans="1:8" ht="13.5" customHeight="1">
      <c r="A866" s="456">
        <v>7862</v>
      </c>
      <c r="B866" s="457" t="s">
        <v>2774</v>
      </c>
      <c r="C866" s="456" t="s">
        <v>248</v>
      </c>
      <c r="D866" s="456">
        <f>IF(Table11[[#This Row],[Current Age]]&gt;19,"Women's",IF(E866&gt;15,"U19",IF(E866&gt;13,"U15",IF(E866&gt;11,"U13",IF(E866&gt;0,"U11",0)))))</f>
        <v>0</v>
      </c>
      <c r="E866" s="456">
        <f>IFERROR(IF(Table11[[#This Row],[Year]]&gt;0,$E$1-Table11[[#This Row],[Year]],0),"")</f>
        <v>0</v>
      </c>
      <c r="F866" s="456"/>
      <c r="G866" s="456"/>
      <c r="H866" s="456"/>
    </row>
    <row r="867" spans="1:8" ht="13.5" customHeight="1">
      <c r="A867" s="471">
        <v>7863</v>
      </c>
      <c r="B867" s="540" t="s">
        <v>2775</v>
      </c>
      <c r="C867" s="471" t="s">
        <v>248</v>
      </c>
      <c r="D867" s="456">
        <f>IF(Table11[[#This Row],[Current Age]]&gt;19,"Women's",IF(E867&gt;15,"U19",IF(E867&gt;13,"U15",IF(E867&gt;11,"U13",IF(E867&gt;0,"U11",0)))))</f>
        <v>0</v>
      </c>
      <c r="E867" s="456">
        <f>IFERROR(IF(Table11[[#This Row],[Year]]&gt;0,$E$1-Table11[[#This Row],[Year]],0),"")</f>
        <v>0</v>
      </c>
      <c r="F867" s="456"/>
      <c r="G867" s="456"/>
      <c r="H867" s="456"/>
    </row>
    <row r="868" spans="1:8" ht="13.5" customHeight="1">
      <c r="A868" s="456">
        <v>7864</v>
      </c>
      <c r="B868" s="457" t="s">
        <v>2776</v>
      </c>
      <c r="C868" s="456" t="s">
        <v>248</v>
      </c>
      <c r="D868" s="456">
        <f>IF(Table11[[#This Row],[Current Age]]&gt;19,"Women's",IF(E868&gt;15,"U19",IF(E868&gt;13,"U15",IF(E868&gt;11,"U13",IF(E868&gt;0,"U11",0)))))</f>
        <v>0</v>
      </c>
      <c r="E868" s="456">
        <f>IFERROR(IF(Table11[[#This Row],[Year]]&gt;0,$E$1-Table11[[#This Row],[Year]],0),"")</f>
        <v>0</v>
      </c>
      <c r="F868" s="456"/>
      <c r="G868" s="456"/>
      <c r="H868" s="456"/>
    </row>
    <row r="869" spans="1:8" ht="13.5" customHeight="1">
      <c r="A869" s="471">
        <v>7865</v>
      </c>
      <c r="B869" s="540" t="s">
        <v>2777</v>
      </c>
      <c r="C869" s="471" t="s">
        <v>248</v>
      </c>
      <c r="D869" s="456">
        <f>IF(Table11[[#This Row],[Current Age]]&gt;19,"Women's",IF(E869&gt;15,"U19",IF(E869&gt;13,"U15",IF(E869&gt;11,"U13",IF(E869&gt;0,"U11",0)))))</f>
        <v>0</v>
      </c>
      <c r="E869" s="456">
        <f>IFERROR(IF(Table11[[#This Row],[Year]]&gt;0,$E$1-Table11[[#This Row],[Year]],0),"")</f>
        <v>0</v>
      </c>
      <c r="F869" s="456"/>
      <c r="G869" s="456"/>
      <c r="H869" s="456"/>
    </row>
    <row r="870" spans="1:8" ht="13.5" customHeight="1">
      <c r="A870" s="456">
        <v>7866</v>
      </c>
      <c r="B870" s="457" t="s">
        <v>2778</v>
      </c>
      <c r="C870" s="456" t="s">
        <v>248</v>
      </c>
      <c r="D870" s="456">
        <f>IF(Table11[[#This Row],[Current Age]]&gt;19,"Women's",IF(E870&gt;15,"U19",IF(E870&gt;13,"U15",IF(E870&gt;11,"U13",IF(E870&gt;0,"U11",0)))))</f>
        <v>0</v>
      </c>
      <c r="E870" s="456">
        <f>IFERROR(IF(Table11[[#This Row],[Year]]&gt;0,$E$1-Table11[[#This Row],[Year]],0),"")</f>
        <v>0</v>
      </c>
      <c r="F870" s="456"/>
      <c r="G870" s="456"/>
      <c r="H870" s="456"/>
    </row>
    <row r="871" spans="1:8" ht="13.5" customHeight="1">
      <c r="A871" s="471">
        <v>7867</v>
      </c>
      <c r="B871" s="540" t="s">
        <v>2779</v>
      </c>
      <c r="C871" s="471" t="s">
        <v>248</v>
      </c>
      <c r="D871" s="456">
        <f>IF(Table11[[#This Row],[Current Age]]&gt;19,"Women's",IF(E871&gt;15,"U19",IF(E871&gt;13,"U15",IF(E871&gt;11,"U13",IF(E871&gt;0,"U11",0)))))</f>
        <v>0</v>
      </c>
      <c r="E871" s="456">
        <f>IFERROR(IF(Table11[[#This Row],[Year]]&gt;0,$E$1-Table11[[#This Row],[Year]],0),"")</f>
        <v>0</v>
      </c>
      <c r="F871" s="456"/>
      <c r="G871" s="456"/>
      <c r="H871" s="456"/>
    </row>
    <row r="872" spans="1:8" ht="13.5" customHeight="1">
      <c r="A872" s="456">
        <v>7868</v>
      </c>
      <c r="B872" s="457" t="s">
        <v>2780</v>
      </c>
      <c r="C872" s="456" t="s">
        <v>248</v>
      </c>
      <c r="D872" s="456">
        <f>IF(Table11[[#This Row],[Current Age]]&gt;19,"Women's",IF(E872&gt;15,"U19",IF(E872&gt;13,"U15",IF(E872&gt;11,"U13",IF(E872&gt;0,"U11",0)))))</f>
        <v>0</v>
      </c>
      <c r="E872" s="456">
        <f>IFERROR(IF(Table11[[#This Row],[Year]]&gt;0,$E$1-Table11[[#This Row],[Year]],0),"")</f>
        <v>0</v>
      </c>
      <c r="F872" s="456"/>
      <c r="G872" s="456"/>
      <c r="H872" s="456"/>
    </row>
    <row r="873" spans="1:8" ht="13.5" customHeight="1">
      <c r="A873" s="471">
        <v>7869</v>
      </c>
      <c r="B873" s="540" t="s">
        <v>2781</v>
      </c>
      <c r="C873" s="471" t="s">
        <v>248</v>
      </c>
      <c r="D873" s="456">
        <f>IF(Table11[[#This Row],[Current Age]]&gt;19,"Women's",IF(E873&gt;15,"U19",IF(E873&gt;13,"U15",IF(E873&gt;11,"U13",IF(E873&gt;0,"U11",0)))))</f>
        <v>0</v>
      </c>
      <c r="E873" s="456">
        <f>IFERROR(IF(Table11[[#This Row],[Year]]&gt;0,$E$1-Table11[[#This Row],[Year]],0),"")</f>
        <v>0</v>
      </c>
      <c r="F873" s="456"/>
      <c r="G873" s="456"/>
      <c r="H873" s="456"/>
    </row>
    <row r="874" spans="1:8" ht="13.5" customHeight="1">
      <c r="A874" s="456">
        <v>7870</v>
      </c>
      <c r="B874" s="457" t="s">
        <v>2782</v>
      </c>
      <c r="C874" s="456" t="s">
        <v>248</v>
      </c>
      <c r="D874" s="456">
        <f>IF(Table11[[#This Row],[Current Age]]&gt;19,"Women's",IF(E874&gt;15,"U19",IF(E874&gt;13,"U15",IF(E874&gt;11,"U13",IF(E874&gt;0,"U11",0)))))</f>
        <v>0</v>
      </c>
      <c r="E874" s="456">
        <f>IFERROR(IF(Table11[[#This Row],[Year]]&gt;0,$E$1-Table11[[#This Row],[Year]],0),"")</f>
        <v>0</v>
      </c>
      <c r="F874" s="456"/>
      <c r="G874" s="456"/>
      <c r="H874" s="456"/>
    </row>
    <row r="875" spans="1:8" ht="13.5" customHeight="1">
      <c r="A875" s="471">
        <v>7871</v>
      </c>
      <c r="B875" s="540" t="s">
        <v>2783</v>
      </c>
      <c r="C875" s="471" t="s">
        <v>248</v>
      </c>
      <c r="D875" s="456">
        <f>IF(Table11[[#This Row],[Current Age]]&gt;19,"Women's",IF(E875&gt;15,"U19",IF(E875&gt;13,"U15",IF(E875&gt;11,"U13",IF(E875&gt;0,"U11",0)))))</f>
        <v>0</v>
      </c>
      <c r="E875" s="456">
        <f>IFERROR(IF(Table11[[#This Row],[Year]]&gt;0,$E$1-Table11[[#This Row],[Year]],0),"")</f>
        <v>0</v>
      </c>
      <c r="F875" s="456"/>
      <c r="G875" s="456"/>
      <c r="H875" s="456"/>
    </row>
    <row r="876" spans="1:8" ht="13.5" customHeight="1">
      <c r="A876" s="456">
        <v>7872</v>
      </c>
      <c r="B876" s="457" t="s">
        <v>2784</v>
      </c>
      <c r="C876" s="456" t="s">
        <v>248</v>
      </c>
      <c r="D876" s="456">
        <f>IF(Table11[[#This Row],[Current Age]]&gt;19,"Women's",IF(E876&gt;15,"U19",IF(E876&gt;13,"U15",IF(E876&gt;11,"U13",IF(E876&gt;0,"U11",0)))))</f>
        <v>0</v>
      </c>
      <c r="E876" s="456">
        <f>IFERROR(IF(Table11[[#This Row],[Year]]&gt;0,$E$1-Table11[[#This Row],[Year]],0),"")</f>
        <v>0</v>
      </c>
      <c r="F876" s="456"/>
      <c r="G876" s="456"/>
      <c r="H876" s="456"/>
    </row>
    <row r="877" spans="1:8" ht="13.5" customHeight="1">
      <c r="A877" s="471">
        <v>7873</v>
      </c>
      <c r="B877" s="540" t="s">
        <v>3276</v>
      </c>
      <c r="C877" s="471" t="s">
        <v>251</v>
      </c>
      <c r="D877" s="456">
        <f>IF(Table11[[#This Row],[Current Age]]&gt;19,"Women's",IF(E877&gt;15,"U19",IF(E877&gt;13,"U15",IF(E877&gt;11,"U13",IF(E877&gt;0,"U11",0)))))</f>
        <v>0</v>
      </c>
      <c r="E877" s="456">
        <f>IFERROR(IF(Table11[[#This Row],[Year]]&gt;0,$E$1-Table11[[#This Row],[Year]],0),"")</f>
        <v>0</v>
      </c>
      <c r="F877" s="456"/>
      <c r="G877" s="456"/>
      <c r="H877" s="456"/>
    </row>
    <row r="878" spans="1:8" ht="13.5" customHeight="1">
      <c r="A878" s="456">
        <v>7874</v>
      </c>
      <c r="B878" s="457" t="s">
        <v>2854</v>
      </c>
      <c r="C878" s="456" t="s">
        <v>244</v>
      </c>
      <c r="D878" s="456">
        <f>IF(Table11[[#This Row],[Current Age]]&gt;19,"Women's",IF(E878&gt;15,"U19",IF(E878&gt;13,"U15",IF(E878&gt;11,"U13",IF(E878&gt;0,"U11",0)))))</f>
        <v>0</v>
      </c>
      <c r="E878" s="456">
        <f>IFERROR(IF(Table11[[#This Row],[Year]]&gt;0,$E$1-Table11[[#This Row],[Year]],0),"")</f>
        <v>0</v>
      </c>
      <c r="F878" s="456"/>
      <c r="G878" s="456"/>
      <c r="H878" s="456"/>
    </row>
    <row r="879" spans="1:8" ht="13.5" customHeight="1">
      <c r="A879" s="471">
        <v>7875</v>
      </c>
      <c r="B879" s="540" t="s">
        <v>2855</v>
      </c>
      <c r="C879" s="471" t="s">
        <v>244</v>
      </c>
      <c r="D879" s="456">
        <f>IF(Table11[[#This Row],[Current Age]]&gt;19,"Women's",IF(E879&gt;15,"U19",IF(E879&gt;13,"U15",IF(E879&gt;11,"U13",IF(E879&gt;0,"U11",0)))))</f>
        <v>0</v>
      </c>
      <c r="E879" s="456">
        <f>IFERROR(IF(Table11[[#This Row],[Year]]&gt;0,$E$1-Table11[[#This Row],[Year]],0),"")</f>
        <v>0</v>
      </c>
      <c r="F879" s="456"/>
      <c r="G879" s="456"/>
      <c r="H879" s="456"/>
    </row>
    <row r="880" spans="1:8" ht="13.5" customHeight="1">
      <c r="A880" s="456">
        <v>7876</v>
      </c>
      <c r="B880" s="457" t="s">
        <v>2856</v>
      </c>
      <c r="C880" s="456" t="s">
        <v>244</v>
      </c>
      <c r="D880" s="456">
        <f>IF(Table11[[#This Row],[Current Age]]&gt;19,"Women's",IF(E880&gt;15,"U19",IF(E880&gt;13,"U15",IF(E880&gt;11,"U13",IF(E880&gt;0,"U11",0)))))</f>
        <v>0</v>
      </c>
      <c r="E880" s="456">
        <f>IFERROR(IF(Table11[[#This Row],[Year]]&gt;0,$E$1-Table11[[#This Row],[Year]],0),"")</f>
        <v>0</v>
      </c>
      <c r="F880" s="456"/>
      <c r="G880" s="456"/>
      <c r="H880" s="456"/>
    </row>
    <row r="881" spans="1:8" ht="13.5" customHeight="1">
      <c r="A881" s="471">
        <v>7877</v>
      </c>
      <c r="B881" s="540" t="s">
        <v>2871</v>
      </c>
      <c r="C881" s="471" t="s">
        <v>362</v>
      </c>
      <c r="D881" s="456" t="str">
        <f>IF(Table11[[#This Row],[Current Age]]&gt;19,"Women's",IF(E881&gt;15,"U19",IF(E881&gt;13,"U15",IF(E881&gt;11,"U13",IF(E881&gt;0,"U11",0)))))</f>
        <v>U19</v>
      </c>
      <c r="E881" s="456">
        <f>IFERROR(IF(Table11[[#This Row],[Year]]&gt;0,$E$1-Table11[[#This Row],[Year]],0),"")</f>
        <v>17</v>
      </c>
      <c r="F881" s="456">
        <v>2008</v>
      </c>
      <c r="G881" s="456">
        <v>1</v>
      </c>
      <c r="H881" s="456">
        <v>4</v>
      </c>
    </row>
    <row r="882" spans="1:8" ht="13.5" customHeight="1">
      <c r="A882" s="456">
        <v>7878</v>
      </c>
      <c r="B882" s="457" t="s">
        <v>2872</v>
      </c>
      <c r="C882" s="456" t="s">
        <v>362</v>
      </c>
      <c r="D882" s="456">
        <f>IF(Table11[[#This Row],[Current Age]]&gt;19,"Women's",IF(E882&gt;15,"U19",IF(E882&gt;13,"U15",IF(E882&gt;11,"U13",IF(E882&gt;0,"U11",0)))))</f>
        <v>0</v>
      </c>
      <c r="E882" s="456">
        <f>IFERROR(IF(Table11[[#This Row],[Year]]&gt;0,$E$1-Table11[[#This Row],[Year]],0),"")</f>
        <v>0</v>
      </c>
      <c r="F882" s="456"/>
      <c r="G882" s="456"/>
      <c r="H882" s="456"/>
    </row>
    <row r="883" spans="1:8" ht="13.5" customHeight="1">
      <c r="A883" s="471">
        <v>7879</v>
      </c>
      <c r="B883" s="540" t="s">
        <v>2873</v>
      </c>
      <c r="C883" s="471" t="s">
        <v>362</v>
      </c>
      <c r="D883" s="456">
        <f>IF(Table11[[#This Row],[Current Age]]&gt;19,"Women's",IF(E883&gt;15,"U19",IF(E883&gt;13,"U15",IF(E883&gt;11,"U13",IF(E883&gt;0,"U11",0)))))</f>
        <v>0</v>
      </c>
      <c r="E883" s="456">
        <f>IFERROR(IF(Table11[[#This Row],[Year]]&gt;0,$E$1-Table11[[#This Row],[Year]],0),"")</f>
        <v>0</v>
      </c>
      <c r="F883" s="456"/>
      <c r="G883" s="456"/>
      <c r="H883" s="456"/>
    </row>
    <row r="884" spans="1:8" ht="13.5" customHeight="1">
      <c r="A884" s="456">
        <v>7880</v>
      </c>
      <c r="B884" s="457" t="s">
        <v>2874</v>
      </c>
      <c r="C884" s="456" t="s">
        <v>362</v>
      </c>
      <c r="D884" s="456" t="str">
        <f>IF(Table11[[#This Row],[Current Age]]&gt;19,"Women's",IF(E884&gt;15,"U19",IF(E884&gt;13,"U15",IF(E884&gt;11,"U13",IF(E884&gt;0,"U11",0)))))</f>
        <v>Women's</v>
      </c>
      <c r="E884" s="456">
        <f>IFERROR(IF(Table11[[#This Row],[Year]]&gt;0,$E$1-Table11[[#This Row],[Year]],0),"")</f>
        <v>23</v>
      </c>
      <c r="F884" s="456">
        <v>2002</v>
      </c>
      <c r="G884" s="456">
        <v>1</v>
      </c>
      <c r="H884" s="456">
        <v>3</v>
      </c>
    </row>
    <row r="885" spans="1:8" ht="13.5" customHeight="1">
      <c r="A885" s="471">
        <v>7881</v>
      </c>
      <c r="B885" s="540" t="s">
        <v>2889</v>
      </c>
      <c r="C885" s="471" t="s">
        <v>3346</v>
      </c>
      <c r="D885" s="456">
        <f>IF(Table11[[#This Row],[Current Age]]&gt;19,"Women's",IF(E885&gt;15,"U19",IF(E885&gt;13,"U15",IF(E885&gt;11,"U13",IF(E885&gt;0,"U11",0)))))</f>
        <v>0</v>
      </c>
      <c r="E885" s="456">
        <f>IFERROR(IF(Table11[[#This Row],[Year]]&gt;0,$E$1-Table11[[#This Row],[Year]],0),"")</f>
        <v>0</v>
      </c>
      <c r="F885" s="456"/>
      <c r="G885" s="456"/>
      <c r="H885" s="456"/>
    </row>
    <row r="886" spans="1:8" ht="13.5" customHeight="1">
      <c r="A886" s="456">
        <v>7882</v>
      </c>
      <c r="B886" s="457" t="s">
        <v>2890</v>
      </c>
      <c r="C886" s="456" t="s">
        <v>3346</v>
      </c>
      <c r="D886" s="456">
        <f>IF(Table11[[#This Row],[Current Age]]&gt;19,"Women's",IF(E886&gt;15,"U19",IF(E886&gt;13,"U15",IF(E886&gt;11,"U13",IF(E886&gt;0,"U11",0)))))</f>
        <v>0</v>
      </c>
      <c r="E886" s="456">
        <f>IFERROR(IF(Table11[[#This Row],[Year]]&gt;0,$E$1-Table11[[#This Row],[Year]],0),"")</f>
        <v>0</v>
      </c>
      <c r="F886" s="456"/>
      <c r="G886" s="456"/>
      <c r="H886" s="456"/>
    </row>
    <row r="887" spans="1:8" ht="13.5" customHeight="1">
      <c r="A887" s="471">
        <v>7883</v>
      </c>
      <c r="B887" s="540" t="s">
        <v>2891</v>
      </c>
      <c r="C887" s="471" t="s">
        <v>3346</v>
      </c>
      <c r="D887" s="456">
        <f>IF(Table11[[#This Row],[Current Age]]&gt;19,"Women's",IF(E887&gt;15,"U19",IF(E887&gt;13,"U15",IF(E887&gt;11,"U13",IF(E887&gt;0,"U11",0)))))</f>
        <v>0</v>
      </c>
      <c r="E887" s="456">
        <f>IFERROR(IF(Table11[[#This Row],[Year]]&gt;0,$E$1-Table11[[#This Row],[Year]],0),"")</f>
        <v>0</v>
      </c>
      <c r="F887" s="456"/>
      <c r="G887" s="456"/>
      <c r="H887" s="456"/>
    </row>
    <row r="888" spans="1:8" ht="13.5" customHeight="1">
      <c r="A888" s="456">
        <v>7884</v>
      </c>
      <c r="B888" s="457" t="s">
        <v>2892</v>
      </c>
      <c r="C888" s="456" t="s">
        <v>3346</v>
      </c>
      <c r="D888" s="456">
        <f>IF(Table11[[#This Row],[Current Age]]&gt;19,"Women's",IF(E888&gt;15,"U19",IF(E888&gt;13,"U15",IF(E888&gt;11,"U13",IF(E888&gt;0,"U11",0)))))</f>
        <v>0</v>
      </c>
      <c r="E888" s="456">
        <f>IFERROR(IF(Table11[[#This Row],[Year]]&gt;0,$E$1-Table11[[#This Row],[Year]],0),"")</f>
        <v>0</v>
      </c>
      <c r="F888" s="456"/>
      <c r="G888" s="456"/>
      <c r="H888" s="456"/>
    </row>
    <row r="889" spans="1:8" ht="13.5" customHeight="1">
      <c r="A889" s="471">
        <v>7885</v>
      </c>
      <c r="B889" s="540" t="s">
        <v>2893</v>
      </c>
      <c r="C889" s="471" t="s">
        <v>3346</v>
      </c>
      <c r="D889" s="456">
        <f>IF(Table11[[#This Row],[Current Age]]&gt;19,"Women's",IF(E889&gt;15,"U19",IF(E889&gt;13,"U15",IF(E889&gt;11,"U13",IF(E889&gt;0,"U11",0)))))</f>
        <v>0</v>
      </c>
      <c r="E889" s="456">
        <f>IFERROR(IF(Table11[[#This Row],[Year]]&gt;0,$E$1-Table11[[#This Row],[Year]],0),"")</f>
        <v>0</v>
      </c>
      <c r="F889" s="456"/>
      <c r="G889" s="456"/>
      <c r="H889" s="456"/>
    </row>
    <row r="890" spans="1:8" ht="13.5" customHeight="1">
      <c r="A890" s="456">
        <v>7886</v>
      </c>
      <c r="B890" s="457" t="s">
        <v>2894</v>
      </c>
      <c r="C890" s="456" t="s">
        <v>3346</v>
      </c>
      <c r="D890" s="456">
        <f>IF(Table11[[#This Row],[Current Age]]&gt;19,"Women's",IF(E890&gt;15,"U19",IF(E890&gt;13,"U15",IF(E890&gt;11,"U13",IF(E890&gt;0,"U11",0)))))</f>
        <v>0</v>
      </c>
      <c r="E890" s="456">
        <f>IFERROR(IF(Table11[[#This Row],[Year]]&gt;0,$E$1-Table11[[#This Row],[Year]],0),"")</f>
        <v>0</v>
      </c>
      <c r="F890" s="456"/>
      <c r="G890" s="456"/>
      <c r="H890" s="456"/>
    </row>
    <row r="891" spans="1:8" ht="13.5" customHeight="1">
      <c r="A891" s="471">
        <v>7887</v>
      </c>
      <c r="B891" s="540" t="s">
        <v>2895</v>
      </c>
      <c r="C891" s="471" t="s">
        <v>3346</v>
      </c>
      <c r="D891" s="456">
        <f>IF(Table11[[#This Row],[Current Age]]&gt;19,"Women's",IF(E891&gt;15,"U19",IF(E891&gt;13,"U15",IF(E891&gt;11,"U13",IF(E891&gt;0,"U11",0)))))</f>
        <v>0</v>
      </c>
      <c r="E891" s="456">
        <f>IFERROR(IF(Table11[[#This Row],[Year]]&gt;0,$E$1-Table11[[#This Row],[Year]],0),"")</f>
        <v>0</v>
      </c>
      <c r="F891" s="456"/>
      <c r="G891" s="456"/>
      <c r="H891" s="456"/>
    </row>
    <row r="892" spans="1:8" ht="13.5" customHeight="1">
      <c r="A892" s="456">
        <v>7888</v>
      </c>
      <c r="B892" s="457" t="s">
        <v>2896</v>
      </c>
      <c r="C892" s="456" t="s">
        <v>3346</v>
      </c>
      <c r="D892" s="456">
        <f>IF(Table11[[#This Row],[Current Age]]&gt;19,"Women's",IF(E892&gt;15,"U19",IF(E892&gt;13,"U15",IF(E892&gt;11,"U13",IF(E892&gt;0,"U11",0)))))</f>
        <v>0</v>
      </c>
      <c r="E892" s="456">
        <f>IFERROR(IF(Table11[[#This Row],[Year]]&gt;0,$E$1-Table11[[#This Row],[Year]],0),"")</f>
        <v>0</v>
      </c>
      <c r="F892" s="456"/>
      <c r="G892" s="456"/>
      <c r="H892" s="456"/>
    </row>
    <row r="893" spans="1:8" ht="13.5" customHeight="1">
      <c r="A893" s="471">
        <v>7889</v>
      </c>
      <c r="B893" s="540" t="s">
        <v>2908</v>
      </c>
      <c r="C893" s="471" t="s">
        <v>762</v>
      </c>
      <c r="D893" s="456" t="str">
        <f>IF(Table11[[#This Row],[Current Age]]&gt;19,"Women's",IF(E893&gt;15,"U19",IF(E893&gt;13,"U15",IF(E893&gt;11,"U13",IF(E893&gt;0,"U11",0)))))</f>
        <v>U19</v>
      </c>
      <c r="E893" s="456">
        <f>IFERROR(IF(Table11[[#This Row],[Year]]&gt;0,$E$1-Table11[[#This Row],[Year]],0),"")</f>
        <v>18</v>
      </c>
      <c r="F893" s="456">
        <v>2007</v>
      </c>
      <c r="G893" s="456">
        <v>6</v>
      </c>
      <c r="H893" s="456">
        <v>2</v>
      </c>
    </row>
    <row r="894" spans="1:8" ht="13.5" customHeight="1">
      <c r="A894" s="456">
        <v>7890</v>
      </c>
      <c r="B894" s="457" t="s">
        <v>2909</v>
      </c>
      <c r="C894" s="456" t="s">
        <v>762</v>
      </c>
      <c r="D894" s="456">
        <f>IF(Table11[[#This Row],[Current Age]]&gt;19,"Women's",IF(E894&gt;15,"U19",IF(E894&gt;13,"U15",IF(E894&gt;11,"U13",IF(E894&gt;0,"U11",0)))))</f>
        <v>0</v>
      </c>
      <c r="E894" s="456">
        <f>IFERROR(IF(Table11[[#This Row],[Year]]&gt;0,$E$1-Table11[[#This Row],[Year]],0),"")</f>
        <v>0</v>
      </c>
      <c r="F894" s="456"/>
      <c r="G894" s="456"/>
      <c r="H894" s="456"/>
    </row>
    <row r="895" spans="1:8" ht="13.5" customHeight="1">
      <c r="A895" s="471">
        <v>7891</v>
      </c>
      <c r="B895" s="540" t="s">
        <v>2910</v>
      </c>
      <c r="C895" s="471" t="s">
        <v>762</v>
      </c>
      <c r="D895" s="456" t="str">
        <f>IF(Table11[[#This Row],[Current Age]]&gt;19,"Women's",IF(E895&gt;15,"U19",IF(E895&gt;13,"U15",IF(E895&gt;11,"U13",IF(E895&gt;0,"U11",0)))))</f>
        <v>U19</v>
      </c>
      <c r="E895" s="456">
        <f>IFERROR(IF(Table11[[#This Row],[Year]]&gt;0,$E$1-Table11[[#This Row],[Year]],0),"")</f>
        <v>17</v>
      </c>
      <c r="F895" s="456">
        <v>2008</v>
      </c>
      <c r="G895" s="456">
        <v>2</v>
      </c>
      <c r="H895" s="456">
        <v>7</v>
      </c>
    </row>
    <row r="896" spans="1:8" ht="13.5" customHeight="1">
      <c r="A896" s="456">
        <v>7892</v>
      </c>
      <c r="B896" s="457" t="s">
        <v>2911</v>
      </c>
      <c r="C896" s="456" t="s">
        <v>762</v>
      </c>
      <c r="D896" s="456">
        <f>IF(Table11[[#This Row],[Current Age]]&gt;19,"Women's",IF(E896&gt;15,"U19",IF(E896&gt;13,"U15",IF(E896&gt;11,"U13",IF(E896&gt;0,"U11",0)))))</f>
        <v>0</v>
      </c>
      <c r="E896" s="456">
        <f>IFERROR(IF(Table11[[#This Row],[Year]]&gt;0,$E$1-Table11[[#This Row],[Year]],0),"")</f>
        <v>0</v>
      </c>
      <c r="F896" s="456"/>
      <c r="G896" s="456"/>
      <c r="H896" s="456"/>
    </row>
    <row r="897" spans="1:8" ht="13.5" customHeight="1">
      <c r="A897" s="471">
        <v>7893</v>
      </c>
      <c r="B897" s="540" t="s">
        <v>2912</v>
      </c>
      <c r="C897" s="471" t="s">
        <v>762</v>
      </c>
      <c r="D897" s="456" t="str">
        <f>IF(Table11[[#This Row],[Current Age]]&gt;19,"Women's",IF(E897&gt;15,"U19",IF(E897&gt;13,"U15",IF(E897&gt;11,"U13",IF(E897&gt;0,"U11",0)))))</f>
        <v>U19</v>
      </c>
      <c r="E897" s="456">
        <f>IFERROR(IF(Table11[[#This Row],[Year]]&gt;0,$E$1-Table11[[#This Row],[Year]],0),"")</f>
        <v>18</v>
      </c>
      <c r="F897" s="456">
        <v>2007</v>
      </c>
      <c r="G897" s="456">
        <v>7</v>
      </c>
      <c r="H897" s="456">
        <v>3</v>
      </c>
    </row>
    <row r="898" spans="1:8" ht="13.5" customHeight="1">
      <c r="A898" s="456">
        <v>7894</v>
      </c>
      <c r="B898" s="457" t="s">
        <v>2913</v>
      </c>
      <c r="C898" s="456" t="s">
        <v>762</v>
      </c>
      <c r="D898" s="456">
        <f>IF(Table11[[#This Row],[Current Age]]&gt;19,"Women's",IF(E898&gt;15,"U19",IF(E898&gt;13,"U15",IF(E898&gt;11,"U13",IF(E898&gt;0,"U11",0)))))</f>
        <v>0</v>
      </c>
      <c r="E898" s="456">
        <f>IFERROR(IF(Table11[[#This Row],[Year]]&gt;0,$E$1-Table11[[#This Row],[Year]],0),"")</f>
        <v>0</v>
      </c>
      <c r="F898" s="456"/>
      <c r="G898" s="456"/>
      <c r="H898" s="456"/>
    </row>
    <row r="899" spans="1:8" ht="13.5" customHeight="1">
      <c r="A899" s="471">
        <v>7895</v>
      </c>
      <c r="B899" s="540" t="s">
        <v>2938</v>
      </c>
      <c r="C899" s="471" t="s">
        <v>762</v>
      </c>
      <c r="D899" s="456" t="str">
        <f>IF(Table11[[#This Row],[Current Age]]&gt;19,"Women's",IF(E899&gt;15,"U19",IF(E899&gt;13,"U15",IF(E899&gt;11,"U13",IF(E899&gt;0,"U11",0)))))</f>
        <v>Women's</v>
      </c>
      <c r="E899" s="456">
        <f>IFERROR(IF(Table11[[#This Row],[Year]]&gt;0,$E$1-Table11[[#This Row],[Year]],0),"")</f>
        <v>20</v>
      </c>
      <c r="F899" s="456">
        <v>2005</v>
      </c>
      <c r="G899" s="456">
        <v>3</v>
      </c>
      <c r="H899" s="456">
        <v>23</v>
      </c>
    </row>
    <row r="900" spans="1:8" ht="13.5" customHeight="1">
      <c r="A900" s="456">
        <v>7896</v>
      </c>
      <c r="B900" s="457" t="s">
        <v>2939</v>
      </c>
      <c r="C900" s="456" t="s">
        <v>762</v>
      </c>
      <c r="D900" s="456">
        <f>IF(Table11[[#This Row],[Current Age]]&gt;19,"Women's",IF(E900&gt;15,"U19",IF(E900&gt;13,"U15",IF(E900&gt;11,"U13",IF(E900&gt;0,"U11",0)))))</f>
        <v>0</v>
      </c>
      <c r="E900" s="456">
        <f>IFERROR(IF(Table11[[#This Row],[Year]]&gt;0,$E$1-Table11[[#This Row],[Year]],0),"")</f>
        <v>0</v>
      </c>
      <c r="F900" s="456"/>
      <c r="G900" s="456"/>
      <c r="H900" s="456"/>
    </row>
    <row r="901" spans="1:8" ht="13.5" customHeight="1">
      <c r="A901" s="471">
        <v>7897</v>
      </c>
      <c r="B901" s="540" t="s">
        <v>2940</v>
      </c>
      <c r="C901" s="471" t="s">
        <v>762</v>
      </c>
      <c r="D901" s="456">
        <f>IF(Table11[[#This Row],[Current Age]]&gt;19,"Women's",IF(E901&gt;15,"U19",IF(E901&gt;13,"U15",IF(E901&gt;11,"U13",IF(E901&gt;0,"U11",0)))))</f>
        <v>0</v>
      </c>
      <c r="E901" s="456">
        <f>IFERROR(IF(Table11[[#This Row],[Year]]&gt;0,$E$1-Table11[[#This Row],[Year]],0),"")</f>
        <v>0</v>
      </c>
      <c r="F901" s="456"/>
      <c r="G901" s="456"/>
      <c r="H901" s="456"/>
    </row>
    <row r="902" spans="1:8" ht="13.5" customHeight="1">
      <c r="A902" s="456">
        <v>7898</v>
      </c>
      <c r="B902" s="457" t="s">
        <v>2941</v>
      </c>
      <c r="C902" s="456" t="s">
        <v>762</v>
      </c>
      <c r="D902" s="456">
        <f>IF(Table11[[#This Row],[Current Age]]&gt;19,"Women's",IF(E902&gt;15,"U19",IF(E902&gt;13,"U15",IF(E902&gt;11,"U13",IF(E902&gt;0,"U11",0)))))</f>
        <v>0</v>
      </c>
      <c r="E902" s="456">
        <f>IFERROR(IF(Table11[[#This Row],[Year]]&gt;0,$E$1-Table11[[#This Row],[Year]],0),"")</f>
        <v>0</v>
      </c>
      <c r="F902" s="456"/>
      <c r="G902" s="456"/>
      <c r="H902" s="456"/>
    </row>
    <row r="903" spans="1:8" ht="13.5" customHeight="1">
      <c r="A903" s="471">
        <v>7899</v>
      </c>
      <c r="B903" s="540" t="s">
        <v>2942</v>
      </c>
      <c r="C903" s="471" t="s">
        <v>762</v>
      </c>
      <c r="D903" s="456">
        <f>IF(Table11[[#This Row],[Current Age]]&gt;19,"Women's",IF(E903&gt;15,"U19",IF(E903&gt;13,"U15",IF(E903&gt;11,"U13",IF(E903&gt;0,"U11",0)))))</f>
        <v>0</v>
      </c>
      <c r="E903" s="456">
        <f>IFERROR(IF(Table11[[#This Row],[Year]]&gt;0,$E$1-Table11[[#This Row],[Year]],0),"")</f>
        <v>0</v>
      </c>
      <c r="F903" s="456"/>
      <c r="G903" s="456"/>
      <c r="H903" s="456"/>
    </row>
    <row r="904" spans="1:8" ht="13.5" customHeight="1">
      <c r="A904" s="456">
        <v>7900</v>
      </c>
      <c r="B904" s="457" t="s">
        <v>2943</v>
      </c>
      <c r="C904" s="456" t="s">
        <v>762</v>
      </c>
      <c r="D904" s="456">
        <f>IF(Table11[[#This Row],[Current Age]]&gt;19,"Women's",IF(E904&gt;15,"U19",IF(E904&gt;13,"U15",IF(E904&gt;11,"U13",IF(E904&gt;0,"U11",0)))))</f>
        <v>0</v>
      </c>
      <c r="E904" s="456">
        <f>IFERROR(IF(Table11[[#This Row],[Year]]&gt;0,$E$1-Table11[[#This Row],[Year]],0),"")</f>
        <v>0</v>
      </c>
      <c r="F904" s="456"/>
      <c r="G904" s="456"/>
      <c r="H904" s="456"/>
    </row>
    <row r="905" spans="1:8" ht="13.5" customHeight="1">
      <c r="A905" s="471">
        <v>7901</v>
      </c>
      <c r="B905" s="540" t="s">
        <v>2944</v>
      </c>
      <c r="C905" s="471" t="s">
        <v>762</v>
      </c>
      <c r="D905" s="456">
        <f>IF(Table11[[#This Row],[Current Age]]&gt;19,"Women's",IF(E905&gt;15,"U19",IF(E905&gt;13,"U15",IF(E905&gt;11,"U13",IF(E905&gt;0,"U11",0)))))</f>
        <v>0</v>
      </c>
      <c r="E905" s="456">
        <f>IFERROR(IF(Table11[[#This Row],[Year]]&gt;0,$E$1-Table11[[#This Row],[Year]],0),"")</f>
        <v>0</v>
      </c>
      <c r="F905" s="456"/>
      <c r="G905" s="456"/>
      <c r="H905" s="456"/>
    </row>
    <row r="906" spans="1:8" ht="13.5" customHeight="1">
      <c r="A906" s="456">
        <v>7902</v>
      </c>
      <c r="B906" s="457" t="s">
        <v>2945</v>
      </c>
      <c r="C906" s="456" t="s">
        <v>762</v>
      </c>
      <c r="D906" s="456">
        <f>IF(Table11[[#This Row],[Current Age]]&gt;19,"Women's",IF(E906&gt;15,"U19",IF(E906&gt;13,"U15",IF(E906&gt;11,"U13",IF(E906&gt;0,"U11",0)))))</f>
        <v>0</v>
      </c>
      <c r="E906" s="456">
        <f>IFERROR(IF(Table11[[#This Row],[Year]]&gt;0,$E$1-Table11[[#This Row],[Year]],0),"")</f>
        <v>0</v>
      </c>
      <c r="F906" s="456"/>
      <c r="G906" s="456"/>
      <c r="H906" s="456"/>
    </row>
    <row r="907" spans="1:8" ht="13.5" customHeight="1">
      <c r="A907" s="471">
        <v>7903</v>
      </c>
      <c r="B907" s="540" t="s">
        <v>2946</v>
      </c>
      <c r="C907" s="471" t="s">
        <v>762</v>
      </c>
      <c r="D907" s="456">
        <f>IF(Table11[[#This Row],[Current Age]]&gt;19,"Women's",IF(E907&gt;15,"U19",IF(E907&gt;13,"U15",IF(E907&gt;11,"U13",IF(E907&gt;0,"U11",0)))))</f>
        <v>0</v>
      </c>
      <c r="E907" s="456">
        <f>IFERROR(IF(Table11[[#This Row],[Year]]&gt;0,$E$1-Table11[[#This Row],[Year]],0),"")</f>
        <v>0</v>
      </c>
      <c r="F907" s="456"/>
      <c r="G907" s="456"/>
      <c r="H907" s="456"/>
    </row>
    <row r="908" spans="1:8" ht="13.5" customHeight="1">
      <c r="A908" s="456">
        <v>7904</v>
      </c>
      <c r="B908" s="457" t="s">
        <v>2947</v>
      </c>
      <c r="C908" s="456" t="s">
        <v>762</v>
      </c>
      <c r="D908" s="456">
        <f>IF(Table11[[#This Row],[Current Age]]&gt;19,"Women's",IF(E908&gt;15,"U19",IF(E908&gt;13,"U15",IF(E908&gt;11,"U13",IF(E908&gt;0,"U11",0)))))</f>
        <v>0</v>
      </c>
      <c r="E908" s="456">
        <f>IFERROR(IF(Table11[[#This Row],[Year]]&gt;0,$E$1-Table11[[#This Row],[Year]],0),"")</f>
        <v>0</v>
      </c>
      <c r="F908" s="456"/>
      <c r="G908" s="456"/>
      <c r="H908" s="456"/>
    </row>
    <row r="909" spans="1:8" ht="13.5" customHeight="1">
      <c r="A909" s="471">
        <v>7905</v>
      </c>
      <c r="B909" s="540" t="s">
        <v>2948</v>
      </c>
      <c r="C909" s="471" t="s">
        <v>762</v>
      </c>
      <c r="D909" s="456">
        <f>IF(Table11[[#This Row],[Current Age]]&gt;19,"Women's",IF(E909&gt;15,"U19",IF(E909&gt;13,"U15",IF(E909&gt;11,"U13",IF(E909&gt;0,"U11",0)))))</f>
        <v>0</v>
      </c>
      <c r="E909" s="456">
        <f>IFERROR(IF(Table11[[#This Row],[Year]]&gt;0,$E$1-Table11[[#This Row],[Year]],0),"")</f>
        <v>0</v>
      </c>
      <c r="F909" s="456"/>
      <c r="G909" s="456"/>
      <c r="H909" s="456"/>
    </row>
    <row r="910" spans="1:8" ht="13.5" customHeight="1">
      <c r="A910" s="456">
        <v>7906</v>
      </c>
      <c r="B910" s="457" t="s">
        <v>2949</v>
      </c>
      <c r="C910" s="456" t="s">
        <v>762</v>
      </c>
      <c r="D910" s="456">
        <f>IF(Table11[[#This Row],[Current Age]]&gt;19,"Women's",IF(E910&gt;15,"U19",IF(E910&gt;13,"U15",IF(E910&gt;11,"U13",IF(E910&gt;0,"U11",0)))))</f>
        <v>0</v>
      </c>
      <c r="E910" s="456">
        <f>IFERROR(IF(Table11[[#This Row],[Year]]&gt;0,$E$1-Table11[[#This Row],[Year]],0),"")</f>
        <v>0</v>
      </c>
      <c r="F910" s="456"/>
      <c r="G910" s="456"/>
      <c r="H910" s="456"/>
    </row>
    <row r="911" spans="1:8" ht="13.5" customHeight="1">
      <c r="A911" s="471">
        <v>7907</v>
      </c>
      <c r="B911" s="540" t="s">
        <v>2961</v>
      </c>
      <c r="C911" s="471" t="s">
        <v>361</v>
      </c>
      <c r="D911" s="456">
        <f>IF(Table11[[#This Row],[Current Age]]&gt;19,"Women's",IF(E911&gt;15,"U19",IF(E911&gt;13,"U15",IF(E911&gt;11,"U13",IF(E911&gt;0,"U11",0)))))</f>
        <v>0</v>
      </c>
      <c r="E911" s="456">
        <f>IFERROR(IF(Table11[[#This Row],[Year]]&gt;0,$E$1-Table11[[#This Row],[Year]],0),"")</f>
        <v>0</v>
      </c>
      <c r="F911" s="456"/>
      <c r="G911" s="456"/>
      <c r="H911" s="456"/>
    </row>
    <row r="912" spans="1:8" ht="13.5" customHeight="1">
      <c r="A912" s="456">
        <v>7908</v>
      </c>
      <c r="B912" s="457" t="s">
        <v>2962</v>
      </c>
      <c r="C912" s="456" t="s">
        <v>361</v>
      </c>
      <c r="D912" s="456">
        <f>IF(Table11[[#This Row],[Current Age]]&gt;19,"Women's",IF(E912&gt;15,"U19",IF(E912&gt;13,"U15",IF(E912&gt;11,"U13",IF(E912&gt;0,"U11",0)))))</f>
        <v>0</v>
      </c>
      <c r="E912" s="456">
        <f>IFERROR(IF(Table11[[#This Row],[Year]]&gt;0,$E$1-Table11[[#This Row],[Year]],0),"")</f>
        <v>0</v>
      </c>
      <c r="F912" s="456"/>
      <c r="G912" s="456"/>
      <c r="H912" s="456"/>
    </row>
    <row r="913" spans="1:8" ht="13.5" customHeight="1">
      <c r="A913" s="471">
        <v>7909</v>
      </c>
      <c r="B913" s="540" t="s">
        <v>2963</v>
      </c>
      <c r="C913" s="471" t="s">
        <v>361</v>
      </c>
      <c r="D913" s="456">
        <f>IF(Table11[[#This Row],[Current Age]]&gt;19,"Women's",IF(E913&gt;15,"U19",IF(E913&gt;13,"U15",IF(E913&gt;11,"U13",IF(E913&gt;0,"U11",0)))))</f>
        <v>0</v>
      </c>
      <c r="E913" s="456">
        <f>IFERROR(IF(Table11[[#This Row],[Year]]&gt;0,$E$1-Table11[[#This Row],[Year]],0),"")</f>
        <v>0</v>
      </c>
      <c r="F913" s="456"/>
      <c r="G913" s="456"/>
      <c r="H913" s="456"/>
    </row>
    <row r="914" spans="1:8" ht="13.5" customHeight="1">
      <c r="A914" s="456">
        <v>7910</v>
      </c>
      <c r="B914" s="457" t="s">
        <v>2964</v>
      </c>
      <c r="C914" s="456" t="s">
        <v>244</v>
      </c>
      <c r="D914" s="456">
        <f>IF(Table11[[#This Row],[Current Age]]&gt;19,"Women's",IF(E914&gt;15,"U19",IF(E914&gt;13,"U15",IF(E914&gt;11,"U13",IF(E914&gt;0,"U11",0)))))</f>
        <v>0</v>
      </c>
      <c r="E914" s="456">
        <f>IFERROR(IF(Table11[[#This Row],[Year]]&gt;0,$E$1-Table11[[#This Row],[Year]],0),"")</f>
        <v>0</v>
      </c>
      <c r="F914" s="456"/>
      <c r="G914" s="456"/>
      <c r="H914" s="456"/>
    </row>
    <row r="915" spans="1:8" ht="13.5" customHeight="1">
      <c r="A915" s="471">
        <v>7911</v>
      </c>
      <c r="B915" s="540" t="s">
        <v>2965</v>
      </c>
      <c r="C915" s="471" t="s">
        <v>244</v>
      </c>
      <c r="D915" s="456">
        <f>IF(Table11[[#This Row],[Current Age]]&gt;19,"Women's",IF(E915&gt;15,"U19",IF(E915&gt;13,"U15",IF(E915&gt;11,"U13",IF(E915&gt;0,"U11",0)))))</f>
        <v>0</v>
      </c>
      <c r="E915" s="456">
        <f>IFERROR(IF(Table11[[#This Row],[Year]]&gt;0,$E$1-Table11[[#This Row],[Year]],0),"")</f>
        <v>0</v>
      </c>
      <c r="F915" s="456"/>
      <c r="G915" s="456"/>
      <c r="H915" s="456"/>
    </row>
    <row r="916" spans="1:8" ht="13.5" customHeight="1">
      <c r="A916" s="456">
        <v>7912</v>
      </c>
      <c r="B916" s="457" t="s">
        <v>2966</v>
      </c>
      <c r="C916" s="456" t="s">
        <v>244</v>
      </c>
      <c r="D916" s="456">
        <f>IF(Table11[[#This Row],[Current Age]]&gt;19,"Women's",IF(E916&gt;15,"U19",IF(E916&gt;13,"U15",IF(E916&gt;11,"U13",IF(E916&gt;0,"U11",0)))))</f>
        <v>0</v>
      </c>
      <c r="E916" s="456">
        <f>IFERROR(IF(Table11[[#This Row],[Year]]&gt;0,$E$1-Table11[[#This Row],[Year]],0),"")</f>
        <v>0</v>
      </c>
      <c r="F916" s="456"/>
      <c r="G916" s="456"/>
      <c r="H916" s="456"/>
    </row>
    <row r="917" spans="1:8" ht="13.5" customHeight="1">
      <c r="A917" s="471">
        <v>7913</v>
      </c>
      <c r="B917" s="540" t="s">
        <v>2988</v>
      </c>
      <c r="C917" s="471" t="s">
        <v>3346</v>
      </c>
      <c r="D917" s="456">
        <f>IF(Table11[[#This Row],[Current Age]]&gt;19,"Women's",IF(E917&gt;15,"U19",IF(E917&gt;13,"U15",IF(E917&gt;11,"U13",IF(E917&gt;0,"U11",0)))))</f>
        <v>0</v>
      </c>
      <c r="E917" s="456">
        <f>IFERROR(IF(Table11[[#This Row],[Year]]&gt;0,$E$1-Table11[[#This Row],[Year]],0),"")</f>
        <v>0</v>
      </c>
      <c r="F917" s="456"/>
      <c r="G917" s="456"/>
      <c r="H917" s="456"/>
    </row>
    <row r="918" spans="1:8" ht="13.5" customHeight="1">
      <c r="A918" s="456">
        <v>7914</v>
      </c>
      <c r="B918" s="457" t="s">
        <v>2989</v>
      </c>
      <c r="C918" s="456" t="s">
        <v>3346</v>
      </c>
      <c r="D918" s="456">
        <f>IF(Table11[[#This Row],[Current Age]]&gt;19,"Women's",IF(E918&gt;15,"U19",IF(E918&gt;13,"U15",IF(E918&gt;11,"U13",IF(E918&gt;0,"U11",0)))))</f>
        <v>0</v>
      </c>
      <c r="E918" s="456">
        <f>IFERROR(IF(Table11[[#This Row],[Year]]&gt;0,$E$1-Table11[[#This Row],[Year]],0),"")</f>
        <v>0</v>
      </c>
      <c r="F918" s="456"/>
      <c r="G918" s="456"/>
      <c r="H918" s="456"/>
    </row>
    <row r="919" spans="1:8" ht="13.5" customHeight="1">
      <c r="A919" s="471">
        <v>7915</v>
      </c>
      <c r="B919" s="540" t="s">
        <v>2990</v>
      </c>
      <c r="C919" s="471" t="s">
        <v>3346</v>
      </c>
      <c r="D919" s="456">
        <f>IF(Table11[[#This Row],[Current Age]]&gt;19,"Women's",IF(E919&gt;15,"U19",IF(E919&gt;13,"U15",IF(E919&gt;11,"U13",IF(E919&gt;0,"U11",0)))))</f>
        <v>0</v>
      </c>
      <c r="E919" s="456">
        <f>IFERROR(IF(Table11[[#This Row],[Year]]&gt;0,$E$1-Table11[[#This Row],[Year]],0),"")</f>
        <v>0</v>
      </c>
      <c r="F919" s="456"/>
      <c r="G919" s="456"/>
      <c r="H919" s="456"/>
    </row>
    <row r="920" spans="1:8" ht="13.5" customHeight="1">
      <c r="A920" s="456">
        <v>7916</v>
      </c>
      <c r="B920" s="457" t="s">
        <v>2991</v>
      </c>
      <c r="C920" s="456" t="s">
        <v>3346</v>
      </c>
      <c r="D920" s="456">
        <f>IF(Table11[[#This Row],[Current Age]]&gt;19,"Women's",IF(E920&gt;15,"U19",IF(E920&gt;13,"U15",IF(E920&gt;11,"U13",IF(E920&gt;0,"U11",0)))))</f>
        <v>0</v>
      </c>
      <c r="E920" s="456">
        <f>IFERROR(IF(Table11[[#This Row],[Year]]&gt;0,$E$1-Table11[[#This Row],[Year]],0),"")</f>
        <v>0</v>
      </c>
      <c r="F920" s="456"/>
      <c r="G920" s="456"/>
      <c r="H920" s="456"/>
    </row>
    <row r="921" spans="1:8" ht="13.5" customHeight="1">
      <c r="A921" s="471">
        <v>7917</v>
      </c>
      <c r="B921" s="540" t="s">
        <v>2992</v>
      </c>
      <c r="C921" s="471" t="s">
        <v>3346</v>
      </c>
      <c r="D921" s="456">
        <f>IF(Table11[[#This Row],[Current Age]]&gt;19,"Women's",IF(E921&gt;15,"U19",IF(E921&gt;13,"U15",IF(E921&gt;11,"U13",IF(E921&gt;0,"U11",0)))))</f>
        <v>0</v>
      </c>
      <c r="E921" s="456">
        <f>IFERROR(IF(Table11[[#This Row],[Year]]&gt;0,$E$1-Table11[[#This Row],[Year]],0),"")</f>
        <v>0</v>
      </c>
      <c r="F921" s="456"/>
      <c r="G921" s="456"/>
      <c r="H921" s="456"/>
    </row>
    <row r="922" spans="1:8" ht="13.5" customHeight="1">
      <c r="A922" s="456">
        <v>7918</v>
      </c>
      <c r="B922" s="457" t="s">
        <v>2993</v>
      </c>
      <c r="C922" s="456" t="s">
        <v>3346</v>
      </c>
      <c r="D922" s="456">
        <f>IF(Table11[[#This Row],[Current Age]]&gt;19,"Women's",IF(E922&gt;15,"U19",IF(E922&gt;13,"U15",IF(E922&gt;11,"U13",IF(E922&gt;0,"U11",0)))))</f>
        <v>0</v>
      </c>
      <c r="E922" s="456">
        <f>IFERROR(IF(Table11[[#This Row],[Year]]&gt;0,$E$1-Table11[[#This Row],[Year]],0),"")</f>
        <v>0</v>
      </c>
      <c r="F922" s="456"/>
      <c r="G922" s="456"/>
      <c r="H922" s="456"/>
    </row>
    <row r="923" spans="1:8" ht="13.5" customHeight="1">
      <c r="A923" s="471">
        <v>7919</v>
      </c>
      <c r="B923" s="540" t="s">
        <v>3021</v>
      </c>
      <c r="C923" s="471" t="s">
        <v>361</v>
      </c>
      <c r="D923" s="456">
        <f>IF(Table11[[#This Row],[Current Age]]&gt;19,"Women's",IF(E923&gt;15,"U19",IF(E923&gt;13,"U15",IF(E923&gt;11,"U13",IF(E923&gt;0,"U11",0)))))</f>
        <v>0</v>
      </c>
      <c r="E923" s="456">
        <f>IFERROR(IF(Table11[[#This Row],[Year]]&gt;0,$E$1-Table11[[#This Row],[Year]],0),"")</f>
        <v>0</v>
      </c>
      <c r="F923" s="456"/>
      <c r="G923" s="456"/>
      <c r="H923" s="456"/>
    </row>
    <row r="924" spans="1:8" ht="13.5" customHeight="1">
      <c r="A924" s="456">
        <v>7920</v>
      </c>
      <c r="B924" s="457" t="s">
        <v>3038</v>
      </c>
      <c r="C924" s="456" t="s">
        <v>247</v>
      </c>
      <c r="D924" s="456">
        <f>IF(Table11[[#This Row],[Current Age]]&gt;19,"Women's",IF(E924&gt;15,"U19",IF(E924&gt;13,"U15",IF(E924&gt;11,"U13",IF(E924&gt;0,"U11",0)))))</f>
        <v>0</v>
      </c>
      <c r="E924" s="456">
        <f>IFERROR(IF(Table11[[#This Row],[Year]]&gt;0,$E$1-Table11[[#This Row],[Year]],0),"")</f>
        <v>0</v>
      </c>
      <c r="F924" s="456"/>
      <c r="G924" s="456"/>
      <c r="H924" s="456"/>
    </row>
    <row r="925" spans="1:8" ht="13.5" customHeight="1">
      <c r="A925" s="471">
        <v>7921</v>
      </c>
      <c r="B925" s="540" t="s">
        <v>3039</v>
      </c>
      <c r="C925" s="471" t="s">
        <v>247</v>
      </c>
      <c r="D925" s="456">
        <f>IF(Table11[[#This Row],[Current Age]]&gt;19,"Women's",IF(E925&gt;15,"U19",IF(E925&gt;13,"U15",IF(E925&gt;11,"U13",IF(E925&gt;0,"U11",0)))))</f>
        <v>0</v>
      </c>
      <c r="E925" s="456">
        <f>IFERROR(IF(Table11[[#This Row],[Year]]&gt;0,$E$1-Table11[[#This Row],[Year]],0),"")</f>
        <v>0</v>
      </c>
      <c r="F925" s="456"/>
      <c r="G925" s="456"/>
      <c r="H925" s="456"/>
    </row>
    <row r="926" spans="1:8" ht="13.5" customHeight="1">
      <c r="A926" s="456">
        <v>7922</v>
      </c>
      <c r="B926" s="457" t="s">
        <v>3040</v>
      </c>
      <c r="C926" s="456" t="s">
        <v>247</v>
      </c>
      <c r="D926" s="456">
        <f>IF(Table11[[#This Row],[Current Age]]&gt;19,"Women's",IF(E926&gt;15,"U19",IF(E926&gt;13,"U15",IF(E926&gt;11,"U13",IF(E926&gt;0,"U11",0)))))</f>
        <v>0</v>
      </c>
      <c r="E926" s="456">
        <f>IFERROR(IF(Table11[[#This Row],[Year]]&gt;0,$E$1-Table11[[#This Row],[Year]],0),"")</f>
        <v>0</v>
      </c>
      <c r="F926" s="456"/>
      <c r="G926" s="456"/>
      <c r="H926" s="456"/>
    </row>
    <row r="927" spans="1:8" ht="13.5" customHeight="1">
      <c r="A927" s="471">
        <v>7923</v>
      </c>
      <c r="B927" s="540" t="s">
        <v>3041</v>
      </c>
      <c r="C927" s="471" t="s">
        <v>247</v>
      </c>
      <c r="D927" s="456">
        <f>IF(Table11[[#This Row],[Current Age]]&gt;19,"Women's",IF(E927&gt;15,"U19",IF(E927&gt;13,"U15",IF(E927&gt;11,"U13",IF(E927&gt;0,"U11",0)))))</f>
        <v>0</v>
      </c>
      <c r="E927" s="456">
        <f>IFERROR(IF(Table11[[#This Row],[Year]]&gt;0,$E$1-Table11[[#This Row],[Year]],0),"")</f>
        <v>0</v>
      </c>
      <c r="F927" s="456"/>
      <c r="G927" s="456"/>
      <c r="H927" s="456"/>
    </row>
    <row r="928" spans="1:8" ht="13.5" customHeight="1">
      <c r="A928" s="456">
        <v>7924</v>
      </c>
      <c r="B928" s="457" t="s">
        <v>3042</v>
      </c>
      <c r="C928" s="456" t="s">
        <v>247</v>
      </c>
      <c r="D928" s="456">
        <f>IF(Table11[[#This Row],[Current Age]]&gt;19,"Women's",IF(E928&gt;15,"U19",IF(E928&gt;13,"U15",IF(E928&gt;11,"U13",IF(E928&gt;0,"U11",0)))))</f>
        <v>0</v>
      </c>
      <c r="E928" s="456">
        <f>IFERROR(IF(Table11[[#This Row],[Year]]&gt;0,$E$1-Table11[[#This Row],[Year]],0),"")</f>
        <v>0</v>
      </c>
      <c r="F928" s="456"/>
      <c r="G928" s="456"/>
      <c r="H928" s="456"/>
    </row>
    <row r="929" spans="1:8" ht="13.5" customHeight="1">
      <c r="A929" s="471">
        <v>7925</v>
      </c>
      <c r="B929" s="540" t="s">
        <v>3043</v>
      </c>
      <c r="C929" s="471" t="s">
        <v>247</v>
      </c>
      <c r="D929" s="456">
        <f>IF(Table11[[#This Row],[Current Age]]&gt;19,"Women's",IF(E929&gt;15,"U19",IF(E929&gt;13,"U15",IF(E929&gt;11,"U13",IF(E929&gt;0,"U11",0)))))</f>
        <v>0</v>
      </c>
      <c r="E929" s="456">
        <f>IFERROR(IF(Table11[[#This Row],[Year]]&gt;0,$E$1-Table11[[#This Row],[Year]],0),"")</f>
        <v>0</v>
      </c>
      <c r="F929" s="456"/>
      <c r="G929" s="456"/>
      <c r="H929" s="456"/>
    </row>
    <row r="930" spans="1:8" ht="13.5" customHeight="1">
      <c r="A930" s="456">
        <v>7926</v>
      </c>
      <c r="B930" s="457" t="s">
        <v>3055</v>
      </c>
      <c r="C930" s="456" t="s">
        <v>762</v>
      </c>
      <c r="D930" s="456">
        <f>IF(Table11[[#This Row],[Current Age]]&gt;19,"Women's",IF(E930&gt;15,"U19",IF(E930&gt;13,"U15",IF(E930&gt;11,"U13",IF(E930&gt;0,"U11",0)))))</f>
        <v>0</v>
      </c>
      <c r="E930" s="456">
        <f>IFERROR(IF(Table11[[#This Row],[Year]]&gt;0,$E$1-Table11[[#This Row],[Year]],0),"")</f>
        <v>0</v>
      </c>
      <c r="F930" s="456"/>
      <c r="G930" s="456"/>
      <c r="H930" s="456"/>
    </row>
    <row r="931" spans="1:8" ht="13.5" customHeight="1">
      <c r="A931" s="471">
        <v>7927</v>
      </c>
      <c r="B931" s="540" t="s">
        <v>3056</v>
      </c>
      <c r="C931" s="471" t="s">
        <v>762</v>
      </c>
      <c r="D931" s="456">
        <f>IF(Table11[[#This Row],[Current Age]]&gt;19,"Women's",IF(E931&gt;15,"U19",IF(E931&gt;13,"U15",IF(E931&gt;11,"U13",IF(E931&gt;0,"U11",0)))))</f>
        <v>0</v>
      </c>
      <c r="E931" s="456">
        <f>IFERROR(IF(Table11[[#This Row],[Year]]&gt;0,$E$1-Table11[[#This Row],[Year]],0),"")</f>
        <v>0</v>
      </c>
      <c r="F931" s="456"/>
      <c r="G931" s="456"/>
      <c r="H931" s="456"/>
    </row>
    <row r="932" spans="1:8" ht="13.5" customHeight="1">
      <c r="A932" s="456">
        <v>7928</v>
      </c>
      <c r="B932" s="457" t="s">
        <v>3057</v>
      </c>
      <c r="C932" s="456" t="s">
        <v>251</v>
      </c>
      <c r="D932" s="456">
        <f>IF(Table11[[#This Row],[Current Age]]&gt;19,"Women's",IF(E932&gt;15,"U19",IF(E932&gt;13,"U15",IF(E932&gt;11,"U13",IF(E932&gt;0,"U11",0)))))</f>
        <v>0</v>
      </c>
      <c r="E932" s="456">
        <f>IFERROR(IF(Table11[[#This Row],[Year]]&gt;0,$E$1-Table11[[#This Row],[Year]],0),"")</f>
        <v>0</v>
      </c>
      <c r="F932" s="456"/>
      <c r="G932" s="456"/>
      <c r="H932" s="456"/>
    </row>
    <row r="933" spans="1:8" ht="13.5" customHeight="1">
      <c r="A933" s="471">
        <v>7929</v>
      </c>
      <c r="B933" s="540" t="s">
        <v>3066</v>
      </c>
      <c r="C933" s="471" t="s">
        <v>4720</v>
      </c>
      <c r="D933" s="456">
        <f>IF(Table11[[#This Row],[Current Age]]&gt;19,"Women's",IF(E933&gt;15,"U19",IF(E933&gt;13,"U15",IF(E933&gt;11,"U13",IF(E933&gt;0,"U11",0)))))</f>
        <v>0</v>
      </c>
      <c r="E933" s="456">
        <f>IFERROR(IF(Table11[[#This Row],[Year]]&gt;0,$E$1-Table11[[#This Row],[Year]],0),"")</f>
        <v>0</v>
      </c>
      <c r="F933" s="456"/>
      <c r="G933" s="456"/>
      <c r="H933" s="456"/>
    </row>
    <row r="934" spans="1:8" ht="13.5" customHeight="1">
      <c r="A934" s="456">
        <v>7930</v>
      </c>
      <c r="B934" s="457" t="s">
        <v>3068</v>
      </c>
      <c r="C934" s="456" t="s">
        <v>251</v>
      </c>
      <c r="D934" s="456">
        <f>IF(Table11[[#This Row],[Current Age]]&gt;19,"Women's",IF(E934&gt;15,"U19",IF(E934&gt;13,"U15",IF(E934&gt;11,"U13",IF(E934&gt;0,"U11",0)))))</f>
        <v>0</v>
      </c>
      <c r="E934" s="456">
        <f>IFERROR(IF(Table11[[#This Row],[Year]]&gt;0,$E$1-Table11[[#This Row],[Year]],0),"")</f>
        <v>0</v>
      </c>
      <c r="F934" s="456"/>
      <c r="G934" s="456"/>
      <c r="H934" s="456"/>
    </row>
    <row r="935" spans="1:8" ht="13.5" customHeight="1">
      <c r="A935" s="471">
        <v>7931</v>
      </c>
      <c r="B935" s="540" t="s">
        <v>3092</v>
      </c>
      <c r="C935" s="471" t="s">
        <v>247</v>
      </c>
      <c r="D935" s="456">
        <f>IF(Table11[[#This Row],[Current Age]]&gt;19,"Women's",IF(E935&gt;15,"U19",IF(E935&gt;13,"U15",IF(E935&gt;11,"U13",IF(E935&gt;0,"U11",0)))))</f>
        <v>0</v>
      </c>
      <c r="E935" s="456">
        <f>IFERROR(IF(Table11[[#This Row],[Year]]&gt;0,$E$1-Table11[[#This Row],[Year]],0),"")</f>
        <v>0</v>
      </c>
      <c r="F935" s="456"/>
      <c r="G935" s="456"/>
      <c r="H935" s="456"/>
    </row>
    <row r="936" spans="1:8" ht="13.5" customHeight="1">
      <c r="A936" s="456">
        <v>7932</v>
      </c>
      <c r="B936" s="457" t="s">
        <v>3091</v>
      </c>
      <c r="C936" s="456" t="s">
        <v>247</v>
      </c>
      <c r="D936" s="456">
        <f>IF(Table11[[#This Row],[Current Age]]&gt;19,"Women's",IF(E936&gt;15,"U19",IF(E936&gt;13,"U15",IF(E936&gt;11,"U13",IF(E936&gt;0,"U11",0)))))</f>
        <v>0</v>
      </c>
      <c r="E936" s="456">
        <f>IFERROR(IF(Table11[[#This Row],[Year]]&gt;0,$E$1-Table11[[#This Row],[Year]],0),"")</f>
        <v>0</v>
      </c>
      <c r="F936" s="456"/>
      <c r="G936" s="456"/>
      <c r="H936" s="456"/>
    </row>
    <row r="937" spans="1:8" ht="13.5" customHeight="1">
      <c r="A937" s="471">
        <v>7933</v>
      </c>
      <c r="B937" s="540" t="s">
        <v>3093</v>
      </c>
      <c r="C937" s="471" t="s">
        <v>247</v>
      </c>
      <c r="D937" s="456">
        <f>IF(Table11[[#This Row],[Current Age]]&gt;19,"Women's",IF(E937&gt;15,"U19",IF(E937&gt;13,"U15",IF(E937&gt;11,"U13",IF(E937&gt;0,"U11",0)))))</f>
        <v>0</v>
      </c>
      <c r="E937" s="456">
        <f>IFERROR(IF(Table11[[#This Row],[Year]]&gt;0,$E$1-Table11[[#This Row],[Year]],0),"")</f>
        <v>0</v>
      </c>
      <c r="F937" s="456"/>
      <c r="G937" s="456"/>
      <c r="H937" s="456"/>
    </row>
    <row r="938" spans="1:8" ht="13.5" customHeight="1">
      <c r="A938" s="456">
        <v>7934</v>
      </c>
      <c r="B938" s="457" t="s">
        <v>3090</v>
      </c>
      <c r="C938" s="456" t="s">
        <v>247</v>
      </c>
      <c r="D938" s="456">
        <f>IF(Table11[[#This Row],[Current Age]]&gt;19,"Women's",IF(E938&gt;15,"U19",IF(E938&gt;13,"U15",IF(E938&gt;11,"U13",IF(E938&gt;0,"U11",0)))))</f>
        <v>0</v>
      </c>
      <c r="E938" s="456">
        <f>IFERROR(IF(Table11[[#This Row],[Year]]&gt;0,$E$1-Table11[[#This Row],[Year]],0),"")</f>
        <v>0</v>
      </c>
      <c r="F938" s="456"/>
      <c r="G938" s="456"/>
      <c r="H938" s="456"/>
    </row>
    <row r="939" spans="1:8" ht="13.5" customHeight="1">
      <c r="A939" s="471">
        <v>7935</v>
      </c>
      <c r="B939" s="540" t="s">
        <v>3089</v>
      </c>
      <c r="C939" s="471" t="s">
        <v>247</v>
      </c>
      <c r="D939" s="456">
        <f>IF(Table11[[#This Row],[Current Age]]&gt;19,"Women's",IF(E939&gt;15,"U19",IF(E939&gt;13,"U15",IF(E939&gt;11,"U13",IF(E939&gt;0,"U11",0)))))</f>
        <v>0</v>
      </c>
      <c r="E939" s="456">
        <f>IFERROR(IF(Table11[[#This Row],[Year]]&gt;0,$E$1-Table11[[#This Row],[Year]],0),"")</f>
        <v>0</v>
      </c>
      <c r="F939" s="456"/>
      <c r="G939" s="456"/>
      <c r="H939" s="456"/>
    </row>
    <row r="940" spans="1:8" ht="13.5" customHeight="1">
      <c r="A940" s="456">
        <v>7936</v>
      </c>
      <c r="B940" s="457" t="s">
        <v>3088</v>
      </c>
      <c r="C940" s="456" t="s">
        <v>247</v>
      </c>
      <c r="D940" s="456">
        <f>IF(Table11[[#This Row],[Current Age]]&gt;19,"Women's",IF(E940&gt;15,"U19",IF(E940&gt;13,"U15",IF(E940&gt;11,"U13",IF(E940&gt;0,"U11",0)))))</f>
        <v>0</v>
      </c>
      <c r="E940" s="456">
        <f>IFERROR(IF(Table11[[#This Row],[Year]]&gt;0,$E$1-Table11[[#This Row],[Year]],0),"")</f>
        <v>0</v>
      </c>
      <c r="F940" s="456"/>
      <c r="G940" s="456"/>
      <c r="H940" s="456"/>
    </row>
    <row r="941" spans="1:8" ht="13.5" customHeight="1">
      <c r="A941" s="471">
        <v>7937</v>
      </c>
      <c r="B941" s="540" t="s">
        <v>3087</v>
      </c>
      <c r="C941" s="471" t="s">
        <v>247</v>
      </c>
      <c r="D941" s="456">
        <f>IF(Table11[[#This Row],[Current Age]]&gt;19,"Women's",IF(E941&gt;15,"U19",IF(E941&gt;13,"U15",IF(E941&gt;11,"U13",IF(E941&gt;0,"U11",0)))))</f>
        <v>0</v>
      </c>
      <c r="E941" s="456">
        <f>IFERROR(IF(Table11[[#This Row],[Year]]&gt;0,$E$1-Table11[[#This Row],[Year]],0),"")</f>
        <v>0</v>
      </c>
      <c r="F941" s="456"/>
      <c r="G941" s="456"/>
      <c r="H941" s="456"/>
    </row>
    <row r="942" spans="1:8" ht="13.5" customHeight="1">
      <c r="A942" s="456">
        <v>7938</v>
      </c>
      <c r="B942" s="457" t="s">
        <v>3086</v>
      </c>
      <c r="C942" s="456" t="s">
        <v>247</v>
      </c>
      <c r="D942" s="456">
        <f>IF(Table11[[#This Row],[Current Age]]&gt;19,"Women's",IF(E942&gt;15,"U19",IF(E942&gt;13,"U15",IF(E942&gt;11,"U13",IF(E942&gt;0,"U11",0)))))</f>
        <v>0</v>
      </c>
      <c r="E942" s="456">
        <f>IFERROR(IF(Table11[[#This Row],[Year]]&gt;0,$E$1-Table11[[#This Row],[Year]],0),"")</f>
        <v>0</v>
      </c>
      <c r="F942" s="456"/>
      <c r="G942" s="456"/>
      <c r="H942" s="456"/>
    </row>
    <row r="943" spans="1:8" ht="13.5" customHeight="1">
      <c r="A943" s="471">
        <v>7939</v>
      </c>
      <c r="B943" s="540" t="s">
        <v>3085</v>
      </c>
      <c r="C943" s="471" t="s">
        <v>247</v>
      </c>
      <c r="D943" s="456">
        <f>IF(Table11[[#This Row],[Current Age]]&gt;19,"Women's",IF(E943&gt;15,"U19",IF(E943&gt;13,"U15",IF(E943&gt;11,"U13",IF(E943&gt;0,"U11",0)))))</f>
        <v>0</v>
      </c>
      <c r="E943" s="456">
        <f>IFERROR(IF(Table11[[#This Row],[Year]]&gt;0,$E$1-Table11[[#This Row],[Year]],0),"")</f>
        <v>0</v>
      </c>
      <c r="F943" s="456"/>
      <c r="G943" s="456"/>
      <c r="H943" s="456"/>
    </row>
    <row r="944" spans="1:8" ht="13.5" customHeight="1">
      <c r="A944" s="456">
        <v>7940</v>
      </c>
      <c r="B944" s="457" t="s">
        <v>3100</v>
      </c>
      <c r="C944" s="456" t="s">
        <v>762</v>
      </c>
      <c r="D944" s="456" t="str">
        <f>IF(Table11[[#This Row],[Current Age]]&gt;19,"Women's",IF(E944&gt;15,"U19",IF(E944&gt;13,"U15",IF(E944&gt;11,"U13",IF(E944&gt;0,"U11",0)))))</f>
        <v>Women's</v>
      </c>
      <c r="E944" s="456">
        <f>IFERROR(IF(Table11[[#This Row],[Year]]&gt;0,$E$1-Table11[[#This Row],[Year]],0),"")</f>
        <v>20</v>
      </c>
      <c r="F944" s="456">
        <v>2005</v>
      </c>
      <c r="G944" s="456">
        <v>2</v>
      </c>
      <c r="H944" s="456">
        <v>28</v>
      </c>
    </row>
    <row r="945" spans="1:8" ht="13.5" customHeight="1">
      <c r="A945" s="471">
        <v>7941</v>
      </c>
      <c r="B945" s="540" t="s">
        <v>3101</v>
      </c>
      <c r="C945" s="471" t="s">
        <v>762</v>
      </c>
      <c r="D945" s="456">
        <f>IF(Table11[[#This Row],[Current Age]]&gt;19,"Women's",IF(E945&gt;15,"U19",IF(E945&gt;13,"U15",IF(E945&gt;11,"U13",IF(E945&gt;0,"U11",0)))))</f>
        <v>0</v>
      </c>
      <c r="E945" s="456">
        <f>IFERROR(IF(Table11[[#This Row],[Year]]&gt;0,$E$1-Table11[[#This Row],[Year]],0),"")</f>
        <v>0</v>
      </c>
      <c r="F945" s="456"/>
      <c r="G945" s="456"/>
      <c r="H945" s="456"/>
    </row>
    <row r="946" spans="1:8" ht="13.5" customHeight="1">
      <c r="A946" s="456">
        <v>7942</v>
      </c>
      <c r="B946" s="457" t="s">
        <v>3102</v>
      </c>
      <c r="C946" s="456" t="s">
        <v>762</v>
      </c>
      <c r="D946" s="456">
        <f>IF(Table11[[#This Row],[Current Age]]&gt;19,"Women's",IF(E946&gt;15,"U19",IF(E946&gt;13,"U15",IF(E946&gt;11,"U13",IF(E946&gt;0,"U11",0)))))</f>
        <v>0</v>
      </c>
      <c r="E946" s="456">
        <f>IFERROR(IF(Table11[[#This Row],[Year]]&gt;0,$E$1-Table11[[#This Row],[Year]],0),"")</f>
        <v>0</v>
      </c>
      <c r="F946" s="456"/>
      <c r="G946" s="456"/>
      <c r="H946" s="456"/>
    </row>
    <row r="947" spans="1:8" ht="13.5" customHeight="1">
      <c r="A947" s="471">
        <v>7943</v>
      </c>
      <c r="B947" s="540" t="s">
        <v>3104</v>
      </c>
      <c r="C947" s="471" t="s">
        <v>4720</v>
      </c>
      <c r="D947" s="456" t="str">
        <f>IF(Table11[[#This Row],[Current Age]]&gt;19,"Women's",IF(E947&gt;15,"U19",IF(E947&gt;13,"U15",IF(E947&gt;11,"U13",IF(E947&gt;0,"U11",0)))))</f>
        <v>U19</v>
      </c>
      <c r="E947" s="456">
        <f>IFERROR(IF(Table11[[#This Row],[Year]]&gt;0,$E$1-Table11[[#This Row],[Year]],0),"")</f>
        <v>17</v>
      </c>
      <c r="F947" s="456">
        <v>2008</v>
      </c>
      <c r="G947" s="456">
        <v>3</v>
      </c>
      <c r="H947" s="456">
        <v>11</v>
      </c>
    </row>
    <row r="948" spans="1:8" ht="13.5" customHeight="1">
      <c r="A948" s="456">
        <v>7944</v>
      </c>
      <c r="B948" s="457" t="s">
        <v>3105</v>
      </c>
      <c r="C948" s="456" t="s">
        <v>4720</v>
      </c>
      <c r="D948" s="456" t="str">
        <f>IF(Table11[[#This Row],[Current Age]]&gt;19,"Women's",IF(E948&gt;15,"U19",IF(E948&gt;13,"U15",IF(E948&gt;11,"U13",IF(E948&gt;0,"U11",0)))))</f>
        <v>U19</v>
      </c>
      <c r="E948" s="456">
        <f>IFERROR(IF(Table11[[#This Row],[Year]]&gt;0,$E$1-Table11[[#This Row],[Year]],0),"")</f>
        <v>18</v>
      </c>
      <c r="F948" s="456">
        <v>2007</v>
      </c>
      <c r="G948" s="456">
        <v>10</v>
      </c>
      <c r="H948" s="456">
        <v>24</v>
      </c>
    </row>
    <row r="949" spans="1:8" ht="13.5" customHeight="1">
      <c r="A949" s="471">
        <v>7945</v>
      </c>
      <c r="B949" s="540" t="s">
        <v>3106</v>
      </c>
      <c r="C949" s="471" t="s">
        <v>362</v>
      </c>
      <c r="D949" s="456" t="str">
        <f>IF(Table11[[#This Row],[Current Age]]&gt;19,"Women's",IF(E949&gt;15,"U19",IF(E949&gt;13,"U15",IF(E949&gt;11,"U13",IF(E949&gt;0,"U11",0)))))</f>
        <v>U19</v>
      </c>
      <c r="E949" s="456">
        <f>IFERROR(IF(Table11[[#This Row],[Year]]&gt;0,$E$1-Table11[[#This Row],[Year]],0),"")</f>
        <v>18</v>
      </c>
      <c r="F949" s="456">
        <v>2007</v>
      </c>
      <c r="G949" s="456">
        <v>3</v>
      </c>
      <c r="H949" s="456">
        <v>12</v>
      </c>
    </row>
    <row r="950" spans="1:8" ht="13.5" customHeight="1">
      <c r="A950" s="456">
        <v>7946</v>
      </c>
      <c r="B950" s="457" t="s">
        <v>3111</v>
      </c>
      <c r="C950" s="456" t="s">
        <v>244</v>
      </c>
      <c r="D950" s="456" t="str">
        <f>IF(Table11[[#This Row],[Current Age]]&gt;19,"Women's",IF(E950&gt;15,"U19",IF(E950&gt;13,"U15",IF(E950&gt;11,"U13",IF(E950&gt;0,"U11",0)))))</f>
        <v>Women's</v>
      </c>
      <c r="E950" s="456">
        <f>IFERROR(IF(Table11[[#This Row],[Year]]&gt;0,$E$1-Table11[[#This Row],[Year]],0),"")</f>
        <v>22</v>
      </c>
      <c r="F950" s="456">
        <v>2003</v>
      </c>
      <c r="G950" s="456">
        <v>3</v>
      </c>
      <c r="H950" s="456">
        <v>7</v>
      </c>
    </row>
    <row r="951" spans="1:8" ht="13.5" customHeight="1">
      <c r="A951" s="471">
        <v>7947</v>
      </c>
      <c r="B951" s="540" t="s">
        <v>3109</v>
      </c>
      <c r="C951" s="471" t="s">
        <v>244</v>
      </c>
      <c r="D951" s="456" t="str">
        <f>IF(Table11[[#This Row],[Current Age]]&gt;19,"Women's",IF(E951&gt;15,"U19",IF(E951&gt;13,"U15",IF(E951&gt;11,"U13",IF(E951&gt;0,"U11",0)))))</f>
        <v>Women's</v>
      </c>
      <c r="E951" s="456">
        <f>IFERROR(IF(Table11[[#This Row],[Year]]&gt;0,$E$1-Table11[[#This Row],[Year]],0),"")</f>
        <v>23</v>
      </c>
      <c r="F951" s="456">
        <v>2002</v>
      </c>
      <c r="G951" s="456">
        <v>3</v>
      </c>
      <c r="H951" s="456">
        <v>18</v>
      </c>
    </row>
    <row r="952" spans="1:8" ht="13.5" customHeight="1">
      <c r="A952" s="456">
        <v>7948</v>
      </c>
      <c r="B952" s="457" t="s">
        <v>3110</v>
      </c>
      <c r="C952" s="456" t="s">
        <v>244</v>
      </c>
      <c r="D952" s="456" t="str">
        <f>IF(Table11[[#This Row],[Current Age]]&gt;19,"Women's",IF(E952&gt;15,"U19",IF(E952&gt;13,"U15",IF(E952&gt;11,"U13",IF(E952&gt;0,"U11",0)))))</f>
        <v>Women's</v>
      </c>
      <c r="E952" s="456">
        <f>IFERROR(IF(Table11[[#This Row],[Year]]&gt;0,$E$1-Table11[[#This Row],[Year]],0),"")</f>
        <v>21</v>
      </c>
      <c r="F952" s="456">
        <v>2004</v>
      </c>
      <c r="G952" s="456">
        <v>10</v>
      </c>
      <c r="H952" s="456">
        <v>13</v>
      </c>
    </row>
    <row r="953" spans="1:8" ht="13.5" customHeight="1">
      <c r="A953" s="471">
        <v>7949</v>
      </c>
      <c r="B953" s="540" t="s">
        <v>3116</v>
      </c>
      <c r="C953" s="471" t="s">
        <v>256</v>
      </c>
      <c r="D953" s="456">
        <f>IF(Table11[[#This Row],[Current Age]]&gt;19,"Women's",IF(E953&gt;15,"U19",IF(E953&gt;13,"U15",IF(E953&gt;11,"U13",IF(E953&gt;0,"U11",0)))))</f>
        <v>0</v>
      </c>
      <c r="E953" s="456">
        <f>IFERROR(IF(Table11[[#This Row],[Year]]&gt;0,$E$1-Table11[[#This Row],[Year]],0),"")</f>
        <v>0</v>
      </c>
      <c r="F953" s="456"/>
      <c r="G953" s="456"/>
      <c r="H953" s="456"/>
    </row>
    <row r="954" spans="1:8" ht="13.5" customHeight="1">
      <c r="A954" s="456">
        <v>7950</v>
      </c>
      <c r="B954" s="457" t="s">
        <v>3117</v>
      </c>
      <c r="C954" s="456" t="s">
        <v>256</v>
      </c>
      <c r="D954" s="456">
        <f>IF(Table11[[#This Row],[Current Age]]&gt;19,"Women's",IF(E954&gt;15,"U19",IF(E954&gt;13,"U15",IF(E954&gt;11,"U13",IF(E954&gt;0,"U11",0)))))</f>
        <v>0</v>
      </c>
      <c r="E954" s="456">
        <f>IFERROR(IF(Table11[[#This Row],[Year]]&gt;0,$E$1-Table11[[#This Row],[Year]],0),"")</f>
        <v>0</v>
      </c>
      <c r="F954" s="456"/>
      <c r="G954" s="456"/>
      <c r="H954" s="456"/>
    </row>
    <row r="955" spans="1:8" ht="13.5" customHeight="1">
      <c r="A955" s="471">
        <v>7951</v>
      </c>
      <c r="B955" s="540" t="s">
        <v>3118</v>
      </c>
      <c r="C955" s="471" t="s">
        <v>256</v>
      </c>
      <c r="D955" s="456">
        <f>IF(Table11[[#This Row],[Current Age]]&gt;19,"Women's",IF(E955&gt;15,"U19",IF(E955&gt;13,"U15",IF(E955&gt;11,"U13",IF(E955&gt;0,"U11",0)))))</f>
        <v>0</v>
      </c>
      <c r="E955" s="456">
        <f>IFERROR(IF(Table11[[#This Row],[Year]]&gt;0,$E$1-Table11[[#This Row],[Year]],0),"")</f>
        <v>0</v>
      </c>
      <c r="F955" s="456"/>
      <c r="G955" s="456"/>
      <c r="H955" s="456"/>
    </row>
    <row r="956" spans="1:8" ht="13.5" customHeight="1">
      <c r="A956" s="456">
        <v>7952</v>
      </c>
      <c r="B956" s="457" t="s">
        <v>3119</v>
      </c>
      <c r="C956" s="456" t="s">
        <v>256</v>
      </c>
      <c r="D956" s="456">
        <f>IF(Table11[[#This Row],[Current Age]]&gt;19,"Women's",IF(E956&gt;15,"U19",IF(E956&gt;13,"U15",IF(E956&gt;11,"U13",IF(E956&gt;0,"U11",0)))))</f>
        <v>0</v>
      </c>
      <c r="E956" s="456">
        <f>IFERROR(IF(Table11[[#This Row],[Year]]&gt;0,$E$1-Table11[[#This Row],[Year]],0),"")</f>
        <v>0</v>
      </c>
      <c r="F956" s="456"/>
      <c r="G956" s="456"/>
      <c r="H956" s="456"/>
    </row>
    <row r="957" spans="1:8" ht="13.5" customHeight="1">
      <c r="A957" s="471">
        <v>7953</v>
      </c>
      <c r="B957" s="540" t="s">
        <v>3114</v>
      </c>
      <c r="C957" s="471" t="s">
        <v>2857</v>
      </c>
      <c r="D957" s="456">
        <f>IF(Table11[[#This Row],[Current Age]]&gt;19,"Women's",IF(E957&gt;15,"U19",IF(E957&gt;13,"U15",IF(E957&gt;11,"U13",IF(E957&gt;0,"U11",0)))))</f>
        <v>0</v>
      </c>
      <c r="E957" s="456">
        <f>IFERROR(IF(Table11[[#This Row],[Year]]&gt;0,$E$1-Table11[[#This Row],[Year]],0),"")</f>
        <v>0</v>
      </c>
      <c r="F957" s="456"/>
      <c r="G957" s="456"/>
      <c r="H957" s="456"/>
    </row>
    <row r="958" spans="1:8" ht="13.5" customHeight="1">
      <c r="A958" s="456">
        <v>7954</v>
      </c>
      <c r="B958" s="457" t="s">
        <v>2866</v>
      </c>
      <c r="C958" s="456" t="s">
        <v>2857</v>
      </c>
      <c r="D958" s="456">
        <f>IF(Table11[[#This Row],[Current Age]]&gt;19,"Women's",IF(E958&gt;15,"U19",IF(E958&gt;13,"U15",IF(E958&gt;11,"U13",IF(E958&gt;0,"U11",0)))))</f>
        <v>0</v>
      </c>
      <c r="E958" s="456">
        <f>IFERROR(IF(Table11[[#This Row],[Year]]&gt;0,$E$1-Table11[[#This Row],[Year]],0),"")</f>
        <v>0</v>
      </c>
      <c r="F958" s="456"/>
      <c r="G958" s="456"/>
      <c r="H958" s="456"/>
    </row>
    <row r="959" spans="1:8" ht="13.5" customHeight="1">
      <c r="A959" s="471">
        <v>7955</v>
      </c>
      <c r="B959" s="540" t="s">
        <v>3130</v>
      </c>
      <c r="C959" s="471" t="s">
        <v>2857</v>
      </c>
      <c r="D959" s="456">
        <f>IF(Table11[[#This Row],[Current Age]]&gt;19,"Women's",IF(E959&gt;15,"U19",IF(E959&gt;13,"U15",IF(E959&gt;11,"U13",IF(E959&gt;0,"U11",0)))))</f>
        <v>0</v>
      </c>
      <c r="E959" s="456">
        <f>IFERROR(IF(Table11[[#This Row],[Year]]&gt;0,$E$1-Table11[[#This Row],[Year]],0),"")</f>
        <v>0</v>
      </c>
      <c r="F959" s="456"/>
      <c r="G959" s="456"/>
      <c r="H959" s="456"/>
    </row>
    <row r="960" spans="1:8" ht="13.5" customHeight="1">
      <c r="A960" s="456">
        <v>7956</v>
      </c>
      <c r="B960" s="457" t="s">
        <v>3132</v>
      </c>
      <c r="C960" s="456" t="s">
        <v>2857</v>
      </c>
      <c r="D960" s="456">
        <f>IF(Table11[[#This Row],[Current Age]]&gt;19,"Women's",IF(E960&gt;15,"U19",IF(E960&gt;13,"U15",IF(E960&gt;11,"U13",IF(E960&gt;0,"U11",0)))))</f>
        <v>0</v>
      </c>
      <c r="E960" s="456">
        <f>IFERROR(IF(Table11[[#This Row],[Year]]&gt;0,$E$1-Table11[[#This Row],[Year]],0),"")</f>
        <v>0</v>
      </c>
      <c r="F960" s="456"/>
      <c r="G960" s="456"/>
      <c r="H960" s="456"/>
    </row>
    <row r="961" spans="1:8" ht="13.5" customHeight="1">
      <c r="A961" s="471">
        <v>7957</v>
      </c>
      <c r="B961" s="540" t="s">
        <v>3309</v>
      </c>
      <c r="C961" s="471" t="s">
        <v>252</v>
      </c>
      <c r="D961" s="456">
        <f>IF(Table11[[#This Row],[Current Age]]&gt;19,"Women's",IF(E961&gt;15,"U19",IF(E961&gt;13,"U15",IF(E961&gt;11,"U13",IF(E961&gt;0,"U11",0)))))</f>
        <v>0</v>
      </c>
      <c r="E961" s="456">
        <f>IFERROR(IF(Table11[[#This Row],[Year]]&gt;0,$E$1-Table11[[#This Row],[Year]],0),"")</f>
        <v>0</v>
      </c>
      <c r="F961" s="456"/>
      <c r="G961" s="456"/>
      <c r="H961" s="456"/>
    </row>
    <row r="962" spans="1:8" ht="13.5" customHeight="1">
      <c r="A962" s="456">
        <v>7958</v>
      </c>
      <c r="B962" s="457" t="s">
        <v>3134</v>
      </c>
      <c r="C962" s="456" t="s">
        <v>252</v>
      </c>
      <c r="D962" s="456">
        <f>IF(Table11[[#This Row],[Current Age]]&gt;19,"Women's",IF(E962&gt;15,"U19",IF(E962&gt;13,"U15",IF(E962&gt;11,"U13",IF(E962&gt;0,"U11",0)))))</f>
        <v>0</v>
      </c>
      <c r="E962" s="456">
        <f>IFERROR(IF(Table11[[#This Row],[Year]]&gt;0,$E$1-Table11[[#This Row],[Year]],0),"")</f>
        <v>0</v>
      </c>
      <c r="F962" s="456"/>
      <c r="G962" s="456"/>
      <c r="H962" s="456"/>
    </row>
    <row r="963" spans="1:8" ht="13.5" customHeight="1">
      <c r="A963" s="471">
        <v>7959</v>
      </c>
      <c r="B963" s="540" t="s">
        <v>3135</v>
      </c>
      <c r="C963" s="471" t="s">
        <v>252</v>
      </c>
      <c r="D963" s="456">
        <f>IF(Table11[[#This Row],[Current Age]]&gt;19,"Women's",IF(E963&gt;15,"U19",IF(E963&gt;13,"U15",IF(E963&gt;11,"U13",IF(E963&gt;0,"U11",0)))))</f>
        <v>0</v>
      </c>
      <c r="E963" s="456">
        <f>IFERROR(IF(Table11[[#This Row],[Year]]&gt;0,$E$1-Table11[[#This Row],[Year]],0),"")</f>
        <v>0</v>
      </c>
      <c r="F963" s="456"/>
      <c r="G963" s="456"/>
      <c r="H963" s="456"/>
    </row>
    <row r="964" spans="1:8" ht="13.5" customHeight="1">
      <c r="A964" s="456">
        <v>7960</v>
      </c>
      <c r="B964" s="457" t="s">
        <v>3136</v>
      </c>
      <c r="C964" s="456" t="s">
        <v>252</v>
      </c>
      <c r="D964" s="456">
        <f>IF(Table11[[#This Row],[Current Age]]&gt;19,"Women's",IF(E964&gt;15,"U19",IF(E964&gt;13,"U15",IF(E964&gt;11,"U13",IF(E964&gt;0,"U11",0)))))</f>
        <v>0</v>
      </c>
      <c r="E964" s="456">
        <f>IFERROR(IF(Table11[[#This Row],[Year]]&gt;0,$E$1-Table11[[#This Row],[Year]],0),"")</f>
        <v>0</v>
      </c>
      <c r="F964" s="456"/>
      <c r="G964" s="456"/>
      <c r="H964" s="456"/>
    </row>
    <row r="965" spans="1:8" ht="13.5" customHeight="1">
      <c r="A965" s="471">
        <v>7961</v>
      </c>
      <c r="B965" s="540" t="s">
        <v>3137</v>
      </c>
      <c r="C965" s="471" t="s">
        <v>252</v>
      </c>
      <c r="D965" s="456">
        <f>IF(Table11[[#This Row],[Current Age]]&gt;19,"Women's",IF(E965&gt;15,"U19",IF(E965&gt;13,"U15",IF(E965&gt;11,"U13",IF(E965&gt;0,"U11",0)))))</f>
        <v>0</v>
      </c>
      <c r="E965" s="456">
        <f>IFERROR(IF(Table11[[#This Row],[Year]]&gt;0,$E$1-Table11[[#This Row],[Year]],0),"")</f>
        <v>0</v>
      </c>
      <c r="F965" s="456"/>
      <c r="G965" s="456"/>
      <c r="H965" s="456"/>
    </row>
    <row r="966" spans="1:8" ht="13.5" customHeight="1">
      <c r="A966" s="456">
        <v>7962</v>
      </c>
      <c r="B966" s="457" t="s">
        <v>3144</v>
      </c>
      <c r="C966" s="456" t="s">
        <v>252</v>
      </c>
      <c r="D966" s="456">
        <f>IF(Table11[[#This Row],[Current Age]]&gt;19,"Women's",IF(E966&gt;15,"U19",IF(E966&gt;13,"U15",IF(E966&gt;11,"U13",IF(E966&gt;0,"U11",0)))))</f>
        <v>0</v>
      </c>
      <c r="E966" s="456">
        <f>IFERROR(IF(Table11[[#This Row],[Year]]&gt;0,$E$1-Table11[[#This Row],[Year]],0),"")</f>
        <v>0</v>
      </c>
      <c r="F966" s="456"/>
      <c r="G966" s="456"/>
      <c r="H966" s="456"/>
    </row>
    <row r="967" spans="1:8" ht="13.5" customHeight="1">
      <c r="A967" s="471">
        <v>7963</v>
      </c>
      <c r="B967" s="540" t="s">
        <v>3146</v>
      </c>
      <c r="C967" s="471" t="s">
        <v>628</v>
      </c>
      <c r="D967" s="456">
        <f>IF(Table11[[#This Row],[Current Age]]&gt;19,"Women's",IF(E967&gt;15,"U19",IF(E967&gt;13,"U15",IF(E967&gt;11,"U13",IF(E967&gt;0,"U11",0)))))</f>
        <v>0</v>
      </c>
      <c r="E967" s="456">
        <f>IFERROR(IF(Table11[[#This Row],[Year]]&gt;0,$E$1-Table11[[#This Row],[Year]],0),"")</f>
        <v>0</v>
      </c>
      <c r="F967" s="456"/>
      <c r="G967" s="456"/>
      <c r="H967" s="456"/>
    </row>
    <row r="968" spans="1:8" ht="13.5" customHeight="1">
      <c r="A968" s="456">
        <v>7964</v>
      </c>
      <c r="B968" s="457" t="s">
        <v>3147</v>
      </c>
      <c r="C968" s="456" t="s">
        <v>628</v>
      </c>
      <c r="D968" s="456">
        <f>IF(Table11[[#This Row],[Current Age]]&gt;19,"Women's",IF(E968&gt;15,"U19",IF(E968&gt;13,"U15",IF(E968&gt;11,"U13",IF(E968&gt;0,"U11",0)))))</f>
        <v>0</v>
      </c>
      <c r="E968" s="456">
        <f>IFERROR(IF(Table11[[#This Row],[Year]]&gt;0,$E$1-Table11[[#This Row],[Year]],0),"")</f>
        <v>0</v>
      </c>
      <c r="F968" s="456"/>
      <c r="G968" s="456"/>
      <c r="H968" s="456"/>
    </row>
    <row r="969" spans="1:8" ht="13.5" customHeight="1">
      <c r="A969" s="471">
        <v>7965</v>
      </c>
      <c r="B969" s="540" t="s">
        <v>3148</v>
      </c>
      <c r="C969" s="471" t="s">
        <v>628</v>
      </c>
      <c r="D969" s="456">
        <f>IF(Table11[[#This Row],[Current Age]]&gt;19,"Women's",IF(E969&gt;15,"U19",IF(E969&gt;13,"U15",IF(E969&gt;11,"U13",IF(E969&gt;0,"U11",0)))))</f>
        <v>0</v>
      </c>
      <c r="E969" s="456">
        <f>IFERROR(IF(Table11[[#This Row],[Year]]&gt;0,$E$1-Table11[[#This Row],[Year]],0),"")</f>
        <v>0</v>
      </c>
      <c r="F969" s="456"/>
      <c r="G969" s="456"/>
      <c r="H969" s="456"/>
    </row>
    <row r="970" spans="1:8" ht="13.5" customHeight="1">
      <c r="A970" s="456">
        <v>7966</v>
      </c>
      <c r="B970" s="457" t="s">
        <v>3149</v>
      </c>
      <c r="C970" s="456" t="s">
        <v>628</v>
      </c>
      <c r="D970" s="456">
        <f>IF(Table11[[#This Row],[Current Age]]&gt;19,"Women's",IF(E970&gt;15,"U19",IF(E970&gt;13,"U15",IF(E970&gt;11,"U13",IF(E970&gt;0,"U11",0)))))</f>
        <v>0</v>
      </c>
      <c r="E970" s="456">
        <f>IFERROR(IF(Table11[[#This Row],[Year]]&gt;0,$E$1-Table11[[#This Row],[Year]],0),"")</f>
        <v>0</v>
      </c>
      <c r="F970" s="456"/>
      <c r="G970" s="456"/>
      <c r="H970" s="456"/>
    </row>
    <row r="971" spans="1:8" ht="13.5" customHeight="1">
      <c r="A971" s="471">
        <v>7967</v>
      </c>
      <c r="B971" s="540" t="s">
        <v>4349</v>
      </c>
      <c r="C971" s="471" t="s">
        <v>244</v>
      </c>
      <c r="D971" s="456" t="str">
        <f>IF(Table11[[#This Row],[Current Age]]&gt;19,"Women's",IF(E971&gt;15,"U19",IF(E971&gt;13,"U15",IF(E971&gt;11,"U13",IF(E971&gt;0,"U11",0)))))</f>
        <v>Women's</v>
      </c>
      <c r="E971" s="456">
        <f>IFERROR(IF(Table11[[#This Row],[Year]]&gt;0,$E$1-Table11[[#This Row],[Year]],0),"")</f>
        <v>35</v>
      </c>
      <c r="F971" s="456">
        <v>1990</v>
      </c>
      <c r="G971" s="456">
        <v>12</v>
      </c>
      <c r="H971" s="456">
        <v>19</v>
      </c>
    </row>
    <row r="972" spans="1:8" ht="13.5" customHeight="1">
      <c r="A972" s="456">
        <v>7968</v>
      </c>
      <c r="B972" s="457" t="s">
        <v>3151</v>
      </c>
      <c r="C972" s="456" t="s">
        <v>628</v>
      </c>
      <c r="D972" s="456">
        <f>IF(Table11[[#This Row],[Current Age]]&gt;19,"Women's",IF(E972&gt;15,"U19",IF(E972&gt;13,"U15",IF(E972&gt;11,"U13",IF(E972&gt;0,"U11",0)))))</f>
        <v>0</v>
      </c>
      <c r="E972" s="456">
        <f>IFERROR(IF(Table11[[#This Row],[Year]]&gt;0,$E$1-Table11[[#This Row],[Year]],0),"")</f>
        <v>0</v>
      </c>
      <c r="F972" s="456"/>
      <c r="G972" s="456"/>
      <c r="H972" s="456"/>
    </row>
    <row r="973" spans="1:8" ht="13.5" customHeight="1">
      <c r="A973" s="471">
        <v>7969</v>
      </c>
      <c r="B973" s="540" t="s">
        <v>3152</v>
      </c>
      <c r="C973" s="471" t="s">
        <v>628</v>
      </c>
      <c r="D973" s="456">
        <f>IF(Table11[[#This Row],[Current Age]]&gt;19,"Women's",IF(E973&gt;15,"U19",IF(E973&gt;13,"U15",IF(E973&gt;11,"U13",IF(E973&gt;0,"U11",0)))))</f>
        <v>0</v>
      </c>
      <c r="E973" s="456">
        <f>IFERROR(IF(Table11[[#This Row],[Year]]&gt;0,$E$1-Table11[[#This Row],[Year]],0),"")</f>
        <v>0</v>
      </c>
      <c r="F973" s="456"/>
      <c r="G973" s="456"/>
      <c r="H973" s="456"/>
    </row>
    <row r="974" spans="1:8" ht="13.5" customHeight="1">
      <c r="A974" s="456">
        <v>7970</v>
      </c>
      <c r="B974" s="457" t="s">
        <v>3153</v>
      </c>
      <c r="C974" s="456" t="s">
        <v>628</v>
      </c>
      <c r="D974" s="456">
        <f>IF(Table11[[#This Row],[Current Age]]&gt;19,"Women's",IF(E974&gt;15,"U19",IF(E974&gt;13,"U15",IF(E974&gt;11,"U13",IF(E974&gt;0,"U11",0)))))</f>
        <v>0</v>
      </c>
      <c r="E974" s="456">
        <f>IFERROR(IF(Table11[[#This Row],[Year]]&gt;0,$E$1-Table11[[#This Row],[Year]],0),"")</f>
        <v>0</v>
      </c>
      <c r="F974" s="456"/>
      <c r="G974" s="456"/>
      <c r="H974" s="456"/>
    </row>
    <row r="975" spans="1:8" ht="13.5" customHeight="1">
      <c r="A975" s="471">
        <v>7971</v>
      </c>
      <c r="B975" s="540" t="s">
        <v>3154</v>
      </c>
      <c r="C975" s="471" t="s">
        <v>628</v>
      </c>
      <c r="D975" s="456">
        <f>IF(Table11[[#This Row],[Current Age]]&gt;19,"Women's",IF(E975&gt;15,"U19",IF(E975&gt;13,"U15",IF(E975&gt;11,"U13",IF(E975&gt;0,"U11",0)))))</f>
        <v>0</v>
      </c>
      <c r="E975" s="456">
        <f>IFERROR(IF(Table11[[#This Row],[Year]]&gt;0,$E$1-Table11[[#This Row],[Year]],0),"")</f>
        <v>0</v>
      </c>
      <c r="F975" s="456"/>
      <c r="G975" s="456"/>
      <c r="H975" s="456"/>
    </row>
    <row r="976" spans="1:8" ht="13.5" customHeight="1">
      <c r="A976" s="456">
        <v>7972</v>
      </c>
      <c r="B976" s="457" t="s">
        <v>3158</v>
      </c>
      <c r="C976" s="456" t="s">
        <v>249</v>
      </c>
      <c r="D976" s="456">
        <f>IF(Table11[[#This Row],[Current Age]]&gt;19,"Women's",IF(E976&gt;15,"U19",IF(E976&gt;13,"U15",IF(E976&gt;11,"U13",IF(E976&gt;0,"U11",0)))))</f>
        <v>0</v>
      </c>
      <c r="E976" s="456">
        <f>IFERROR(IF(Table11[[#This Row],[Year]]&gt;0,$E$1-Table11[[#This Row],[Year]],0),"")</f>
        <v>0</v>
      </c>
      <c r="F976" s="456"/>
      <c r="G976" s="456"/>
      <c r="H976" s="456"/>
    </row>
    <row r="977" spans="1:8" ht="13.5" customHeight="1">
      <c r="A977" s="471">
        <v>7973</v>
      </c>
      <c r="B977" s="540" t="s">
        <v>3159</v>
      </c>
      <c r="C977" s="471" t="s">
        <v>249</v>
      </c>
      <c r="D977" s="456">
        <f>IF(Table11[[#This Row],[Current Age]]&gt;19,"Women's",IF(E977&gt;15,"U19",IF(E977&gt;13,"U15",IF(E977&gt;11,"U13",IF(E977&gt;0,"U11",0)))))</f>
        <v>0</v>
      </c>
      <c r="E977" s="456">
        <f>IFERROR(IF(Table11[[#This Row],[Year]]&gt;0,$E$1-Table11[[#This Row],[Year]],0),"")</f>
        <v>0</v>
      </c>
      <c r="F977" s="456"/>
      <c r="G977" s="456"/>
      <c r="H977" s="456"/>
    </row>
    <row r="978" spans="1:8" ht="13.5" customHeight="1">
      <c r="A978" s="456">
        <v>7974</v>
      </c>
      <c r="B978" s="457" t="s">
        <v>3160</v>
      </c>
      <c r="C978" s="456" t="s">
        <v>249</v>
      </c>
      <c r="D978" s="456" t="str">
        <f>IF(Table11[[#This Row],[Current Age]]&gt;19,"Women's",IF(E978&gt;15,"U19",IF(E978&gt;13,"U15",IF(E978&gt;11,"U13",IF(E978&gt;0,"U11",0)))))</f>
        <v>Women's</v>
      </c>
      <c r="E978" s="456">
        <f>IFERROR(IF(Table11[[#This Row],[Year]]&gt;0,$E$1-Table11[[#This Row],[Year]],0),"")</f>
        <v>21</v>
      </c>
      <c r="F978" s="456">
        <v>2004</v>
      </c>
      <c r="G978" s="456">
        <v>7</v>
      </c>
      <c r="H978" s="456">
        <v>11</v>
      </c>
    </row>
    <row r="979" spans="1:8" ht="13.5" customHeight="1">
      <c r="A979" s="471">
        <v>7975</v>
      </c>
      <c r="B979" s="540" t="s">
        <v>3161</v>
      </c>
      <c r="C979" s="471" t="s">
        <v>249</v>
      </c>
      <c r="D979" s="456">
        <f>IF(Table11[[#This Row],[Current Age]]&gt;19,"Women's",IF(E979&gt;15,"U19",IF(E979&gt;13,"U15",IF(E979&gt;11,"U13",IF(E979&gt;0,"U11",0)))))</f>
        <v>0</v>
      </c>
      <c r="E979" s="456">
        <f>IFERROR(IF(Table11[[#This Row],[Year]]&gt;0,$E$1-Table11[[#This Row],[Year]],0),"")</f>
        <v>0</v>
      </c>
      <c r="F979" s="456"/>
      <c r="G979" s="456"/>
      <c r="H979" s="456"/>
    </row>
    <row r="980" spans="1:8" ht="13.5" customHeight="1">
      <c r="A980" s="456">
        <v>7976</v>
      </c>
      <c r="B980" s="457" t="s">
        <v>2861</v>
      </c>
      <c r="C980" s="456" t="s">
        <v>2857</v>
      </c>
      <c r="D980" s="456">
        <f>IF(Table11[[#This Row],[Current Age]]&gt;19,"Women's",IF(E980&gt;15,"U19",IF(E980&gt;13,"U15",IF(E980&gt;11,"U13",IF(E980&gt;0,"U11",0)))))</f>
        <v>0</v>
      </c>
      <c r="E980" s="456">
        <f>IFERROR(IF(Table11[[#This Row],[Year]]&gt;0,$E$1-Table11[[#This Row],[Year]],0),"")</f>
        <v>0</v>
      </c>
      <c r="F980" s="456"/>
      <c r="G980" s="456"/>
      <c r="H980" s="456"/>
    </row>
    <row r="981" spans="1:8" ht="13.5" customHeight="1">
      <c r="A981" s="471">
        <v>7977</v>
      </c>
      <c r="B981" s="540" t="s">
        <v>2868</v>
      </c>
      <c r="C981" s="471" t="s">
        <v>2857</v>
      </c>
      <c r="D981" s="456">
        <f>IF(Table11[[#This Row],[Current Age]]&gt;19,"Women's",IF(E981&gt;15,"U19",IF(E981&gt;13,"U15",IF(E981&gt;11,"U13",IF(E981&gt;0,"U11",0)))))</f>
        <v>0</v>
      </c>
      <c r="E981" s="456">
        <f>IFERROR(IF(Table11[[#This Row],[Year]]&gt;0,$E$1-Table11[[#This Row],[Year]],0),"")</f>
        <v>0</v>
      </c>
      <c r="F981" s="456"/>
      <c r="G981" s="456"/>
      <c r="H981" s="456"/>
    </row>
    <row r="982" spans="1:8" ht="13.5" customHeight="1">
      <c r="A982" s="456">
        <v>7978</v>
      </c>
      <c r="B982" s="457" t="s">
        <v>3177</v>
      </c>
      <c r="C982" s="456" t="s">
        <v>361</v>
      </c>
      <c r="D982" s="456">
        <f>IF(Table11[[#This Row],[Current Age]]&gt;19,"Women's",IF(E982&gt;15,"U19",IF(E982&gt;13,"U15",IF(E982&gt;11,"U13",IF(E982&gt;0,"U11",0)))))</f>
        <v>0</v>
      </c>
      <c r="E982" s="456">
        <f>IFERROR(IF(Table11[[#This Row],[Year]]&gt;0,$E$1-Table11[[#This Row],[Year]],0),"")</f>
        <v>0</v>
      </c>
      <c r="F982" s="456"/>
      <c r="G982" s="456"/>
      <c r="H982" s="456"/>
    </row>
    <row r="983" spans="1:8" ht="13.5" customHeight="1">
      <c r="A983" s="471">
        <v>7979</v>
      </c>
      <c r="B983" s="540" t="s">
        <v>3181</v>
      </c>
      <c r="C983" s="471" t="s">
        <v>362</v>
      </c>
      <c r="D983" s="456">
        <f>IF(Table11[[#This Row],[Current Age]]&gt;19,"Women's",IF(E983&gt;15,"U19",IF(E983&gt;13,"U15",IF(E983&gt;11,"U13",IF(E983&gt;0,"U11",0)))))</f>
        <v>0</v>
      </c>
      <c r="E983" s="456">
        <f>IFERROR(IF(Table11[[#This Row],[Year]]&gt;0,$E$1-Table11[[#This Row],[Year]],0),"")</f>
        <v>0</v>
      </c>
      <c r="F983" s="456"/>
      <c r="G983" s="456"/>
      <c r="H983" s="456"/>
    </row>
    <row r="984" spans="1:8" ht="13.5" customHeight="1">
      <c r="A984" s="456">
        <v>7980</v>
      </c>
      <c r="B984" s="457" t="s">
        <v>3182</v>
      </c>
      <c r="C984" s="456" t="s">
        <v>4720</v>
      </c>
      <c r="D984" s="456">
        <f>IF(Table11[[#This Row],[Current Age]]&gt;19,"Women's",IF(E984&gt;15,"U19",IF(E984&gt;13,"U15",IF(E984&gt;11,"U13",IF(E984&gt;0,"U11",0)))))</f>
        <v>0</v>
      </c>
      <c r="E984" s="456">
        <f>IFERROR(IF(Table11[[#This Row],[Year]]&gt;0,$E$1-Table11[[#This Row],[Year]],0),"")</f>
        <v>0</v>
      </c>
      <c r="F984" s="456"/>
      <c r="G984" s="456"/>
      <c r="H984" s="456"/>
    </row>
    <row r="985" spans="1:8" ht="13.5" customHeight="1">
      <c r="A985" s="471">
        <v>7981</v>
      </c>
      <c r="B985" s="540" t="s">
        <v>3230</v>
      </c>
      <c r="C985" s="471" t="s">
        <v>3204</v>
      </c>
      <c r="D985" s="456">
        <f>IF(Table11[[#This Row],[Current Age]]&gt;19,"Women's",IF(E985&gt;15,"U19",IF(E985&gt;13,"U15",IF(E985&gt;11,"U13",IF(E985&gt;0,"U11",0)))))</f>
        <v>0</v>
      </c>
      <c r="E985" s="456">
        <f>IFERROR(IF(Table11[[#This Row],[Year]]&gt;0,$E$1-Table11[[#This Row],[Year]],0),"")</f>
        <v>0</v>
      </c>
      <c r="F985" s="456"/>
      <c r="G985" s="456"/>
      <c r="H985" s="456"/>
    </row>
    <row r="986" spans="1:8" ht="13.5" customHeight="1">
      <c r="A986" s="456">
        <v>7982</v>
      </c>
      <c r="B986" s="457" t="s">
        <v>3231</v>
      </c>
      <c r="C986" s="456" t="s">
        <v>3204</v>
      </c>
      <c r="D986" s="456">
        <f>IF(Table11[[#This Row],[Current Age]]&gt;19,"Women's",IF(E986&gt;15,"U19",IF(E986&gt;13,"U15",IF(E986&gt;11,"U13",IF(E986&gt;0,"U11",0)))))</f>
        <v>0</v>
      </c>
      <c r="E986" s="456">
        <f>IFERROR(IF(Table11[[#This Row],[Year]]&gt;0,$E$1-Table11[[#This Row],[Year]],0),"")</f>
        <v>0</v>
      </c>
      <c r="F986" s="456"/>
      <c r="G986" s="456"/>
      <c r="H986" s="456"/>
    </row>
    <row r="987" spans="1:8" ht="13.5" customHeight="1">
      <c r="A987" s="471">
        <v>7983</v>
      </c>
      <c r="B987" s="540" t="s">
        <v>3232</v>
      </c>
      <c r="C987" s="471" t="s">
        <v>3204</v>
      </c>
      <c r="D987" s="456">
        <f>IF(Table11[[#This Row],[Current Age]]&gt;19,"Women's",IF(E987&gt;15,"U19",IF(E987&gt;13,"U15",IF(E987&gt;11,"U13",IF(E987&gt;0,"U11",0)))))</f>
        <v>0</v>
      </c>
      <c r="E987" s="456">
        <f>IFERROR(IF(Table11[[#This Row],[Year]]&gt;0,$E$1-Table11[[#This Row],[Year]],0),"")</f>
        <v>0</v>
      </c>
      <c r="F987" s="456"/>
      <c r="G987" s="456"/>
      <c r="H987" s="456"/>
    </row>
    <row r="988" spans="1:8" ht="13.5" customHeight="1">
      <c r="A988" s="456">
        <v>7984</v>
      </c>
      <c r="B988" s="457" t="s">
        <v>3233</v>
      </c>
      <c r="C988" s="456" t="s">
        <v>3346</v>
      </c>
      <c r="D988" s="456">
        <f>IF(Table11[[#This Row],[Current Age]]&gt;19,"Women's",IF(E988&gt;15,"U19",IF(E988&gt;13,"U15",IF(E988&gt;11,"U13",IF(E988&gt;0,"U11",0)))))</f>
        <v>0</v>
      </c>
      <c r="E988" s="456">
        <f>IFERROR(IF(Table11[[#This Row],[Year]]&gt;0,$E$1-Table11[[#This Row],[Year]],0),"")</f>
        <v>0</v>
      </c>
      <c r="F988" s="456"/>
      <c r="G988" s="456"/>
      <c r="H988" s="456"/>
    </row>
    <row r="989" spans="1:8" ht="13.5" customHeight="1">
      <c r="A989" s="471">
        <v>7985</v>
      </c>
      <c r="B989" s="540" t="s">
        <v>3234</v>
      </c>
      <c r="C989" s="471" t="s">
        <v>3346</v>
      </c>
      <c r="D989" s="456">
        <f>IF(Table11[[#This Row],[Current Age]]&gt;19,"Women's",IF(E989&gt;15,"U19",IF(E989&gt;13,"U15",IF(E989&gt;11,"U13",IF(E989&gt;0,"U11",0)))))</f>
        <v>0</v>
      </c>
      <c r="E989" s="456">
        <f>IFERROR(IF(Table11[[#This Row],[Year]]&gt;0,$E$1-Table11[[#This Row],[Year]],0),"")</f>
        <v>0</v>
      </c>
      <c r="F989" s="456"/>
      <c r="G989" s="456"/>
      <c r="H989" s="456"/>
    </row>
    <row r="990" spans="1:8" ht="13.5" customHeight="1">
      <c r="A990" s="456">
        <v>7986</v>
      </c>
      <c r="B990" s="457" t="s">
        <v>3235</v>
      </c>
      <c r="C990" s="456" t="s">
        <v>3204</v>
      </c>
      <c r="D990" s="456">
        <f>IF(Table11[[#This Row],[Current Age]]&gt;19,"Women's",IF(E990&gt;15,"U19",IF(E990&gt;13,"U15",IF(E990&gt;11,"U13",IF(E990&gt;0,"U11",0)))))</f>
        <v>0</v>
      </c>
      <c r="E990" s="456">
        <f>IFERROR(IF(Table11[[#This Row],[Year]]&gt;0,$E$1-Table11[[#This Row],[Year]],0),"")</f>
        <v>0</v>
      </c>
      <c r="F990" s="456"/>
      <c r="G990" s="456"/>
      <c r="H990" s="456"/>
    </row>
    <row r="991" spans="1:8" ht="13.5" customHeight="1">
      <c r="A991" s="471">
        <v>7987</v>
      </c>
      <c r="B991" s="540" t="s">
        <v>3236</v>
      </c>
      <c r="C991" s="471" t="s">
        <v>3237</v>
      </c>
      <c r="D991" s="456">
        <f>IF(Table11[[#This Row],[Current Age]]&gt;19,"Women's",IF(E991&gt;15,"U19",IF(E991&gt;13,"U15",IF(E991&gt;11,"U13",IF(E991&gt;0,"U11",0)))))</f>
        <v>0</v>
      </c>
      <c r="E991" s="456">
        <f>IFERROR(IF(Table11[[#This Row],[Year]]&gt;0,$E$1-Table11[[#This Row],[Year]],0),"")</f>
        <v>0</v>
      </c>
      <c r="F991" s="456"/>
      <c r="G991" s="456"/>
      <c r="H991" s="456"/>
    </row>
    <row r="992" spans="1:8" ht="13.5" customHeight="1">
      <c r="A992" s="456">
        <v>7988</v>
      </c>
      <c r="B992" s="457" t="s">
        <v>3238</v>
      </c>
      <c r="C992" s="456" t="s">
        <v>3204</v>
      </c>
      <c r="D992" s="456">
        <f>IF(Table11[[#This Row],[Current Age]]&gt;19,"Women's",IF(E992&gt;15,"U19",IF(E992&gt;13,"U15",IF(E992&gt;11,"U13",IF(E992&gt;0,"U11",0)))))</f>
        <v>0</v>
      </c>
      <c r="E992" s="456">
        <f>IFERROR(IF(Table11[[#This Row],[Year]]&gt;0,$E$1-Table11[[#This Row],[Year]],0),"")</f>
        <v>0</v>
      </c>
      <c r="F992" s="456"/>
      <c r="G992" s="456"/>
      <c r="H992" s="456"/>
    </row>
    <row r="993" spans="1:8" ht="13.5" customHeight="1">
      <c r="A993" s="471">
        <v>7989</v>
      </c>
      <c r="B993" s="540" t="s">
        <v>3239</v>
      </c>
      <c r="C993" s="471" t="s">
        <v>3240</v>
      </c>
      <c r="D993" s="456">
        <f>IF(Table11[[#This Row],[Current Age]]&gt;19,"Women's",IF(E993&gt;15,"U19",IF(E993&gt;13,"U15",IF(E993&gt;11,"U13",IF(E993&gt;0,"U11",0)))))</f>
        <v>0</v>
      </c>
      <c r="E993" s="456">
        <f>IFERROR(IF(Table11[[#This Row],[Year]]&gt;0,$E$1-Table11[[#This Row],[Year]],0),"")</f>
        <v>0</v>
      </c>
      <c r="F993" s="456"/>
      <c r="G993" s="456"/>
      <c r="H993" s="456"/>
    </row>
    <row r="994" spans="1:8" ht="13.5" customHeight="1">
      <c r="A994" s="456">
        <v>7990</v>
      </c>
      <c r="B994" s="457" t="s">
        <v>3241</v>
      </c>
      <c r="C994" s="456" t="s">
        <v>248</v>
      </c>
      <c r="D994" s="456">
        <f>IF(Table11[[#This Row],[Current Age]]&gt;19,"Women's",IF(E994&gt;15,"U19",IF(E994&gt;13,"U15",IF(E994&gt;11,"U13",IF(E994&gt;0,"U11",0)))))</f>
        <v>0</v>
      </c>
      <c r="E994" s="456">
        <f>IFERROR(IF(Table11[[#This Row],[Year]]&gt;0,$E$1-Table11[[#This Row],[Year]],0),"")</f>
        <v>0</v>
      </c>
      <c r="F994" s="456"/>
      <c r="G994" s="456"/>
      <c r="H994" s="456"/>
    </row>
    <row r="995" spans="1:8" ht="13.5" customHeight="1">
      <c r="A995" s="471">
        <v>7991</v>
      </c>
      <c r="B995" s="540" t="s">
        <v>3242</v>
      </c>
      <c r="C995" s="471" t="s">
        <v>248</v>
      </c>
      <c r="D995" s="456">
        <f>IF(Table11[[#This Row],[Current Age]]&gt;19,"Women's",IF(E995&gt;15,"U19",IF(E995&gt;13,"U15",IF(E995&gt;11,"U13",IF(E995&gt;0,"U11",0)))))</f>
        <v>0</v>
      </c>
      <c r="E995" s="456">
        <f>IFERROR(IF(Table11[[#This Row],[Year]]&gt;0,$E$1-Table11[[#This Row],[Year]],0),"")</f>
        <v>0</v>
      </c>
      <c r="F995" s="456"/>
      <c r="G995" s="456"/>
      <c r="H995" s="456"/>
    </row>
    <row r="996" spans="1:8" ht="13.5" customHeight="1">
      <c r="A996" s="456">
        <v>7992</v>
      </c>
      <c r="B996" s="457" t="s">
        <v>3243</v>
      </c>
      <c r="C996" s="456" t="s">
        <v>253</v>
      </c>
      <c r="D996" s="456">
        <f>IF(Table11[[#This Row],[Current Age]]&gt;19,"Women's",IF(E996&gt;15,"U19",IF(E996&gt;13,"U15",IF(E996&gt;11,"U13",IF(E996&gt;0,"U11",0)))))</f>
        <v>0</v>
      </c>
      <c r="E996" s="456">
        <f>IFERROR(IF(Table11[[#This Row],[Year]]&gt;0,$E$1-Table11[[#This Row],[Year]],0),"")</f>
        <v>0</v>
      </c>
      <c r="F996" s="456"/>
      <c r="G996" s="456"/>
      <c r="H996" s="456"/>
    </row>
    <row r="997" spans="1:8" ht="13.5" customHeight="1">
      <c r="A997" s="471">
        <v>7993</v>
      </c>
      <c r="B997" s="540" t="s">
        <v>3244</v>
      </c>
      <c r="C997" s="471" t="s">
        <v>253</v>
      </c>
      <c r="D997" s="456">
        <f>IF(Table11[[#This Row],[Current Age]]&gt;19,"Women's",IF(E997&gt;15,"U19",IF(E997&gt;13,"U15",IF(E997&gt;11,"U13",IF(E997&gt;0,"U11",0)))))</f>
        <v>0</v>
      </c>
      <c r="E997" s="456">
        <f>IFERROR(IF(Table11[[#This Row],[Year]]&gt;0,$E$1-Table11[[#This Row],[Year]],0),"")</f>
        <v>0</v>
      </c>
      <c r="F997" s="456"/>
      <c r="G997" s="456"/>
      <c r="H997" s="456"/>
    </row>
    <row r="998" spans="1:8" ht="13.5" customHeight="1">
      <c r="A998" s="456">
        <v>7994</v>
      </c>
      <c r="B998" s="457" t="s">
        <v>3245</v>
      </c>
      <c r="C998" s="456" t="s">
        <v>253</v>
      </c>
      <c r="D998" s="456">
        <f>IF(Table11[[#This Row],[Current Age]]&gt;19,"Women's",IF(E998&gt;15,"U19",IF(E998&gt;13,"U15",IF(E998&gt;11,"U13",IF(E998&gt;0,"U11",0)))))</f>
        <v>0</v>
      </c>
      <c r="E998" s="456">
        <f>IFERROR(IF(Table11[[#This Row],[Year]]&gt;0,$E$1-Table11[[#This Row],[Year]],0),"")</f>
        <v>0</v>
      </c>
      <c r="F998" s="456"/>
      <c r="G998" s="456"/>
      <c r="H998" s="456"/>
    </row>
    <row r="999" spans="1:8" ht="13.5" customHeight="1">
      <c r="A999" s="471">
        <v>7995</v>
      </c>
      <c r="B999" s="540" t="s">
        <v>3246</v>
      </c>
      <c r="C999" s="471" t="s">
        <v>253</v>
      </c>
      <c r="D999" s="456">
        <f>IF(Table11[[#This Row],[Current Age]]&gt;19,"Women's",IF(E999&gt;15,"U19",IF(E999&gt;13,"U15",IF(E999&gt;11,"U13",IF(E999&gt;0,"U11",0)))))</f>
        <v>0</v>
      </c>
      <c r="E999" s="456">
        <f>IFERROR(IF(Table11[[#This Row],[Year]]&gt;0,$E$1-Table11[[#This Row],[Year]],0),"")</f>
        <v>0</v>
      </c>
      <c r="F999" s="456"/>
      <c r="G999" s="456"/>
      <c r="H999" s="456"/>
    </row>
    <row r="1000" spans="1:8" ht="13.5" customHeight="1">
      <c r="A1000" s="456">
        <v>7996</v>
      </c>
      <c r="B1000" s="457" t="s">
        <v>3247</v>
      </c>
      <c r="C1000" s="456" t="s">
        <v>248</v>
      </c>
      <c r="D1000" s="456">
        <f>IF(Table11[[#This Row],[Current Age]]&gt;19,"Women's",IF(E1000&gt;15,"U19",IF(E1000&gt;13,"U15",IF(E1000&gt;11,"U13",IF(E1000&gt;0,"U11",0)))))</f>
        <v>0</v>
      </c>
      <c r="E1000" s="456">
        <f>IFERROR(IF(Table11[[#This Row],[Year]]&gt;0,$E$1-Table11[[#This Row],[Year]],0),"")</f>
        <v>0</v>
      </c>
      <c r="F1000" s="456"/>
      <c r="G1000" s="456"/>
      <c r="H1000" s="456"/>
    </row>
    <row r="1001" spans="1:8" ht="13.5" customHeight="1">
      <c r="A1001" s="471">
        <v>7997</v>
      </c>
      <c r="B1001" s="540" t="s">
        <v>3248</v>
      </c>
      <c r="C1001" s="471" t="s">
        <v>248</v>
      </c>
      <c r="D1001" s="456">
        <f>IF(Table11[[#This Row],[Current Age]]&gt;19,"Women's",IF(E1001&gt;15,"U19",IF(E1001&gt;13,"U15",IF(E1001&gt;11,"U13",IF(E1001&gt;0,"U11",0)))))</f>
        <v>0</v>
      </c>
      <c r="E1001" s="456">
        <f>IFERROR(IF(Table11[[#This Row],[Year]]&gt;0,$E$1-Table11[[#This Row],[Year]],0),"")</f>
        <v>0</v>
      </c>
      <c r="F1001" s="456"/>
      <c r="G1001" s="456"/>
      <c r="H1001" s="456"/>
    </row>
    <row r="1002" spans="1:8" ht="13.5" customHeight="1">
      <c r="A1002" s="456">
        <v>7998</v>
      </c>
      <c r="B1002" s="457" t="s">
        <v>3249</v>
      </c>
      <c r="C1002" s="456" t="s">
        <v>248</v>
      </c>
      <c r="D1002" s="456">
        <f>IF(Table11[[#This Row],[Current Age]]&gt;19,"Women's",IF(E1002&gt;15,"U19",IF(E1002&gt;13,"U15",IF(E1002&gt;11,"U13",IF(E1002&gt;0,"U11",0)))))</f>
        <v>0</v>
      </c>
      <c r="E1002" s="456">
        <f>IFERROR(IF(Table11[[#This Row],[Year]]&gt;0,$E$1-Table11[[#This Row],[Year]],0),"")</f>
        <v>0</v>
      </c>
      <c r="F1002" s="456"/>
      <c r="G1002" s="456"/>
      <c r="H1002" s="456"/>
    </row>
    <row r="1003" spans="1:8" ht="13.5" customHeight="1">
      <c r="A1003" s="471">
        <v>7999</v>
      </c>
      <c r="B1003" s="540" t="s">
        <v>3250</v>
      </c>
      <c r="C1003" s="471" t="s">
        <v>248</v>
      </c>
      <c r="D1003" s="456">
        <f>IF(Table11[[#This Row],[Current Age]]&gt;19,"Women's",IF(E1003&gt;15,"U19",IF(E1003&gt;13,"U15",IF(E1003&gt;11,"U13",IF(E1003&gt;0,"U11",0)))))</f>
        <v>0</v>
      </c>
      <c r="E1003" s="456">
        <f>IFERROR(IF(Table11[[#This Row],[Year]]&gt;0,$E$1-Table11[[#This Row],[Year]],0),"")</f>
        <v>0</v>
      </c>
      <c r="F1003" s="456"/>
      <c r="G1003" s="456"/>
      <c r="H1003" s="456"/>
    </row>
    <row r="1004" spans="1:8" ht="13.5" customHeight="1">
      <c r="A1004" s="456">
        <v>8000</v>
      </c>
      <c r="B1004" s="457" t="s">
        <v>3251</v>
      </c>
      <c r="C1004" s="456" t="s">
        <v>248</v>
      </c>
      <c r="D1004" s="456">
        <f>IF(Table11[[#This Row],[Current Age]]&gt;19,"Women's",IF(E1004&gt;15,"U19",IF(E1004&gt;13,"U15",IF(E1004&gt;11,"U13",IF(E1004&gt;0,"U11",0)))))</f>
        <v>0</v>
      </c>
      <c r="E1004" s="456">
        <f>IFERROR(IF(Table11[[#This Row],[Year]]&gt;0,$E$1-Table11[[#This Row],[Year]],0),"")</f>
        <v>0</v>
      </c>
      <c r="F1004" s="456"/>
      <c r="G1004" s="456"/>
      <c r="H1004" s="456"/>
    </row>
    <row r="1005" spans="1:8" ht="13.5" customHeight="1">
      <c r="A1005" s="471">
        <v>8001</v>
      </c>
      <c r="B1005" s="540" t="s">
        <v>3267</v>
      </c>
      <c r="C1005" s="471" t="s">
        <v>244</v>
      </c>
      <c r="D1005" s="456">
        <f>IF(Table11[[#This Row],[Current Age]]&gt;19,"Women's",IF(E1005&gt;15,"U19",IF(E1005&gt;13,"U15",IF(E1005&gt;11,"U13",IF(E1005&gt;0,"U11",0)))))</f>
        <v>0</v>
      </c>
      <c r="E1005" s="456">
        <f>IFERROR(IF(Table11[[#This Row],[Year]]&gt;0,$E$1-Table11[[#This Row],[Year]],0),"")</f>
        <v>0</v>
      </c>
      <c r="F1005" s="456"/>
      <c r="G1005" s="456"/>
      <c r="H1005" s="456"/>
    </row>
    <row r="1006" spans="1:8" ht="13.5" customHeight="1">
      <c r="A1006" s="456">
        <v>8002</v>
      </c>
      <c r="B1006" s="457" t="s">
        <v>3268</v>
      </c>
      <c r="C1006" s="456" t="s">
        <v>244</v>
      </c>
      <c r="D1006" s="456">
        <f>IF(Table11[[#This Row],[Current Age]]&gt;19,"Women's",IF(E1006&gt;15,"U19",IF(E1006&gt;13,"U15",IF(E1006&gt;11,"U13",IF(E1006&gt;0,"U11",0)))))</f>
        <v>0</v>
      </c>
      <c r="E1006" s="456">
        <f>IFERROR(IF(Table11[[#This Row],[Year]]&gt;0,$E$1-Table11[[#This Row],[Year]],0),"")</f>
        <v>0</v>
      </c>
      <c r="F1006" s="456"/>
      <c r="G1006" s="456"/>
      <c r="H1006" s="456"/>
    </row>
    <row r="1007" spans="1:8" ht="13.5" customHeight="1">
      <c r="A1007" s="471">
        <v>8003</v>
      </c>
      <c r="B1007" s="540" t="s">
        <v>3269</v>
      </c>
      <c r="C1007" s="471" t="s">
        <v>244</v>
      </c>
      <c r="D1007" s="456">
        <f>IF(Table11[[#This Row],[Current Age]]&gt;19,"Women's",IF(E1007&gt;15,"U19",IF(E1007&gt;13,"U15",IF(E1007&gt;11,"U13",IF(E1007&gt;0,"U11",0)))))</f>
        <v>0</v>
      </c>
      <c r="E1007" s="456">
        <f>IFERROR(IF(Table11[[#This Row],[Year]]&gt;0,$E$1-Table11[[#This Row],[Year]],0),"")</f>
        <v>0</v>
      </c>
      <c r="F1007" s="456"/>
      <c r="G1007" s="456"/>
      <c r="H1007" s="456"/>
    </row>
    <row r="1008" spans="1:8" ht="13.5" customHeight="1">
      <c r="A1008" s="456">
        <v>8004</v>
      </c>
      <c r="B1008" s="457" t="s">
        <v>3270</v>
      </c>
      <c r="C1008" s="456" t="s">
        <v>244</v>
      </c>
      <c r="D1008" s="456">
        <f>IF(Table11[[#This Row],[Current Age]]&gt;19,"Women's",IF(E1008&gt;15,"U19",IF(E1008&gt;13,"U15",IF(E1008&gt;11,"U13",IF(E1008&gt;0,"U11",0)))))</f>
        <v>0</v>
      </c>
      <c r="E1008" s="456">
        <f>IFERROR(IF(Table11[[#This Row],[Year]]&gt;0,$E$1-Table11[[#This Row],[Year]],0),"")</f>
        <v>0</v>
      </c>
      <c r="F1008" s="456"/>
      <c r="G1008" s="456"/>
      <c r="H1008" s="456"/>
    </row>
    <row r="1009" spans="1:8" ht="13.5" customHeight="1">
      <c r="A1009" s="471">
        <v>8005</v>
      </c>
      <c r="B1009" s="540" t="s">
        <v>3271</v>
      </c>
      <c r="C1009" s="471" t="s">
        <v>244</v>
      </c>
      <c r="D1009" s="456">
        <f>IF(Table11[[#This Row],[Current Age]]&gt;19,"Women's",IF(E1009&gt;15,"U19",IF(E1009&gt;13,"U15",IF(E1009&gt;11,"U13",IF(E1009&gt;0,"U11",0)))))</f>
        <v>0</v>
      </c>
      <c r="E1009" s="456">
        <f>IFERROR(IF(Table11[[#This Row],[Year]]&gt;0,$E$1-Table11[[#This Row],[Year]],0),"")</f>
        <v>0</v>
      </c>
      <c r="F1009" s="456"/>
      <c r="G1009" s="456"/>
      <c r="H1009" s="456"/>
    </row>
    <row r="1010" spans="1:8" ht="13.5" customHeight="1">
      <c r="A1010" s="456">
        <v>8006</v>
      </c>
      <c r="B1010" s="457" t="s">
        <v>3272</v>
      </c>
      <c r="C1010" s="456" t="s">
        <v>244</v>
      </c>
      <c r="D1010" s="456">
        <f>IF(Table11[[#This Row],[Current Age]]&gt;19,"Women's",IF(E1010&gt;15,"U19",IF(E1010&gt;13,"U15",IF(E1010&gt;11,"U13",IF(E1010&gt;0,"U11",0)))))</f>
        <v>0</v>
      </c>
      <c r="E1010" s="456">
        <f>IFERROR(IF(Table11[[#This Row],[Year]]&gt;0,$E$1-Table11[[#This Row],[Year]],0),"")</f>
        <v>0</v>
      </c>
      <c r="F1010" s="456"/>
      <c r="G1010" s="456"/>
      <c r="H1010" s="456"/>
    </row>
    <row r="1011" spans="1:8" ht="13.5" customHeight="1">
      <c r="A1011" s="471">
        <v>8007</v>
      </c>
      <c r="B1011" s="540" t="s">
        <v>3273</v>
      </c>
      <c r="C1011" s="471" t="s">
        <v>244</v>
      </c>
      <c r="D1011" s="456">
        <f>IF(Table11[[#This Row],[Current Age]]&gt;19,"Women's",IF(E1011&gt;15,"U19",IF(E1011&gt;13,"U15",IF(E1011&gt;11,"U13",IF(E1011&gt;0,"U11",0)))))</f>
        <v>0</v>
      </c>
      <c r="E1011" s="456">
        <f>IFERROR(IF(Table11[[#This Row],[Year]]&gt;0,$E$1-Table11[[#This Row],[Year]],0),"")</f>
        <v>0</v>
      </c>
      <c r="F1011" s="456"/>
      <c r="G1011" s="456"/>
      <c r="H1011" s="456"/>
    </row>
    <row r="1012" spans="1:8" ht="13.5" customHeight="1">
      <c r="A1012" s="456">
        <v>8008</v>
      </c>
      <c r="B1012" s="457" t="s">
        <v>3278</v>
      </c>
      <c r="C1012" s="456" t="s">
        <v>251</v>
      </c>
      <c r="D1012" s="456">
        <f>IF(Table11[[#This Row],[Current Age]]&gt;19,"Women's",IF(E1012&gt;15,"U19",IF(E1012&gt;13,"U15",IF(E1012&gt;11,"U13",IF(E1012&gt;0,"U11",0)))))</f>
        <v>0</v>
      </c>
      <c r="E1012" s="456">
        <f>IFERROR(IF(Table11[[#This Row],[Year]]&gt;0,$E$1-Table11[[#This Row],[Year]],0),"")</f>
        <v>0</v>
      </c>
      <c r="F1012" s="456"/>
      <c r="G1012" s="456"/>
      <c r="H1012" s="456"/>
    </row>
    <row r="1013" spans="1:8" ht="13.5" customHeight="1">
      <c r="A1013" s="471">
        <v>8009</v>
      </c>
      <c r="B1013" s="540" t="s">
        <v>3338</v>
      </c>
      <c r="C1013" s="471" t="s">
        <v>251</v>
      </c>
      <c r="D1013" s="456">
        <f>IF(Table11[[#This Row],[Current Age]]&gt;19,"Women's",IF(E1013&gt;15,"U19",IF(E1013&gt;13,"U15",IF(E1013&gt;11,"U13",IF(E1013&gt;0,"U11",0)))))</f>
        <v>0</v>
      </c>
      <c r="E1013" s="456">
        <f>IFERROR(IF(Table11[[#This Row],[Year]]&gt;0,$E$1-Table11[[#This Row],[Year]],0),"")</f>
        <v>0</v>
      </c>
      <c r="F1013" s="456"/>
      <c r="G1013" s="456"/>
      <c r="H1013" s="456"/>
    </row>
    <row r="1014" spans="1:8" ht="13.5" customHeight="1">
      <c r="A1014" s="456">
        <v>8010</v>
      </c>
      <c r="B1014" s="457" t="s">
        <v>3339</v>
      </c>
      <c r="C1014" s="456" t="s">
        <v>3346</v>
      </c>
      <c r="D1014" s="456">
        <f>IF(Table11[[#This Row],[Current Age]]&gt;19,"Women's",IF(E1014&gt;15,"U19",IF(E1014&gt;13,"U15",IF(E1014&gt;11,"U13",IF(E1014&gt;0,"U11",0)))))</f>
        <v>0</v>
      </c>
      <c r="E1014" s="456">
        <f>IFERROR(IF(Table11[[#This Row],[Year]]&gt;0,$E$1-Table11[[#This Row],[Year]],0),"")</f>
        <v>0</v>
      </c>
      <c r="F1014" s="456"/>
      <c r="G1014" s="456"/>
      <c r="H1014" s="456"/>
    </row>
    <row r="1015" spans="1:8" ht="13.5" customHeight="1">
      <c r="A1015" s="471">
        <v>8011</v>
      </c>
      <c r="B1015" s="540" t="s">
        <v>3340</v>
      </c>
      <c r="C1015" s="471" t="s">
        <v>3332</v>
      </c>
      <c r="D1015" s="456">
        <f>IF(Table11[[#This Row],[Current Age]]&gt;19,"Women's",IF(E1015&gt;15,"U19",IF(E1015&gt;13,"U15",IF(E1015&gt;11,"U13",IF(E1015&gt;0,"U11",0)))))</f>
        <v>0</v>
      </c>
      <c r="E1015" s="456">
        <f>IFERROR(IF(Table11[[#This Row],[Year]]&gt;0,$E$1-Table11[[#This Row],[Year]],0),"")</f>
        <v>0</v>
      </c>
      <c r="F1015" s="456"/>
      <c r="G1015" s="456"/>
      <c r="H1015" s="456"/>
    </row>
    <row r="1016" spans="1:8" ht="13.5" customHeight="1">
      <c r="A1016" s="456">
        <v>8012</v>
      </c>
      <c r="B1016" s="457" t="s">
        <v>3341</v>
      </c>
      <c r="C1016" s="456" t="s">
        <v>3332</v>
      </c>
      <c r="D1016" s="456">
        <f>IF(Table11[[#This Row],[Current Age]]&gt;19,"Women's",IF(E1016&gt;15,"U19",IF(E1016&gt;13,"U15",IF(E1016&gt;11,"U13",IF(E1016&gt;0,"U11",0)))))</f>
        <v>0</v>
      </c>
      <c r="E1016" s="456">
        <f>IFERROR(IF(Table11[[#This Row],[Year]]&gt;0,$E$1-Table11[[#This Row],[Year]],0),"")</f>
        <v>0</v>
      </c>
      <c r="F1016" s="456"/>
      <c r="G1016" s="456"/>
      <c r="H1016" s="456"/>
    </row>
    <row r="1017" spans="1:8" ht="13.5" customHeight="1">
      <c r="A1017" s="471">
        <v>8013</v>
      </c>
      <c r="B1017" s="540" t="s">
        <v>3347</v>
      </c>
      <c r="C1017" s="471" t="s">
        <v>3346</v>
      </c>
      <c r="D1017" s="456">
        <f>IF(Table11[[#This Row],[Current Age]]&gt;19,"Women's",IF(E1017&gt;15,"U19",IF(E1017&gt;13,"U15",IF(E1017&gt;11,"U13",IF(E1017&gt;0,"U11",0)))))</f>
        <v>0</v>
      </c>
      <c r="E1017" s="456">
        <f>IFERROR(IF(Table11[[#This Row],[Year]]&gt;0,$E$1-Table11[[#This Row],[Year]],0),"")</f>
        <v>0</v>
      </c>
      <c r="F1017" s="456"/>
      <c r="G1017" s="456"/>
      <c r="H1017" s="456"/>
    </row>
    <row r="1018" spans="1:8" ht="13.5" customHeight="1">
      <c r="A1018" s="456">
        <v>8014</v>
      </c>
      <c r="B1018" s="457" t="s">
        <v>3348</v>
      </c>
      <c r="C1018" s="456" t="s">
        <v>3346</v>
      </c>
      <c r="D1018" s="456">
        <f>IF(Table11[[#This Row],[Current Age]]&gt;19,"Women's",IF(E1018&gt;15,"U19",IF(E1018&gt;13,"U15",IF(E1018&gt;11,"U13",IF(E1018&gt;0,"U11",0)))))</f>
        <v>0</v>
      </c>
      <c r="E1018" s="456">
        <f>IFERROR(IF(Table11[[#This Row],[Year]]&gt;0,$E$1-Table11[[#This Row],[Year]],0),"")</f>
        <v>0</v>
      </c>
      <c r="F1018" s="456"/>
      <c r="G1018" s="456"/>
      <c r="H1018" s="456"/>
    </row>
    <row r="1019" spans="1:8" ht="13.5" customHeight="1">
      <c r="A1019" s="471">
        <v>8015</v>
      </c>
      <c r="B1019" s="540" t="s">
        <v>3368</v>
      </c>
      <c r="C1019" s="471" t="s">
        <v>251</v>
      </c>
      <c r="D1019" s="456">
        <f>IF(Table11[[#This Row],[Current Age]]&gt;19,"Women's",IF(E1019&gt;15,"U19",IF(E1019&gt;13,"U15",IF(E1019&gt;11,"U13",IF(E1019&gt;0,"U11",0)))))</f>
        <v>0</v>
      </c>
      <c r="E1019" s="456">
        <f>IFERROR(IF(Table11[[#This Row],[Year]]&gt;0,$E$1-Table11[[#This Row],[Year]],0),"")</f>
        <v>0</v>
      </c>
      <c r="F1019" s="456"/>
      <c r="G1019" s="456"/>
      <c r="H1019" s="456"/>
    </row>
    <row r="1020" spans="1:8" ht="13.5" customHeight="1">
      <c r="A1020" s="456">
        <v>8016</v>
      </c>
      <c r="B1020" s="457" t="s">
        <v>3369</v>
      </c>
      <c r="C1020" s="456" t="s">
        <v>256</v>
      </c>
      <c r="D1020" s="456">
        <f>IF(Table11[[#This Row],[Current Age]]&gt;19,"Women's",IF(E1020&gt;15,"U19",IF(E1020&gt;13,"U15",IF(E1020&gt;11,"U13",IF(E1020&gt;0,"U11",0)))))</f>
        <v>0</v>
      </c>
      <c r="E1020" s="456">
        <f>IFERROR(IF(Table11[[#This Row],[Year]]&gt;0,$E$1-Table11[[#This Row],[Year]],0),"")</f>
        <v>0</v>
      </c>
      <c r="F1020" s="456"/>
      <c r="G1020" s="456"/>
      <c r="H1020" s="456"/>
    </row>
    <row r="1021" spans="1:8" ht="13.5" customHeight="1">
      <c r="A1021" s="471">
        <v>8017</v>
      </c>
      <c r="B1021" s="540" t="s">
        <v>3370</v>
      </c>
      <c r="C1021" s="471" t="s">
        <v>3287</v>
      </c>
      <c r="D1021" s="456">
        <f>IF(Table11[[#This Row],[Current Age]]&gt;19,"Women's",IF(E1021&gt;15,"U19",IF(E1021&gt;13,"U15",IF(E1021&gt;11,"U13",IF(E1021&gt;0,"U11",0)))))</f>
        <v>0</v>
      </c>
      <c r="E1021" s="456">
        <f>IFERROR(IF(Table11[[#This Row],[Year]]&gt;0,$E$1-Table11[[#This Row],[Year]],0),"")</f>
        <v>0</v>
      </c>
      <c r="F1021" s="456"/>
      <c r="G1021" s="456"/>
      <c r="H1021" s="456"/>
    </row>
    <row r="1022" spans="1:8" ht="13.5" customHeight="1">
      <c r="A1022" s="456">
        <v>8018</v>
      </c>
      <c r="B1022" s="457" t="s">
        <v>3371</v>
      </c>
      <c r="C1022" s="456" t="s">
        <v>247</v>
      </c>
      <c r="D1022" s="456">
        <f>IF(Table11[[#This Row],[Current Age]]&gt;19,"Women's",IF(E1022&gt;15,"U19",IF(E1022&gt;13,"U15",IF(E1022&gt;11,"U13",IF(E1022&gt;0,"U11",0)))))</f>
        <v>0</v>
      </c>
      <c r="E1022" s="456">
        <f>IFERROR(IF(Table11[[#This Row],[Year]]&gt;0,$E$1-Table11[[#This Row],[Year]],0),"")</f>
        <v>0</v>
      </c>
      <c r="F1022" s="456"/>
      <c r="G1022" s="456"/>
      <c r="H1022" s="456"/>
    </row>
    <row r="1023" spans="1:8" ht="13.5" customHeight="1">
      <c r="A1023" s="471">
        <v>8019</v>
      </c>
      <c r="B1023" s="540" t="s">
        <v>3372</v>
      </c>
      <c r="C1023" s="471" t="s">
        <v>253</v>
      </c>
      <c r="D1023" s="456">
        <f>IF(Table11[[#This Row],[Current Age]]&gt;19,"Women's",IF(E1023&gt;15,"U19",IF(E1023&gt;13,"U15",IF(E1023&gt;11,"U13",IF(E1023&gt;0,"U11",0)))))</f>
        <v>0</v>
      </c>
      <c r="E1023" s="456">
        <f>IFERROR(IF(Table11[[#This Row],[Year]]&gt;0,$E$1-Table11[[#This Row],[Year]],0),"")</f>
        <v>0</v>
      </c>
      <c r="F1023" s="456"/>
      <c r="G1023" s="456"/>
      <c r="H1023" s="456"/>
    </row>
    <row r="1024" spans="1:8" ht="13.5" customHeight="1">
      <c r="A1024" s="456">
        <v>8020</v>
      </c>
      <c r="B1024" s="457" t="s">
        <v>3373</v>
      </c>
      <c r="C1024" s="456" t="s">
        <v>253</v>
      </c>
      <c r="D1024" s="456">
        <f>IF(Table11[[#This Row],[Current Age]]&gt;19,"Women's",IF(E1024&gt;15,"U19",IF(E1024&gt;13,"U15",IF(E1024&gt;11,"U13",IF(E1024&gt;0,"U11",0)))))</f>
        <v>0</v>
      </c>
      <c r="E1024" s="456">
        <f>IFERROR(IF(Table11[[#This Row],[Year]]&gt;0,$E$1-Table11[[#This Row],[Year]],0),"")</f>
        <v>0</v>
      </c>
      <c r="F1024" s="456"/>
      <c r="G1024" s="456"/>
      <c r="H1024" s="456"/>
    </row>
    <row r="1025" spans="1:8" ht="13.5" customHeight="1">
      <c r="A1025" s="471">
        <v>8021</v>
      </c>
      <c r="B1025" s="540" t="s">
        <v>3374</v>
      </c>
      <c r="C1025" s="471" t="s">
        <v>253</v>
      </c>
      <c r="D1025" s="456">
        <f>IF(Table11[[#This Row],[Current Age]]&gt;19,"Women's",IF(E1025&gt;15,"U19",IF(E1025&gt;13,"U15",IF(E1025&gt;11,"U13",IF(E1025&gt;0,"U11",0)))))</f>
        <v>0</v>
      </c>
      <c r="E1025" s="456">
        <f>IFERROR(IF(Table11[[#This Row],[Year]]&gt;0,$E$1-Table11[[#This Row],[Year]],0),"")</f>
        <v>0</v>
      </c>
      <c r="F1025" s="456"/>
      <c r="G1025" s="456"/>
      <c r="H1025" s="456"/>
    </row>
    <row r="1026" spans="1:8" ht="13.5" customHeight="1">
      <c r="A1026" s="456">
        <v>8022</v>
      </c>
      <c r="B1026" s="457" t="s">
        <v>3375</v>
      </c>
      <c r="C1026" s="456" t="s">
        <v>3346</v>
      </c>
      <c r="D1026" s="456">
        <f>IF(Table11[[#This Row],[Current Age]]&gt;19,"Women's",IF(E1026&gt;15,"U19",IF(E1026&gt;13,"U15",IF(E1026&gt;11,"U13",IF(E1026&gt;0,"U11",0)))))</f>
        <v>0</v>
      </c>
      <c r="E1026" s="456">
        <f>IFERROR(IF(Table11[[#This Row],[Year]]&gt;0,$E$1-Table11[[#This Row],[Year]],0),"")</f>
        <v>0</v>
      </c>
      <c r="F1026" s="456"/>
      <c r="G1026" s="456"/>
      <c r="H1026" s="456"/>
    </row>
    <row r="1027" spans="1:8" ht="13.5" customHeight="1">
      <c r="A1027" s="471">
        <v>8023</v>
      </c>
      <c r="B1027" s="540" t="s">
        <v>3376</v>
      </c>
      <c r="C1027" s="471" t="s">
        <v>3346</v>
      </c>
      <c r="D1027" s="456">
        <f>IF(Table11[[#This Row],[Current Age]]&gt;19,"Women's",IF(E1027&gt;15,"U19",IF(E1027&gt;13,"U15",IF(E1027&gt;11,"U13",IF(E1027&gt;0,"U11",0)))))</f>
        <v>0</v>
      </c>
      <c r="E1027" s="456">
        <f>IFERROR(IF(Table11[[#This Row],[Year]]&gt;0,$E$1-Table11[[#This Row],[Year]],0),"")</f>
        <v>0</v>
      </c>
      <c r="F1027" s="456"/>
      <c r="G1027" s="456"/>
      <c r="H1027" s="456"/>
    </row>
    <row r="1028" spans="1:8" ht="13.5" customHeight="1">
      <c r="A1028" s="456">
        <v>8024</v>
      </c>
      <c r="B1028" s="457" t="s">
        <v>3377</v>
      </c>
      <c r="C1028" s="456" t="s">
        <v>3287</v>
      </c>
      <c r="D1028" s="456">
        <f>IF(Table11[[#This Row],[Current Age]]&gt;19,"Women's",IF(E1028&gt;15,"U19",IF(E1028&gt;13,"U15",IF(E1028&gt;11,"U13",IF(E1028&gt;0,"U11",0)))))</f>
        <v>0</v>
      </c>
      <c r="E1028" s="456">
        <f>IFERROR(IF(Table11[[#This Row],[Year]]&gt;0,$E$1-Table11[[#This Row],[Year]],0),"")</f>
        <v>0</v>
      </c>
      <c r="F1028" s="456"/>
      <c r="G1028" s="456"/>
      <c r="H1028" s="456"/>
    </row>
    <row r="1029" spans="1:8" ht="13.5" customHeight="1">
      <c r="A1029" s="471">
        <v>8025</v>
      </c>
      <c r="B1029" s="540" t="s">
        <v>3548</v>
      </c>
      <c r="C1029" s="471" t="s">
        <v>361</v>
      </c>
      <c r="D1029" s="456" t="str">
        <f>IF(Table11[[#This Row],[Current Age]]&gt;19,"Women's",IF(E1029&gt;15,"U19",IF(E1029&gt;13,"U15",IF(E1029&gt;11,"U13",IF(E1029&gt;0,"U11",0)))))</f>
        <v>U13</v>
      </c>
      <c r="E1029" s="456">
        <f>IFERROR(IF(Table11[[#This Row],[Year]]&gt;0,$E$1-Table11[[#This Row],[Year]],0),"")</f>
        <v>13</v>
      </c>
      <c r="F1029" s="456">
        <v>2012</v>
      </c>
      <c r="G1029" s="456">
        <v>11</v>
      </c>
      <c r="H1029" s="456">
        <v>17</v>
      </c>
    </row>
    <row r="1030" spans="1:8" ht="13.5" customHeight="1">
      <c r="A1030" s="456">
        <v>8026</v>
      </c>
      <c r="B1030" s="457" t="s">
        <v>3441</v>
      </c>
      <c r="C1030" s="456" t="s">
        <v>361</v>
      </c>
      <c r="D1030" s="456">
        <f>IF(Table11[[#This Row],[Current Age]]&gt;19,"Women's",IF(E1030&gt;15,"U19",IF(E1030&gt;13,"U15",IF(E1030&gt;11,"U13",IF(E1030&gt;0,"U11",0)))))</f>
        <v>0</v>
      </c>
      <c r="E1030" s="456">
        <f>IFERROR(IF(Table11[[#This Row],[Year]]&gt;0,$E$1-Table11[[#This Row],[Year]],0),"")</f>
        <v>0</v>
      </c>
      <c r="F1030" s="456"/>
      <c r="G1030" s="456"/>
      <c r="H1030" s="456"/>
    </row>
    <row r="1031" spans="1:8" ht="13.5" customHeight="1">
      <c r="A1031" s="471">
        <v>8027</v>
      </c>
      <c r="B1031" s="540" t="s">
        <v>3442</v>
      </c>
      <c r="C1031" s="471" t="s">
        <v>361</v>
      </c>
      <c r="D1031" s="456">
        <f>IF(Table11[[#This Row],[Current Age]]&gt;19,"Women's",IF(E1031&gt;15,"U19",IF(E1031&gt;13,"U15",IF(E1031&gt;11,"U13",IF(E1031&gt;0,"U11",0)))))</f>
        <v>0</v>
      </c>
      <c r="E1031" s="456">
        <f>IFERROR(IF(Table11[[#This Row],[Year]]&gt;0,$E$1-Table11[[#This Row],[Year]],0),"")</f>
        <v>0</v>
      </c>
      <c r="F1031" s="456"/>
      <c r="G1031" s="456"/>
      <c r="H1031" s="456"/>
    </row>
    <row r="1032" spans="1:8" ht="13.5" customHeight="1">
      <c r="A1032" s="456">
        <v>8028</v>
      </c>
      <c r="B1032" s="457" t="s">
        <v>3443</v>
      </c>
      <c r="C1032" s="456" t="s">
        <v>361</v>
      </c>
      <c r="D1032" s="456">
        <f>IF(Table11[[#This Row],[Current Age]]&gt;19,"Women's",IF(E1032&gt;15,"U19",IF(E1032&gt;13,"U15",IF(E1032&gt;11,"U13",IF(E1032&gt;0,"U11",0)))))</f>
        <v>0</v>
      </c>
      <c r="E1032" s="456">
        <f>IFERROR(IF(Table11[[#This Row],[Year]]&gt;0,$E$1-Table11[[#This Row],[Year]],0),"")</f>
        <v>0</v>
      </c>
      <c r="F1032" s="456"/>
      <c r="G1032" s="456"/>
      <c r="H1032" s="456"/>
    </row>
    <row r="1033" spans="1:8" ht="13.5" customHeight="1">
      <c r="A1033" s="471">
        <v>8029</v>
      </c>
      <c r="B1033" s="540" t="s">
        <v>3549</v>
      </c>
      <c r="C1033" s="471" t="s">
        <v>361</v>
      </c>
      <c r="D1033" s="456">
        <f>IF(Table11[[#This Row],[Current Age]]&gt;19,"Women's",IF(E1033&gt;15,"U19",IF(E1033&gt;13,"U15",IF(E1033&gt;11,"U13",IF(E1033&gt;0,"U11",0)))))</f>
        <v>0</v>
      </c>
      <c r="E1033" s="456">
        <f>IFERROR(IF(Table11[[#This Row],[Year]]&gt;0,$E$1-Table11[[#This Row],[Year]],0),"")</f>
        <v>0</v>
      </c>
      <c r="F1033" s="456"/>
      <c r="G1033" s="456"/>
      <c r="H1033" s="456"/>
    </row>
    <row r="1034" spans="1:8" ht="13.5" customHeight="1">
      <c r="A1034" s="456">
        <v>8030</v>
      </c>
      <c r="B1034" s="457" t="s">
        <v>3550</v>
      </c>
      <c r="C1034" s="456" t="s">
        <v>361</v>
      </c>
      <c r="D1034" s="456">
        <f>IF(Table11[[#This Row],[Current Age]]&gt;19,"Women's",IF(E1034&gt;15,"U19",IF(E1034&gt;13,"U15",IF(E1034&gt;11,"U13",IF(E1034&gt;0,"U11",0)))))</f>
        <v>0</v>
      </c>
      <c r="E1034" s="456">
        <f>IFERROR(IF(Table11[[#This Row],[Year]]&gt;0,$E$1-Table11[[#This Row],[Year]],0),"")</f>
        <v>0</v>
      </c>
      <c r="F1034" s="456"/>
      <c r="G1034" s="456"/>
      <c r="H1034" s="456"/>
    </row>
    <row r="1035" spans="1:8" ht="13.5" customHeight="1">
      <c r="A1035" s="471">
        <v>8031</v>
      </c>
      <c r="B1035" s="540" t="s">
        <v>3551</v>
      </c>
      <c r="C1035" s="471" t="s">
        <v>361</v>
      </c>
      <c r="D1035" s="456">
        <f>IF(Table11[[#This Row],[Current Age]]&gt;19,"Women's",IF(E1035&gt;15,"U19",IF(E1035&gt;13,"U15",IF(E1035&gt;11,"U13",IF(E1035&gt;0,"U11",0)))))</f>
        <v>0</v>
      </c>
      <c r="E1035" s="456">
        <f>IFERROR(IF(Table11[[#This Row],[Year]]&gt;0,$E$1-Table11[[#This Row],[Year]],0),"")</f>
        <v>0</v>
      </c>
      <c r="F1035" s="456"/>
      <c r="G1035" s="456"/>
      <c r="H1035" s="456"/>
    </row>
    <row r="1036" spans="1:8" ht="13.5" customHeight="1">
      <c r="A1036" s="456">
        <v>8032</v>
      </c>
      <c r="B1036" s="457" t="s">
        <v>3552</v>
      </c>
      <c r="C1036" s="456" t="s">
        <v>361</v>
      </c>
      <c r="D1036" s="456">
        <f>IF(Table11[[#This Row],[Current Age]]&gt;19,"Women's",IF(E1036&gt;15,"U19",IF(E1036&gt;13,"U15",IF(E1036&gt;11,"U13",IF(E1036&gt;0,"U11",0)))))</f>
        <v>0</v>
      </c>
      <c r="E1036" s="456">
        <f>IFERROR(IF(Table11[[#This Row],[Year]]&gt;0,$E$1-Table11[[#This Row],[Year]],0),"")</f>
        <v>0</v>
      </c>
      <c r="F1036" s="456"/>
      <c r="G1036" s="456"/>
      <c r="H1036" s="456"/>
    </row>
    <row r="1037" spans="1:8" ht="13.5" customHeight="1">
      <c r="A1037" s="471">
        <v>8033</v>
      </c>
      <c r="B1037" s="540" t="s">
        <v>3444</v>
      </c>
      <c r="C1037" s="471" t="s">
        <v>249</v>
      </c>
      <c r="D1037" s="456">
        <f>IF(Table11[[#This Row],[Current Age]]&gt;19,"Women's",IF(E1037&gt;15,"U19",IF(E1037&gt;13,"U15",IF(E1037&gt;11,"U13",IF(E1037&gt;0,"U11",0)))))</f>
        <v>0</v>
      </c>
      <c r="E1037" s="456">
        <f>IFERROR(IF(Table11[[#This Row],[Year]]&gt;0,$E$1-Table11[[#This Row],[Year]],0),"")</f>
        <v>0</v>
      </c>
      <c r="F1037" s="456"/>
      <c r="G1037" s="456"/>
      <c r="H1037" s="456"/>
    </row>
    <row r="1038" spans="1:8" ht="13.5" customHeight="1">
      <c r="A1038" s="456">
        <v>8034</v>
      </c>
      <c r="B1038" s="457" t="s">
        <v>3445</v>
      </c>
      <c r="C1038" s="456" t="s">
        <v>249</v>
      </c>
      <c r="D1038" s="456">
        <f>IF(Table11[[#This Row],[Current Age]]&gt;19,"Women's",IF(E1038&gt;15,"U19",IF(E1038&gt;13,"U15",IF(E1038&gt;11,"U13",IF(E1038&gt;0,"U11",0)))))</f>
        <v>0</v>
      </c>
      <c r="E1038" s="456">
        <f>IFERROR(IF(Table11[[#This Row],[Year]]&gt;0,$E$1-Table11[[#This Row],[Year]],0),"")</f>
        <v>0</v>
      </c>
      <c r="F1038" s="456"/>
      <c r="G1038" s="456"/>
      <c r="H1038" s="456"/>
    </row>
    <row r="1039" spans="1:8" ht="13.5" customHeight="1">
      <c r="A1039" s="471">
        <v>8035</v>
      </c>
      <c r="B1039" s="540" t="s">
        <v>3547</v>
      </c>
      <c r="C1039" s="471" t="s">
        <v>361</v>
      </c>
      <c r="D1039" s="456">
        <f>IF(Table11[[#This Row],[Current Age]]&gt;19,"Women's",IF(E1039&gt;15,"U19",IF(E1039&gt;13,"U15",IF(E1039&gt;11,"U13",IF(E1039&gt;0,"U11",0)))))</f>
        <v>0</v>
      </c>
      <c r="E1039" s="456">
        <f>IFERROR(IF(Table11[[#This Row],[Year]]&gt;0,$E$1-Table11[[#This Row],[Year]],0),"")</f>
        <v>0</v>
      </c>
      <c r="F1039" s="456"/>
      <c r="G1039" s="456"/>
      <c r="H1039" s="456"/>
    </row>
    <row r="1040" spans="1:8" ht="13.5" customHeight="1">
      <c r="A1040" s="456">
        <v>8036</v>
      </c>
      <c r="B1040" s="457" t="s">
        <v>3546</v>
      </c>
      <c r="C1040" s="456" t="s">
        <v>361</v>
      </c>
      <c r="D1040" s="456">
        <f>IF(Table11[[#This Row],[Current Age]]&gt;19,"Women's",IF(E1040&gt;15,"U19",IF(E1040&gt;13,"U15",IF(E1040&gt;11,"U13",IF(E1040&gt;0,"U11",0)))))</f>
        <v>0</v>
      </c>
      <c r="E1040" s="456">
        <f>IFERROR(IF(Table11[[#This Row],[Year]]&gt;0,$E$1-Table11[[#This Row],[Year]],0),"")</f>
        <v>0</v>
      </c>
      <c r="F1040" s="456"/>
      <c r="G1040" s="456"/>
      <c r="H1040" s="456"/>
    </row>
    <row r="1041" spans="1:8" ht="13.5" customHeight="1">
      <c r="A1041" s="471">
        <v>8037</v>
      </c>
      <c r="B1041" s="540" t="s">
        <v>3545</v>
      </c>
      <c r="C1041" s="471" t="s">
        <v>361</v>
      </c>
      <c r="D1041" s="456" t="str">
        <f>IF(Table11[[#This Row],[Current Age]]&gt;19,"Women's",IF(E1041&gt;15,"U19",IF(E1041&gt;13,"U15",IF(E1041&gt;11,"U13",IF(E1041&gt;0,"U11",0)))))</f>
        <v>U19</v>
      </c>
      <c r="E1041" s="456">
        <f>IFERROR(IF(Table11[[#This Row],[Year]]&gt;0,$E$1-Table11[[#This Row],[Year]],0),"")</f>
        <v>16</v>
      </c>
      <c r="F1041" s="456">
        <v>2009</v>
      </c>
      <c r="G1041" s="456"/>
      <c r="H1041" s="456"/>
    </row>
    <row r="1042" spans="1:8" ht="13.5" customHeight="1">
      <c r="A1042" s="456">
        <v>8038</v>
      </c>
      <c r="B1042" s="457" t="s">
        <v>3544</v>
      </c>
      <c r="C1042" s="456" t="s">
        <v>361</v>
      </c>
      <c r="D1042" s="456" t="str">
        <f>IF(Table11[[#This Row],[Current Age]]&gt;19,"Women's",IF(E1042&gt;15,"U19",IF(E1042&gt;13,"U15",IF(E1042&gt;11,"U13",IF(E1042&gt;0,"U11",0)))))</f>
        <v>U15</v>
      </c>
      <c r="E1042" s="456">
        <f>IFERROR(IF(Table11[[#This Row],[Year]]&gt;0,$E$1-Table11[[#This Row],[Year]],0),"")</f>
        <v>14</v>
      </c>
      <c r="F1042" s="456">
        <v>2011</v>
      </c>
      <c r="G1042" s="456"/>
      <c r="H1042" s="456"/>
    </row>
    <row r="1043" spans="1:8" ht="13.5" customHeight="1">
      <c r="A1043" s="471">
        <v>8039</v>
      </c>
      <c r="B1043" s="540" t="s">
        <v>3446</v>
      </c>
      <c r="C1043" s="471" t="s">
        <v>361</v>
      </c>
      <c r="D1043" s="456">
        <f>IF(Table11[[#This Row],[Current Age]]&gt;19,"Women's",IF(E1043&gt;15,"U19",IF(E1043&gt;13,"U15",IF(E1043&gt;11,"U13",IF(E1043&gt;0,"U11",0)))))</f>
        <v>0</v>
      </c>
      <c r="E1043" s="456">
        <f>IFERROR(IF(Table11[[#This Row],[Year]]&gt;0,$E$1-Table11[[#This Row],[Year]],0),"")</f>
        <v>0</v>
      </c>
      <c r="F1043" s="456"/>
      <c r="G1043" s="456"/>
      <c r="H1043" s="456"/>
    </row>
    <row r="1044" spans="1:8" ht="13.5" customHeight="1">
      <c r="A1044" s="456">
        <v>8040</v>
      </c>
      <c r="B1044" s="457" t="s">
        <v>3684</v>
      </c>
      <c r="C1044" s="456" t="s">
        <v>361</v>
      </c>
      <c r="D1044" s="456">
        <f>IF(Table11[[#This Row],[Current Age]]&gt;19,"Women's",IF(E1044&gt;15,"U19",IF(E1044&gt;13,"U15",IF(E1044&gt;11,"U13",IF(E1044&gt;0,"U11",0)))))</f>
        <v>0</v>
      </c>
      <c r="E1044" s="456">
        <f>IFERROR(IF(Table11[[#This Row],[Year]]&gt;0,$E$1-Table11[[#This Row],[Year]],0),"")</f>
        <v>0</v>
      </c>
      <c r="F1044" s="456"/>
      <c r="G1044" s="456"/>
      <c r="H1044" s="456"/>
    </row>
    <row r="1045" spans="1:8" ht="13.5" customHeight="1">
      <c r="A1045" s="471">
        <v>8041</v>
      </c>
      <c r="B1045" s="540" t="s">
        <v>3543</v>
      </c>
      <c r="C1045" s="471" t="s">
        <v>361</v>
      </c>
      <c r="D1045" s="456">
        <f>IF(Table11[[#This Row],[Current Age]]&gt;19,"Women's",IF(E1045&gt;15,"U19",IF(E1045&gt;13,"U15",IF(E1045&gt;11,"U13",IF(E1045&gt;0,"U11",0)))))</f>
        <v>0</v>
      </c>
      <c r="E1045" s="456">
        <f>IFERROR(IF(Table11[[#This Row],[Year]]&gt;0,$E$1-Table11[[#This Row],[Year]],0),"")</f>
        <v>0</v>
      </c>
      <c r="F1045" s="456"/>
      <c r="G1045" s="456"/>
      <c r="H1045" s="456"/>
    </row>
    <row r="1046" spans="1:8" ht="13.5" customHeight="1">
      <c r="A1046" s="456">
        <v>8042</v>
      </c>
      <c r="B1046" s="457" t="s">
        <v>3557</v>
      </c>
      <c r="C1046" s="456" t="s">
        <v>1914</v>
      </c>
      <c r="D1046" s="456" t="str">
        <f>IF(Table11[[#This Row],[Current Age]]&gt;19,"Women's",IF(E1046&gt;15,"U19",IF(E1046&gt;13,"U15",IF(E1046&gt;11,"U13",IF(E1046&gt;0,"U11",0)))))</f>
        <v>U15</v>
      </c>
      <c r="E1046" s="456">
        <f>IFERROR(IF(Table11[[#This Row],[Year]]&gt;0,$E$1-Table11[[#This Row],[Year]],0),"")</f>
        <v>15</v>
      </c>
      <c r="F1046" s="456">
        <v>2010</v>
      </c>
      <c r="G1046" s="456"/>
      <c r="H1046" s="456"/>
    </row>
    <row r="1047" spans="1:8" ht="13.5" customHeight="1">
      <c r="A1047" s="471">
        <v>8043</v>
      </c>
      <c r="B1047" s="540" t="s">
        <v>3556</v>
      </c>
      <c r="C1047" s="471" t="s">
        <v>1914</v>
      </c>
      <c r="D1047" s="456" t="str">
        <f>IF(Table11[[#This Row],[Current Age]]&gt;19,"Women's",IF(E1047&gt;15,"U19",IF(E1047&gt;13,"U15",IF(E1047&gt;11,"U13",IF(E1047&gt;0,"U11",0)))))</f>
        <v>U15</v>
      </c>
      <c r="E1047" s="456">
        <f>IFERROR(IF(Table11[[#This Row],[Year]]&gt;0,$E$1-Table11[[#This Row],[Year]],0),"")</f>
        <v>15</v>
      </c>
      <c r="F1047" s="456">
        <v>2010</v>
      </c>
      <c r="G1047" s="456"/>
      <c r="H1047" s="456"/>
    </row>
    <row r="1048" spans="1:8" ht="13.5" customHeight="1">
      <c r="A1048" s="456">
        <v>8044</v>
      </c>
      <c r="B1048" s="457" t="s">
        <v>3555</v>
      </c>
      <c r="C1048" s="456" t="s">
        <v>1914</v>
      </c>
      <c r="D1048" s="456">
        <f>IF(Table11[[#This Row],[Current Age]]&gt;19,"Women's",IF(E1048&gt;15,"U19",IF(E1048&gt;13,"U15",IF(E1048&gt;11,"U13",IF(E1048&gt;0,"U11",0)))))</f>
        <v>0</v>
      </c>
      <c r="E1048" s="456">
        <f>IFERROR(IF(Table11[[#This Row],[Year]]&gt;0,$E$1-Table11[[#This Row],[Year]],0),"")</f>
        <v>0</v>
      </c>
      <c r="F1048" s="456"/>
      <c r="G1048" s="456"/>
      <c r="H1048" s="456"/>
    </row>
    <row r="1049" spans="1:8" ht="13.5" customHeight="1">
      <c r="A1049" s="471">
        <v>8045</v>
      </c>
      <c r="B1049" s="540" t="s">
        <v>3447</v>
      </c>
      <c r="C1049" s="471" t="s">
        <v>1914</v>
      </c>
      <c r="D1049" s="456">
        <f>IF(Table11[[#This Row],[Current Age]]&gt;19,"Women's",IF(E1049&gt;15,"U19",IF(E1049&gt;13,"U15",IF(E1049&gt;11,"U13",IF(E1049&gt;0,"U11",0)))))</f>
        <v>0</v>
      </c>
      <c r="E1049" s="456">
        <f>IFERROR(IF(Table11[[#This Row],[Year]]&gt;0,$E$1-Table11[[#This Row],[Year]],0),"")</f>
        <v>0</v>
      </c>
      <c r="F1049" s="456"/>
      <c r="G1049" s="456"/>
      <c r="H1049" s="456"/>
    </row>
    <row r="1050" spans="1:8" ht="13.5" customHeight="1">
      <c r="A1050" s="456">
        <v>8046</v>
      </c>
      <c r="B1050" s="457" t="s">
        <v>3448</v>
      </c>
      <c r="C1050" s="456" t="s">
        <v>1914</v>
      </c>
      <c r="D1050" s="456">
        <f>IF(Table11[[#This Row],[Current Age]]&gt;19,"Women's",IF(E1050&gt;15,"U19",IF(E1050&gt;13,"U15",IF(E1050&gt;11,"U13",IF(E1050&gt;0,"U11",0)))))</f>
        <v>0</v>
      </c>
      <c r="E1050" s="456">
        <f>IFERROR(IF(Table11[[#This Row],[Year]]&gt;0,$E$1-Table11[[#This Row],[Year]],0),"")</f>
        <v>0</v>
      </c>
      <c r="F1050" s="456"/>
      <c r="G1050" s="456"/>
      <c r="H1050" s="456"/>
    </row>
    <row r="1051" spans="1:8" ht="13.5" customHeight="1">
      <c r="A1051" s="471">
        <v>8047</v>
      </c>
      <c r="B1051" s="540" t="s">
        <v>3554</v>
      </c>
      <c r="C1051" s="471" t="s">
        <v>361</v>
      </c>
      <c r="D1051" s="456">
        <f>IF(Table11[[#This Row],[Current Age]]&gt;19,"Women's",IF(E1051&gt;15,"U19",IF(E1051&gt;13,"U15",IF(E1051&gt;11,"U13",IF(E1051&gt;0,"U11",0)))))</f>
        <v>0</v>
      </c>
      <c r="E1051" s="456">
        <f>IFERROR(IF(Table11[[#This Row],[Year]]&gt;0,$E$1-Table11[[#This Row],[Year]],0),"")</f>
        <v>0</v>
      </c>
      <c r="F1051" s="456"/>
      <c r="G1051" s="456"/>
      <c r="H1051" s="456"/>
    </row>
    <row r="1052" spans="1:8" ht="13.5" customHeight="1">
      <c r="A1052" s="456">
        <v>8048</v>
      </c>
      <c r="B1052" s="457" t="s">
        <v>3326</v>
      </c>
      <c r="C1052" s="456" t="s">
        <v>361</v>
      </c>
      <c r="D1052" s="456">
        <f>IF(Table11[[#This Row],[Current Age]]&gt;19,"Women's",IF(E1052&gt;15,"U19",IF(E1052&gt;13,"U15",IF(E1052&gt;11,"U13",IF(E1052&gt;0,"U11",0)))))</f>
        <v>0</v>
      </c>
      <c r="E1052" s="456">
        <f>IFERROR(IF(Table11[[#This Row],[Year]]&gt;0,$E$1-Table11[[#This Row],[Year]],0),"")</f>
        <v>0</v>
      </c>
      <c r="F1052" s="456"/>
      <c r="G1052" s="456"/>
      <c r="H1052" s="456"/>
    </row>
    <row r="1053" spans="1:8" ht="13.5" customHeight="1">
      <c r="A1053" s="471">
        <v>8049</v>
      </c>
      <c r="B1053" s="540" t="s">
        <v>3449</v>
      </c>
      <c r="C1053" s="471" t="s">
        <v>361</v>
      </c>
      <c r="D1053" s="456">
        <f>IF(Table11[[#This Row],[Current Age]]&gt;19,"Women's",IF(E1053&gt;15,"U19",IF(E1053&gt;13,"U15",IF(E1053&gt;11,"U13",IF(E1053&gt;0,"U11",0)))))</f>
        <v>0</v>
      </c>
      <c r="E1053" s="456">
        <f>IFERROR(IF(Table11[[#This Row],[Year]]&gt;0,$E$1-Table11[[#This Row],[Year]],0),"")</f>
        <v>0</v>
      </c>
      <c r="F1053" s="456"/>
      <c r="G1053" s="456"/>
      <c r="H1053" s="456"/>
    </row>
    <row r="1054" spans="1:8" ht="13.5" customHeight="1">
      <c r="A1054" s="456">
        <v>8050</v>
      </c>
      <c r="B1054" s="457" t="s">
        <v>3450</v>
      </c>
      <c r="C1054" s="456" t="s">
        <v>361</v>
      </c>
      <c r="D1054" s="456">
        <f>IF(Table11[[#This Row],[Current Age]]&gt;19,"Women's",IF(E1054&gt;15,"U19",IF(E1054&gt;13,"U15",IF(E1054&gt;11,"U13",IF(E1054&gt;0,"U11",0)))))</f>
        <v>0</v>
      </c>
      <c r="E1054" s="456">
        <f>IFERROR(IF(Table11[[#This Row],[Year]]&gt;0,$E$1-Table11[[#This Row],[Year]],0),"")</f>
        <v>0</v>
      </c>
      <c r="F1054" s="456"/>
      <c r="G1054" s="456"/>
      <c r="H1054" s="456"/>
    </row>
    <row r="1055" spans="1:8" ht="13.5" customHeight="1">
      <c r="A1055" s="471">
        <v>8051</v>
      </c>
      <c r="B1055" s="540" t="s">
        <v>3553</v>
      </c>
      <c r="C1055" s="471" t="s">
        <v>361</v>
      </c>
      <c r="D1055" s="456">
        <f>IF(Table11[[#This Row],[Current Age]]&gt;19,"Women's",IF(E1055&gt;15,"U19",IF(E1055&gt;13,"U15",IF(E1055&gt;11,"U13",IF(E1055&gt;0,"U11",0)))))</f>
        <v>0</v>
      </c>
      <c r="E1055" s="456">
        <f>IFERROR(IF(Table11[[#This Row],[Year]]&gt;0,$E$1-Table11[[#This Row],[Year]],0),"")</f>
        <v>0</v>
      </c>
      <c r="F1055" s="456"/>
      <c r="G1055" s="456"/>
      <c r="H1055" s="456"/>
    </row>
    <row r="1056" spans="1:8" ht="13.5" customHeight="1">
      <c r="A1056" s="456">
        <v>8052</v>
      </c>
      <c r="B1056" s="457" t="s">
        <v>3472</v>
      </c>
      <c r="C1056" s="456" t="s">
        <v>361</v>
      </c>
      <c r="D1056" s="456">
        <f>IF(Table11[[#This Row],[Current Age]]&gt;19,"Women's",IF(E1056&gt;15,"U19",IF(E1056&gt;13,"U15",IF(E1056&gt;11,"U13",IF(E1056&gt;0,"U11",0)))))</f>
        <v>0</v>
      </c>
      <c r="E1056" s="456">
        <f>IFERROR(IF(Table11[[#This Row],[Year]]&gt;0,$E$1-Table11[[#This Row],[Year]],0),"")</f>
        <v>0</v>
      </c>
      <c r="F1056" s="456"/>
      <c r="G1056" s="456"/>
      <c r="H1056" s="456"/>
    </row>
    <row r="1057" spans="1:8" ht="13.5" customHeight="1">
      <c r="A1057" s="471">
        <v>8053</v>
      </c>
      <c r="B1057" s="540" t="s">
        <v>3473</v>
      </c>
      <c r="C1057" s="471" t="s">
        <v>4720</v>
      </c>
      <c r="D1057" s="456">
        <f>IF(Table11[[#This Row],[Current Age]]&gt;19,"Women's",IF(E1057&gt;15,"U19",IF(E1057&gt;13,"U15",IF(E1057&gt;11,"U13",IF(E1057&gt;0,"U11",0)))))</f>
        <v>0</v>
      </c>
      <c r="E1057" s="456">
        <f>IFERROR(IF(Table11[[#This Row],[Year]]&gt;0,$E$1-Table11[[#This Row],[Year]],0),"")</f>
        <v>0</v>
      </c>
      <c r="F1057" s="456"/>
      <c r="G1057" s="456"/>
      <c r="H1057" s="456"/>
    </row>
    <row r="1058" spans="1:8" ht="13.5" customHeight="1">
      <c r="A1058" s="456">
        <v>8054</v>
      </c>
      <c r="B1058" s="457" t="s">
        <v>3474</v>
      </c>
      <c r="C1058" s="456" t="s">
        <v>3346</v>
      </c>
      <c r="D1058" s="456">
        <f>IF(Table11[[#This Row],[Current Age]]&gt;19,"Women's",IF(E1058&gt;15,"U19",IF(E1058&gt;13,"U15",IF(E1058&gt;11,"U13",IF(E1058&gt;0,"U11",0)))))</f>
        <v>0</v>
      </c>
      <c r="E1058" s="456">
        <f>IFERROR(IF(Table11[[#This Row],[Year]]&gt;0,$E$1-Table11[[#This Row],[Year]],0),"")</f>
        <v>0</v>
      </c>
      <c r="F1058" s="456"/>
      <c r="G1058" s="456"/>
      <c r="H1058" s="456"/>
    </row>
    <row r="1059" spans="1:8" ht="13.5" customHeight="1">
      <c r="A1059" s="471">
        <v>8055</v>
      </c>
      <c r="B1059" s="540" t="s">
        <v>3475</v>
      </c>
      <c r="C1059" s="471" t="s">
        <v>3346</v>
      </c>
      <c r="D1059" s="456">
        <f>IF(Table11[[#This Row],[Current Age]]&gt;19,"Women's",IF(E1059&gt;15,"U19",IF(E1059&gt;13,"U15",IF(E1059&gt;11,"U13",IF(E1059&gt;0,"U11",0)))))</f>
        <v>0</v>
      </c>
      <c r="E1059" s="456">
        <f>IFERROR(IF(Table11[[#This Row],[Year]]&gt;0,$E$1-Table11[[#This Row],[Year]],0),"")</f>
        <v>0</v>
      </c>
      <c r="F1059" s="456"/>
      <c r="G1059" s="456"/>
      <c r="H1059" s="456"/>
    </row>
    <row r="1060" spans="1:8" ht="13.5" customHeight="1">
      <c r="A1060" s="456">
        <v>8056</v>
      </c>
      <c r="B1060" s="457" t="s">
        <v>3476</v>
      </c>
      <c r="C1060" s="456" t="s">
        <v>3346</v>
      </c>
      <c r="D1060" s="456">
        <f>IF(Table11[[#This Row],[Current Age]]&gt;19,"Women's",IF(E1060&gt;15,"U19",IF(E1060&gt;13,"U15",IF(E1060&gt;11,"U13",IF(E1060&gt;0,"U11",0)))))</f>
        <v>0</v>
      </c>
      <c r="E1060" s="456">
        <f>IFERROR(IF(Table11[[#This Row],[Year]]&gt;0,$E$1-Table11[[#This Row],[Year]],0),"")</f>
        <v>0</v>
      </c>
      <c r="F1060" s="456"/>
      <c r="G1060" s="456"/>
      <c r="H1060" s="456"/>
    </row>
    <row r="1061" spans="1:8" ht="13.5" customHeight="1">
      <c r="A1061" s="471">
        <v>8057</v>
      </c>
      <c r="B1061" s="540" t="s">
        <v>3477</v>
      </c>
      <c r="C1061" s="471" t="s">
        <v>3346</v>
      </c>
      <c r="D1061" s="456">
        <f>IF(Table11[[#This Row],[Current Age]]&gt;19,"Women's",IF(E1061&gt;15,"U19",IF(E1061&gt;13,"U15",IF(E1061&gt;11,"U13",IF(E1061&gt;0,"U11",0)))))</f>
        <v>0</v>
      </c>
      <c r="E1061" s="456">
        <f>IFERROR(IF(Table11[[#This Row],[Year]]&gt;0,$E$1-Table11[[#This Row],[Year]],0),"")</f>
        <v>0</v>
      </c>
      <c r="F1061" s="456"/>
      <c r="G1061" s="456"/>
      <c r="H1061" s="456"/>
    </row>
    <row r="1062" spans="1:8" ht="13.5" customHeight="1">
      <c r="A1062" s="456">
        <v>8058</v>
      </c>
      <c r="B1062" s="457" t="s">
        <v>3478</v>
      </c>
      <c r="C1062" s="456" t="s">
        <v>3346</v>
      </c>
      <c r="D1062" s="456">
        <f>IF(Table11[[#This Row],[Current Age]]&gt;19,"Women's",IF(E1062&gt;15,"U19",IF(E1062&gt;13,"U15",IF(E1062&gt;11,"U13",IF(E1062&gt;0,"U11",0)))))</f>
        <v>0</v>
      </c>
      <c r="E1062" s="456">
        <f>IFERROR(IF(Table11[[#This Row],[Year]]&gt;0,$E$1-Table11[[#This Row],[Year]],0),"")</f>
        <v>0</v>
      </c>
      <c r="F1062" s="456"/>
      <c r="G1062" s="456"/>
      <c r="H1062" s="456"/>
    </row>
    <row r="1063" spans="1:8" ht="13.5" customHeight="1">
      <c r="A1063" s="471">
        <v>8059</v>
      </c>
      <c r="B1063" s="540" t="s">
        <v>3479</v>
      </c>
      <c r="C1063" s="471" t="s">
        <v>3346</v>
      </c>
      <c r="D1063" s="456">
        <f>IF(Table11[[#This Row],[Current Age]]&gt;19,"Women's",IF(E1063&gt;15,"U19",IF(E1063&gt;13,"U15",IF(E1063&gt;11,"U13",IF(E1063&gt;0,"U11",0)))))</f>
        <v>0</v>
      </c>
      <c r="E1063" s="456">
        <f>IFERROR(IF(Table11[[#This Row],[Year]]&gt;0,$E$1-Table11[[#This Row],[Year]],0),"")</f>
        <v>0</v>
      </c>
      <c r="F1063" s="456"/>
      <c r="G1063" s="456"/>
      <c r="H1063" s="456"/>
    </row>
    <row r="1064" spans="1:8" ht="13.5" customHeight="1">
      <c r="A1064" s="456">
        <v>8060</v>
      </c>
      <c r="B1064" s="457" t="s">
        <v>3542</v>
      </c>
      <c r="C1064" s="456"/>
      <c r="D1064" s="456">
        <f>IF(Table11[[#This Row],[Current Age]]&gt;19,"Women's",IF(E1064&gt;15,"U19",IF(E1064&gt;13,"U15",IF(E1064&gt;11,"U13",IF(E1064&gt;0,"U11",0)))))</f>
        <v>0</v>
      </c>
      <c r="E1064" s="456">
        <f>IFERROR(IF(Table11[[#This Row],[Year]]&gt;0,$E$1-Table11[[#This Row],[Year]],0),"")</f>
        <v>0</v>
      </c>
      <c r="F1064" s="456"/>
      <c r="G1064" s="456"/>
      <c r="H1064" s="456"/>
    </row>
    <row r="1065" spans="1:8" ht="13.5" customHeight="1">
      <c r="A1065" s="471">
        <v>8061</v>
      </c>
      <c r="B1065" s="540" t="s">
        <v>3490</v>
      </c>
      <c r="C1065" s="471" t="s">
        <v>4720</v>
      </c>
      <c r="D1065" s="456">
        <f>IF(Table11[[#This Row],[Current Age]]&gt;19,"Women's",IF(E1065&gt;15,"U19",IF(E1065&gt;13,"U15",IF(E1065&gt;11,"U13",IF(E1065&gt;0,"U11",0)))))</f>
        <v>0</v>
      </c>
      <c r="E1065" s="456">
        <f>IFERROR(IF(Table11[[#This Row],[Year]]&gt;0,$E$1-Table11[[#This Row],[Year]],0),"")</f>
        <v>0</v>
      </c>
      <c r="F1065" s="456"/>
      <c r="G1065" s="456"/>
      <c r="H1065" s="456"/>
    </row>
    <row r="1066" spans="1:8" ht="13.5" customHeight="1">
      <c r="A1066" s="456">
        <v>8062</v>
      </c>
      <c r="B1066" s="457" t="s">
        <v>3491</v>
      </c>
      <c r="C1066" s="456" t="s">
        <v>4720</v>
      </c>
      <c r="D1066" s="456">
        <f>IF(Table11[[#This Row],[Current Age]]&gt;19,"Women's",IF(E1066&gt;15,"U19",IF(E1066&gt;13,"U15",IF(E1066&gt;11,"U13",IF(E1066&gt;0,"U11",0)))))</f>
        <v>0</v>
      </c>
      <c r="E1066" s="456">
        <f>IFERROR(IF(Table11[[#This Row],[Year]]&gt;0,$E$1-Table11[[#This Row],[Year]],0),"")</f>
        <v>0</v>
      </c>
      <c r="F1066" s="456"/>
      <c r="G1066" s="456"/>
      <c r="H1066" s="456"/>
    </row>
    <row r="1067" spans="1:8" ht="13.5" customHeight="1">
      <c r="A1067" s="471">
        <v>8063</v>
      </c>
      <c r="B1067" s="540" t="s">
        <v>3498</v>
      </c>
      <c r="C1067" s="471" t="s">
        <v>243</v>
      </c>
      <c r="D1067" s="456">
        <f>IF(Table11[[#This Row],[Current Age]]&gt;19,"Women's",IF(E1067&gt;15,"U19",IF(E1067&gt;13,"U15",IF(E1067&gt;11,"U13",IF(E1067&gt;0,"U11",0)))))</f>
        <v>0</v>
      </c>
      <c r="E1067" s="456">
        <f>IFERROR(IF(Table11[[#This Row],[Year]]&gt;0,$E$1-Table11[[#This Row],[Year]],0),"")</f>
        <v>0</v>
      </c>
      <c r="F1067" s="456"/>
      <c r="G1067" s="456"/>
      <c r="H1067" s="456"/>
    </row>
    <row r="1068" spans="1:8" ht="13.5" customHeight="1">
      <c r="A1068" s="456">
        <v>8064</v>
      </c>
      <c r="B1068" s="457" t="s">
        <v>3539</v>
      </c>
      <c r="C1068" s="456" t="s">
        <v>361</v>
      </c>
      <c r="D1068" s="456">
        <f>IF(Table11[[#This Row],[Current Age]]&gt;19,"Women's",IF(E1068&gt;15,"U19",IF(E1068&gt;13,"U15",IF(E1068&gt;11,"U13",IF(E1068&gt;0,"U11",0)))))</f>
        <v>0</v>
      </c>
      <c r="E1068" s="456">
        <f>IFERROR(IF(Table11[[#This Row],[Year]]&gt;0,$E$1-Table11[[#This Row],[Year]],0),"")</f>
        <v>0</v>
      </c>
      <c r="F1068" s="456"/>
      <c r="G1068" s="456"/>
      <c r="H1068" s="456"/>
    </row>
    <row r="1069" spans="1:8" ht="13.5" customHeight="1">
      <c r="A1069" s="471">
        <v>8065</v>
      </c>
      <c r="B1069" s="540" t="s">
        <v>3541</v>
      </c>
      <c r="C1069" s="471" t="s">
        <v>361</v>
      </c>
      <c r="D1069" s="456">
        <f>IF(Table11[[#This Row],[Current Age]]&gt;19,"Women's",IF(E1069&gt;15,"U19",IF(E1069&gt;13,"U15",IF(E1069&gt;11,"U13",IF(E1069&gt;0,"U11",0)))))</f>
        <v>0</v>
      </c>
      <c r="E1069" s="456">
        <f>IFERROR(IF(Table11[[#This Row],[Year]]&gt;0,$E$1-Table11[[#This Row],[Year]],0),"")</f>
        <v>0</v>
      </c>
      <c r="F1069" s="456"/>
      <c r="G1069" s="456"/>
      <c r="H1069" s="456"/>
    </row>
    <row r="1070" spans="1:8" ht="13.5" customHeight="1">
      <c r="A1070" s="456">
        <v>8066</v>
      </c>
      <c r="B1070" s="457" t="s">
        <v>3654</v>
      </c>
      <c r="C1070" s="456" t="s">
        <v>361</v>
      </c>
      <c r="D1070" s="456">
        <f>IF(Table11[[#This Row],[Current Age]]&gt;19,"Women's",IF(E1070&gt;15,"U19",IF(E1070&gt;13,"U15",IF(E1070&gt;11,"U13",IF(E1070&gt;0,"U11",0)))))</f>
        <v>0</v>
      </c>
      <c r="E1070" s="456">
        <f>IFERROR(IF(Table11[[#This Row],[Year]]&gt;0,$E$1-Table11[[#This Row],[Year]],0),"")</f>
        <v>0</v>
      </c>
      <c r="F1070" s="456"/>
      <c r="G1070" s="456"/>
      <c r="H1070" s="456"/>
    </row>
    <row r="1071" spans="1:8" ht="13.5" customHeight="1">
      <c r="A1071" s="471">
        <v>8067</v>
      </c>
      <c r="B1071" s="540" t="s">
        <v>4210</v>
      </c>
      <c r="C1071" s="471" t="s">
        <v>243</v>
      </c>
      <c r="D1071" s="456">
        <f>IF(Table11[[#This Row],[Current Age]]&gt;19,"Women's",IF(E1071&gt;15,"U19",IF(E1071&gt;13,"U15",IF(E1071&gt;11,"U13",IF(E1071&gt;0,"U11",0)))))</f>
        <v>0</v>
      </c>
      <c r="E1071" s="456">
        <f>IFERROR(IF(Table11[[#This Row],[Year]]&gt;0,$E$1-Table11[[#This Row],[Year]],0),"")</f>
        <v>0</v>
      </c>
      <c r="F1071" s="456"/>
      <c r="G1071" s="456"/>
      <c r="H1071" s="456"/>
    </row>
    <row r="1072" spans="1:8" ht="13.5" customHeight="1">
      <c r="A1072" s="456">
        <v>8068</v>
      </c>
      <c r="B1072" s="457" t="s">
        <v>3655</v>
      </c>
      <c r="C1072" s="456" t="s">
        <v>361</v>
      </c>
      <c r="D1072" s="456">
        <f>IF(Table11[[#This Row],[Current Age]]&gt;19,"Women's",IF(E1072&gt;15,"U19",IF(E1072&gt;13,"U15",IF(E1072&gt;11,"U13",IF(E1072&gt;0,"U11",0)))))</f>
        <v>0</v>
      </c>
      <c r="E1072" s="456">
        <f>IFERROR(IF(Table11[[#This Row],[Year]]&gt;0,$E$1-Table11[[#This Row],[Year]],0),"")</f>
        <v>0</v>
      </c>
      <c r="F1072" s="456"/>
      <c r="G1072" s="456"/>
      <c r="H1072" s="456"/>
    </row>
    <row r="1073" spans="1:8" ht="13.5" customHeight="1">
      <c r="A1073" s="471">
        <v>8069</v>
      </c>
      <c r="B1073" s="540" t="s">
        <v>3656</v>
      </c>
      <c r="C1073" s="471" t="s">
        <v>362</v>
      </c>
      <c r="D1073" s="456" t="str">
        <f>IF(Table11[[#This Row],[Current Age]]&gt;19,"Women's",IF(E1073&gt;15,"U19",IF(E1073&gt;13,"U15",IF(E1073&gt;11,"U13",IF(E1073&gt;0,"U11",0)))))</f>
        <v>U13</v>
      </c>
      <c r="E1073" s="456">
        <f>IFERROR(IF(Table11[[#This Row],[Year]]&gt;0,$E$1-Table11[[#This Row],[Year]],0),"")</f>
        <v>12</v>
      </c>
      <c r="F1073" s="456">
        <v>2013</v>
      </c>
      <c r="G1073" s="456">
        <v>1</v>
      </c>
      <c r="H1073" s="456">
        <v>15</v>
      </c>
    </row>
    <row r="1074" spans="1:8" ht="13.5" customHeight="1">
      <c r="A1074" s="456">
        <v>8070</v>
      </c>
      <c r="B1074" s="457" t="s">
        <v>3676</v>
      </c>
      <c r="C1074" s="456" t="s">
        <v>1914</v>
      </c>
      <c r="D1074" s="456">
        <f>IF(Table11[[#This Row],[Current Age]]&gt;19,"Women's",IF(E1074&gt;15,"U19",IF(E1074&gt;13,"U15",IF(E1074&gt;11,"U13",IF(E1074&gt;0,"U11",0)))))</f>
        <v>0</v>
      </c>
      <c r="E1074" s="456">
        <f>IFERROR(IF(Table11[[#This Row],[Year]]&gt;0,$E$1-Table11[[#This Row],[Year]],0),"")</f>
        <v>0</v>
      </c>
      <c r="F1074" s="456"/>
      <c r="G1074" s="456"/>
      <c r="H1074" s="456"/>
    </row>
    <row r="1075" spans="1:8" ht="13.5" customHeight="1">
      <c r="A1075" s="471">
        <v>8071</v>
      </c>
      <c r="B1075" s="540" t="s">
        <v>3677</v>
      </c>
      <c r="C1075" s="471" t="s">
        <v>361</v>
      </c>
      <c r="D1075" s="456">
        <f>IF(Table11[[#This Row],[Current Age]]&gt;19,"Women's",IF(E1075&gt;15,"U19",IF(E1075&gt;13,"U15",IF(E1075&gt;11,"U13",IF(E1075&gt;0,"U11",0)))))</f>
        <v>0</v>
      </c>
      <c r="E1075" s="456">
        <f>IFERROR(IF(Table11[[#This Row],[Year]]&gt;0,$E$1-Table11[[#This Row],[Year]],0),"")</f>
        <v>0</v>
      </c>
      <c r="F1075" s="456"/>
      <c r="G1075" s="456"/>
      <c r="H1075" s="456"/>
    </row>
    <row r="1076" spans="1:8" ht="13.5" customHeight="1">
      <c r="A1076" s="456">
        <v>8072</v>
      </c>
      <c r="B1076" s="457" t="s">
        <v>3682</v>
      </c>
      <c r="C1076" s="456" t="s">
        <v>361</v>
      </c>
      <c r="D1076" s="456">
        <f>IF(Table11[[#This Row],[Current Age]]&gt;19,"Women's",IF(E1076&gt;15,"U19",IF(E1076&gt;13,"U15",IF(E1076&gt;11,"U13",IF(E1076&gt;0,"U11",0)))))</f>
        <v>0</v>
      </c>
      <c r="E1076" s="456">
        <f>IFERROR(IF(Table11[[#This Row],[Year]]&gt;0,$E$1-Table11[[#This Row],[Year]],0),"")</f>
        <v>0</v>
      </c>
      <c r="F1076" s="456"/>
      <c r="G1076" s="456"/>
      <c r="H1076" s="456"/>
    </row>
    <row r="1077" spans="1:8" ht="13.5" customHeight="1">
      <c r="A1077" s="471">
        <v>8073</v>
      </c>
      <c r="B1077" s="540" t="s">
        <v>3590</v>
      </c>
      <c r="C1077" s="471" t="s">
        <v>249</v>
      </c>
      <c r="D1077" s="456">
        <f>IF(Table11[[#This Row],[Current Age]]&gt;19,"Women's",IF(E1077&gt;15,"U19",IF(E1077&gt;13,"U15",IF(E1077&gt;11,"U13",IF(E1077&gt;0,"U11",0)))))</f>
        <v>0</v>
      </c>
      <c r="E1077" s="456">
        <f>IFERROR(IF(Table11[[#This Row],[Year]]&gt;0,$E$1-Table11[[#This Row],[Year]],0),"")</f>
        <v>0</v>
      </c>
      <c r="F1077" s="456"/>
      <c r="G1077" s="456"/>
      <c r="H1077" s="456"/>
    </row>
    <row r="1078" spans="1:8" ht="13.5" customHeight="1">
      <c r="A1078" s="456">
        <v>8074</v>
      </c>
      <c r="B1078" s="457" t="s">
        <v>3620</v>
      </c>
      <c r="C1078" s="456" t="s">
        <v>3027</v>
      </c>
      <c r="D1078" s="456" t="str">
        <f>IF(Table11[[#This Row],[Current Age]]&gt;19,"Women's",IF(E1078&gt;15,"U19",IF(E1078&gt;13,"U15",IF(E1078&gt;11,"U13",IF(E1078&gt;0,"U11",0)))))</f>
        <v>U15</v>
      </c>
      <c r="E1078" s="456">
        <f>IFERROR(IF(Table11[[#This Row],[Year]]&gt;0,$E$1-Table11[[#This Row],[Year]],0),"")</f>
        <v>15</v>
      </c>
      <c r="F1078" s="456">
        <v>2010</v>
      </c>
      <c r="G1078" s="456">
        <v>5</v>
      </c>
      <c r="H1078" s="456">
        <v>26</v>
      </c>
    </row>
    <row r="1079" spans="1:8" ht="13.5" customHeight="1">
      <c r="A1079" s="471">
        <v>8075</v>
      </c>
      <c r="B1079" s="540" t="s">
        <v>3683</v>
      </c>
      <c r="C1079" s="471" t="s">
        <v>361</v>
      </c>
      <c r="D1079" s="456">
        <f>IF(Table11[[#This Row],[Current Age]]&gt;19,"Women's",IF(E1079&gt;15,"U19",IF(E1079&gt;13,"U15",IF(E1079&gt;11,"U13",IF(E1079&gt;0,"U11",0)))))</f>
        <v>0</v>
      </c>
      <c r="E1079" s="456">
        <f>IFERROR(IF(Table11[[#This Row],[Year]]&gt;0,$E$1-Table11[[#This Row],[Year]],0),"")</f>
        <v>0</v>
      </c>
      <c r="F1079" s="456"/>
      <c r="G1079" s="456"/>
      <c r="H1079" s="456"/>
    </row>
    <row r="1080" spans="1:8" ht="13.5" customHeight="1">
      <c r="A1080" s="456">
        <v>8076</v>
      </c>
      <c r="B1080" s="457" t="s">
        <v>3685</v>
      </c>
      <c r="C1080" s="456" t="s">
        <v>1914</v>
      </c>
      <c r="D1080" s="456">
        <f>IF(Table11[[#This Row],[Current Age]]&gt;19,"Women's",IF(E1080&gt;15,"U19",IF(E1080&gt;13,"U15",IF(E1080&gt;11,"U13",IF(E1080&gt;0,"U11",0)))))</f>
        <v>0</v>
      </c>
      <c r="E1080" s="456">
        <f>IFERROR(IF(Table11[[#This Row],[Year]]&gt;0,$E$1-Table11[[#This Row],[Year]],0),"")</f>
        <v>0</v>
      </c>
      <c r="F1080" s="456"/>
      <c r="G1080" s="456"/>
      <c r="H1080" s="456"/>
    </row>
    <row r="1081" spans="1:8" ht="13.5" customHeight="1">
      <c r="A1081" s="471">
        <v>8077</v>
      </c>
      <c r="B1081" s="540" t="s">
        <v>3688</v>
      </c>
      <c r="C1081" s="471" t="s">
        <v>1914</v>
      </c>
      <c r="D1081" s="456">
        <f>IF(Table11[[#This Row],[Current Age]]&gt;19,"Women's",IF(E1081&gt;15,"U19",IF(E1081&gt;13,"U15",IF(E1081&gt;11,"U13",IF(E1081&gt;0,"U11",0)))))</f>
        <v>0</v>
      </c>
      <c r="E1081" s="456">
        <f>IFERROR(IF(Table11[[#This Row],[Year]]&gt;0,$E$1-Table11[[#This Row],[Year]],0),"")</f>
        <v>0</v>
      </c>
      <c r="F1081" s="456"/>
      <c r="G1081" s="456"/>
      <c r="H1081" s="456"/>
    </row>
    <row r="1082" spans="1:8" ht="13.5" customHeight="1">
      <c r="A1082" s="456">
        <v>8078</v>
      </c>
      <c r="B1082" s="457" t="s">
        <v>3689</v>
      </c>
      <c r="C1082" s="456" t="s">
        <v>361</v>
      </c>
      <c r="D1082" s="456">
        <f>IF(Table11[[#This Row],[Current Age]]&gt;19,"Women's",IF(E1082&gt;15,"U19",IF(E1082&gt;13,"U15",IF(E1082&gt;11,"U13",IF(E1082&gt;0,"U11",0)))))</f>
        <v>0</v>
      </c>
      <c r="E1082" s="456">
        <f>IFERROR(IF(Table11[[#This Row],[Year]]&gt;0,$E$1-Table11[[#This Row],[Year]],0),"")</f>
        <v>0</v>
      </c>
      <c r="F1082" s="456"/>
      <c r="G1082" s="456"/>
      <c r="H1082" s="456"/>
    </row>
    <row r="1083" spans="1:8" ht="13.5" customHeight="1">
      <c r="A1083" s="471">
        <v>8079</v>
      </c>
      <c r="B1083" s="540" t="s">
        <v>3651</v>
      </c>
      <c r="C1083" s="471" t="s">
        <v>249</v>
      </c>
      <c r="D1083" s="456" t="str">
        <f>IF(Table11[[#This Row],[Current Age]]&gt;19,"Women's",IF(E1083&gt;15,"U19",IF(E1083&gt;13,"U15",IF(E1083&gt;11,"U13",IF(E1083&gt;0,"U11",0)))))</f>
        <v>U13</v>
      </c>
      <c r="E1083" s="456">
        <f>IFERROR(IF(Table11[[#This Row],[Year]]&gt;0,$E$1-Table11[[#This Row],[Year]],0),"")</f>
        <v>12</v>
      </c>
      <c r="F1083" s="456">
        <v>2013</v>
      </c>
      <c r="G1083" s="456">
        <v>3</v>
      </c>
      <c r="H1083" s="456">
        <v>3</v>
      </c>
    </row>
    <row r="1084" spans="1:8" ht="13.5" customHeight="1">
      <c r="A1084" s="456">
        <v>8080</v>
      </c>
      <c r="B1084" s="457" t="s">
        <v>3690</v>
      </c>
      <c r="C1084" s="456" t="s">
        <v>361</v>
      </c>
      <c r="D1084" s="456">
        <f>IF(Table11[[#This Row],[Current Age]]&gt;19,"Women's",IF(E1084&gt;15,"U19",IF(E1084&gt;13,"U15",IF(E1084&gt;11,"U13",IF(E1084&gt;0,"U11",0)))))</f>
        <v>0</v>
      </c>
      <c r="E1084" s="456">
        <f>IFERROR(IF(Table11[[#This Row],[Year]]&gt;0,$E$1-Table11[[#This Row],[Year]],0),"")</f>
        <v>0</v>
      </c>
      <c r="F1084" s="456"/>
      <c r="G1084" s="456"/>
      <c r="H1084" s="456"/>
    </row>
    <row r="1085" spans="1:8" ht="13.5" customHeight="1">
      <c r="A1085" s="471">
        <v>8081</v>
      </c>
      <c r="B1085" s="540" t="s">
        <v>3691</v>
      </c>
      <c r="C1085" s="471" t="s">
        <v>361</v>
      </c>
      <c r="D1085" s="456">
        <f>IF(Table11[[#This Row],[Current Age]]&gt;19,"Women's",IF(E1085&gt;15,"U19",IF(E1085&gt;13,"U15",IF(E1085&gt;11,"U13",IF(E1085&gt;0,"U11",0)))))</f>
        <v>0</v>
      </c>
      <c r="E1085" s="456">
        <f>IFERROR(IF(Table11[[#This Row],[Year]]&gt;0,$E$1-Table11[[#This Row],[Year]],0),"")</f>
        <v>0</v>
      </c>
      <c r="F1085" s="456"/>
      <c r="G1085" s="456"/>
      <c r="H1085" s="456"/>
    </row>
    <row r="1086" spans="1:8" ht="13.5" customHeight="1">
      <c r="A1086" s="456">
        <v>8082</v>
      </c>
      <c r="B1086" s="457" t="s">
        <v>3645</v>
      </c>
      <c r="C1086" s="456" t="s">
        <v>3346</v>
      </c>
      <c r="D1086" s="456">
        <f>IF(Table11[[#This Row],[Current Age]]&gt;19,"Women's",IF(E1086&gt;15,"U19",IF(E1086&gt;13,"U15",IF(E1086&gt;11,"U13",IF(E1086&gt;0,"U11",0)))))</f>
        <v>0</v>
      </c>
      <c r="E1086" s="456">
        <f>IFERROR(IF(Table11[[#This Row],[Year]]&gt;0,$E$1-Table11[[#This Row],[Year]],0),"")</f>
        <v>0</v>
      </c>
      <c r="F1086" s="456"/>
      <c r="G1086" s="456"/>
      <c r="H1086" s="456"/>
    </row>
    <row r="1087" spans="1:8" ht="13.5" customHeight="1">
      <c r="A1087" s="471">
        <v>8083</v>
      </c>
      <c r="B1087" s="540" t="s">
        <v>3707</v>
      </c>
      <c r="C1087" s="471"/>
      <c r="D1087" s="456">
        <f>IF(Table11[[#This Row],[Current Age]]&gt;19,"Women's",IF(E1087&gt;15,"U19",IF(E1087&gt;13,"U15",IF(E1087&gt;11,"U13",IF(E1087&gt;0,"U11",0)))))</f>
        <v>0</v>
      </c>
      <c r="E1087" s="456">
        <f>IFERROR(IF(Table11[[#This Row],[Year]]&gt;0,$E$1-Table11[[#This Row],[Year]],0),"")</f>
        <v>0</v>
      </c>
      <c r="F1087" s="456"/>
      <c r="G1087" s="456"/>
      <c r="H1087" s="456"/>
    </row>
    <row r="1088" spans="1:8" ht="13.5" customHeight="1">
      <c r="A1088" s="456">
        <v>8084</v>
      </c>
      <c r="B1088" s="457" t="s">
        <v>3621</v>
      </c>
      <c r="C1088" s="456" t="s">
        <v>3346</v>
      </c>
      <c r="D1088" s="456">
        <f>IF(Table11[[#This Row],[Current Age]]&gt;19,"Women's",IF(E1088&gt;15,"U19",IF(E1088&gt;13,"U15",IF(E1088&gt;11,"U13",IF(E1088&gt;0,"U11",0)))))</f>
        <v>0</v>
      </c>
      <c r="E1088" s="456">
        <f>IFERROR(IF(Table11[[#This Row],[Year]]&gt;0,$E$1-Table11[[#This Row],[Year]],0),"")</f>
        <v>0</v>
      </c>
      <c r="F1088" s="456"/>
      <c r="G1088" s="456"/>
      <c r="H1088" s="456"/>
    </row>
    <row r="1089" spans="1:8" ht="13.5" customHeight="1">
      <c r="A1089" s="471">
        <v>8085</v>
      </c>
      <c r="B1089" s="540" t="s">
        <v>3724</v>
      </c>
      <c r="C1089" s="471" t="s">
        <v>243</v>
      </c>
      <c r="D1089" s="456">
        <f>IF(Table11[[#This Row],[Current Age]]&gt;19,"Women's",IF(E1089&gt;15,"U19",IF(E1089&gt;13,"U15",IF(E1089&gt;11,"U13",IF(E1089&gt;0,"U11",0)))))</f>
        <v>0</v>
      </c>
      <c r="E1089" s="456">
        <f>IFERROR(IF(Table11[[#This Row],[Year]]&gt;0,$E$1-Table11[[#This Row],[Year]],0),"")</f>
        <v>0</v>
      </c>
      <c r="F1089" s="456"/>
      <c r="G1089" s="456"/>
      <c r="H1089" s="456"/>
    </row>
    <row r="1090" spans="1:8" ht="13.5" customHeight="1">
      <c r="A1090" s="456">
        <v>8086</v>
      </c>
      <c r="B1090" s="457" t="s">
        <v>4164</v>
      </c>
      <c r="C1090" s="456" t="s">
        <v>4720</v>
      </c>
      <c r="D1090" s="456" t="str">
        <f>IF(Table11[[#This Row],[Current Age]]&gt;19,"Women's",IF(E1090&gt;15,"U19",IF(E1090&gt;13,"U15",IF(E1090&gt;11,"U13",IF(E1090&gt;0,"U11",0)))))</f>
        <v>U19</v>
      </c>
      <c r="E1090" s="456">
        <f>IFERROR(IF(Table11[[#This Row],[Year]]&gt;0,$E$1-Table11[[#This Row],[Year]],0),"")</f>
        <v>17</v>
      </c>
      <c r="F1090" s="456">
        <v>2008</v>
      </c>
      <c r="G1090" s="456">
        <v>3</v>
      </c>
      <c r="H1090" s="456">
        <v>1</v>
      </c>
    </row>
    <row r="1091" spans="1:8" ht="13.5" customHeight="1">
      <c r="A1091" s="471">
        <v>8087</v>
      </c>
      <c r="B1091" s="540" t="s">
        <v>3725</v>
      </c>
      <c r="C1091" s="471"/>
      <c r="D1091" s="456">
        <f>IF(Table11[[#This Row],[Current Age]]&gt;19,"Women's",IF(E1091&gt;15,"U19",IF(E1091&gt;13,"U15",IF(E1091&gt;11,"U13",IF(E1091&gt;0,"U11",0)))))</f>
        <v>0</v>
      </c>
      <c r="E1091" s="456">
        <f>IFERROR(IF(Table11[[#This Row],[Year]]&gt;0,$E$1-Table11[[#This Row],[Year]],0),"")</f>
        <v>0</v>
      </c>
      <c r="F1091" s="456"/>
      <c r="G1091" s="456"/>
      <c r="H1091" s="456"/>
    </row>
    <row r="1092" spans="1:8" ht="13.5" customHeight="1">
      <c r="A1092" s="456">
        <v>8088</v>
      </c>
      <c r="B1092" s="457" t="s">
        <v>3733</v>
      </c>
      <c r="C1092" s="456"/>
      <c r="D1092" s="456">
        <f>IF(Table11[[#This Row],[Current Age]]&gt;19,"Women's",IF(E1092&gt;15,"U19",IF(E1092&gt;13,"U15",IF(E1092&gt;11,"U13",IF(E1092&gt;0,"U11",0)))))</f>
        <v>0</v>
      </c>
      <c r="E1092" s="456">
        <f>IFERROR(IF(Table11[[#This Row],[Year]]&gt;0,$E$1-Table11[[#This Row],[Year]],0),"")</f>
        <v>0</v>
      </c>
      <c r="F1092" s="456"/>
      <c r="G1092" s="456"/>
      <c r="H1092" s="456"/>
    </row>
    <row r="1093" spans="1:8" ht="13.5" customHeight="1">
      <c r="A1093" s="471">
        <v>8089</v>
      </c>
      <c r="B1093" s="540" t="s">
        <v>3734</v>
      </c>
      <c r="C1093" s="471" t="s">
        <v>244</v>
      </c>
      <c r="D1093" s="456">
        <f>IF(Table11[[#This Row],[Current Age]]&gt;19,"Women's",IF(E1093&gt;15,"U19",IF(E1093&gt;13,"U15",IF(E1093&gt;11,"U13",IF(E1093&gt;0,"U11",0)))))</f>
        <v>0</v>
      </c>
      <c r="E1093" s="456">
        <f>IFERROR(IF(Table11[[#This Row],[Year]]&gt;0,$E$1-Table11[[#This Row],[Year]],0),"")</f>
        <v>0</v>
      </c>
      <c r="F1093" s="456"/>
      <c r="G1093" s="456"/>
      <c r="H1093" s="456"/>
    </row>
    <row r="1094" spans="1:8" ht="13.5" customHeight="1">
      <c r="A1094" s="456">
        <v>8090</v>
      </c>
      <c r="B1094" s="457" t="s">
        <v>3735</v>
      </c>
      <c r="C1094" s="456" t="s">
        <v>243</v>
      </c>
      <c r="D1094" s="456">
        <f>IF(Table11[[#This Row],[Current Age]]&gt;19,"Women's",IF(E1094&gt;15,"U19",IF(E1094&gt;13,"U15",IF(E1094&gt;11,"U13",IF(E1094&gt;0,"U11",0)))))</f>
        <v>0</v>
      </c>
      <c r="E1094" s="456">
        <f>IFERROR(IF(Table11[[#This Row],[Year]]&gt;0,$E$1-Table11[[#This Row],[Year]],0),"")</f>
        <v>0</v>
      </c>
      <c r="F1094" s="456"/>
      <c r="G1094" s="456"/>
      <c r="H1094" s="456"/>
    </row>
    <row r="1095" spans="1:8" ht="13.5" customHeight="1">
      <c r="A1095" s="471">
        <v>8091</v>
      </c>
      <c r="B1095" s="540" t="s">
        <v>3762</v>
      </c>
      <c r="C1095" s="471" t="s">
        <v>247</v>
      </c>
      <c r="D1095" s="456" t="str">
        <f>IF(Table11[[#This Row],[Current Age]]&gt;19,"Women's",IF(E1095&gt;15,"U19",IF(E1095&gt;13,"U15",IF(E1095&gt;11,"U13",IF(E1095&gt;0,"U11",0)))))</f>
        <v>U13</v>
      </c>
      <c r="E1095" s="456">
        <f>IFERROR(IF(Table11[[#This Row],[Year]]&gt;0,$E$1-Table11[[#This Row],[Year]],0),"")</f>
        <v>12</v>
      </c>
      <c r="F1095" s="456">
        <v>2013</v>
      </c>
      <c r="G1095" s="456">
        <v>10</v>
      </c>
      <c r="H1095" s="456">
        <v>29</v>
      </c>
    </row>
    <row r="1096" spans="1:8" ht="13.5" customHeight="1">
      <c r="A1096" s="456">
        <v>8092</v>
      </c>
      <c r="B1096" s="457" t="s">
        <v>3765</v>
      </c>
      <c r="C1096" s="456" t="s">
        <v>243</v>
      </c>
      <c r="D1096" s="456">
        <f>IF(Table11[[#This Row],[Current Age]]&gt;19,"Women's",IF(E1096&gt;15,"U19",IF(E1096&gt;13,"U15",IF(E1096&gt;11,"U13",IF(E1096&gt;0,"U11",0)))))</f>
        <v>0</v>
      </c>
      <c r="E1096" s="456">
        <f>IFERROR(IF(Table11[[#This Row],[Year]]&gt;0,$E$1-Table11[[#This Row],[Year]],0),"")</f>
        <v>0</v>
      </c>
      <c r="F1096" s="456"/>
      <c r="G1096" s="456"/>
      <c r="H1096" s="456"/>
    </row>
    <row r="1097" spans="1:8" ht="13.5" customHeight="1">
      <c r="A1097" s="471">
        <v>8093</v>
      </c>
      <c r="B1097" s="540" t="s">
        <v>3766</v>
      </c>
      <c r="C1097" s="471" t="s">
        <v>243</v>
      </c>
      <c r="D1097" s="456">
        <f>IF(Table11[[#This Row],[Current Age]]&gt;19,"Women's",IF(E1097&gt;15,"U19",IF(E1097&gt;13,"U15",IF(E1097&gt;11,"U13",IF(E1097&gt;0,"U11",0)))))</f>
        <v>0</v>
      </c>
      <c r="E1097" s="456">
        <f>IFERROR(IF(Table11[[#This Row],[Year]]&gt;0,$E$1-Table11[[#This Row],[Year]],0),"")</f>
        <v>0</v>
      </c>
      <c r="F1097" s="456"/>
      <c r="G1097" s="456"/>
      <c r="H1097" s="456"/>
    </row>
    <row r="1098" spans="1:8" ht="13.5" customHeight="1">
      <c r="A1098" s="456">
        <v>8094</v>
      </c>
      <c r="B1098" s="457" t="s">
        <v>3767</v>
      </c>
      <c r="C1098" s="456" t="s">
        <v>243</v>
      </c>
      <c r="D1098" s="456">
        <f>IF(Table11[[#This Row],[Current Age]]&gt;19,"Women's",IF(E1098&gt;15,"U19",IF(E1098&gt;13,"U15",IF(E1098&gt;11,"U13",IF(E1098&gt;0,"U11",0)))))</f>
        <v>0</v>
      </c>
      <c r="E1098" s="456">
        <f>IFERROR(IF(Table11[[#This Row],[Year]]&gt;0,$E$1-Table11[[#This Row],[Year]],0),"")</f>
        <v>0</v>
      </c>
      <c r="F1098" s="456"/>
      <c r="G1098" s="456"/>
      <c r="H1098" s="456"/>
    </row>
    <row r="1099" spans="1:8" ht="13.5" customHeight="1">
      <c r="A1099" s="471">
        <v>8095</v>
      </c>
      <c r="B1099" s="540" t="s">
        <v>3768</v>
      </c>
      <c r="C1099" s="471" t="s">
        <v>243</v>
      </c>
      <c r="D1099" s="456">
        <f>IF(Table11[[#This Row],[Current Age]]&gt;19,"Women's",IF(E1099&gt;15,"U19",IF(E1099&gt;13,"U15",IF(E1099&gt;11,"U13",IF(E1099&gt;0,"U11",0)))))</f>
        <v>0</v>
      </c>
      <c r="E1099" s="456">
        <f>IFERROR(IF(Table11[[#This Row],[Year]]&gt;0,$E$1-Table11[[#This Row],[Year]],0),"")</f>
        <v>0</v>
      </c>
      <c r="F1099" s="456"/>
      <c r="G1099" s="456"/>
      <c r="H1099" s="456"/>
    </row>
    <row r="1100" spans="1:8" ht="13.5" customHeight="1">
      <c r="A1100" s="456">
        <v>8096</v>
      </c>
      <c r="B1100" s="457" t="s">
        <v>3650</v>
      </c>
      <c r="C1100" s="456" t="s">
        <v>247</v>
      </c>
      <c r="D1100" s="456">
        <f>IF(Table11[[#This Row],[Current Age]]&gt;19,"Women's",IF(E1100&gt;15,"U19",IF(E1100&gt;13,"U15",IF(E1100&gt;11,"U13",IF(E1100&gt;0,"U11",0)))))</f>
        <v>0</v>
      </c>
      <c r="E1100" s="456">
        <f>IFERROR(IF(Table11[[#This Row],[Year]]&gt;0,$E$1-Table11[[#This Row],[Year]],0),"")</f>
        <v>0</v>
      </c>
      <c r="F1100" s="456"/>
      <c r="G1100" s="456"/>
      <c r="H1100" s="456"/>
    </row>
    <row r="1101" spans="1:8" ht="13.5" customHeight="1">
      <c r="A1101" s="471">
        <v>8097</v>
      </c>
      <c r="B1101" s="540" t="s">
        <v>4242</v>
      </c>
      <c r="C1101" s="471" t="s">
        <v>247</v>
      </c>
      <c r="D1101" s="456">
        <f>IF(Table11[[#This Row],[Current Age]]&gt;19,"Women's",IF(E1101&gt;15,"U19",IF(E1101&gt;13,"U15",IF(E1101&gt;11,"U13",IF(E1101&gt;0,"U11",0)))))</f>
        <v>0</v>
      </c>
      <c r="E1101" s="456">
        <f>IFERROR(IF(Table11[[#This Row],[Year]]&gt;0,$E$1-Table11[[#This Row],[Year]],0),"")</f>
        <v>0</v>
      </c>
      <c r="F1101" s="456"/>
      <c r="G1101" s="456"/>
      <c r="H1101" s="456"/>
    </row>
    <row r="1102" spans="1:8" ht="13.5" customHeight="1">
      <c r="A1102" s="456">
        <v>8098</v>
      </c>
      <c r="B1102" s="457" t="s">
        <v>4211</v>
      </c>
      <c r="C1102" s="456" t="s">
        <v>243</v>
      </c>
      <c r="D1102" s="456">
        <f>IF(Table11[[#This Row],[Current Age]]&gt;19,"Women's",IF(E1102&gt;15,"U19",IF(E1102&gt;13,"U15",IF(E1102&gt;11,"U13",IF(E1102&gt;0,"U11",0)))))</f>
        <v>0</v>
      </c>
      <c r="E1102" s="456">
        <f>IFERROR(IF(Table11[[#This Row],[Year]]&gt;0,$E$1-Table11[[#This Row],[Year]],0),"")</f>
        <v>0</v>
      </c>
      <c r="F1102" s="456"/>
      <c r="G1102" s="456"/>
      <c r="H1102" s="456"/>
    </row>
    <row r="1103" spans="1:8" ht="13.5" customHeight="1">
      <c r="A1103" s="471">
        <v>8099</v>
      </c>
      <c r="B1103" s="540" t="s">
        <v>5924</v>
      </c>
      <c r="C1103" s="471" t="s">
        <v>4552</v>
      </c>
      <c r="D1103" s="456">
        <f>IF(Table11[[#This Row],[Current Age]]&gt;19,"Women's",IF(E1103&gt;15,"U19",IF(E1103&gt;13,"U15",IF(E1103&gt;11,"U13",IF(E1103&gt;0,"U11",0)))))</f>
        <v>0</v>
      </c>
      <c r="E1103" s="456">
        <f>IFERROR(IF(Table11[[#This Row],[Year]]&gt;0,$E$1-Table11[[#This Row],[Year]],0),"")</f>
        <v>0</v>
      </c>
      <c r="F1103" s="456"/>
      <c r="G1103" s="456"/>
      <c r="H1103" s="456"/>
    </row>
    <row r="1104" spans="1:8" ht="13.5" customHeight="1">
      <c r="A1104" s="456">
        <v>8100</v>
      </c>
      <c r="B1104" s="457" t="s">
        <v>3773</v>
      </c>
      <c r="C1104" s="456" t="s">
        <v>243</v>
      </c>
      <c r="D1104" s="456">
        <f>IF(Table11[[#This Row],[Current Age]]&gt;19,"Women's",IF(E1104&gt;15,"U19",IF(E1104&gt;13,"U15",IF(E1104&gt;11,"U13",IF(E1104&gt;0,"U11",0)))))</f>
        <v>0</v>
      </c>
      <c r="E1104" s="456">
        <f>IFERROR(IF(Table11[[#This Row],[Year]]&gt;0,$E$1-Table11[[#This Row],[Year]],0),"")</f>
        <v>0</v>
      </c>
      <c r="F1104" s="456"/>
      <c r="G1104" s="456"/>
      <c r="H1104" s="456"/>
    </row>
    <row r="1105" spans="1:8" ht="13.5" customHeight="1">
      <c r="A1105" s="471">
        <v>8101</v>
      </c>
      <c r="B1105" s="540" t="s">
        <v>3782</v>
      </c>
      <c r="C1105" s="471" t="s">
        <v>243</v>
      </c>
      <c r="D1105" s="456">
        <f>IF(Table11[[#This Row],[Current Age]]&gt;19,"Women's",IF(E1105&gt;15,"U19",IF(E1105&gt;13,"U15",IF(E1105&gt;11,"U13",IF(E1105&gt;0,"U11",0)))))</f>
        <v>0</v>
      </c>
      <c r="E1105" s="456">
        <f>IFERROR(IF(Table11[[#This Row],[Year]]&gt;0,$E$1-Table11[[#This Row],[Year]],0),"")</f>
        <v>0</v>
      </c>
      <c r="F1105" s="456"/>
      <c r="G1105" s="456"/>
      <c r="H1105" s="456"/>
    </row>
    <row r="1106" spans="1:8" ht="13.5" customHeight="1">
      <c r="A1106" s="456">
        <v>8102</v>
      </c>
      <c r="B1106" s="457" t="s">
        <v>3783</v>
      </c>
      <c r="C1106" s="456" t="s">
        <v>243</v>
      </c>
      <c r="D1106" s="456">
        <f>IF(Table11[[#This Row],[Current Age]]&gt;19,"Women's",IF(E1106&gt;15,"U19",IF(E1106&gt;13,"U15",IF(E1106&gt;11,"U13",IF(E1106&gt;0,"U11",0)))))</f>
        <v>0</v>
      </c>
      <c r="E1106" s="456">
        <f>IFERROR(IF(Table11[[#This Row],[Year]]&gt;0,$E$1-Table11[[#This Row],[Year]],0),"")</f>
        <v>0</v>
      </c>
      <c r="F1106" s="456"/>
      <c r="G1106" s="456"/>
      <c r="H1106" s="456"/>
    </row>
    <row r="1107" spans="1:8" ht="13.5" customHeight="1">
      <c r="A1107" s="471">
        <v>8103</v>
      </c>
      <c r="B1107" s="540" t="s">
        <v>3784</v>
      </c>
      <c r="C1107" s="471" t="s">
        <v>243</v>
      </c>
      <c r="D1107" s="456">
        <f>IF(Table11[[#This Row],[Current Age]]&gt;19,"Women's",IF(E1107&gt;15,"U19",IF(E1107&gt;13,"U15",IF(E1107&gt;11,"U13",IF(E1107&gt;0,"U11",0)))))</f>
        <v>0</v>
      </c>
      <c r="E1107" s="456">
        <f>IFERROR(IF(Table11[[#This Row],[Year]]&gt;0,$E$1-Table11[[#This Row],[Year]],0),"")</f>
        <v>0</v>
      </c>
      <c r="F1107" s="456"/>
      <c r="G1107" s="456"/>
      <c r="H1107" s="456"/>
    </row>
    <row r="1108" spans="1:8" ht="13.5" customHeight="1">
      <c r="A1108" s="456">
        <v>8104</v>
      </c>
      <c r="B1108" s="457" t="s">
        <v>4495</v>
      </c>
      <c r="C1108" s="456" t="s">
        <v>247</v>
      </c>
      <c r="D1108" s="456">
        <f>IF(Table11[[#This Row],[Current Age]]&gt;19,"Women's",IF(E1108&gt;15,"U19",IF(E1108&gt;13,"U15",IF(E1108&gt;11,"U13",IF(E1108&gt;0,"U11",0)))))</f>
        <v>0</v>
      </c>
      <c r="E1108" s="456">
        <f>IFERROR(IF(Table11[[#This Row],[Year]]&gt;0,$E$1-Table11[[#This Row],[Year]],0),"")</f>
        <v>0</v>
      </c>
      <c r="F1108" s="456"/>
      <c r="G1108" s="456"/>
      <c r="H1108" s="456"/>
    </row>
    <row r="1109" spans="1:8" ht="13.5" customHeight="1">
      <c r="A1109" s="471">
        <v>8105</v>
      </c>
      <c r="B1109" s="540" t="s">
        <v>3616</v>
      </c>
      <c r="C1109" s="471" t="s">
        <v>247</v>
      </c>
      <c r="D1109" s="456">
        <f>IF(Table11[[#This Row],[Current Age]]&gt;19,"Women's",IF(E1109&gt;15,"U19",IF(E1109&gt;13,"U15",IF(E1109&gt;11,"U13",IF(E1109&gt;0,"U11",0)))))</f>
        <v>0</v>
      </c>
      <c r="E1109" s="456">
        <f>IFERROR(IF(Table11[[#This Row],[Year]]&gt;0,$E$1-Table11[[#This Row],[Year]],0),"")</f>
        <v>0</v>
      </c>
      <c r="F1109" s="456"/>
      <c r="G1109" s="456"/>
      <c r="H1109" s="456"/>
    </row>
    <row r="1110" spans="1:8" ht="13.5" customHeight="1">
      <c r="A1110" s="456">
        <v>8106</v>
      </c>
      <c r="B1110" s="457" t="s">
        <v>5068</v>
      </c>
      <c r="C1110" s="456" t="s">
        <v>243</v>
      </c>
      <c r="D1110" s="456">
        <f>IF(Table11[[#This Row],[Current Age]]&gt;19,"Women's",IF(E1110&gt;15,"U19",IF(E1110&gt;13,"U15",IF(E1110&gt;11,"U13",IF(E1110&gt;0,"U11",0)))))</f>
        <v>0</v>
      </c>
      <c r="E1110" s="456">
        <f>IFERROR(IF(Table11[[#This Row],[Year]]&gt;0,$E$1-Table11[[#This Row],[Year]],0),"")</f>
        <v>0</v>
      </c>
      <c r="F1110" s="456"/>
      <c r="G1110" s="456"/>
      <c r="H1110" s="456"/>
    </row>
    <row r="1111" spans="1:8" ht="13.5" customHeight="1">
      <c r="A1111" s="471">
        <v>8107</v>
      </c>
      <c r="B1111" s="540" t="s">
        <v>3591</v>
      </c>
      <c r="C1111" s="471" t="s">
        <v>247</v>
      </c>
      <c r="D1111" s="456">
        <f>IF(Table11[[#This Row],[Current Age]]&gt;19,"Women's",IF(E1111&gt;15,"U19",IF(E1111&gt;13,"U15",IF(E1111&gt;11,"U13",IF(E1111&gt;0,"U11",0)))))</f>
        <v>0</v>
      </c>
      <c r="E1111" s="456">
        <f>IFERROR(IF(Table11[[#This Row],[Year]]&gt;0,$E$1-Table11[[#This Row],[Year]],0),"")</f>
        <v>0</v>
      </c>
      <c r="F1111" s="456"/>
      <c r="G1111" s="456"/>
      <c r="H1111" s="456"/>
    </row>
    <row r="1112" spans="1:8" ht="13.5" customHeight="1">
      <c r="A1112" s="456">
        <v>8108</v>
      </c>
      <c r="B1112" s="457" t="s">
        <v>3812</v>
      </c>
      <c r="C1112" s="456" t="s">
        <v>762</v>
      </c>
      <c r="D1112" s="456">
        <f>IF(Table11[[#This Row],[Current Age]]&gt;19,"Women's",IF(E1112&gt;15,"U19",IF(E1112&gt;13,"U15",IF(E1112&gt;11,"U13",IF(E1112&gt;0,"U11",0)))))</f>
        <v>0</v>
      </c>
      <c r="E1112" s="456">
        <f>IFERROR(IF(Table11[[#This Row],[Year]]&gt;0,$E$1-Table11[[#This Row],[Year]],0),"")</f>
        <v>0</v>
      </c>
      <c r="F1112" s="456"/>
      <c r="G1112" s="456"/>
      <c r="H1112" s="456"/>
    </row>
    <row r="1113" spans="1:8" ht="13.5" customHeight="1">
      <c r="A1113" s="471">
        <v>8109</v>
      </c>
      <c r="B1113" s="540" t="s">
        <v>3653</v>
      </c>
      <c r="C1113" s="471" t="s">
        <v>247</v>
      </c>
      <c r="D1113" s="456">
        <f>IF(Table11[[#This Row],[Current Age]]&gt;19,"Women's",IF(E1113&gt;15,"U19",IF(E1113&gt;13,"U15",IF(E1113&gt;11,"U13",IF(E1113&gt;0,"U11",0)))))</f>
        <v>0</v>
      </c>
      <c r="E1113" s="456">
        <f>IFERROR(IF(Table11[[#This Row],[Year]]&gt;0,$E$1-Table11[[#This Row],[Year]],0),"")</f>
        <v>0</v>
      </c>
      <c r="F1113" s="456"/>
      <c r="G1113" s="456"/>
      <c r="H1113" s="456"/>
    </row>
    <row r="1114" spans="1:8" ht="13.5" customHeight="1">
      <c r="A1114" s="456">
        <v>8110</v>
      </c>
      <c r="B1114" s="457" t="s">
        <v>3813</v>
      </c>
      <c r="C1114" s="456" t="s">
        <v>762</v>
      </c>
      <c r="D1114" s="456">
        <f>IF(Table11[[#This Row],[Current Age]]&gt;19,"Women's",IF(E1114&gt;15,"U19",IF(E1114&gt;13,"U15",IF(E1114&gt;11,"U13",IF(E1114&gt;0,"U11",0)))))</f>
        <v>0</v>
      </c>
      <c r="E1114" s="456">
        <f>IFERROR(IF(Table11[[#This Row],[Year]]&gt;0,$E$1-Table11[[#This Row],[Year]],0),"")</f>
        <v>0</v>
      </c>
      <c r="F1114" s="456"/>
      <c r="G1114" s="456"/>
      <c r="H1114" s="456"/>
    </row>
    <row r="1115" spans="1:8" ht="13.5" customHeight="1">
      <c r="A1115" s="471">
        <v>8111</v>
      </c>
      <c r="B1115" s="540" t="s">
        <v>3814</v>
      </c>
      <c r="C1115" s="471" t="s">
        <v>762</v>
      </c>
      <c r="D1115" s="456">
        <f>IF(Table11[[#This Row],[Current Age]]&gt;19,"Women's",IF(E1115&gt;15,"U19",IF(E1115&gt;13,"U15",IF(E1115&gt;11,"U13",IF(E1115&gt;0,"U11",0)))))</f>
        <v>0</v>
      </c>
      <c r="E1115" s="456">
        <f>IFERROR(IF(Table11[[#This Row],[Year]]&gt;0,$E$1-Table11[[#This Row],[Year]],0),"")</f>
        <v>0</v>
      </c>
      <c r="F1115" s="456"/>
      <c r="G1115" s="456"/>
      <c r="H1115" s="456"/>
    </row>
    <row r="1116" spans="1:8" ht="13.5" customHeight="1">
      <c r="A1116" s="456">
        <v>8112</v>
      </c>
      <c r="B1116" s="457" t="s">
        <v>3592</v>
      </c>
      <c r="C1116" s="456" t="s">
        <v>247</v>
      </c>
      <c r="D1116" s="456">
        <f>IF(Table11[[#This Row],[Current Age]]&gt;19,"Women's",IF(E1116&gt;15,"U19",IF(E1116&gt;13,"U15",IF(E1116&gt;11,"U13",IF(E1116&gt;0,"U11",0)))))</f>
        <v>0</v>
      </c>
      <c r="E1116" s="456">
        <f>IFERROR(IF(Table11[[#This Row],[Year]]&gt;0,$E$1-Table11[[#This Row],[Year]],0),"")</f>
        <v>0</v>
      </c>
      <c r="F1116" s="456"/>
      <c r="G1116" s="456"/>
      <c r="H1116" s="456"/>
    </row>
    <row r="1117" spans="1:8" ht="13.5" customHeight="1">
      <c r="A1117" s="471">
        <v>8113</v>
      </c>
      <c r="B1117" s="540" t="s">
        <v>5657</v>
      </c>
      <c r="C1117" s="471" t="s">
        <v>247</v>
      </c>
      <c r="D1117" s="456">
        <f>IF(Table11[[#This Row],[Current Age]]&gt;19,"Women's",IF(E1117&gt;15,"U19",IF(E1117&gt;13,"U15",IF(E1117&gt;11,"U13",IF(E1117&gt;0,"U11",0)))))</f>
        <v>0</v>
      </c>
      <c r="E1117" s="456">
        <f>IFERROR(IF(Table11[[#This Row],[Year]]&gt;0,$E$1-Table11[[#This Row],[Year]],0),"")</f>
        <v>0</v>
      </c>
      <c r="F1117" s="456"/>
      <c r="G1117" s="456"/>
      <c r="H1117" s="456"/>
    </row>
    <row r="1118" spans="1:8" ht="13.5" customHeight="1">
      <c r="A1118" s="456">
        <v>8114</v>
      </c>
      <c r="B1118" s="457" t="s">
        <v>3815</v>
      </c>
      <c r="C1118" s="456" t="s">
        <v>251</v>
      </c>
      <c r="D1118" s="456" t="str">
        <f>IF(Table11[[#This Row],[Current Age]]&gt;19,"Women's",IF(E1118&gt;15,"U19",IF(E1118&gt;13,"U15",IF(E1118&gt;11,"U13",IF(E1118&gt;0,"U11",0)))))</f>
        <v>Women's</v>
      </c>
      <c r="E1118" s="456">
        <f>IFERROR(IF(Table11[[#This Row],[Year]]&gt;0,$E$1-Table11[[#This Row],[Year]],0),"")</f>
        <v>73</v>
      </c>
      <c r="F1118" s="456">
        <v>1952</v>
      </c>
      <c r="G1118" s="456">
        <v>5</v>
      </c>
      <c r="H1118" s="456">
        <v>20</v>
      </c>
    </row>
    <row r="1119" spans="1:8" ht="13.5" customHeight="1">
      <c r="A1119" s="471">
        <v>8115</v>
      </c>
      <c r="B1119" s="540" t="s">
        <v>3816</v>
      </c>
      <c r="C1119" s="471" t="s">
        <v>251</v>
      </c>
      <c r="D1119" s="456">
        <f>IF(Table11[[#This Row],[Current Age]]&gt;19,"Women's",IF(E1119&gt;15,"U19",IF(E1119&gt;13,"U15",IF(E1119&gt;11,"U13",IF(E1119&gt;0,"U11",0)))))</f>
        <v>0</v>
      </c>
      <c r="E1119" s="456">
        <f>IFERROR(IF(Table11[[#This Row],[Year]]&gt;0,$E$1-Table11[[#This Row],[Year]],0),"")</f>
        <v>0</v>
      </c>
      <c r="F1119" s="456"/>
      <c r="G1119" s="456"/>
      <c r="H1119" s="456"/>
    </row>
    <row r="1120" spans="1:8" ht="13.5" customHeight="1">
      <c r="A1120" s="456">
        <v>8116</v>
      </c>
      <c r="B1120" s="457" t="s">
        <v>3817</v>
      </c>
      <c r="C1120" s="456" t="s">
        <v>762</v>
      </c>
      <c r="D1120" s="456">
        <f>IF(Table11[[#This Row],[Current Age]]&gt;19,"Women's",IF(E1120&gt;15,"U19",IF(E1120&gt;13,"U15",IF(E1120&gt;11,"U13",IF(E1120&gt;0,"U11",0)))))</f>
        <v>0</v>
      </c>
      <c r="E1120" s="456">
        <f>IFERROR(IF(Table11[[#This Row],[Year]]&gt;0,$E$1-Table11[[#This Row],[Year]],0),"")</f>
        <v>0</v>
      </c>
      <c r="F1120" s="456"/>
      <c r="G1120" s="456"/>
      <c r="H1120" s="456"/>
    </row>
    <row r="1121" spans="1:8" ht="13.5" customHeight="1">
      <c r="A1121" s="471">
        <v>8117</v>
      </c>
      <c r="B1121" s="540" t="s">
        <v>3818</v>
      </c>
      <c r="C1121" s="471" t="s">
        <v>3793</v>
      </c>
      <c r="D1121" s="456">
        <f>IF(Table11[[#This Row],[Current Age]]&gt;19,"Women's",IF(E1121&gt;15,"U19",IF(E1121&gt;13,"U15",IF(E1121&gt;11,"U13",IF(E1121&gt;0,"U11",0)))))</f>
        <v>0</v>
      </c>
      <c r="E1121" s="456">
        <f>IFERROR(IF(Table11[[#This Row],[Year]]&gt;0,$E$1-Table11[[#This Row],[Year]],0),"")</f>
        <v>0</v>
      </c>
      <c r="F1121" s="456"/>
      <c r="G1121" s="456"/>
      <c r="H1121" s="456"/>
    </row>
    <row r="1122" spans="1:8" ht="13.5" customHeight="1">
      <c r="A1122" s="456">
        <v>8118</v>
      </c>
      <c r="B1122" s="457" t="s">
        <v>3821</v>
      </c>
      <c r="C1122" s="456" t="s">
        <v>251</v>
      </c>
      <c r="D1122" s="456">
        <f>IF(Table11[[#This Row],[Current Age]]&gt;19,"Women's",IF(E1122&gt;15,"U19",IF(E1122&gt;13,"U15",IF(E1122&gt;11,"U13",IF(E1122&gt;0,"U11",0)))))</f>
        <v>0</v>
      </c>
      <c r="E1122" s="456">
        <f>IFERROR(IF(Table11[[#This Row],[Year]]&gt;0,$E$1-Table11[[#This Row],[Year]],0),"")</f>
        <v>0</v>
      </c>
      <c r="F1122" s="456"/>
      <c r="G1122" s="456"/>
      <c r="H1122" s="456"/>
    </row>
    <row r="1123" spans="1:8" ht="13.5" customHeight="1">
      <c r="A1123" s="471">
        <v>8119</v>
      </c>
      <c r="B1123" s="540" t="s">
        <v>3822</v>
      </c>
      <c r="C1123" s="471" t="s">
        <v>3793</v>
      </c>
      <c r="D1123" s="456">
        <f>IF(Table11[[#This Row],[Current Age]]&gt;19,"Women's",IF(E1123&gt;15,"U19",IF(E1123&gt;13,"U15",IF(E1123&gt;11,"U13",IF(E1123&gt;0,"U11",0)))))</f>
        <v>0</v>
      </c>
      <c r="E1123" s="456">
        <f>IFERROR(IF(Table11[[#This Row],[Year]]&gt;0,$E$1-Table11[[#This Row],[Year]],0),"")</f>
        <v>0</v>
      </c>
      <c r="F1123" s="456"/>
      <c r="G1123" s="456"/>
      <c r="H1123" s="456"/>
    </row>
    <row r="1124" spans="1:8" ht="13.5" customHeight="1">
      <c r="A1124" s="456">
        <v>8120</v>
      </c>
      <c r="B1124" s="457" t="s">
        <v>3833</v>
      </c>
      <c r="C1124" s="456" t="s">
        <v>251</v>
      </c>
      <c r="D1124" s="456">
        <f>IF(Table11[[#This Row],[Current Age]]&gt;19,"Women's",IF(E1124&gt;15,"U19",IF(E1124&gt;13,"U15",IF(E1124&gt;11,"U13",IF(E1124&gt;0,"U11",0)))))</f>
        <v>0</v>
      </c>
      <c r="E1124" s="456">
        <f>IFERROR(IF(Table11[[#This Row],[Year]]&gt;0,$E$1-Table11[[#This Row],[Year]],0),"")</f>
        <v>0</v>
      </c>
      <c r="F1124" s="456"/>
      <c r="G1124" s="456"/>
      <c r="H1124" s="456"/>
    </row>
    <row r="1125" spans="1:8" ht="13.5" customHeight="1">
      <c r="A1125" s="471">
        <v>8121</v>
      </c>
      <c r="B1125" s="540" t="s">
        <v>3834</v>
      </c>
      <c r="C1125" s="471" t="s">
        <v>251</v>
      </c>
      <c r="D1125" s="456">
        <f>IF(Table11[[#This Row],[Current Age]]&gt;19,"Women's",IF(E1125&gt;15,"U19",IF(E1125&gt;13,"U15",IF(E1125&gt;11,"U13",IF(E1125&gt;0,"U11",0)))))</f>
        <v>0</v>
      </c>
      <c r="E1125" s="456">
        <f>IFERROR(IF(Table11[[#This Row],[Year]]&gt;0,$E$1-Table11[[#This Row],[Year]],0),"")</f>
        <v>0</v>
      </c>
      <c r="F1125" s="456"/>
      <c r="G1125" s="456"/>
      <c r="H1125" s="456"/>
    </row>
    <row r="1126" spans="1:8" ht="13.5" customHeight="1">
      <c r="A1126" s="456">
        <v>8122</v>
      </c>
      <c r="B1126" s="457" t="s">
        <v>3835</v>
      </c>
      <c r="C1126" s="456" t="s">
        <v>251</v>
      </c>
      <c r="D1126" s="456">
        <f>IF(Table11[[#This Row],[Current Age]]&gt;19,"Women's",IF(E1126&gt;15,"U19",IF(E1126&gt;13,"U15",IF(E1126&gt;11,"U13",IF(E1126&gt;0,"U11",0)))))</f>
        <v>0</v>
      </c>
      <c r="E1126" s="456">
        <f>IFERROR(IF(Table11[[#This Row],[Year]]&gt;0,$E$1-Table11[[#This Row],[Year]],0),"")</f>
        <v>0</v>
      </c>
      <c r="F1126" s="456"/>
      <c r="G1126" s="456"/>
      <c r="H1126" s="456"/>
    </row>
    <row r="1127" spans="1:8" ht="13.5" customHeight="1">
      <c r="A1127" s="471">
        <v>8123</v>
      </c>
      <c r="B1127" s="540" t="s">
        <v>3849</v>
      </c>
      <c r="C1127" s="471" t="s">
        <v>251</v>
      </c>
      <c r="D1127" s="456">
        <f>IF(Table11[[#This Row],[Current Age]]&gt;19,"Women's",IF(E1127&gt;15,"U19",IF(E1127&gt;13,"U15",IF(E1127&gt;11,"U13",IF(E1127&gt;0,"U11",0)))))</f>
        <v>0</v>
      </c>
      <c r="E1127" s="456">
        <f>IFERROR(IF(Table11[[#This Row],[Year]]&gt;0,$E$1-Table11[[#This Row],[Year]],0),"")</f>
        <v>0</v>
      </c>
      <c r="F1127" s="456"/>
      <c r="G1127" s="456"/>
      <c r="H1127" s="456"/>
    </row>
    <row r="1128" spans="1:8" ht="13.5" customHeight="1">
      <c r="A1128" s="456">
        <v>8124</v>
      </c>
      <c r="B1128" s="457" t="s">
        <v>3850</v>
      </c>
      <c r="C1128" s="456" t="s">
        <v>251</v>
      </c>
      <c r="D1128" s="456">
        <f>IF(Table11[[#This Row],[Current Age]]&gt;19,"Women's",IF(E1128&gt;15,"U19",IF(E1128&gt;13,"U15",IF(E1128&gt;11,"U13",IF(E1128&gt;0,"U11",0)))))</f>
        <v>0</v>
      </c>
      <c r="E1128" s="456">
        <f>IFERROR(IF(Table11[[#This Row],[Year]]&gt;0,$E$1-Table11[[#This Row],[Year]],0),"")</f>
        <v>0</v>
      </c>
      <c r="F1128" s="456"/>
      <c r="G1128" s="456"/>
      <c r="H1128" s="456"/>
    </row>
    <row r="1129" spans="1:8" ht="13.5" customHeight="1">
      <c r="A1129" s="471">
        <v>8125</v>
      </c>
      <c r="B1129" s="540" t="s">
        <v>3851</v>
      </c>
      <c r="C1129" s="471" t="s">
        <v>251</v>
      </c>
      <c r="D1129" s="456">
        <f>IF(Table11[[#This Row],[Current Age]]&gt;19,"Women's",IF(E1129&gt;15,"U19",IF(E1129&gt;13,"U15",IF(E1129&gt;11,"U13",IF(E1129&gt;0,"U11",0)))))</f>
        <v>0</v>
      </c>
      <c r="E1129" s="456">
        <f>IFERROR(IF(Table11[[#This Row],[Year]]&gt;0,$E$1-Table11[[#This Row],[Year]],0),"")</f>
        <v>0</v>
      </c>
      <c r="F1129" s="456"/>
      <c r="G1129" s="456"/>
      <c r="H1129" s="456"/>
    </row>
    <row r="1130" spans="1:8" ht="13.5" customHeight="1">
      <c r="A1130" s="456">
        <v>8126</v>
      </c>
      <c r="B1130" s="457" t="s">
        <v>3852</v>
      </c>
      <c r="C1130" s="456" t="s">
        <v>251</v>
      </c>
      <c r="D1130" s="456">
        <f>IF(Table11[[#This Row],[Current Age]]&gt;19,"Women's",IF(E1130&gt;15,"U19",IF(E1130&gt;13,"U15",IF(E1130&gt;11,"U13",IF(E1130&gt;0,"U11",0)))))</f>
        <v>0</v>
      </c>
      <c r="E1130" s="456">
        <f>IFERROR(IF(Table11[[#This Row],[Year]]&gt;0,$E$1-Table11[[#This Row],[Year]],0),"")</f>
        <v>0</v>
      </c>
      <c r="F1130" s="456"/>
      <c r="G1130" s="456"/>
      <c r="H1130" s="456"/>
    </row>
    <row r="1131" spans="1:8" ht="13.5" customHeight="1">
      <c r="A1131" s="471">
        <v>8127</v>
      </c>
      <c r="B1131" s="540" t="s">
        <v>3853</v>
      </c>
      <c r="C1131" s="471" t="s">
        <v>251</v>
      </c>
      <c r="D1131" s="456">
        <f>IF(Table11[[#This Row],[Current Age]]&gt;19,"Women's",IF(E1131&gt;15,"U19",IF(E1131&gt;13,"U15",IF(E1131&gt;11,"U13",IF(E1131&gt;0,"U11",0)))))</f>
        <v>0</v>
      </c>
      <c r="E1131" s="456">
        <f>IFERROR(IF(Table11[[#This Row],[Year]]&gt;0,$E$1-Table11[[#This Row],[Year]],0),"")</f>
        <v>0</v>
      </c>
      <c r="F1131" s="456"/>
      <c r="G1131" s="456"/>
      <c r="H1131" s="456"/>
    </row>
    <row r="1132" spans="1:8" ht="13.5" customHeight="1">
      <c r="A1132" s="456">
        <v>8128</v>
      </c>
      <c r="B1132" s="457" t="s">
        <v>3854</v>
      </c>
      <c r="C1132" s="456" t="s">
        <v>251</v>
      </c>
      <c r="D1132" s="456">
        <f>IF(Table11[[#This Row],[Current Age]]&gt;19,"Women's",IF(E1132&gt;15,"U19",IF(E1132&gt;13,"U15",IF(E1132&gt;11,"U13",IF(E1132&gt;0,"U11",0)))))</f>
        <v>0</v>
      </c>
      <c r="E1132" s="456">
        <f>IFERROR(IF(Table11[[#This Row],[Year]]&gt;0,$E$1-Table11[[#This Row],[Year]],0),"")</f>
        <v>0</v>
      </c>
      <c r="F1132" s="456"/>
      <c r="G1132" s="456"/>
      <c r="H1132" s="456"/>
    </row>
    <row r="1133" spans="1:8" ht="13.5" customHeight="1">
      <c r="A1133" s="471">
        <v>8129</v>
      </c>
      <c r="B1133" s="540" t="s">
        <v>3728</v>
      </c>
      <c r="C1133" s="471" t="s">
        <v>244</v>
      </c>
      <c r="D1133" s="456">
        <f>IF(Table11[[#This Row],[Current Age]]&gt;19,"Women's",IF(E1133&gt;15,"U19",IF(E1133&gt;13,"U15",IF(E1133&gt;11,"U13",IF(E1133&gt;0,"U11",0)))))</f>
        <v>0</v>
      </c>
      <c r="E1133" s="456">
        <f>IFERROR(IF(Table11[[#This Row],[Year]]&gt;0,$E$1-Table11[[#This Row],[Year]],0),"")</f>
        <v>0</v>
      </c>
      <c r="F1133" s="456"/>
      <c r="G1133" s="456"/>
      <c r="H1133" s="456"/>
    </row>
    <row r="1134" spans="1:8" ht="13.5" customHeight="1">
      <c r="A1134" s="456">
        <v>8130</v>
      </c>
      <c r="B1134" s="457" t="s">
        <v>3729</v>
      </c>
      <c r="C1134" s="456" t="s">
        <v>244</v>
      </c>
      <c r="D1134" s="456">
        <f>IF(Table11[[#This Row],[Current Age]]&gt;19,"Women's",IF(E1134&gt;15,"U19",IF(E1134&gt;13,"U15",IF(E1134&gt;11,"U13",IF(E1134&gt;0,"U11",0)))))</f>
        <v>0</v>
      </c>
      <c r="E1134" s="456">
        <f>IFERROR(IF(Table11[[#This Row],[Year]]&gt;0,$E$1-Table11[[#This Row],[Year]],0),"")</f>
        <v>0</v>
      </c>
      <c r="F1134" s="456"/>
      <c r="G1134" s="456"/>
      <c r="H1134" s="456"/>
    </row>
    <row r="1135" spans="1:8" ht="13.5" customHeight="1">
      <c r="A1135" s="471">
        <v>8131</v>
      </c>
      <c r="B1135" s="540" t="s">
        <v>3618</v>
      </c>
      <c r="C1135" s="471" t="s">
        <v>244</v>
      </c>
      <c r="D1135" s="456">
        <f>IF(Table11[[#This Row],[Current Age]]&gt;19,"Women's",IF(E1135&gt;15,"U19",IF(E1135&gt;13,"U15",IF(E1135&gt;11,"U13",IF(E1135&gt;0,"U11",0)))))</f>
        <v>0</v>
      </c>
      <c r="E1135" s="456">
        <f>IFERROR(IF(Table11[[#This Row],[Year]]&gt;0,$E$1-Table11[[#This Row],[Year]],0),"")</f>
        <v>0</v>
      </c>
      <c r="F1135" s="456"/>
      <c r="G1135" s="456"/>
      <c r="H1135" s="456"/>
    </row>
    <row r="1136" spans="1:8" ht="13.5" customHeight="1">
      <c r="A1136" s="456">
        <v>8132</v>
      </c>
      <c r="B1136" s="457" t="s">
        <v>3855</v>
      </c>
      <c r="C1136" s="456" t="s">
        <v>251</v>
      </c>
      <c r="D1136" s="456">
        <f>IF(Table11[[#This Row],[Current Age]]&gt;19,"Women's",IF(E1136&gt;15,"U19",IF(E1136&gt;13,"U15",IF(E1136&gt;11,"U13",IF(E1136&gt;0,"U11",0)))))</f>
        <v>0</v>
      </c>
      <c r="E1136" s="456">
        <f>IFERROR(IF(Table11[[#This Row],[Year]]&gt;0,$E$1-Table11[[#This Row],[Year]],0),"")</f>
        <v>0</v>
      </c>
      <c r="F1136" s="456"/>
      <c r="G1136" s="456"/>
      <c r="H1136" s="456"/>
    </row>
    <row r="1137" spans="1:8" ht="13.5" customHeight="1">
      <c r="A1137" s="471">
        <v>8133</v>
      </c>
      <c r="B1137" s="540" t="s">
        <v>3587</v>
      </c>
      <c r="C1137" s="471" t="s">
        <v>244</v>
      </c>
      <c r="D1137" s="456">
        <f>IF(Table11[[#This Row],[Current Age]]&gt;19,"Women's",IF(E1137&gt;15,"U19",IF(E1137&gt;13,"U15",IF(E1137&gt;11,"U13",IF(E1137&gt;0,"U11",0)))))</f>
        <v>0</v>
      </c>
      <c r="E1137" s="456">
        <f>IFERROR(IF(Table11[[#This Row],[Year]]&gt;0,$E$1-Table11[[#This Row],[Year]],0),"")</f>
        <v>0</v>
      </c>
      <c r="F1137" s="456"/>
      <c r="G1137" s="456"/>
      <c r="H1137" s="456"/>
    </row>
    <row r="1138" spans="1:8" ht="13.5" customHeight="1">
      <c r="A1138" s="456">
        <v>8134</v>
      </c>
      <c r="B1138" s="457" t="s">
        <v>3582</v>
      </c>
      <c r="C1138" s="456" t="s">
        <v>244</v>
      </c>
      <c r="D1138" s="456">
        <f>IF(Table11[[#This Row],[Current Age]]&gt;19,"Women's",IF(E1138&gt;15,"U19",IF(E1138&gt;13,"U15",IF(E1138&gt;11,"U13",IF(E1138&gt;0,"U11",0)))))</f>
        <v>0</v>
      </c>
      <c r="E1138" s="456">
        <f>IFERROR(IF(Table11[[#This Row],[Year]]&gt;0,$E$1-Table11[[#This Row],[Year]],0),"")</f>
        <v>0</v>
      </c>
      <c r="F1138" s="456"/>
      <c r="G1138" s="456"/>
      <c r="H1138" s="456"/>
    </row>
    <row r="1139" spans="1:8" ht="13.5" customHeight="1">
      <c r="A1139" s="471">
        <v>8135</v>
      </c>
      <c r="B1139" s="540" t="s">
        <v>3856</v>
      </c>
      <c r="C1139" s="471" t="s">
        <v>251</v>
      </c>
      <c r="D1139" s="456">
        <f>IF(Table11[[#This Row],[Current Age]]&gt;19,"Women's",IF(E1139&gt;15,"U19",IF(E1139&gt;13,"U15",IF(E1139&gt;11,"U13",IF(E1139&gt;0,"U11",0)))))</f>
        <v>0</v>
      </c>
      <c r="E1139" s="456">
        <f>IFERROR(IF(Table11[[#This Row],[Year]]&gt;0,$E$1-Table11[[#This Row],[Year]],0),"")</f>
        <v>0</v>
      </c>
      <c r="F1139" s="456"/>
      <c r="G1139" s="456"/>
      <c r="H1139" s="456"/>
    </row>
    <row r="1140" spans="1:8" ht="13.5" customHeight="1">
      <c r="A1140" s="456">
        <v>8136</v>
      </c>
      <c r="B1140" s="457" t="s">
        <v>3581</v>
      </c>
      <c r="C1140" s="456"/>
      <c r="D1140" s="456">
        <f>IF(Table11[[#This Row],[Current Age]]&gt;19,"Women's",IF(E1140&gt;15,"U19",IF(E1140&gt;13,"U15",IF(E1140&gt;11,"U13",IF(E1140&gt;0,"U11",0)))))</f>
        <v>0</v>
      </c>
      <c r="E1140" s="456">
        <f>IFERROR(IF(Table11[[#This Row],[Year]]&gt;0,$E$1-Table11[[#This Row],[Year]],0),"")</f>
        <v>0</v>
      </c>
      <c r="F1140" s="456"/>
      <c r="G1140" s="456"/>
      <c r="H1140" s="456"/>
    </row>
    <row r="1141" spans="1:8" ht="13.5" customHeight="1">
      <c r="A1141" s="471">
        <v>8137</v>
      </c>
      <c r="B1141" s="540" t="s">
        <v>3857</v>
      </c>
      <c r="C1141" s="471" t="s">
        <v>3793</v>
      </c>
      <c r="D1141" s="456">
        <f>IF(Table11[[#This Row],[Current Age]]&gt;19,"Women's",IF(E1141&gt;15,"U19",IF(E1141&gt;13,"U15",IF(E1141&gt;11,"U13",IF(E1141&gt;0,"U11",0)))))</f>
        <v>0</v>
      </c>
      <c r="E1141" s="456">
        <f>IFERROR(IF(Table11[[#This Row],[Year]]&gt;0,$E$1-Table11[[#This Row],[Year]],0),"")</f>
        <v>0</v>
      </c>
      <c r="F1141" s="456"/>
      <c r="G1141" s="456"/>
      <c r="H1141" s="456"/>
    </row>
    <row r="1142" spans="1:8" ht="13.5" customHeight="1">
      <c r="A1142" s="456">
        <v>8138</v>
      </c>
      <c r="B1142" s="457" t="s">
        <v>3858</v>
      </c>
      <c r="C1142" s="456" t="s">
        <v>251</v>
      </c>
      <c r="D1142" s="456">
        <f>IF(Table11[[#This Row],[Current Age]]&gt;19,"Women's",IF(E1142&gt;15,"U19",IF(E1142&gt;13,"U15",IF(E1142&gt;11,"U13",IF(E1142&gt;0,"U11",0)))))</f>
        <v>0</v>
      </c>
      <c r="E1142" s="456">
        <f>IFERROR(IF(Table11[[#This Row],[Year]]&gt;0,$E$1-Table11[[#This Row],[Year]],0),"")</f>
        <v>0</v>
      </c>
      <c r="F1142" s="456"/>
      <c r="G1142" s="456"/>
      <c r="H1142" s="456"/>
    </row>
    <row r="1143" spans="1:8" ht="13.5" customHeight="1">
      <c r="A1143" s="471">
        <v>8139</v>
      </c>
      <c r="B1143" s="540" t="s">
        <v>3860</v>
      </c>
      <c r="C1143" s="471" t="s">
        <v>251</v>
      </c>
      <c r="D1143" s="456">
        <f>IF(Table11[[#This Row],[Current Age]]&gt;19,"Women's",IF(E1143&gt;15,"U19",IF(E1143&gt;13,"U15",IF(E1143&gt;11,"U13",IF(E1143&gt;0,"U11",0)))))</f>
        <v>0</v>
      </c>
      <c r="E1143" s="456">
        <f>IFERROR(IF(Table11[[#This Row],[Year]]&gt;0,$E$1-Table11[[#This Row],[Year]],0),"")</f>
        <v>0</v>
      </c>
      <c r="F1143" s="456"/>
      <c r="G1143" s="456"/>
      <c r="H1143" s="456"/>
    </row>
    <row r="1144" spans="1:8" ht="13.5" customHeight="1">
      <c r="A1144" s="456">
        <v>8140</v>
      </c>
      <c r="B1144" s="457" t="s">
        <v>3619</v>
      </c>
      <c r="C1144" s="456" t="s">
        <v>256</v>
      </c>
      <c r="D1144" s="456">
        <f>IF(Table11[[#This Row],[Current Age]]&gt;19,"Women's",IF(E1144&gt;15,"U19",IF(E1144&gt;13,"U15",IF(E1144&gt;11,"U13",IF(E1144&gt;0,"U11",0)))))</f>
        <v>0</v>
      </c>
      <c r="E1144" s="456">
        <f>IFERROR(IF(Table11[[#This Row],[Year]]&gt;0,$E$1-Table11[[#This Row],[Year]],0),"")</f>
        <v>0</v>
      </c>
      <c r="F1144" s="456"/>
      <c r="G1144" s="456"/>
      <c r="H1144" s="456"/>
    </row>
    <row r="1145" spans="1:8" ht="13.5" customHeight="1">
      <c r="A1145" s="471">
        <v>8141</v>
      </c>
      <c r="B1145" s="540" t="s">
        <v>3861</v>
      </c>
      <c r="C1145" s="471" t="s">
        <v>251</v>
      </c>
      <c r="D1145" s="456">
        <f>IF(Table11[[#This Row],[Current Age]]&gt;19,"Women's",IF(E1145&gt;15,"U19",IF(E1145&gt;13,"U15",IF(E1145&gt;11,"U13",IF(E1145&gt;0,"U11",0)))))</f>
        <v>0</v>
      </c>
      <c r="E1145" s="456">
        <f>IFERROR(IF(Table11[[#This Row],[Year]]&gt;0,$E$1-Table11[[#This Row],[Year]],0),"")</f>
        <v>0</v>
      </c>
      <c r="F1145" s="456"/>
      <c r="G1145" s="456"/>
      <c r="H1145" s="456"/>
    </row>
    <row r="1146" spans="1:8" ht="13.5" customHeight="1">
      <c r="A1146" s="456">
        <v>8142</v>
      </c>
      <c r="B1146" s="457" t="s">
        <v>3622</v>
      </c>
      <c r="C1146" s="456" t="s">
        <v>256</v>
      </c>
      <c r="D1146" s="456">
        <f>IF(Table11[[#This Row],[Current Age]]&gt;19,"Women's",IF(E1146&gt;15,"U19",IF(E1146&gt;13,"U15",IF(E1146&gt;11,"U13",IF(E1146&gt;0,"U11",0)))))</f>
        <v>0</v>
      </c>
      <c r="E1146" s="456">
        <f>IFERROR(IF(Table11[[#This Row],[Year]]&gt;0,$E$1-Table11[[#This Row],[Year]],0),"")</f>
        <v>0</v>
      </c>
      <c r="F1146" s="456"/>
      <c r="G1146" s="456"/>
      <c r="H1146" s="456"/>
    </row>
    <row r="1147" spans="1:8" ht="13.5" customHeight="1">
      <c r="A1147" s="471">
        <v>8143</v>
      </c>
      <c r="B1147" s="540" t="s">
        <v>3649</v>
      </c>
      <c r="C1147" s="471" t="s">
        <v>256</v>
      </c>
      <c r="D1147" s="456">
        <f>IF(Table11[[#This Row],[Current Age]]&gt;19,"Women's",IF(E1147&gt;15,"U19",IF(E1147&gt;13,"U15",IF(E1147&gt;11,"U13",IF(E1147&gt;0,"U11",0)))))</f>
        <v>0</v>
      </c>
      <c r="E1147" s="456">
        <f>IFERROR(IF(Table11[[#This Row],[Year]]&gt;0,$E$1-Table11[[#This Row],[Year]],0),"")</f>
        <v>0</v>
      </c>
      <c r="F1147" s="456"/>
      <c r="G1147" s="456"/>
      <c r="H1147" s="456"/>
    </row>
    <row r="1148" spans="1:8" ht="13.5" customHeight="1">
      <c r="A1148" s="456">
        <v>8144</v>
      </c>
      <c r="B1148" s="457" t="s">
        <v>3869</v>
      </c>
      <c r="C1148" s="456" t="s">
        <v>251</v>
      </c>
      <c r="D1148" s="456">
        <f>IF(Table11[[#This Row],[Current Age]]&gt;19,"Women's",IF(E1148&gt;15,"U19",IF(E1148&gt;13,"U15",IF(E1148&gt;11,"U13",IF(E1148&gt;0,"U11",0)))))</f>
        <v>0</v>
      </c>
      <c r="E1148" s="456">
        <f>IFERROR(IF(Table11[[#This Row],[Year]]&gt;0,$E$1-Table11[[#This Row],[Year]],0),"")</f>
        <v>0</v>
      </c>
      <c r="F1148" s="456"/>
      <c r="G1148" s="456"/>
      <c r="H1148" s="456"/>
    </row>
    <row r="1149" spans="1:8" ht="13.5" customHeight="1">
      <c r="A1149" s="471">
        <v>8145</v>
      </c>
      <c r="B1149" s="540" t="s">
        <v>3870</v>
      </c>
      <c r="C1149" s="471" t="s">
        <v>251</v>
      </c>
      <c r="D1149" s="456">
        <f>IF(Table11[[#This Row],[Current Age]]&gt;19,"Women's",IF(E1149&gt;15,"U19",IF(E1149&gt;13,"U15",IF(E1149&gt;11,"U13",IF(E1149&gt;0,"U11",0)))))</f>
        <v>0</v>
      </c>
      <c r="E1149" s="456">
        <f>IFERROR(IF(Table11[[#This Row],[Year]]&gt;0,$E$1-Table11[[#This Row],[Year]],0),"")</f>
        <v>0</v>
      </c>
      <c r="F1149" s="456"/>
      <c r="G1149" s="456"/>
      <c r="H1149" s="456"/>
    </row>
    <row r="1150" spans="1:8" ht="13.5" customHeight="1">
      <c r="A1150" s="456">
        <v>8146</v>
      </c>
      <c r="B1150" s="457"/>
      <c r="C1150" s="456"/>
      <c r="D1150" s="456">
        <f>IF(Table11[[#This Row],[Current Age]]&gt;19,"Women's",IF(E1150&gt;15,"U19",IF(E1150&gt;13,"U15",IF(E1150&gt;11,"U13",IF(E1150&gt;0,"U11",0)))))</f>
        <v>0</v>
      </c>
      <c r="E1150" s="456">
        <f>IFERROR(IF(Table11[[#This Row],[Year]]&gt;0,$E$1-Table11[[#This Row],[Year]],0),"")</f>
        <v>0</v>
      </c>
      <c r="F1150" s="456"/>
      <c r="G1150" s="456"/>
      <c r="H1150" s="456"/>
    </row>
    <row r="1151" spans="1:8" ht="13.5" customHeight="1">
      <c r="A1151" s="471">
        <v>8147</v>
      </c>
      <c r="B1151" s="540" t="s">
        <v>3871</v>
      </c>
      <c r="C1151" s="471" t="s">
        <v>251</v>
      </c>
      <c r="D1151" s="456">
        <f>IF(Table11[[#This Row],[Current Age]]&gt;19,"Women's",IF(E1151&gt;15,"U19",IF(E1151&gt;13,"U15",IF(E1151&gt;11,"U13",IF(E1151&gt;0,"U11",0)))))</f>
        <v>0</v>
      </c>
      <c r="E1151" s="456">
        <f>IFERROR(IF(Table11[[#This Row],[Year]]&gt;0,$E$1-Table11[[#This Row],[Year]],0),"")</f>
        <v>0</v>
      </c>
      <c r="F1151" s="456"/>
      <c r="G1151" s="456"/>
      <c r="H1151" s="456"/>
    </row>
    <row r="1152" spans="1:8" ht="13.5" customHeight="1">
      <c r="A1152" s="456">
        <v>8148</v>
      </c>
      <c r="B1152" s="457" t="s">
        <v>3646</v>
      </c>
      <c r="C1152" s="456" t="s">
        <v>248</v>
      </c>
      <c r="D1152" s="456">
        <f>IF(Table11[[#This Row],[Current Age]]&gt;19,"Women's",IF(E1152&gt;15,"U19",IF(E1152&gt;13,"U15",IF(E1152&gt;11,"U13",IF(E1152&gt;0,"U11",0)))))</f>
        <v>0</v>
      </c>
      <c r="E1152" s="456">
        <f>IFERROR(IF(Table11[[#This Row],[Year]]&gt;0,$E$1-Table11[[#This Row],[Year]],0),"")</f>
        <v>0</v>
      </c>
      <c r="F1152" s="456"/>
      <c r="G1152" s="456"/>
      <c r="H1152" s="456"/>
    </row>
    <row r="1153" spans="1:8" ht="13.5" customHeight="1">
      <c r="A1153" s="471">
        <v>8149</v>
      </c>
      <c r="B1153" s="540" t="s">
        <v>3648</v>
      </c>
      <c r="C1153" s="471" t="s">
        <v>248</v>
      </c>
      <c r="D1153" s="456">
        <f>IF(Table11[[#This Row],[Current Age]]&gt;19,"Women's",IF(E1153&gt;15,"U19",IF(E1153&gt;13,"U15",IF(E1153&gt;11,"U13",IF(E1153&gt;0,"U11",0)))))</f>
        <v>0</v>
      </c>
      <c r="E1153" s="456">
        <f>IFERROR(IF(Table11[[#This Row],[Year]]&gt;0,$E$1-Table11[[#This Row],[Year]],0),"")</f>
        <v>0</v>
      </c>
      <c r="F1153" s="456"/>
      <c r="G1153" s="456"/>
      <c r="H1153" s="456"/>
    </row>
    <row r="1154" spans="1:8" ht="13.5" customHeight="1">
      <c r="A1154" s="456">
        <v>8150</v>
      </c>
      <c r="B1154" s="457" t="s">
        <v>3647</v>
      </c>
      <c r="C1154" s="456" t="s">
        <v>248</v>
      </c>
      <c r="D1154" s="456">
        <f>IF(Table11[[#This Row],[Current Age]]&gt;19,"Women's",IF(E1154&gt;15,"U19",IF(E1154&gt;13,"U15",IF(E1154&gt;11,"U13",IF(E1154&gt;0,"U11",0)))))</f>
        <v>0</v>
      </c>
      <c r="E1154" s="456">
        <f>IFERROR(IF(Table11[[#This Row],[Year]]&gt;0,$E$1-Table11[[#This Row],[Year]],0),"")</f>
        <v>0</v>
      </c>
      <c r="F1154" s="456"/>
      <c r="G1154" s="456"/>
      <c r="H1154" s="456"/>
    </row>
    <row r="1155" spans="1:8" ht="13.5" customHeight="1">
      <c r="A1155" s="471">
        <v>8151</v>
      </c>
      <c r="B1155" s="540" t="s">
        <v>3872</v>
      </c>
      <c r="C1155" s="471" t="s">
        <v>3793</v>
      </c>
      <c r="D1155" s="456">
        <f>IF(Table11[[#This Row],[Current Age]]&gt;19,"Women's",IF(E1155&gt;15,"U19",IF(E1155&gt;13,"U15",IF(E1155&gt;11,"U13",IF(E1155&gt;0,"U11",0)))))</f>
        <v>0</v>
      </c>
      <c r="E1155" s="456">
        <f>IFERROR(IF(Table11[[#This Row],[Year]]&gt;0,$E$1-Table11[[#This Row],[Year]],0),"")</f>
        <v>0</v>
      </c>
      <c r="F1155" s="456"/>
      <c r="G1155" s="456"/>
      <c r="H1155" s="456"/>
    </row>
    <row r="1156" spans="1:8" ht="13.5" customHeight="1">
      <c r="A1156" s="456">
        <v>8152</v>
      </c>
      <c r="B1156" s="457" t="s">
        <v>5429</v>
      </c>
      <c r="C1156" s="456" t="s">
        <v>248</v>
      </c>
      <c r="D1156" s="456">
        <f>IF(Table11[[#This Row],[Current Age]]&gt;19,"Women's",IF(E1156&gt;15,"U19",IF(E1156&gt;13,"U15",IF(E1156&gt;11,"U13",IF(E1156&gt;0,"U11",0)))))</f>
        <v>0</v>
      </c>
      <c r="E1156" s="456">
        <f>IFERROR(IF(Table11[[#This Row],[Year]]&gt;0,$E$1-Table11[[#This Row],[Year]],0),"")</f>
        <v>0</v>
      </c>
      <c r="F1156" s="456"/>
      <c r="G1156" s="456"/>
      <c r="H1156" s="456"/>
    </row>
    <row r="1157" spans="1:8" ht="13.5" customHeight="1">
      <c r="A1157" s="471">
        <v>8153</v>
      </c>
      <c r="B1157" s="540" t="s">
        <v>3626</v>
      </c>
      <c r="C1157" s="471" t="s">
        <v>248</v>
      </c>
      <c r="D1157" s="456">
        <f>IF(Table11[[#This Row],[Current Age]]&gt;19,"Women's",IF(E1157&gt;15,"U19",IF(E1157&gt;13,"U15",IF(E1157&gt;11,"U13",IF(E1157&gt;0,"U11",0)))))</f>
        <v>0</v>
      </c>
      <c r="E1157" s="456">
        <f>IFERROR(IF(Table11[[#This Row],[Year]]&gt;0,$E$1-Table11[[#This Row],[Year]],0),"")</f>
        <v>0</v>
      </c>
      <c r="F1157" s="456"/>
      <c r="G1157" s="456"/>
      <c r="H1157" s="456"/>
    </row>
    <row r="1158" spans="1:8" ht="13.5" customHeight="1">
      <c r="A1158" s="456">
        <v>8154</v>
      </c>
      <c r="B1158" s="457" t="s">
        <v>3617</v>
      </c>
      <c r="C1158" s="456" t="s">
        <v>248</v>
      </c>
      <c r="D1158" s="456">
        <f>IF(Table11[[#This Row],[Current Age]]&gt;19,"Women's",IF(E1158&gt;15,"U19",IF(E1158&gt;13,"U15",IF(E1158&gt;11,"U13",IF(E1158&gt;0,"U11",0)))))</f>
        <v>0</v>
      </c>
      <c r="E1158" s="456">
        <f>IFERROR(IF(Table11[[#This Row],[Year]]&gt;0,$E$1-Table11[[#This Row],[Year]],0),"")</f>
        <v>0</v>
      </c>
      <c r="F1158" s="456"/>
      <c r="G1158" s="456"/>
      <c r="H1158" s="456"/>
    </row>
    <row r="1159" spans="1:8" ht="13.5" customHeight="1">
      <c r="A1159" s="471">
        <v>8155</v>
      </c>
      <c r="B1159" s="540" t="s">
        <v>3625</v>
      </c>
      <c r="C1159" s="471" t="s">
        <v>248</v>
      </c>
      <c r="D1159" s="456">
        <f>IF(Table11[[#This Row],[Current Age]]&gt;19,"Women's",IF(E1159&gt;15,"U19",IF(E1159&gt;13,"U15",IF(E1159&gt;11,"U13",IF(E1159&gt;0,"U11",0)))))</f>
        <v>0</v>
      </c>
      <c r="E1159" s="456">
        <f>IFERROR(IF(Table11[[#This Row],[Year]]&gt;0,$E$1-Table11[[#This Row],[Year]],0),"")</f>
        <v>0</v>
      </c>
      <c r="F1159" s="456"/>
      <c r="G1159" s="456"/>
      <c r="H1159" s="456"/>
    </row>
    <row r="1160" spans="1:8" ht="13.5" customHeight="1">
      <c r="A1160" s="456">
        <v>8156</v>
      </c>
      <c r="B1160" s="457" t="s">
        <v>3589</v>
      </c>
      <c r="C1160" s="456" t="s">
        <v>248</v>
      </c>
      <c r="D1160" s="456">
        <f>IF(Table11[[#This Row],[Current Age]]&gt;19,"Women's",IF(E1160&gt;15,"U19",IF(E1160&gt;13,"U15",IF(E1160&gt;11,"U13",IF(E1160&gt;0,"U11",0)))))</f>
        <v>0</v>
      </c>
      <c r="E1160" s="456">
        <f>IFERROR(IF(Table11[[#This Row],[Year]]&gt;0,$E$1-Table11[[#This Row],[Year]],0),"")</f>
        <v>0</v>
      </c>
      <c r="F1160" s="456"/>
      <c r="G1160" s="456"/>
      <c r="H1160" s="456"/>
    </row>
    <row r="1161" spans="1:8" ht="13.5" customHeight="1">
      <c r="A1161" s="471">
        <v>8157</v>
      </c>
      <c r="B1161" s="540" t="s">
        <v>3873</v>
      </c>
      <c r="C1161" s="471" t="s">
        <v>251</v>
      </c>
      <c r="D1161" s="456">
        <f>IF(Table11[[#This Row],[Current Age]]&gt;19,"Women's",IF(E1161&gt;15,"U19",IF(E1161&gt;13,"U15",IF(E1161&gt;11,"U13",IF(E1161&gt;0,"U11",0)))))</f>
        <v>0</v>
      </c>
      <c r="E1161" s="456">
        <f>IFERROR(IF(Table11[[#This Row],[Year]]&gt;0,$E$1-Table11[[#This Row],[Year]],0),"")</f>
        <v>0</v>
      </c>
      <c r="F1161" s="456"/>
      <c r="G1161" s="456"/>
      <c r="H1161" s="456"/>
    </row>
    <row r="1162" spans="1:8" ht="13.5" customHeight="1">
      <c r="A1162" s="456">
        <v>8158</v>
      </c>
      <c r="B1162" s="457" t="s">
        <v>3652</v>
      </c>
      <c r="C1162" s="456" t="s">
        <v>253</v>
      </c>
      <c r="D1162" s="456">
        <f>IF(Table11[[#This Row],[Current Age]]&gt;19,"Women's",IF(E1162&gt;15,"U19",IF(E1162&gt;13,"U15",IF(E1162&gt;11,"U13",IF(E1162&gt;0,"U11",0)))))</f>
        <v>0</v>
      </c>
      <c r="E1162" s="456">
        <f>IFERROR(IF(Table11[[#This Row],[Year]]&gt;0,$E$1-Table11[[#This Row],[Year]],0),"")</f>
        <v>0</v>
      </c>
      <c r="F1162" s="456"/>
      <c r="G1162" s="456"/>
      <c r="H1162" s="456"/>
    </row>
    <row r="1163" spans="1:8" ht="13.5" customHeight="1">
      <c r="A1163" s="471">
        <v>8159</v>
      </c>
      <c r="B1163" s="540" t="s">
        <v>3881</v>
      </c>
      <c r="C1163" s="471" t="s">
        <v>361</v>
      </c>
      <c r="D1163" s="456">
        <f>IF(Table11[[#This Row],[Current Age]]&gt;19,"Women's",IF(E1163&gt;15,"U19",IF(E1163&gt;13,"U15",IF(E1163&gt;11,"U13",IF(E1163&gt;0,"U11",0)))))</f>
        <v>0</v>
      </c>
      <c r="E1163" s="456">
        <f>IFERROR(IF(Table11[[#This Row],[Year]]&gt;0,$E$1-Table11[[#This Row],[Year]],0),"")</f>
        <v>0</v>
      </c>
      <c r="F1163" s="456"/>
      <c r="G1163" s="456"/>
      <c r="H1163" s="456"/>
    </row>
    <row r="1164" spans="1:8" ht="13.5" customHeight="1">
      <c r="A1164" s="456">
        <v>8160</v>
      </c>
      <c r="B1164" s="457" t="s">
        <v>3623</v>
      </c>
      <c r="C1164" s="456" t="s">
        <v>253</v>
      </c>
      <c r="D1164" s="456">
        <f>IF(Table11[[#This Row],[Current Age]]&gt;19,"Women's",IF(E1164&gt;15,"U19",IF(E1164&gt;13,"U15",IF(E1164&gt;11,"U13",IF(E1164&gt;0,"U11",0)))))</f>
        <v>0</v>
      </c>
      <c r="E1164" s="456">
        <f>IFERROR(IF(Table11[[#This Row],[Year]]&gt;0,$E$1-Table11[[#This Row],[Year]],0),"")</f>
        <v>0</v>
      </c>
      <c r="F1164" s="456"/>
      <c r="G1164" s="456"/>
      <c r="H1164" s="456"/>
    </row>
    <row r="1165" spans="1:8" ht="13.5" customHeight="1">
      <c r="A1165" s="471">
        <v>8161</v>
      </c>
      <c r="B1165" s="540" t="s">
        <v>3897</v>
      </c>
      <c r="C1165" s="471" t="s">
        <v>253</v>
      </c>
      <c r="D1165" s="456">
        <f>IF(Table11[[#This Row],[Current Age]]&gt;19,"Women's",IF(E1165&gt;15,"U19",IF(E1165&gt;13,"U15",IF(E1165&gt;11,"U13",IF(E1165&gt;0,"U11",0)))))</f>
        <v>0</v>
      </c>
      <c r="E1165" s="456">
        <f>IFERROR(IF(Table11[[#This Row],[Year]]&gt;0,$E$1-Table11[[#This Row],[Year]],0),"")</f>
        <v>0</v>
      </c>
      <c r="F1165" s="456"/>
      <c r="G1165" s="456"/>
      <c r="H1165" s="456"/>
    </row>
    <row r="1166" spans="1:8" ht="13.5" customHeight="1">
      <c r="A1166" s="456">
        <v>8162</v>
      </c>
      <c r="B1166" s="457" t="s">
        <v>3624</v>
      </c>
      <c r="C1166" s="456" t="s">
        <v>253</v>
      </c>
      <c r="D1166" s="456">
        <f>IF(Table11[[#This Row],[Current Age]]&gt;19,"Women's",IF(E1166&gt;15,"U19",IF(E1166&gt;13,"U15",IF(E1166&gt;11,"U13",IF(E1166&gt;0,"U11",0)))))</f>
        <v>0</v>
      </c>
      <c r="E1166" s="456">
        <f>IFERROR(IF(Table11[[#This Row],[Year]]&gt;0,$E$1-Table11[[#This Row],[Year]],0),"")</f>
        <v>0</v>
      </c>
      <c r="F1166" s="456"/>
      <c r="G1166" s="456"/>
      <c r="H1166" s="456"/>
    </row>
    <row r="1167" spans="1:8" ht="13.5" customHeight="1">
      <c r="A1167" s="471">
        <v>8163</v>
      </c>
      <c r="B1167" s="540" t="s">
        <v>4719</v>
      </c>
      <c r="C1167" s="471" t="s">
        <v>253</v>
      </c>
      <c r="D1167" s="456">
        <f>IF(Table11[[#This Row],[Current Age]]&gt;19,"Women's",IF(E1167&gt;15,"U19",IF(E1167&gt;13,"U15",IF(E1167&gt;11,"U13",IF(E1167&gt;0,"U11",0)))))</f>
        <v>0</v>
      </c>
      <c r="E1167" s="456">
        <f>IFERROR(IF(Table11[[#This Row],[Year]]&gt;0,$E$1-Table11[[#This Row],[Year]],0),"")</f>
        <v>0</v>
      </c>
      <c r="F1167" s="456"/>
      <c r="G1167" s="456"/>
      <c r="H1167" s="456"/>
    </row>
    <row r="1168" spans="1:8" ht="13.5" customHeight="1">
      <c r="A1168" s="456">
        <v>8164</v>
      </c>
      <c r="B1168" s="457" t="s">
        <v>3903</v>
      </c>
      <c r="C1168" s="456" t="s">
        <v>361</v>
      </c>
      <c r="D1168" s="456">
        <f>IF(Table11[[#This Row],[Current Age]]&gt;19,"Women's",IF(E1168&gt;15,"U19",IF(E1168&gt;13,"U15",IF(E1168&gt;11,"U13",IF(E1168&gt;0,"U11",0)))))</f>
        <v>0</v>
      </c>
      <c r="E1168" s="456">
        <f>IFERROR(IF(Table11[[#This Row],[Year]]&gt;0,$E$1-Table11[[#This Row],[Year]],0),"")</f>
        <v>0</v>
      </c>
      <c r="F1168" s="456"/>
      <c r="G1168" s="456"/>
      <c r="H1168" s="456"/>
    </row>
    <row r="1169" spans="1:8" ht="13.5" customHeight="1">
      <c r="A1169" s="471">
        <v>8165</v>
      </c>
      <c r="B1169" s="540" t="s">
        <v>3904</v>
      </c>
      <c r="C1169" s="471" t="s">
        <v>361</v>
      </c>
      <c r="D1169" s="456">
        <f>IF(Table11[[#This Row],[Current Age]]&gt;19,"Women's",IF(E1169&gt;15,"U19",IF(E1169&gt;13,"U15",IF(E1169&gt;11,"U13",IF(E1169&gt;0,"U11",0)))))</f>
        <v>0</v>
      </c>
      <c r="E1169" s="456">
        <f>IFERROR(IF(Table11[[#This Row],[Year]]&gt;0,$E$1-Table11[[#This Row],[Year]],0),"")</f>
        <v>0</v>
      </c>
      <c r="F1169" s="456"/>
      <c r="G1169" s="456"/>
      <c r="H1169" s="456"/>
    </row>
    <row r="1170" spans="1:8" ht="13.5" customHeight="1">
      <c r="A1170" s="456">
        <v>8166</v>
      </c>
      <c r="B1170" s="457" t="s">
        <v>3907</v>
      </c>
      <c r="C1170" s="456" t="s">
        <v>361</v>
      </c>
      <c r="D1170" s="456">
        <f>IF(Table11[[#This Row],[Current Age]]&gt;19,"Women's",IF(E1170&gt;15,"U19",IF(E1170&gt;13,"U15",IF(E1170&gt;11,"U13",IF(E1170&gt;0,"U11",0)))))</f>
        <v>0</v>
      </c>
      <c r="E1170" s="456">
        <f>IFERROR(IF(Table11[[#This Row],[Year]]&gt;0,$E$1-Table11[[#This Row],[Year]],0),"")</f>
        <v>0</v>
      </c>
      <c r="F1170" s="456"/>
      <c r="G1170" s="456"/>
      <c r="H1170" s="456"/>
    </row>
    <row r="1171" spans="1:8" ht="13.5" customHeight="1">
      <c r="A1171" s="471">
        <v>8167</v>
      </c>
      <c r="B1171" s="540" t="s">
        <v>3906</v>
      </c>
      <c r="C1171" s="471" t="s">
        <v>361</v>
      </c>
      <c r="D1171" s="456">
        <f>IF(Table11[[#This Row],[Current Age]]&gt;19,"Women's",IF(E1171&gt;15,"U19",IF(E1171&gt;13,"U15",IF(E1171&gt;11,"U13",IF(E1171&gt;0,"U11",0)))))</f>
        <v>0</v>
      </c>
      <c r="E1171" s="456">
        <f>IFERROR(IF(Table11[[#This Row],[Year]]&gt;0,$E$1-Table11[[#This Row],[Year]],0),"")</f>
        <v>0</v>
      </c>
      <c r="F1171" s="456"/>
      <c r="G1171" s="456"/>
      <c r="H1171" s="456"/>
    </row>
    <row r="1172" spans="1:8" ht="13.5" customHeight="1">
      <c r="A1172" s="456">
        <v>8168</v>
      </c>
      <c r="B1172" s="457" t="s">
        <v>3905</v>
      </c>
      <c r="C1172" s="456" t="s">
        <v>361</v>
      </c>
      <c r="D1172" s="456">
        <f>IF(Table11[[#This Row],[Current Age]]&gt;19,"Women's",IF(E1172&gt;15,"U19",IF(E1172&gt;13,"U15",IF(E1172&gt;11,"U13",IF(E1172&gt;0,"U11",0)))))</f>
        <v>0</v>
      </c>
      <c r="E1172" s="456">
        <f>IFERROR(IF(Table11[[#This Row],[Year]]&gt;0,$E$1-Table11[[#This Row],[Year]],0),"")</f>
        <v>0</v>
      </c>
      <c r="F1172" s="456"/>
      <c r="G1172" s="456"/>
      <c r="H1172" s="456"/>
    </row>
    <row r="1173" spans="1:8" ht="13.5" customHeight="1">
      <c r="A1173" s="471">
        <v>8169</v>
      </c>
      <c r="B1173" s="540" t="s">
        <v>3908</v>
      </c>
      <c r="C1173" s="471" t="s">
        <v>361</v>
      </c>
      <c r="D1173" s="456">
        <f>IF(Table11[[#This Row],[Current Age]]&gt;19,"Women's",IF(E1173&gt;15,"U19",IF(E1173&gt;13,"U15",IF(E1173&gt;11,"U13",IF(E1173&gt;0,"U11",0)))))</f>
        <v>0</v>
      </c>
      <c r="E1173" s="456">
        <f>IFERROR(IF(Table11[[#This Row],[Year]]&gt;0,$E$1-Table11[[#This Row],[Year]],0),"")</f>
        <v>0</v>
      </c>
      <c r="F1173" s="456"/>
      <c r="G1173" s="456"/>
      <c r="H1173" s="456"/>
    </row>
    <row r="1174" spans="1:8" ht="13.5" customHeight="1">
      <c r="A1174" s="456">
        <v>8170</v>
      </c>
      <c r="B1174" s="457" t="s">
        <v>3909</v>
      </c>
      <c r="C1174" s="456" t="s">
        <v>361</v>
      </c>
      <c r="D1174" s="456">
        <f>IF(Table11[[#This Row],[Current Age]]&gt;19,"Women's",IF(E1174&gt;15,"U19",IF(E1174&gt;13,"U15",IF(E1174&gt;11,"U13",IF(E1174&gt;0,"U11",0)))))</f>
        <v>0</v>
      </c>
      <c r="E1174" s="456">
        <f>IFERROR(IF(Table11[[#This Row],[Year]]&gt;0,$E$1-Table11[[#This Row],[Year]],0),"")</f>
        <v>0</v>
      </c>
      <c r="F1174" s="456"/>
      <c r="G1174" s="456"/>
      <c r="H1174" s="456"/>
    </row>
    <row r="1175" spans="1:8" ht="13.5" customHeight="1">
      <c r="A1175" s="471">
        <v>8171</v>
      </c>
      <c r="B1175" s="540" t="s">
        <v>3910</v>
      </c>
      <c r="C1175" s="471" t="s">
        <v>361</v>
      </c>
      <c r="D1175" s="456">
        <f>IF(Table11[[#This Row],[Current Age]]&gt;19,"Women's",IF(E1175&gt;15,"U19",IF(E1175&gt;13,"U15",IF(E1175&gt;11,"U13",IF(E1175&gt;0,"U11",0)))))</f>
        <v>0</v>
      </c>
      <c r="E1175" s="456">
        <f>IFERROR(IF(Table11[[#This Row],[Year]]&gt;0,$E$1-Table11[[#This Row],[Year]],0),"")</f>
        <v>0</v>
      </c>
      <c r="F1175" s="456"/>
      <c r="G1175" s="456"/>
      <c r="H1175" s="456"/>
    </row>
    <row r="1176" spans="1:8" ht="13.5" customHeight="1">
      <c r="A1176" s="456">
        <v>8172</v>
      </c>
      <c r="B1176" s="457" t="s">
        <v>3911</v>
      </c>
      <c r="C1176" s="456" t="s">
        <v>361</v>
      </c>
      <c r="D1176" s="456">
        <f>IF(Table11[[#This Row],[Current Age]]&gt;19,"Women's",IF(E1176&gt;15,"U19",IF(E1176&gt;13,"U15",IF(E1176&gt;11,"U13",IF(E1176&gt;0,"U11",0)))))</f>
        <v>0</v>
      </c>
      <c r="E1176" s="456">
        <f>IFERROR(IF(Table11[[#This Row],[Year]]&gt;0,$E$1-Table11[[#This Row],[Year]],0),"")</f>
        <v>0</v>
      </c>
      <c r="F1176" s="456"/>
      <c r="G1176" s="456"/>
      <c r="H1176" s="456"/>
    </row>
    <row r="1177" spans="1:8" ht="13.5" customHeight="1">
      <c r="A1177" s="471">
        <v>8173</v>
      </c>
      <c r="B1177" s="540" t="s">
        <v>3917</v>
      </c>
      <c r="C1177" s="471" t="s">
        <v>361</v>
      </c>
      <c r="D1177" s="456">
        <f>IF(Table11[[#This Row],[Current Age]]&gt;19,"Women's",IF(E1177&gt;15,"U19",IF(E1177&gt;13,"U15",IF(E1177&gt;11,"U13",IF(E1177&gt;0,"U11",0)))))</f>
        <v>0</v>
      </c>
      <c r="E1177" s="456">
        <f>IFERROR(IF(Table11[[#This Row],[Year]]&gt;0,$E$1-Table11[[#This Row],[Year]],0),"")</f>
        <v>0</v>
      </c>
      <c r="F1177" s="456"/>
      <c r="G1177" s="456"/>
      <c r="H1177" s="456"/>
    </row>
    <row r="1178" spans="1:8" ht="13.5" customHeight="1">
      <c r="A1178" s="456">
        <v>8174</v>
      </c>
      <c r="B1178" s="459" t="s">
        <v>3923</v>
      </c>
      <c r="C1178" s="456" t="s">
        <v>243</v>
      </c>
      <c r="D1178" s="456" t="str">
        <f>IF(Table11[[#This Row],[Current Age]]&gt;19,"Women's",IF(E1178&gt;15,"U19",IF(E1178&gt;13,"U15",IF(E1178&gt;11,"U13",IF(E1178&gt;0,"U11",0)))))</f>
        <v>U13</v>
      </c>
      <c r="E1178" s="456">
        <f>IFERROR(IF(Table11[[#This Row],[Year]]&gt;0,$E$1-Table11[[#This Row],[Year]],0),"")</f>
        <v>12</v>
      </c>
      <c r="F1178" s="456">
        <v>2013</v>
      </c>
      <c r="G1178" s="456">
        <v>12</v>
      </c>
      <c r="H1178" s="456">
        <v>1</v>
      </c>
    </row>
    <row r="1179" spans="1:8" ht="13.5" customHeight="1">
      <c r="A1179" s="471">
        <v>8175</v>
      </c>
      <c r="B1179" s="540" t="s">
        <v>3924</v>
      </c>
      <c r="C1179" s="471" t="s">
        <v>243</v>
      </c>
      <c r="D1179" s="456" t="str">
        <f>IF(Table11[[#This Row],[Current Age]]&gt;19,"Women's",IF(E1179&gt;15,"U19",IF(E1179&gt;13,"U15",IF(E1179&gt;11,"U13",IF(E1179&gt;0,"U11",0)))))</f>
        <v>U15</v>
      </c>
      <c r="E1179" s="456">
        <f>IFERROR(IF(Table11[[#This Row],[Year]]&gt;0,$E$1-Table11[[#This Row],[Year]],0),"")</f>
        <v>14</v>
      </c>
      <c r="F1179" s="456">
        <v>2011</v>
      </c>
      <c r="G1179" s="456">
        <v>12</v>
      </c>
      <c r="H1179" s="456">
        <v>19</v>
      </c>
    </row>
    <row r="1180" spans="1:8" ht="13.5" customHeight="1">
      <c r="A1180" s="456">
        <v>8176</v>
      </c>
      <c r="B1180" s="457" t="s">
        <v>4677</v>
      </c>
      <c r="C1180" s="456" t="s">
        <v>251</v>
      </c>
      <c r="D1180" s="456" t="str">
        <f>IF(Table11[[#This Row],[Current Age]]&gt;19,"Women's",IF(E1180&gt;15,"U19",IF(E1180&gt;13,"U15",IF(E1180&gt;11,"U13",IF(E1180&gt;0,"U11",0)))))</f>
        <v>U15</v>
      </c>
      <c r="E1180" s="456">
        <f>IFERROR(IF(Table11[[#This Row],[Year]]&gt;0,$E$1-Table11[[#This Row],[Year]],0),"")</f>
        <v>14</v>
      </c>
      <c r="F1180" s="456">
        <v>2011</v>
      </c>
      <c r="G1180" s="456">
        <v>2</v>
      </c>
      <c r="H1180" s="456">
        <v>10</v>
      </c>
    </row>
    <row r="1181" spans="1:8" ht="13.5" customHeight="1">
      <c r="A1181" s="471">
        <v>8177</v>
      </c>
      <c r="B1181" s="540" t="s">
        <v>4676</v>
      </c>
      <c r="C1181" s="471" t="s">
        <v>251</v>
      </c>
      <c r="D1181" s="456" t="str">
        <f>IF(Table11[[#This Row],[Current Age]]&gt;19,"Women's",IF(E1181&gt;15,"U19",IF(E1181&gt;13,"U15",IF(E1181&gt;11,"U13",IF(E1181&gt;0,"U11",0)))))</f>
        <v>U15</v>
      </c>
      <c r="E1181" s="456">
        <f>IFERROR(IF(Table11[[#This Row],[Year]]&gt;0,$E$1-Table11[[#This Row],[Year]],0),"")</f>
        <v>14</v>
      </c>
      <c r="F1181" s="456">
        <v>2011</v>
      </c>
      <c r="G1181" s="456">
        <v>1</v>
      </c>
      <c r="H1181" s="456">
        <v>5</v>
      </c>
    </row>
    <row r="1182" spans="1:8" ht="13.5" customHeight="1">
      <c r="A1182" s="456">
        <v>8178</v>
      </c>
      <c r="B1182" s="457" t="s">
        <v>3868</v>
      </c>
      <c r="C1182" s="456" t="s">
        <v>251</v>
      </c>
      <c r="D1182" s="456">
        <f>IF(Table11[[#This Row],[Current Age]]&gt;19,"Women's",IF(E1182&gt;15,"U19",IF(E1182&gt;13,"U15",IF(E1182&gt;11,"U13",IF(E1182&gt;0,"U11",0)))))</f>
        <v>0</v>
      </c>
      <c r="E1182" s="456">
        <f>IFERROR(IF(Table11[[#This Row],[Year]]&gt;0,$E$1-Table11[[#This Row],[Year]],0),"")</f>
        <v>0</v>
      </c>
      <c r="F1182" s="456"/>
      <c r="G1182" s="456"/>
      <c r="H1182" s="456"/>
    </row>
    <row r="1183" spans="1:8" ht="13.5" customHeight="1">
      <c r="A1183" s="471">
        <v>8179</v>
      </c>
      <c r="B1183" s="541" t="s">
        <v>3925</v>
      </c>
      <c r="C1183" s="471" t="s">
        <v>243</v>
      </c>
      <c r="D1183" s="456" t="str">
        <f>IF(Table11[[#This Row],[Current Age]]&gt;19,"Women's",IF(E1183&gt;15,"U19",IF(E1183&gt;13,"U15",IF(E1183&gt;11,"U13",IF(E1183&gt;0,"U11",0)))))</f>
        <v>U19</v>
      </c>
      <c r="E1183" s="456">
        <f>IFERROR(IF(Table11[[#This Row],[Year]]&gt;0,$E$1-Table11[[#This Row],[Year]],0),"")</f>
        <v>17</v>
      </c>
      <c r="F1183" s="456">
        <v>2008</v>
      </c>
      <c r="G1183" s="456">
        <v>2</v>
      </c>
      <c r="H1183" s="456">
        <v>7</v>
      </c>
    </row>
    <row r="1184" spans="1:8" ht="13.5" customHeight="1">
      <c r="A1184" s="456">
        <v>8180</v>
      </c>
      <c r="B1184" s="459" t="s">
        <v>3926</v>
      </c>
      <c r="C1184" s="456" t="s">
        <v>243</v>
      </c>
      <c r="D1184" s="456">
        <f>IF(Table11[[#This Row],[Current Age]]&gt;19,"Women's",IF(E1184&gt;15,"U19",IF(E1184&gt;13,"U15",IF(E1184&gt;11,"U13",IF(E1184&gt;0,"U11",0)))))</f>
        <v>0</v>
      </c>
      <c r="E1184" s="456">
        <f>IFERROR(IF(Table11[[#This Row],[Year]]&gt;0,$E$1-Table11[[#This Row],[Year]],0),"")</f>
        <v>0</v>
      </c>
      <c r="F1184" s="456"/>
      <c r="G1184" s="456"/>
      <c r="H1184" s="456"/>
    </row>
    <row r="1185" spans="1:8" ht="13.5" customHeight="1">
      <c r="A1185" s="471">
        <v>8181</v>
      </c>
      <c r="B1185" s="540" t="s">
        <v>3580</v>
      </c>
      <c r="C1185" s="471"/>
      <c r="D1185" s="456">
        <f>IF(Table11[[#This Row],[Current Age]]&gt;19,"Women's",IF(E1185&gt;15,"U19",IF(E1185&gt;13,"U15",IF(E1185&gt;11,"U13",IF(E1185&gt;0,"U11",0)))))</f>
        <v>0</v>
      </c>
      <c r="E1185" s="456">
        <f>IFERROR(IF(Table11[[#This Row],[Year]]&gt;0,$E$1-Table11[[#This Row],[Year]],0),"")</f>
        <v>0</v>
      </c>
      <c r="F1185" s="456"/>
      <c r="G1185" s="456"/>
      <c r="H1185" s="456"/>
    </row>
    <row r="1186" spans="1:8" ht="13.5" customHeight="1">
      <c r="A1186" s="456">
        <v>8182</v>
      </c>
      <c r="B1186" s="459" t="s">
        <v>3927</v>
      </c>
      <c r="C1186" s="456" t="s">
        <v>243</v>
      </c>
      <c r="D1186" s="456">
        <f>IF(Table11[[#This Row],[Current Age]]&gt;19,"Women's",IF(E1186&gt;15,"U19",IF(E1186&gt;13,"U15",IF(E1186&gt;11,"U13",IF(E1186&gt;0,"U11",0)))))</f>
        <v>0</v>
      </c>
      <c r="E1186" s="456">
        <f>IFERROR(IF(Table11[[#This Row],[Year]]&gt;0,$E$1-Table11[[#This Row],[Year]],0),"")</f>
        <v>0</v>
      </c>
      <c r="F1186" s="456"/>
      <c r="G1186" s="456"/>
      <c r="H1186" s="456"/>
    </row>
    <row r="1187" spans="1:8" ht="13.5" customHeight="1">
      <c r="A1187" s="471">
        <v>8183</v>
      </c>
      <c r="B1187" s="541" t="s">
        <v>3930</v>
      </c>
      <c r="C1187" s="471" t="s">
        <v>243</v>
      </c>
      <c r="D1187" s="456">
        <f>IF(Table11[[#This Row],[Current Age]]&gt;19,"Women's",IF(E1187&gt;15,"U19",IF(E1187&gt;13,"U15",IF(E1187&gt;11,"U13",IF(E1187&gt;0,"U11",0)))))</f>
        <v>0</v>
      </c>
      <c r="E1187" s="456">
        <f>IFERROR(IF(Table11[[#This Row],[Year]]&gt;0,$E$1-Table11[[#This Row],[Year]],0),"")</f>
        <v>0</v>
      </c>
      <c r="F1187" s="456"/>
      <c r="G1187" s="456"/>
      <c r="H1187" s="456"/>
    </row>
    <row r="1188" spans="1:8" ht="13.5" customHeight="1">
      <c r="A1188" s="456">
        <v>8184</v>
      </c>
      <c r="B1188" s="545" t="s">
        <v>3950</v>
      </c>
      <c r="C1188" s="456" t="s">
        <v>256</v>
      </c>
      <c r="D1188" s="456">
        <f>IF(Table11[[#This Row],[Current Age]]&gt;19,"Women's",IF(E1188&gt;15,"U19",IF(E1188&gt;13,"U15",IF(E1188&gt;11,"U13",IF(E1188&gt;0,"U11",0)))))</f>
        <v>0</v>
      </c>
      <c r="E1188" s="456">
        <f>IFERROR(IF(Table11[[#This Row],[Year]]&gt;0,$E$1-Table11[[#This Row],[Year]],0),"")</f>
        <v>0</v>
      </c>
      <c r="F1188" s="456"/>
      <c r="G1188" s="456"/>
      <c r="H1188" s="456"/>
    </row>
    <row r="1189" spans="1:8" ht="13.5" customHeight="1">
      <c r="A1189" s="471">
        <v>8185</v>
      </c>
      <c r="B1189" s="546" t="s">
        <v>3951</v>
      </c>
      <c r="C1189" s="471" t="s">
        <v>256</v>
      </c>
      <c r="D1189" s="456">
        <f>IF(Table11[[#This Row],[Current Age]]&gt;19,"Women's",IF(E1189&gt;15,"U19",IF(E1189&gt;13,"U15",IF(E1189&gt;11,"U13",IF(E1189&gt;0,"U11",0)))))</f>
        <v>0</v>
      </c>
      <c r="E1189" s="456">
        <f>IFERROR(IF(Table11[[#This Row],[Year]]&gt;0,$E$1-Table11[[#This Row],[Year]],0),"")</f>
        <v>0</v>
      </c>
      <c r="F1189" s="456"/>
      <c r="G1189" s="456"/>
      <c r="H1189" s="456"/>
    </row>
    <row r="1190" spans="1:8" ht="13.5" customHeight="1">
      <c r="A1190" s="456">
        <v>8186</v>
      </c>
      <c r="B1190" s="545" t="s">
        <v>3952</v>
      </c>
      <c r="C1190" s="456" t="s">
        <v>256</v>
      </c>
      <c r="D1190" s="456">
        <f>IF(Table11[[#This Row],[Current Age]]&gt;19,"Women's",IF(E1190&gt;15,"U19",IF(E1190&gt;13,"U15",IF(E1190&gt;11,"U13",IF(E1190&gt;0,"U11",0)))))</f>
        <v>0</v>
      </c>
      <c r="E1190" s="456">
        <f>IFERROR(IF(Table11[[#This Row],[Year]]&gt;0,$E$1-Table11[[#This Row],[Year]],0),"")</f>
        <v>0</v>
      </c>
      <c r="F1190" s="456"/>
      <c r="G1190" s="456"/>
      <c r="H1190" s="456"/>
    </row>
    <row r="1191" spans="1:8" ht="13.5" customHeight="1">
      <c r="A1191" s="471">
        <v>8187</v>
      </c>
      <c r="B1191" s="540" t="s">
        <v>3579</v>
      </c>
      <c r="C1191" s="471"/>
      <c r="D1191" s="456">
        <f>IF(Table11[[#This Row],[Current Age]]&gt;19,"Women's",IF(E1191&gt;15,"U19",IF(E1191&gt;13,"U15",IF(E1191&gt;11,"U13",IF(E1191&gt;0,"U11",0)))))</f>
        <v>0</v>
      </c>
      <c r="E1191" s="456">
        <f>IFERROR(IF(Table11[[#This Row],[Year]]&gt;0,$E$1-Table11[[#This Row],[Year]],0),"")</f>
        <v>0</v>
      </c>
      <c r="F1191" s="456"/>
      <c r="G1191" s="456"/>
      <c r="H1191" s="456"/>
    </row>
    <row r="1192" spans="1:8" ht="13.5" customHeight="1">
      <c r="A1192" s="456">
        <v>8188</v>
      </c>
      <c r="B1192" s="545" t="s">
        <v>3953</v>
      </c>
      <c r="C1192" s="456" t="s">
        <v>256</v>
      </c>
      <c r="D1192" s="456">
        <f>IF(Table11[[#This Row],[Current Age]]&gt;19,"Women's",IF(E1192&gt;15,"U19",IF(E1192&gt;13,"U15",IF(E1192&gt;11,"U13",IF(E1192&gt;0,"U11",0)))))</f>
        <v>0</v>
      </c>
      <c r="E1192" s="456">
        <f>IFERROR(IF(Table11[[#This Row],[Year]]&gt;0,$E$1-Table11[[#This Row],[Year]],0),"")</f>
        <v>0</v>
      </c>
      <c r="F1192" s="456"/>
      <c r="G1192" s="456"/>
      <c r="H1192" s="456"/>
    </row>
    <row r="1193" spans="1:8" ht="13.5" customHeight="1">
      <c r="A1193" s="471">
        <v>8189</v>
      </c>
      <c r="B1193" s="541" t="s">
        <v>3954</v>
      </c>
      <c r="C1193" s="471" t="s">
        <v>256</v>
      </c>
      <c r="D1193" s="456">
        <f>IF(Table11[[#This Row],[Current Age]]&gt;19,"Women's",IF(E1193&gt;15,"U19",IF(E1193&gt;13,"U15",IF(E1193&gt;11,"U13",IF(E1193&gt;0,"U11",0)))))</f>
        <v>0</v>
      </c>
      <c r="E1193" s="456">
        <f>IFERROR(IF(Table11[[#This Row],[Year]]&gt;0,$E$1-Table11[[#This Row],[Year]],0),"")</f>
        <v>0</v>
      </c>
      <c r="F1193" s="456"/>
      <c r="G1193" s="456"/>
      <c r="H1193" s="456"/>
    </row>
    <row r="1194" spans="1:8" ht="13.5" customHeight="1">
      <c r="A1194" s="456">
        <v>8190</v>
      </c>
      <c r="B1194" s="459" t="s">
        <v>3955</v>
      </c>
      <c r="C1194" s="456" t="s">
        <v>256</v>
      </c>
      <c r="D1194" s="456">
        <f>IF(Table11[[#This Row],[Current Age]]&gt;19,"Women's",IF(E1194&gt;15,"U19",IF(E1194&gt;13,"U15",IF(E1194&gt;11,"U13",IF(E1194&gt;0,"U11",0)))))</f>
        <v>0</v>
      </c>
      <c r="E1194" s="456">
        <f>IFERROR(IF(Table11[[#This Row],[Year]]&gt;0,$E$1-Table11[[#This Row],[Year]],0),"")</f>
        <v>0</v>
      </c>
      <c r="F1194" s="456"/>
      <c r="G1194" s="456"/>
      <c r="H1194" s="456"/>
    </row>
    <row r="1195" spans="1:8" ht="13.5" customHeight="1">
      <c r="A1195" s="471">
        <v>8191</v>
      </c>
      <c r="B1195" s="541" t="s">
        <v>3956</v>
      </c>
      <c r="C1195" s="471" t="s">
        <v>256</v>
      </c>
      <c r="D1195" s="456">
        <f>IF(Table11[[#This Row],[Current Age]]&gt;19,"Women's",IF(E1195&gt;15,"U19",IF(E1195&gt;13,"U15",IF(E1195&gt;11,"U13",IF(E1195&gt;0,"U11",0)))))</f>
        <v>0</v>
      </c>
      <c r="E1195" s="456">
        <f>IFERROR(IF(Table11[[#This Row],[Year]]&gt;0,$E$1-Table11[[#This Row],[Year]],0),"")</f>
        <v>0</v>
      </c>
      <c r="F1195" s="456"/>
      <c r="G1195" s="456"/>
      <c r="H1195" s="456"/>
    </row>
    <row r="1196" spans="1:8" ht="13.5" customHeight="1">
      <c r="A1196" s="456">
        <v>8192</v>
      </c>
      <c r="B1196" s="523" t="s">
        <v>3967</v>
      </c>
      <c r="C1196" s="456" t="s">
        <v>362</v>
      </c>
      <c r="D1196" s="456" t="str">
        <f>IF(Table11[[#This Row],[Current Age]]&gt;19,"Women's",IF(E1196&gt;15,"U19",IF(E1196&gt;13,"U15",IF(E1196&gt;11,"U13",IF(E1196&gt;0,"U11",0)))))</f>
        <v>Women's</v>
      </c>
      <c r="E1196" s="456">
        <f>IFERROR(IF(Table11[[#This Row],[Year]]&gt;0,$E$1-Table11[[#This Row],[Year]],0),"")</f>
        <v>44</v>
      </c>
      <c r="F1196" s="456">
        <v>1981</v>
      </c>
      <c r="G1196" s="456">
        <v>12</v>
      </c>
      <c r="H1196" s="456">
        <v>30</v>
      </c>
    </row>
    <row r="1197" spans="1:8" ht="13.5" customHeight="1">
      <c r="A1197" s="471">
        <v>8193</v>
      </c>
      <c r="B1197" s="524" t="s">
        <v>3968</v>
      </c>
      <c r="C1197" s="471" t="s">
        <v>362</v>
      </c>
      <c r="D1197" s="456" t="str">
        <f>IF(Table11[[#This Row],[Current Age]]&gt;19,"Women's",IF(E1197&gt;15,"U19",IF(E1197&gt;13,"U15",IF(E1197&gt;11,"U13",IF(E1197&gt;0,"U11",0)))))</f>
        <v>U19</v>
      </c>
      <c r="E1197" s="456">
        <f>IFERROR(IF(Table11[[#This Row],[Year]]&gt;0,$E$1-Table11[[#This Row],[Year]],0),"")</f>
        <v>19</v>
      </c>
      <c r="F1197" s="456">
        <v>2006</v>
      </c>
      <c r="G1197" s="456">
        <v>8</v>
      </c>
      <c r="H1197" s="456">
        <v>20</v>
      </c>
    </row>
    <row r="1198" spans="1:8" ht="13.5" customHeight="1">
      <c r="A1198" s="456">
        <v>8194</v>
      </c>
      <c r="B1198" s="523" t="s">
        <v>3969</v>
      </c>
      <c r="C1198" s="456" t="s">
        <v>362</v>
      </c>
      <c r="D1198" s="456" t="str">
        <f>IF(Table11[[#This Row],[Current Age]]&gt;19,"Women's",IF(E1198&gt;15,"U19",IF(E1198&gt;13,"U15",IF(E1198&gt;11,"U13",IF(E1198&gt;0,"U11",0)))))</f>
        <v>U15</v>
      </c>
      <c r="E1198" s="456">
        <f>IFERROR(IF(Table11[[#This Row],[Year]]&gt;0,$E$1-Table11[[#This Row],[Year]],0),"")</f>
        <v>14</v>
      </c>
      <c r="F1198" s="456">
        <v>2011</v>
      </c>
      <c r="G1198" s="456">
        <v>5</v>
      </c>
      <c r="H1198" s="456">
        <v>13</v>
      </c>
    </row>
    <row r="1199" spans="1:8" ht="13.5" customHeight="1">
      <c r="A1199" s="471">
        <v>8195</v>
      </c>
      <c r="B1199" s="524" t="s">
        <v>3970</v>
      </c>
      <c r="C1199" s="471" t="s">
        <v>362</v>
      </c>
      <c r="D1199" s="456" t="str">
        <f>IF(Table11[[#This Row],[Current Age]]&gt;19,"Women's",IF(E1199&gt;15,"U19",IF(E1199&gt;13,"U15",IF(E1199&gt;11,"U13",IF(E1199&gt;0,"U11",0)))))</f>
        <v>U19</v>
      </c>
      <c r="E1199" s="456">
        <f>IFERROR(IF(Table11[[#This Row],[Year]]&gt;0,$E$1-Table11[[#This Row],[Year]],0),"")</f>
        <v>17</v>
      </c>
      <c r="F1199" s="456">
        <v>2008</v>
      </c>
      <c r="G1199" s="456">
        <v>1</v>
      </c>
      <c r="H1199" s="456">
        <v>23</v>
      </c>
    </row>
    <row r="1200" spans="1:8" ht="13.5" customHeight="1">
      <c r="A1200" s="456">
        <v>8196</v>
      </c>
      <c r="B1200" s="523" t="s">
        <v>3971</v>
      </c>
      <c r="C1200" s="456" t="s">
        <v>362</v>
      </c>
      <c r="D1200" s="456" t="str">
        <f>IF(Table11[[#This Row],[Current Age]]&gt;19,"Women's",IF(E1200&gt;15,"U19",IF(E1200&gt;13,"U15",IF(E1200&gt;11,"U13",IF(E1200&gt;0,"U11",0)))))</f>
        <v>U19</v>
      </c>
      <c r="E1200" s="456">
        <f>IFERROR(IF(Table11[[#This Row],[Year]]&gt;0,$E$1-Table11[[#This Row],[Year]],0),"")</f>
        <v>16</v>
      </c>
      <c r="F1200" s="456">
        <v>2009</v>
      </c>
      <c r="G1200" s="456">
        <v>9</v>
      </c>
      <c r="H1200" s="456">
        <v>1</v>
      </c>
    </row>
    <row r="1201" spans="1:8" ht="13.5" customHeight="1">
      <c r="A1201" s="471">
        <v>8197</v>
      </c>
      <c r="B1201" s="524" t="s">
        <v>3972</v>
      </c>
      <c r="C1201" s="471" t="s">
        <v>362</v>
      </c>
      <c r="D1201" s="456" t="str">
        <f>IF(Table11[[#This Row],[Current Age]]&gt;19,"Women's",IF(E1201&gt;15,"U19",IF(E1201&gt;13,"U15",IF(E1201&gt;11,"U13",IF(E1201&gt;0,"U11",0)))))</f>
        <v>U15</v>
      </c>
      <c r="E1201" s="456">
        <f>IFERROR(IF(Table11[[#This Row],[Year]]&gt;0,$E$1-Table11[[#This Row],[Year]],0),"")</f>
        <v>14</v>
      </c>
      <c r="F1201" s="456">
        <v>2011</v>
      </c>
      <c r="G1201" s="456">
        <v>3</v>
      </c>
      <c r="H1201" s="456">
        <v>27</v>
      </c>
    </row>
    <row r="1202" spans="1:8" ht="13.5" customHeight="1">
      <c r="A1202" s="456">
        <v>8198</v>
      </c>
      <c r="B1202" s="523" t="s">
        <v>3973</v>
      </c>
      <c r="C1202" s="456" t="s">
        <v>362</v>
      </c>
      <c r="D1202" s="456" t="str">
        <f>IF(Table11[[#This Row],[Current Age]]&gt;19,"Women's",IF(E1202&gt;15,"U19",IF(E1202&gt;13,"U15",IF(E1202&gt;11,"U13",IF(E1202&gt;0,"U11",0)))))</f>
        <v>U15</v>
      </c>
      <c r="E1202" s="456">
        <f>IFERROR(IF(Table11[[#This Row],[Year]]&gt;0,$E$1-Table11[[#This Row],[Year]],0),"")</f>
        <v>15</v>
      </c>
      <c r="F1202" s="456">
        <v>2010</v>
      </c>
      <c r="G1202" s="456">
        <v>2</v>
      </c>
      <c r="H1202" s="456">
        <v>13</v>
      </c>
    </row>
    <row r="1203" spans="1:8" ht="13.5" customHeight="1">
      <c r="A1203" s="471">
        <v>8199</v>
      </c>
      <c r="B1203" s="540" t="s">
        <v>3588</v>
      </c>
      <c r="C1203" s="471" t="s">
        <v>248</v>
      </c>
      <c r="D1203" s="456">
        <f>IF(Table11[[#This Row],[Current Age]]&gt;19,"Women's",IF(E1203&gt;15,"U19",IF(E1203&gt;13,"U15",IF(E1203&gt;11,"U13",IF(E1203&gt;0,"U11",0)))))</f>
        <v>0</v>
      </c>
      <c r="E1203" s="456">
        <f>IFERROR(IF(Table11[[#This Row],[Year]]&gt;0,$E$1-Table11[[#This Row],[Year]],0),"")</f>
        <v>0</v>
      </c>
      <c r="F1203" s="456"/>
      <c r="G1203" s="456"/>
      <c r="H1203" s="456"/>
    </row>
    <row r="1204" spans="1:8" ht="13.5" customHeight="1">
      <c r="A1204" s="456">
        <v>8200</v>
      </c>
      <c r="B1204" s="457" t="s">
        <v>3929</v>
      </c>
      <c r="C1204" s="456" t="s">
        <v>361</v>
      </c>
      <c r="D1204" s="456" t="str">
        <f>IF(Table11[[#This Row],[Current Age]]&gt;19,"Women's",IF(E1204&gt;15,"U19",IF(E1204&gt;13,"U15",IF(E1204&gt;11,"U13",IF(E1204&gt;0,"U11",0)))))</f>
        <v>Women's</v>
      </c>
      <c r="E1204" s="456">
        <f>IFERROR(IF(Table11[[#This Row],[Year]]&gt;0,$E$1-Table11[[#This Row],[Year]],0),"")</f>
        <v>50</v>
      </c>
      <c r="F1204" s="456">
        <v>1975</v>
      </c>
      <c r="G1204" s="456">
        <v>5</v>
      </c>
      <c r="H1204" s="456">
        <v>3</v>
      </c>
    </row>
    <row r="1205" spans="1:8" ht="13.5" customHeight="1">
      <c r="A1205" s="471">
        <v>8201</v>
      </c>
      <c r="B1205" s="524" t="s">
        <v>3974</v>
      </c>
      <c r="C1205" s="471" t="s">
        <v>362</v>
      </c>
      <c r="D1205" s="456" t="str">
        <f>IF(Table11[[#This Row],[Current Age]]&gt;19,"Women's",IF(E1205&gt;15,"U19",IF(E1205&gt;13,"U15",IF(E1205&gt;11,"U13",IF(E1205&gt;0,"U11",0)))))</f>
        <v>U15</v>
      </c>
      <c r="E1205" s="456">
        <f>IFERROR(IF(Table11[[#This Row],[Year]]&gt;0,$E$1-Table11[[#This Row],[Year]],0),"")</f>
        <v>14</v>
      </c>
      <c r="F1205" s="456">
        <v>2011</v>
      </c>
      <c r="G1205" s="456">
        <v>2</v>
      </c>
      <c r="H1205" s="456">
        <v>16</v>
      </c>
    </row>
    <row r="1206" spans="1:8" ht="13.5" customHeight="1">
      <c r="A1206" s="456">
        <v>8202</v>
      </c>
      <c r="B1206" s="457" t="s">
        <v>3980</v>
      </c>
      <c r="C1206" s="456" t="s">
        <v>243</v>
      </c>
      <c r="D1206" s="456">
        <f>IF(Table11[[#This Row],[Current Age]]&gt;19,"Women's",IF(E1206&gt;15,"U19",IF(E1206&gt;13,"U15",IF(E1206&gt;11,"U13",IF(E1206&gt;0,"U11",0)))))</f>
        <v>0</v>
      </c>
      <c r="E1206" s="456">
        <f>IFERROR(IF(Table11[[#This Row],[Year]]&gt;0,$E$1-Table11[[#This Row],[Year]],0),"")</f>
        <v>0</v>
      </c>
      <c r="F1206" s="456"/>
      <c r="G1206" s="456"/>
      <c r="H1206" s="456"/>
    </row>
    <row r="1207" spans="1:8" ht="13.5" customHeight="1">
      <c r="A1207" s="471">
        <v>8203</v>
      </c>
      <c r="B1207" s="540" t="s">
        <v>3986</v>
      </c>
      <c r="C1207" s="471" t="s">
        <v>361</v>
      </c>
      <c r="D1207" s="456">
        <f>IF(Table11[[#This Row],[Current Age]]&gt;19,"Women's",IF(E1207&gt;15,"U19",IF(E1207&gt;13,"U15",IF(E1207&gt;11,"U13",IF(E1207&gt;0,"U11",0)))))</f>
        <v>0</v>
      </c>
      <c r="E1207" s="456">
        <f>IFERROR(IF(Table11[[#This Row],[Year]]&gt;0,$E$1-Table11[[#This Row],[Year]],0),"")</f>
        <v>0</v>
      </c>
      <c r="F1207" s="456"/>
      <c r="G1207" s="456"/>
      <c r="H1207" s="456"/>
    </row>
    <row r="1208" spans="1:8" ht="13.5" customHeight="1">
      <c r="A1208" s="456">
        <v>8204</v>
      </c>
      <c r="B1208" s="457" t="s">
        <v>3987</v>
      </c>
      <c r="C1208" s="456" t="s">
        <v>361</v>
      </c>
      <c r="D1208" s="456">
        <f>IF(Table11[[#This Row],[Current Age]]&gt;19,"Women's",IF(E1208&gt;15,"U19",IF(E1208&gt;13,"U15",IF(E1208&gt;11,"U13",IF(E1208&gt;0,"U11",0)))))</f>
        <v>0</v>
      </c>
      <c r="E1208" s="456">
        <f>IFERROR(IF(Table11[[#This Row],[Year]]&gt;0,$E$1-Table11[[#This Row],[Year]],0),"")</f>
        <v>0</v>
      </c>
      <c r="F1208" s="456"/>
      <c r="G1208" s="456"/>
      <c r="H1208" s="456"/>
    </row>
    <row r="1209" spans="1:8" ht="13.5" customHeight="1">
      <c r="A1209" s="471">
        <v>8205</v>
      </c>
      <c r="B1209" s="540" t="s">
        <v>3988</v>
      </c>
      <c r="C1209" s="471" t="s">
        <v>361</v>
      </c>
      <c r="D1209" s="456">
        <f>IF(Table11[[#This Row],[Current Age]]&gt;19,"Women's",IF(E1209&gt;15,"U19",IF(E1209&gt;13,"U15",IF(E1209&gt;11,"U13",IF(E1209&gt;0,"U11",0)))))</f>
        <v>0</v>
      </c>
      <c r="E1209" s="456">
        <f>IFERROR(IF(Table11[[#This Row],[Year]]&gt;0,$E$1-Table11[[#This Row],[Year]],0),"")</f>
        <v>0</v>
      </c>
      <c r="F1209" s="456"/>
      <c r="G1209" s="456"/>
      <c r="H1209" s="456"/>
    </row>
    <row r="1210" spans="1:8" ht="13.5" customHeight="1">
      <c r="A1210" s="456">
        <v>8206</v>
      </c>
      <c r="B1210" s="457" t="s">
        <v>3995</v>
      </c>
      <c r="C1210" s="456" t="s">
        <v>3346</v>
      </c>
      <c r="D1210" s="456">
        <f>IF(Table11[[#This Row],[Current Age]]&gt;19,"Women's",IF(E1210&gt;15,"U19",IF(E1210&gt;13,"U15",IF(E1210&gt;11,"U13",IF(E1210&gt;0,"U11",0)))))</f>
        <v>0</v>
      </c>
      <c r="E1210" s="456">
        <f>IFERROR(IF(Table11[[#This Row],[Year]]&gt;0,$E$1-Table11[[#This Row],[Year]],0),"")</f>
        <v>0</v>
      </c>
      <c r="F1210" s="456"/>
      <c r="G1210" s="456"/>
      <c r="H1210" s="456"/>
    </row>
    <row r="1211" spans="1:8" ht="13.5" customHeight="1">
      <c r="A1211" s="471">
        <v>8207</v>
      </c>
      <c r="B1211" s="540" t="s">
        <v>3996</v>
      </c>
      <c r="C1211" s="471" t="s">
        <v>3346</v>
      </c>
      <c r="D1211" s="456">
        <f>IF(Table11[[#This Row],[Current Age]]&gt;19,"Women's",IF(E1211&gt;15,"U19",IF(E1211&gt;13,"U15",IF(E1211&gt;11,"U13",IF(E1211&gt;0,"U11",0)))))</f>
        <v>0</v>
      </c>
      <c r="E1211" s="456">
        <f>IFERROR(IF(Table11[[#This Row],[Year]]&gt;0,$E$1-Table11[[#This Row],[Year]],0),"")</f>
        <v>0</v>
      </c>
      <c r="F1211" s="456"/>
      <c r="G1211" s="456"/>
      <c r="H1211" s="456"/>
    </row>
    <row r="1212" spans="1:8" ht="13.5" customHeight="1">
      <c r="A1212" s="456">
        <v>8208</v>
      </c>
      <c r="B1212" s="457" t="s">
        <v>3997</v>
      </c>
      <c r="C1212" s="456" t="s">
        <v>3346</v>
      </c>
      <c r="D1212" s="456">
        <f>IF(Table11[[#This Row],[Current Age]]&gt;19,"Women's",IF(E1212&gt;15,"U19",IF(E1212&gt;13,"U15",IF(E1212&gt;11,"U13",IF(E1212&gt;0,"U11",0)))))</f>
        <v>0</v>
      </c>
      <c r="E1212" s="456">
        <f>IFERROR(IF(Table11[[#This Row],[Year]]&gt;0,$E$1-Table11[[#This Row],[Year]],0),"")</f>
        <v>0</v>
      </c>
      <c r="F1212" s="456"/>
      <c r="G1212" s="456"/>
      <c r="H1212" s="456"/>
    </row>
    <row r="1213" spans="1:8" ht="13.5" customHeight="1">
      <c r="A1213" s="471">
        <v>8209</v>
      </c>
      <c r="B1213" s="540" t="s">
        <v>3998</v>
      </c>
      <c r="C1213" s="471" t="s">
        <v>3346</v>
      </c>
      <c r="D1213" s="456">
        <f>IF(Table11[[#This Row],[Current Age]]&gt;19,"Women's",IF(E1213&gt;15,"U19",IF(E1213&gt;13,"U15",IF(E1213&gt;11,"U13",IF(E1213&gt;0,"U11",0)))))</f>
        <v>0</v>
      </c>
      <c r="E1213" s="456">
        <f>IFERROR(IF(Table11[[#This Row],[Year]]&gt;0,$E$1-Table11[[#This Row],[Year]],0),"")</f>
        <v>0</v>
      </c>
      <c r="F1213" s="456"/>
      <c r="G1213" s="456"/>
      <c r="H1213" s="456"/>
    </row>
    <row r="1214" spans="1:8" ht="13.5" customHeight="1">
      <c r="A1214" s="456">
        <v>8210</v>
      </c>
      <c r="B1214" s="457" t="s">
        <v>4013</v>
      </c>
      <c r="C1214" s="456" t="s">
        <v>3346</v>
      </c>
      <c r="D1214" s="456">
        <f>IF(Table11[[#This Row],[Current Age]]&gt;19,"Women's",IF(E1214&gt;15,"U19",IF(E1214&gt;13,"U15",IF(E1214&gt;11,"U13",IF(E1214&gt;0,"U11",0)))))</f>
        <v>0</v>
      </c>
      <c r="E1214" s="456">
        <f>IFERROR(IF(Table11[[#This Row],[Year]]&gt;0,$E$1-Table11[[#This Row],[Year]],0),"")</f>
        <v>0</v>
      </c>
      <c r="F1214" s="456"/>
      <c r="G1214" s="456"/>
      <c r="H1214" s="456"/>
    </row>
    <row r="1215" spans="1:8" ht="13.5" customHeight="1">
      <c r="A1215" s="471">
        <v>8211</v>
      </c>
      <c r="B1215" s="540" t="s">
        <v>4014</v>
      </c>
      <c r="C1215" s="471" t="s">
        <v>3346</v>
      </c>
      <c r="D1215" s="456">
        <f>IF(Table11[[#This Row],[Current Age]]&gt;19,"Women's",IF(E1215&gt;15,"U19",IF(E1215&gt;13,"U15",IF(E1215&gt;11,"U13",IF(E1215&gt;0,"U11",0)))))</f>
        <v>0</v>
      </c>
      <c r="E1215" s="456">
        <f>IFERROR(IF(Table11[[#This Row],[Year]]&gt;0,$E$1-Table11[[#This Row],[Year]],0),"")</f>
        <v>0</v>
      </c>
      <c r="F1215" s="456"/>
      <c r="G1215" s="456"/>
      <c r="H1215" s="456"/>
    </row>
    <row r="1216" spans="1:8" ht="13.5" customHeight="1">
      <c r="A1216" s="456">
        <v>8212</v>
      </c>
      <c r="B1216" s="457" t="s">
        <v>4015</v>
      </c>
      <c r="C1216" s="456" t="s">
        <v>3346</v>
      </c>
      <c r="D1216" s="456">
        <f>IF(Table11[[#This Row],[Current Age]]&gt;19,"Women's",IF(E1216&gt;15,"U19",IF(E1216&gt;13,"U15",IF(E1216&gt;11,"U13",IF(E1216&gt;0,"U11",0)))))</f>
        <v>0</v>
      </c>
      <c r="E1216" s="456">
        <f>IFERROR(IF(Table11[[#This Row],[Year]]&gt;0,$E$1-Table11[[#This Row],[Year]],0),"")</f>
        <v>0</v>
      </c>
      <c r="F1216" s="456"/>
      <c r="G1216" s="456"/>
      <c r="H1216" s="456"/>
    </row>
    <row r="1217" spans="1:8" ht="13.5" customHeight="1">
      <c r="A1217" s="471">
        <v>8213</v>
      </c>
      <c r="B1217" s="540" t="s">
        <v>4016</v>
      </c>
      <c r="C1217" s="471" t="s">
        <v>3346</v>
      </c>
      <c r="D1217" s="456">
        <f>IF(Table11[[#This Row],[Current Age]]&gt;19,"Women's",IF(E1217&gt;15,"U19",IF(E1217&gt;13,"U15",IF(E1217&gt;11,"U13",IF(E1217&gt;0,"U11",0)))))</f>
        <v>0</v>
      </c>
      <c r="E1217" s="456">
        <f>IFERROR(IF(Table11[[#This Row],[Year]]&gt;0,$E$1-Table11[[#This Row],[Year]],0),"")</f>
        <v>0</v>
      </c>
      <c r="F1217" s="456"/>
      <c r="G1217" s="456"/>
      <c r="H1217" s="456"/>
    </row>
    <row r="1218" spans="1:8" ht="13.5" customHeight="1">
      <c r="A1218" s="456">
        <v>8214</v>
      </c>
      <c r="B1218" s="457" t="s">
        <v>4017</v>
      </c>
      <c r="C1218" s="456" t="s">
        <v>3346</v>
      </c>
      <c r="D1218" s="456">
        <f>IF(Table11[[#This Row],[Current Age]]&gt;19,"Women's",IF(E1218&gt;15,"U19",IF(E1218&gt;13,"U15",IF(E1218&gt;11,"U13",IF(E1218&gt;0,"U11",0)))))</f>
        <v>0</v>
      </c>
      <c r="E1218" s="456">
        <f>IFERROR(IF(Table11[[#This Row],[Year]]&gt;0,$E$1-Table11[[#This Row],[Year]],0),"")</f>
        <v>0</v>
      </c>
      <c r="F1218" s="456"/>
      <c r="G1218" s="456"/>
      <c r="H1218" s="456"/>
    </row>
    <row r="1219" spans="1:8" ht="13.5" customHeight="1">
      <c r="A1219" s="471">
        <v>8215</v>
      </c>
      <c r="B1219" s="540" t="s">
        <v>4018</v>
      </c>
      <c r="C1219" s="471" t="s">
        <v>3346</v>
      </c>
      <c r="D1219" s="456">
        <f>IF(Table11[[#This Row],[Current Age]]&gt;19,"Women's",IF(E1219&gt;15,"U19",IF(E1219&gt;13,"U15",IF(E1219&gt;11,"U13",IF(E1219&gt;0,"U11",0)))))</f>
        <v>0</v>
      </c>
      <c r="E1219" s="456">
        <f>IFERROR(IF(Table11[[#This Row],[Year]]&gt;0,$E$1-Table11[[#This Row],[Year]],0),"")</f>
        <v>0</v>
      </c>
      <c r="F1219" s="456"/>
      <c r="G1219" s="456"/>
      <c r="H1219" s="456"/>
    </row>
    <row r="1220" spans="1:8" ht="13.5" customHeight="1">
      <c r="A1220" s="456">
        <v>8216</v>
      </c>
      <c r="B1220" s="457" t="s">
        <v>4019</v>
      </c>
      <c r="C1220" s="456" t="s">
        <v>3346</v>
      </c>
      <c r="D1220" s="456">
        <f>IF(Table11[[#This Row],[Current Age]]&gt;19,"Women's",IF(E1220&gt;15,"U19",IF(E1220&gt;13,"U15",IF(E1220&gt;11,"U13",IF(E1220&gt;0,"U11",0)))))</f>
        <v>0</v>
      </c>
      <c r="E1220" s="456">
        <f>IFERROR(IF(Table11[[#This Row],[Year]]&gt;0,$E$1-Table11[[#This Row],[Year]],0),"")</f>
        <v>0</v>
      </c>
      <c r="F1220" s="456"/>
      <c r="G1220" s="456"/>
      <c r="H1220" s="456"/>
    </row>
    <row r="1221" spans="1:8" ht="13.5" customHeight="1">
      <c r="A1221" s="471">
        <v>8217</v>
      </c>
      <c r="B1221" s="540" t="s">
        <v>4024</v>
      </c>
      <c r="C1221" s="471" t="s">
        <v>3346</v>
      </c>
      <c r="D1221" s="456">
        <f>IF(Table11[[#This Row],[Current Age]]&gt;19,"Women's",IF(E1221&gt;15,"U19",IF(E1221&gt;13,"U15",IF(E1221&gt;11,"U13",IF(E1221&gt;0,"U11",0)))))</f>
        <v>0</v>
      </c>
      <c r="E1221" s="456">
        <f>IFERROR(IF(Table11[[#This Row],[Year]]&gt;0,$E$1-Table11[[#This Row],[Year]],0),"")</f>
        <v>0</v>
      </c>
      <c r="F1221" s="456"/>
      <c r="G1221" s="456"/>
      <c r="H1221" s="456"/>
    </row>
    <row r="1222" spans="1:8" ht="13.5" customHeight="1">
      <c r="A1222" s="456">
        <v>8218</v>
      </c>
      <c r="B1222" s="457" t="s">
        <v>4142</v>
      </c>
      <c r="C1222" s="456" t="s">
        <v>3346</v>
      </c>
      <c r="D1222" s="456">
        <f>IF(Table11[[#This Row],[Current Age]]&gt;19,"Women's",IF(E1222&gt;15,"U19",IF(E1222&gt;13,"U15",IF(E1222&gt;11,"U13",IF(E1222&gt;0,"U11",0)))))</f>
        <v>0</v>
      </c>
      <c r="E1222" s="456">
        <f>IFERROR(IF(Table11[[#This Row],[Year]]&gt;0,$E$1-Table11[[#This Row],[Year]],0),"")</f>
        <v>0</v>
      </c>
      <c r="F1222" s="456"/>
      <c r="G1222" s="456"/>
      <c r="H1222" s="456"/>
    </row>
    <row r="1223" spans="1:8" ht="13.5" customHeight="1">
      <c r="A1223" s="471">
        <v>8219</v>
      </c>
      <c r="B1223" s="540" t="s">
        <v>4143</v>
      </c>
      <c r="C1223" s="471" t="s">
        <v>3346</v>
      </c>
      <c r="D1223" s="456">
        <f>IF(Table11[[#This Row],[Current Age]]&gt;19,"Women's",IF(E1223&gt;15,"U19",IF(E1223&gt;13,"U15",IF(E1223&gt;11,"U13",IF(E1223&gt;0,"U11",0)))))</f>
        <v>0</v>
      </c>
      <c r="E1223" s="456">
        <f>IFERROR(IF(Table11[[#This Row],[Year]]&gt;0,$E$1-Table11[[#This Row],[Year]],0),"")</f>
        <v>0</v>
      </c>
      <c r="F1223" s="456"/>
      <c r="G1223" s="456"/>
      <c r="H1223" s="456"/>
    </row>
    <row r="1224" spans="1:8" ht="13.5" customHeight="1">
      <c r="A1224" s="456">
        <v>8220</v>
      </c>
      <c r="B1224" s="457" t="s">
        <v>4144</v>
      </c>
      <c r="C1224" s="456" t="s">
        <v>3346</v>
      </c>
      <c r="D1224" s="456">
        <f>IF(Table11[[#This Row],[Current Age]]&gt;19,"Women's",IF(E1224&gt;15,"U19",IF(E1224&gt;13,"U15",IF(E1224&gt;11,"U13",IF(E1224&gt;0,"U11",0)))))</f>
        <v>0</v>
      </c>
      <c r="E1224" s="456">
        <f>IFERROR(IF(Table11[[#This Row],[Year]]&gt;0,$E$1-Table11[[#This Row],[Year]],0),"")</f>
        <v>0</v>
      </c>
      <c r="F1224" s="456"/>
      <c r="G1224" s="456"/>
      <c r="H1224" s="456"/>
    </row>
    <row r="1225" spans="1:8" ht="13.5" customHeight="1">
      <c r="A1225" s="471">
        <v>8221</v>
      </c>
      <c r="B1225" s="540" t="s">
        <v>4145</v>
      </c>
      <c r="C1225" s="471" t="s">
        <v>3346</v>
      </c>
      <c r="D1225" s="456">
        <f>IF(Table11[[#This Row],[Current Age]]&gt;19,"Women's",IF(E1225&gt;15,"U19",IF(E1225&gt;13,"U15",IF(E1225&gt;11,"U13",IF(E1225&gt;0,"U11",0)))))</f>
        <v>0</v>
      </c>
      <c r="E1225" s="456">
        <f>IFERROR(IF(Table11[[#This Row],[Year]]&gt;0,$E$1-Table11[[#This Row],[Year]],0),"")</f>
        <v>0</v>
      </c>
      <c r="F1225" s="456"/>
      <c r="G1225" s="456"/>
      <c r="H1225" s="456"/>
    </row>
    <row r="1226" spans="1:8" ht="13.5" customHeight="1">
      <c r="A1226" s="456">
        <v>8222</v>
      </c>
      <c r="B1226" s="457" t="s">
        <v>4029</v>
      </c>
      <c r="C1226" s="456" t="s">
        <v>3346</v>
      </c>
      <c r="D1226" s="456">
        <f>IF(Table11[[#This Row],[Current Age]]&gt;19,"Women's",IF(E1226&gt;15,"U19",IF(E1226&gt;13,"U15",IF(E1226&gt;11,"U13",IF(E1226&gt;0,"U11",0)))))</f>
        <v>0</v>
      </c>
      <c r="E1226" s="456">
        <f>IFERROR(IF(Table11[[#This Row],[Year]]&gt;0,$E$1-Table11[[#This Row],[Year]],0),"")</f>
        <v>0</v>
      </c>
      <c r="F1226" s="456"/>
      <c r="G1226" s="456"/>
      <c r="H1226" s="456"/>
    </row>
    <row r="1227" spans="1:8" ht="13.5" customHeight="1">
      <c r="A1227" s="471">
        <v>8223</v>
      </c>
      <c r="B1227" s="540" t="s">
        <v>4030</v>
      </c>
      <c r="C1227" s="471" t="s">
        <v>3346</v>
      </c>
      <c r="D1227" s="456">
        <f>IF(Table11[[#This Row],[Current Age]]&gt;19,"Women's",IF(E1227&gt;15,"U19",IF(E1227&gt;13,"U15",IF(E1227&gt;11,"U13",IF(E1227&gt;0,"U11",0)))))</f>
        <v>0</v>
      </c>
      <c r="E1227" s="456">
        <f>IFERROR(IF(Table11[[#This Row],[Year]]&gt;0,$E$1-Table11[[#This Row],[Year]],0),"")</f>
        <v>0</v>
      </c>
      <c r="F1227" s="456"/>
      <c r="G1227" s="456"/>
      <c r="H1227" s="456"/>
    </row>
    <row r="1228" spans="1:8" ht="13.5" customHeight="1">
      <c r="A1228" s="456">
        <v>8224</v>
      </c>
      <c r="B1228" s="457" t="s">
        <v>4031</v>
      </c>
      <c r="C1228" s="456" t="s">
        <v>3346</v>
      </c>
      <c r="D1228" s="456">
        <f>IF(Table11[[#This Row],[Current Age]]&gt;19,"Women's",IF(E1228&gt;15,"U19",IF(E1228&gt;13,"U15",IF(E1228&gt;11,"U13",IF(E1228&gt;0,"U11",0)))))</f>
        <v>0</v>
      </c>
      <c r="E1228" s="456">
        <f>IFERROR(IF(Table11[[#This Row],[Year]]&gt;0,$E$1-Table11[[#This Row],[Year]],0),"")</f>
        <v>0</v>
      </c>
      <c r="F1228" s="456"/>
      <c r="G1228" s="456"/>
      <c r="H1228" s="456"/>
    </row>
    <row r="1229" spans="1:8" ht="13.5" customHeight="1">
      <c r="A1229" s="471">
        <v>8225</v>
      </c>
      <c r="B1229" s="540" t="s">
        <v>4032</v>
      </c>
      <c r="C1229" s="471" t="s">
        <v>3346</v>
      </c>
      <c r="D1229" s="456">
        <f>IF(Table11[[#This Row],[Current Age]]&gt;19,"Women's",IF(E1229&gt;15,"U19",IF(E1229&gt;13,"U15",IF(E1229&gt;11,"U13",IF(E1229&gt;0,"U11",0)))))</f>
        <v>0</v>
      </c>
      <c r="E1229" s="456">
        <f>IFERROR(IF(Table11[[#This Row],[Year]]&gt;0,$E$1-Table11[[#This Row],[Year]],0),"")</f>
        <v>0</v>
      </c>
      <c r="F1229" s="456"/>
      <c r="G1229" s="456"/>
      <c r="H1229" s="456"/>
    </row>
    <row r="1230" spans="1:8" ht="13.5" customHeight="1">
      <c r="A1230" s="456">
        <v>8226</v>
      </c>
      <c r="B1230" s="457" t="s">
        <v>4034</v>
      </c>
      <c r="C1230" s="456" t="s">
        <v>3346</v>
      </c>
      <c r="D1230" s="456">
        <f>IF(Table11[[#This Row],[Current Age]]&gt;19,"Women's",IF(E1230&gt;15,"U19",IF(E1230&gt;13,"U15",IF(E1230&gt;11,"U13",IF(E1230&gt;0,"U11",0)))))</f>
        <v>0</v>
      </c>
      <c r="E1230" s="456">
        <f>IFERROR(IF(Table11[[#This Row],[Year]]&gt;0,$E$1-Table11[[#This Row],[Year]],0),"")</f>
        <v>0</v>
      </c>
      <c r="F1230" s="456"/>
      <c r="G1230" s="456"/>
      <c r="H1230" s="456"/>
    </row>
    <row r="1231" spans="1:8" ht="13.5" customHeight="1">
      <c r="A1231" s="471">
        <v>8227</v>
      </c>
      <c r="B1231" s="540" t="s">
        <v>4035</v>
      </c>
      <c r="C1231" s="471" t="s">
        <v>3346</v>
      </c>
      <c r="D1231" s="456">
        <f>IF(Table11[[#This Row],[Current Age]]&gt;19,"Women's",IF(E1231&gt;15,"U19",IF(E1231&gt;13,"U15",IF(E1231&gt;11,"U13",IF(E1231&gt;0,"U11",0)))))</f>
        <v>0</v>
      </c>
      <c r="E1231" s="456">
        <f>IFERROR(IF(Table11[[#This Row],[Year]]&gt;0,$E$1-Table11[[#This Row],[Year]],0),"")</f>
        <v>0</v>
      </c>
      <c r="F1231" s="456"/>
      <c r="G1231" s="456"/>
      <c r="H1231" s="456"/>
    </row>
    <row r="1232" spans="1:8" ht="13.5" customHeight="1">
      <c r="A1232" s="456">
        <v>8228</v>
      </c>
      <c r="B1232" s="457"/>
      <c r="C1232" s="456"/>
      <c r="D1232" s="456">
        <f>IF(Table11[[#This Row],[Current Age]]&gt;19,"Women's",IF(E1232&gt;15,"U19",IF(E1232&gt;13,"U15",IF(E1232&gt;11,"U13",IF(E1232&gt;0,"U11",0)))))</f>
        <v>0</v>
      </c>
      <c r="E1232" s="456">
        <f>IFERROR(IF(Table11[[#This Row],[Year]]&gt;0,$E$1-Table11[[#This Row],[Year]],0),"")</f>
        <v>0</v>
      </c>
      <c r="F1232" s="456"/>
      <c r="G1232" s="456"/>
      <c r="H1232" s="456"/>
    </row>
    <row r="1233" spans="1:8" ht="13.5" customHeight="1">
      <c r="A1233" s="471">
        <v>8229</v>
      </c>
      <c r="B1233" s="540" t="s">
        <v>4037</v>
      </c>
      <c r="C1233" s="471" t="s">
        <v>3346</v>
      </c>
      <c r="D1233" s="456">
        <f>IF(Table11[[#This Row],[Current Age]]&gt;19,"Women's",IF(E1233&gt;15,"U19",IF(E1233&gt;13,"U15",IF(E1233&gt;11,"U13",IF(E1233&gt;0,"U11",0)))))</f>
        <v>0</v>
      </c>
      <c r="E1233" s="456">
        <f>IFERROR(IF(Table11[[#This Row],[Year]]&gt;0,$E$1-Table11[[#This Row],[Year]],0),"")</f>
        <v>0</v>
      </c>
      <c r="F1233" s="456"/>
      <c r="G1233" s="456"/>
      <c r="H1233" s="456"/>
    </row>
    <row r="1234" spans="1:8" ht="13.5" customHeight="1">
      <c r="A1234" s="456">
        <v>8230</v>
      </c>
      <c r="B1234" s="457" t="s">
        <v>4038</v>
      </c>
      <c r="C1234" s="456" t="s">
        <v>3346</v>
      </c>
      <c r="D1234" s="456">
        <f>IF(Table11[[#This Row],[Current Age]]&gt;19,"Women's",IF(E1234&gt;15,"U19",IF(E1234&gt;13,"U15",IF(E1234&gt;11,"U13",IF(E1234&gt;0,"U11",0)))))</f>
        <v>0</v>
      </c>
      <c r="E1234" s="456">
        <f>IFERROR(IF(Table11[[#This Row],[Year]]&gt;0,$E$1-Table11[[#This Row],[Year]],0),"")</f>
        <v>0</v>
      </c>
      <c r="F1234" s="456"/>
      <c r="G1234" s="456"/>
      <c r="H1234" s="456"/>
    </row>
    <row r="1235" spans="1:8" ht="13.5" customHeight="1">
      <c r="A1235" s="471">
        <v>8231</v>
      </c>
      <c r="B1235" s="540" t="s">
        <v>4039</v>
      </c>
      <c r="C1235" s="471" t="s">
        <v>3346</v>
      </c>
      <c r="D1235" s="456">
        <f>IF(Table11[[#This Row],[Current Age]]&gt;19,"Women's",IF(E1235&gt;15,"U19",IF(E1235&gt;13,"U15",IF(E1235&gt;11,"U13",IF(E1235&gt;0,"U11",0)))))</f>
        <v>0</v>
      </c>
      <c r="E1235" s="456">
        <f>IFERROR(IF(Table11[[#This Row],[Year]]&gt;0,$E$1-Table11[[#This Row],[Year]],0),"")</f>
        <v>0</v>
      </c>
      <c r="F1235" s="456"/>
      <c r="G1235" s="456"/>
      <c r="H1235" s="456"/>
    </row>
    <row r="1236" spans="1:8" ht="13.5" customHeight="1">
      <c r="A1236" s="456">
        <v>8232</v>
      </c>
      <c r="B1236" s="457" t="s">
        <v>4040</v>
      </c>
      <c r="C1236" s="456" t="s">
        <v>3346</v>
      </c>
      <c r="D1236" s="456">
        <f>IF(Table11[[#This Row],[Current Age]]&gt;19,"Women's",IF(E1236&gt;15,"U19",IF(E1236&gt;13,"U15",IF(E1236&gt;11,"U13",IF(E1236&gt;0,"U11",0)))))</f>
        <v>0</v>
      </c>
      <c r="E1236" s="456">
        <f>IFERROR(IF(Table11[[#This Row],[Year]]&gt;0,$E$1-Table11[[#This Row],[Year]],0),"")</f>
        <v>0</v>
      </c>
      <c r="F1236" s="456"/>
      <c r="G1236" s="456"/>
      <c r="H1236" s="456"/>
    </row>
    <row r="1237" spans="1:8" ht="13.5" customHeight="1">
      <c r="A1237" s="471">
        <v>8233</v>
      </c>
      <c r="B1237" s="540" t="s">
        <v>4044</v>
      </c>
      <c r="C1237" s="471" t="s">
        <v>247</v>
      </c>
      <c r="D1237" s="456">
        <f>IF(Table11[[#This Row],[Current Age]]&gt;19,"Women's",IF(E1237&gt;15,"U19",IF(E1237&gt;13,"U15",IF(E1237&gt;11,"U13",IF(E1237&gt;0,"U11",0)))))</f>
        <v>0</v>
      </c>
      <c r="E1237" s="456">
        <f>IFERROR(IF(Table11[[#This Row],[Year]]&gt;0,$E$1-Table11[[#This Row],[Year]],0),"")</f>
        <v>0</v>
      </c>
      <c r="F1237" s="456"/>
      <c r="G1237" s="456"/>
      <c r="H1237" s="456"/>
    </row>
    <row r="1238" spans="1:8" ht="13.5" customHeight="1">
      <c r="A1238" s="456">
        <v>8234</v>
      </c>
      <c r="B1238" s="457" t="s">
        <v>4045</v>
      </c>
      <c r="C1238" s="456" t="s">
        <v>247</v>
      </c>
      <c r="D1238" s="456">
        <f>IF(Table11[[#This Row],[Current Age]]&gt;19,"Women's",IF(E1238&gt;15,"U19",IF(E1238&gt;13,"U15",IF(E1238&gt;11,"U13",IF(E1238&gt;0,"U11",0)))))</f>
        <v>0</v>
      </c>
      <c r="E1238" s="456">
        <f>IFERROR(IF(Table11[[#This Row],[Year]]&gt;0,$E$1-Table11[[#This Row],[Year]],0),"")</f>
        <v>0</v>
      </c>
      <c r="F1238" s="456"/>
      <c r="G1238" s="456"/>
      <c r="H1238" s="456"/>
    </row>
    <row r="1239" spans="1:8" ht="13.5" customHeight="1">
      <c r="A1239" s="471">
        <v>8235</v>
      </c>
      <c r="B1239" s="540" t="s">
        <v>4046</v>
      </c>
      <c r="C1239" s="471" t="s">
        <v>247</v>
      </c>
      <c r="D1239" s="456">
        <f>IF(Table11[[#This Row],[Current Age]]&gt;19,"Women's",IF(E1239&gt;15,"U19",IF(E1239&gt;13,"U15",IF(E1239&gt;11,"U13",IF(E1239&gt;0,"U11",0)))))</f>
        <v>0</v>
      </c>
      <c r="E1239" s="456">
        <f>IFERROR(IF(Table11[[#This Row],[Year]]&gt;0,$E$1-Table11[[#This Row],[Year]],0),"")</f>
        <v>0</v>
      </c>
      <c r="F1239" s="456"/>
      <c r="G1239" s="456"/>
      <c r="H1239" s="456"/>
    </row>
    <row r="1240" spans="1:8" ht="13.5" customHeight="1">
      <c r="A1240" s="456">
        <v>8236</v>
      </c>
      <c r="B1240" s="457" t="s">
        <v>4047</v>
      </c>
      <c r="C1240" s="456" t="s">
        <v>247</v>
      </c>
      <c r="D1240" s="456">
        <f>IF(Table11[[#This Row],[Current Age]]&gt;19,"Women's",IF(E1240&gt;15,"U19",IF(E1240&gt;13,"U15",IF(E1240&gt;11,"U13",IF(E1240&gt;0,"U11",0)))))</f>
        <v>0</v>
      </c>
      <c r="E1240" s="456">
        <f>IFERROR(IF(Table11[[#This Row],[Year]]&gt;0,$E$1-Table11[[#This Row],[Year]],0),"")</f>
        <v>0</v>
      </c>
      <c r="F1240" s="456"/>
      <c r="G1240" s="456"/>
      <c r="H1240" s="456"/>
    </row>
    <row r="1241" spans="1:8" ht="13.5" customHeight="1">
      <c r="A1241" s="471">
        <v>8237</v>
      </c>
      <c r="B1241" s="540" t="s">
        <v>4077</v>
      </c>
      <c r="C1241" s="471" t="s">
        <v>3027</v>
      </c>
      <c r="D1241" s="456" t="str">
        <f>IF(Table11[[#This Row],[Current Age]]&gt;19,"Women's",IF(E1241&gt;15,"U19",IF(E1241&gt;13,"U15",IF(E1241&gt;11,"U13",IF(E1241&gt;0,"U11",0)))))</f>
        <v>U15</v>
      </c>
      <c r="E1241" s="456">
        <f>IFERROR(IF(Table11[[#This Row],[Year]]&gt;0,$E$1-Table11[[#This Row],[Year]],0),"")</f>
        <v>14</v>
      </c>
      <c r="F1241" s="456">
        <v>2011</v>
      </c>
      <c r="G1241" s="456">
        <v>4</v>
      </c>
      <c r="H1241" s="456">
        <v>27</v>
      </c>
    </row>
    <row r="1242" spans="1:8" ht="13.5" customHeight="1">
      <c r="A1242" s="456">
        <v>8238</v>
      </c>
      <c r="B1242" s="457" t="s">
        <v>4078</v>
      </c>
      <c r="C1242" s="456" t="s">
        <v>3027</v>
      </c>
      <c r="D1242" s="456" t="str">
        <f>IF(Table11[[#This Row],[Current Age]]&gt;19,"Women's",IF(E1242&gt;15,"U19",IF(E1242&gt;13,"U15",IF(E1242&gt;11,"U13",IF(E1242&gt;0,"U11",0)))))</f>
        <v>U15</v>
      </c>
      <c r="E1242" s="456">
        <f>IFERROR(IF(Table11[[#This Row],[Year]]&gt;0,$E$1-Table11[[#This Row],[Year]],0),"")</f>
        <v>14</v>
      </c>
      <c r="F1242" s="456">
        <v>2011</v>
      </c>
      <c r="G1242" s="456">
        <v>2</v>
      </c>
      <c r="H1242" s="456">
        <v>11</v>
      </c>
    </row>
    <row r="1243" spans="1:8" ht="13.5" customHeight="1">
      <c r="A1243" s="471">
        <v>8239</v>
      </c>
      <c r="B1243" s="540" t="s">
        <v>4079</v>
      </c>
      <c r="C1243" s="471" t="s">
        <v>3027</v>
      </c>
      <c r="D1243" s="456" t="str">
        <f>IF(Table11[[#This Row],[Current Age]]&gt;19,"Women's",IF(E1243&gt;15,"U19",IF(E1243&gt;13,"U15",IF(E1243&gt;11,"U13",IF(E1243&gt;0,"U11",0)))))</f>
        <v>U15</v>
      </c>
      <c r="E1243" s="456">
        <f>IFERROR(IF(Table11[[#This Row],[Year]]&gt;0,$E$1-Table11[[#This Row],[Year]],0),"")</f>
        <v>14</v>
      </c>
      <c r="F1243" s="456">
        <v>2011</v>
      </c>
      <c r="G1243" s="456">
        <v>8</v>
      </c>
      <c r="H1243" s="456">
        <v>24</v>
      </c>
    </row>
    <row r="1244" spans="1:8" ht="13.5" customHeight="1">
      <c r="A1244" s="456">
        <v>8240</v>
      </c>
      <c r="B1244" s="457" t="s">
        <v>4080</v>
      </c>
      <c r="C1244" s="456" t="s">
        <v>3027</v>
      </c>
      <c r="D1244" s="456" t="str">
        <f>IF(Table11[[#This Row],[Current Age]]&gt;19,"Women's",IF(E1244&gt;15,"U19",IF(E1244&gt;13,"U15",IF(E1244&gt;11,"U13",IF(E1244&gt;0,"U11",0)))))</f>
        <v>U13</v>
      </c>
      <c r="E1244" s="456">
        <f>IFERROR(IF(Table11[[#This Row],[Year]]&gt;0,$E$1-Table11[[#This Row],[Year]],0),"")</f>
        <v>13</v>
      </c>
      <c r="F1244" s="456">
        <v>2012</v>
      </c>
      <c r="G1244" s="456">
        <v>6</v>
      </c>
      <c r="H1244" s="456">
        <v>12</v>
      </c>
    </row>
    <row r="1245" spans="1:8" ht="13.5" customHeight="1">
      <c r="A1245" s="471">
        <v>8241</v>
      </c>
      <c r="B1245" s="540" t="s">
        <v>4081</v>
      </c>
      <c r="C1245" s="471" t="s">
        <v>3027</v>
      </c>
      <c r="D1245" s="456" t="str">
        <f>IF(Table11[[#This Row],[Current Age]]&gt;19,"Women's",IF(E1245&gt;15,"U19",IF(E1245&gt;13,"U15",IF(E1245&gt;11,"U13",IF(E1245&gt;0,"U11",0)))))</f>
        <v>U13</v>
      </c>
      <c r="E1245" s="456">
        <f>IFERROR(IF(Table11[[#This Row],[Year]]&gt;0,$E$1-Table11[[#This Row],[Year]],0),"")</f>
        <v>12</v>
      </c>
      <c r="F1245" s="456">
        <v>2013</v>
      </c>
      <c r="G1245" s="456">
        <v>1</v>
      </c>
      <c r="H1245" s="456">
        <v>9</v>
      </c>
    </row>
    <row r="1246" spans="1:8" ht="13.5" customHeight="1">
      <c r="A1246" s="456">
        <v>8242</v>
      </c>
      <c r="B1246" s="457" t="s">
        <v>4082</v>
      </c>
      <c r="C1246" s="456" t="s">
        <v>3027</v>
      </c>
      <c r="D1246" s="456" t="str">
        <f>IF(Table11[[#This Row],[Current Age]]&gt;19,"Women's",IF(E1246&gt;15,"U19",IF(E1246&gt;13,"U15",IF(E1246&gt;11,"U13",IF(E1246&gt;0,"U11",0)))))</f>
        <v>U15</v>
      </c>
      <c r="E1246" s="456">
        <f>IFERROR(IF(Table11[[#This Row],[Year]]&gt;0,$E$1-Table11[[#This Row],[Year]],0),"")</f>
        <v>15</v>
      </c>
      <c r="F1246" s="456">
        <v>2010</v>
      </c>
      <c r="G1246" s="456">
        <v>9</v>
      </c>
      <c r="H1246" s="456">
        <v>20</v>
      </c>
    </row>
    <row r="1247" spans="1:8" ht="13.5" customHeight="1">
      <c r="A1247" s="471">
        <v>8243</v>
      </c>
      <c r="B1247" s="540" t="s">
        <v>4096</v>
      </c>
      <c r="C1247" s="471" t="s">
        <v>762</v>
      </c>
      <c r="D1247" s="456">
        <f>IF(Table11[[#This Row],[Current Age]]&gt;19,"Women's",IF(E1247&gt;15,"U19",IF(E1247&gt;13,"U15",IF(E1247&gt;11,"U13",IF(E1247&gt;0,"U11",0)))))</f>
        <v>0</v>
      </c>
      <c r="E1247" s="456">
        <f>IFERROR(IF(Table11[[#This Row],[Year]]&gt;0,$E$1-Table11[[#This Row],[Year]],0),"")</f>
        <v>0</v>
      </c>
      <c r="F1247" s="456"/>
      <c r="G1247" s="456"/>
      <c r="H1247" s="456"/>
    </row>
    <row r="1248" spans="1:8" ht="13.5" customHeight="1">
      <c r="A1248" s="456">
        <v>8244</v>
      </c>
      <c r="B1248" s="457" t="s">
        <v>4097</v>
      </c>
      <c r="C1248" s="456" t="s">
        <v>762</v>
      </c>
      <c r="D1248" s="456">
        <f>IF(Table11[[#This Row],[Current Age]]&gt;19,"Women's",IF(E1248&gt;15,"U19",IF(E1248&gt;13,"U15",IF(E1248&gt;11,"U13",IF(E1248&gt;0,"U11",0)))))</f>
        <v>0</v>
      </c>
      <c r="E1248" s="456">
        <f>IFERROR(IF(Table11[[#This Row],[Year]]&gt;0,$E$1-Table11[[#This Row],[Year]],0),"")</f>
        <v>0</v>
      </c>
      <c r="F1248" s="456"/>
      <c r="G1248" s="456"/>
      <c r="H1248" s="456"/>
    </row>
    <row r="1249" spans="1:8" ht="13.5" customHeight="1">
      <c r="A1249" s="471">
        <v>8245</v>
      </c>
      <c r="B1249" s="540"/>
      <c r="C1249" s="471"/>
      <c r="D1249" s="456">
        <f>IF(Table11[[#This Row],[Current Age]]&gt;19,"Women's",IF(E1249&gt;15,"U19",IF(E1249&gt;13,"U15",IF(E1249&gt;11,"U13",IF(E1249&gt;0,"U11",0)))))</f>
        <v>0</v>
      </c>
      <c r="E1249" s="456">
        <f>IFERROR(IF(Table11[[#This Row],[Year]]&gt;0,$E$1-Table11[[#This Row],[Year]],0),"")</f>
        <v>0</v>
      </c>
      <c r="F1249" s="456"/>
      <c r="G1249" s="456"/>
      <c r="H1249" s="456"/>
    </row>
    <row r="1250" spans="1:8" ht="13.5" customHeight="1">
      <c r="A1250" s="456">
        <v>8246</v>
      </c>
      <c r="B1250" s="457" t="s">
        <v>4098</v>
      </c>
      <c r="C1250" s="456" t="s">
        <v>762</v>
      </c>
      <c r="D1250" s="456">
        <f>IF(Table11[[#This Row],[Current Age]]&gt;19,"Women's",IF(E1250&gt;15,"U19",IF(E1250&gt;13,"U15",IF(E1250&gt;11,"U13",IF(E1250&gt;0,"U11",0)))))</f>
        <v>0</v>
      </c>
      <c r="E1250" s="456">
        <f>IFERROR(IF(Table11[[#This Row],[Year]]&gt;0,$E$1-Table11[[#This Row],[Year]],0),"")</f>
        <v>0</v>
      </c>
      <c r="F1250" s="456"/>
      <c r="G1250" s="456"/>
      <c r="H1250" s="456"/>
    </row>
    <row r="1251" spans="1:8" ht="13.5" customHeight="1">
      <c r="A1251" s="471">
        <v>8247</v>
      </c>
      <c r="B1251" s="540" t="s">
        <v>4099</v>
      </c>
      <c r="C1251" s="471" t="s">
        <v>762</v>
      </c>
      <c r="D1251" s="456">
        <f>IF(Table11[[#This Row],[Current Age]]&gt;19,"Women's",IF(E1251&gt;15,"U19",IF(E1251&gt;13,"U15",IF(E1251&gt;11,"U13",IF(E1251&gt;0,"U11",0)))))</f>
        <v>0</v>
      </c>
      <c r="E1251" s="456">
        <f>IFERROR(IF(Table11[[#This Row],[Year]]&gt;0,$E$1-Table11[[#This Row],[Year]],0),"")</f>
        <v>0</v>
      </c>
      <c r="F1251" s="456"/>
      <c r="G1251" s="456"/>
      <c r="H1251" s="456"/>
    </row>
    <row r="1252" spans="1:8" ht="13.5" customHeight="1">
      <c r="A1252" s="456">
        <v>8248</v>
      </c>
      <c r="B1252" s="457" t="s">
        <v>4100</v>
      </c>
      <c r="C1252" s="456" t="s">
        <v>762</v>
      </c>
      <c r="D1252" s="456">
        <f>IF(Table11[[#This Row],[Current Age]]&gt;19,"Women's",IF(E1252&gt;15,"U19",IF(E1252&gt;13,"U15",IF(E1252&gt;11,"U13",IF(E1252&gt;0,"U11",0)))))</f>
        <v>0</v>
      </c>
      <c r="E1252" s="456">
        <f>IFERROR(IF(Table11[[#This Row],[Year]]&gt;0,$E$1-Table11[[#This Row],[Year]],0),"")</f>
        <v>0</v>
      </c>
      <c r="F1252" s="456"/>
      <c r="G1252" s="456"/>
      <c r="H1252" s="456"/>
    </row>
    <row r="1253" spans="1:8" ht="13.5" customHeight="1">
      <c r="A1253" s="471">
        <v>8249</v>
      </c>
      <c r="B1253" s="540" t="s">
        <v>4101</v>
      </c>
      <c r="C1253" s="471" t="s">
        <v>762</v>
      </c>
      <c r="D1253" s="456">
        <f>IF(Table11[[#This Row],[Current Age]]&gt;19,"Women's",IF(E1253&gt;15,"U19",IF(E1253&gt;13,"U15",IF(E1253&gt;11,"U13",IF(E1253&gt;0,"U11",0)))))</f>
        <v>0</v>
      </c>
      <c r="E1253" s="456">
        <f>IFERROR(IF(Table11[[#This Row],[Year]]&gt;0,$E$1-Table11[[#This Row],[Year]],0),"")</f>
        <v>0</v>
      </c>
      <c r="F1253" s="456"/>
      <c r="G1253" s="456"/>
      <c r="H1253" s="456"/>
    </row>
    <row r="1254" spans="1:8" ht="13.5" customHeight="1">
      <c r="A1254" s="456">
        <v>8250</v>
      </c>
      <c r="B1254" s="457" t="s">
        <v>4102</v>
      </c>
      <c r="C1254" s="456" t="s">
        <v>3027</v>
      </c>
      <c r="D1254" s="456" t="str">
        <f>IF(Table11[[#This Row],[Current Age]]&gt;19,"Women's",IF(E1254&gt;15,"U19",IF(E1254&gt;13,"U15",IF(E1254&gt;11,"U13",IF(E1254&gt;0,"U11",0)))))</f>
        <v>U19</v>
      </c>
      <c r="E1254" s="456">
        <f>IFERROR(IF(Table11[[#This Row],[Year]]&gt;0,$E$1-Table11[[#This Row],[Year]],0),"")</f>
        <v>17</v>
      </c>
      <c r="F1254" s="456">
        <v>2008</v>
      </c>
      <c r="G1254" s="456">
        <v>11</v>
      </c>
      <c r="H1254" s="456">
        <v>19</v>
      </c>
    </row>
    <row r="1255" spans="1:8" ht="13.5" customHeight="1">
      <c r="A1255" s="471">
        <v>8251</v>
      </c>
      <c r="B1255" s="540" t="s">
        <v>4103</v>
      </c>
      <c r="C1255" s="471" t="s">
        <v>3346</v>
      </c>
      <c r="D1255" s="456">
        <f>IF(Table11[[#This Row],[Current Age]]&gt;19,"Women's",IF(E1255&gt;15,"U19",IF(E1255&gt;13,"U15",IF(E1255&gt;11,"U13",IF(E1255&gt;0,"U11",0)))))</f>
        <v>0</v>
      </c>
      <c r="E1255" s="456">
        <f>IFERROR(IF(Table11[[#This Row],[Year]]&gt;0,$E$1-Table11[[#This Row],[Year]],0),"")</f>
        <v>0</v>
      </c>
      <c r="F1255" s="456"/>
      <c r="G1255" s="456"/>
      <c r="H1255" s="456"/>
    </row>
    <row r="1256" spans="1:8" ht="13.5" customHeight="1">
      <c r="A1256" s="456">
        <v>8252</v>
      </c>
      <c r="B1256" s="457" t="s">
        <v>4104</v>
      </c>
      <c r="C1256" s="456" t="s">
        <v>3027</v>
      </c>
      <c r="D1256" s="456" t="str">
        <f>IF(Table11[[#This Row],[Current Age]]&gt;19,"Women's",IF(E1256&gt;15,"U19",IF(E1256&gt;13,"U15",IF(E1256&gt;11,"U13",IF(E1256&gt;0,"U11",0)))))</f>
        <v>U15</v>
      </c>
      <c r="E1256" s="456">
        <f>IFERROR(IF(Table11[[#This Row],[Year]]&gt;0,$E$1-Table11[[#This Row],[Year]],0),"")</f>
        <v>15</v>
      </c>
      <c r="F1256" s="456">
        <v>2010</v>
      </c>
      <c r="G1256" s="456">
        <v>11</v>
      </c>
      <c r="H1256" s="456">
        <v>1</v>
      </c>
    </row>
    <row r="1257" spans="1:8" ht="13.5" customHeight="1">
      <c r="A1257" s="471">
        <v>8253</v>
      </c>
      <c r="B1257" s="540" t="s">
        <v>4105</v>
      </c>
      <c r="C1257" s="471" t="s">
        <v>4720</v>
      </c>
      <c r="D1257" s="456" t="str">
        <f>IF(Table11[[#This Row],[Current Age]]&gt;19,"Women's",IF(E1257&gt;15,"U19",IF(E1257&gt;13,"U15",IF(E1257&gt;11,"U13",IF(E1257&gt;0,"U11",0)))))</f>
        <v>U19</v>
      </c>
      <c r="E1257" s="456">
        <f>IFERROR(IF(Table11[[#This Row],[Year]]&gt;0,$E$1-Table11[[#This Row],[Year]],0),"")</f>
        <v>19</v>
      </c>
      <c r="F1257" s="456">
        <v>2006</v>
      </c>
      <c r="G1257" s="456">
        <v>11</v>
      </c>
      <c r="H1257" s="456">
        <v>3</v>
      </c>
    </row>
    <row r="1258" spans="1:8" ht="13.5" customHeight="1">
      <c r="A1258" s="456">
        <v>8254</v>
      </c>
      <c r="B1258" s="457" t="s">
        <v>4106</v>
      </c>
      <c r="C1258" s="456" t="s">
        <v>4720</v>
      </c>
      <c r="D1258" s="456">
        <f>IF(Table11[[#This Row],[Current Age]]&gt;19,"Women's",IF(E1258&gt;15,"U19",IF(E1258&gt;13,"U15",IF(E1258&gt;11,"U13",IF(E1258&gt;0,"U11",0)))))</f>
        <v>0</v>
      </c>
      <c r="E1258" s="456">
        <f>IFERROR(IF(Table11[[#This Row],[Year]]&gt;0,$E$1-Table11[[#This Row],[Year]],0),"")</f>
        <v>0</v>
      </c>
      <c r="F1258" s="456"/>
      <c r="G1258" s="456"/>
      <c r="H1258" s="456"/>
    </row>
    <row r="1259" spans="1:8" ht="13.5" customHeight="1">
      <c r="A1259" s="471">
        <v>8255</v>
      </c>
      <c r="B1259" s="540" t="s">
        <v>4107</v>
      </c>
      <c r="C1259" s="471" t="s">
        <v>4720</v>
      </c>
      <c r="D1259" s="456">
        <f>IF(Table11[[#This Row],[Current Age]]&gt;19,"Women's",IF(E1259&gt;15,"U19",IF(E1259&gt;13,"U15",IF(E1259&gt;11,"U13",IF(E1259&gt;0,"U11",0)))))</f>
        <v>0</v>
      </c>
      <c r="E1259" s="456">
        <f>IFERROR(IF(Table11[[#This Row],[Year]]&gt;0,$E$1-Table11[[#This Row],[Year]],0),"")</f>
        <v>0</v>
      </c>
      <c r="F1259" s="456"/>
      <c r="G1259" s="456"/>
      <c r="H1259" s="456"/>
    </row>
    <row r="1260" spans="1:8" ht="13.5" customHeight="1">
      <c r="A1260" s="456">
        <v>8256</v>
      </c>
      <c r="B1260" s="457" t="s">
        <v>4114</v>
      </c>
      <c r="C1260" s="456" t="s">
        <v>4720</v>
      </c>
      <c r="D1260" s="456" t="str">
        <f>IF(Table11[[#This Row],[Current Age]]&gt;19,"Women's",IF(E1260&gt;15,"U19",IF(E1260&gt;13,"U15",IF(E1260&gt;11,"U13",IF(E1260&gt;0,"U11",0)))))</f>
        <v>U19</v>
      </c>
      <c r="E1260" s="456">
        <f>IFERROR(IF(Table11[[#This Row],[Year]]&gt;0,$E$1-Table11[[#This Row],[Year]],0),"")</f>
        <v>16</v>
      </c>
      <c r="F1260" s="456">
        <v>2009</v>
      </c>
      <c r="G1260" s="456">
        <v>4</v>
      </c>
      <c r="H1260" s="456">
        <v>19</v>
      </c>
    </row>
    <row r="1261" spans="1:8" ht="13.5" customHeight="1">
      <c r="A1261" s="471">
        <v>8257</v>
      </c>
      <c r="B1261" s="540" t="s">
        <v>4366</v>
      </c>
      <c r="C1261" s="471" t="s">
        <v>4720</v>
      </c>
      <c r="D1261" s="456">
        <f>IF(Table11[[#This Row],[Current Age]]&gt;19,"Women's",IF(E1261&gt;15,"U19",IF(E1261&gt;13,"U15",IF(E1261&gt;11,"U13",IF(E1261&gt;0,"U11",0)))))</f>
        <v>0</v>
      </c>
      <c r="E1261" s="456">
        <f>IFERROR(IF(Table11[[#This Row],[Year]]&gt;0,$E$1-Table11[[#This Row],[Year]],0),"")</f>
        <v>0</v>
      </c>
      <c r="F1261" s="456"/>
      <c r="G1261" s="456"/>
      <c r="H1261" s="456"/>
    </row>
    <row r="1262" spans="1:8" ht="13.5" customHeight="1">
      <c r="A1262" s="456">
        <v>8258</v>
      </c>
      <c r="B1262" s="457" t="s">
        <v>4116</v>
      </c>
      <c r="C1262" s="456" t="s">
        <v>4720</v>
      </c>
      <c r="D1262" s="456">
        <f>IF(Table11[[#This Row],[Current Age]]&gt;19,"Women's",IF(E1262&gt;15,"U19",IF(E1262&gt;13,"U15",IF(E1262&gt;11,"U13",IF(E1262&gt;0,"U11",0)))))</f>
        <v>0</v>
      </c>
      <c r="E1262" s="456">
        <f>IFERROR(IF(Table11[[#This Row],[Year]]&gt;0,$E$1-Table11[[#This Row],[Year]],0),"")</f>
        <v>0</v>
      </c>
      <c r="F1262" s="456"/>
      <c r="G1262" s="456"/>
      <c r="H1262" s="456"/>
    </row>
    <row r="1263" spans="1:8" ht="13.5" customHeight="1">
      <c r="A1263" s="471">
        <v>8259</v>
      </c>
      <c r="B1263" s="540" t="s">
        <v>4117</v>
      </c>
      <c r="C1263" s="471" t="s">
        <v>4720</v>
      </c>
      <c r="D1263" s="456">
        <f>IF(Table11[[#This Row],[Current Age]]&gt;19,"Women's",IF(E1263&gt;15,"U19",IF(E1263&gt;13,"U15",IF(E1263&gt;11,"U13",IF(E1263&gt;0,"U11",0)))))</f>
        <v>0</v>
      </c>
      <c r="E1263" s="456">
        <f>IFERROR(IF(Table11[[#This Row],[Year]]&gt;0,$E$1-Table11[[#This Row],[Year]],0),"")</f>
        <v>0</v>
      </c>
      <c r="F1263" s="456"/>
      <c r="G1263" s="456"/>
      <c r="H1263" s="456"/>
    </row>
    <row r="1264" spans="1:8" ht="13.5" customHeight="1">
      <c r="A1264" s="456">
        <v>8260</v>
      </c>
      <c r="B1264" s="457" t="s">
        <v>4118</v>
      </c>
      <c r="C1264" s="456" t="s">
        <v>4720</v>
      </c>
      <c r="D1264" s="456" t="str">
        <f>IF(Table11[[#This Row],[Current Age]]&gt;19,"Women's",IF(E1264&gt;15,"U19",IF(E1264&gt;13,"U15",IF(E1264&gt;11,"U13",IF(E1264&gt;0,"U11",0)))))</f>
        <v>U15</v>
      </c>
      <c r="E1264" s="456">
        <f>IFERROR(IF(Table11[[#This Row],[Year]]&gt;0,$E$1-Table11[[#This Row],[Year]],0),"")</f>
        <v>15</v>
      </c>
      <c r="F1264" s="456">
        <v>2010</v>
      </c>
      <c r="G1264" s="456">
        <v>1</v>
      </c>
      <c r="H1264" s="456">
        <v>21</v>
      </c>
    </row>
    <row r="1265" spans="1:8" ht="13.5" customHeight="1">
      <c r="A1265" s="471">
        <v>8261</v>
      </c>
      <c r="B1265" s="540" t="s">
        <v>4120</v>
      </c>
      <c r="C1265" s="471" t="s">
        <v>248</v>
      </c>
      <c r="D1265" s="456">
        <f>IF(Table11[[#This Row],[Current Age]]&gt;19,"Women's",IF(E1265&gt;15,"U19",IF(E1265&gt;13,"U15",IF(E1265&gt;11,"U13",IF(E1265&gt;0,"U11",0)))))</f>
        <v>0</v>
      </c>
      <c r="E1265" s="456">
        <f>IFERROR(IF(Table11[[#This Row],[Year]]&gt;0,$E$1-Table11[[#This Row],[Year]],0),"")</f>
        <v>0</v>
      </c>
      <c r="F1265" s="456"/>
      <c r="G1265" s="456"/>
      <c r="H1265" s="456"/>
    </row>
    <row r="1266" spans="1:8" ht="13.5" customHeight="1">
      <c r="A1266" s="456">
        <v>8262</v>
      </c>
      <c r="B1266" s="457" t="s">
        <v>4121</v>
      </c>
      <c r="C1266" s="456" t="s">
        <v>248</v>
      </c>
      <c r="D1266" s="456">
        <f>IF(Table11[[#This Row],[Current Age]]&gt;19,"Women's",IF(E1266&gt;15,"U19",IF(E1266&gt;13,"U15",IF(E1266&gt;11,"U13",IF(E1266&gt;0,"U11",0)))))</f>
        <v>0</v>
      </c>
      <c r="E1266" s="456">
        <f>IFERROR(IF(Table11[[#This Row],[Year]]&gt;0,$E$1-Table11[[#This Row],[Year]],0),"")</f>
        <v>0</v>
      </c>
      <c r="F1266" s="456"/>
      <c r="G1266" s="456"/>
      <c r="H1266" s="456"/>
    </row>
    <row r="1267" spans="1:8" ht="13.5" customHeight="1">
      <c r="A1267" s="471">
        <v>8263</v>
      </c>
      <c r="B1267" s="540" t="s">
        <v>4125</v>
      </c>
      <c r="C1267" s="471" t="s">
        <v>248</v>
      </c>
      <c r="D1267" s="456">
        <f>IF(Table11[[#This Row],[Current Age]]&gt;19,"Women's",IF(E1267&gt;15,"U19",IF(E1267&gt;13,"U15",IF(E1267&gt;11,"U13",IF(E1267&gt;0,"U11",0)))))</f>
        <v>0</v>
      </c>
      <c r="E1267" s="456">
        <f>IFERROR(IF(Table11[[#This Row],[Year]]&gt;0,$E$1-Table11[[#This Row],[Year]],0),"")</f>
        <v>0</v>
      </c>
      <c r="F1267" s="456"/>
      <c r="G1267" s="456"/>
      <c r="H1267" s="456"/>
    </row>
    <row r="1268" spans="1:8" ht="13.5" customHeight="1">
      <c r="A1268" s="456">
        <v>8264</v>
      </c>
      <c r="B1268" s="457" t="s">
        <v>4126</v>
      </c>
      <c r="C1268" s="456" t="s">
        <v>248</v>
      </c>
      <c r="D1268" s="456">
        <f>IF(Table11[[#This Row],[Current Age]]&gt;19,"Women's",IF(E1268&gt;15,"U19",IF(E1268&gt;13,"U15",IF(E1268&gt;11,"U13",IF(E1268&gt;0,"U11",0)))))</f>
        <v>0</v>
      </c>
      <c r="E1268" s="456">
        <f>IFERROR(IF(Table11[[#This Row],[Year]]&gt;0,$E$1-Table11[[#This Row],[Year]],0),"")</f>
        <v>0</v>
      </c>
      <c r="F1268" s="456"/>
      <c r="G1268" s="456"/>
      <c r="H1268" s="456"/>
    </row>
    <row r="1269" spans="1:8" ht="13.5" customHeight="1">
      <c r="A1269" s="471">
        <v>8265</v>
      </c>
      <c r="B1269" s="540" t="s">
        <v>4127</v>
      </c>
      <c r="C1269" s="471" t="s">
        <v>248</v>
      </c>
      <c r="D1269" s="456">
        <f>IF(Table11[[#This Row],[Current Age]]&gt;19,"Women's",IF(E1269&gt;15,"U19",IF(E1269&gt;13,"U15",IF(E1269&gt;11,"U13",IF(E1269&gt;0,"U11",0)))))</f>
        <v>0</v>
      </c>
      <c r="E1269" s="456">
        <f>IFERROR(IF(Table11[[#This Row],[Year]]&gt;0,$E$1-Table11[[#This Row],[Year]],0),"")</f>
        <v>0</v>
      </c>
      <c r="F1269" s="456"/>
      <c r="G1269" s="456"/>
      <c r="H1269" s="456"/>
    </row>
    <row r="1270" spans="1:8" ht="13.5" customHeight="1">
      <c r="A1270" s="456">
        <v>8266</v>
      </c>
      <c r="B1270" s="457" t="s">
        <v>4128</v>
      </c>
      <c r="C1270" s="456" t="s">
        <v>248</v>
      </c>
      <c r="D1270" s="456">
        <f>IF(Table11[[#This Row],[Current Age]]&gt;19,"Women's",IF(E1270&gt;15,"U19",IF(E1270&gt;13,"U15",IF(E1270&gt;11,"U13",IF(E1270&gt;0,"U11",0)))))</f>
        <v>0</v>
      </c>
      <c r="E1270" s="456">
        <f>IFERROR(IF(Table11[[#This Row],[Year]]&gt;0,$E$1-Table11[[#This Row],[Year]],0),"")</f>
        <v>0</v>
      </c>
      <c r="F1270" s="456"/>
      <c r="G1270" s="456"/>
      <c r="H1270" s="456"/>
    </row>
    <row r="1271" spans="1:8" ht="13.5" customHeight="1">
      <c r="A1271" s="471">
        <v>8267</v>
      </c>
      <c r="B1271" s="540" t="s">
        <v>4129</v>
      </c>
      <c r="C1271" s="471" t="s">
        <v>248</v>
      </c>
      <c r="D1271" s="456">
        <f>IF(Table11[[#This Row],[Current Age]]&gt;19,"Women's",IF(E1271&gt;15,"U19",IF(E1271&gt;13,"U15",IF(E1271&gt;11,"U13",IF(E1271&gt;0,"U11",0)))))</f>
        <v>0</v>
      </c>
      <c r="E1271" s="456">
        <f>IFERROR(IF(Table11[[#This Row],[Year]]&gt;0,$E$1-Table11[[#This Row],[Year]],0),"")</f>
        <v>0</v>
      </c>
      <c r="F1271" s="456"/>
      <c r="G1271" s="456"/>
      <c r="H1271" s="456"/>
    </row>
    <row r="1272" spans="1:8" ht="13.5" customHeight="1">
      <c r="A1272" s="456">
        <v>8268</v>
      </c>
      <c r="B1272" s="457" t="s">
        <v>4130</v>
      </c>
      <c r="C1272" s="456" t="s">
        <v>248</v>
      </c>
      <c r="D1272" s="456">
        <f>IF(Table11[[#This Row],[Current Age]]&gt;19,"Women's",IF(E1272&gt;15,"U19",IF(E1272&gt;13,"U15",IF(E1272&gt;11,"U13",IF(E1272&gt;0,"U11",0)))))</f>
        <v>0</v>
      </c>
      <c r="E1272" s="456">
        <f>IFERROR(IF(Table11[[#This Row],[Year]]&gt;0,$E$1-Table11[[#This Row],[Year]],0),"")</f>
        <v>0</v>
      </c>
      <c r="F1272" s="456"/>
      <c r="G1272" s="456"/>
      <c r="H1272" s="456"/>
    </row>
    <row r="1273" spans="1:8" ht="13.5" customHeight="1">
      <c r="A1273" s="471">
        <v>8269</v>
      </c>
      <c r="B1273" s="540" t="s">
        <v>4135</v>
      </c>
      <c r="C1273" s="471" t="s">
        <v>248</v>
      </c>
      <c r="D1273" s="456">
        <f>IF(Table11[[#This Row],[Current Age]]&gt;19,"Women's",IF(E1273&gt;15,"U19",IF(E1273&gt;13,"U15",IF(E1273&gt;11,"U13",IF(E1273&gt;0,"U11",0)))))</f>
        <v>0</v>
      </c>
      <c r="E1273" s="456">
        <f>IFERROR(IF(Table11[[#This Row],[Year]]&gt;0,$E$1-Table11[[#This Row],[Year]],0),"")</f>
        <v>0</v>
      </c>
      <c r="F1273" s="456"/>
      <c r="G1273" s="456"/>
      <c r="H1273" s="456"/>
    </row>
    <row r="1274" spans="1:8" ht="13.5" customHeight="1">
      <c r="A1274" s="456">
        <v>8270</v>
      </c>
      <c r="B1274" s="457" t="s">
        <v>4136</v>
      </c>
      <c r="C1274" s="456" t="s">
        <v>248</v>
      </c>
      <c r="D1274" s="456">
        <f>IF(Table11[[#This Row],[Current Age]]&gt;19,"Women's",IF(E1274&gt;15,"U19",IF(E1274&gt;13,"U15",IF(E1274&gt;11,"U13",IF(E1274&gt;0,"U11",0)))))</f>
        <v>0</v>
      </c>
      <c r="E1274" s="456">
        <f>IFERROR(IF(Table11[[#This Row],[Year]]&gt;0,$E$1-Table11[[#This Row],[Year]],0),"")</f>
        <v>0</v>
      </c>
      <c r="F1274" s="456"/>
      <c r="G1274" s="456"/>
      <c r="H1274" s="456"/>
    </row>
    <row r="1275" spans="1:8" ht="13.5" customHeight="1">
      <c r="A1275" s="471">
        <v>8271</v>
      </c>
      <c r="B1275" s="540" t="s">
        <v>2884</v>
      </c>
      <c r="C1275" s="471" t="s">
        <v>3346</v>
      </c>
      <c r="D1275" s="456">
        <f>IF(Table11[[#This Row],[Current Age]]&gt;19,"Women's",IF(E1275&gt;15,"U19",IF(E1275&gt;13,"U15",IF(E1275&gt;11,"U13",IF(E1275&gt;0,"U11",0)))))</f>
        <v>0</v>
      </c>
      <c r="E1275" s="456">
        <f>IFERROR(IF(Table11[[#This Row],[Year]]&gt;0,$E$1-Table11[[#This Row],[Year]],0),"")</f>
        <v>0</v>
      </c>
      <c r="F1275" s="456"/>
      <c r="G1275" s="456"/>
      <c r="H1275" s="456"/>
    </row>
    <row r="1276" spans="1:8" ht="13.5" customHeight="1">
      <c r="A1276" s="456">
        <v>8272</v>
      </c>
      <c r="B1276" s="457" t="s">
        <v>4157</v>
      </c>
      <c r="C1276" s="456" t="s">
        <v>4152</v>
      </c>
      <c r="D1276" s="456">
        <f>IF(Table11[[#This Row],[Current Age]]&gt;19,"Women's",IF(E1276&gt;15,"U19",IF(E1276&gt;13,"U15",IF(E1276&gt;11,"U13",IF(E1276&gt;0,"U11",0)))))</f>
        <v>0</v>
      </c>
      <c r="E1276" s="456">
        <f>IFERROR(IF(Table11[[#This Row],[Year]]&gt;0,$E$1-Table11[[#This Row],[Year]],0),"")</f>
        <v>0</v>
      </c>
      <c r="F1276" s="456"/>
      <c r="G1276" s="456"/>
      <c r="H1276" s="456"/>
    </row>
    <row r="1277" spans="1:8" ht="13.5" customHeight="1">
      <c r="A1277" s="471">
        <v>8273</v>
      </c>
      <c r="B1277" s="540" t="s">
        <v>4158</v>
      </c>
      <c r="C1277" s="471" t="s">
        <v>4152</v>
      </c>
      <c r="D1277" s="456">
        <f>IF(Table11[[#This Row],[Current Age]]&gt;19,"Women's",IF(E1277&gt;15,"U19",IF(E1277&gt;13,"U15",IF(E1277&gt;11,"U13",IF(E1277&gt;0,"U11",0)))))</f>
        <v>0</v>
      </c>
      <c r="E1277" s="456">
        <f>IFERROR(IF(Table11[[#This Row],[Year]]&gt;0,$E$1-Table11[[#This Row],[Year]],0),"")</f>
        <v>0</v>
      </c>
      <c r="F1277" s="456"/>
      <c r="G1277" s="456"/>
      <c r="H1277" s="456"/>
    </row>
    <row r="1278" spans="1:8" ht="13.5" customHeight="1">
      <c r="A1278" s="456">
        <v>8274</v>
      </c>
      <c r="B1278" s="457" t="s">
        <v>4159</v>
      </c>
      <c r="C1278" s="456" t="s">
        <v>4152</v>
      </c>
      <c r="D1278" s="456">
        <f>IF(Table11[[#This Row],[Current Age]]&gt;19,"Women's",IF(E1278&gt;15,"U19",IF(E1278&gt;13,"U15",IF(E1278&gt;11,"U13",IF(E1278&gt;0,"U11",0)))))</f>
        <v>0</v>
      </c>
      <c r="E1278" s="456">
        <f>IFERROR(IF(Table11[[#This Row],[Year]]&gt;0,$E$1-Table11[[#This Row],[Year]],0),"")</f>
        <v>0</v>
      </c>
      <c r="F1278" s="456"/>
      <c r="G1278" s="456"/>
      <c r="H1278" s="456"/>
    </row>
    <row r="1279" spans="1:8" ht="13.5" customHeight="1">
      <c r="A1279" s="471">
        <v>8275</v>
      </c>
      <c r="B1279" s="540" t="s">
        <v>4160</v>
      </c>
      <c r="C1279" s="471" t="s">
        <v>4152</v>
      </c>
      <c r="D1279" s="456">
        <f>IF(Table11[[#This Row],[Current Age]]&gt;19,"Women's",IF(E1279&gt;15,"U19",IF(E1279&gt;13,"U15",IF(E1279&gt;11,"U13",IF(E1279&gt;0,"U11",0)))))</f>
        <v>0</v>
      </c>
      <c r="E1279" s="456">
        <f>IFERROR(IF(Table11[[#This Row],[Year]]&gt;0,$E$1-Table11[[#This Row],[Year]],0),"")</f>
        <v>0</v>
      </c>
      <c r="F1279" s="456"/>
      <c r="G1279" s="456"/>
      <c r="H1279" s="456"/>
    </row>
    <row r="1280" spans="1:8" ht="13.5" customHeight="1">
      <c r="A1280" s="456">
        <v>8276</v>
      </c>
      <c r="B1280" s="457" t="s">
        <v>4161</v>
      </c>
      <c r="C1280" s="456" t="s">
        <v>4152</v>
      </c>
      <c r="D1280" s="456">
        <f>IF(Table11[[#This Row],[Current Age]]&gt;19,"Women's",IF(E1280&gt;15,"U19",IF(E1280&gt;13,"U15",IF(E1280&gt;11,"U13",IF(E1280&gt;0,"U11",0)))))</f>
        <v>0</v>
      </c>
      <c r="E1280" s="456">
        <f>IFERROR(IF(Table11[[#This Row],[Year]]&gt;0,$E$1-Table11[[#This Row],[Year]],0),"")</f>
        <v>0</v>
      </c>
      <c r="F1280" s="456"/>
      <c r="G1280" s="456"/>
      <c r="H1280" s="456"/>
    </row>
    <row r="1281" spans="1:8" ht="13.5" customHeight="1">
      <c r="A1281" s="471">
        <v>8277</v>
      </c>
      <c r="B1281" s="540" t="s">
        <v>4162</v>
      </c>
      <c r="C1281" s="471" t="s">
        <v>4152</v>
      </c>
      <c r="D1281" s="456">
        <f>IF(Table11[[#This Row],[Current Age]]&gt;19,"Women's",IF(E1281&gt;15,"U19",IF(E1281&gt;13,"U15",IF(E1281&gt;11,"U13",IF(E1281&gt;0,"U11",0)))))</f>
        <v>0</v>
      </c>
      <c r="E1281" s="456">
        <f>IFERROR(IF(Table11[[#This Row],[Year]]&gt;0,$E$1-Table11[[#This Row],[Year]],0),"")</f>
        <v>0</v>
      </c>
      <c r="F1281" s="456"/>
      <c r="G1281" s="456"/>
      <c r="H1281" s="456"/>
    </row>
    <row r="1282" spans="1:8" ht="13.5" customHeight="1">
      <c r="A1282" s="456">
        <v>8278</v>
      </c>
      <c r="B1282" s="457" t="s">
        <v>4163</v>
      </c>
      <c r="C1282" s="456" t="s">
        <v>4152</v>
      </c>
      <c r="D1282" s="456">
        <f>IF(Table11[[#This Row],[Current Age]]&gt;19,"Women's",IF(E1282&gt;15,"U19",IF(E1282&gt;13,"U15",IF(E1282&gt;11,"U13",IF(E1282&gt;0,"U11",0)))))</f>
        <v>0</v>
      </c>
      <c r="E1282" s="456">
        <f>IFERROR(IF(Table11[[#This Row],[Year]]&gt;0,$E$1-Table11[[#This Row],[Year]],0),"")</f>
        <v>0</v>
      </c>
      <c r="F1282" s="456"/>
      <c r="G1282" s="456"/>
      <c r="H1282" s="456"/>
    </row>
    <row r="1283" spans="1:8" ht="13.5" customHeight="1">
      <c r="A1283" s="471">
        <v>8279</v>
      </c>
      <c r="B1283" s="540" t="s">
        <v>4111</v>
      </c>
      <c r="C1283" s="471" t="s">
        <v>5162</v>
      </c>
      <c r="D1283" s="456" t="str">
        <f>IF(Table11[[#This Row],[Current Age]]&gt;19,"Women's",IF(E1283&gt;15,"U19",IF(E1283&gt;13,"U15",IF(E1283&gt;11,"U13",IF(E1283&gt;0,"U11",0)))))</f>
        <v>U11</v>
      </c>
      <c r="E1283" s="456">
        <f>IFERROR(IF(Table11[[#This Row],[Year]]&gt;0,$E$1-Table11[[#This Row],[Year]],0),"")</f>
        <v>11</v>
      </c>
      <c r="F1283" s="456">
        <v>2014</v>
      </c>
      <c r="G1283" s="456">
        <v>3</v>
      </c>
      <c r="H1283" s="456">
        <v>24</v>
      </c>
    </row>
    <row r="1284" spans="1:8" ht="13.5" customHeight="1">
      <c r="A1284" s="456">
        <v>8280</v>
      </c>
      <c r="B1284" s="457" t="s">
        <v>4165</v>
      </c>
      <c r="C1284" s="456" t="s">
        <v>251</v>
      </c>
      <c r="D1284" s="456" t="str">
        <f>IF(Table11[[#This Row],[Current Age]]&gt;19,"Women's",IF(E1284&gt;15,"U19",IF(E1284&gt;13,"U15",IF(E1284&gt;11,"U13",IF(E1284&gt;0,"U11",0)))))</f>
        <v>U19</v>
      </c>
      <c r="E1284" s="456">
        <f>IFERROR(IF(Table11[[#This Row],[Year]]&gt;0,$E$1-Table11[[#This Row],[Year]],0),"")</f>
        <v>17</v>
      </c>
      <c r="F1284" s="456">
        <v>2008</v>
      </c>
      <c r="G1284" s="456">
        <v>5</v>
      </c>
      <c r="H1284" s="456">
        <v>19</v>
      </c>
    </row>
    <row r="1285" spans="1:8" ht="13.5" customHeight="1">
      <c r="A1285" s="471">
        <v>8281</v>
      </c>
      <c r="B1285" s="540" t="s">
        <v>4167</v>
      </c>
      <c r="C1285" s="471" t="s">
        <v>251</v>
      </c>
      <c r="D1285" s="456" t="str">
        <f>IF(Table11[[#This Row],[Current Age]]&gt;19,"Women's",IF(E1285&gt;15,"U19",IF(E1285&gt;13,"U15",IF(E1285&gt;11,"U13",IF(E1285&gt;0,"U11",0)))))</f>
        <v>U13</v>
      </c>
      <c r="E1285" s="456">
        <f>IFERROR(IF(Table11[[#This Row],[Year]]&gt;0,$E$1-Table11[[#This Row],[Year]],0),"")</f>
        <v>13</v>
      </c>
      <c r="F1285" s="456">
        <v>2012</v>
      </c>
      <c r="G1285" s="456">
        <v>1</v>
      </c>
      <c r="H1285" s="456">
        <v>12</v>
      </c>
    </row>
    <row r="1286" spans="1:8" ht="13.5" customHeight="1">
      <c r="A1286" s="456">
        <v>8282</v>
      </c>
      <c r="B1286" s="457" t="s">
        <v>4170</v>
      </c>
      <c r="C1286" s="456" t="s">
        <v>3615</v>
      </c>
      <c r="D1286" s="456" t="str">
        <f>IF(Table11[[#This Row],[Current Age]]&gt;19,"Women's",IF(E1286&gt;15,"U19",IF(E1286&gt;13,"U15",IF(E1286&gt;11,"U13",IF(E1286&gt;0,"U11",0)))))</f>
        <v>Women's</v>
      </c>
      <c r="E1286" s="456">
        <f>IFERROR(IF(Table11[[#This Row],[Year]]&gt;0,$E$1-Table11[[#This Row],[Year]],0),"")</f>
        <v>40</v>
      </c>
      <c r="F1286" s="456">
        <v>1985</v>
      </c>
      <c r="G1286" s="456">
        <v>11</v>
      </c>
      <c r="H1286" s="456">
        <v>26</v>
      </c>
    </row>
    <row r="1287" spans="1:8" ht="13.5" customHeight="1">
      <c r="A1287" s="471">
        <v>8283</v>
      </c>
      <c r="B1287" s="540" t="s">
        <v>4175</v>
      </c>
      <c r="C1287" s="471" t="s">
        <v>244</v>
      </c>
      <c r="D1287" s="456">
        <f>IF(Table11[[#This Row],[Current Age]]&gt;19,"Women's",IF(E1287&gt;15,"U19",IF(E1287&gt;13,"U15",IF(E1287&gt;11,"U13",IF(E1287&gt;0,"U11",0)))))</f>
        <v>0</v>
      </c>
      <c r="E1287" s="456">
        <f>IFERROR(IF(Table11[[#This Row],[Year]]&gt;0,$E$1-Table11[[#This Row],[Year]],0),"")</f>
        <v>0</v>
      </c>
      <c r="F1287" s="456"/>
      <c r="G1287" s="456"/>
      <c r="H1287" s="456"/>
    </row>
    <row r="1288" spans="1:8" ht="13.5" customHeight="1">
      <c r="A1288" s="456">
        <v>8284</v>
      </c>
      <c r="B1288" s="457" t="s">
        <v>4184</v>
      </c>
      <c r="C1288" s="456" t="s">
        <v>1914</v>
      </c>
      <c r="D1288" s="456">
        <f>IF(Table11[[#This Row],[Current Age]]&gt;19,"Women's",IF(E1288&gt;15,"U19",IF(E1288&gt;13,"U15",IF(E1288&gt;11,"U13",IF(E1288&gt;0,"U11",0)))))</f>
        <v>0</v>
      </c>
      <c r="E1288" s="456">
        <f>IFERROR(IF(Table11[[#This Row],[Year]]&gt;0,$E$1-Table11[[#This Row],[Year]],0),"")</f>
        <v>0</v>
      </c>
      <c r="F1288" s="456"/>
      <c r="G1288" s="456"/>
      <c r="H1288" s="456"/>
    </row>
    <row r="1289" spans="1:8" ht="13.5" customHeight="1">
      <c r="A1289" s="471">
        <v>8285</v>
      </c>
      <c r="B1289" s="540" t="s">
        <v>4185</v>
      </c>
      <c r="C1289" s="471" t="s">
        <v>1914</v>
      </c>
      <c r="D1289" s="456">
        <f>IF(Table11[[#This Row],[Current Age]]&gt;19,"Women's",IF(E1289&gt;15,"U19",IF(E1289&gt;13,"U15",IF(E1289&gt;11,"U13",IF(E1289&gt;0,"U11",0)))))</f>
        <v>0</v>
      </c>
      <c r="E1289" s="456">
        <f>IFERROR(IF(Table11[[#This Row],[Year]]&gt;0,$E$1-Table11[[#This Row],[Year]],0),"")</f>
        <v>0</v>
      </c>
      <c r="F1289" s="456"/>
      <c r="G1289" s="456"/>
      <c r="H1289" s="456"/>
    </row>
    <row r="1290" spans="1:8" ht="13.5" customHeight="1">
      <c r="A1290" s="456">
        <v>8286</v>
      </c>
      <c r="B1290" s="457" t="s">
        <v>4186</v>
      </c>
      <c r="C1290" s="456" t="s">
        <v>1914</v>
      </c>
      <c r="D1290" s="456">
        <f>IF(Table11[[#This Row],[Current Age]]&gt;19,"Women's",IF(E1290&gt;15,"U19",IF(E1290&gt;13,"U15",IF(E1290&gt;11,"U13",IF(E1290&gt;0,"U11",0)))))</f>
        <v>0</v>
      </c>
      <c r="E1290" s="456">
        <f>IFERROR(IF(Table11[[#This Row],[Year]]&gt;0,$E$1-Table11[[#This Row],[Year]],0),"")</f>
        <v>0</v>
      </c>
      <c r="F1290" s="456"/>
      <c r="G1290" s="456"/>
      <c r="H1290" s="456"/>
    </row>
    <row r="1291" spans="1:8" ht="13.5" customHeight="1">
      <c r="A1291" s="471">
        <v>8287</v>
      </c>
      <c r="B1291" s="540" t="s">
        <v>4187</v>
      </c>
      <c r="C1291" s="471" t="s">
        <v>1914</v>
      </c>
      <c r="D1291" s="456">
        <f>IF(Table11[[#This Row],[Current Age]]&gt;19,"Women's",IF(E1291&gt;15,"U19",IF(E1291&gt;13,"U15",IF(E1291&gt;11,"U13",IF(E1291&gt;0,"U11",0)))))</f>
        <v>0</v>
      </c>
      <c r="E1291" s="456">
        <f>IFERROR(IF(Table11[[#This Row],[Year]]&gt;0,$E$1-Table11[[#This Row],[Year]],0),"")</f>
        <v>0</v>
      </c>
      <c r="F1291" s="456"/>
      <c r="G1291" s="456"/>
      <c r="H1291" s="456"/>
    </row>
    <row r="1292" spans="1:8" ht="13.5" customHeight="1">
      <c r="A1292" s="456">
        <v>8288</v>
      </c>
      <c r="B1292" s="457" t="s">
        <v>4192</v>
      </c>
      <c r="C1292" s="456" t="s">
        <v>248</v>
      </c>
      <c r="D1292" s="456">
        <f>IF(Table11[[#This Row],[Current Age]]&gt;19,"Women's",IF(E1292&gt;15,"U19",IF(E1292&gt;13,"U15",IF(E1292&gt;11,"U13",IF(E1292&gt;0,"U11",0)))))</f>
        <v>0</v>
      </c>
      <c r="E1292" s="456">
        <f>IFERROR(IF(Table11[[#This Row],[Year]]&gt;0,$E$1-Table11[[#This Row],[Year]],0),"")</f>
        <v>0</v>
      </c>
      <c r="F1292" s="456"/>
      <c r="G1292" s="456"/>
      <c r="H1292" s="456"/>
    </row>
    <row r="1293" spans="1:8" ht="13.5" customHeight="1">
      <c r="A1293" s="471">
        <v>8289</v>
      </c>
      <c r="B1293" s="540" t="s">
        <v>4193</v>
      </c>
      <c r="C1293" s="471" t="s">
        <v>248</v>
      </c>
      <c r="D1293" s="456">
        <f>IF(Table11[[#This Row],[Current Age]]&gt;19,"Women's",IF(E1293&gt;15,"U19",IF(E1293&gt;13,"U15",IF(E1293&gt;11,"U13",IF(E1293&gt;0,"U11",0)))))</f>
        <v>0</v>
      </c>
      <c r="E1293" s="456">
        <f>IFERROR(IF(Table11[[#This Row],[Year]]&gt;0,$E$1-Table11[[#This Row],[Year]],0),"")</f>
        <v>0</v>
      </c>
      <c r="F1293" s="456"/>
      <c r="G1293" s="456"/>
      <c r="H1293" s="456"/>
    </row>
    <row r="1294" spans="1:8" ht="13.5" customHeight="1">
      <c r="A1294" s="456">
        <v>8290</v>
      </c>
      <c r="B1294" s="457" t="s">
        <v>4194</v>
      </c>
      <c r="C1294" s="456" t="s">
        <v>248</v>
      </c>
      <c r="D1294" s="456">
        <f>IF(Table11[[#This Row],[Current Age]]&gt;19,"Women's",IF(E1294&gt;15,"U19",IF(E1294&gt;13,"U15",IF(E1294&gt;11,"U13",IF(E1294&gt;0,"U11",0)))))</f>
        <v>0</v>
      </c>
      <c r="E1294" s="456">
        <f>IFERROR(IF(Table11[[#This Row],[Year]]&gt;0,$E$1-Table11[[#This Row],[Year]],0),"")</f>
        <v>0</v>
      </c>
      <c r="F1294" s="456"/>
      <c r="G1294" s="456"/>
      <c r="H1294" s="456"/>
    </row>
    <row r="1295" spans="1:8" ht="13.5" customHeight="1">
      <c r="A1295" s="471">
        <v>8291</v>
      </c>
      <c r="B1295" s="540" t="s">
        <v>4195</v>
      </c>
      <c r="C1295" s="471" t="s">
        <v>248</v>
      </c>
      <c r="D1295" s="456">
        <f>IF(Table11[[#This Row],[Current Age]]&gt;19,"Women's",IF(E1295&gt;15,"U19",IF(E1295&gt;13,"U15",IF(E1295&gt;11,"U13",IF(E1295&gt;0,"U11",0)))))</f>
        <v>0</v>
      </c>
      <c r="E1295" s="456">
        <f>IFERROR(IF(Table11[[#This Row],[Year]]&gt;0,$E$1-Table11[[#This Row],[Year]],0),"")</f>
        <v>0</v>
      </c>
      <c r="F1295" s="456"/>
      <c r="G1295" s="456"/>
      <c r="H1295" s="456"/>
    </row>
    <row r="1296" spans="1:8" ht="13.5" customHeight="1">
      <c r="A1296" s="456">
        <v>8292</v>
      </c>
      <c r="B1296" s="457" t="s">
        <v>4196</v>
      </c>
      <c r="C1296" s="456" t="s">
        <v>248</v>
      </c>
      <c r="D1296" s="456">
        <f>IF(Table11[[#This Row],[Current Age]]&gt;19,"Women's",IF(E1296&gt;15,"U19",IF(E1296&gt;13,"U15",IF(E1296&gt;11,"U13",IF(E1296&gt;0,"U11",0)))))</f>
        <v>0</v>
      </c>
      <c r="E1296" s="456">
        <f>IFERROR(IF(Table11[[#This Row],[Year]]&gt;0,$E$1-Table11[[#This Row],[Year]],0),"")</f>
        <v>0</v>
      </c>
      <c r="F1296" s="456"/>
      <c r="G1296" s="456"/>
      <c r="H1296" s="456"/>
    </row>
    <row r="1297" spans="1:8" ht="13.5" customHeight="1">
      <c r="A1297" s="471">
        <v>8293</v>
      </c>
      <c r="B1297" s="540" t="s">
        <v>4200</v>
      </c>
      <c r="C1297" s="471" t="s">
        <v>248</v>
      </c>
      <c r="D1297" s="456">
        <f>IF(Table11[[#This Row],[Current Age]]&gt;19,"Women's",IF(E1297&gt;15,"U19",IF(E1297&gt;13,"U15",IF(E1297&gt;11,"U13",IF(E1297&gt;0,"U11",0)))))</f>
        <v>0</v>
      </c>
      <c r="E1297" s="456">
        <f>IFERROR(IF(Table11[[#This Row],[Year]]&gt;0,$E$1-Table11[[#This Row],[Year]],0),"")</f>
        <v>0</v>
      </c>
      <c r="F1297" s="456"/>
      <c r="G1297" s="456"/>
      <c r="H1297" s="456"/>
    </row>
    <row r="1298" spans="1:8" ht="13.5" customHeight="1">
      <c r="A1298" s="456">
        <v>8294</v>
      </c>
      <c r="B1298" s="457" t="s">
        <v>4203</v>
      </c>
      <c r="C1298" s="456" t="s">
        <v>248</v>
      </c>
      <c r="D1298" s="456">
        <f>IF(Table11[[#This Row],[Current Age]]&gt;19,"Women's",IF(E1298&gt;15,"U19",IF(E1298&gt;13,"U15",IF(E1298&gt;11,"U13",IF(E1298&gt;0,"U11",0)))))</f>
        <v>0</v>
      </c>
      <c r="E1298" s="456">
        <f>IFERROR(IF(Table11[[#This Row],[Year]]&gt;0,$E$1-Table11[[#This Row],[Year]],0),"")</f>
        <v>0</v>
      </c>
      <c r="F1298" s="456"/>
      <c r="G1298" s="456"/>
      <c r="H1298" s="456"/>
    </row>
    <row r="1299" spans="1:8" ht="13.5" customHeight="1">
      <c r="A1299" s="471">
        <v>8295</v>
      </c>
      <c r="B1299" s="540" t="s">
        <v>4205</v>
      </c>
      <c r="C1299" s="471" t="s">
        <v>247</v>
      </c>
      <c r="D1299" s="456">
        <f>IF(Table11[[#This Row],[Current Age]]&gt;19,"Women's",IF(E1299&gt;15,"U19",IF(E1299&gt;13,"U15",IF(E1299&gt;11,"U13",IF(E1299&gt;0,"U11",0)))))</f>
        <v>0</v>
      </c>
      <c r="E1299" s="456">
        <f>IFERROR(IF(Table11[[#This Row],[Year]]&gt;0,$E$1-Table11[[#This Row],[Year]],0),"")</f>
        <v>0</v>
      </c>
      <c r="F1299" s="456"/>
      <c r="G1299" s="456"/>
      <c r="H1299" s="456"/>
    </row>
    <row r="1300" spans="1:8" ht="13.5" customHeight="1">
      <c r="A1300" s="456">
        <v>8296</v>
      </c>
      <c r="B1300" s="457" t="s">
        <v>4208</v>
      </c>
      <c r="C1300" s="456" t="s">
        <v>247</v>
      </c>
      <c r="D1300" s="456">
        <f>IF(Table11[[#This Row],[Current Age]]&gt;19,"Women's",IF(E1300&gt;15,"U19",IF(E1300&gt;13,"U15",IF(E1300&gt;11,"U13",IF(E1300&gt;0,"U11",0)))))</f>
        <v>0</v>
      </c>
      <c r="E1300" s="456">
        <f>IFERROR(IF(Table11[[#This Row],[Year]]&gt;0,$E$1-Table11[[#This Row],[Year]],0),"")</f>
        <v>0</v>
      </c>
      <c r="F1300" s="456"/>
      <c r="G1300" s="456"/>
      <c r="H1300" s="456"/>
    </row>
    <row r="1301" spans="1:8" ht="13.5" customHeight="1">
      <c r="A1301" s="471">
        <v>8297</v>
      </c>
      <c r="B1301" s="540" t="s">
        <v>4209</v>
      </c>
      <c r="C1301" s="471" t="s">
        <v>247</v>
      </c>
      <c r="D1301" s="456">
        <f>IF(Table11[[#This Row],[Current Age]]&gt;19,"Women's",IF(E1301&gt;15,"U19",IF(E1301&gt;13,"U15",IF(E1301&gt;11,"U13",IF(E1301&gt;0,"U11",0)))))</f>
        <v>0</v>
      </c>
      <c r="E1301" s="456">
        <f>IFERROR(IF(Table11[[#This Row],[Year]]&gt;0,$E$1-Table11[[#This Row],[Year]],0),"")</f>
        <v>0</v>
      </c>
      <c r="F1301" s="456"/>
      <c r="G1301" s="456"/>
      <c r="H1301" s="456"/>
    </row>
    <row r="1302" spans="1:8" ht="13.5" customHeight="1">
      <c r="A1302" s="456">
        <v>8298</v>
      </c>
      <c r="B1302" s="457" t="s">
        <v>5164</v>
      </c>
      <c r="C1302" s="456" t="s">
        <v>247</v>
      </c>
      <c r="D1302" s="456">
        <f>IF(Table11[[#This Row],[Current Age]]&gt;19,"Women's",IF(E1302&gt;15,"U19",IF(E1302&gt;13,"U15",IF(E1302&gt;11,"U13",IF(E1302&gt;0,"U11",0)))))</f>
        <v>0</v>
      </c>
      <c r="E1302" s="456">
        <f>IFERROR(IF(Table11[[#This Row],[Year]]&gt;0,$E$1-Table11[[#This Row],[Year]],0),"")</f>
        <v>0</v>
      </c>
      <c r="F1302" s="456"/>
      <c r="G1302" s="456"/>
      <c r="H1302" s="456"/>
    </row>
    <row r="1303" spans="1:8" ht="13.5" customHeight="1">
      <c r="A1303" s="471">
        <v>8299</v>
      </c>
      <c r="B1303" s="540" t="s">
        <v>4206</v>
      </c>
      <c r="C1303" s="471" t="s">
        <v>247</v>
      </c>
      <c r="D1303" s="456">
        <f>IF(Table11[[#This Row],[Current Age]]&gt;19,"Women's",IF(E1303&gt;15,"U19",IF(E1303&gt;13,"U15",IF(E1303&gt;11,"U13",IF(E1303&gt;0,"U11",0)))))</f>
        <v>0</v>
      </c>
      <c r="E1303" s="456">
        <f>IFERROR(IF(Table11[[#This Row],[Year]]&gt;0,$E$1-Table11[[#This Row],[Year]],0),"")</f>
        <v>0</v>
      </c>
      <c r="F1303" s="456"/>
      <c r="G1303" s="456"/>
      <c r="H1303" s="456"/>
    </row>
    <row r="1304" spans="1:8" ht="13.5" customHeight="1">
      <c r="A1304" s="456">
        <v>8300</v>
      </c>
      <c r="B1304" s="457" t="s">
        <v>4207</v>
      </c>
      <c r="C1304" s="456" t="s">
        <v>247</v>
      </c>
      <c r="D1304" s="456">
        <f>IF(Table11[[#This Row],[Current Age]]&gt;19,"Women's",IF(E1304&gt;15,"U19",IF(E1304&gt;13,"U15",IF(E1304&gt;11,"U13",IF(E1304&gt;0,"U11",0)))))</f>
        <v>0</v>
      </c>
      <c r="E1304" s="456">
        <f>IFERROR(IF(Table11[[#This Row],[Year]]&gt;0,$E$1-Table11[[#This Row],[Year]],0),"")</f>
        <v>0</v>
      </c>
      <c r="F1304" s="456"/>
      <c r="G1304" s="456"/>
      <c r="H1304" s="456"/>
    </row>
    <row r="1305" spans="1:8" ht="13.5" customHeight="1">
      <c r="A1305" s="471">
        <v>8301</v>
      </c>
      <c r="B1305" s="540" t="s">
        <v>4216</v>
      </c>
      <c r="C1305" s="471" t="s">
        <v>2857</v>
      </c>
      <c r="D1305" s="456">
        <f>IF(Table11[[#This Row],[Current Age]]&gt;19,"Women's",IF(E1305&gt;15,"U19",IF(E1305&gt;13,"U15",IF(E1305&gt;11,"U13",IF(E1305&gt;0,"U11",0)))))</f>
        <v>0</v>
      </c>
      <c r="E1305" s="456">
        <f>IFERROR(IF(Table11[[#This Row],[Year]]&gt;0,$E$1-Table11[[#This Row],[Year]],0),"")</f>
        <v>0</v>
      </c>
      <c r="F1305" s="456"/>
      <c r="G1305" s="456"/>
      <c r="H1305" s="456"/>
    </row>
    <row r="1306" spans="1:8" ht="13.5" customHeight="1">
      <c r="A1306" s="456">
        <v>8302</v>
      </c>
      <c r="B1306" s="457" t="s">
        <v>4217</v>
      </c>
      <c r="C1306" s="456" t="s">
        <v>2857</v>
      </c>
      <c r="D1306" s="456">
        <f>IF(Table11[[#This Row],[Current Age]]&gt;19,"Women's",IF(E1306&gt;15,"U19",IF(E1306&gt;13,"U15",IF(E1306&gt;11,"U13",IF(E1306&gt;0,"U11",0)))))</f>
        <v>0</v>
      </c>
      <c r="E1306" s="456">
        <f>IFERROR(IF(Table11[[#This Row],[Year]]&gt;0,$E$1-Table11[[#This Row],[Year]],0),"")</f>
        <v>0</v>
      </c>
      <c r="F1306" s="456"/>
      <c r="G1306" s="456"/>
      <c r="H1306" s="456"/>
    </row>
    <row r="1307" spans="1:8" ht="13.5" customHeight="1">
      <c r="A1307" s="471">
        <v>8303</v>
      </c>
      <c r="B1307" s="540" t="s">
        <v>4218</v>
      </c>
      <c r="C1307" s="471" t="s">
        <v>246</v>
      </c>
      <c r="D1307" s="456">
        <f>IF(Table11[[#This Row],[Current Age]]&gt;19,"Women's",IF(E1307&gt;15,"U19",IF(E1307&gt;13,"U15",IF(E1307&gt;11,"U13",IF(E1307&gt;0,"U11",0)))))</f>
        <v>0</v>
      </c>
      <c r="E1307" s="456">
        <f>IFERROR(IF(Table11[[#This Row],[Year]]&gt;0,$E$1-Table11[[#This Row],[Year]],0),"")</f>
        <v>0</v>
      </c>
      <c r="F1307" s="456"/>
      <c r="G1307" s="456"/>
      <c r="H1307" s="456"/>
    </row>
    <row r="1308" spans="1:8" ht="13.5" customHeight="1">
      <c r="A1308" s="456">
        <v>8304</v>
      </c>
      <c r="B1308" s="457" t="s">
        <v>4219</v>
      </c>
      <c r="C1308" s="456" t="s">
        <v>3615</v>
      </c>
      <c r="D1308" s="456">
        <f>IF(Table11[[#This Row],[Current Age]]&gt;19,"Women's",IF(E1308&gt;15,"U19",IF(E1308&gt;13,"U15",IF(E1308&gt;11,"U13",IF(E1308&gt;0,"U11",0)))))</f>
        <v>0</v>
      </c>
      <c r="E1308" s="456">
        <f>IFERROR(IF(Table11[[#This Row],[Year]]&gt;0,$E$1-Table11[[#This Row],[Year]],0),"")</f>
        <v>0</v>
      </c>
      <c r="F1308" s="456"/>
      <c r="G1308" s="456"/>
      <c r="H1308" s="456"/>
    </row>
    <row r="1309" spans="1:8" ht="13.5" customHeight="1">
      <c r="A1309" s="471">
        <v>8305</v>
      </c>
      <c r="B1309" s="540" t="s">
        <v>4220</v>
      </c>
      <c r="C1309" s="471" t="s">
        <v>3615</v>
      </c>
      <c r="D1309" s="456">
        <f>IF(Table11[[#This Row],[Current Age]]&gt;19,"Women's",IF(E1309&gt;15,"U19",IF(E1309&gt;13,"U15",IF(E1309&gt;11,"U13",IF(E1309&gt;0,"U11",0)))))</f>
        <v>0</v>
      </c>
      <c r="E1309" s="456">
        <f>IFERROR(IF(Table11[[#This Row],[Year]]&gt;0,$E$1-Table11[[#This Row],[Year]],0),"")</f>
        <v>0</v>
      </c>
      <c r="F1309" s="456"/>
      <c r="G1309" s="456"/>
      <c r="H1309" s="456"/>
    </row>
    <row r="1310" spans="1:8" ht="13.5" customHeight="1">
      <c r="A1310" s="456">
        <v>8306</v>
      </c>
      <c r="B1310" s="457" t="s">
        <v>4225</v>
      </c>
      <c r="C1310" s="456" t="s">
        <v>4720</v>
      </c>
      <c r="D1310" s="456">
        <f>IF(Table11[[#This Row],[Current Age]]&gt;19,"Women's",IF(E1310&gt;15,"U19",IF(E1310&gt;13,"U15",IF(E1310&gt;11,"U13",IF(E1310&gt;0,"U11",0)))))</f>
        <v>0</v>
      </c>
      <c r="E1310" s="456">
        <f>IFERROR(IF(Table11[[#This Row],[Year]]&gt;0,$E$1-Table11[[#This Row],[Year]],0),"")</f>
        <v>0</v>
      </c>
      <c r="F1310" s="456"/>
      <c r="G1310" s="456"/>
      <c r="H1310" s="456"/>
    </row>
    <row r="1311" spans="1:8" ht="13.5" customHeight="1">
      <c r="A1311" s="471">
        <v>8307</v>
      </c>
      <c r="B1311" s="540" t="s">
        <v>4226</v>
      </c>
      <c r="C1311" s="471" t="s">
        <v>4720</v>
      </c>
      <c r="D1311" s="456" t="str">
        <f>IF(Table11[[#This Row],[Current Age]]&gt;19,"Women's",IF(E1311&gt;15,"U19",IF(E1311&gt;13,"U15",IF(E1311&gt;11,"U13",IF(E1311&gt;0,"U11",0)))))</f>
        <v>U13</v>
      </c>
      <c r="E1311" s="456">
        <f>IFERROR(IF(Table11[[#This Row],[Year]]&gt;0,$E$1-Table11[[#This Row],[Year]],0),"")</f>
        <v>13</v>
      </c>
      <c r="F1311" s="456">
        <v>2012</v>
      </c>
      <c r="G1311" s="456">
        <v>3</v>
      </c>
      <c r="H1311" s="456">
        <v>19</v>
      </c>
    </row>
    <row r="1312" spans="1:8" ht="13.5" customHeight="1">
      <c r="A1312" s="456">
        <v>8308</v>
      </c>
      <c r="B1312" s="457" t="s">
        <v>4227</v>
      </c>
      <c r="C1312" s="456" t="s">
        <v>4720</v>
      </c>
      <c r="D1312" s="456">
        <f>IF(Table11[[#This Row],[Current Age]]&gt;19,"Women's",IF(E1312&gt;15,"U19",IF(E1312&gt;13,"U15",IF(E1312&gt;11,"U13",IF(E1312&gt;0,"U11",0)))))</f>
        <v>0</v>
      </c>
      <c r="E1312" s="456">
        <f>IFERROR(IF(Table11[[#This Row],[Year]]&gt;0,$E$1-Table11[[#This Row],[Year]],0),"")</f>
        <v>0</v>
      </c>
      <c r="F1312" s="456"/>
      <c r="G1312" s="456"/>
      <c r="H1312" s="456"/>
    </row>
    <row r="1313" spans="1:8" ht="13.5" customHeight="1">
      <c r="A1313" s="471">
        <v>8309</v>
      </c>
      <c r="B1313" s="540" t="s">
        <v>4243</v>
      </c>
      <c r="C1313" s="471" t="s">
        <v>247</v>
      </c>
      <c r="D1313" s="456" t="str">
        <f>IF(Table11[[#This Row],[Current Age]]&gt;19,"Women's",IF(E1313&gt;15,"U19",IF(E1313&gt;13,"U15",IF(E1313&gt;11,"U13",IF(E1313&gt;0,"U11",0)))))</f>
        <v>U11</v>
      </c>
      <c r="E1313" s="456">
        <f>IFERROR(IF(Table11[[#This Row],[Year]]&gt;0,$E$1-Table11[[#This Row],[Year]],0),"")</f>
        <v>10</v>
      </c>
      <c r="F1313" s="456" t="s">
        <v>4247</v>
      </c>
      <c r="G1313" s="456" t="s">
        <v>4248</v>
      </c>
      <c r="H1313" s="456" t="s">
        <v>4249</v>
      </c>
    </row>
    <row r="1314" spans="1:8" ht="13.5" customHeight="1">
      <c r="A1314" s="456">
        <v>8310</v>
      </c>
      <c r="B1314" s="457" t="s">
        <v>4244</v>
      </c>
      <c r="C1314" s="456" t="s">
        <v>247</v>
      </c>
      <c r="D1314" s="456" t="str">
        <f>IF(Table11[[#This Row],[Current Age]]&gt;19,"Women's",IF(E1314&gt;15,"U19",IF(E1314&gt;13,"U15",IF(E1314&gt;11,"U13",IF(E1314&gt;0,"U11",0)))))</f>
        <v>U11</v>
      </c>
      <c r="E1314" s="456">
        <f>IFERROR(IF(Table11[[#This Row],[Year]]&gt;0,$E$1-Table11[[#This Row],[Year]],0),"")</f>
        <v>10</v>
      </c>
      <c r="F1314" s="456" t="s">
        <v>4247</v>
      </c>
      <c r="G1314" s="456" t="s">
        <v>4250</v>
      </c>
      <c r="H1314" s="456" t="s">
        <v>4251</v>
      </c>
    </row>
    <row r="1315" spans="1:8" ht="13.5" customHeight="1">
      <c r="A1315" s="471">
        <v>8311</v>
      </c>
      <c r="B1315" s="540" t="s">
        <v>4245</v>
      </c>
      <c r="C1315" s="471" t="s">
        <v>247</v>
      </c>
      <c r="D1315" s="456" t="str">
        <f>IF(Table11[[#This Row],[Current Age]]&gt;19,"Women's",IF(E1315&gt;15,"U19",IF(E1315&gt;13,"U15",IF(E1315&gt;11,"U13",IF(E1315&gt;0,"U11",0)))))</f>
        <v>U13</v>
      </c>
      <c r="E1315" s="456">
        <f>IFERROR(IF(Table11[[#This Row],[Year]]&gt;0,$E$1-Table11[[#This Row],[Year]],0),"")</f>
        <v>12</v>
      </c>
      <c r="F1315" s="456" t="s">
        <v>4252</v>
      </c>
      <c r="G1315" s="456" t="s">
        <v>4253</v>
      </c>
      <c r="H1315" s="456" t="s">
        <v>4254</v>
      </c>
    </row>
    <row r="1316" spans="1:8" ht="13.5" customHeight="1">
      <c r="A1316" s="456">
        <v>8312</v>
      </c>
      <c r="B1316" s="457" t="s">
        <v>4246</v>
      </c>
      <c r="C1316" s="456" t="s">
        <v>247</v>
      </c>
      <c r="D1316" s="456" t="str">
        <f>IF(Table11[[#This Row],[Current Age]]&gt;19,"Women's",IF(E1316&gt;15,"U19",IF(E1316&gt;13,"U15",IF(E1316&gt;11,"U13",IF(E1316&gt;0,"U11",0)))))</f>
        <v>U11</v>
      </c>
      <c r="E1316" s="456">
        <f>IFERROR(IF(Table11[[#This Row],[Year]]&gt;0,$E$1-Table11[[#This Row],[Year]],0),"")</f>
        <v>10</v>
      </c>
      <c r="F1316" s="456" t="s">
        <v>4247</v>
      </c>
      <c r="G1316" s="456" t="s">
        <v>4255</v>
      </c>
      <c r="H1316" s="456" t="s">
        <v>4256</v>
      </c>
    </row>
    <row r="1317" spans="1:8" ht="13.5" customHeight="1">
      <c r="A1317" s="471">
        <v>8313</v>
      </c>
      <c r="B1317" s="540" t="s">
        <v>4257</v>
      </c>
      <c r="C1317" s="471" t="s">
        <v>247</v>
      </c>
      <c r="D1317" s="456" t="str">
        <f>IF(Table11[[#This Row],[Current Age]]&gt;19,"Women's",IF(E1317&gt;15,"U19",IF(E1317&gt;13,"U15",IF(E1317&gt;11,"U13",IF(E1317&gt;0,"U11",0)))))</f>
        <v>U15</v>
      </c>
      <c r="E1317" s="456">
        <f>IFERROR(IF(Table11[[#This Row],[Year]]&gt;0,$E$1-Table11[[#This Row],[Year]],0),"")</f>
        <v>14</v>
      </c>
      <c r="F1317" s="456" t="s">
        <v>4261</v>
      </c>
      <c r="G1317" s="456" t="s">
        <v>4255</v>
      </c>
      <c r="H1317" s="456" t="s">
        <v>4253</v>
      </c>
    </row>
    <row r="1318" spans="1:8" ht="13.5" customHeight="1">
      <c r="A1318" s="456">
        <v>8314</v>
      </c>
      <c r="B1318" s="457" t="s">
        <v>4258</v>
      </c>
      <c r="C1318" s="456" t="s">
        <v>247</v>
      </c>
      <c r="D1318" s="456" t="str">
        <f>IF(Table11[[#This Row],[Current Age]]&gt;19,"Women's",IF(E1318&gt;15,"U19",IF(E1318&gt;13,"U15",IF(E1318&gt;11,"U13",IF(E1318&gt;0,"U11",0)))))</f>
        <v>U13</v>
      </c>
      <c r="E1318" s="456">
        <f>IFERROR(IF(Table11[[#This Row],[Year]]&gt;0,$E$1-Table11[[#This Row],[Year]],0),"")</f>
        <v>13</v>
      </c>
      <c r="F1318" s="456" t="s">
        <v>4262</v>
      </c>
      <c r="G1318" s="456" t="s">
        <v>4263</v>
      </c>
      <c r="H1318" s="456" t="s">
        <v>4264</v>
      </c>
    </row>
    <row r="1319" spans="1:8" ht="13.5" customHeight="1">
      <c r="A1319" s="471">
        <v>8315</v>
      </c>
      <c r="B1319" s="540" t="s">
        <v>4259</v>
      </c>
      <c r="C1319" s="471" t="s">
        <v>247</v>
      </c>
      <c r="D1319" s="456" t="str">
        <f>IF(Table11[[#This Row],[Current Age]]&gt;19,"Women's",IF(E1319&gt;15,"U19",IF(E1319&gt;13,"U15",IF(E1319&gt;11,"U13",IF(E1319&gt;0,"U11",0)))))</f>
        <v>U15</v>
      </c>
      <c r="E1319" s="456">
        <f>IFERROR(IF(Table11[[#This Row],[Year]]&gt;0,$E$1-Table11[[#This Row],[Year]],0),"")</f>
        <v>15</v>
      </c>
      <c r="F1319" s="456" t="s">
        <v>4265</v>
      </c>
      <c r="G1319" s="456" t="s">
        <v>4266</v>
      </c>
      <c r="H1319" s="456" t="s">
        <v>4267</v>
      </c>
    </row>
    <row r="1320" spans="1:8" ht="13.5" customHeight="1">
      <c r="A1320" s="456">
        <v>8316</v>
      </c>
      <c r="B1320" s="457" t="s">
        <v>4260</v>
      </c>
      <c r="C1320" s="456" t="s">
        <v>247</v>
      </c>
      <c r="D1320" s="456" t="str">
        <f>IF(Table11[[#This Row],[Current Age]]&gt;19,"Women's",IF(E1320&gt;15,"U19",IF(E1320&gt;13,"U15",IF(E1320&gt;11,"U13",IF(E1320&gt;0,"U11",0)))))</f>
        <v>U15</v>
      </c>
      <c r="E1320" s="456">
        <f>IFERROR(IF(Table11[[#This Row],[Year]]&gt;0,$E$1-Table11[[#This Row],[Year]],0),"")</f>
        <v>14</v>
      </c>
      <c r="F1320" s="456" t="s">
        <v>4261</v>
      </c>
      <c r="G1320" s="456" t="s">
        <v>4268</v>
      </c>
      <c r="H1320" s="456" t="s">
        <v>4254</v>
      </c>
    </row>
    <row r="1321" spans="1:8" ht="13.5" customHeight="1">
      <c r="A1321" s="471">
        <v>8317</v>
      </c>
      <c r="B1321" s="540" t="s">
        <v>4269</v>
      </c>
      <c r="C1321" s="471" t="s">
        <v>247</v>
      </c>
      <c r="D1321" s="456" t="str">
        <f>IF(Table11[[#This Row],[Current Age]]&gt;19,"Women's",IF(E1321&gt;15,"U19",IF(E1321&gt;13,"U15",IF(E1321&gt;11,"U13",IF(E1321&gt;0,"U11",0)))))</f>
        <v>U19</v>
      </c>
      <c r="E1321" s="456">
        <f>IFERROR(IF(Table11[[#This Row],[Year]]&gt;0,$E$1-Table11[[#This Row],[Year]],0),"")</f>
        <v>16</v>
      </c>
      <c r="F1321" s="456" t="s">
        <v>4270</v>
      </c>
      <c r="G1321" s="456" t="s">
        <v>4253</v>
      </c>
      <c r="H1321" s="456" t="s">
        <v>4250</v>
      </c>
    </row>
    <row r="1322" spans="1:8" ht="13.5" customHeight="1">
      <c r="A1322" s="456">
        <v>8318</v>
      </c>
      <c r="B1322" s="457" t="s">
        <v>4271</v>
      </c>
      <c r="C1322" s="456" t="s">
        <v>247</v>
      </c>
      <c r="D1322" s="456" t="str">
        <f>IF(Table11[[#This Row],[Current Age]]&gt;19,"Women's",IF(E1322&gt;15,"U19",IF(E1322&gt;13,"U15",IF(E1322&gt;11,"U13",IF(E1322&gt;0,"U11",0)))))</f>
        <v>Women's</v>
      </c>
      <c r="E1322" s="456">
        <f>IFERROR(IF(Table11[[#This Row],[Year]]&gt;0,$E$1-Table11[[#This Row],[Year]],0),"")</f>
        <v>42</v>
      </c>
      <c r="F1322" s="456">
        <v>1983</v>
      </c>
      <c r="G1322" s="456">
        <v>4</v>
      </c>
      <c r="H1322" s="456">
        <v>2</v>
      </c>
    </row>
    <row r="1323" spans="1:8" ht="13.5" customHeight="1">
      <c r="A1323" s="471">
        <v>8319</v>
      </c>
      <c r="B1323" s="540" t="s">
        <v>4310</v>
      </c>
      <c r="C1323" s="471" t="s">
        <v>247</v>
      </c>
      <c r="D1323" s="456" t="str">
        <f>IF(Table11[[#This Row],[Current Age]]&gt;19,"Women's",IF(E1323&gt;15,"U19",IF(E1323&gt;13,"U15",IF(E1323&gt;11,"U13",IF(E1323&gt;0,"U11",0)))))</f>
        <v>Women's</v>
      </c>
      <c r="E1323" s="456">
        <f>IFERROR(IF(Table11[[#This Row],[Year]]&gt;0,$E$1-Table11[[#This Row],[Year]],0),"")</f>
        <v>22</v>
      </c>
      <c r="F1323" s="456">
        <v>2003</v>
      </c>
      <c r="G1323" s="456" t="s">
        <v>4279</v>
      </c>
      <c r="H1323" s="456" t="s">
        <v>4323</v>
      </c>
    </row>
    <row r="1324" spans="1:8" ht="13.5" customHeight="1">
      <c r="A1324" s="456">
        <v>8320</v>
      </c>
      <c r="B1324" s="457" t="s">
        <v>4311</v>
      </c>
      <c r="C1324" s="456" t="s">
        <v>247</v>
      </c>
      <c r="D1324" s="456" t="str">
        <f>IF(Table11[[#This Row],[Current Age]]&gt;19,"Women's",IF(E1324&gt;15,"U19",IF(E1324&gt;13,"U15",IF(E1324&gt;11,"U13",IF(E1324&gt;0,"U11",0)))))</f>
        <v>Women's</v>
      </c>
      <c r="E1324" s="456">
        <f>IFERROR(IF(Table11[[#This Row],[Year]]&gt;0,$E$1-Table11[[#This Row],[Year]],0),"")</f>
        <v>27</v>
      </c>
      <c r="F1324" s="456">
        <v>1998</v>
      </c>
      <c r="G1324" s="456" t="s">
        <v>4268</v>
      </c>
      <c r="H1324" s="456" t="s">
        <v>4264</v>
      </c>
    </row>
    <row r="1325" spans="1:8" ht="13.5" customHeight="1">
      <c r="A1325" s="471">
        <v>8321</v>
      </c>
      <c r="B1325" s="540" t="s">
        <v>4312</v>
      </c>
      <c r="C1325" s="471" t="s">
        <v>247</v>
      </c>
      <c r="D1325" s="456" t="str">
        <f>IF(Table11[[#This Row],[Current Age]]&gt;19,"Women's",IF(E1325&gt;15,"U19",IF(E1325&gt;13,"U15",IF(E1325&gt;11,"U13",IF(E1325&gt;0,"U11",0)))))</f>
        <v>Women's</v>
      </c>
      <c r="E1325" s="456">
        <f>IFERROR(IF(Table11[[#This Row],[Year]]&gt;0,$E$1-Table11[[#This Row],[Year]],0),"")</f>
        <v>25</v>
      </c>
      <c r="F1325" s="456">
        <v>2000</v>
      </c>
      <c r="G1325" s="456" t="s">
        <v>4305</v>
      </c>
      <c r="H1325" s="456" t="s">
        <v>4302</v>
      </c>
    </row>
    <row r="1326" spans="1:8" ht="13.5" customHeight="1">
      <c r="A1326" s="456">
        <v>8322</v>
      </c>
      <c r="B1326" s="457" t="s">
        <v>5165</v>
      </c>
      <c r="C1326" s="456" t="s">
        <v>247</v>
      </c>
      <c r="D1326" s="456" t="str">
        <f>IF(Table11[[#This Row],[Current Age]]&gt;19,"Women's",IF(E1326&gt;15,"U19",IF(E1326&gt;13,"U15",IF(E1326&gt;11,"U13",IF(E1326&gt;0,"U11",0)))))</f>
        <v>Women's</v>
      </c>
      <c r="E1326" s="456">
        <f>IFERROR(IF(Table11[[#This Row],[Year]]&gt;0,$E$1-Table11[[#This Row],[Year]],0),"")</f>
        <v>25</v>
      </c>
      <c r="F1326" s="456">
        <v>2000</v>
      </c>
      <c r="G1326" s="456" t="s">
        <v>4255</v>
      </c>
      <c r="H1326" s="456" t="s">
        <v>4302</v>
      </c>
    </row>
    <row r="1327" spans="1:8" ht="13.5" customHeight="1">
      <c r="A1327" s="471">
        <v>8323</v>
      </c>
      <c r="B1327" s="540" t="s">
        <v>4313</v>
      </c>
      <c r="C1327" s="471" t="s">
        <v>247</v>
      </c>
      <c r="D1327" s="456" t="str">
        <f>IF(Table11[[#This Row],[Current Age]]&gt;19,"Women's",IF(E1327&gt;15,"U19",IF(E1327&gt;13,"U15",IF(E1327&gt;11,"U13",IF(E1327&gt;0,"U11",0)))))</f>
        <v>Women's</v>
      </c>
      <c r="E1327" s="456">
        <f>IFERROR(IF(Table11[[#This Row],[Year]]&gt;0,$E$1-Table11[[#This Row],[Year]],0),"")</f>
        <v>27</v>
      </c>
      <c r="F1327" s="456">
        <v>1998</v>
      </c>
      <c r="G1327" s="456" t="s">
        <v>4268</v>
      </c>
      <c r="H1327" s="456" t="s">
        <v>4249</v>
      </c>
    </row>
    <row r="1328" spans="1:8" ht="13.5" customHeight="1">
      <c r="A1328" s="456">
        <v>8324</v>
      </c>
      <c r="B1328" s="457" t="s">
        <v>4314</v>
      </c>
      <c r="C1328" s="456" t="s">
        <v>247</v>
      </c>
      <c r="D1328" s="456" t="str">
        <f>IF(Table11[[#This Row],[Current Age]]&gt;19,"Women's",IF(E1328&gt;15,"U19",IF(E1328&gt;13,"U15",IF(E1328&gt;11,"U13",IF(E1328&gt;0,"U11",0)))))</f>
        <v>U19</v>
      </c>
      <c r="E1328" s="456">
        <f>IFERROR(IF(Table11[[#This Row],[Year]]&gt;0,$E$1-Table11[[#This Row],[Year]],0),"")</f>
        <v>16</v>
      </c>
      <c r="F1328" s="456">
        <v>2009</v>
      </c>
      <c r="G1328" s="456" t="s">
        <v>4279</v>
      </c>
      <c r="H1328" s="456" t="s">
        <v>4307</v>
      </c>
    </row>
    <row r="1329" spans="1:8" ht="13.5" customHeight="1">
      <c r="A1329" s="471">
        <v>8325</v>
      </c>
      <c r="B1329" s="540" t="s">
        <v>4315</v>
      </c>
      <c r="C1329" s="471" t="s">
        <v>247</v>
      </c>
      <c r="D1329" s="456" t="str">
        <f>IF(Table11[[#This Row],[Current Age]]&gt;19,"Women's",IF(E1329&gt;15,"U19",IF(E1329&gt;13,"U15",IF(E1329&gt;11,"U13",IF(E1329&gt;0,"U11",0)))))</f>
        <v>U13</v>
      </c>
      <c r="E1329" s="456">
        <f>IFERROR(IF(Table11[[#This Row],[Year]]&gt;0,$E$1-Table11[[#This Row],[Year]],0),"")</f>
        <v>12</v>
      </c>
      <c r="F1329" s="456">
        <v>2013</v>
      </c>
      <c r="G1329" s="456" t="s">
        <v>4268</v>
      </c>
      <c r="H1329" s="456" t="s">
        <v>4323</v>
      </c>
    </row>
    <row r="1330" spans="1:8" ht="13.5" customHeight="1">
      <c r="A1330" s="456">
        <v>8326</v>
      </c>
      <c r="B1330" s="457" t="s">
        <v>4316</v>
      </c>
      <c r="C1330" s="456" t="s">
        <v>247</v>
      </c>
      <c r="D1330" s="456" t="str">
        <f>IF(Table11[[#This Row],[Current Age]]&gt;19,"Women's",IF(E1330&gt;15,"U19",IF(E1330&gt;13,"U15",IF(E1330&gt;11,"U13",IF(E1330&gt;0,"U11",0)))))</f>
        <v>U13</v>
      </c>
      <c r="E1330" s="456">
        <f>IFERROR(IF(Table11[[#This Row],[Year]]&gt;0,$E$1-Table11[[#This Row],[Year]],0),"")</f>
        <v>12</v>
      </c>
      <c r="F1330" s="456">
        <v>2013</v>
      </c>
      <c r="G1330" s="456" t="s">
        <v>4256</v>
      </c>
      <c r="H1330" s="456" t="s">
        <v>4255</v>
      </c>
    </row>
    <row r="1331" spans="1:8" ht="13.5" customHeight="1">
      <c r="A1331" s="471">
        <v>8327</v>
      </c>
      <c r="B1331" s="540" t="s">
        <v>4317</v>
      </c>
      <c r="C1331" s="471" t="s">
        <v>247</v>
      </c>
      <c r="D1331" s="456" t="str">
        <f>IF(Table11[[#This Row],[Current Age]]&gt;19,"Women's",IF(E1331&gt;15,"U19",IF(E1331&gt;13,"U15",IF(E1331&gt;11,"U13",IF(E1331&gt;0,"U11",0)))))</f>
        <v>U15</v>
      </c>
      <c r="E1331" s="456">
        <f>IFERROR(IF(Table11[[#This Row],[Year]]&gt;0,$E$1-Table11[[#This Row],[Year]],0),"")</f>
        <v>14</v>
      </c>
      <c r="F1331" s="456">
        <v>2011</v>
      </c>
      <c r="G1331" s="456" t="s">
        <v>4263</v>
      </c>
      <c r="H1331" s="456" t="s">
        <v>4306</v>
      </c>
    </row>
    <row r="1332" spans="1:8" ht="13.5" customHeight="1">
      <c r="A1332" s="456">
        <v>8328</v>
      </c>
      <c r="B1332" s="457" t="s">
        <v>4318</v>
      </c>
      <c r="C1332" s="456" t="s">
        <v>247</v>
      </c>
      <c r="D1332" s="456" t="str">
        <f>IF(Table11[[#This Row],[Current Age]]&gt;19,"Women's",IF(E1332&gt;15,"U19",IF(E1332&gt;13,"U15",IF(E1332&gt;11,"U13",IF(E1332&gt;0,"U11",0)))))</f>
        <v>U15</v>
      </c>
      <c r="E1332" s="456">
        <f>IFERROR(IF(Table11[[#This Row],[Year]]&gt;0,$E$1-Table11[[#This Row],[Year]],0),"")</f>
        <v>14</v>
      </c>
      <c r="F1332" s="456">
        <v>2011</v>
      </c>
      <c r="G1332" s="456" t="s">
        <v>4266</v>
      </c>
      <c r="H1332" s="456" t="s">
        <v>4279</v>
      </c>
    </row>
    <row r="1333" spans="1:8" ht="13.5" customHeight="1">
      <c r="A1333" s="471">
        <v>8329</v>
      </c>
      <c r="B1333" s="540" t="s">
        <v>4319</v>
      </c>
      <c r="C1333" s="471" t="s">
        <v>247</v>
      </c>
      <c r="D1333" s="456" t="str">
        <f>IF(Table11[[#This Row],[Current Age]]&gt;19,"Women's",IF(E1333&gt;15,"U19",IF(E1333&gt;13,"U15",IF(E1333&gt;11,"U13",IF(E1333&gt;0,"U11",0)))))</f>
        <v>U11</v>
      </c>
      <c r="E1333" s="456">
        <f>IFERROR(IF(Table11[[#This Row],[Year]]&gt;0,$E$1-Table11[[#This Row],[Year]],0),"")</f>
        <v>11</v>
      </c>
      <c r="F1333" s="456">
        <v>2014</v>
      </c>
      <c r="G1333" s="456" t="s">
        <v>4280</v>
      </c>
      <c r="H1333" s="456" t="s">
        <v>4307</v>
      </c>
    </row>
    <row r="1334" spans="1:8" ht="13.5" customHeight="1">
      <c r="A1334" s="456">
        <v>8330</v>
      </c>
      <c r="B1334" s="457" t="s">
        <v>5166</v>
      </c>
      <c r="C1334" s="456" t="s">
        <v>247</v>
      </c>
      <c r="D1334" s="456" t="str">
        <f>IF(Table11[[#This Row],[Current Age]]&gt;19,"Women's",IF(E1334&gt;15,"U19",IF(E1334&gt;13,"U15",IF(E1334&gt;11,"U13",IF(E1334&gt;0,"U11",0)))))</f>
        <v>U13</v>
      </c>
      <c r="E1334" s="456">
        <f>IFERROR(IF(Table11[[#This Row],[Year]]&gt;0,$E$1-Table11[[#This Row],[Year]],0),"")</f>
        <v>13</v>
      </c>
      <c r="F1334" s="456">
        <v>2012</v>
      </c>
      <c r="G1334" s="456" t="s">
        <v>4256</v>
      </c>
      <c r="H1334" s="456" t="s">
        <v>4323</v>
      </c>
    </row>
    <row r="1335" spans="1:8" ht="13.5" customHeight="1">
      <c r="A1335" s="471">
        <v>8331</v>
      </c>
      <c r="B1335" s="540" t="s">
        <v>4320</v>
      </c>
      <c r="C1335" s="471" t="s">
        <v>247</v>
      </c>
      <c r="D1335" s="456" t="str">
        <f>IF(Table11[[#This Row],[Current Age]]&gt;19,"Women's",IF(E1335&gt;15,"U19",IF(E1335&gt;13,"U15",IF(E1335&gt;11,"U13",IF(E1335&gt;0,"U11",0)))))</f>
        <v>U13</v>
      </c>
      <c r="E1335" s="456">
        <f>IFERROR(IF(Table11[[#This Row],[Year]]&gt;0,$E$1-Table11[[#This Row],[Year]],0),"")</f>
        <v>12</v>
      </c>
      <c r="F1335" s="456">
        <v>2013</v>
      </c>
      <c r="G1335" s="456" t="s">
        <v>4253</v>
      </c>
      <c r="H1335" s="456" t="s">
        <v>4303</v>
      </c>
    </row>
    <row r="1336" spans="1:8" ht="13.5" customHeight="1">
      <c r="A1336" s="456">
        <v>8332</v>
      </c>
      <c r="B1336" s="457" t="s">
        <v>4321</v>
      </c>
      <c r="C1336" s="456" t="s">
        <v>247</v>
      </c>
      <c r="D1336" s="456" t="str">
        <f>IF(Table11[[#This Row],[Current Age]]&gt;19,"Women's",IF(E1336&gt;15,"U19",IF(E1336&gt;13,"U15",IF(E1336&gt;11,"U13",IF(E1336&gt;0,"U11",0)))))</f>
        <v>U15</v>
      </c>
      <c r="E1336" s="456">
        <f>IFERROR(IF(Table11[[#This Row],[Year]]&gt;0,$E$1-Table11[[#This Row],[Year]],0),"")</f>
        <v>14</v>
      </c>
      <c r="F1336" s="456">
        <v>2011</v>
      </c>
      <c r="G1336" s="456" t="s">
        <v>4266</v>
      </c>
      <c r="H1336" s="456" t="s">
        <v>4248</v>
      </c>
    </row>
    <row r="1337" spans="1:8" ht="13.5" customHeight="1">
      <c r="A1337" s="471">
        <v>8333</v>
      </c>
      <c r="B1337" s="540" t="s">
        <v>4322</v>
      </c>
      <c r="C1337" s="471" t="s">
        <v>247</v>
      </c>
      <c r="D1337" s="456" t="str">
        <f>IF(Table11[[#This Row],[Current Age]]&gt;19,"Women's",IF(E1337&gt;15,"U19",IF(E1337&gt;13,"U15",IF(E1337&gt;11,"U13",IF(E1337&gt;0,"U11",0)))))</f>
        <v>U15</v>
      </c>
      <c r="E1337" s="456">
        <f>IFERROR(IF(Table11[[#This Row],[Year]]&gt;0,$E$1-Table11[[#This Row],[Year]],0),"")</f>
        <v>14</v>
      </c>
      <c r="F1337" s="456">
        <v>2011</v>
      </c>
      <c r="G1337" s="456" t="s">
        <v>4263</v>
      </c>
      <c r="H1337" s="456" t="s">
        <v>4256</v>
      </c>
    </row>
    <row r="1338" spans="1:8" ht="13.5" customHeight="1">
      <c r="A1338" s="456">
        <v>8334</v>
      </c>
      <c r="B1338" s="457" t="s">
        <v>4486</v>
      </c>
      <c r="C1338" s="456" t="s">
        <v>247</v>
      </c>
      <c r="D1338" s="456" t="str">
        <f>IF(Table11[[#This Row],[Current Age]]&gt;19,"Women's",IF(E1338&gt;15,"U19",IF(E1338&gt;13,"U15",IF(E1338&gt;11,"U13",IF(E1338&gt;0,"U11",0)))))</f>
        <v>U15</v>
      </c>
      <c r="E1338" s="456">
        <f>IFERROR(IF(Table11[[#This Row],[Year]]&gt;0,$E$1-Table11[[#This Row],[Year]],0),"")</f>
        <v>14</v>
      </c>
      <c r="F1338" s="456">
        <v>2011</v>
      </c>
      <c r="G1338" s="456">
        <v>6</v>
      </c>
      <c r="H1338" s="456">
        <v>11</v>
      </c>
    </row>
    <row r="1339" spans="1:8" ht="13.5" customHeight="1">
      <c r="A1339" s="471">
        <v>8335</v>
      </c>
      <c r="B1339" s="540" t="s">
        <v>4324</v>
      </c>
      <c r="C1339" s="471" t="s">
        <v>247</v>
      </c>
      <c r="D1339" s="456" t="str">
        <f>IF(Table11[[#This Row],[Current Age]]&gt;19,"Women's",IF(E1339&gt;15,"U19",IF(E1339&gt;13,"U15",IF(E1339&gt;11,"U13",IF(E1339&gt;0,"U11",0)))))</f>
        <v>U15</v>
      </c>
      <c r="E1339" s="456">
        <f>IFERROR(IF(Table11[[#This Row],[Year]]&gt;0,$E$1-Table11[[#This Row],[Year]],0),"")</f>
        <v>14</v>
      </c>
      <c r="F1339" s="456">
        <v>2011</v>
      </c>
      <c r="G1339" s="456">
        <v>12</v>
      </c>
      <c r="H1339" s="456">
        <v>29</v>
      </c>
    </row>
    <row r="1340" spans="1:8" ht="13.5" customHeight="1">
      <c r="A1340" s="456">
        <v>8336</v>
      </c>
      <c r="B1340" s="457" t="s">
        <v>4350</v>
      </c>
      <c r="C1340" s="456" t="s">
        <v>243</v>
      </c>
      <c r="D1340" s="456" t="str">
        <f>IF(Table11[[#This Row],[Current Age]]&gt;19,"Women's",IF(E1340&gt;15,"U19",IF(E1340&gt;13,"U15",IF(E1340&gt;11,"U13",IF(E1340&gt;0,"U11",0)))))</f>
        <v>U19</v>
      </c>
      <c r="E1340" s="456">
        <f>IFERROR(IF(Table11[[#This Row],[Year]]&gt;0,$E$1-Table11[[#This Row],[Year]],0),"")</f>
        <v>17</v>
      </c>
      <c r="F1340" s="456">
        <v>2008</v>
      </c>
      <c r="G1340" s="456">
        <v>3</v>
      </c>
      <c r="H1340" s="456">
        <v>12</v>
      </c>
    </row>
    <row r="1341" spans="1:8" ht="13.5" customHeight="1">
      <c r="A1341" s="471">
        <v>8337</v>
      </c>
      <c r="B1341" s="540" t="s">
        <v>4351</v>
      </c>
      <c r="C1341" s="471" t="s">
        <v>244</v>
      </c>
      <c r="D1341" s="456">
        <f>IF(Table11[[#This Row],[Current Age]]&gt;19,"Women's",IF(E1341&gt;15,"U19",IF(E1341&gt;13,"U15",IF(E1341&gt;11,"U13",IF(E1341&gt;0,"U11",0)))))</f>
        <v>0</v>
      </c>
      <c r="E1341" s="456">
        <f>IFERROR(IF(Table11[[#This Row],[Year]]&gt;0,$E$1-Table11[[#This Row],[Year]],0),"")</f>
        <v>0</v>
      </c>
      <c r="F1341" s="456"/>
      <c r="G1341" s="456"/>
      <c r="H1341" s="456"/>
    </row>
    <row r="1342" spans="1:8" ht="13.5" customHeight="1">
      <c r="A1342" s="456">
        <v>8338</v>
      </c>
      <c r="B1342" s="457" t="s">
        <v>4360</v>
      </c>
      <c r="C1342" s="456" t="s">
        <v>243</v>
      </c>
      <c r="D1342" s="456">
        <f>IF(Table11[[#This Row],[Current Age]]&gt;19,"Women's",IF(E1342&gt;15,"U19",IF(E1342&gt;13,"U15",IF(E1342&gt;11,"U13",IF(E1342&gt;0,"U11",0)))))</f>
        <v>0</v>
      </c>
      <c r="E1342" s="456">
        <f>IFERROR(IF(Table11[[#This Row],[Year]]&gt;0,$E$1-Table11[[#This Row],[Year]],0),"")</f>
        <v>0</v>
      </c>
      <c r="F1342" s="456"/>
      <c r="G1342" s="456"/>
      <c r="H1342" s="456"/>
    </row>
    <row r="1343" spans="1:8" ht="13.5" customHeight="1">
      <c r="A1343" s="471">
        <v>8339</v>
      </c>
      <c r="B1343" s="540" t="s">
        <v>4367</v>
      </c>
      <c r="C1343" s="471" t="s">
        <v>4720</v>
      </c>
      <c r="D1343" s="456">
        <f>IF(Table11[[#This Row],[Current Age]]&gt;19,"Women's",IF(E1343&gt;15,"U19",IF(E1343&gt;13,"U15",IF(E1343&gt;11,"U13",IF(E1343&gt;0,"U11",0)))))</f>
        <v>0</v>
      </c>
      <c r="E1343" s="456">
        <f>IFERROR(IF(Table11[[#This Row],[Year]]&gt;0,$E$1-Table11[[#This Row],[Year]],0),"")</f>
        <v>0</v>
      </c>
      <c r="F1343" s="456"/>
      <c r="G1343" s="456"/>
      <c r="H1343" s="456"/>
    </row>
    <row r="1344" spans="1:8" ht="13.5" customHeight="1">
      <c r="A1344" s="456">
        <v>8340</v>
      </c>
      <c r="B1344" s="457" t="s">
        <v>4371</v>
      </c>
      <c r="C1344" s="456" t="s">
        <v>4720</v>
      </c>
      <c r="D1344" s="456">
        <f>IF(Table11[[#This Row],[Current Age]]&gt;19,"Women's",IF(E1344&gt;15,"U19",IF(E1344&gt;13,"U15",IF(E1344&gt;11,"U13",IF(E1344&gt;0,"U11",0)))))</f>
        <v>0</v>
      </c>
      <c r="E1344" s="456">
        <f>IFERROR(IF(Table11[[#This Row],[Year]]&gt;0,$E$1-Table11[[#This Row],[Year]],0),"")</f>
        <v>0</v>
      </c>
      <c r="F1344" s="456"/>
      <c r="G1344" s="456"/>
      <c r="H1344" s="456"/>
    </row>
    <row r="1345" spans="1:8" ht="13.5" customHeight="1">
      <c r="A1345" s="471">
        <v>8341</v>
      </c>
      <c r="B1345" s="540" t="s">
        <v>4372</v>
      </c>
      <c r="C1345" s="471" t="s">
        <v>244</v>
      </c>
      <c r="D1345" s="456">
        <f>IF(Table11[[#This Row],[Current Age]]&gt;19,"Women's",IF(E1345&gt;15,"U19",IF(E1345&gt;13,"U15",IF(E1345&gt;11,"U13",IF(E1345&gt;0,"U11",0)))))</f>
        <v>0</v>
      </c>
      <c r="E1345" s="456">
        <f>IFERROR(IF(Table11[[#This Row],[Year]]&gt;0,$E$1-Table11[[#This Row],[Year]],0),"")</f>
        <v>0</v>
      </c>
      <c r="F1345" s="456"/>
      <c r="G1345" s="456"/>
      <c r="H1345" s="456"/>
    </row>
    <row r="1346" spans="1:8" ht="13.5" customHeight="1">
      <c r="A1346" s="456">
        <v>8342</v>
      </c>
      <c r="B1346" s="457" t="s">
        <v>4373</v>
      </c>
      <c r="C1346" s="456" t="s">
        <v>4720</v>
      </c>
      <c r="D1346" s="456">
        <f>IF(Table11[[#This Row],[Current Age]]&gt;19,"Women's",IF(E1346&gt;15,"U19",IF(E1346&gt;13,"U15",IF(E1346&gt;11,"U13",IF(E1346&gt;0,"U11",0)))))</f>
        <v>0</v>
      </c>
      <c r="E1346" s="456">
        <f>IFERROR(IF(Table11[[#This Row],[Year]]&gt;0,$E$1-Table11[[#This Row],[Year]],0),"")</f>
        <v>0</v>
      </c>
      <c r="F1346" s="456"/>
      <c r="G1346" s="456"/>
      <c r="H1346" s="456"/>
    </row>
    <row r="1347" spans="1:8" ht="13.5" customHeight="1">
      <c r="A1347" s="471">
        <v>8343</v>
      </c>
      <c r="B1347" s="540" t="s">
        <v>4378</v>
      </c>
      <c r="C1347" s="471" t="s">
        <v>244</v>
      </c>
      <c r="D1347" s="456" t="str">
        <f>IF(Table11[[#This Row],[Current Age]]&gt;19,"Women's",IF(E1347&gt;15,"U19",IF(E1347&gt;13,"U15",IF(E1347&gt;11,"U13",IF(E1347&gt;0,"U11",0)))))</f>
        <v>U11</v>
      </c>
      <c r="E1347" s="456">
        <f>IFERROR(IF(Table11[[#This Row],[Year]]&gt;0,$E$1-Table11[[#This Row],[Year]],0),"")</f>
        <v>11</v>
      </c>
      <c r="F1347" s="456">
        <v>2014</v>
      </c>
      <c r="G1347" s="456">
        <v>9</v>
      </c>
      <c r="H1347" s="456">
        <v>4</v>
      </c>
    </row>
    <row r="1348" spans="1:8" ht="13.5" customHeight="1">
      <c r="A1348" s="456">
        <v>8344</v>
      </c>
      <c r="B1348" s="457" t="s">
        <v>4379</v>
      </c>
      <c r="C1348" s="456" t="s">
        <v>244</v>
      </c>
      <c r="D1348" s="456" t="str">
        <f>IF(Table11[[#This Row],[Current Age]]&gt;19,"Women's",IF(E1348&gt;15,"U19",IF(E1348&gt;13,"U15",IF(E1348&gt;11,"U13",IF(E1348&gt;0,"U11",0)))))</f>
        <v>U11</v>
      </c>
      <c r="E1348" s="456">
        <f>IFERROR(IF(Table11[[#This Row],[Year]]&gt;0,$E$1-Table11[[#This Row],[Year]],0),"")</f>
        <v>9</v>
      </c>
      <c r="F1348" s="456">
        <v>2016</v>
      </c>
      <c r="G1348" s="456">
        <v>3</v>
      </c>
      <c r="H1348" s="456">
        <v>20</v>
      </c>
    </row>
    <row r="1349" spans="1:8" ht="13.5" customHeight="1">
      <c r="A1349" s="471">
        <v>8345</v>
      </c>
      <c r="B1349" s="540" t="s">
        <v>4380</v>
      </c>
      <c r="C1349" s="471" t="s">
        <v>244</v>
      </c>
      <c r="D1349" s="456">
        <f>IF(Table11[[#This Row],[Current Age]]&gt;19,"Women's",IF(E1349&gt;15,"U19",IF(E1349&gt;13,"U15",IF(E1349&gt;11,"U13",IF(E1349&gt;0,"U11",0)))))</f>
        <v>0</v>
      </c>
      <c r="E1349" s="456">
        <f>IFERROR(IF(Table11[[#This Row],[Year]]&gt;0,$E$1-Table11[[#This Row],[Year]],0),"")</f>
        <v>0</v>
      </c>
      <c r="F1349" s="456"/>
      <c r="G1349" s="456"/>
      <c r="H1349" s="456"/>
    </row>
    <row r="1350" spans="1:8" ht="13.5" customHeight="1">
      <c r="A1350" s="456">
        <v>8346</v>
      </c>
      <c r="B1350" s="457" t="s">
        <v>4387</v>
      </c>
      <c r="C1350" s="456" t="s">
        <v>4720</v>
      </c>
      <c r="D1350" s="456">
        <f>IF(Table11[[#This Row],[Current Age]]&gt;19,"Women's",IF(E1350&gt;15,"U19",IF(E1350&gt;13,"U15",IF(E1350&gt;11,"U13",IF(E1350&gt;0,"U11",0)))))</f>
        <v>0</v>
      </c>
      <c r="E1350" s="456">
        <f>IFERROR(IF(Table11[[#This Row],[Year]]&gt;0,$E$1-Table11[[#This Row],[Year]],0),"")</f>
        <v>0</v>
      </c>
      <c r="F1350" s="456"/>
      <c r="G1350" s="456"/>
      <c r="H1350" s="456"/>
    </row>
    <row r="1351" spans="1:8" ht="13.5" customHeight="1">
      <c r="A1351" s="471">
        <v>8347</v>
      </c>
      <c r="B1351" s="540" t="s">
        <v>4388</v>
      </c>
      <c r="C1351" s="471" t="s">
        <v>4720</v>
      </c>
      <c r="D1351" s="456">
        <f>IF(Table11[[#This Row],[Current Age]]&gt;19,"Women's",IF(E1351&gt;15,"U19",IF(E1351&gt;13,"U15",IF(E1351&gt;11,"U13",IF(E1351&gt;0,"U11",0)))))</f>
        <v>0</v>
      </c>
      <c r="E1351" s="456">
        <f>IFERROR(IF(Table11[[#This Row],[Year]]&gt;0,$E$1-Table11[[#This Row],[Year]],0),"")</f>
        <v>0</v>
      </c>
      <c r="F1351" s="456"/>
      <c r="G1351" s="456"/>
      <c r="H1351" s="456"/>
    </row>
    <row r="1352" spans="1:8" ht="13.5" customHeight="1">
      <c r="A1352" s="456">
        <v>8348</v>
      </c>
      <c r="B1352" s="457" t="s">
        <v>4396</v>
      </c>
      <c r="C1352" s="456" t="s">
        <v>4720</v>
      </c>
      <c r="D1352" s="456">
        <f>IF(Table11[[#This Row],[Current Age]]&gt;19,"Women's",IF(E1352&gt;15,"U19",IF(E1352&gt;13,"U15",IF(E1352&gt;11,"U13",IF(E1352&gt;0,"U11",0)))))</f>
        <v>0</v>
      </c>
      <c r="E1352" s="456">
        <f>IFERROR(IF(Table11[[#This Row],[Year]]&gt;0,$E$1-Table11[[#This Row],[Year]],0),"")</f>
        <v>0</v>
      </c>
      <c r="F1352" s="456"/>
      <c r="G1352" s="456"/>
      <c r="H1352" s="456"/>
    </row>
    <row r="1353" spans="1:8" ht="13.5" customHeight="1">
      <c r="A1353" s="471">
        <v>8349</v>
      </c>
      <c r="B1353" s="540" t="s">
        <v>4405</v>
      </c>
      <c r="C1353" s="471" t="s">
        <v>243</v>
      </c>
      <c r="D1353" s="456" t="str">
        <f>IF(Table11[[#This Row],[Current Age]]&gt;19,"Women's",IF(E1353&gt;15,"U19",IF(E1353&gt;13,"U15",IF(E1353&gt;11,"U13",IF(E1353&gt;0,"U11",0)))))</f>
        <v>Women's</v>
      </c>
      <c r="E1353" s="456">
        <f>IFERROR(IF(Table11[[#This Row],[Year]]&gt;0,$E$1-Table11[[#This Row],[Year]],0),"")</f>
        <v>41</v>
      </c>
      <c r="F1353" s="456">
        <v>1984</v>
      </c>
      <c r="G1353" s="456">
        <v>12</v>
      </c>
      <c r="H1353" s="456">
        <v>19</v>
      </c>
    </row>
    <row r="1354" spans="1:8" ht="13.5" customHeight="1">
      <c r="A1354" s="474">
        <v>8350</v>
      </c>
      <c r="B1354" s="457" t="s">
        <v>5069</v>
      </c>
      <c r="C1354" s="456" t="s">
        <v>243</v>
      </c>
      <c r="D1354" s="456">
        <f>IF(Table11[[#This Row],[Current Age]]&gt;19,"Women's",IF(E1354&gt;15,"U19",IF(E1354&gt;13,"U15",IF(E1354&gt;11,"U13",IF(E1354&gt;0,"U11",0)))))</f>
        <v>0</v>
      </c>
      <c r="E1354" s="456">
        <f>IFERROR(IF(Table11[[#This Row],[Year]]&gt;0,$E$1-Table11[[#This Row],[Year]],0),"")</f>
        <v>0</v>
      </c>
      <c r="F1354" s="456"/>
      <c r="G1354" s="456">
        <v>2</v>
      </c>
      <c r="H1354" s="456">
        <v>16</v>
      </c>
    </row>
    <row r="1355" spans="1:8" ht="13.5" customHeight="1">
      <c r="A1355" s="471">
        <v>8351</v>
      </c>
      <c r="B1355" s="540" t="s">
        <v>4410</v>
      </c>
      <c r="C1355" s="471" t="s">
        <v>243</v>
      </c>
      <c r="D1355" s="456">
        <f>IF(Table11[[#This Row],[Current Age]]&gt;19,"Women's",IF(E1355&gt;15,"U19",IF(E1355&gt;13,"U15",IF(E1355&gt;11,"U13",IF(E1355&gt;0,"U11",0)))))</f>
        <v>0</v>
      </c>
      <c r="E1355" s="456">
        <f>IFERROR(IF(Table11[[#This Row],[Year]]&gt;0,$E$1-Table11[[#This Row],[Year]],0),"")</f>
        <v>0</v>
      </c>
      <c r="F1355" s="456"/>
      <c r="G1355" s="456"/>
      <c r="H1355" s="456"/>
    </row>
    <row r="1356" spans="1:8" ht="13.5" customHeight="1">
      <c r="A1356" s="456">
        <v>8352</v>
      </c>
      <c r="B1356" s="457" t="s">
        <v>4423</v>
      </c>
      <c r="C1356" s="456" t="s">
        <v>362</v>
      </c>
      <c r="D1356" s="456">
        <f>IF(Table11[[#This Row],[Current Age]]&gt;19,"Women's",IF(E1356&gt;15,"U19",IF(E1356&gt;13,"U15",IF(E1356&gt;11,"U13",IF(E1356&gt;0,"U11",0)))))</f>
        <v>0</v>
      </c>
      <c r="E1356" s="456">
        <f>IFERROR(IF(Table11[[#This Row],[Year]]&gt;0,$E$1-Table11[[#This Row],[Year]],0),"")</f>
        <v>0</v>
      </c>
      <c r="F1356" s="456"/>
      <c r="G1356" s="456"/>
      <c r="H1356" s="456"/>
    </row>
    <row r="1357" spans="1:8" ht="13.5" customHeight="1">
      <c r="A1357" s="471">
        <v>8353</v>
      </c>
      <c r="B1357" s="540" t="s">
        <v>4424</v>
      </c>
      <c r="C1357" s="471" t="s">
        <v>362</v>
      </c>
      <c r="D1357" s="456">
        <f>IF(Table11[[#This Row],[Current Age]]&gt;19,"Women's",IF(E1357&gt;15,"U19",IF(E1357&gt;13,"U15",IF(E1357&gt;11,"U13",IF(E1357&gt;0,"U11",0)))))</f>
        <v>0</v>
      </c>
      <c r="E1357" s="456">
        <f>IFERROR(IF(Table11[[#This Row],[Year]]&gt;0,$E$1-Table11[[#This Row],[Year]],0),"")</f>
        <v>0</v>
      </c>
      <c r="F1357" s="456"/>
      <c r="G1357" s="456"/>
      <c r="H1357" s="456"/>
    </row>
    <row r="1358" spans="1:8" ht="13.5" customHeight="1">
      <c r="A1358" s="456">
        <v>8354</v>
      </c>
      <c r="B1358" s="457" t="s">
        <v>4425</v>
      </c>
      <c r="C1358" s="456" t="s">
        <v>362</v>
      </c>
      <c r="D1358" s="456">
        <f>IF(Table11[[#This Row],[Current Age]]&gt;19,"Women's",IF(E1358&gt;15,"U19",IF(E1358&gt;13,"U15",IF(E1358&gt;11,"U13",IF(E1358&gt;0,"U11",0)))))</f>
        <v>0</v>
      </c>
      <c r="E1358" s="456">
        <f>IFERROR(IF(Table11[[#This Row],[Year]]&gt;0,$E$1-Table11[[#This Row],[Year]],0),"")</f>
        <v>0</v>
      </c>
      <c r="F1358" s="456"/>
      <c r="G1358" s="456"/>
      <c r="H1358" s="456"/>
    </row>
    <row r="1359" spans="1:8" ht="13.5" customHeight="1">
      <c r="A1359" s="471">
        <v>8355</v>
      </c>
      <c r="B1359" s="540" t="s">
        <v>4426</v>
      </c>
      <c r="C1359" s="471" t="s">
        <v>362</v>
      </c>
      <c r="D1359" s="456">
        <f>IF(Table11[[#This Row],[Current Age]]&gt;19,"Women's",IF(E1359&gt;15,"U19",IF(E1359&gt;13,"U15",IF(E1359&gt;11,"U13",IF(E1359&gt;0,"U11",0)))))</f>
        <v>0</v>
      </c>
      <c r="E1359" s="456">
        <f>IFERROR(IF(Table11[[#This Row],[Year]]&gt;0,$E$1-Table11[[#This Row],[Year]],0),"")</f>
        <v>0</v>
      </c>
      <c r="F1359" s="456"/>
      <c r="G1359" s="456"/>
      <c r="H1359" s="456"/>
    </row>
    <row r="1360" spans="1:8" ht="13.5" customHeight="1">
      <c r="A1360" s="456">
        <v>8356</v>
      </c>
      <c r="B1360" s="457" t="s">
        <v>4427</v>
      </c>
      <c r="C1360" s="456" t="s">
        <v>362</v>
      </c>
      <c r="D1360" s="456">
        <f>IF(Table11[[#This Row],[Current Age]]&gt;19,"Women's",IF(E1360&gt;15,"U19",IF(E1360&gt;13,"U15",IF(E1360&gt;11,"U13",IF(E1360&gt;0,"U11",0)))))</f>
        <v>0</v>
      </c>
      <c r="E1360" s="456">
        <f>IFERROR(IF(Table11[[#This Row],[Year]]&gt;0,$E$1-Table11[[#This Row],[Year]],0),"")</f>
        <v>0</v>
      </c>
      <c r="F1360" s="456"/>
      <c r="G1360" s="456"/>
      <c r="H1360" s="456"/>
    </row>
    <row r="1361" spans="1:8" ht="13.5" customHeight="1">
      <c r="A1361" s="471">
        <v>8357</v>
      </c>
      <c r="B1361" s="540" t="s">
        <v>4428</v>
      </c>
      <c r="C1361" s="471" t="s">
        <v>362</v>
      </c>
      <c r="D1361" s="456">
        <f>IF(Table11[[#This Row],[Current Age]]&gt;19,"Women's",IF(E1361&gt;15,"U19",IF(E1361&gt;13,"U15",IF(E1361&gt;11,"U13",IF(E1361&gt;0,"U11",0)))))</f>
        <v>0</v>
      </c>
      <c r="E1361" s="456">
        <f>IFERROR(IF(Table11[[#This Row],[Year]]&gt;0,$E$1-Table11[[#This Row],[Year]],0),"")</f>
        <v>0</v>
      </c>
      <c r="F1361" s="456"/>
      <c r="G1361" s="456"/>
      <c r="H1361" s="456"/>
    </row>
    <row r="1362" spans="1:8" ht="13.5" customHeight="1">
      <c r="A1362" s="456">
        <v>8358</v>
      </c>
      <c r="B1362" s="457" t="s">
        <v>4429</v>
      </c>
      <c r="C1362" s="456" t="s">
        <v>362</v>
      </c>
      <c r="D1362" s="456">
        <f>IF(Table11[[#This Row],[Current Age]]&gt;19,"Women's",IF(E1362&gt;15,"U19",IF(E1362&gt;13,"U15",IF(E1362&gt;11,"U13",IF(E1362&gt;0,"U11",0)))))</f>
        <v>0</v>
      </c>
      <c r="E1362" s="456">
        <f>IFERROR(IF(Table11[[#This Row],[Year]]&gt;0,$E$1-Table11[[#This Row],[Year]],0),"")</f>
        <v>0</v>
      </c>
      <c r="F1362" s="456"/>
      <c r="G1362" s="456"/>
      <c r="H1362" s="456"/>
    </row>
    <row r="1363" spans="1:8" ht="13.5" customHeight="1">
      <c r="A1363" s="471">
        <v>8359</v>
      </c>
      <c r="B1363" s="540" t="s">
        <v>4430</v>
      </c>
      <c r="C1363" s="471" t="s">
        <v>362</v>
      </c>
      <c r="D1363" s="456">
        <f>IF(Table11[[#This Row],[Current Age]]&gt;19,"Women's",IF(E1363&gt;15,"U19",IF(E1363&gt;13,"U15",IF(E1363&gt;11,"U13",IF(E1363&gt;0,"U11",0)))))</f>
        <v>0</v>
      </c>
      <c r="E1363" s="456">
        <f>IFERROR(IF(Table11[[#This Row],[Year]]&gt;0,$E$1-Table11[[#This Row],[Year]],0),"")</f>
        <v>0</v>
      </c>
      <c r="F1363" s="456"/>
      <c r="G1363" s="456"/>
      <c r="H1363" s="456"/>
    </row>
    <row r="1364" spans="1:8" ht="13.5" customHeight="1">
      <c r="A1364" s="456">
        <v>8360</v>
      </c>
      <c r="B1364" s="457" t="s">
        <v>4431</v>
      </c>
      <c r="C1364" s="456" t="s">
        <v>362</v>
      </c>
      <c r="D1364" s="456">
        <f>IF(Table11[[#This Row],[Current Age]]&gt;19,"Women's",IF(E1364&gt;15,"U19",IF(E1364&gt;13,"U15",IF(E1364&gt;11,"U13",IF(E1364&gt;0,"U11",0)))))</f>
        <v>0</v>
      </c>
      <c r="E1364" s="456">
        <f>IFERROR(IF(Table11[[#This Row],[Year]]&gt;0,$E$1-Table11[[#This Row],[Year]],0),"")</f>
        <v>0</v>
      </c>
      <c r="F1364" s="456"/>
      <c r="G1364" s="456"/>
      <c r="H1364" s="456"/>
    </row>
    <row r="1365" spans="1:8" ht="13.5" customHeight="1">
      <c r="A1365" s="471">
        <v>8361</v>
      </c>
      <c r="B1365" s="540" t="s">
        <v>4432</v>
      </c>
      <c r="C1365" s="471" t="s">
        <v>3346</v>
      </c>
      <c r="D1365" s="456">
        <f>IF(Table11[[#This Row],[Current Age]]&gt;19,"Women's",IF(E1365&gt;15,"U19",IF(E1365&gt;13,"U15",IF(E1365&gt;11,"U13",IF(E1365&gt;0,"U11",0)))))</f>
        <v>0</v>
      </c>
      <c r="E1365" s="456">
        <f>IFERROR(IF(Table11[[#This Row],[Year]]&gt;0,$E$1-Table11[[#This Row],[Year]],0),"")</f>
        <v>0</v>
      </c>
      <c r="F1365" s="456"/>
      <c r="G1365" s="456"/>
      <c r="H1365" s="456"/>
    </row>
    <row r="1366" spans="1:8" ht="13.5" customHeight="1">
      <c r="A1366" s="456">
        <v>8362</v>
      </c>
      <c r="B1366" s="457" t="s">
        <v>4433</v>
      </c>
      <c r="C1366" s="456" t="s">
        <v>3346</v>
      </c>
      <c r="D1366" s="456">
        <f>IF(Table11[[#This Row],[Current Age]]&gt;19,"Women's",IF(E1366&gt;15,"U19",IF(E1366&gt;13,"U15",IF(E1366&gt;11,"U13",IF(E1366&gt;0,"U11",0)))))</f>
        <v>0</v>
      </c>
      <c r="E1366" s="456">
        <f>IFERROR(IF(Table11[[#This Row],[Year]]&gt;0,$E$1-Table11[[#This Row],[Year]],0),"")</f>
        <v>0</v>
      </c>
      <c r="F1366" s="456"/>
      <c r="G1366" s="456"/>
      <c r="H1366" s="456"/>
    </row>
    <row r="1367" spans="1:8" ht="13.5" customHeight="1">
      <c r="A1367" s="471">
        <v>8363</v>
      </c>
      <c r="B1367" s="540" t="s">
        <v>4434</v>
      </c>
      <c r="C1367" s="471" t="s">
        <v>3346</v>
      </c>
      <c r="D1367" s="456">
        <f>IF(Table11[[#This Row],[Current Age]]&gt;19,"Women's",IF(E1367&gt;15,"U19",IF(E1367&gt;13,"U15",IF(E1367&gt;11,"U13",IF(E1367&gt;0,"U11",0)))))</f>
        <v>0</v>
      </c>
      <c r="E1367" s="456">
        <f>IFERROR(IF(Table11[[#This Row],[Year]]&gt;0,$E$1-Table11[[#This Row],[Year]],0),"")</f>
        <v>0</v>
      </c>
      <c r="F1367" s="456"/>
      <c r="G1367" s="456"/>
      <c r="H1367" s="456"/>
    </row>
    <row r="1368" spans="1:8" ht="13.5" customHeight="1">
      <c r="A1368" s="456">
        <v>8364</v>
      </c>
      <c r="B1368" s="457" t="s">
        <v>4435</v>
      </c>
      <c r="C1368" s="456" t="s">
        <v>3346</v>
      </c>
      <c r="D1368" s="456">
        <f>IF(Table11[[#This Row],[Current Age]]&gt;19,"Women's",IF(E1368&gt;15,"U19",IF(E1368&gt;13,"U15",IF(E1368&gt;11,"U13",IF(E1368&gt;0,"U11",0)))))</f>
        <v>0</v>
      </c>
      <c r="E1368" s="456">
        <f>IFERROR(IF(Table11[[#This Row],[Year]]&gt;0,$E$1-Table11[[#This Row],[Year]],0),"")</f>
        <v>0</v>
      </c>
      <c r="F1368" s="456"/>
      <c r="G1368" s="456"/>
      <c r="H1368" s="456"/>
    </row>
    <row r="1369" spans="1:8" ht="13.5" customHeight="1">
      <c r="A1369" s="471">
        <v>8365</v>
      </c>
      <c r="B1369" s="540" t="s">
        <v>4436</v>
      </c>
      <c r="C1369" s="471" t="s">
        <v>3346</v>
      </c>
      <c r="D1369" s="456">
        <f>IF(Table11[[#This Row],[Current Age]]&gt;19,"Women's",IF(E1369&gt;15,"U19",IF(E1369&gt;13,"U15",IF(E1369&gt;11,"U13",IF(E1369&gt;0,"U11",0)))))</f>
        <v>0</v>
      </c>
      <c r="E1369" s="456">
        <f>IFERROR(IF(Table11[[#This Row],[Year]]&gt;0,$E$1-Table11[[#This Row],[Year]],0),"")</f>
        <v>0</v>
      </c>
      <c r="F1369" s="456"/>
      <c r="G1369" s="456"/>
      <c r="H1369" s="456"/>
    </row>
    <row r="1370" spans="1:8" ht="13.5" customHeight="1">
      <c r="A1370" s="456">
        <v>8366</v>
      </c>
      <c r="B1370" s="457" t="s">
        <v>4437</v>
      </c>
      <c r="C1370" s="456" t="s">
        <v>3346</v>
      </c>
      <c r="D1370" s="456">
        <f>IF(Table11[[#This Row],[Current Age]]&gt;19,"Women's",IF(E1370&gt;15,"U19",IF(E1370&gt;13,"U15",IF(E1370&gt;11,"U13",IF(E1370&gt;0,"U11",0)))))</f>
        <v>0</v>
      </c>
      <c r="E1370" s="456">
        <f>IFERROR(IF(Table11[[#This Row],[Year]]&gt;0,$E$1-Table11[[#This Row],[Year]],0),"")</f>
        <v>0</v>
      </c>
      <c r="F1370" s="456"/>
      <c r="G1370" s="456"/>
      <c r="H1370" s="456"/>
    </row>
    <row r="1371" spans="1:8" ht="13.5" customHeight="1">
      <c r="A1371" s="471">
        <v>8367</v>
      </c>
      <c r="B1371" s="540" t="s">
        <v>4438</v>
      </c>
      <c r="C1371" s="471" t="s">
        <v>3346</v>
      </c>
      <c r="D1371" s="456">
        <f>IF(Table11[[#This Row],[Current Age]]&gt;19,"Women's",IF(E1371&gt;15,"U19",IF(E1371&gt;13,"U15",IF(E1371&gt;11,"U13",IF(E1371&gt;0,"U11",0)))))</f>
        <v>0</v>
      </c>
      <c r="E1371" s="456">
        <f>IFERROR(IF(Table11[[#This Row],[Year]]&gt;0,$E$1-Table11[[#This Row],[Year]],0),"")</f>
        <v>0</v>
      </c>
      <c r="F1371" s="456"/>
      <c r="G1371" s="456"/>
      <c r="H1371" s="456"/>
    </row>
    <row r="1372" spans="1:8" ht="13.5" customHeight="1">
      <c r="A1372" s="456">
        <v>8368</v>
      </c>
      <c r="B1372" s="457" t="s">
        <v>4439</v>
      </c>
      <c r="C1372" s="456" t="s">
        <v>3346</v>
      </c>
      <c r="D1372" s="456">
        <f>IF(Table11[[#This Row],[Current Age]]&gt;19,"Women's",IF(E1372&gt;15,"U19",IF(E1372&gt;13,"U15",IF(E1372&gt;11,"U13",IF(E1372&gt;0,"U11",0)))))</f>
        <v>0</v>
      </c>
      <c r="E1372" s="456">
        <f>IFERROR(IF(Table11[[#This Row],[Year]]&gt;0,$E$1-Table11[[#This Row],[Year]],0),"")</f>
        <v>0</v>
      </c>
      <c r="F1372" s="456"/>
      <c r="G1372" s="456"/>
      <c r="H1372" s="456"/>
    </row>
    <row r="1373" spans="1:8" ht="13.5" customHeight="1">
      <c r="A1373" s="471">
        <v>8369</v>
      </c>
      <c r="B1373" s="540" t="s">
        <v>4440</v>
      </c>
      <c r="C1373" s="471" t="s">
        <v>3346</v>
      </c>
      <c r="D1373" s="456">
        <f>IF(Table11[[#This Row],[Current Age]]&gt;19,"Women's",IF(E1373&gt;15,"U19",IF(E1373&gt;13,"U15",IF(E1373&gt;11,"U13",IF(E1373&gt;0,"U11",0)))))</f>
        <v>0</v>
      </c>
      <c r="E1373" s="456">
        <f>IFERROR(IF(Table11[[#This Row],[Year]]&gt;0,$E$1-Table11[[#This Row],[Year]],0),"")</f>
        <v>0</v>
      </c>
      <c r="F1373" s="456"/>
      <c r="G1373" s="456"/>
      <c r="H1373" s="456"/>
    </row>
    <row r="1374" spans="1:8" ht="13.5" customHeight="1">
      <c r="A1374" s="456">
        <v>8370</v>
      </c>
      <c r="B1374" s="457" t="s">
        <v>4441</v>
      </c>
      <c r="C1374" s="456" t="s">
        <v>3346</v>
      </c>
      <c r="D1374" s="456">
        <f>IF(Table11[[#This Row],[Current Age]]&gt;19,"Women's",IF(E1374&gt;15,"U19",IF(E1374&gt;13,"U15",IF(E1374&gt;11,"U13",IF(E1374&gt;0,"U11",0)))))</f>
        <v>0</v>
      </c>
      <c r="E1374" s="456">
        <f>IFERROR(IF(Table11[[#This Row],[Year]]&gt;0,$E$1-Table11[[#This Row],[Year]],0),"")</f>
        <v>0</v>
      </c>
      <c r="F1374" s="456"/>
      <c r="G1374" s="456"/>
      <c r="H1374" s="456"/>
    </row>
    <row r="1375" spans="1:8" ht="13.5" customHeight="1">
      <c r="A1375" s="471">
        <v>8371</v>
      </c>
      <c r="B1375" s="540" t="s">
        <v>4442</v>
      </c>
      <c r="C1375" s="471" t="s">
        <v>3346</v>
      </c>
      <c r="D1375" s="456">
        <f>IF(Table11[[#This Row],[Current Age]]&gt;19,"Women's",IF(E1375&gt;15,"U19",IF(E1375&gt;13,"U15",IF(E1375&gt;11,"U13",IF(E1375&gt;0,"U11",0)))))</f>
        <v>0</v>
      </c>
      <c r="E1375" s="456">
        <f>IFERROR(IF(Table11[[#This Row],[Year]]&gt;0,$E$1-Table11[[#This Row],[Year]],0),"")</f>
        <v>0</v>
      </c>
      <c r="F1375" s="456"/>
      <c r="G1375" s="456"/>
      <c r="H1375" s="456"/>
    </row>
    <row r="1376" spans="1:8" ht="13.5" customHeight="1">
      <c r="A1376" s="456">
        <v>8372</v>
      </c>
      <c r="B1376" s="457" t="s">
        <v>4856</v>
      </c>
      <c r="C1376" s="456" t="s">
        <v>3346</v>
      </c>
      <c r="D1376" s="456">
        <f>IF(Table11[[#This Row],[Current Age]]&gt;19,"Women's",IF(E1376&gt;15,"U19",IF(E1376&gt;13,"U15",IF(E1376&gt;11,"U13",IF(E1376&gt;0,"U11",0)))))</f>
        <v>0</v>
      </c>
      <c r="E1376" s="456">
        <f>IFERROR(IF(Table11[[#This Row],[Year]]&gt;0,$E$1-Table11[[#This Row],[Year]],0),"")</f>
        <v>0</v>
      </c>
      <c r="F1376" s="456"/>
      <c r="G1376" s="456"/>
      <c r="H1376" s="456"/>
    </row>
    <row r="1377" spans="1:8" ht="13.5" customHeight="1">
      <c r="A1377" s="471">
        <v>8373</v>
      </c>
      <c r="B1377" s="540" t="s">
        <v>4443</v>
      </c>
      <c r="C1377" s="471" t="s">
        <v>3346</v>
      </c>
      <c r="D1377" s="456">
        <f>IF(Table11[[#This Row],[Current Age]]&gt;19,"Women's",IF(E1377&gt;15,"U19",IF(E1377&gt;13,"U15",IF(E1377&gt;11,"U13",IF(E1377&gt;0,"U11",0)))))</f>
        <v>0</v>
      </c>
      <c r="E1377" s="456">
        <f>IFERROR(IF(Table11[[#This Row],[Year]]&gt;0,$E$1-Table11[[#This Row],[Year]],0),"")</f>
        <v>0</v>
      </c>
      <c r="F1377" s="456"/>
      <c r="G1377" s="456"/>
      <c r="H1377" s="456"/>
    </row>
    <row r="1378" spans="1:8" ht="13.5" customHeight="1">
      <c r="A1378" s="456">
        <v>8374</v>
      </c>
      <c r="B1378" s="457" t="s">
        <v>4444</v>
      </c>
      <c r="C1378" s="456" t="s">
        <v>3346</v>
      </c>
      <c r="D1378" s="456">
        <f>IF(Table11[[#This Row],[Current Age]]&gt;19,"Women's",IF(E1378&gt;15,"U19",IF(E1378&gt;13,"U15",IF(E1378&gt;11,"U13",IF(E1378&gt;0,"U11",0)))))</f>
        <v>0</v>
      </c>
      <c r="E1378" s="456">
        <f>IFERROR(IF(Table11[[#This Row],[Year]]&gt;0,$E$1-Table11[[#This Row],[Year]],0),"")</f>
        <v>0</v>
      </c>
      <c r="F1378" s="456"/>
      <c r="G1378" s="456"/>
      <c r="H1378" s="456"/>
    </row>
    <row r="1379" spans="1:8" ht="13.5" customHeight="1">
      <c r="A1379" s="471">
        <v>8375</v>
      </c>
      <c r="B1379" s="540" t="s">
        <v>4445</v>
      </c>
      <c r="C1379" s="471" t="s">
        <v>3346</v>
      </c>
      <c r="D1379" s="456">
        <f>IF(Table11[[#This Row],[Current Age]]&gt;19,"Women's",IF(E1379&gt;15,"U19",IF(E1379&gt;13,"U15",IF(E1379&gt;11,"U13",IF(E1379&gt;0,"U11",0)))))</f>
        <v>0</v>
      </c>
      <c r="E1379" s="456">
        <f>IFERROR(IF(Table11[[#This Row],[Year]]&gt;0,$E$1-Table11[[#This Row],[Year]],0),"")</f>
        <v>0</v>
      </c>
      <c r="F1379" s="456"/>
      <c r="G1379" s="456"/>
      <c r="H1379" s="456"/>
    </row>
    <row r="1380" spans="1:8" ht="13.5" customHeight="1">
      <c r="A1380" s="456">
        <v>8376</v>
      </c>
      <c r="B1380" s="457" t="s">
        <v>6034</v>
      </c>
      <c r="C1380" s="456" t="s">
        <v>252</v>
      </c>
      <c r="D1380" s="456" t="s">
        <v>5895</v>
      </c>
      <c r="E1380" s="456">
        <v>9</v>
      </c>
      <c r="F1380" s="456">
        <v>2016</v>
      </c>
      <c r="G1380" s="456">
        <v>3</v>
      </c>
      <c r="H1380" s="456">
        <v>28</v>
      </c>
    </row>
    <row r="1381" spans="1:8" ht="13.5" customHeight="1">
      <c r="A1381" s="471">
        <v>8377</v>
      </c>
      <c r="B1381" s="540" t="s">
        <v>6132</v>
      </c>
      <c r="C1381" s="471" t="s">
        <v>247</v>
      </c>
      <c r="D1381" s="456">
        <f>IF(Table11[[#This Row],[Current Age]]&gt;19,"Women's",IF(E1381&gt;15,"U19",IF(E1381&gt;13,"U15",IF(E1381&gt;11,"U13",IF(E1381&gt;0,"U11",0)))))</f>
        <v>0</v>
      </c>
      <c r="E1381" s="456">
        <f>IFERROR(IF(Table11[[#This Row],[Year]]&gt;0,$E$1-Table11[[#This Row],[Year]],0),"")</f>
        <v>0</v>
      </c>
      <c r="F1381" s="456"/>
      <c r="G1381" s="456"/>
      <c r="H1381" s="456"/>
    </row>
    <row r="1382" spans="1:8" ht="13.5" customHeight="1">
      <c r="A1382" s="456">
        <v>8378</v>
      </c>
      <c r="B1382" s="457" t="s">
        <v>4468</v>
      </c>
      <c r="C1382" s="456" t="s">
        <v>3346</v>
      </c>
      <c r="D1382" s="456">
        <f>IF(Table11[[#This Row],[Current Age]]&gt;19,"Women's",IF(E1382&gt;15,"U19",IF(E1382&gt;13,"U15",IF(E1382&gt;11,"U13",IF(E1382&gt;0,"U11",0)))))</f>
        <v>0</v>
      </c>
      <c r="E1382" s="456">
        <f>IFERROR(IF(Table11[[#This Row],[Year]]&gt;0,$E$1-Table11[[#This Row],[Year]],0),"")</f>
        <v>0</v>
      </c>
      <c r="F1382" s="456"/>
      <c r="G1382" s="456"/>
      <c r="H1382" s="456"/>
    </row>
    <row r="1383" spans="1:8" ht="13.5" customHeight="1">
      <c r="A1383" s="471">
        <v>8379</v>
      </c>
      <c r="B1383" s="540" t="s">
        <v>4469</v>
      </c>
      <c r="C1383" s="471" t="s">
        <v>3346</v>
      </c>
      <c r="D1383" s="456">
        <f>IF(Table11[[#This Row],[Current Age]]&gt;19,"Women's",IF(E1383&gt;15,"U19",IF(E1383&gt;13,"U15",IF(E1383&gt;11,"U13",IF(E1383&gt;0,"U11",0)))))</f>
        <v>0</v>
      </c>
      <c r="E1383" s="456">
        <f>IFERROR(IF(Table11[[#This Row],[Year]]&gt;0,$E$1-Table11[[#This Row],[Year]],0),"")</f>
        <v>0</v>
      </c>
      <c r="F1383" s="456"/>
      <c r="G1383" s="456"/>
      <c r="H1383" s="456"/>
    </row>
    <row r="1384" spans="1:8" ht="13.5" customHeight="1">
      <c r="A1384" s="456">
        <v>8380</v>
      </c>
      <c r="B1384" s="457" t="s">
        <v>4470</v>
      </c>
      <c r="C1384" s="456" t="s">
        <v>3346</v>
      </c>
      <c r="D1384" s="456">
        <f>IF(Table11[[#This Row],[Current Age]]&gt;19,"Women's",IF(E1384&gt;15,"U19",IF(E1384&gt;13,"U15",IF(E1384&gt;11,"U13",IF(E1384&gt;0,"U11",0)))))</f>
        <v>0</v>
      </c>
      <c r="E1384" s="456">
        <f>IFERROR(IF(Table11[[#This Row],[Year]]&gt;0,$E$1-Table11[[#This Row],[Year]],0),"")</f>
        <v>0</v>
      </c>
      <c r="F1384" s="456"/>
      <c r="G1384" s="456"/>
      <c r="H1384" s="456"/>
    </row>
    <row r="1385" spans="1:8" ht="13.5" customHeight="1">
      <c r="A1385" s="471">
        <v>8381</v>
      </c>
      <c r="B1385" s="540" t="s">
        <v>4471</v>
      </c>
      <c r="C1385" s="471" t="s">
        <v>3346</v>
      </c>
      <c r="D1385" s="456">
        <f>IF(Table11[[#This Row],[Current Age]]&gt;19,"Women's",IF(E1385&gt;15,"U19",IF(E1385&gt;13,"U15",IF(E1385&gt;11,"U13",IF(E1385&gt;0,"U11",0)))))</f>
        <v>0</v>
      </c>
      <c r="E1385" s="456">
        <f>IFERROR(IF(Table11[[#This Row],[Year]]&gt;0,$E$1-Table11[[#This Row],[Year]],0),"")</f>
        <v>0</v>
      </c>
      <c r="F1385" s="456"/>
      <c r="G1385" s="456"/>
      <c r="H1385" s="456"/>
    </row>
    <row r="1386" spans="1:8" ht="13.5" customHeight="1">
      <c r="A1386" s="456">
        <v>8382</v>
      </c>
      <c r="B1386" s="457" t="s">
        <v>4472</v>
      </c>
      <c r="C1386" s="456" t="s">
        <v>3346</v>
      </c>
      <c r="D1386" s="456">
        <f>IF(Table11[[#This Row],[Current Age]]&gt;19,"Women's",IF(E1386&gt;15,"U19",IF(E1386&gt;13,"U15",IF(E1386&gt;11,"U13",IF(E1386&gt;0,"U11",0)))))</f>
        <v>0</v>
      </c>
      <c r="E1386" s="456">
        <f>IFERROR(IF(Table11[[#This Row],[Year]]&gt;0,$E$1-Table11[[#This Row],[Year]],0),"")</f>
        <v>0</v>
      </c>
      <c r="F1386" s="456"/>
      <c r="G1386" s="456"/>
      <c r="H1386" s="456"/>
    </row>
    <row r="1387" spans="1:8" ht="13.5" customHeight="1">
      <c r="A1387" s="471">
        <v>8383</v>
      </c>
      <c r="B1387" s="540" t="s">
        <v>6053</v>
      </c>
      <c r="C1387" s="471" t="s">
        <v>252</v>
      </c>
      <c r="D1387" s="456" t="s">
        <v>6033</v>
      </c>
      <c r="E1387" s="456">
        <v>15</v>
      </c>
      <c r="F1387" s="456">
        <v>2010</v>
      </c>
      <c r="G1387" s="456">
        <v>2</v>
      </c>
      <c r="H1387" s="456">
        <v>27</v>
      </c>
    </row>
    <row r="1388" spans="1:8" ht="13.5" customHeight="1">
      <c r="A1388" s="456">
        <v>8384</v>
      </c>
      <c r="B1388" s="457" t="s">
        <v>6042</v>
      </c>
      <c r="C1388" s="456" t="s">
        <v>252</v>
      </c>
      <c r="D1388" s="456" t="e">
        <v>#REF!</v>
      </c>
      <c r="E1388" s="456">
        <v>15</v>
      </c>
      <c r="F1388" s="456">
        <v>2012</v>
      </c>
      <c r="G1388" s="456">
        <v>2</v>
      </c>
      <c r="H1388" s="456">
        <v>8</v>
      </c>
    </row>
    <row r="1389" spans="1:8" ht="13.5" customHeight="1">
      <c r="A1389" s="471">
        <v>8385</v>
      </c>
      <c r="B1389" s="540" t="s">
        <v>4475</v>
      </c>
      <c r="C1389" s="471" t="s">
        <v>3346</v>
      </c>
      <c r="D1389" s="456">
        <f>IF(Table11[[#This Row],[Current Age]]&gt;19,"Women's",IF(E1389&gt;15,"U19",IF(E1389&gt;13,"U15",IF(E1389&gt;11,"U13",IF(E1389&gt;0,"U11",0)))))</f>
        <v>0</v>
      </c>
      <c r="E1389" s="456">
        <f>IFERROR(IF(Table11[[#This Row],[Year]]&gt;0,$E$1-Table11[[#This Row],[Year]],0),"")</f>
        <v>0</v>
      </c>
      <c r="F1389" s="456"/>
      <c r="G1389" s="456"/>
      <c r="H1389" s="456"/>
    </row>
    <row r="1390" spans="1:8" ht="13.5" customHeight="1">
      <c r="A1390" s="456">
        <v>8386</v>
      </c>
      <c r="B1390" s="457" t="s">
        <v>4481</v>
      </c>
      <c r="C1390" s="456" t="s">
        <v>247</v>
      </c>
      <c r="D1390" s="456">
        <f>IF(Table11[[#This Row],[Current Age]]&gt;19,"Women's",IF(E1390&gt;15,"U19",IF(E1390&gt;13,"U15",IF(E1390&gt;11,"U13",IF(E1390&gt;0,"U11",0)))))</f>
        <v>0</v>
      </c>
      <c r="E1390" s="456">
        <f>IFERROR(IF(Table11[[#This Row],[Year]]&gt;0,$E$1-Table11[[#This Row],[Year]],0),"")</f>
        <v>0</v>
      </c>
      <c r="F1390" s="456"/>
      <c r="G1390" s="456"/>
      <c r="H1390" s="456"/>
    </row>
    <row r="1391" spans="1:8" ht="13.5" customHeight="1">
      <c r="A1391" s="471">
        <v>8387</v>
      </c>
      <c r="B1391" s="540" t="s">
        <v>4482</v>
      </c>
      <c r="C1391" s="471" t="s">
        <v>247</v>
      </c>
      <c r="D1391" s="456">
        <f>IF(Table11[[#This Row],[Current Age]]&gt;19,"Women's",IF(E1391&gt;15,"U19",IF(E1391&gt;13,"U15",IF(E1391&gt;11,"U13",IF(E1391&gt;0,"U11",0)))))</f>
        <v>0</v>
      </c>
      <c r="E1391" s="456">
        <f>IFERROR(IF(Table11[[#This Row],[Year]]&gt;0,$E$1-Table11[[#This Row],[Year]],0),"")</f>
        <v>0</v>
      </c>
      <c r="F1391" s="456"/>
      <c r="G1391" s="456"/>
      <c r="H1391" s="456"/>
    </row>
    <row r="1392" spans="1:8" ht="13.5" customHeight="1">
      <c r="A1392" s="456">
        <v>8388</v>
      </c>
      <c r="B1392" s="457" t="s">
        <v>4483</v>
      </c>
      <c r="C1392" s="456" t="s">
        <v>247</v>
      </c>
      <c r="D1392" s="456" t="str">
        <f>IF(Table11[[#This Row],[Current Age]]&gt;19,"Women's",IF(E1392&gt;15,"U19",IF(E1392&gt;13,"U15",IF(E1392&gt;11,"U13",IF(E1392&gt;0,"U11",0)))))</f>
        <v>U13</v>
      </c>
      <c r="E1392" s="456">
        <f>IFERROR(IF(Table11[[#This Row],[Year]]&gt;0,$E$1-Table11[[#This Row],[Year]],0),"")</f>
        <v>13</v>
      </c>
      <c r="F1392" s="456">
        <v>2012</v>
      </c>
      <c r="G1392" s="456">
        <v>1</v>
      </c>
      <c r="H1392" s="456">
        <v>20</v>
      </c>
    </row>
    <row r="1393" spans="1:8" ht="13.5" customHeight="1">
      <c r="A1393" s="471">
        <v>8389</v>
      </c>
      <c r="B1393" s="540" t="s">
        <v>4484</v>
      </c>
      <c r="C1393" s="471" t="s">
        <v>243</v>
      </c>
      <c r="D1393" s="456">
        <f>IF(Table11[[#This Row],[Current Age]]&gt;19,"Women's",IF(E1393&gt;15,"U19",IF(E1393&gt;13,"U15",IF(E1393&gt;11,"U13",IF(E1393&gt;0,"U11",0)))))</f>
        <v>0</v>
      </c>
      <c r="E1393" s="456">
        <f>IFERROR(IF(Table11[[#This Row],[Year]]&gt;0,$E$1-Table11[[#This Row],[Year]],0),"")</f>
        <v>0</v>
      </c>
      <c r="F1393" s="456"/>
      <c r="G1393" s="456"/>
      <c r="H1393" s="456"/>
    </row>
    <row r="1394" spans="1:8" ht="13.5" customHeight="1">
      <c r="A1394" s="456">
        <v>8390</v>
      </c>
      <c r="B1394" s="457" t="s">
        <v>4485</v>
      </c>
      <c r="C1394" s="456" t="s">
        <v>247</v>
      </c>
      <c r="D1394" s="456">
        <f>IF(Table11[[#This Row],[Current Age]]&gt;19,"Women's",IF(E1394&gt;15,"U19",IF(E1394&gt;13,"U15",IF(E1394&gt;11,"U13",IF(E1394&gt;0,"U11",0)))))</f>
        <v>0</v>
      </c>
      <c r="E1394" s="456">
        <f>IFERROR(IF(Table11[[#This Row],[Year]]&gt;0,$E$1-Table11[[#This Row],[Year]],0),"")</f>
        <v>0</v>
      </c>
      <c r="F1394" s="456"/>
      <c r="G1394" s="456"/>
      <c r="H1394" s="456"/>
    </row>
    <row r="1395" spans="1:8" ht="13.5" customHeight="1">
      <c r="A1395" s="471">
        <v>8391</v>
      </c>
      <c r="B1395" s="540" t="s">
        <v>4500</v>
      </c>
      <c r="C1395" s="471" t="s">
        <v>361</v>
      </c>
      <c r="D1395" s="456">
        <f>IF(Table11[[#This Row],[Current Age]]&gt;19,"Women's",IF(E1395&gt;15,"U19",IF(E1395&gt;13,"U15",IF(E1395&gt;11,"U13",IF(E1395&gt;0,"U11",0)))))</f>
        <v>0</v>
      </c>
      <c r="E1395" s="456">
        <f>IFERROR(IF(Table11[[#This Row],[Year]]&gt;0,$E$1-Table11[[#This Row],[Year]],0),"")</f>
        <v>0</v>
      </c>
      <c r="F1395" s="456"/>
      <c r="G1395" s="456"/>
      <c r="H1395" s="456"/>
    </row>
    <row r="1396" spans="1:8" ht="13.5" customHeight="1">
      <c r="A1396" s="456">
        <v>8392</v>
      </c>
      <c r="B1396" s="457" t="s">
        <v>4517</v>
      </c>
      <c r="C1396" s="456" t="s">
        <v>361</v>
      </c>
      <c r="D1396" s="456">
        <f>IF(Table11[[#This Row],[Current Age]]&gt;19,"Women's",IF(E1396&gt;15,"U19",IF(E1396&gt;13,"U15",IF(E1396&gt;11,"U13",IF(E1396&gt;0,"U11",0)))))</f>
        <v>0</v>
      </c>
      <c r="E1396" s="456">
        <f>IFERROR(IF(Table11[[#This Row],[Year]]&gt;0,$E$1-Table11[[#This Row],[Year]],0),"")</f>
        <v>0</v>
      </c>
      <c r="F1396" s="456"/>
      <c r="G1396" s="456"/>
      <c r="H1396" s="456"/>
    </row>
    <row r="1397" spans="1:8" ht="13.5" customHeight="1">
      <c r="A1397" s="471">
        <v>8393</v>
      </c>
      <c r="B1397" s="540" t="s">
        <v>4518</v>
      </c>
      <c r="C1397" s="471" t="s">
        <v>361</v>
      </c>
      <c r="D1397" s="456">
        <f>IF(Table11[[#This Row],[Current Age]]&gt;19,"Women's",IF(E1397&gt;15,"U19",IF(E1397&gt;13,"U15",IF(E1397&gt;11,"U13",IF(E1397&gt;0,"U11",0)))))</f>
        <v>0</v>
      </c>
      <c r="E1397" s="456">
        <f>IFERROR(IF(Table11[[#This Row],[Year]]&gt;0,$E$1-Table11[[#This Row],[Year]],0),"")</f>
        <v>0</v>
      </c>
      <c r="F1397" s="456"/>
      <c r="G1397" s="456"/>
      <c r="H1397" s="456"/>
    </row>
    <row r="1398" spans="1:8" ht="13.5" customHeight="1">
      <c r="A1398" s="456">
        <v>8394</v>
      </c>
      <c r="B1398" s="457" t="s">
        <v>4545</v>
      </c>
      <c r="C1398" s="456" t="s">
        <v>3027</v>
      </c>
      <c r="D1398" s="456">
        <f>IF(Table11[[#This Row],[Current Age]]&gt;19,"Women's",IF(E1398&gt;15,"U19",IF(E1398&gt;13,"U15",IF(E1398&gt;11,"U13",IF(E1398&gt;0,"U11",0)))))</f>
        <v>0</v>
      </c>
      <c r="E1398" s="456">
        <f>IFERROR(IF(Table11[[#This Row],[Year]]&gt;0,$E$1-Table11[[#This Row],[Year]],0),"")</f>
        <v>0</v>
      </c>
      <c r="F1398" s="456"/>
      <c r="G1398" s="456"/>
      <c r="H1398" s="456"/>
    </row>
    <row r="1399" spans="1:8" ht="13.5" customHeight="1">
      <c r="A1399" s="471">
        <v>8395</v>
      </c>
      <c r="B1399" s="540" t="s">
        <v>4546</v>
      </c>
      <c r="C1399" s="471" t="s">
        <v>362</v>
      </c>
      <c r="D1399" s="456">
        <f>IF(Table11[[#This Row],[Current Age]]&gt;19,"Women's",IF(E1399&gt;15,"U19",IF(E1399&gt;13,"U15",IF(E1399&gt;11,"U13",IF(E1399&gt;0,"U11",0)))))</f>
        <v>0</v>
      </c>
      <c r="E1399" s="456">
        <f>IFERROR(IF(Table11[[#This Row],[Year]]&gt;0,$E$1-Table11[[#This Row],[Year]],0),"")</f>
        <v>0</v>
      </c>
      <c r="F1399" s="456"/>
      <c r="G1399" s="456"/>
      <c r="H1399" s="456"/>
    </row>
    <row r="1400" spans="1:8" ht="13.5" customHeight="1">
      <c r="A1400" s="456">
        <v>8396</v>
      </c>
      <c r="B1400" s="457" t="s">
        <v>4547</v>
      </c>
      <c r="C1400" s="456" t="s">
        <v>3027</v>
      </c>
      <c r="D1400" s="456">
        <f>IF(Table11[[#This Row],[Current Age]]&gt;19,"Women's",IF(E1400&gt;15,"U19",IF(E1400&gt;13,"U15",IF(E1400&gt;11,"U13",IF(E1400&gt;0,"U11",0)))))</f>
        <v>0</v>
      </c>
      <c r="E1400" s="456">
        <f>IFERROR(IF(Table11[[#This Row],[Year]]&gt;0,$E$1-Table11[[#This Row],[Year]],0),"")</f>
        <v>0</v>
      </c>
      <c r="F1400" s="456"/>
      <c r="G1400" s="456"/>
      <c r="H1400" s="456"/>
    </row>
    <row r="1401" spans="1:8" ht="13.5" customHeight="1">
      <c r="A1401" s="471">
        <v>8397</v>
      </c>
      <c r="B1401" s="540" t="s">
        <v>4548</v>
      </c>
      <c r="C1401" s="471" t="s">
        <v>3027</v>
      </c>
      <c r="D1401" s="456">
        <f>IF(Table11[[#This Row],[Current Age]]&gt;19,"Women's",IF(E1401&gt;15,"U19",IF(E1401&gt;13,"U15",IF(E1401&gt;11,"U13",IF(E1401&gt;0,"U11",0)))))</f>
        <v>0</v>
      </c>
      <c r="E1401" s="456">
        <f>IFERROR(IF(Table11[[#This Row],[Year]]&gt;0,$E$1-Table11[[#This Row],[Year]],0),"")</f>
        <v>0</v>
      </c>
      <c r="F1401" s="456"/>
      <c r="G1401" s="456"/>
      <c r="H1401" s="456"/>
    </row>
    <row r="1402" spans="1:8" ht="13.5" customHeight="1">
      <c r="A1402" s="456">
        <v>8398</v>
      </c>
      <c r="B1402" s="457" t="s">
        <v>4549</v>
      </c>
      <c r="C1402" s="456" t="s">
        <v>362</v>
      </c>
      <c r="D1402" s="456">
        <f>IF(Table11[[#This Row],[Current Age]]&gt;19,"Women's",IF(E1402&gt;15,"U19",IF(E1402&gt;13,"U15",IF(E1402&gt;11,"U13",IF(E1402&gt;0,"U11",0)))))</f>
        <v>0</v>
      </c>
      <c r="E1402" s="456">
        <f>IFERROR(IF(Table11[[#This Row],[Year]]&gt;0,$E$1-Table11[[#This Row],[Year]],0),"")</f>
        <v>0</v>
      </c>
      <c r="F1402" s="456"/>
      <c r="G1402" s="456"/>
      <c r="H1402" s="456"/>
    </row>
    <row r="1403" spans="1:8" ht="13.5" customHeight="1">
      <c r="A1403" s="471">
        <v>8399</v>
      </c>
      <c r="B1403" s="540" t="s">
        <v>4550</v>
      </c>
      <c r="C1403" s="471" t="s">
        <v>362</v>
      </c>
      <c r="D1403" s="456">
        <f>IF(Table11[[#This Row],[Current Age]]&gt;19,"Women's",IF(E1403&gt;15,"U19",IF(E1403&gt;13,"U15",IF(E1403&gt;11,"U13",IF(E1403&gt;0,"U11",0)))))</f>
        <v>0</v>
      </c>
      <c r="E1403" s="456">
        <f>IFERROR(IF(Table11[[#This Row],[Year]]&gt;0,$E$1-Table11[[#This Row],[Year]],0),"")</f>
        <v>0</v>
      </c>
      <c r="F1403" s="456"/>
      <c r="G1403" s="456"/>
      <c r="H1403" s="456"/>
    </row>
    <row r="1404" spans="1:8" ht="13.5" customHeight="1">
      <c r="A1404" s="456">
        <v>8400</v>
      </c>
      <c r="B1404" s="457" t="s">
        <v>4553</v>
      </c>
      <c r="C1404" s="456" t="s">
        <v>4658</v>
      </c>
      <c r="D1404" s="456">
        <f>IF(Table11[[#This Row],[Current Age]]&gt;19,"Women's",IF(E1404&gt;15,"U19",IF(E1404&gt;13,"U15",IF(E1404&gt;11,"U13",IF(E1404&gt;0,"U11",0)))))</f>
        <v>0</v>
      </c>
      <c r="E1404" s="456">
        <f>IFERROR(IF(Table11[[#This Row],[Year]]&gt;0,$E$1-Table11[[#This Row],[Year]],0),"")</f>
        <v>0</v>
      </c>
      <c r="F1404" s="456"/>
      <c r="G1404" s="456"/>
      <c r="H1404" s="456"/>
    </row>
    <row r="1405" spans="1:8" ht="13.5" customHeight="1">
      <c r="A1405" s="471">
        <v>8401</v>
      </c>
      <c r="B1405" s="540" t="s">
        <v>4554</v>
      </c>
      <c r="C1405" s="471" t="s">
        <v>4658</v>
      </c>
      <c r="D1405" s="456" t="str">
        <f>IF(Table11[[#This Row],[Current Age]]&gt;19,"Women's",IF(E1405&gt;15,"U19",IF(E1405&gt;13,"U15",IF(E1405&gt;11,"U13",IF(E1405&gt;0,"U11",0)))))</f>
        <v>U13</v>
      </c>
      <c r="E1405" s="456">
        <f>IFERROR(IF(Table11[[#This Row],[Year]]&gt;0,$E$1-Table11[[#This Row],[Year]],0),"")</f>
        <v>12</v>
      </c>
      <c r="F1405" s="456">
        <v>2013</v>
      </c>
      <c r="G1405" s="456">
        <v>4</v>
      </c>
      <c r="H1405" s="456">
        <v>26</v>
      </c>
    </row>
    <row r="1406" spans="1:8" ht="13.5" customHeight="1">
      <c r="A1406" s="456">
        <v>8402</v>
      </c>
      <c r="B1406" s="457" t="s">
        <v>4555</v>
      </c>
      <c r="C1406" s="456" t="s">
        <v>4658</v>
      </c>
      <c r="D1406" s="456" t="str">
        <f>IF(Table11[[#This Row],[Current Age]]&gt;19,"Women's",IF(E1406&gt;15,"U19",IF(E1406&gt;13,"U15",IF(E1406&gt;11,"U13",IF(E1406&gt;0,"U11",0)))))</f>
        <v>U13</v>
      </c>
      <c r="E1406" s="456">
        <f>IFERROR(IF(Table11[[#This Row],[Year]]&gt;0,$E$1-Table11[[#This Row],[Year]],0),"")</f>
        <v>12</v>
      </c>
      <c r="F1406" s="456">
        <v>2013</v>
      </c>
      <c r="G1406" s="456">
        <v>8</v>
      </c>
      <c r="H1406" s="456">
        <v>16</v>
      </c>
    </row>
    <row r="1407" spans="1:8" ht="13.5" customHeight="1">
      <c r="A1407" s="471">
        <v>8403</v>
      </c>
      <c r="B1407" s="540" t="s">
        <v>4556</v>
      </c>
      <c r="C1407" s="471" t="s">
        <v>4658</v>
      </c>
      <c r="D1407" s="456" t="str">
        <f>IF(Table11[[#This Row],[Current Age]]&gt;19,"Women's",IF(E1407&gt;15,"U19",IF(E1407&gt;13,"U15",IF(E1407&gt;11,"U13",IF(E1407&gt;0,"U11",0)))))</f>
        <v>U13</v>
      </c>
      <c r="E1407" s="456">
        <f>IFERROR(IF(Table11[[#This Row],[Year]]&gt;0,$E$1-Table11[[#This Row],[Year]],0),"")</f>
        <v>12</v>
      </c>
      <c r="F1407" s="456">
        <v>2013</v>
      </c>
      <c r="G1407" s="456">
        <v>9</v>
      </c>
      <c r="H1407" s="456">
        <v>20</v>
      </c>
    </row>
    <row r="1408" spans="1:8" ht="13.5" customHeight="1">
      <c r="A1408" s="456">
        <v>8404</v>
      </c>
      <c r="B1408" s="457" t="s">
        <v>4557</v>
      </c>
      <c r="C1408" s="456" t="s">
        <v>4658</v>
      </c>
      <c r="D1408" s="456" t="str">
        <f>IF(Table11[[#This Row],[Current Age]]&gt;19,"Women's",IF(E1408&gt;15,"U19",IF(E1408&gt;13,"U15",IF(E1408&gt;11,"U13",IF(E1408&gt;0,"U11",0)))))</f>
        <v>U15</v>
      </c>
      <c r="E1408" s="456">
        <f>IFERROR(IF(Table11[[#This Row],[Year]]&gt;0,$E$1-Table11[[#This Row],[Year]],0),"")</f>
        <v>14</v>
      </c>
      <c r="F1408" s="456">
        <v>2011</v>
      </c>
      <c r="G1408" s="456">
        <v>1</v>
      </c>
      <c r="H1408" s="456">
        <v>4</v>
      </c>
    </row>
    <row r="1409" spans="1:8" ht="13.5" customHeight="1">
      <c r="A1409" s="471">
        <v>8405</v>
      </c>
      <c r="B1409" s="540" t="s">
        <v>4558</v>
      </c>
      <c r="C1409" s="471" t="s">
        <v>4658</v>
      </c>
      <c r="D1409" s="456" t="str">
        <f>IF(Table11[[#This Row],[Current Age]]&gt;19,"Women's",IF(E1409&gt;15,"U19",IF(E1409&gt;13,"U15",IF(E1409&gt;11,"U13",IF(E1409&gt;0,"U11",0)))))</f>
        <v>U15</v>
      </c>
      <c r="E1409" s="456">
        <f>IFERROR(IF(Table11[[#This Row],[Year]]&gt;0,$E$1-Table11[[#This Row],[Year]],0),"")</f>
        <v>14</v>
      </c>
      <c r="F1409" s="456">
        <v>2011</v>
      </c>
      <c r="G1409" s="456">
        <v>1</v>
      </c>
      <c r="H1409" s="456">
        <v>31</v>
      </c>
    </row>
    <row r="1410" spans="1:8" ht="13.5" customHeight="1">
      <c r="A1410" s="456">
        <v>8406</v>
      </c>
      <c r="B1410" s="457" t="s">
        <v>4559</v>
      </c>
      <c r="C1410" s="456" t="s">
        <v>4658</v>
      </c>
      <c r="D1410" s="456" t="str">
        <f>IF(Table11[[#This Row],[Current Age]]&gt;19,"Women's",IF(E1410&gt;15,"U19",IF(E1410&gt;13,"U15",IF(E1410&gt;11,"U13",IF(E1410&gt;0,"U11",0)))))</f>
        <v>U15</v>
      </c>
      <c r="E1410" s="456">
        <f>IFERROR(IF(Table11[[#This Row],[Year]]&gt;0,$E$1-Table11[[#This Row],[Year]],0),"")</f>
        <v>15</v>
      </c>
      <c r="F1410" s="456">
        <v>2010</v>
      </c>
      <c r="G1410" s="456">
        <v>8</v>
      </c>
      <c r="H1410" s="456">
        <v>11</v>
      </c>
    </row>
    <row r="1411" spans="1:8" ht="13.5" customHeight="1">
      <c r="A1411" s="471">
        <v>8407</v>
      </c>
      <c r="B1411" s="540" t="s">
        <v>4560</v>
      </c>
      <c r="C1411" s="471" t="s">
        <v>4658</v>
      </c>
      <c r="D1411" s="456" t="str">
        <f>IF(Table11[[#This Row],[Current Age]]&gt;19,"Women's",IF(E1411&gt;15,"U19",IF(E1411&gt;13,"U15",IF(E1411&gt;11,"U13",IF(E1411&gt;0,"U11",0)))))</f>
        <v>U13</v>
      </c>
      <c r="E1411" s="456">
        <f>IFERROR(IF(Table11[[#This Row],[Year]]&gt;0,$E$1-Table11[[#This Row],[Year]],0),"")</f>
        <v>12</v>
      </c>
      <c r="F1411" s="456">
        <v>2013</v>
      </c>
      <c r="G1411" s="456">
        <v>3</v>
      </c>
      <c r="H1411" s="456">
        <v>3</v>
      </c>
    </row>
    <row r="1412" spans="1:8" ht="13.5" customHeight="1">
      <c r="A1412" s="456">
        <v>8408</v>
      </c>
      <c r="B1412" s="457" t="s">
        <v>4561</v>
      </c>
      <c r="C1412" s="456" t="s">
        <v>4658</v>
      </c>
      <c r="D1412" s="456" t="str">
        <f>IF(Table11[[#This Row],[Current Age]]&gt;19,"Women's",IF(E1412&gt;15,"U19",IF(E1412&gt;13,"U15",IF(E1412&gt;11,"U13",IF(E1412&gt;0,"U11",0)))))</f>
        <v>U15</v>
      </c>
      <c r="E1412" s="456">
        <f>IFERROR(IF(Table11[[#This Row],[Year]]&gt;0,$E$1-Table11[[#This Row],[Year]],0),"")</f>
        <v>15</v>
      </c>
      <c r="F1412" s="456">
        <v>2010</v>
      </c>
      <c r="G1412" s="456">
        <v>7</v>
      </c>
      <c r="H1412" s="456">
        <v>25</v>
      </c>
    </row>
    <row r="1413" spans="1:8" ht="13.5" customHeight="1">
      <c r="A1413" s="471">
        <v>8409</v>
      </c>
      <c r="B1413" s="540" t="s">
        <v>4562</v>
      </c>
      <c r="C1413" s="471" t="s">
        <v>4658</v>
      </c>
      <c r="D1413" s="456" t="str">
        <f>IF(Table11[[#This Row],[Current Age]]&gt;19,"Women's",IF(E1413&gt;15,"U19",IF(E1413&gt;13,"U15",IF(E1413&gt;11,"U13",IF(E1413&gt;0,"U11",0)))))</f>
        <v>U15</v>
      </c>
      <c r="E1413" s="456">
        <f>IFERROR(IF(Table11[[#This Row],[Year]]&gt;0,$E$1-Table11[[#This Row],[Year]],0),"")</f>
        <v>15</v>
      </c>
      <c r="F1413" s="456">
        <v>2010</v>
      </c>
      <c r="G1413" s="456">
        <v>5</v>
      </c>
      <c r="H1413" s="456">
        <v>30</v>
      </c>
    </row>
    <row r="1414" spans="1:8" ht="13.5" customHeight="1">
      <c r="A1414" s="456">
        <v>8410</v>
      </c>
      <c r="B1414" s="457" t="s">
        <v>4563</v>
      </c>
      <c r="C1414" s="456" t="s">
        <v>4658</v>
      </c>
      <c r="D1414" s="456" t="str">
        <f>IF(Table11[[#This Row],[Current Age]]&gt;19,"Women's",IF(E1414&gt;15,"U19",IF(E1414&gt;13,"U15",IF(E1414&gt;11,"U13",IF(E1414&gt;0,"U11",0)))))</f>
        <v>U19</v>
      </c>
      <c r="E1414" s="456">
        <f>IFERROR(IF(Table11[[#This Row],[Year]]&gt;0,$E$1-Table11[[#This Row],[Year]],0),"")</f>
        <v>16</v>
      </c>
      <c r="F1414" s="456">
        <v>2009</v>
      </c>
      <c r="G1414" s="456">
        <v>7</v>
      </c>
      <c r="H1414" s="456">
        <v>28</v>
      </c>
    </row>
    <row r="1415" spans="1:8" ht="13.5" customHeight="1">
      <c r="A1415" s="471">
        <v>8411</v>
      </c>
      <c r="B1415" s="540" t="s">
        <v>4564</v>
      </c>
      <c r="C1415" s="471" t="s">
        <v>4658</v>
      </c>
      <c r="D1415" s="456" t="str">
        <f>IF(Table11[[#This Row],[Current Age]]&gt;19,"Women's",IF(E1415&gt;15,"U19",IF(E1415&gt;13,"U15",IF(E1415&gt;11,"U13",IF(E1415&gt;0,"U11",0)))))</f>
        <v>U15</v>
      </c>
      <c r="E1415" s="456">
        <f>IFERROR(IF(Table11[[#This Row],[Year]]&gt;0,$E$1-Table11[[#This Row],[Year]],0),"")</f>
        <v>15</v>
      </c>
      <c r="F1415" s="456">
        <v>2010</v>
      </c>
      <c r="G1415" s="456">
        <v>10</v>
      </c>
      <c r="H1415" s="456">
        <v>10</v>
      </c>
    </row>
    <row r="1416" spans="1:8" ht="13.5" customHeight="1">
      <c r="A1416" s="456">
        <v>8412</v>
      </c>
      <c r="B1416" s="457" t="s">
        <v>4565</v>
      </c>
      <c r="C1416" s="456" t="s">
        <v>4658</v>
      </c>
      <c r="D1416" s="456" t="str">
        <f>IF(Table11[[#This Row],[Current Age]]&gt;19,"Women's",IF(E1416&gt;15,"U19",IF(E1416&gt;13,"U15",IF(E1416&gt;11,"U13",IF(E1416&gt;0,"U11",0)))))</f>
        <v>U19</v>
      </c>
      <c r="E1416" s="456">
        <f>IFERROR(IF(Table11[[#This Row],[Year]]&gt;0,$E$1-Table11[[#This Row],[Year]],0),"")</f>
        <v>17</v>
      </c>
      <c r="F1416" s="456">
        <v>2008</v>
      </c>
      <c r="G1416" s="456">
        <v>2</v>
      </c>
      <c r="H1416" s="456">
        <v>1</v>
      </c>
    </row>
    <row r="1417" spans="1:8" ht="13.5" customHeight="1">
      <c r="A1417" s="471">
        <v>8413</v>
      </c>
      <c r="B1417" s="540" t="s">
        <v>4566</v>
      </c>
      <c r="C1417" s="471" t="s">
        <v>4658</v>
      </c>
      <c r="D1417" s="456" t="str">
        <f>IF(Table11[[#This Row],[Current Age]]&gt;19,"Women's",IF(E1417&gt;15,"U19",IF(E1417&gt;13,"U15",IF(E1417&gt;11,"U13",IF(E1417&gt;0,"U11",0)))))</f>
        <v>U19</v>
      </c>
      <c r="E1417" s="456">
        <f>IFERROR(IF(Table11[[#This Row],[Year]]&gt;0,$E$1-Table11[[#This Row],[Year]],0),"")</f>
        <v>17</v>
      </c>
      <c r="F1417" s="456">
        <v>2008</v>
      </c>
      <c r="G1417" s="456">
        <v>4</v>
      </c>
      <c r="H1417" s="456">
        <v>24</v>
      </c>
    </row>
    <row r="1418" spans="1:8" ht="13.5" customHeight="1">
      <c r="A1418" s="456">
        <v>8414</v>
      </c>
      <c r="B1418" s="457" t="s">
        <v>4567</v>
      </c>
      <c r="C1418" s="456" t="s">
        <v>4658</v>
      </c>
      <c r="D1418" s="456" t="str">
        <f>IF(Table11[[#This Row],[Current Age]]&gt;19,"Women's",IF(E1418&gt;15,"U19",IF(E1418&gt;13,"U15",IF(E1418&gt;11,"U13",IF(E1418&gt;0,"U11",0)))))</f>
        <v>U19</v>
      </c>
      <c r="E1418" s="456">
        <f>IFERROR(IF(Table11[[#This Row],[Year]]&gt;0,$E$1-Table11[[#This Row],[Year]],0),"")</f>
        <v>17</v>
      </c>
      <c r="F1418" s="456">
        <v>2008</v>
      </c>
      <c r="G1418" s="456">
        <v>5</v>
      </c>
      <c r="H1418" s="456">
        <v>26</v>
      </c>
    </row>
    <row r="1419" spans="1:8" ht="13.5" customHeight="1">
      <c r="A1419" s="471">
        <v>8415</v>
      </c>
      <c r="B1419" s="540" t="s">
        <v>4568</v>
      </c>
      <c r="C1419" s="471" t="s">
        <v>4658</v>
      </c>
      <c r="D1419" s="456" t="str">
        <f>IF(Table11[[#This Row],[Current Age]]&gt;19,"Women's",IF(E1419&gt;15,"U19",IF(E1419&gt;13,"U15",IF(E1419&gt;11,"U13",IF(E1419&gt;0,"U11",0)))))</f>
        <v>U19</v>
      </c>
      <c r="E1419" s="456">
        <f>IFERROR(IF(Table11[[#This Row],[Year]]&gt;0,$E$1-Table11[[#This Row],[Year]],0),"")</f>
        <v>16</v>
      </c>
      <c r="F1419" s="456">
        <v>2009</v>
      </c>
      <c r="G1419" s="456">
        <v>11</v>
      </c>
      <c r="H1419" s="456">
        <v>26</v>
      </c>
    </row>
    <row r="1420" spans="1:8" ht="13.5" customHeight="1">
      <c r="A1420" s="456">
        <v>8416</v>
      </c>
      <c r="B1420" s="457" t="s">
        <v>4586</v>
      </c>
      <c r="C1420" s="456" t="s">
        <v>4658</v>
      </c>
      <c r="D1420" s="456" t="str">
        <f>IF(Table11[[#This Row],[Current Age]]&gt;19,"Women's",IF(E1420&gt;15,"U19",IF(E1420&gt;13,"U15",IF(E1420&gt;11,"U13",IF(E1420&gt;0,"U11",0)))))</f>
        <v>Women's</v>
      </c>
      <c r="E1420" s="456">
        <f>IFERROR(IF(Table11[[#This Row],[Year]]&gt;0,$E$1-Table11[[#This Row],[Year]],0),"")</f>
        <v>21</v>
      </c>
      <c r="F1420" s="456">
        <v>2004</v>
      </c>
      <c r="G1420" s="456">
        <v>2</v>
      </c>
      <c r="H1420" s="456">
        <v>10</v>
      </c>
    </row>
    <row r="1421" spans="1:8" ht="13.5" customHeight="1">
      <c r="A1421" s="471">
        <v>8417</v>
      </c>
      <c r="B1421" s="540" t="s">
        <v>4589</v>
      </c>
      <c r="C1421" s="471" t="s">
        <v>4658</v>
      </c>
      <c r="D1421" s="456" t="str">
        <f>IF(Table11[[#This Row],[Current Age]]&gt;19,"Women's",IF(E1421&gt;15,"U19",IF(E1421&gt;13,"U15",IF(E1421&gt;11,"U13",IF(E1421&gt;0,"U11",0)))))</f>
        <v>U19</v>
      </c>
      <c r="E1421" s="456">
        <f>IFERROR(IF(Table11[[#This Row],[Year]]&gt;0,$E$1-Table11[[#This Row],[Year]],0),"")</f>
        <v>18</v>
      </c>
      <c r="F1421" s="456">
        <v>2007</v>
      </c>
      <c r="G1421" s="456">
        <v>2</v>
      </c>
      <c r="H1421" s="456">
        <v>11</v>
      </c>
    </row>
    <row r="1422" spans="1:8" ht="13.5" customHeight="1">
      <c r="A1422" s="456">
        <v>8418</v>
      </c>
      <c r="B1422" s="457" t="s">
        <v>4592</v>
      </c>
      <c r="C1422" s="456" t="s">
        <v>4658</v>
      </c>
      <c r="D1422" s="456" t="str">
        <f>IF(Table11[[#This Row],[Current Age]]&gt;19,"Women's",IF(E1422&gt;15,"U19",IF(E1422&gt;13,"U15",IF(E1422&gt;11,"U13",IF(E1422&gt;0,"U11",0)))))</f>
        <v>U19</v>
      </c>
      <c r="E1422" s="456">
        <f>IFERROR(IF(Table11[[#This Row],[Year]]&gt;0,$E$1-Table11[[#This Row],[Year]],0),"")</f>
        <v>19</v>
      </c>
      <c r="F1422" s="456">
        <v>2006</v>
      </c>
      <c r="G1422" s="456">
        <v>10</v>
      </c>
      <c r="H1422" s="456">
        <v>22</v>
      </c>
    </row>
    <row r="1423" spans="1:8" ht="13.5" customHeight="1">
      <c r="A1423" s="471">
        <v>8419</v>
      </c>
      <c r="B1423" s="540" t="s">
        <v>4594</v>
      </c>
      <c r="C1423" s="471" t="s">
        <v>4658</v>
      </c>
      <c r="D1423" s="456" t="str">
        <f>IF(Table11[[#This Row],[Current Age]]&gt;19,"Women's",IF(E1423&gt;15,"U19",IF(E1423&gt;13,"U15",IF(E1423&gt;11,"U13",IF(E1423&gt;0,"U11",0)))))</f>
        <v>U19</v>
      </c>
      <c r="E1423" s="456">
        <f>IFERROR(IF(Table11[[#This Row],[Year]]&gt;0,$E$1-Table11[[#This Row],[Year]],0),"")</f>
        <v>18</v>
      </c>
      <c r="F1423" s="456">
        <v>2007</v>
      </c>
      <c r="G1423" s="456">
        <v>4</v>
      </c>
      <c r="H1423" s="456">
        <v>26</v>
      </c>
    </row>
    <row r="1424" spans="1:8" ht="13.5" customHeight="1">
      <c r="A1424" s="456">
        <v>8420</v>
      </c>
      <c r="B1424" s="457" t="s">
        <v>4597</v>
      </c>
      <c r="C1424" s="456" t="s">
        <v>4658</v>
      </c>
      <c r="D1424" s="456" t="str">
        <f>IF(Table11[[#This Row],[Current Age]]&gt;19,"Women's",IF(E1424&gt;15,"U19",IF(E1424&gt;13,"U15",IF(E1424&gt;11,"U13",IF(E1424&gt;0,"U11",0)))))</f>
        <v>U19</v>
      </c>
      <c r="E1424" s="456">
        <f>IFERROR(IF(Table11[[#This Row],[Year]]&gt;0,$E$1-Table11[[#This Row],[Year]],0),"")</f>
        <v>18</v>
      </c>
      <c r="F1424" s="456">
        <v>2007</v>
      </c>
      <c r="G1424" s="456">
        <v>11</v>
      </c>
      <c r="H1424" s="456">
        <v>18</v>
      </c>
    </row>
    <row r="1425" spans="1:9" ht="13.5" customHeight="1">
      <c r="A1425" s="471">
        <v>8421</v>
      </c>
      <c r="B1425" s="540" t="s">
        <v>4598</v>
      </c>
      <c r="C1425" s="471" t="s">
        <v>4658</v>
      </c>
      <c r="D1425" s="456" t="str">
        <f>IF(Table11[[#This Row],[Current Age]]&gt;19,"Women's",IF(E1425&gt;15,"U19",IF(E1425&gt;13,"U15",IF(E1425&gt;11,"U13",IF(E1425&gt;0,"U11",0)))))</f>
        <v>U19</v>
      </c>
      <c r="E1425" s="456">
        <f>IFERROR(IF(Table11[[#This Row],[Year]]&gt;0,$E$1-Table11[[#This Row],[Year]],0),"")</f>
        <v>18</v>
      </c>
      <c r="F1425" s="456">
        <v>2007</v>
      </c>
      <c r="G1425" s="456">
        <v>9</v>
      </c>
      <c r="H1425" s="456">
        <v>22</v>
      </c>
    </row>
    <row r="1426" spans="1:9" ht="13.5" customHeight="1">
      <c r="A1426" s="456">
        <v>8422</v>
      </c>
      <c r="B1426" s="457" t="s">
        <v>4600</v>
      </c>
      <c r="C1426" s="456" t="s">
        <v>4658</v>
      </c>
      <c r="D1426" s="456" t="str">
        <f>IF(Table11[[#This Row],[Current Age]]&gt;19,"Women's",IF(E1426&gt;15,"U19",IF(E1426&gt;13,"U15",IF(E1426&gt;11,"U13",IF(E1426&gt;0,"U11",0)))))</f>
        <v>Women's</v>
      </c>
      <c r="E1426" s="456">
        <f>IFERROR(IF(Table11[[#This Row],[Year]]&gt;0,$E$1-Table11[[#This Row],[Year]],0),"")</f>
        <v>25</v>
      </c>
      <c r="F1426" s="456">
        <v>2000</v>
      </c>
      <c r="G1426" s="456">
        <v>12</v>
      </c>
      <c r="H1426" s="456">
        <v>27</v>
      </c>
    </row>
    <row r="1427" spans="1:9" ht="13.5" customHeight="1">
      <c r="A1427" s="471">
        <v>8423</v>
      </c>
      <c r="B1427" s="540" t="s">
        <v>4603</v>
      </c>
      <c r="C1427" s="471" t="s">
        <v>244</v>
      </c>
      <c r="D1427" s="456" t="str">
        <f>IF(Table11[[#This Row],[Current Age]]&gt;19,"Women's",IF(E1427&gt;15,"U19",IF(E1427&gt;13,"U15",IF(E1427&gt;11,"U13",IF(E1427&gt;0,"U11",0)))))</f>
        <v>U15</v>
      </c>
      <c r="E1427" s="456">
        <f>IFERROR(IF(Table11[[#This Row],[Year]]&gt;0,$E$1-Table11[[#This Row],[Year]],0),"")</f>
        <v>14</v>
      </c>
      <c r="F1427" s="456">
        <v>2011</v>
      </c>
      <c r="G1427" s="456">
        <v>3</v>
      </c>
      <c r="H1427" s="456">
        <v>22</v>
      </c>
    </row>
    <row r="1428" spans="1:9" ht="13.5" customHeight="1">
      <c r="A1428" s="456">
        <v>8424</v>
      </c>
      <c r="B1428" s="457" t="s">
        <v>4604</v>
      </c>
      <c r="C1428" s="456" t="s">
        <v>244</v>
      </c>
      <c r="D1428" s="456" t="str">
        <f>IF(Table11[[#This Row],[Current Age]]&gt;19,"Women's",IF(E1428&gt;15,"U19",IF(E1428&gt;13,"U15",IF(E1428&gt;11,"U13",IF(E1428&gt;0,"U11",0)))))</f>
        <v>U19</v>
      </c>
      <c r="E1428" s="456">
        <f>IFERROR(IF(Table11[[#This Row],[Year]]&gt;0,$E$1-Table11[[#This Row],[Year]],0),"")</f>
        <v>17</v>
      </c>
      <c r="F1428" s="456">
        <v>2008</v>
      </c>
      <c r="G1428" s="456">
        <v>8</v>
      </c>
      <c r="H1428" s="456">
        <v>15</v>
      </c>
    </row>
    <row r="1429" spans="1:9" ht="13.5" customHeight="1">
      <c r="A1429" s="471">
        <v>8425</v>
      </c>
      <c r="B1429" s="540" t="s">
        <v>4605</v>
      </c>
      <c r="C1429" s="471" t="s">
        <v>244</v>
      </c>
      <c r="D1429" s="456" t="str">
        <f>IF(Table11[[#This Row],[Current Age]]&gt;19,"Women's",IF(E1429&gt;15,"U19",IF(E1429&gt;13,"U15",IF(E1429&gt;11,"U13",IF(E1429&gt;0,"U11",0)))))</f>
        <v>U13</v>
      </c>
      <c r="E1429" s="456">
        <f>IFERROR(IF(Table11[[#This Row],[Year]]&gt;0,$E$1-Table11[[#This Row],[Year]],0),"")</f>
        <v>12</v>
      </c>
      <c r="F1429" s="456">
        <v>2013</v>
      </c>
      <c r="G1429" s="456">
        <v>8</v>
      </c>
      <c r="H1429" s="456">
        <v>5</v>
      </c>
    </row>
    <row r="1430" spans="1:9" ht="13.5" customHeight="1">
      <c r="A1430" s="456">
        <v>8426</v>
      </c>
      <c r="B1430" s="457" t="s">
        <v>4606</v>
      </c>
      <c r="C1430" s="456" t="s">
        <v>244</v>
      </c>
      <c r="D1430" s="456" t="str">
        <f>IF(Table11[[#This Row],[Current Age]]&gt;19,"Women's",IF(E1430&gt;15,"U19",IF(E1430&gt;13,"U15",IF(E1430&gt;11,"U13",IF(E1430&gt;0,"U11",0)))))</f>
        <v>U19</v>
      </c>
      <c r="E1430" s="456">
        <f>IFERROR(IF(Table11[[#This Row],[Year]]&gt;0,$E$1-Table11[[#This Row],[Year]],0),"")</f>
        <v>16</v>
      </c>
      <c r="F1430" s="456">
        <v>2009</v>
      </c>
      <c r="G1430" s="456">
        <v>8</v>
      </c>
      <c r="H1430" s="456">
        <v>20</v>
      </c>
    </row>
    <row r="1431" spans="1:9" ht="13.5" customHeight="1">
      <c r="A1431" s="471">
        <v>8427</v>
      </c>
      <c r="B1431" s="540" t="s">
        <v>4607</v>
      </c>
      <c r="C1431" s="471" t="s">
        <v>253</v>
      </c>
      <c r="D1431" s="456" t="str">
        <f>IF(Table11[[#This Row],[Current Age]]&gt;19,"Women's",IF(E1431&gt;15,"U19",IF(E1431&gt;13,"U15",IF(E1431&gt;11,"U13",IF(E1431&gt;0,"U11",0)))))</f>
        <v>U11</v>
      </c>
      <c r="E1431" s="456">
        <f>IFERROR(IF(Table11[[#This Row],[Year]]&gt;0,$E$1-Table11[[#This Row],[Year]],0),"")</f>
        <v>10</v>
      </c>
      <c r="F1431" s="456">
        <v>2015</v>
      </c>
      <c r="G1431" s="456">
        <v>5</v>
      </c>
      <c r="H1431" s="456">
        <v>5</v>
      </c>
    </row>
    <row r="1432" spans="1:9" ht="13.5" customHeight="1">
      <c r="A1432" s="456">
        <v>8428</v>
      </c>
      <c r="B1432" s="457" t="s">
        <v>4608</v>
      </c>
      <c r="C1432" s="456" t="s">
        <v>253</v>
      </c>
      <c r="D1432" s="456" t="str">
        <f>IF(Table11[[#This Row],[Current Age]]&gt;19,"Women's",IF(E1432&gt;15,"U19",IF(E1432&gt;13,"U15",IF(E1432&gt;11,"U13",IF(E1432&gt;0,"U11",0)))))</f>
        <v>U11</v>
      </c>
      <c r="E1432" s="456">
        <f>IFERROR(IF(Table11[[#This Row],[Year]]&gt;0,$E$1-Table11[[#This Row],[Year]],0),"")</f>
        <v>9</v>
      </c>
      <c r="F1432" s="456">
        <v>2016</v>
      </c>
      <c r="G1432" s="456">
        <v>2</v>
      </c>
      <c r="H1432" s="456">
        <v>15</v>
      </c>
    </row>
    <row r="1433" spans="1:9" ht="13.5" customHeight="1">
      <c r="A1433" s="471">
        <v>8429</v>
      </c>
      <c r="B1433" s="540" t="s">
        <v>4609</v>
      </c>
      <c r="C1433" s="471" t="s">
        <v>253</v>
      </c>
      <c r="D1433" s="456" t="str">
        <f>IF(Table11[[#This Row],[Current Age]]&gt;19,"Women's",IF(E1433&gt;15,"U19",IF(E1433&gt;13,"U15",IF(E1433&gt;11,"U13",IF(E1433&gt;0,"U11",0)))))</f>
        <v>U11</v>
      </c>
      <c r="E1433" s="456">
        <f>IFERROR(IF(Table11[[#This Row],[Year]]&gt;0,$E$1-Table11[[#This Row],[Year]],0),"")</f>
        <v>9</v>
      </c>
      <c r="F1433" s="456">
        <v>2016</v>
      </c>
      <c r="G1433" s="456">
        <v>9</v>
      </c>
      <c r="H1433" s="456">
        <v>18</v>
      </c>
    </row>
    <row r="1434" spans="1:9" ht="13.5" customHeight="1">
      <c r="A1434" s="456">
        <v>8430</v>
      </c>
      <c r="B1434" s="457" t="s">
        <v>4610</v>
      </c>
      <c r="C1434" s="456" t="s">
        <v>253</v>
      </c>
      <c r="D1434" s="456" t="str">
        <f>IF(Table11[[#This Row],[Current Age]]&gt;19,"Women's",IF(E1434&gt;15,"U19",IF(E1434&gt;13,"U15",IF(E1434&gt;11,"U13",IF(E1434&gt;0,"U11",0)))))</f>
        <v>U11</v>
      </c>
      <c r="E1434" s="456">
        <f>IFERROR(IF(Table11[[#This Row],[Year]]&gt;0,$E$1-Table11[[#This Row],[Year]],0),"")</f>
        <v>10</v>
      </c>
      <c r="F1434" s="456">
        <v>2015</v>
      </c>
      <c r="G1434" s="456">
        <v>4</v>
      </c>
      <c r="H1434" s="456">
        <v>19</v>
      </c>
    </row>
    <row r="1435" spans="1:9" ht="13.5" customHeight="1">
      <c r="A1435" s="471">
        <v>8431</v>
      </c>
      <c r="B1435" s="540" t="s">
        <v>4611</v>
      </c>
      <c r="C1435" s="471" t="s">
        <v>253</v>
      </c>
      <c r="D1435" s="456" t="str">
        <f>IF(Table11[[#This Row],[Current Age]]&gt;19,"Women's",IF(E1435&gt;15,"U19",IF(E1435&gt;13,"U15",IF(E1435&gt;11,"U13",IF(E1435&gt;0,"U11",0)))))</f>
        <v>U13</v>
      </c>
      <c r="E1435" s="456">
        <f>IFERROR(IF(Table11[[#This Row],[Year]]&gt;0,$E$1-Table11[[#This Row],[Year]],0),"")</f>
        <v>13</v>
      </c>
      <c r="F1435" s="456">
        <v>2012</v>
      </c>
      <c r="G1435" s="456">
        <v>3</v>
      </c>
      <c r="H1435" s="456">
        <v>5</v>
      </c>
    </row>
    <row r="1436" spans="1:9" ht="13.5" customHeight="1">
      <c r="A1436" s="456">
        <v>8432</v>
      </c>
      <c r="B1436" s="457" t="s">
        <v>4612</v>
      </c>
      <c r="C1436" s="456" t="s">
        <v>253</v>
      </c>
      <c r="D1436" s="456" t="str">
        <f>IF(Table11[[#This Row],[Current Age]]&gt;19,"Women's",IF(E1436&gt;15,"U19",IF(E1436&gt;13,"U15",IF(E1436&gt;11,"U13",IF(E1436&gt;0,"U11",0)))))</f>
        <v>U15</v>
      </c>
      <c r="E1436" s="456">
        <f>IFERROR(IF(Table11[[#This Row],[Year]]&gt;0,$E$1-Table11[[#This Row],[Year]],0),"")</f>
        <v>14</v>
      </c>
      <c r="F1436" s="456">
        <v>2011</v>
      </c>
      <c r="G1436" s="456">
        <v>2</v>
      </c>
      <c r="H1436" s="456">
        <v>2</v>
      </c>
    </row>
    <row r="1437" spans="1:9" ht="13.5" customHeight="1">
      <c r="A1437" s="471">
        <v>8433</v>
      </c>
      <c r="B1437" s="540" t="s">
        <v>4613</v>
      </c>
      <c r="C1437" s="471" t="s">
        <v>253</v>
      </c>
      <c r="D1437" s="456" t="str">
        <f>IF(Table11[[#This Row],[Current Age]]&gt;19,"Women's",IF(E1437&gt;15,"U19",IF(E1437&gt;13,"U15",IF(E1437&gt;11,"U13",IF(E1437&gt;0,"U11",0)))))</f>
        <v>U13</v>
      </c>
      <c r="E1437" s="456">
        <f>IFERROR(IF(Table11[[#This Row],[Year]]&gt;0,$E$1-Table11[[#This Row],[Year]],0),"")</f>
        <v>13</v>
      </c>
      <c r="F1437" s="456">
        <v>2012</v>
      </c>
      <c r="G1437" s="456">
        <v>6</v>
      </c>
      <c r="H1437" s="456">
        <v>27</v>
      </c>
    </row>
    <row r="1438" spans="1:9" ht="13.5" customHeight="1">
      <c r="A1438" s="456">
        <v>8434</v>
      </c>
      <c r="B1438" s="457" t="s">
        <v>4614</v>
      </c>
      <c r="C1438" s="456" t="s">
        <v>253</v>
      </c>
      <c r="D1438" s="456" t="str">
        <f>IF(Table11[[#This Row],[Current Age]]&gt;19,"Women's",IF(E1438&gt;15,"U19",IF(E1438&gt;13,"U15",IF(E1438&gt;11,"U13",IF(E1438&gt;0,"U11",0)))))</f>
        <v>U15</v>
      </c>
      <c r="E1438" s="456">
        <f>IFERROR(IF(Table11[[#This Row],[Year]]&gt;0,$E$1-Table11[[#This Row],[Year]],0),"")</f>
        <v>14</v>
      </c>
      <c r="F1438" s="456">
        <v>2011</v>
      </c>
      <c r="G1438" s="456">
        <v>9</v>
      </c>
      <c r="H1438" s="456">
        <v>28</v>
      </c>
    </row>
    <row r="1439" spans="1:9" ht="13.5" customHeight="1">
      <c r="A1439" s="471">
        <v>8435</v>
      </c>
      <c r="B1439" s="540" t="s">
        <v>4628</v>
      </c>
      <c r="C1439" s="471" t="s">
        <v>3346</v>
      </c>
      <c r="D1439" s="456" t="str">
        <f>IF(Table11[[#This Row],[Current Age]]&gt;19,"Women's",IF(E1439&gt;15,"U19",IF(E1439&gt;13,"U15",IF(E1439&gt;11,"U13",IF(E1439&gt;0,"U11",0)))))</f>
        <v>U15</v>
      </c>
      <c r="E1439" s="456">
        <f>IFERROR(IF(Table11[[#This Row],[Year]]&gt;0,$E$1-Table11[[#This Row],[Year]],0),"")</f>
        <v>14</v>
      </c>
      <c r="F1439" s="456">
        <v>2011</v>
      </c>
      <c r="G1439" s="456">
        <v>8</v>
      </c>
      <c r="H1439" s="456">
        <v>13</v>
      </c>
      <c r="I1439" t="s">
        <v>5107</v>
      </c>
    </row>
    <row r="1440" spans="1:9" ht="13.5" customHeight="1">
      <c r="A1440" s="456">
        <v>8436</v>
      </c>
      <c r="B1440" s="457" t="s">
        <v>4629</v>
      </c>
      <c r="C1440" s="456" t="s">
        <v>3346</v>
      </c>
      <c r="D1440" s="456" t="str">
        <f>IF(Table11[[#This Row],[Current Age]]&gt;19,"Women's",IF(E1440&gt;15,"U19",IF(E1440&gt;13,"U15",IF(E1440&gt;11,"U13",IF(E1440&gt;0,"U11",0)))))</f>
        <v>U19</v>
      </c>
      <c r="E1440" s="456">
        <f>IFERROR(IF(Table11[[#This Row],[Year]]&gt;0,$E$1-Table11[[#This Row],[Year]],0),"")</f>
        <v>19</v>
      </c>
      <c r="F1440" s="456">
        <v>2006</v>
      </c>
      <c r="G1440" s="456">
        <v>11</v>
      </c>
      <c r="H1440" s="456">
        <v>24</v>
      </c>
    </row>
    <row r="1441" spans="1:8" ht="13.5" customHeight="1">
      <c r="A1441" s="471">
        <v>8437</v>
      </c>
      <c r="B1441" s="540" t="s">
        <v>4630</v>
      </c>
      <c r="C1441" s="471" t="s">
        <v>3346</v>
      </c>
      <c r="D1441" s="456" t="str">
        <f>IF(Table11[[#This Row],[Current Age]]&gt;19,"Women's",IF(E1441&gt;15,"U19",IF(E1441&gt;13,"U15",IF(E1441&gt;11,"U13",IF(E1441&gt;0,"U11",0)))))</f>
        <v>U15</v>
      </c>
      <c r="E1441" s="456">
        <f>IFERROR(IF(Table11[[#This Row],[Year]]&gt;0,$E$1-Table11[[#This Row],[Year]],0),"")</f>
        <v>15</v>
      </c>
      <c r="F1441" s="456">
        <v>2010</v>
      </c>
      <c r="G1441" s="456">
        <v>12</v>
      </c>
      <c r="H1441" s="456">
        <v>20</v>
      </c>
    </row>
    <row r="1442" spans="1:8" ht="13.5" customHeight="1">
      <c r="A1442" s="456">
        <v>8438</v>
      </c>
      <c r="B1442" s="457" t="s">
        <v>4473</v>
      </c>
      <c r="C1442" s="456" t="s">
        <v>3346</v>
      </c>
      <c r="D1442" s="456" t="str">
        <f>IF(Table11[[#This Row],[Current Age]]&gt;19,"Women's",IF(E1442&gt;15,"U19",IF(E1442&gt;13,"U15",IF(E1442&gt;11,"U13",IF(E1442&gt;0,"U11",0)))))</f>
        <v>U15</v>
      </c>
      <c r="E1442" s="456">
        <f>IFERROR(IF(Table11[[#This Row],[Year]]&gt;0,$E$1-Table11[[#This Row],[Year]],0),"")</f>
        <v>15</v>
      </c>
      <c r="F1442" s="456">
        <v>2010</v>
      </c>
      <c r="G1442" s="456">
        <v>3</v>
      </c>
      <c r="H1442" s="456">
        <v>2</v>
      </c>
    </row>
    <row r="1443" spans="1:8" ht="13.5" customHeight="1">
      <c r="A1443" s="471">
        <v>8439</v>
      </c>
      <c r="B1443" s="540" t="s">
        <v>4474</v>
      </c>
      <c r="C1443" s="471" t="s">
        <v>3346</v>
      </c>
      <c r="D1443" s="456" t="str">
        <f>IF(Table11[[#This Row],[Current Age]]&gt;19,"Women's",IF(E1443&gt;15,"U19",IF(E1443&gt;13,"U15",IF(E1443&gt;11,"U13",IF(E1443&gt;0,"U11",0)))))</f>
        <v>U15</v>
      </c>
      <c r="E1443" s="456">
        <f>IFERROR(IF(Table11[[#This Row],[Year]]&gt;0,$E$1-Table11[[#This Row],[Year]],0),"")</f>
        <v>14</v>
      </c>
      <c r="F1443" s="456">
        <v>2011</v>
      </c>
      <c r="G1443" s="456">
        <v>9</v>
      </c>
      <c r="H1443" s="456">
        <v>27</v>
      </c>
    </row>
    <row r="1444" spans="1:8" ht="13.5" customHeight="1">
      <c r="A1444" s="456">
        <v>8440</v>
      </c>
      <c r="B1444" s="457" t="s">
        <v>4466</v>
      </c>
      <c r="C1444" s="456" t="s">
        <v>3346</v>
      </c>
      <c r="D1444" s="456" t="str">
        <f>IF(Table11[[#This Row],[Current Age]]&gt;19,"Women's",IF(E1444&gt;15,"U19",IF(E1444&gt;13,"U15",IF(E1444&gt;11,"U13",IF(E1444&gt;0,"U11",0)))))</f>
        <v>U19</v>
      </c>
      <c r="E1444" s="456">
        <f>IFERROR(IF(Table11[[#This Row],[Year]]&gt;0,$E$1-Table11[[#This Row],[Year]],0),"")</f>
        <v>19</v>
      </c>
      <c r="F1444" s="456">
        <v>2006</v>
      </c>
      <c r="G1444" s="456">
        <v>12</v>
      </c>
      <c r="H1444" s="456">
        <v>8</v>
      </c>
    </row>
    <row r="1445" spans="1:8" ht="13.5" customHeight="1">
      <c r="A1445" s="471">
        <v>8441</v>
      </c>
      <c r="B1445" s="540" t="s">
        <v>4467</v>
      </c>
      <c r="C1445" s="471" t="s">
        <v>3346</v>
      </c>
      <c r="D1445" s="456" t="str">
        <f>IF(Table11[[#This Row],[Current Age]]&gt;19,"Women's",IF(E1445&gt;15,"U19",IF(E1445&gt;13,"U15",IF(E1445&gt;11,"U13",IF(E1445&gt;0,"U11",0)))))</f>
        <v>Women's</v>
      </c>
      <c r="E1445" s="456">
        <f>IFERROR(IF(Table11[[#This Row],[Year]]&gt;0,$E$1-Table11[[#This Row],[Year]],0),"")</f>
        <v>30</v>
      </c>
      <c r="F1445" s="456">
        <v>1995</v>
      </c>
      <c r="G1445" s="456">
        <v>1</v>
      </c>
      <c r="H1445" s="456">
        <v>3</v>
      </c>
    </row>
    <row r="1446" spans="1:8" ht="13.5" customHeight="1">
      <c r="A1446" s="456">
        <v>8442</v>
      </c>
      <c r="B1446" s="457" t="s">
        <v>4631</v>
      </c>
      <c r="C1446" s="456" t="s">
        <v>243</v>
      </c>
      <c r="D1446" s="456" t="str">
        <f>IF(Table11[[#This Row],[Current Age]]&gt;19,"Women's",IF(E1446&gt;15,"U19",IF(E1446&gt;13,"U15",IF(E1446&gt;11,"U13",IF(E1446&gt;0,"U11",0)))))</f>
        <v>U11</v>
      </c>
      <c r="E1446" s="456">
        <f>IFERROR(IF(Table11[[#This Row],[Year]]&gt;0,$E$1-Table11[[#This Row],[Year]],0),"")</f>
        <v>9</v>
      </c>
      <c r="F1446" s="456">
        <v>2016</v>
      </c>
      <c r="G1446" s="456">
        <v>9</v>
      </c>
      <c r="H1446" s="456">
        <v>4</v>
      </c>
    </row>
    <row r="1447" spans="1:8" ht="13.5" customHeight="1">
      <c r="A1447" s="471">
        <v>8443</v>
      </c>
      <c r="B1447" s="540" t="s">
        <v>4632</v>
      </c>
      <c r="C1447" s="471" t="s">
        <v>244</v>
      </c>
      <c r="D1447" s="456" t="str">
        <f>IF(Table11[[#This Row],[Current Age]]&gt;19,"Women's",IF(E1447&gt;15,"U19",IF(E1447&gt;13,"U15",IF(E1447&gt;11,"U13",IF(E1447&gt;0,"U11",0)))))</f>
        <v>Women's</v>
      </c>
      <c r="E1447" s="456">
        <f>IFERROR(IF(Table11[[#This Row],[Year]]&gt;0,$E$1-Table11[[#This Row],[Year]],0),"")</f>
        <v>22</v>
      </c>
      <c r="F1447" s="456">
        <v>2003</v>
      </c>
      <c r="G1447" s="456">
        <v>10</v>
      </c>
      <c r="H1447" s="456">
        <v>16</v>
      </c>
    </row>
    <row r="1448" spans="1:8" ht="13.5" customHeight="1">
      <c r="A1448" s="456">
        <v>8444</v>
      </c>
      <c r="B1448" s="457" t="s">
        <v>4633</v>
      </c>
      <c r="C1448" s="456" t="s">
        <v>244</v>
      </c>
      <c r="D1448" s="456" t="str">
        <f>IF(Table11[[#This Row],[Current Age]]&gt;19,"Women's",IF(E1448&gt;15,"U19",IF(E1448&gt;13,"U15",IF(E1448&gt;11,"U13",IF(E1448&gt;0,"U11",0)))))</f>
        <v>U15</v>
      </c>
      <c r="E1448" s="456">
        <f>IFERROR(IF(Table11[[#This Row],[Year]]&gt;0,$E$1-Table11[[#This Row],[Year]],0),"")</f>
        <v>15</v>
      </c>
      <c r="F1448" s="456">
        <v>2010</v>
      </c>
      <c r="G1448" s="456">
        <v>3</v>
      </c>
      <c r="H1448" s="456">
        <v>26</v>
      </c>
    </row>
    <row r="1449" spans="1:8" ht="13.5" customHeight="1">
      <c r="A1449" s="471">
        <v>8445</v>
      </c>
      <c r="B1449" s="540" t="s">
        <v>4637</v>
      </c>
      <c r="C1449" s="471" t="s">
        <v>243</v>
      </c>
      <c r="D1449" s="456" t="str">
        <f>IF(Table11[[#This Row],[Current Age]]&gt;19,"Women's",IF(E1449&gt;15,"U19",IF(E1449&gt;13,"U15",IF(E1449&gt;11,"U13",IF(E1449&gt;0,"U11",0)))))</f>
        <v>Women's</v>
      </c>
      <c r="E1449" s="456">
        <f>IFERROR(IF(Table11[[#This Row],[Year]]&gt;0,$E$1-Table11[[#This Row],[Year]],0),"")</f>
        <v>42</v>
      </c>
      <c r="F1449" s="456">
        <v>1983</v>
      </c>
      <c r="G1449" s="456">
        <v>2</v>
      </c>
      <c r="H1449" s="456">
        <v>16</v>
      </c>
    </row>
    <row r="1450" spans="1:8" ht="13.5" customHeight="1">
      <c r="A1450" s="456">
        <v>8446</v>
      </c>
      <c r="B1450" s="457" t="s">
        <v>4638</v>
      </c>
      <c r="C1450" s="456" t="s">
        <v>243</v>
      </c>
      <c r="D1450" s="456" t="str">
        <f>IF(Table11[[#This Row],[Current Age]]&gt;19,"Women's",IF(E1450&gt;15,"U19",IF(E1450&gt;13,"U15",IF(E1450&gt;11,"U13",IF(E1450&gt;0,"U11",0)))))</f>
        <v>U13</v>
      </c>
      <c r="E1450" s="456">
        <f>IFERROR(IF(Table11[[#This Row],[Year]]&gt;0,$E$1-Table11[[#This Row],[Year]],0),"")</f>
        <v>13</v>
      </c>
      <c r="F1450" s="456">
        <v>2012</v>
      </c>
      <c r="G1450" s="456">
        <v>4</v>
      </c>
      <c r="H1450" s="456">
        <v>12</v>
      </c>
    </row>
    <row r="1451" spans="1:8" ht="13.5" customHeight="1">
      <c r="A1451" s="471">
        <v>8447</v>
      </c>
      <c r="B1451" s="540" t="s">
        <v>4639</v>
      </c>
      <c r="C1451" s="471" t="s">
        <v>243</v>
      </c>
      <c r="D1451" s="456" t="str">
        <f>IF(Table11[[#This Row],[Current Age]]&gt;19,"Women's",IF(E1451&gt;15,"U19",IF(E1451&gt;13,"U15",IF(E1451&gt;11,"U13",IF(E1451&gt;0,"U11",0)))))</f>
        <v>Women's</v>
      </c>
      <c r="E1451" s="456">
        <f>IFERROR(IF(Table11[[#This Row],[Year]]&gt;0,$E$1-Table11[[#This Row],[Year]],0),"")</f>
        <v>52</v>
      </c>
      <c r="F1451" s="456">
        <v>1973</v>
      </c>
      <c r="G1451" s="456">
        <v>6</v>
      </c>
      <c r="H1451" s="456">
        <v>29</v>
      </c>
    </row>
    <row r="1452" spans="1:8" ht="13.5" customHeight="1">
      <c r="A1452" s="456">
        <v>8448</v>
      </c>
      <c r="B1452" s="457" t="s">
        <v>4640</v>
      </c>
      <c r="C1452" s="456" t="s">
        <v>243</v>
      </c>
      <c r="D1452" s="456" t="str">
        <f>IF(Table11[[#This Row],[Current Age]]&gt;19,"Women's",IF(E1452&gt;15,"U19",IF(E1452&gt;13,"U15",IF(E1452&gt;11,"U13",IF(E1452&gt;0,"U11",0)))))</f>
        <v>Women's</v>
      </c>
      <c r="E1452" s="456">
        <f>IFERROR(IF(Table11[[#This Row],[Year]]&gt;0,$E$1-Table11[[#This Row],[Year]],0),"")</f>
        <v>51</v>
      </c>
      <c r="F1452" s="456">
        <v>1974</v>
      </c>
      <c r="G1452" s="456">
        <v>5</v>
      </c>
      <c r="H1452" s="456">
        <v>5</v>
      </c>
    </row>
    <row r="1453" spans="1:8" ht="13.5" customHeight="1">
      <c r="A1453" s="471">
        <v>8449</v>
      </c>
      <c r="B1453" s="540" t="s">
        <v>4656</v>
      </c>
      <c r="C1453" s="471" t="s">
        <v>246</v>
      </c>
      <c r="D1453" s="456" t="str">
        <f>IF(Table11[[#This Row],[Current Age]]&gt;19,"Women's",IF(E1453&gt;15,"U19",IF(E1453&gt;13,"U15",IF(E1453&gt;11,"U13",IF(E1453&gt;0,"U11",0)))))</f>
        <v>Women's</v>
      </c>
      <c r="E1453" s="456">
        <f>IFERROR(IF(Table11[[#This Row],[Year]]&gt;0,$E$1-Table11[[#This Row],[Year]],0),"")</f>
        <v>28</v>
      </c>
      <c r="F1453" s="456">
        <v>1997</v>
      </c>
      <c r="G1453" s="456">
        <v>4</v>
      </c>
      <c r="H1453" s="456">
        <v>28</v>
      </c>
    </row>
    <row r="1454" spans="1:8" ht="13.5" customHeight="1">
      <c r="A1454" s="456">
        <v>8450</v>
      </c>
      <c r="B1454" s="457" t="s">
        <v>4657</v>
      </c>
      <c r="C1454" s="456" t="s">
        <v>246</v>
      </c>
      <c r="D1454" s="456" t="str">
        <f>IF(Table11[[#This Row],[Current Age]]&gt;19,"Women's",IF(E1454&gt;15,"U19",IF(E1454&gt;13,"U15",IF(E1454&gt;11,"U13",IF(E1454&gt;0,"U11",0)))))</f>
        <v>Women's</v>
      </c>
      <c r="E1454" s="456">
        <f>IFERROR(IF(Table11[[#This Row],[Year]]&gt;0,$E$1-Table11[[#This Row],[Year]],0),"")</f>
        <v>29</v>
      </c>
      <c r="F1454" s="456">
        <v>1996</v>
      </c>
      <c r="G1454" s="456">
        <v>5</v>
      </c>
      <c r="H1454" s="456">
        <v>26</v>
      </c>
    </row>
    <row r="1455" spans="1:8" ht="13.5" customHeight="1">
      <c r="A1455" s="471">
        <v>8451</v>
      </c>
      <c r="B1455" s="540" t="s">
        <v>4659</v>
      </c>
      <c r="C1455" s="471" t="s">
        <v>247</v>
      </c>
      <c r="D1455" s="456">
        <f>IF(Table11[[#This Row],[Current Age]]&gt;19,"Women's",IF(E1455&gt;15,"U19",IF(E1455&gt;13,"U15",IF(E1455&gt;11,"U13",IF(E1455&gt;0,"U11",0)))))</f>
        <v>0</v>
      </c>
      <c r="E1455" s="456">
        <f>IFERROR(IF(Table11[[#This Row],[Year]]&gt;0,$E$1-Table11[[#This Row],[Year]],0),"")</f>
        <v>0</v>
      </c>
      <c r="F1455" s="456"/>
      <c r="G1455" s="456"/>
      <c r="H1455" s="456"/>
    </row>
    <row r="1456" spans="1:8" ht="13.5" customHeight="1">
      <c r="A1456" s="456">
        <v>8452</v>
      </c>
      <c r="B1456" s="457" t="s">
        <v>4660</v>
      </c>
      <c r="C1456" s="456" t="s">
        <v>247</v>
      </c>
      <c r="D1456" s="456">
        <f>IF(Table11[[#This Row],[Current Age]]&gt;19,"Women's",IF(E1456&gt;15,"U19",IF(E1456&gt;13,"U15",IF(E1456&gt;11,"U13",IF(E1456&gt;0,"U11",0)))))</f>
        <v>0</v>
      </c>
      <c r="E1456" s="456">
        <f>IFERROR(IF(Table11[[#This Row],[Year]]&gt;0,$E$1-Table11[[#This Row],[Year]],0),"")</f>
        <v>0</v>
      </c>
      <c r="F1456" s="456"/>
      <c r="G1456" s="456"/>
      <c r="H1456" s="456"/>
    </row>
    <row r="1457" spans="1:8" ht="13.5" customHeight="1">
      <c r="A1457" s="471">
        <v>8453</v>
      </c>
      <c r="B1457" s="540" t="s">
        <v>4661</v>
      </c>
      <c r="C1457" s="471" t="s">
        <v>247</v>
      </c>
      <c r="D1457" s="456">
        <f>IF(Table11[[#This Row],[Current Age]]&gt;19,"Women's",IF(E1457&gt;15,"U19",IF(E1457&gt;13,"U15",IF(E1457&gt;11,"U13",IF(E1457&gt;0,"U11",0)))))</f>
        <v>0</v>
      </c>
      <c r="E1457" s="456">
        <f>IFERROR(IF(Table11[[#This Row],[Year]]&gt;0,$E$1-Table11[[#This Row],[Year]],0),"")</f>
        <v>0</v>
      </c>
      <c r="F1457" s="456"/>
      <c r="G1457" s="456"/>
      <c r="H1457" s="456"/>
    </row>
    <row r="1458" spans="1:8" ht="13.5" customHeight="1">
      <c r="A1458" s="456">
        <v>8454</v>
      </c>
      <c r="B1458" s="457" t="s">
        <v>4662</v>
      </c>
      <c r="C1458" s="456" t="s">
        <v>247</v>
      </c>
      <c r="D1458" s="456">
        <f>IF(Table11[[#This Row],[Current Age]]&gt;19,"Women's",IF(E1458&gt;15,"U19",IF(E1458&gt;13,"U15",IF(E1458&gt;11,"U13",IF(E1458&gt;0,"U11",0)))))</f>
        <v>0</v>
      </c>
      <c r="E1458" s="456">
        <f>IFERROR(IF(Table11[[#This Row],[Year]]&gt;0,$E$1-Table11[[#This Row],[Year]],0),"")</f>
        <v>0</v>
      </c>
      <c r="F1458" s="456"/>
      <c r="G1458" s="456"/>
      <c r="H1458" s="456"/>
    </row>
    <row r="1459" spans="1:8" ht="13.5" customHeight="1">
      <c r="A1459" s="471">
        <v>8455</v>
      </c>
      <c r="B1459" s="540" t="s">
        <v>4672</v>
      </c>
      <c r="C1459" s="471" t="s">
        <v>3750</v>
      </c>
      <c r="D1459" s="456" t="str">
        <f>IF(Table11[[#This Row],[Current Age]]&gt;19,"Women's",IF(E1459&gt;15,"U19",IF(E1459&gt;13,"U15",IF(E1459&gt;11,"U13",IF(E1459&gt;0,"U11",0)))))</f>
        <v>Women's</v>
      </c>
      <c r="E1459" s="456">
        <f>IFERROR(IF(Table11[[#This Row],[Year]]&gt;0,$E$1-Table11[[#This Row],[Year]],0),"")</f>
        <v>55</v>
      </c>
      <c r="F1459" s="456">
        <v>1970</v>
      </c>
      <c r="G1459" s="456">
        <v>1</v>
      </c>
      <c r="H1459" s="456">
        <v>30</v>
      </c>
    </row>
    <row r="1460" spans="1:8" ht="13.5" customHeight="1">
      <c r="A1460" s="456">
        <v>8456</v>
      </c>
      <c r="B1460" s="457" t="s">
        <v>4691</v>
      </c>
      <c r="C1460" s="456" t="s">
        <v>251</v>
      </c>
      <c r="D1460" s="456" t="str">
        <f>IF(Table11[[#This Row],[Current Age]]&gt;19,"Women's",IF(E1460&gt;15,"U19",IF(E1460&gt;13,"U15",IF(E1460&gt;11,"U13",IF(E1460&gt;0,"U11",0)))))</f>
        <v>U13</v>
      </c>
      <c r="E1460" s="456">
        <f>IFERROR(IF(Table11[[#This Row],[Year]]&gt;0,$E$1-Table11[[#This Row],[Year]],0),"")</f>
        <v>12</v>
      </c>
      <c r="F1460" s="456">
        <v>2013</v>
      </c>
      <c r="G1460" s="456">
        <v>11</v>
      </c>
      <c r="H1460" s="456">
        <v>16</v>
      </c>
    </row>
    <row r="1461" spans="1:8" ht="13.5" customHeight="1">
      <c r="A1461" s="471">
        <v>8457</v>
      </c>
      <c r="B1461" s="540" t="s">
        <v>4692</v>
      </c>
      <c r="C1461" s="471" t="s">
        <v>251</v>
      </c>
      <c r="D1461" s="456" t="str">
        <f>IF(Table11[[#This Row],[Current Age]]&gt;19,"Women's",IF(E1461&gt;15,"U19",IF(E1461&gt;13,"U15",IF(E1461&gt;11,"U13",IF(E1461&gt;0,"U11",0)))))</f>
        <v>U11</v>
      </c>
      <c r="E1461" s="456">
        <f>IFERROR(IF(Table11[[#This Row],[Year]]&gt;0,$E$1-Table11[[#This Row],[Year]],0),"")</f>
        <v>11</v>
      </c>
      <c r="F1461" s="456">
        <v>2014</v>
      </c>
      <c r="G1461" s="456">
        <v>8</v>
      </c>
      <c r="H1461" s="456">
        <v>25</v>
      </c>
    </row>
    <row r="1462" spans="1:8" ht="13.5" customHeight="1">
      <c r="A1462" s="456">
        <v>8458</v>
      </c>
      <c r="B1462" s="457" t="s">
        <v>4693</v>
      </c>
      <c r="C1462" s="456" t="s">
        <v>251</v>
      </c>
      <c r="D1462" s="456" t="str">
        <f>IF(Table11[[#This Row],[Current Age]]&gt;19,"Women's",IF(E1462&gt;15,"U19",IF(E1462&gt;13,"U15",IF(E1462&gt;11,"U13",IF(E1462&gt;0,"U11",0)))))</f>
        <v>U13</v>
      </c>
      <c r="E1462" s="456">
        <f>IFERROR(IF(Table11[[#This Row],[Year]]&gt;0,$E$1-Table11[[#This Row],[Year]],0),"")</f>
        <v>13</v>
      </c>
      <c r="F1462" s="456">
        <v>2012</v>
      </c>
      <c r="G1462" s="456">
        <v>8</v>
      </c>
      <c r="H1462" s="456">
        <v>19</v>
      </c>
    </row>
    <row r="1463" spans="1:8" ht="13.5" customHeight="1">
      <c r="A1463" s="471">
        <v>8459</v>
      </c>
      <c r="B1463" s="540" t="s">
        <v>4694</v>
      </c>
      <c r="C1463" s="471" t="s">
        <v>251</v>
      </c>
      <c r="D1463" s="456" t="str">
        <f>IF(Table11[[#This Row],[Current Age]]&gt;19,"Women's",IF(E1463&gt;15,"U19",IF(E1463&gt;13,"U15",IF(E1463&gt;11,"U13",IF(E1463&gt;0,"U11",0)))))</f>
        <v>U15</v>
      </c>
      <c r="E1463" s="456">
        <f>IFERROR(IF(Table11[[#This Row],[Year]]&gt;0,$E$1-Table11[[#This Row],[Year]],0),"")</f>
        <v>15</v>
      </c>
      <c r="F1463" s="456">
        <v>2010</v>
      </c>
      <c r="G1463" s="456">
        <v>9</v>
      </c>
      <c r="H1463" s="456">
        <v>23</v>
      </c>
    </row>
    <row r="1464" spans="1:8" ht="13.5" customHeight="1">
      <c r="A1464" s="456">
        <v>8460</v>
      </c>
      <c r="B1464" s="457" t="s">
        <v>4695</v>
      </c>
      <c r="C1464" s="456" t="s">
        <v>251</v>
      </c>
      <c r="D1464" s="456" t="str">
        <f>IF(Table11[[#This Row],[Current Age]]&gt;19,"Women's",IF(E1464&gt;15,"U19",IF(E1464&gt;13,"U15",IF(E1464&gt;11,"U13",IF(E1464&gt;0,"U11",0)))))</f>
        <v>U11</v>
      </c>
      <c r="E1464" s="456">
        <f>IFERROR(IF(Table11[[#This Row],[Year]]&gt;0,$E$1-Table11[[#This Row],[Year]],0),"")</f>
        <v>10</v>
      </c>
      <c r="F1464" s="456">
        <v>2015</v>
      </c>
      <c r="G1464" s="456">
        <v>6</v>
      </c>
      <c r="H1464" s="456">
        <v>16</v>
      </c>
    </row>
    <row r="1465" spans="1:8" ht="13.5" customHeight="1">
      <c r="A1465" s="471">
        <v>8461</v>
      </c>
      <c r="B1465" s="540" t="s">
        <v>4696</v>
      </c>
      <c r="C1465" s="471" t="s">
        <v>251</v>
      </c>
      <c r="D1465" s="456" t="str">
        <f>IF(Table11[[#This Row],[Current Age]]&gt;19,"Women's",IF(E1465&gt;15,"U19",IF(E1465&gt;13,"U15",IF(E1465&gt;11,"U13",IF(E1465&gt;0,"U11",0)))))</f>
        <v>U13</v>
      </c>
      <c r="E1465" s="456">
        <f>IFERROR(IF(Table11[[#This Row],[Year]]&gt;0,$E$1-Table11[[#This Row],[Year]],0),"")</f>
        <v>13</v>
      </c>
      <c r="F1465" s="456">
        <v>2012</v>
      </c>
      <c r="G1465" s="456">
        <v>10</v>
      </c>
      <c r="H1465" s="456">
        <v>13</v>
      </c>
    </row>
    <row r="1466" spans="1:8" ht="13.5" customHeight="1">
      <c r="A1466" s="456">
        <v>8462</v>
      </c>
      <c r="B1466" s="457" t="s">
        <v>4697</v>
      </c>
      <c r="C1466" s="456" t="s">
        <v>251</v>
      </c>
      <c r="D1466" s="456" t="str">
        <f>IF(Table11[[#This Row],[Current Age]]&gt;19,"Women's",IF(E1466&gt;15,"U19",IF(E1466&gt;13,"U15",IF(E1466&gt;11,"U13",IF(E1466&gt;0,"U11",0)))))</f>
        <v>U11</v>
      </c>
      <c r="E1466" s="456">
        <f>IFERROR(IF(Table11[[#This Row],[Year]]&gt;0,$E$1-Table11[[#This Row],[Year]],0),"")</f>
        <v>11</v>
      </c>
      <c r="F1466" s="456">
        <v>2014</v>
      </c>
      <c r="G1466" s="456">
        <v>7</v>
      </c>
      <c r="H1466" s="456">
        <v>24</v>
      </c>
    </row>
    <row r="1467" spans="1:8" ht="13.5" customHeight="1">
      <c r="A1467" s="471">
        <v>8463</v>
      </c>
      <c r="B1467" s="540" t="s">
        <v>4698</v>
      </c>
      <c r="C1467" s="471" t="s">
        <v>251</v>
      </c>
      <c r="D1467" s="456" t="str">
        <f>IF(Table11[[#This Row],[Current Age]]&gt;19,"Women's",IF(E1467&gt;15,"U19",IF(E1467&gt;13,"U15",IF(E1467&gt;11,"U13",IF(E1467&gt;0,"U11",0)))))</f>
        <v>U15</v>
      </c>
      <c r="E1467" s="456">
        <f>IFERROR(IF(Table11[[#This Row],[Year]]&gt;0,$E$1-Table11[[#This Row],[Year]],0),"")</f>
        <v>14</v>
      </c>
      <c r="F1467" s="456">
        <v>2011</v>
      </c>
      <c r="G1467" s="456">
        <v>9</v>
      </c>
      <c r="H1467" s="456">
        <v>26</v>
      </c>
    </row>
    <row r="1468" spans="1:8" ht="13.5" customHeight="1">
      <c r="A1468" s="456">
        <v>8464</v>
      </c>
      <c r="B1468" s="457" t="s">
        <v>4699</v>
      </c>
      <c r="C1468" s="456" t="s">
        <v>251</v>
      </c>
      <c r="D1468" s="456" t="str">
        <f>IF(Table11[[#This Row],[Current Age]]&gt;19,"Women's",IF(E1468&gt;15,"U19",IF(E1468&gt;13,"U15",IF(E1468&gt;11,"U13",IF(E1468&gt;0,"U11",0)))))</f>
        <v>U15</v>
      </c>
      <c r="E1468" s="456">
        <f>IFERROR(IF(Table11[[#This Row],[Year]]&gt;0,$E$1-Table11[[#This Row],[Year]],0),"")</f>
        <v>14</v>
      </c>
      <c r="F1468" s="456">
        <v>2011</v>
      </c>
      <c r="G1468" s="456">
        <v>6</v>
      </c>
      <c r="H1468" s="456">
        <v>15</v>
      </c>
    </row>
    <row r="1469" spans="1:8" ht="13.5" customHeight="1">
      <c r="A1469" s="471">
        <v>8465</v>
      </c>
      <c r="B1469" s="540" t="s">
        <v>4700</v>
      </c>
      <c r="C1469" s="471" t="s">
        <v>251</v>
      </c>
      <c r="D1469" s="456" t="str">
        <f>IF(Table11[[#This Row],[Current Age]]&gt;19,"Women's",IF(E1469&gt;15,"U19",IF(E1469&gt;13,"U15",IF(E1469&gt;11,"U13",IF(E1469&gt;0,"U11",0)))))</f>
        <v>U13</v>
      </c>
      <c r="E1469" s="456">
        <f>IFERROR(IF(Table11[[#This Row],[Year]]&gt;0,$E$1-Table11[[#This Row],[Year]],0),"")</f>
        <v>13</v>
      </c>
      <c r="F1469" s="456">
        <v>2012</v>
      </c>
      <c r="G1469" s="456">
        <v>10</v>
      </c>
      <c r="H1469" s="456">
        <v>13</v>
      </c>
    </row>
    <row r="1470" spans="1:8" ht="13.5" customHeight="1">
      <c r="A1470" s="456">
        <v>8466</v>
      </c>
      <c r="B1470" s="457" t="s">
        <v>4701</v>
      </c>
      <c r="C1470" s="456" t="s">
        <v>248</v>
      </c>
      <c r="D1470" s="456" t="str">
        <f>IF(Table11[[#This Row],[Current Age]]&gt;19,"Women's",IF(E1470&gt;15,"U19",IF(E1470&gt;13,"U15",IF(E1470&gt;11,"U13",IF(E1470&gt;0,"U11",0)))))</f>
        <v>U13</v>
      </c>
      <c r="E1470" s="456">
        <f>IFERROR(IF(Table11[[#This Row],[Year]]&gt;0,$E$1-Table11[[#This Row],[Year]],0),"")</f>
        <v>12</v>
      </c>
      <c r="F1470" s="456">
        <v>2013</v>
      </c>
      <c r="G1470" s="456">
        <v>3</v>
      </c>
      <c r="H1470" s="456">
        <v>8</v>
      </c>
    </row>
    <row r="1471" spans="1:8" ht="13.5" customHeight="1">
      <c r="A1471" s="471">
        <v>8467</v>
      </c>
      <c r="B1471" s="540" t="s">
        <v>4702</v>
      </c>
      <c r="C1471" s="471" t="s">
        <v>248</v>
      </c>
      <c r="D1471" s="456" t="str">
        <f>IF(Table11[[#This Row],[Current Age]]&gt;19,"Women's",IF(E1471&gt;15,"U19",IF(E1471&gt;13,"U15",IF(E1471&gt;11,"U13",IF(E1471&gt;0,"U11",0)))))</f>
        <v>Women's</v>
      </c>
      <c r="E1471" s="456">
        <f>IFERROR(IF(Table11[[#This Row],[Year]]&gt;0,$E$1-Table11[[#This Row],[Year]],0),"")</f>
        <v>22</v>
      </c>
      <c r="F1471" s="456">
        <v>2003</v>
      </c>
      <c r="G1471" s="456">
        <v>9</v>
      </c>
      <c r="H1471" s="456">
        <v>17</v>
      </c>
    </row>
    <row r="1472" spans="1:8" ht="13.5" customHeight="1">
      <c r="A1472" s="456">
        <v>8468</v>
      </c>
      <c r="B1472" s="457" t="s">
        <v>4703</v>
      </c>
      <c r="C1472" s="456" t="s">
        <v>248</v>
      </c>
      <c r="D1472" s="456" t="str">
        <f>IF(Table11[[#This Row],[Current Age]]&gt;19,"Women's",IF(E1472&gt;15,"U19",IF(E1472&gt;13,"U15",IF(E1472&gt;11,"U13",IF(E1472&gt;0,"U11",0)))))</f>
        <v>Women's</v>
      </c>
      <c r="E1472" s="456">
        <f>IFERROR(IF(Table11[[#This Row],[Year]]&gt;0,$E$1-Table11[[#This Row],[Year]],0),"")</f>
        <v>23</v>
      </c>
      <c r="F1472" s="456">
        <v>2002</v>
      </c>
      <c r="G1472" s="456">
        <v>3</v>
      </c>
      <c r="H1472" s="456">
        <v>10</v>
      </c>
    </row>
    <row r="1473" spans="1:8" ht="13.5" customHeight="1">
      <c r="A1473" s="471">
        <v>8469</v>
      </c>
      <c r="B1473" s="540" t="s">
        <v>4704</v>
      </c>
      <c r="C1473" s="471" t="s">
        <v>248</v>
      </c>
      <c r="D1473" s="456" t="str">
        <f>IF(Table11[[#This Row],[Current Age]]&gt;19,"Women's",IF(E1473&gt;15,"U19",IF(E1473&gt;13,"U15",IF(E1473&gt;11,"U13",IF(E1473&gt;0,"U11",0)))))</f>
        <v>U13</v>
      </c>
      <c r="E1473" s="456">
        <f>IFERROR(IF(Table11[[#This Row],[Year]]&gt;0,$E$1-Table11[[#This Row],[Year]],0),"")</f>
        <v>12</v>
      </c>
      <c r="F1473" s="456">
        <v>2013</v>
      </c>
      <c r="G1473" s="456">
        <v>3</v>
      </c>
      <c r="H1473" s="456">
        <v>7</v>
      </c>
    </row>
    <row r="1474" spans="1:8" ht="13.5" customHeight="1">
      <c r="A1474" s="456">
        <v>8470</v>
      </c>
      <c r="B1474" s="457" t="s">
        <v>4705</v>
      </c>
      <c r="C1474" s="456" t="s">
        <v>248</v>
      </c>
      <c r="D1474" s="456" t="str">
        <f>IF(Table11[[#This Row],[Current Age]]&gt;19,"Women's",IF(E1474&gt;15,"U19",IF(E1474&gt;13,"U15",IF(E1474&gt;11,"U13",IF(E1474&gt;0,"U11",0)))))</f>
        <v>U15</v>
      </c>
      <c r="E1474" s="456">
        <f>IFERROR(IF(Table11[[#This Row],[Year]]&gt;0,$E$1-Table11[[#This Row],[Year]],0),"")</f>
        <v>14</v>
      </c>
      <c r="F1474" s="456">
        <v>2011</v>
      </c>
      <c r="G1474" s="456">
        <v>6</v>
      </c>
      <c r="H1474" s="456">
        <v>28</v>
      </c>
    </row>
    <row r="1475" spans="1:8" ht="13.5" customHeight="1">
      <c r="A1475" s="471">
        <v>8471</v>
      </c>
      <c r="B1475" s="540" t="s">
        <v>4706</v>
      </c>
      <c r="C1475" s="471" t="s">
        <v>248</v>
      </c>
      <c r="D1475" s="456" t="str">
        <f>IF(Table11[[#This Row],[Current Age]]&gt;19,"Women's",IF(E1475&gt;15,"U19",IF(E1475&gt;13,"U15",IF(E1475&gt;11,"U13",IF(E1475&gt;0,"U11",0)))))</f>
        <v>Women's</v>
      </c>
      <c r="E1475" s="456">
        <f>IFERROR(IF(Table11[[#This Row],[Year]]&gt;0,$E$1-Table11[[#This Row],[Year]],0),"")</f>
        <v>2012</v>
      </c>
      <c r="F1475" s="456">
        <v>13</v>
      </c>
      <c r="G1475" s="456">
        <v>5</v>
      </c>
      <c r="H1475" s="456">
        <v>30</v>
      </c>
    </row>
    <row r="1476" spans="1:8" ht="13.5" customHeight="1">
      <c r="A1476" s="456">
        <v>8472</v>
      </c>
      <c r="B1476" s="457" t="s">
        <v>4707</v>
      </c>
      <c r="C1476" s="456" t="s">
        <v>248</v>
      </c>
      <c r="D1476" s="456" t="str">
        <f>IF(Table11[[#This Row],[Current Age]]&gt;19,"Women's",IF(E1476&gt;15,"U19",IF(E1476&gt;13,"U15",IF(E1476&gt;11,"U13",IF(E1476&gt;0,"U11",0)))))</f>
        <v>Women's</v>
      </c>
      <c r="E1476" s="456">
        <f>IFERROR(IF(Table11[[#This Row],[Year]]&gt;0,$E$1-Table11[[#This Row],[Year]],0),"")</f>
        <v>2013</v>
      </c>
      <c r="F1476" s="456">
        <v>12</v>
      </c>
      <c r="G1476" s="456">
        <v>6</v>
      </c>
      <c r="H1476" s="456">
        <v>14</v>
      </c>
    </row>
    <row r="1477" spans="1:8" ht="13.5" customHeight="1">
      <c r="A1477" s="471">
        <v>8473</v>
      </c>
      <c r="B1477" s="540" t="s">
        <v>4708</v>
      </c>
      <c r="C1477" s="471" t="s">
        <v>248</v>
      </c>
      <c r="D1477" s="456" t="str">
        <f>IF(Table11[[#This Row],[Current Age]]&gt;19,"Women's",IF(E1477&gt;15,"U19",IF(E1477&gt;13,"U15",IF(E1477&gt;11,"U13",IF(E1477&gt;0,"U11",0)))))</f>
        <v>U19</v>
      </c>
      <c r="E1477" s="456">
        <f>IFERROR(IF(Table11[[#This Row],[Year]]&gt;0,$E$1-Table11[[#This Row],[Year]],0),"")</f>
        <v>16</v>
      </c>
      <c r="F1477" s="456">
        <v>2009</v>
      </c>
      <c r="G1477" s="456">
        <v>4</v>
      </c>
      <c r="H1477" s="456">
        <v>26</v>
      </c>
    </row>
    <row r="1478" spans="1:8" ht="13.5" customHeight="1">
      <c r="A1478" s="456">
        <v>8474</v>
      </c>
      <c r="B1478" s="457" t="s">
        <v>4709</v>
      </c>
      <c r="C1478" s="456" t="s">
        <v>248</v>
      </c>
      <c r="D1478" s="456" t="str">
        <f>IF(Table11[[#This Row],[Current Age]]&gt;19,"Women's",IF(E1478&gt;15,"U19",IF(E1478&gt;13,"U15",IF(E1478&gt;11,"U13",IF(E1478&gt;0,"U11",0)))))</f>
        <v>Women's</v>
      </c>
      <c r="E1478" s="456">
        <f>IFERROR(IF(Table11[[#This Row],[Year]]&gt;0,$E$1-Table11[[#This Row],[Year]],0),"")</f>
        <v>46</v>
      </c>
      <c r="F1478" s="456">
        <v>1979</v>
      </c>
      <c r="G1478" s="456">
        <v>2</v>
      </c>
      <c r="H1478" s="456">
        <v>4</v>
      </c>
    </row>
    <row r="1479" spans="1:8" ht="13.5" customHeight="1">
      <c r="A1479" s="471">
        <v>8475</v>
      </c>
      <c r="B1479" s="540" t="s">
        <v>4710</v>
      </c>
      <c r="C1479" s="601" t="s">
        <v>247</v>
      </c>
      <c r="D1479" s="456" t="str">
        <f>IF(Table11[[#This Row],[Current Age]]&gt;19,"Women's",IF(E1479&gt;15,"U19",IF(E1479&gt;13,"U15",IF(E1479&gt;11,"U13",IF(E1479&gt;0,"U11",0)))))</f>
        <v>Women's</v>
      </c>
      <c r="E1479" s="456">
        <f>IFERROR(IF(Table11[[#This Row],[Year]]&gt;0,$E$1-Table11[[#This Row],[Year]],0),"")</f>
        <v>43</v>
      </c>
      <c r="F1479" s="456">
        <v>1982</v>
      </c>
      <c r="G1479" s="456">
        <v>3</v>
      </c>
      <c r="H1479" s="456">
        <v>14</v>
      </c>
    </row>
    <row r="1480" spans="1:8" ht="13.5" customHeight="1">
      <c r="A1480" s="456">
        <v>8476</v>
      </c>
      <c r="B1480" s="457" t="s">
        <v>4805</v>
      </c>
      <c r="C1480" s="456" t="s">
        <v>4720</v>
      </c>
      <c r="D1480" s="456">
        <f>IF(Table11[[#This Row],[Current Age]]&gt;19,"Women's",IF(E1480&gt;15,"U19",IF(E1480&gt;13,"U15",IF(E1480&gt;11,"U13",IF(E1480&gt;0,"U11",0)))))</f>
        <v>0</v>
      </c>
      <c r="E1480" s="456">
        <f>IFERROR(IF(Table11[[#This Row],[Year]]&gt;0,$E$1-Table11[[#This Row],[Year]],0),"")</f>
        <v>0</v>
      </c>
      <c r="F1480" s="456"/>
      <c r="G1480" s="456"/>
      <c r="H1480" s="456"/>
    </row>
    <row r="1481" spans="1:8" ht="13.5" customHeight="1">
      <c r="A1481" s="471">
        <v>8477</v>
      </c>
      <c r="B1481" s="540" t="s">
        <v>4806</v>
      </c>
      <c r="C1481" s="471" t="s">
        <v>4720</v>
      </c>
      <c r="D1481" s="456">
        <f>IF(Table11[[#This Row],[Current Age]]&gt;19,"Women's",IF(E1481&gt;15,"U19",IF(E1481&gt;13,"U15",IF(E1481&gt;11,"U13",IF(E1481&gt;0,"U11",0)))))</f>
        <v>0</v>
      </c>
      <c r="E1481" s="456">
        <f>IFERROR(IF(Table11[[#This Row],[Year]]&gt;0,$E$1-Table11[[#This Row],[Year]],0),"")</f>
        <v>0</v>
      </c>
      <c r="F1481" s="456"/>
      <c r="G1481" s="456"/>
      <c r="H1481" s="456"/>
    </row>
    <row r="1482" spans="1:8" ht="13.5" customHeight="1">
      <c r="A1482" s="456">
        <v>8478</v>
      </c>
      <c r="B1482" s="457" t="s">
        <v>4807</v>
      </c>
      <c r="C1482" s="456" t="s">
        <v>4720</v>
      </c>
      <c r="D1482" s="456">
        <f>IF(Table11[[#This Row],[Current Age]]&gt;19,"Women's",IF(E1482&gt;15,"U19",IF(E1482&gt;13,"U15",IF(E1482&gt;11,"U13",IF(E1482&gt;0,"U11",0)))))</f>
        <v>0</v>
      </c>
      <c r="E1482" s="456">
        <f>IFERROR(IF(Table11[[#This Row],[Year]]&gt;0,$E$1-Table11[[#This Row],[Year]],0),"")</f>
        <v>0</v>
      </c>
      <c r="F1482" s="456"/>
      <c r="G1482" s="456"/>
      <c r="H1482" s="456"/>
    </row>
    <row r="1483" spans="1:8" ht="13.5" customHeight="1">
      <c r="A1483" s="471">
        <v>8479</v>
      </c>
      <c r="B1483" s="540" t="s">
        <v>4808</v>
      </c>
      <c r="C1483" s="471" t="s">
        <v>4720</v>
      </c>
      <c r="D1483" s="456">
        <f>IF(Table11[[#This Row],[Current Age]]&gt;19,"Women's",IF(E1483&gt;15,"U19",IF(E1483&gt;13,"U15",IF(E1483&gt;11,"U13",IF(E1483&gt;0,"U11",0)))))</f>
        <v>0</v>
      </c>
      <c r="E1483" s="456">
        <f>IFERROR(IF(Table11[[#This Row],[Year]]&gt;0,$E$1-Table11[[#This Row],[Year]],0),"")</f>
        <v>0</v>
      </c>
      <c r="F1483" s="456"/>
      <c r="G1483" s="456"/>
      <c r="H1483" s="456"/>
    </row>
    <row r="1484" spans="1:8" ht="13.5" customHeight="1">
      <c r="A1484" s="456">
        <v>8480</v>
      </c>
      <c r="B1484" s="457" t="s">
        <v>4851</v>
      </c>
      <c r="C1484" s="456" t="s">
        <v>4720</v>
      </c>
      <c r="D1484" s="456">
        <f>IF(Table11[[#This Row],[Current Age]]&gt;19,"Women's",IF(E1484&gt;15,"U19",IF(E1484&gt;13,"U15",IF(E1484&gt;11,"U13",IF(E1484&gt;0,"U11",0)))))</f>
        <v>0</v>
      </c>
      <c r="E1484" s="456">
        <f>IFERROR(IF(Table11[[#This Row],[Year]]&gt;0,$E$1-Table11[[#This Row],[Year]],0),"")</f>
        <v>0</v>
      </c>
      <c r="F1484" s="456"/>
      <c r="G1484" s="456"/>
      <c r="H1484" s="456"/>
    </row>
    <row r="1485" spans="1:8" ht="13.5" customHeight="1">
      <c r="A1485" s="471">
        <v>8481</v>
      </c>
      <c r="B1485" s="540" t="s">
        <v>4839</v>
      </c>
      <c r="C1485" s="471" t="s">
        <v>252</v>
      </c>
      <c r="D1485" s="456">
        <f>IF(Table11[[#This Row],[Current Age]]&gt;19,"Women's",IF(E1485&gt;15,"U19",IF(E1485&gt;13,"U15",IF(E1485&gt;11,"U13",IF(E1485&gt;0,"U11",0)))))</f>
        <v>0</v>
      </c>
      <c r="E1485" s="456">
        <f>IFERROR(IF(Table11[[#This Row],[Year]]&gt;0,$E$1-Table11[[#This Row],[Year]],0),"")</f>
        <v>0</v>
      </c>
      <c r="F1485" s="456"/>
      <c r="G1485" s="456"/>
      <c r="H1485" s="456"/>
    </row>
    <row r="1486" spans="1:8" ht="13.5" customHeight="1">
      <c r="A1486" s="456">
        <v>8482</v>
      </c>
      <c r="B1486" s="457" t="s">
        <v>4852</v>
      </c>
      <c r="C1486" s="456" t="s">
        <v>4853</v>
      </c>
      <c r="D1486" s="456">
        <f>IF(Table11[[#This Row],[Current Age]]&gt;19,"Women's",IF(E1486&gt;15,"U19",IF(E1486&gt;13,"U15",IF(E1486&gt;11,"U13",IF(E1486&gt;0,"U11",0)))))</f>
        <v>0</v>
      </c>
      <c r="E1486" s="456">
        <f>IFERROR(IF(Table11[[#This Row],[Year]]&gt;0,$E$1-Table11[[#This Row],[Year]],0),"")</f>
        <v>0</v>
      </c>
      <c r="F1486" s="456"/>
      <c r="G1486" s="456"/>
      <c r="H1486" s="456"/>
    </row>
    <row r="1487" spans="1:8" ht="13.5" customHeight="1">
      <c r="A1487" s="471">
        <v>8483</v>
      </c>
      <c r="B1487" s="540" t="s">
        <v>2022</v>
      </c>
      <c r="C1487" s="471" t="s">
        <v>253</v>
      </c>
      <c r="D1487" s="456">
        <f>IF(Table11[[#This Row],[Current Age]]&gt;19,"Women's",IF(E1487&gt;15,"U19",IF(E1487&gt;13,"U15",IF(E1487&gt;11,"U13",IF(E1487&gt;0,"U11",0)))))</f>
        <v>0</v>
      </c>
      <c r="E1487" s="456">
        <f>IFERROR(IF(Table11[[#This Row],[Year]]&gt;0,$E$1-Table11[[#This Row],[Year]],0),"")</f>
        <v>0</v>
      </c>
      <c r="F1487" s="456"/>
      <c r="G1487" s="456"/>
      <c r="H1487" s="456"/>
    </row>
    <row r="1488" spans="1:8" ht="13.5" customHeight="1">
      <c r="A1488" s="456">
        <v>8484</v>
      </c>
      <c r="B1488" s="457" t="s">
        <v>4837</v>
      </c>
      <c r="C1488" s="456" t="s">
        <v>4720</v>
      </c>
      <c r="D1488" s="456">
        <f>IF(Table11[[#This Row],[Current Age]]&gt;19,"Women's",IF(E1488&gt;15,"U19",IF(E1488&gt;13,"U15",IF(E1488&gt;11,"U13",IF(E1488&gt;0,"U11",0)))))</f>
        <v>0</v>
      </c>
      <c r="E1488" s="456">
        <f>IFERROR(IF(Table11[[#This Row],[Year]]&gt;0,$E$1-Table11[[#This Row],[Year]],0),"")</f>
        <v>0</v>
      </c>
      <c r="F1488" s="456"/>
      <c r="G1488" s="456"/>
      <c r="H1488" s="456"/>
    </row>
    <row r="1489" spans="1:8" ht="13.5" customHeight="1">
      <c r="A1489" s="471">
        <v>8485</v>
      </c>
      <c r="B1489" s="540" t="s">
        <v>4838</v>
      </c>
      <c r="C1489" s="471" t="s">
        <v>248</v>
      </c>
      <c r="D1489" s="456">
        <f>IF(Table11[[#This Row],[Current Age]]&gt;19,"Women's",IF(E1489&gt;15,"U19",IF(E1489&gt;13,"U15",IF(E1489&gt;11,"U13",IF(E1489&gt;0,"U11",0)))))</f>
        <v>0</v>
      </c>
      <c r="E1489" s="456">
        <f>IFERROR(IF(Table11[[#This Row],[Year]]&gt;0,$E$1-Table11[[#This Row],[Year]],0),"")</f>
        <v>0</v>
      </c>
      <c r="F1489" s="456"/>
      <c r="G1489" s="456"/>
      <c r="H1489" s="456"/>
    </row>
    <row r="1490" spans="1:8" ht="13.5" customHeight="1">
      <c r="A1490" s="456">
        <v>8486</v>
      </c>
      <c r="B1490" s="457" t="s">
        <v>4855</v>
      </c>
      <c r="C1490" s="456" t="s">
        <v>4853</v>
      </c>
      <c r="D1490" s="456">
        <f>IF(Table11[[#This Row],[Current Age]]&gt;19,"Women's",IF(E1490&gt;15,"U19",IF(E1490&gt;13,"U15",IF(E1490&gt;11,"U13",IF(E1490&gt;0,"U11",0)))))</f>
        <v>0</v>
      </c>
      <c r="E1490" s="456">
        <f>IFERROR(IF(Table11[[#This Row],[Year]]&gt;0,$E$1-Table11[[#This Row],[Year]],0),"")</f>
        <v>0</v>
      </c>
      <c r="F1490" s="456"/>
      <c r="G1490" s="456"/>
      <c r="H1490" s="456"/>
    </row>
    <row r="1491" spans="1:8" ht="13.5" customHeight="1">
      <c r="A1491" s="471">
        <v>8487</v>
      </c>
      <c r="B1491" s="540" t="s">
        <v>4834</v>
      </c>
      <c r="C1491" s="471" t="s">
        <v>4152</v>
      </c>
      <c r="D1491" s="456">
        <f>IF(Table11[[#This Row],[Current Age]]&gt;19,"Women's",IF(E1491&gt;15,"U19",IF(E1491&gt;13,"U15",IF(E1491&gt;11,"U13",IF(E1491&gt;0,"U11",0)))))</f>
        <v>0</v>
      </c>
      <c r="E1491" s="456">
        <f>IFERROR(IF(Table11[[#This Row],[Year]]&gt;0,$E$1-Table11[[#This Row],[Year]],0),"")</f>
        <v>0</v>
      </c>
      <c r="F1491" s="456"/>
      <c r="G1491" s="456"/>
      <c r="H1491" s="456"/>
    </row>
    <row r="1492" spans="1:8" ht="13.5" customHeight="1">
      <c r="A1492" s="456">
        <v>8488</v>
      </c>
      <c r="B1492" s="457" t="s">
        <v>4858</v>
      </c>
      <c r="C1492" s="456" t="s">
        <v>4720</v>
      </c>
      <c r="D1492" s="456" t="str">
        <f>IF(Table11[[#This Row],[Current Age]]&gt;19,"Women's",IF(E1492&gt;15,"U19",IF(E1492&gt;13,"U15",IF(E1492&gt;11,"U13",IF(E1492&gt;0,"U11",0)))))</f>
        <v>U15</v>
      </c>
      <c r="E1492" s="456">
        <f>IFERROR(IF(Table11[[#This Row],[Year]]&gt;0,$E$1-Table11[[#This Row],[Year]],0),"")</f>
        <v>15</v>
      </c>
      <c r="F1492" s="456">
        <v>2010</v>
      </c>
      <c r="G1492" s="456">
        <v>12</v>
      </c>
      <c r="H1492" s="456">
        <v>2</v>
      </c>
    </row>
    <row r="1493" spans="1:8" ht="13.5" customHeight="1">
      <c r="A1493" s="471">
        <v>8489</v>
      </c>
      <c r="B1493" s="540" t="s">
        <v>4835</v>
      </c>
      <c r="C1493" s="471" t="s">
        <v>4152</v>
      </c>
      <c r="D1493" s="456">
        <f>IF(Table11[[#This Row],[Current Age]]&gt;19,"Women's",IF(E1493&gt;15,"U19",IF(E1493&gt;13,"U15",IF(E1493&gt;11,"U13",IF(E1493&gt;0,"U11",0)))))</f>
        <v>0</v>
      </c>
      <c r="E1493" s="456">
        <f>IFERROR(IF(Table11[[#This Row],[Year]]&gt;0,$E$1-Table11[[#This Row],[Year]],0),"")</f>
        <v>0</v>
      </c>
      <c r="F1493" s="456"/>
      <c r="G1493" s="456"/>
      <c r="H1493" s="456"/>
    </row>
    <row r="1494" spans="1:8" ht="13.5" customHeight="1">
      <c r="A1494" s="456">
        <v>8490</v>
      </c>
      <c r="B1494" s="457" t="s">
        <v>4836</v>
      </c>
      <c r="C1494" s="456" t="s">
        <v>4152</v>
      </c>
      <c r="D1494" s="456">
        <f>IF(Table11[[#This Row],[Current Age]]&gt;19,"Women's",IF(E1494&gt;15,"U19",IF(E1494&gt;13,"U15",IF(E1494&gt;11,"U13",IF(E1494&gt;0,"U11",0)))))</f>
        <v>0</v>
      </c>
      <c r="E1494" s="456">
        <f>IFERROR(IF(Table11[[#This Row],[Year]]&gt;0,$E$1-Table11[[#This Row],[Year]],0),"")</f>
        <v>0</v>
      </c>
      <c r="F1494" s="456"/>
      <c r="G1494" s="456"/>
      <c r="H1494" s="456"/>
    </row>
    <row r="1495" spans="1:8" ht="13.5" customHeight="1">
      <c r="A1495" s="471">
        <v>8491</v>
      </c>
      <c r="B1495" s="540" t="s">
        <v>4831</v>
      </c>
      <c r="C1495" s="471" t="s">
        <v>4720</v>
      </c>
      <c r="D1495" s="456" t="str">
        <f>IF(Table11[[#This Row],[Current Age]]&gt;19,"Women's",IF(E1495&gt;15,"U19",IF(E1495&gt;13,"U15",IF(E1495&gt;11,"U13",IF(E1495&gt;0,"U11",0)))))</f>
        <v>U15</v>
      </c>
      <c r="E1495" s="456">
        <f>IFERROR(IF(Table11[[#This Row],[Year]]&gt;0,$E$1-Table11[[#This Row],[Year]],0),"")</f>
        <v>14</v>
      </c>
      <c r="F1495" s="456">
        <v>2011</v>
      </c>
      <c r="G1495" s="456">
        <v>12</v>
      </c>
      <c r="H1495" s="456">
        <v>12</v>
      </c>
    </row>
    <row r="1496" spans="1:8" ht="13.5" customHeight="1">
      <c r="A1496" s="456">
        <v>8492</v>
      </c>
      <c r="B1496" s="457" t="s">
        <v>4832</v>
      </c>
      <c r="C1496" s="456" t="s">
        <v>4152</v>
      </c>
      <c r="D1496" s="456">
        <f>IF(Table11[[#This Row],[Current Age]]&gt;19,"Women's",IF(E1496&gt;15,"U19",IF(E1496&gt;13,"U15",IF(E1496&gt;11,"U13",IF(E1496&gt;0,"U11",0)))))</f>
        <v>0</v>
      </c>
      <c r="E1496" s="456">
        <f>IFERROR(IF(Table11[[#This Row],[Year]]&gt;0,$E$1-Table11[[#This Row],[Year]],0),"")</f>
        <v>0</v>
      </c>
      <c r="F1496" s="456"/>
      <c r="G1496" s="456"/>
      <c r="H1496" s="456"/>
    </row>
    <row r="1497" spans="1:8" ht="13.5" customHeight="1">
      <c r="A1497" s="471">
        <v>8493</v>
      </c>
      <c r="B1497" s="540" t="s">
        <v>4833</v>
      </c>
      <c r="C1497" s="471" t="s">
        <v>4720</v>
      </c>
      <c r="D1497" s="456" t="str">
        <f>IF(Table11[[#This Row],[Current Age]]&gt;19,"Women's",IF(E1497&gt;15,"U19",IF(E1497&gt;13,"U15",IF(E1497&gt;11,"U13",IF(E1497&gt;0,"U11",0)))))</f>
        <v>U15</v>
      </c>
      <c r="E1497" s="456">
        <f>IFERROR(IF(Table11[[#This Row],[Year]]&gt;0,$E$1-Table11[[#This Row],[Year]],0),"")</f>
        <v>14</v>
      </c>
      <c r="F1497" s="456">
        <v>2011</v>
      </c>
      <c r="G1497" s="456">
        <v>4</v>
      </c>
      <c r="H1497" s="456">
        <v>28</v>
      </c>
    </row>
    <row r="1498" spans="1:8" ht="13.5" customHeight="1">
      <c r="A1498" s="456">
        <v>8494</v>
      </c>
      <c r="B1498" s="457" t="s">
        <v>4860</v>
      </c>
      <c r="C1498" s="456" t="s">
        <v>248</v>
      </c>
      <c r="D1498" s="456">
        <f>IF(Table11[[#This Row],[Current Age]]&gt;19,"Women's",IF(E1498&gt;15,"U19",IF(E1498&gt;13,"U15",IF(E1498&gt;11,"U13",IF(E1498&gt;0,"U11",0)))))</f>
        <v>0</v>
      </c>
      <c r="E1498" s="456">
        <f>IFERROR(IF(Table11[[#This Row],[Year]]&gt;0,$E$1-Table11[[#This Row],[Year]],0),"")</f>
        <v>0</v>
      </c>
      <c r="F1498" s="456"/>
      <c r="G1498" s="456"/>
      <c r="H1498" s="456"/>
    </row>
    <row r="1499" spans="1:8" ht="13.5" customHeight="1">
      <c r="A1499" s="471">
        <v>8495</v>
      </c>
      <c r="B1499" s="540" t="s">
        <v>4827</v>
      </c>
      <c r="C1499" s="471" t="s">
        <v>248</v>
      </c>
      <c r="D1499" s="456">
        <f>IF(Table11[[#This Row],[Current Age]]&gt;19,"Women's",IF(E1499&gt;15,"U19",IF(E1499&gt;13,"U15",IF(E1499&gt;11,"U13",IF(E1499&gt;0,"U11",0)))))</f>
        <v>0</v>
      </c>
      <c r="E1499" s="456">
        <f>IFERROR(IF(Table11[[#This Row],[Year]]&gt;0,$E$1-Table11[[#This Row],[Year]],0),"")</f>
        <v>0</v>
      </c>
      <c r="F1499" s="456"/>
      <c r="G1499" s="456"/>
      <c r="H1499" s="456"/>
    </row>
    <row r="1500" spans="1:8" ht="13.5" customHeight="1">
      <c r="A1500" s="456">
        <v>8496</v>
      </c>
      <c r="B1500" s="457" t="s">
        <v>4828</v>
      </c>
      <c r="C1500" s="456" t="s">
        <v>248</v>
      </c>
      <c r="D1500" s="456">
        <f>IF(Table11[[#This Row],[Current Age]]&gt;19,"Women's",IF(E1500&gt;15,"U19",IF(E1500&gt;13,"U15",IF(E1500&gt;11,"U13",IF(E1500&gt;0,"U11",0)))))</f>
        <v>0</v>
      </c>
      <c r="E1500" s="456">
        <f>IFERROR(IF(Table11[[#This Row],[Year]]&gt;0,$E$1-Table11[[#This Row],[Year]],0),"")</f>
        <v>0</v>
      </c>
      <c r="F1500" s="456"/>
      <c r="G1500" s="456"/>
      <c r="H1500" s="456"/>
    </row>
    <row r="1501" spans="1:8" ht="13.5" customHeight="1">
      <c r="A1501" s="471">
        <v>8497</v>
      </c>
      <c r="B1501" s="540" t="s">
        <v>4829</v>
      </c>
      <c r="C1501" s="471" t="s">
        <v>4720</v>
      </c>
      <c r="D1501" s="456" t="str">
        <f>IF(Table11[[#This Row],[Current Age]]&gt;19,"Women's",IF(E1501&gt;15,"U19",IF(E1501&gt;13,"U15",IF(E1501&gt;11,"U13",IF(E1501&gt;0,"U11",0)))))</f>
        <v>U11</v>
      </c>
      <c r="E1501" s="456">
        <f>IFERROR(IF(Table11[[#This Row],[Year]]&gt;0,$E$1-Table11[[#This Row],[Year]],0),"")</f>
        <v>10</v>
      </c>
      <c r="F1501" s="456">
        <v>2015</v>
      </c>
      <c r="G1501" s="456">
        <v>12</v>
      </c>
      <c r="H1501" s="456">
        <v>13</v>
      </c>
    </row>
    <row r="1502" spans="1:8" ht="13.5" customHeight="1">
      <c r="A1502" s="456">
        <v>8498</v>
      </c>
      <c r="B1502" s="457" t="s">
        <v>4830</v>
      </c>
      <c r="C1502" s="456" t="s">
        <v>4720</v>
      </c>
      <c r="D1502" s="456" t="str">
        <f>IF(Table11[[#This Row],[Current Age]]&gt;19,"Women's",IF(E1502&gt;15,"U19",IF(E1502&gt;13,"U15",IF(E1502&gt;11,"U13",IF(E1502&gt;0,"U11",0)))))</f>
        <v>U11</v>
      </c>
      <c r="E1502" s="456">
        <f>IFERROR(IF(Table11[[#This Row],[Year]]&gt;0,$E$1-Table11[[#This Row],[Year]],0),"")</f>
        <v>11</v>
      </c>
      <c r="F1502" s="456">
        <v>2014</v>
      </c>
      <c r="G1502" s="456">
        <v>11</v>
      </c>
      <c r="H1502" s="456">
        <v>22</v>
      </c>
    </row>
    <row r="1503" spans="1:8" ht="13.5" customHeight="1">
      <c r="A1503" s="471">
        <v>8499</v>
      </c>
      <c r="B1503" s="540" t="s">
        <v>4890</v>
      </c>
      <c r="C1503" s="471" t="s">
        <v>1914</v>
      </c>
      <c r="D1503" s="456">
        <f>IF(Table11[[#This Row],[Current Age]]&gt;19,"Women's",IF(E1503&gt;15,"U19",IF(E1503&gt;13,"U15",IF(E1503&gt;11,"U13",IF(E1503&gt;0,"U11",0)))))</f>
        <v>0</v>
      </c>
      <c r="E1503" s="456">
        <f>IFERROR(IF(Table11[[#This Row],[Year]]&gt;0,$E$1-Table11[[#This Row],[Year]],0),"")</f>
        <v>0</v>
      </c>
      <c r="F1503" s="456"/>
      <c r="G1503" s="456"/>
      <c r="H1503" s="456"/>
    </row>
    <row r="1504" spans="1:8" ht="13.5" customHeight="1">
      <c r="A1504" s="456">
        <v>8500</v>
      </c>
      <c r="B1504" s="469" t="s">
        <v>4892</v>
      </c>
      <c r="C1504" s="456" t="s">
        <v>361</v>
      </c>
      <c r="D1504" s="456">
        <f>IF(Table11[[#This Row],[Current Age]]&gt;19,"Women's",IF(E1504&gt;15,"U19",IF(E1504&gt;13,"U15",IF(E1504&gt;11,"U13",IF(E1504&gt;0,"U11",0)))))</f>
        <v>0</v>
      </c>
      <c r="E1504" s="456">
        <f>IFERROR(IF(Table11[[#This Row],[Year]]&gt;0,$E$1-Table11[[#This Row],[Year]],0),"")</f>
        <v>0</v>
      </c>
      <c r="F1504" s="456"/>
      <c r="G1504" s="456"/>
      <c r="H1504" s="456"/>
    </row>
    <row r="1505" spans="1:8" ht="13.5" customHeight="1">
      <c r="A1505" s="471">
        <v>8501</v>
      </c>
      <c r="B1505" s="540" t="s">
        <v>5250</v>
      </c>
      <c r="C1505" s="471" t="s">
        <v>243</v>
      </c>
      <c r="D1505" s="456">
        <f>IF(Table11[[#This Row],[Current Age]]&gt;19,"Women's",IF(E1505&gt;15,"U19",IF(E1505&gt;13,"U15",IF(E1505&gt;11,"U13",IF(E1505&gt;0,"U11",0)))))</f>
        <v>0</v>
      </c>
      <c r="E1505" s="456">
        <f>IFERROR(IF(Table11[[#This Row],[Year]]&gt;0,$E$1-Table11[[#This Row],[Year]],0),"")</f>
        <v>0</v>
      </c>
      <c r="F1505" s="456"/>
      <c r="G1505" s="456"/>
      <c r="H1505" s="456"/>
    </row>
    <row r="1506" spans="1:8" ht="13.5" customHeight="1">
      <c r="A1506" s="456">
        <v>8502</v>
      </c>
      <c r="B1506" s="457" t="s">
        <v>5251</v>
      </c>
      <c r="C1506" s="456" t="s">
        <v>243</v>
      </c>
      <c r="D1506" s="456">
        <f>IF(Table11[[#This Row],[Current Age]]&gt;19,"Women's",IF(E1506&gt;15,"U19",IF(E1506&gt;13,"U15",IF(E1506&gt;11,"U13",IF(E1506&gt;0,"U11",0)))))</f>
        <v>0</v>
      </c>
      <c r="E1506" s="456">
        <f>IFERROR(IF(Table11[[#This Row],[Year]]&gt;0,$E$1-Table11[[#This Row],[Year]],0),"")</f>
        <v>0</v>
      </c>
      <c r="F1506" s="456"/>
      <c r="G1506" s="456"/>
      <c r="H1506" s="456"/>
    </row>
    <row r="1507" spans="1:8" ht="13.5" customHeight="1">
      <c r="A1507" s="471">
        <v>8503</v>
      </c>
      <c r="B1507" s="493" t="s">
        <v>4908</v>
      </c>
      <c r="C1507" s="471" t="s">
        <v>361</v>
      </c>
      <c r="D1507" s="456">
        <f>IF(Table11[[#This Row],[Current Age]]&gt;19,"Women's",IF(E1507&gt;15,"U19",IF(E1507&gt;13,"U15",IF(E1507&gt;11,"U13",IF(E1507&gt;0,"U11",0)))))</f>
        <v>0</v>
      </c>
      <c r="E1507" s="456">
        <f>IFERROR(IF(Table11[[#This Row],[Year]]&gt;0,$E$1-Table11[[#This Row],[Year]],0),"")</f>
        <v>0</v>
      </c>
      <c r="F1507" s="456"/>
      <c r="G1507" s="456"/>
      <c r="H1507" s="456"/>
    </row>
    <row r="1508" spans="1:8" ht="13.5" customHeight="1">
      <c r="A1508" s="456">
        <v>8504</v>
      </c>
      <c r="B1508" s="469" t="s">
        <v>4909</v>
      </c>
      <c r="C1508" s="456" t="s">
        <v>1914</v>
      </c>
      <c r="D1508" s="456">
        <f>IF(Table11[[#This Row],[Current Age]]&gt;19,"Women's",IF(E1508&gt;15,"U19",IF(E1508&gt;13,"U15",IF(E1508&gt;11,"U13",IF(E1508&gt;0,"U11",0)))))</f>
        <v>0</v>
      </c>
      <c r="E1508" s="456">
        <f>IFERROR(IF(Table11[[#This Row],[Year]]&gt;0,$E$1-Table11[[#This Row],[Year]],0),"")</f>
        <v>0</v>
      </c>
      <c r="F1508" s="456"/>
      <c r="G1508" s="456"/>
      <c r="H1508" s="456"/>
    </row>
    <row r="1509" spans="1:8" ht="13.5" customHeight="1">
      <c r="A1509" s="471">
        <v>8505</v>
      </c>
      <c r="B1509" s="493" t="s">
        <v>4910</v>
      </c>
      <c r="C1509" s="471" t="s">
        <v>1914</v>
      </c>
      <c r="D1509" s="456">
        <f>IF(Table11[[#This Row],[Current Age]]&gt;19,"Women's",IF(E1509&gt;15,"U19",IF(E1509&gt;13,"U15",IF(E1509&gt;11,"U13",IF(E1509&gt;0,"U11",0)))))</f>
        <v>0</v>
      </c>
      <c r="E1509" s="456">
        <f>IFERROR(IF(Table11[[#This Row],[Year]]&gt;0,$E$1-Table11[[#This Row],[Year]],0),"")</f>
        <v>0</v>
      </c>
      <c r="F1509" s="456"/>
      <c r="G1509" s="456"/>
      <c r="H1509" s="456"/>
    </row>
    <row r="1510" spans="1:8" ht="13.5" customHeight="1">
      <c r="A1510" s="456">
        <v>8506</v>
      </c>
      <c r="B1510" s="469" t="s">
        <v>4907</v>
      </c>
      <c r="C1510" s="456" t="s">
        <v>361</v>
      </c>
      <c r="D1510" s="456">
        <f>IF(Table11[[#This Row],[Current Age]]&gt;19,"Women's",IF(E1510&gt;15,"U19",IF(E1510&gt;13,"U15",IF(E1510&gt;11,"U13",IF(E1510&gt;0,"U11",0)))))</f>
        <v>0</v>
      </c>
      <c r="E1510" s="456">
        <f>IFERROR(IF(Table11[[#This Row],[Year]]&gt;0,$E$1-Table11[[#This Row],[Year]],0),"")</f>
        <v>0</v>
      </c>
      <c r="F1510" s="456"/>
      <c r="G1510" s="456"/>
      <c r="H1510" s="456"/>
    </row>
    <row r="1511" spans="1:8" ht="13.5" customHeight="1">
      <c r="A1511" s="471">
        <v>8507</v>
      </c>
      <c r="B1511" s="493" t="s">
        <v>4891</v>
      </c>
      <c r="C1511" s="471" t="s">
        <v>362</v>
      </c>
      <c r="D1511" s="456">
        <f>IF(Table11[[#This Row],[Current Age]]&gt;19,"Women's",IF(E1511&gt;15,"U19",IF(E1511&gt;13,"U15",IF(E1511&gt;11,"U13",IF(E1511&gt;0,"U11",0)))))</f>
        <v>0</v>
      </c>
      <c r="E1511" s="456">
        <f>IFERROR(IF(Table11[[#This Row],[Year]]&gt;0,$E$1-Table11[[#This Row],[Year]],0),"")</f>
        <v>0</v>
      </c>
      <c r="F1511" s="456"/>
      <c r="G1511" s="456"/>
      <c r="H1511" s="456"/>
    </row>
    <row r="1512" spans="1:8" ht="13.5" customHeight="1">
      <c r="A1512" s="456">
        <v>8508</v>
      </c>
      <c r="B1512" s="469" t="s">
        <v>4895</v>
      </c>
      <c r="C1512" s="456" t="s">
        <v>361</v>
      </c>
      <c r="D1512" s="456">
        <f>IF(Table11[[#This Row],[Current Age]]&gt;19,"Women's",IF(E1512&gt;15,"U19",IF(E1512&gt;13,"U15",IF(E1512&gt;11,"U13",IF(E1512&gt;0,"U11",0)))))</f>
        <v>0</v>
      </c>
      <c r="E1512" s="456">
        <f>IFERROR(IF(Table11[[#This Row],[Year]]&gt;0,$E$1-Table11[[#This Row],[Year]],0),"")</f>
        <v>0</v>
      </c>
      <c r="F1512" s="456"/>
      <c r="G1512" s="456"/>
      <c r="H1512" s="456"/>
    </row>
    <row r="1513" spans="1:8" ht="13.5" customHeight="1">
      <c r="A1513" s="471">
        <v>8509</v>
      </c>
      <c r="B1513" s="493" t="s">
        <v>4894</v>
      </c>
      <c r="C1513" s="471" t="s">
        <v>361</v>
      </c>
      <c r="D1513" s="456">
        <f>IF(Table11[[#This Row],[Current Age]]&gt;19,"Women's",IF(E1513&gt;15,"U19",IF(E1513&gt;13,"U15",IF(E1513&gt;11,"U13",IF(E1513&gt;0,"U11",0)))))</f>
        <v>0</v>
      </c>
      <c r="E1513" s="456">
        <f>IFERROR(IF(Table11[[#This Row],[Year]]&gt;0,$E$1-Table11[[#This Row],[Year]],0),"")</f>
        <v>0</v>
      </c>
      <c r="F1513" s="456"/>
      <c r="G1513" s="456"/>
      <c r="H1513" s="456"/>
    </row>
    <row r="1514" spans="1:8" ht="13.5" customHeight="1">
      <c r="A1514" s="456">
        <v>8510</v>
      </c>
      <c r="B1514" s="469" t="s">
        <v>4893</v>
      </c>
      <c r="C1514" s="456" t="s">
        <v>361</v>
      </c>
      <c r="D1514" s="456">
        <f>IF(Table11[[#This Row],[Current Age]]&gt;19,"Women's",IF(E1514&gt;15,"U19",IF(E1514&gt;13,"U15",IF(E1514&gt;11,"U13",IF(E1514&gt;0,"U11",0)))))</f>
        <v>0</v>
      </c>
      <c r="E1514" s="456">
        <f>IFERROR(IF(Table11[[#This Row],[Year]]&gt;0,$E$1-Table11[[#This Row],[Year]],0),"")</f>
        <v>0</v>
      </c>
      <c r="F1514" s="456"/>
      <c r="G1514" s="456"/>
      <c r="H1514" s="456"/>
    </row>
    <row r="1515" spans="1:8" ht="13.5" customHeight="1">
      <c r="A1515" s="471">
        <v>8511</v>
      </c>
      <c r="B1515" s="493" t="s">
        <v>4906</v>
      </c>
      <c r="C1515" s="471" t="s">
        <v>361</v>
      </c>
      <c r="D1515" s="456">
        <f>IF(Table11[[#This Row],[Current Age]]&gt;19,"Women's",IF(E1515&gt;15,"U19",IF(E1515&gt;13,"U15",IF(E1515&gt;11,"U13",IF(E1515&gt;0,"U11",0)))))</f>
        <v>0</v>
      </c>
      <c r="E1515" s="456">
        <f>IFERROR(IF(Table11[[#This Row],[Year]]&gt;0,$E$1-Table11[[#This Row],[Year]],0),"")</f>
        <v>0</v>
      </c>
      <c r="F1515" s="456"/>
      <c r="G1515" s="456"/>
      <c r="H1515" s="456"/>
    </row>
    <row r="1516" spans="1:8" ht="13.5" customHeight="1">
      <c r="A1516" s="456">
        <v>8512</v>
      </c>
      <c r="B1516" s="469" t="s">
        <v>1179</v>
      </c>
      <c r="C1516" s="456" t="s">
        <v>361</v>
      </c>
      <c r="D1516" s="456">
        <f>IF(Table11[[#This Row],[Current Age]]&gt;19,"Women's",IF(E1516&gt;15,"U19",IF(E1516&gt;13,"U15",IF(E1516&gt;11,"U13",IF(E1516&gt;0,"U11",0)))))</f>
        <v>0</v>
      </c>
      <c r="E1516" s="456">
        <f>IFERROR(IF(Table11[[#This Row],[Year]]&gt;0,$E$1-Table11[[#This Row],[Year]],0),"")</f>
        <v>0</v>
      </c>
      <c r="F1516" s="456"/>
      <c r="G1516" s="456"/>
      <c r="H1516" s="456"/>
    </row>
    <row r="1517" spans="1:8" ht="13.5" customHeight="1">
      <c r="A1517" s="471">
        <v>8513</v>
      </c>
      <c r="B1517" s="493" t="s">
        <v>4905</v>
      </c>
      <c r="C1517" s="471" t="s">
        <v>361</v>
      </c>
      <c r="D1517" s="456">
        <f>IF(Table11[[#This Row],[Current Age]]&gt;19,"Women's",IF(E1517&gt;15,"U19",IF(E1517&gt;13,"U15",IF(E1517&gt;11,"U13",IF(E1517&gt;0,"U11",0)))))</f>
        <v>0</v>
      </c>
      <c r="E1517" s="456">
        <f>IFERROR(IF(Table11[[#This Row],[Year]]&gt;0,$E$1-Table11[[#This Row],[Year]],0),"")</f>
        <v>0</v>
      </c>
      <c r="F1517" s="456"/>
      <c r="G1517" s="456"/>
      <c r="H1517" s="456"/>
    </row>
    <row r="1518" spans="1:8" ht="13.5" customHeight="1">
      <c r="A1518" s="456">
        <v>8514</v>
      </c>
      <c r="B1518" s="469" t="s">
        <v>4904</v>
      </c>
      <c r="C1518" s="456" t="s">
        <v>361</v>
      </c>
      <c r="D1518" s="456">
        <f>IF(Table11[[#This Row],[Current Age]]&gt;19,"Women's",IF(E1518&gt;15,"U19",IF(E1518&gt;13,"U15",IF(E1518&gt;11,"U13",IF(E1518&gt;0,"U11",0)))))</f>
        <v>0</v>
      </c>
      <c r="E1518" s="456">
        <f>IFERROR(IF(Table11[[#This Row],[Year]]&gt;0,$E$1-Table11[[#This Row],[Year]],0),"")</f>
        <v>0</v>
      </c>
      <c r="F1518" s="456"/>
      <c r="G1518" s="456"/>
      <c r="H1518" s="456"/>
    </row>
    <row r="1519" spans="1:8" ht="13.5" customHeight="1">
      <c r="A1519" s="471">
        <v>8515</v>
      </c>
      <c r="B1519" s="493" t="s">
        <v>4903</v>
      </c>
      <c r="C1519" s="471" t="s">
        <v>362</v>
      </c>
      <c r="D1519" s="456">
        <f>IF(Table11[[#This Row],[Current Age]]&gt;19,"Women's",IF(E1519&gt;15,"U19",IF(E1519&gt;13,"U15",IF(E1519&gt;11,"U13",IF(E1519&gt;0,"U11",0)))))</f>
        <v>0</v>
      </c>
      <c r="E1519" s="456">
        <f>IFERROR(IF(Table11[[#This Row],[Year]]&gt;0,$E$1-Table11[[#This Row],[Year]],0),"")</f>
        <v>0</v>
      </c>
      <c r="F1519" s="456"/>
      <c r="G1519" s="456"/>
      <c r="H1519" s="456"/>
    </row>
    <row r="1520" spans="1:8" ht="13.5" customHeight="1">
      <c r="A1520" s="456">
        <v>8516</v>
      </c>
      <c r="B1520" s="469" t="s">
        <v>4902</v>
      </c>
      <c r="C1520" s="456" t="s">
        <v>362</v>
      </c>
      <c r="D1520" s="456">
        <f>IF(Table11[[#This Row],[Current Age]]&gt;19,"Women's",IF(E1520&gt;15,"U19",IF(E1520&gt;13,"U15",IF(E1520&gt;11,"U13",IF(E1520&gt;0,"U11",0)))))</f>
        <v>0</v>
      </c>
      <c r="E1520" s="456">
        <f>IFERROR(IF(Table11[[#This Row],[Year]]&gt;0,$E$1-Table11[[#This Row],[Year]],0),"")</f>
        <v>0</v>
      </c>
      <c r="F1520" s="456"/>
      <c r="G1520" s="456"/>
      <c r="H1520" s="456"/>
    </row>
    <row r="1521" spans="1:8" ht="13.5" customHeight="1">
      <c r="A1521" s="471">
        <v>8517</v>
      </c>
      <c r="B1521" s="547" t="s">
        <v>4999</v>
      </c>
      <c r="C1521" s="471" t="s">
        <v>247</v>
      </c>
      <c r="D1521" s="456">
        <f>IF(Table11[[#This Row],[Current Age]]&gt;19,"Women's",IF(E1521&gt;15,"U19",IF(E1521&gt;13,"U15",IF(E1521&gt;11,"U13",IF(E1521&gt;0,"U11",0)))))</f>
        <v>0</v>
      </c>
      <c r="E1521" s="456">
        <f>IFERROR(IF(Table11[[#This Row],[Year]]&gt;0,$E$1-Table11[[#This Row],[Year]],0),"")</f>
        <v>0</v>
      </c>
      <c r="F1521" s="456"/>
      <c r="G1521" s="456"/>
      <c r="H1521" s="456"/>
    </row>
    <row r="1522" spans="1:8" ht="13.5" customHeight="1">
      <c r="A1522" s="475">
        <v>8518</v>
      </c>
      <c r="B1522" s="548" t="s">
        <v>5022</v>
      </c>
      <c r="C1522" s="456" t="s">
        <v>243</v>
      </c>
      <c r="D1522" s="456">
        <f>IF(Table11[[#This Row],[Current Age]]&gt;19,"Women's",IF(E1522&gt;15,"U19",IF(E1522&gt;13,"U15",IF(E1522&gt;11,"U13",IF(E1522&gt;0,"U11",0)))))</f>
        <v>0</v>
      </c>
      <c r="E1522" s="456">
        <f>IFERROR(IF(Table11[[#This Row],[Year]]&gt;0,$E$1-Table11[[#This Row],[Year]],0),"")</f>
        <v>0</v>
      </c>
      <c r="F1522" s="456"/>
      <c r="G1522" s="456"/>
      <c r="H1522" s="456"/>
    </row>
    <row r="1523" spans="1:8" ht="13.5" customHeight="1">
      <c r="A1523" s="479">
        <v>8519</v>
      </c>
      <c r="B1523" s="549" t="s">
        <v>4940</v>
      </c>
      <c r="C1523" s="471" t="s">
        <v>361</v>
      </c>
      <c r="D1523" s="456">
        <f>IF(Table11[[#This Row],[Current Age]]&gt;19,"Women's",IF(E1523&gt;15,"U19",IF(E1523&gt;13,"U15",IF(E1523&gt;11,"U13",IF(E1523&gt;0,"U11",0)))))</f>
        <v>0</v>
      </c>
      <c r="E1523" s="456">
        <f>IFERROR(IF(Table11[[#This Row],[Year]]&gt;0,$E$1-Table11[[#This Row],[Year]],0),"")</f>
        <v>0</v>
      </c>
      <c r="F1523" s="456"/>
      <c r="G1523" s="456"/>
      <c r="H1523" s="456"/>
    </row>
    <row r="1524" spans="1:8" ht="13.5" customHeight="1">
      <c r="A1524" s="477">
        <v>8520</v>
      </c>
      <c r="B1524" s="550" t="s">
        <v>4941</v>
      </c>
      <c r="C1524" s="456" t="s">
        <v>361</v>
      </c>
      <c r="D1524" s="456">
        <f>IF(Table11[[#This Row],[Current Age]]&gt;19,"Women's",IF(E1524&gt;15,"U19",IF(E1524&gt;13,"U15",IF(E1524&gt;11,"U13",IF(E1524&gt;0,"U11",0)))))</f>
        <v>0</v>
      </c>
      <c r="E1524" s="456">
        <f>IFERROR(IF(Table11[[#This Row],[Year]]&gt;0,$E$1-Table11[[#This Row],[Year]],0),"")</f>
        <v>0</v>
      </c>
      <c r="F1524" s="456"/>
      <c r="G1524" s="456"/>
      <c r="H1524" s="456"/>
    </row>
    <row r="1525" spans="1:8" ht="13.5" customHeight="1">
      <c r="A1525" s="479">
        <v>8521</v>
      </c>
      <c r="B1525" s="549" t="s">
        <v>4942</v>
      </c>
      <c r="C1525" s="471" t="s">
        <v>361</v>
      </c>
      <c r="D1525" s="456">
        <f>IF(Table11[[#This Row],[Current Age]]&gt;19,"Women's",IF(E1525&gt;15,"U19",IF(E1525&gt;13,"U15",IF(E1525&gt;11,"U13",IF(E1525&gt;0,"U11",0)))))</f>
        <v>0</v>
      </c>
      <c r="E1525" s="456">
        <f>IFERROR(IF(Table11[[#This Row],[Year]]&gt;0,$E$1-Table11[[#This Row],[Year]],0),"")</f>
        <v>0</v>
      </c>
      <c r="F1525" s="456"/>
      <c r="G1525" s="456"/>
      <c r="H1525" s="456"/>
    </row>
    <row r="1526" spans="1:8" ht="13.5" customHeight="1">
      <c r="A1526" s="477">
        <v>8522</v>
      </c>
      <c r="B1526" s="550" t="s">
        <v>4943</v>
      </c>
      <c r="C1526" s="456" t="s">
        <v>361</v>
      </c>
      <c r="D1526" s="456">
        <f>IF(Table11[[#This Row],[Current Age]]&gt;19,"Women's",IF(E1526&gt;15,"U19",IF(E1526&gt;13,"U15",IF(E1526&gt;11,"U13",IF(E1526&gt;0,"U11",0)))))</f>
        <v>0</v>
      </c>
      <c r="E1526" s="456">
        <f>IFERROR(IF(Table11[[#This Row],[Year]]&gt;0,$E$1-Table11[[#This Row],[Year]],0),"")</f>
        <v>0</v>
      </c>
      <c r="F1526" s="456"/>
      <c r="G1526" s="456"/>
      <c r="H1526" s="456"/>
    </row>
    <row r="1527" spans="1:8" ht="13.5" customHeight="1">
      <c r="A1527" s="479">
        <v>8523</v>
      </c>
      <c r="B1527" s="549" t="s">
        <v>4944</v>
      </c>
      <c r="C1527" s="471" t="s">
        <v>361</v>
      </c>
      <c r="D1527" s="456">
        <f>IF(Table11[[#This Row],[Current Age]]&gt;19,"Women's",IF(E1527&gt;15,"U19",IF(E1527&gt;13,"U15",IF(E1527&gt;11,"U13",IF(E1527&gt;0,"U11",0)))))</f>
        <v>0</v>
      </c>
      <c r="E1527" s="456">
        <f>IFERROR(IF(Table11[[#This Row],[Year]]&gt;0,$E$1-Table11[[#This Row],[Year]],0),"")</f>
        <v>0</v>
      </c>
      <c r="F1527" s="456"/>
      <c r="G1527" s="456"/>
      <c r="H1527" s="456"/>
    </row>
    <row r="1528" spans="1:8" ht="13.5" customHeight="1">
      <c r="A1528" s="477">
        <v>8524</v>
      </c>
      <c r="B1528" s="550" t="s">
        <v>4945</v>
      </c>
      <c r="C1528" s="456" t="s">
        <v>361</v>
      </c>
      <c r="D1528" s="456">
        <f>IF(Table11[[#This Row],[Current Age]]&gt;19,"Women's",IF(E1528&gt;15,"U19",IF(E1528&gt;13,"U15",IF(E1528&gt;11,"U13",IF(E1528&gt;0,"U11",0)))))</f>
        <v>0</v>
      </c>
      <c r="E1528" s="456">
        <f>IFERROR(IF(Table11[[#This Row],[Year]]&gt;0,$E$1-Table11[[#This Row],[Year]],0),"")</f>
        <v>0</v>
      </c>
      <c r="F1528" s="456"/>
      <c r="G1528" s="456"/>
      <c r="H1528" s="456"/>
    </row>
    <row r="1529" spans="1:8" ht="13.5" customHeight="1">
      <c r="A1529" s="479">
        <v>8525</v>
      </c>
      <c r="B1529" s="549" t="s">
        <v>4946</v>
      </c>
      <c r="C1529" s="471" t="s">
        <v>361</v>
      </c>
      <c r="D1529" s="456">
        <f>IF(Table11[[#This Row],[Current Age]]&gt;19,"Women's",IF(E1529&gt;15,"U19",IF(E1529&gt;13,"U15",IF(E1529&gt;11,"U13",IF(E1529&gt;0,"U11",0)))))</f>
        <v>0</v>
      </c>
      <c r="E1529" s="456">
        <f>IFERROR(IF(Table11[[#This Row],[Year]]&gt;0,$E$1-Table11[[#This Row],[Year]],0),"")</f>
        <v>0</v>
      </c>
      <c r="F1529" s="456"/>
      <c r="G1529" s="456"/>
      <c r="H1529" s="456"/>
    </row>
    <row r="1530" spans="1:8" ht="13.5" customHeight="1">
      <c r="A1530" s="477">
        <v>8526</v>
      </c>
      <c r="B1530" s="550" t="s">
        <v>4947</v>
      </c>
      <c r="C1530" s="456" t="s">
        <v>361</v>
      </c>
      <c r="D1530" s="456">
        <f>IF(Table11[[#This Row],[Current Age]]&gt;19,"Women's",IF(E1530&gt;15,"U19",IF(E1530&gt;13,"U15",IF(E1530&gt;11,"U13",IF(E1530&gt;0,"U11",0)))))</f>
        <v>0</v>
      </c>
      <c r="E1530" s="456">
        <f>IFERROR(IF(Table11[[#This Row],[Year]]&gt;0,$E$1-Table11[[#This Row],[Year]],0),"")</f>
        <v>0</v>
      </c>
      <c r="F1530" s="456"/>
      <c r="G1530" s="456"/>
      <c r="H1530" s="456"/>
    </row>
    <row r="1531" spans="1:8" ht="13.5" customHeight="1">
      <c r="A1531" s="476">
        <v>8527</v>
      </c>
      <c r="B1531" s="547" t="s">
        <v>5016</v>
      </c>
      <c r="C1531" s="471" t="s">
        <v>243</v>
      </c>
      <c r="D1531" s="456">
        <f>IF(Table11[[#This Row],[Current Age]]&gt;19,"Women's",IF(E1531&gt;15,"U19",IF(E1531&gt;13,"U15",IF(E1531&gt;11,"U13",IF(E1531&gt;0,"U11",0)))))</f>
        <v>0</v>
      </c>
      <c r="E1531" s="456">
        <f>IFERROR(IF(Table11[[#This Row],[Year]]&gt;0,$E$1-Table11[[#This Row],[Year]],0),"")</f>
        <v>0</v>
      </c>
      <c r="F1531" s="456"/>
      <c r="G1531" s="456"/>
      <c r="H1531" s="456"/>
    </row>
    <row r="1532" spans="1:8" ht="13.5" customHeight="1">
      <c r="A1532" s="466">
        <v>8528</v>
      </c>
      <c r="B1532" s="459" t="s">
        <v>4948</v>
      </c>
      <c r="C1532" s="456" t="s">
        <v>361</v>
      </c>
      <c r="D1532" s="456" t="str">
        <f>IF(Table11[[#This Row],[Current Age]]&gt;19,"Women's",IF(E1532&gt;15,"U19",IF(E1532&gt;13,"U15",IF(E1532&gt;11,"U13",IF(E1532&gt;0,"U11",0)))))</f>
        <v>Women's</v>
      </c>
      <c r="E1532" s="456">
        <f>IFERROR(IF(Table11[[#This Row],[Year]]&gt;0,$E$1-Table11[[#This Row],[Year]],0),"")</f>
        <v>34</v>
      </c>
      <c r="F1532" s="456">
        <v>1991</v>
      </c>
      <c r="G1532" s="456">
        <v>8</v>
      </c>
      <c r="H1532" s="456">
        <v>13</v>
      </c>
    </row>
    <row r="1533" spans="1:8" ht="13.5" customHeight="1">
      <c r="A1533" s="473">
        <v>8529</v>
      </c>
      <c r="B1533" s="541" t="s">
        <v>4949</v>
      </c>
      <c r="C1533" s="471" t="s">
        <v>361</v>
      </c>
      <c r="D1533" s="456" t="str">
        <f>IF(Table11[[#This Row],[Current Age]]&gt;19,"Women's",IF(E1533&gt;15,"U19",IF(E1533&gt;13,"U15",IF(E1533&gt;11,"U13",IF(E1533&gt;0,"U11",0)))))</f>
        <v>U15</v>
      </c>
      <c r="E1533" s="456">
        <f>IFERROR(IF(Table11[[#This Row],[Year]]&gt;0,$E$1-Table11[[#This Row],[Year]],0),"")</f>
        <v>15</v>
      </c>
      <c r="F1533" s="456">
        <v>2010</v>
      </c>
      <c r="G1533" s="456">
        <v>7</v>
      </c>
      <c r="H1533" s="456">
        <v>25</v>
      </c>
    </row>
    <row r="1534" spans="1:8" ht="13.5" customHeight="1">
      <c r="A1534" s="456">
        <v>8530</v>
      </c>
      <c r="B1534" s="457" t="s">
        <v>4950</v>
      </c>
      <c r="C1534" s="456" t="s">
        <v>361</v>
      </c>
      <c r="D1534" s="456" t="str">
        <f>IF(Table11[[#This Row],[Current Age]]&gt;19,"Women's",IF(E1534&gt;15,"U19",IF(E1534&gt;13,"U15",IF(E1534&gt;11,"U13",IF(E1534&gt;0,"U11",0)))))</f>
        <v>U11</v>
      </c>
      <c r="E1534" s="456">
        <f>IFERROR(IF(Table11[[#This Row],[Year]]&gt;0,$E$1-Table11[[#This Row],[Year]],0),"")</f>
        <v>11</v>
      </c>
      <c r="F1534" s="456">
        <v>2014</v>
      </c>
      <c r="G1534" s="456">
        <v>3</v>
      </c>
      <c r="H1534" s="456">
        <v>12</v>
      </c>
    </row>
    <row r="1535" spans="1:8" ht="13.5" customHeight="1">
      <c r="A1535" s="471">
        <v>8531</v>
      </c>
      <c r="B1535" s="540" t="s">
        <v>5008</v>
      </c>
      <c r="C1535" s="471" t="s">
        <v>249</v>
      </c>
      <c r="D1535" s="456">
        <f>IF(Table11[[#This Row],[Current Age]]&gt;19,"Women's",IF(E1535&gt;15,"U19",IF(E1535&gt;13,"U15",IF(E1535&gt;11,"U13",IF(E1535&gt;0,"U11",0)))))</f>
        <v>0</v>
      </c>
      <c r="E1535" s="456">
        <f>IFERROR(IF(Table11[[#This Row],[Year]]&gt;0,$E$1-Table11[[#This Row],[Year]],0),"")</f>
        <v>0</v>
      </c>
      <c r="F1535" s="456"/>
      <c r="G1535" s="456"/>
      <c r="H1535" s="456"/>
    </row>
    <row r="1536" spans="1:8" ht="13.5" customHeight="1">
      <c r="A1536" s="456">
        <v>8532</v>
      </c>
      <c r="B1536" s="457" t="s">
        <v>5009</v>
      </c>
      <c r="C1536" s="456" t="s">
        <v>249</v>
      </c>
      <c r="D1536" s="456">
        <f>IF(Table11[[#This Row],[Current Age]]&gt;19,"Women's",IF(E1536&gt;15,"U19",IF(E1536&gt;13,"U15",IF(E1536&gt;11,"U13",IF(E1536&gt;0,"U11",0)))))</f>
        <v>0</v>
      </c>
      <c r="E1536" s="456">
        <f>IFERROR(IF(Table11[[#This Row],[Year]]&gt;0,$E$1-Table11[[#This Row],[Year]],0),"")</f>
        <v>0</v>
      </c>
      <c r="F1536" s="456"/>
      <c r="G1536" s="456"/>
      <c r="H1536" s="456"/>
    </row>
    <row r="1537" spans="1:8" ht="13.5" customHeight="1">
      <c r="A1537" s="471">
        <v>8533</v>
      </c>
      <c r="B1537" s="540" t="s">
        <v>5010</v>
      </c>
      <c r="C1537" s="471" t="s">
        <v>249</v>
      </c>
      <c r="D1537" s="456">
        <f>IF(Table11[[#This Row],[Current Age]]&gt;19,"Women's",IF(E1537&gt;15,"U19",IF(E1537&gt;13,"U15",IF(E1537&gt;11,"U13",IF(E1537&gt;0,"U11",0)))))</f>
        <v>0</v>
      </c>
      <c r="E1537" s="456">
        <f>IFERROR(IF(Table11[[#This Row],[Year]]&gt;0,$E$1-Table11[[#This Row],[Year]],0),"")</f>
        <v>0</v>
      </c>
      <c r="F1537" s="456"/>
      <c r="G1537" s="456"/>
      <c r="H1537" s="456"/>
    </row>
    <row r="1538" spans="1:8" ht="13.5" customHeight="1">
      <c r="A1538" s="456">
        <v>8534</v>
      </c>
      <c r="B1538" s="457" t="s">
        <v>5011</v>
      </c>
      <c r="C1538" s="456" t="s">
        <v>249</v>
      </c>
      <c r="D1538" s="456">
        <f>IF(Table11[[#This Row],[Current Age]]&gt;19,"Women's",IF(E1538&gt;15,"U19",IF(E1538&gt;13,"U15",IF(E1538&gt;11,"U13",IF(E1538&gt;0,"U11",0)))))</f>
        <v>0</v>
      </c>
      <c r="E1538" s="456">
        <f>IFERROR(IF(Table11[[#This Row],[Year]]&gt;0,$E$1-Table11[[#This Row],[Year]],0),"")</f>
        <v>0</v>
      </c>
      <c r="F1538" s="456"/>
      <c r="G1538" s="456"/>
      <c r="H1538" s="456"/>
    </row>
    <row r="1539" spans="1:8" ht="13.5" customHeight="1">
      <c r="A1539" s="471">
        <v>8535</v>
      </c>
      <c r="B1539" s="540" t="s">
        <v>5012</v>
      </c>
      <c r="C1539" s="471" t="s">
        <v>249</v>
      </c>
      <c r="D1539" s="456">
        <f>IF(Table11[[#This Row],[Current Age]]&gt;19,"Women's",IF(E1539&gt;15,"U19",IF(E1539&gt;13,"U15",IF(E1539&gt;11,"U13",IF(E1539&gt;0,"U11",0)))))</f>
        <v>0</v>
      </c>
      <c r="E1539" s="456">
        <f>IFERROR(IF(Table11[[#This Row],[Year]]&gt;0,$E$1-Table11[[#This Row],[Year]],0),"")</f>
        <v>0</v>
      </c>
      <c r="F1539" s="456"/>
      <c r="G1539" s="456"/>
      <c r="H1539" s="456"/>
    </row>
    <row r="1540" spans="1:8" ht="13.5" customHeight="1">
      <c r="A1540" s="456">
        <v>8536</v>
      </c>
      <c r="B1540" s="457" t="s">
        <v>5013</v>
      </c>
      <c r="C1540" s="456" t="s">
        <v>249</v>
      </c>
      <c r="D1540" s="456">
        <f>IF(Table11[[#This Row],[Current Age]]&gt;19,"Women's",IF(E1540&gt;15,"U19",IF(E1540&gt;13,"U15",IF(E1540&gt;11,"U13",IF(E1540&gt;0,"U11",0)))))</f>
        <v>0</v>
      </c>
      <c r="E1540" s="456">
        <f>IFERROR(IF(Table11[[#This Row],[Year]]&gt;0,$E$1-Table11[[#This Row],[Year]],0),"")</f>
        <v>0</v>
      </c>
      <c r="F1540" s="456"/>
      <c r="G1540" s="456"/>
      <c r="H1540" s="456"/>
    </row>
    <row r="1541" spans="1:8" ht="13.5" customHeight="1">
      <c r="A1541" s="471">
        <v>8537</v>
      </c>
      <c r="B1541" s="540" t="s">
        <v>5014</v>
      </c>
      <c r="C1541" s="471" t="s">
        <v>249</v>
      </c>
      <c r="D1541" s="456">
        <f>IF(Table11[[#This Row],[Current Age]]&gt;19,"Women's",IF(E1541&gt;15,"U19",IF(E1541&gt;13,"U15",IF(E1541&gt;11,"U13",IF(E1541&gt;0,"U11",0)))))</f>
        <v>0</v>
      </c>
      <c r="E1541" s="456">
        <f>IFERROR(IF(Table11[[#This Row],[Year]]&gt;0,$E$1-Table11[[#This Row],[Year]],0),"")</f>
        <v>0</v>
      </c>
      <c r="F1541" s="456"/>
      <c r="G1541" s="456"/>
      <c r="H1541" s="456"/>
    </row>
    <row r="1542" spans="1:8" ht="13.5" customHeight="1">
      <c r="A1542" s="456">
        <v>8538</v>
      </c>
      <c r="B1542" s="548" t="s">
        <v>5017</v>
      </c>
      <c r="C1542" s="456" t="s">
        <v>243</v>
      </c>
      <c r="D1542" s="456">
        <f>IF(Table11[[#This Row],[Current Age]]&gt;19,"Women's",IF(E1542&gt;15,"U19",IF(E1542&gt;13,"U15",IF(E1542&gt;11,"U13",IF(E1542&gt;0,"U11",0)))))</f>
        <v>0</v>
      </c>
      <c r="E1542" s="456">
        <f>IFERROR(IF(Table11[[#This Row],[Year]]&gt;0,$E$1-Table11[[#This Row],[Year]],0),"")</f>
        <v>0</v>
      </c>
      <c r="F1542" s="456"/>
      <c r="G1542" s="456"/>
      <c r="H1542" s="456"/>
    </row>
    <row r="1543" spans="1:8" ht="13.5" customHeight="1">
      <c r="A1543" s="471">
        <v>8539</v>
      </c>
      <c r="B1543" s="547" t="s">
        <v>5018</v>
      </c>
      <c r="C1543" s="471" t="s">
        <v>243</v>
      </c>
      <c r="D1543" s="456">
        <f>IF(Table11[[#This Row],[Current Age]]&gt;19,"Women's",IF(E1543&gt;15,"U19",IF(E1543&gt;13,"U15",IF(E1543&gt;11,"U13",IF(E1543&gt;0,"U11",0)))))</f>
        <v>0</v>
      </c>
      <c r="E1543" s="456">
        <f>IFERROR(IF(Table11[[#This Row],[Year]]&gt;0,$E$1-Table11[[#This Row],[Year]],0),"")</f>
        <v>0</v>
      </c>
      <c r="F1543" s="456"/>
      <c r="G1543" s="456"/>
      <c r="H1543" s="456"/>
    </row>
    <row r="1544" spans="1:8" ht="13.5" customHeight="1">
      <c r="A1544" s="456">
        <v>8540</v>
      </c>
      <c r="B1544" s="511" t="s">
        <v>5345</v>
      </c>
      <c r="C1544" s="456" t="s">
        <v>243</v>
      </c>
      <c r="D1544" s="456">
        <f>IF(Table11[[#This Row],[Current Age]]&gt;19,"Women's",IF(E1544&gt;15,"U19",IF(E1544&gt;13,"U15",IF(E1544&gt;11,"U13",IF(E1544&gt;0,"U11",0)))))</f>
        <v>0</v>
      </c>
      <c r="E1544" s="456">
        <f>IFERROR(IF(Table11[[#This Row],[Year]]&gt;0,$E$1-Table11[[#This Row],[Year]],0),"")</f>
        <v>0</v>
      </c>
      <c r="F1544" s="456"/>
      <c r="G1544" s="456"/>
      <c r="H1544" s="456"/>
    </row>
    <row r="1545" spans="1:8" ht="13.5" customHeight="1">
      <c r="A1545" s="471">
        <v>8541</v>
      </c>
      <c r="B1545" s="547" t="s">
        <v>5019</v>
      </c>
      <c r="C1545" s="471" t="s">
        <v>247</v>
      </c>
      <c r="D1545" s="456">
        <f>IF(Table11[[#This Row],[Current Age]]&gt;19,"Women's",IF(E1545&gt;15,"U19",IF(E1545&gt;13,"U15",IF(E1545&gt;11,"U13",IF(E1545&gt;0,"U11",0)))))</f>
        <v>0</v>
      </c>
      <c r="E1545" s="456">
        <f>IFERROR(IF(Table11[[#This Row],[Year]]&gt;0,$E$1-Table11[[#This Row],[Year]],0),"")</f>
        <v>0</v>
      </c>
      <c r="F1545" s="456"/>
      <c r="G1545" s="456"/>
      <c r="H1545" s="456"/>
    </row>
    <row r="1546" spans="1:8" ht="13.5" customHeight="1">
      <c r="A1546" s="456">
        <v>8542</v>
      </c>
      <c r="B1546" s="548" t="s">
        <v>5020</v>
      </c>
      <c r="C1546" s="456" t="s">
        <v>243</v>
      </c>
      <c r="D1546" s="456">
        <f>IF(Table11[[#This Row],[Current Age]]&gt;19,"Women's",IF(E1546&gt;15,"U19",IF(E1546&gt;13,"U15",IF(E1546&gt;11,"U13",IF(E1546&gt;0,"U11",0)))))</f>
        <v>0</v>
      </c>
      <c r="E1546" s="456">
        <f>IFERROR(IF(Table11[[#This Row],[Year]]&gt;0,$E$1-Table11[[#This Row],[Year]],0),"")</f>
        <v>0</v>
      </c>
      <c r="F1546" s="456"/>
      <c r="G1546" s="456"/>
      <c r="H1546" s="456"/>
    </row>
    <row r="1547" spans="1:8" ht="13.5" customHeight="1">
      <c r="A1547" s="471">
        <v>8543</v>
      </c>
      <c r="B1547" s="547" t="s">
        <v>5021</v>
      </c>
      <c r="C1547" s="471" t="s">
        <v>243</v>
      </c>
      <c r="D1547" s="456">
        <f>IF(Table11[[#This Row],[Current Age]]&gt;19,"Women's",IF(E1547&gt;15,"U19",IF(E1547&gt;13,"U15",IF(E1547&gt;11,"U13",IF(E1547&gt;0,"U11",0)))))</f>
        <v>0</v>
      </c>
      <c r="E1547" s="456">
        <f>IFERROR(IF(Table11[[#This Row],[Year]]&gt;0,$E$1-Table11[[#This Row],[Year]],0),"")</f>
        <v>0</v>
      </c>
      <c r="F1547" s="456"/>
      <c r="G1547" s="456"/>
      <c r="H1547" s="456"/>
    </row>
    <row r="1548" spans="1:8" ht="13.5" customHeight="1">
      <c r="A1548" s="456">
        <v>8544</v>
      </c>
      <c r="B1548" s="497" t="s">
        <v>5041</v>
      </c>
      <c r="C1548" s="456" t="s">
        <v>762</v>
      </c>
      <c r="D1548" s="456">
        <f>IF(Table11[[#This Row],[Current Age]]&gt;19,"Women's",IF(E1548&gt;15,"U19",IF(E1548&gt;13,"U15",IF(E1548&gt;11,"U13",IF(E1548&gt;0,"U11",0)))))</f>
        <v>0</v>
      </c>
      <c r="E1548" s="456">
        <f>IFERROR(IF(Table11[[#This Row],[Year]]&gt;0,$E$1-Table11[[#This Row],[Year]],0),"")</f>
        <v>0</v>
      </c>
      <c r="F1548" s="456"/>
      <c r="G1548" s="456"/>
      <c r="H1548" s="456"/>
    </row>
    <row r="1549" spans="1:8" ht="13.5" customHeight="1">
      <c r="A1549" s="471">
        <v>8545</v>
      </c>
      <c r="B1549" s="496" t="s">
        <v>5042</v>
      </c>
      <c r="C1549" s="471" t="s">
        <v>762</v>
      </c>
      <c r="D1549" s="456">
        <f>IF(Table11[[#This Row],[Current Age]]&gt;19,"Women's",IF(E1549&gt;15,"U19",IF(E1549&gt;13,"U15",IF(E1549&gt;11,"U13",IF(E1549&gt;0,"U11",0)))))</f>
        <v>0</v>
      </c>
      <c r="E1549" s="456">
        <f>IFERROR(IF(Table11[[#This Row],[Year]]&gt;0,$E$1-Table11[[#This Row],[Year]],0),"")</f>
        <v>0</v>
      </c>
      <c r="F1549" s="456"/>
      <c r="G1549" s="456"/>
      <c r="H1549" s="456"/>
    </row>
    <row r="1550" spans="1:8" ht="13.5" customHeight="1">
      <c r="A1550" s="456">
        <v>8546</v>
      </c>
      <c r="B1550" s="497" t="s">
        <v>5043</v>
      </c>
      <c r="C1550" s="456" t="s">
        <v>762</v>
      </c>
      <c r="D1550" s="456">
        <f>IF(Table11[[#This Row],[Current Age]]&gt;19,"Women's",IF(E1550&gt;15,"U19",IF(E1550&gt;13,"U15",IF(E1550&gt;11,"U13",IF(E1550&gt;0,"U11",0)))))</f>
        <v>0</v>
      </c>
      <c r="E1550" s="456">
        <f>IFERROR(IF(Table11[[#This Row],[Year]]&gt;0,$E$1-Table11[[#This Row],[Year]],0),"")</f>
        <v>0</v>
      </c>
      <c r="F1550" s="456"/>
      <c r="G1550" s="456"/>
      <c r="H1550" s="456"/>
    </row>
    <row r="1551" spans="1:8" ht="13.5" customHeight="1">
      <c r="A1551" s="471">
        <v>8547</v>
      </c>
      <c r="B1551" s="496" t="s">
        <v>5044</v>
      </c>
      <c r="C1551" s="471" t="s">
        <v>762</v>
      </c>
      <c r="D1551" s="456">
        <f>IF(Table11[[#This Row],[Current Age]]&gt;19,"Women's",IF(E1551&gt;15,"U19",IF(E1551&gt;13,"U15",IF(E1551&gt;11,"U13",IF(E1551&gt;0,"U11",0)))))</f>
        <v>0</v>
      </c>
      <c r="E1551" s="456">
        <f>IFERROR(IF(Table11[[#This Row],[Year]]&gt;0,$E$1-Table11[[#This Row],[Year]],0),"")</f>
        <v>0</v>
      </c>
      <c r="F1551" s="456"/>
      <c r="G1551" s="456"/>
      <c r="H1551" s="456"/>
    </row>
    <row r="1552" spans="1:8" ht="13.5" customHeight="1">
      <c r="A1552" s="456">
        <v>8548</v>
      </c>
      <c r="B1552" s="497" t="s">
        <v>5045</v>
      </c>
      <c r="C1552" s="456" t="s">
        <v>762</v>
      </c>
      <c r="D1552" s="456">
        <f>IF(Table11[[#This Row],[Current Age]]&gt;19,"Women's",IF(E1552&gt;15,"U19",IF(E1552&gt;13,"U15",IF(E1552&gt;11,"U13",IF(E1552&gt;0,"U11",0)))))</f>
        <v>0</v>
      </c>
      <c r="E1552" s="456">
        <f>IFERROR(IF(Table11[[#This Row],[Year]]&gt;0,$E$1-Table11[[#This Row],[Year]],0),"")</f>
        <v>0</v>
      </c>
      <c r="F1552" s="456"/>
      <c r="G1552" s="456"/>
      <c r="H1552" s="456"/>
    </row>
    <row r="1553" spans="1:8" ht="13.5" customHeight="1">
      <c r="A1553" s="471">
        <v>8549</v>
      </c>
      <c r="B1553" s="496" t="s">
        <v>5046</v>
      </c>
      <c r="C1553" s="471" t="s">
        <v>762</v>
      </c>
      <c r="D1553" s="456">
        <f>IF(Table11[[#This Row],[Current Age]]&gt;19,"Women's",IF(E1553&gt;15,"U19",IF(E1553&gt;13,"U15",IF(E1553&gt;11,"U13",IF(E1553&gt;0,"U11",0)))))</f>
        <v>0</v>
      </c>
      <c r="E1553" s="456">
        <f>IFERROR(IF(Table11[[#This Row],[Year]]&gt;0,$E$1-Table11[[#This Row],[Year]],0),"")</f>
        <v>0</v>
      </c>
      <c r="F1553" s="456"/>
      <c r="G1553" s="456"/>
      <c r="H1553" s="456"/>
    </row>
    <row r="1554" spans="1:8" ht="13.5" customHeight="1">
      <c r="A1554" s="456">
        <v>8550</v>
      </c>
      <c r="B1554" s="497" t="s">
        <v>5047</v>
      </c>
      <c r="C1554" s="456" t="s">
        <v>762</v>
      </c>
      <c r="D1554" s="456">
        <f>IF(Table11[[#This Row],[Current Age]]&gt;19,"Women's",IF(E1554&gt;15,"U19",IF(E1554&gt;13,"U15",IF(E1554&gt;11,"U13",IF(E1554&gt;0,"U11",0)))))</f>
        <v>0</v>
      </c>
      <c r="E1554" s="456">
        <f>IFERROR(IF(Table11[[#This Row],[Year]]&gt;0,$E$1-Table11[[#This Row],[Year]],0),"")</f>
        <v>0</v>
      </c>
      <c r="F1554" s="456"/>
      <c r="G1554" s="456"/>
      <c r="H1554" s="456"/>
    </row>
    <row r="1555" spans="1:8" ht="13.5" customHeight="1">
      <c r="A1555" s="471">
        <v>8551</v>
      </c>
      <c r="B1555" s="496" t="s">
        <v>5048</v>
      </c>
      <c r="C1555" s="471" t="s">
        <v>762</v>
      </c>
      <c r="D1555" s="456">
        <f>IF(Table11[[#This Row],[Current Age]]&gt;19,"Women's",IF(E1555&gt;15,"U19",IF(E1555&gt;13,"U15",IF(E1555&gt;11,"U13",IF(E1555&gt;0,"U11",0)))))</f>
        <v>0</v>
      </c>
      <c r="E1555" s="456">
        <f>IFERROR(IF(Table11[[#This Row],[Year]]&gt;0,$E$1-Table11[[#This Row],[Year]],0),"")</f>
        <v>0</v>
      </c>
      <c r="F1555" s="456"/>
      <c r="G1555" s="456"/>
      <c r="H1555" s="456"/>
    </row>
    <row r="1556" spans="1:8" ht="13.5" customHeight="1">
      <c r="A1556" s="456">
        <v>8552</v>
      </c>
      <c r="B1556" s="497" t="s">
        <v>5049</v>
      </c>
      <c r="C1556" s="456" t="s">
        <v>762</v>
      </c>
      <c r="D1556" s="456">
        <f>IF(Table11[[#This Row],[Current Age]]&gt;19,"Women's",IF(E1556&gt;15,"U19",IF(E1556&gt;13,"U15",IF(E1556&gt;11,"U13",IF(E1556&gt;0,"U11",0)))))</f>
        <v>0</v>
      </c>
      <c r="E1556" s="456">
        <f>IFERROR(IF(Table11[[#This Row],[Year]]&gt;0,$E$1-Table11[[#This Row],[Year]],0),"")</f>
        <v>0</v>
      </c>
      <c r="F1556" s="456"/>
      <c r="G1556" s="456"/>
      <c r="H1556" s="456"/>
    </row>
    <row r="1557" spans="1:8" ht="13.5" customHeight="1">
      <c r="A1557" s="471">
        <v>8553</v>
      </c>
      <c r="B1557" s="496" t="s">
        <v>5050</v>
      </c>
      <c r="C1557" s="471" t="s">
        <v>762</v>
      </c>
      <c r="D1557" s="456">
        <f>IF(Table11[[#This Row],[Current Age]]&gt;19,"Women's",IF(E1557&gt;15,"U19",IF(E1557&gt;13,"U15",IF(E1557&gt;11,"U13",IF(E1557&gt;0,"U11",0)))))</f>
        <v>0</v>
      </c>
      <c r="E1557" s="456">
        <f>IFERROR(IF(Table11[[#This Row],[Year]]&gt;0,$E$1-Table11[[#This Row],[Year]],0),"")</f>
        <v>0</v>
      </c>
      <c r="F1557" s="456"/>
      <c r="G1557" s="456"/>
      <c r="H1557" s="456"/>
    </row>
    <row r="1558" spans="1:8" ht="13.5" customHeight="1">
      <c r="A1558" s="456">
        <v>8554</v>
      </c>
      <c r="B1558" s="497" t="s">
        <v>5051</v>
      </c>
      <c r="C1558" s="456" t="s">
        <v>762</v>
      </c>
      <c r="D1558" s="456">
        <f>IF(Table11[[#This Row],[Current Age]]&gt;19,"Women's",IF(E1558&gt;15,"U19",IF(E1558&gt;13,"U15",IF(E1558&gt;11,"U13",IF(E1558&gt;0,"U11",0)))))</f>
        <v>0</v>
      </c>
      <c r="E1558" s="456">
        <f>IFERROR(IF(Table11[[#This Row],[Year]]&gt;0,$E$1-Table11[[#This Row],[Year]],0),"")</f>
        <v>0</v>
      </c>
      <c r="F1558" s="456"/>
      <c r="G1558" s="456"/>
      <c r="H1558" s="456"/>
    </row>
    <row r="1559" spans="1:8" ht="13.5" customHeight="1">
      <c r="A1559" s="471">
        <v>8555</v>
      </c>
      <c r="B1559" s="496" t="s">
        <v>5052</v>
      </c>
      <c r="C1559" s="471" t="s">
        <v>762</v>
      </c>
      <c r="D1559" s="456">
        <f>IF(Table11[[#This Row],[Current Age]]&gt;19,"Women's",IF(E1559&gt;15,"U19",IF(E1559&gt;13,"U15",IF(E1559&gt;11,"U13",IF(E1559&gt;0,"U11",0)))))</f>
        <v>0</v>
      </c>
      <c r="E1559" s="456">
        <f>IFERROR(IF(Table11[[#This Row],[Year]]&gt;0,$E$1-Table11[[#This Row],[Year]],0),"")</f>
        <v>0</v>
      </c>
      <c r="F1559" s="456"/>
      <c r="G1559" s="456"/>
      <c r="H1559" s="456"/>
    </row>
    <row r="1560" spans="1:8" ht="13.5" customHeight="1">
      <c r="A1560" s="456">
        <v>8556</v>
      </c>
      <c r="B1560" s="497" t="s">
        <v>5053</v>
      </c>
      <c r="C1560" s="456" t="s">
        <v>762</v>
      </c>
      <c r="D1560" s="456">
        <f>IF(Table11[[#This Row],[Current Age]]&gt;19,"Women's",IF(E1560&gt;15,"U19",IF(E1560&gt;13,"U15",IF(E1560&gt;11,"U13",IF(E1560&gt;0,"U11",0)))))</f>
        <v>0</v>
      </c>
      <c r="E1560" s="456">
        <f>IFERROR(IF(Table11[[#This Row],[Year]]&gt;0,$E$1-Table11[[#This Row],[Year]],0),"")</f>
        <v>0</v>
      </c>
      <c r="F1560" s="456"/>
      <c r="G1560" s="456"/>
      <c r="H1560" s="456"/>
    </row>
    <row r="1561" spans="1:8" ht="13.5" customHeight="1">
      <c r="A1561" s="471">
        <v>8557</v>
      </c>
      <c r="B1561" s="496" t="s">
        <v>5054</v>
      </c>
      <c r="C1561" s="471" t="s">
        <v>762</v>
      </c>
      <c r="D1561" s="456">
        <f>IF(Table11[[#This Row],[Current Age]]&gt;19,"Women's",IF(E1561&gt;15,"U19",IF(E1561&gt;13,"U15",IF(E1561&gt;11,"U13",IF(E1561&gt;0,"U11",0)))))</f>
        <v>0</v>
      </c>
      <c r="E1561" s="456">
        <f>IFERROR(IF(Table11[[#This Row],[Year]]&gt;0,$E$1-Table11[[#This Row],[Year]],0),"")</f>
        <v>0</v>
      </c>
      <c r="F1561" s="456"/>
      <c r="G1561" s="456"/>
      <c r="H1561" s="456"/>
    </row>
    <row r="1562" spans="1:8" ht="13.5" customHeight="1">
      <c r="A1562" s="456">
        <v>8558</v>
      </c>
      <c r="B1562" s="497" t="s">
        <v>5055</v>
      </c>
      <c r="C1562" s="456" t="s">
        <v>762</v>
      </c>
      <c r="D1562" s="456">
        <f>IF(Table11[[#This Row],[Current Age]]&gt;19,"Women's",IF(E1562&gt;15,"U19",IF(E1562&gt;13,"U15",IF(E1562&gt;11,"U13",IF(E1562&gt;0,"U11",0)))))</f>
        <v>0</v>
      </c>
      <c r="E1562" s="456">
        <f>IFERROR(IF(Table11[[#This Row],[Year]]&gt;0,$E$1-Table11[[#This Row],[Year]],0),"")</f>
        <v>0</v>
      </c>
      <c r="F1562" s="456"/>
      <c r="G1562" s="456"/>
      <c r="H1562" s="456"/>
    </row>
    <row r="1563" spans="1:8" ht="13.5" customHeight="1">
      <c r="A1563" s="471">
        <v>8559</v>
      </c>
      <c r="B1563" s="496" t="s">
        <v>5056</v>
      </c>
      <c r="C1563" s="471" t="s">
        <v>762</v>
      </c>
      <c r="D1563" s="456">
        <f>IF(Table11[[#This Row],[Current Age]]&gt;19,"Women's",IF(E1563&gt;15,"U19",IF(E1563&gt;13,"U15",IF(E1563&gt;11,"U13",IF(E1563&gt;0,"U11",0)))))</f>
        <v>0</v>
      </c>
      <c r="E1563" s="456">
        <f>IFERROR(IF(Table11[[#This Row],[Year]]&gt;0,$E$1-Table11[[#This Row],[Year]],0),"")</f>
        <v>0</v>
      </c>
      <c r="F1563" s="456"/>
      <c r="G1563" s="456"/>
      <c r="H1563" s="456"/>
    </row>
    <row r="1564" spans="1:8" ht="13.5" customHeight="1">
      <c r="A1564" s="456">
        <v>8560</v>
      </c>
      <c r="B1564" s="497" t="s">
        <v>5057</v>
      </c>
      <c r="C1564" s="456" t="s">
        <v>762</v>
      </c>
      <c r="D1564" s="456">
        <f>IF(Table11[[#This Row],[Current Age]]&gt;19,"Women's",IF(E1564&gt;15,"U19",IF(E1564&gt;13,"U15",IF(E1564&gt;11,"U13",IF(E1564&gt;0,"U11",0)))))</f>
        <v>0</v>
      </c>
      <c r="E1564" s="456">
        <f>IFERROR(IF(Table11[[#This Row],[Year]]&gt;0,$E$1-Table11[[#This Row],[Year]],0),"")</f>
        <v>0</v>
      </c>
      <c r="F1564" s="456"/>
      <c r="G1564" s="456"/>
      <c r="H1564" s="456"/>
    </row>
    <row r="1565" spans="1:8" ht="13.5" customHeight="1">
      <c r="A1565" s="471">
        <v>8561</v>
      </c>
      <c r="B1565" s="496" t="s">
        <v>5058</v>
      </c>
      <c r="C1565" s="471" t="s">
        <v>762</v>
      </c>
      <c r="D1565" s="456">
        <f>IF(Table11[[#This Row],[Current Age]]&gt;19,"Women's",IF(E1565&gt;15,"U19",IF(E1565&gt;13,"U15",IF(E1565&gt;11,"U13",IF(E1565&gt;0,"U11",0)))))</f>
        <v>0</v>
      </c>
      <c r="E1565" s="456">
        <f>IFERROR(IF(Table11[[#This Row],[Year]]&gt;0,$E$1-Table11[[#This Row],[Year]],0),"")</f>
        <v>0</v>
      </c>
      <c r="F1565" s="456"/>
      <c r="G1565" s="456"/>
      <c r="H1565" s="456"/>
    </row>
    <row r="1566" spans="1:8" ht="13.5" customHeight="1">
      <c r="A1566" s="456">
        <v>8562</v>
      </c>
      <c r="B1566" s="497" t="s">
        <v>5059</v>
      </c>
      <c r="C1566" s="456" t="s">
        <v>762</v>
      </c>
      <c r="D1566" s="456">
        <f>IF(Table11[[#This Row],[Current Age]]&gt;19,"Women's",IF(E1566&gt;15,"U19",IF(E1566&gt;13,"U15",IF(E1566&gt;11,"U13",IF(E1566&gt;0,"U11",0)))))</f>
        <v>0</v>
      </c>
      <c r="E1566" s="456">
        <f>IFERROR(IF(Table11[[#This Row],[Year]]&gt;0,$E$1-Table11[[#This Row],[Year]],0),"")</f>
        <v>0</v>
      </c>
      <c r="F1566" s="456"/>
      <c r="G1566" s="456"/>
      <c r="H1566" s="456"/>
    </row>
    <row r="1567" spans="1:8" ht="13.5" customHeight="1">
      <c r="A1567" s="471">
        <v>8563</v>
      </c>
      <c r="B1567" s="496" t="s">
        <v>5060</v>
      </c>
      <c r="C1567" s="471" t="s">
        <v>762</v>
      </c>
      <c r="D1567" s="456">
        <f>IF(Table11[[#This Row],[Current Age]]&gt;19,"Women's",IF(E1567&gt;15,"U19",IF(E1567&gt;13,"U15",IF(E1567&gt;11,"U13",IF(E1567&gt;0,"U11",0)))))</f>
        <v>0</v>
      </c>
      <c r="E1567" s="456">
        <f>IFERROR(IF(Table11[[#This Row],[Year]]&gt;0,$E$1-Table11[[#This Row],[Year]],0),"")</f>
        <v>0</v>
      </c>
      <c r="F1567" s="456"/>
      <c r="G1567" s="456"/>
      <c r="H1567" s="456"/>
    </row>
    <row r="1568" spans="1:8" ht="13.5" customHeight="1">
      <c r="A1568" s="456">
        <v>8564</v>
      </c>
      <c r="B1568" s="497" t="s">
        <v>5061</v>
      </c>
      <c r="C1568" s="456" t="s">
        <v>762</v>
      </c>
      <c r="D1568" s="456">
        <f>IF(Table11[[#This Row],[Current Age]]&gt;19,"Women's",IF(E1568&gt;15,"U19",IF(E1568&gt;13,"U15",IF(E1568&gt;11,"U13",IF(E1568&gt;0,"U11",0)))))</f>
        <v>0</v>
      </c>
      <c r="E1568" s="456">
        <f>IFERROR(IF(Table11[[#This Row],[Year]]&gt;0,$E$1-Table11[[#This Row],[Year]],0),"")</f>
        <v>0</v>
      </c>
      <c r="F1568" s="456"/>
      <c r="G1568" s="456"/>
      <c r="H1568" s="456"/>
    </row>
    <row r="1569" spans="1:8" ht="13.5" customHeight="1">
      <c r="A1569" s="471">
        <v>8565</v>
      </c>
      <c r="B1569" s="496" t="s">
        <v>5062</v>
      </c>
      <c r="C1569" s="471" t="s">
        <v>762</v>
      </c>
      <c r="D1569" s="456">
        <f>IF(Table11[[#This Row],[Current Age]]&gt;19,"Women's",IF(E1569&gt;15,"U19",IF(E1569&gt;13,"U15",IF(E1569&gt;11,"U13",IF(E1569&gt;0,"U11",0)))))</f>
        <v>0</v>
      </c>
      <c r="E1569" s="456">
        <f>IFERROR(IF(Table11[[#This Row],[Year]]&gt;0,$E$1-Table11[[#This Row],[Year]],0),"")</f>
        <v>0</v>
      </c>
      <c r="F1569" s="456"/>
      <c r="G1569" s="456"/>
      <c r="H1569" s="456"/>
    </row>
    <row r="1570" spans="1:8" ht="13.5" customHeight="1">
      <c r="A1570" s="456">
        <v>8566</v>
      </c>
      <c r="B1570" s="497" t="s">
        <v>5063</v>
      </c>
      <c r="C1570" s="456" t="s">
        <v>762</v>
      </c>
      <c r="D1570" s="456">
        <f>IF(Table11[[#This Row],[Current Age]]&gt;19,"Women's",IF(E1570&gt;15,"U19",IF(E1570&gt;13,"U15",IF(E1570&gt;11,"U13",IF(E1570&gt;0,"U11",0)))))</f>
        <v>0</v>
      </c>
      <c r="E1570" s="456">
        <f>IFERROR(IF(Table11[[#This Row],[Year]]&gt;0,$E$1-Table11[[#This Row],[Year]],0),"")</f>
        <v>0</v>
      </c>
      <c r="F1570" s="456"/>
      <c r="G1570" s="456"/>
      <c r="H1570" s="456"/>
    </row>
    <row r="1571" spans="1:8" ht="13.5" customHeight="1">
      <c r="A1571" s="471">
        <v>8567</v>
      </c>
      <c r="B1571" s="496" t="s">
        <v>5064</v>
      </c>
      <c r="C1571" s="471" t="s">
        <v>762</v>
      </c>
      <c r="D1571" s="456">
        <f>IF(Table11[[#This Row],[Current Age]]&gt;19,"Women's",IF(E1571&gt;15,"U19",IF(E1571&gt;13,"U15",IF(E1571&gt;11,"U13",IF(E1571&gt;0,"U11",0)))))</f>
        <v>0</v>
      </c>
      <c r="E1571" s="456">
        <f>IFERROR(IF(Table11[[#This Row],[Year]]&gt;0,$E$1-Table11[[#This Row],[Year]],0),"")</f>
        <v>0</v>
      </c>
      <c r="F1571" s="456"/>
      <c r="G1571" s="456"/>
      <c r="H1571" s="456"/>
    </row>
    <row r="1572" spans="1:8" ht="13.5" customHeight="1">
      <c r="A1572" s="456">
        <v>8568</v>
      </c>
      <c r="B1572" s="548" t="s">
        <v>5070</v>
      </c>
      <c r="C1572" s="456" t="s">
        <v>243</v>
      </c>
      <c r="D1572" s="456">
        <f>IF(Table11[[#This Row],[Current Age]]&gt;19,"Women's",IF(E1572&gt;15,"U19",IF(E1572&gt;13,"U15",IF(E1572&gt;11,"U13",IF(E1572&gt;0,"U11",0)))))</f>
        <v>0</v>
      </c>
      <c r="E1572" s="456">
        <f>IFERROR(IF(Table11[[#This Row],[Year]]&gt;0,$E$1-Table11[[#This Row],[Year]],0),"")</f>
        <v>0</v>
      </c>
      <c r="F1572" s="456"/>
      <c r="G1572" s="456"/>
      <c r="H1572" s="456"/>
    </row>
    <row r="1573" spans="1:8" ht="13.5" customHeight="1">
      <c r="A1573" s="471">
        <v>8569</v>
      </c>
      <c r="B1573" s="547" t="s">
        <v>5341</v>
      </c>
      <c r="C1573" s="471" t="s">
        <v>243</v>
      </c>
      <c r="D1573" s="456">
        <f>IF(Table11[[#This Row],[Current Age]]&gt;19,"Women's",IF(E1573&gt;15,"U19",IF(E1573&gt;13,"U15",IF(E1573&gt;11,"U13",IF(E1573&gt;0,"U11",0)))))</f>
        <v>0</v>
      </c>
      <c r="E1573" s="456">
        <f>IFERROR(IF(Table11[[#This Row],[Year]]&gt;0,$E$1-Table11[[#This Row],[Year]],0),"")</f>
        <v>0</v>
      </c>
      <c r="F1573" s="456"/>
      <c r="G1573" s="456"/>
      <c r="H1573" s="456"/>
    </row>
    <row r="1574" spans="1:8" ht="13.5" customHeight="1">
      <c r="A1574" s="456">
        <v>8570</v>
      </c>
      <c r="B1574" s="457" t="s">
        <v>5390</v>
      </c>
      <c r="C1574" s="456" t="s">
        <v>3793</v>
      </c>
      <c r="D1574" s="456">
        <f>IF(Table11[[#This Row],[Current Age]]&gt;19,"Women's",IF(E1574&gt;15,"U19",IF(E1574&gt;13,"U15",IF(E1574&gt;11,"U13",IF(E1574&gt;0,"U11",0)))))</f>
        <v>0</v>
      </c>
      <c r="E1574" s="456">
        <f>IFERROR(IF(Table11[[#This Row],[Year]]&gt;0,$E$1-Table11[[#This Row],[Year]],0),"")</f>
        <v>0</v>
      </c>
      <c r="F1574" s="456"/>
      <c r="G1574" s="456"/>
      <c r="H1574" s="456"/>
    </row>
    <row r="1575" spans="1:8" ht="13.5" customHeight="1">
      <c r="A1575" s="471">
        <v>8571</v>
      </c>
      <c r="B1575" s="547" t="s">
        <v>5073</v>
      </c>
      <c r="C1575" s="471" t="s">
        <v>243</v>
      </c>
      <c r="D1575" s="456">
        <f>IF(Table11[[#This Row],[Current Age]]&gt;19,"Women's",IF(E1575&gt;15,"U19",IF(E1575&gt;13,"U15",IF(E1575&gt;11,"U13",IF(E1575&gt;0,"U11",0)))))</f>
        <v>0</v>
      </c>
      <c r="E1575" s="456">
        <f>IFERROR(IF(Table11[[#This Row],[Year]]&gt;0,$E$1-Table11[[#This Row],[Year]],0),"")</f>
        <v>0</v>
      </c>
      <c r="F1575" s="456"/>
      <c r="G1575" s="456"/>
      <c r="H1575" s="456"/>
    </row>
    <row r="1576" spans="1:8" ht="13.5" customHeight="1">
      <c r="A1576" s="456">
        <v>8572</v>
      </c>
      <c r="B1576" s="548" t="s">
        <v>5074</v>
      </c>
      <c r="C1576" s="456" t="s">
        <v>243</v>
      </c>
      <c r="D1576" s="456">
        <f>IF(Table11[[#This Row],[Current Age]]&gt;19,"Women's",IF(E1576&gt;15,"U19",IF(E1576&gt;13,"U15",IF(E1576&gt;11,"U13",IF(E1576&gt;0,"U11",0)))))</f>
        <v>0</v>
      </c>
      <c r="E1576" s="456">
        <f>IFERROR(IF(Table11[[#This Row],[Year]]&gt;0,$E$1-Table11[[#This Row],[Year]],0),"")</f>
        <v>0</v>
      </c>
      <c r="F1576" s="456"/>
      <c r="G1576" s="456"/>
      <c r="H1576" s="456"/>
    </row>
    <row r="1577" spans="1:8" ht="13.5" customHeight="1">
      <c r="A1577" s="471">
        <v>8573</v>
      </c>
      <c r="B1577" s="547" t="s">
        <v>5075</v>
      </c>
      <c r="C1577" s="471" t="s">
        <v>243</v>
      </c>
      <c r="D1577" s="456">
        <f>IF(Table11[[#This Row],[Current Age]]&gt;19,"Women's",IF(E1577&gt;15,"U19",IF(E1577&gt;13,"U15",IF(E1577&gt;11,"U13",IF(E1577&gt;0,"U11",0)))))</f>
        <v>0</v>
      </c>
      <c r="E1577" s="456">
        <f>IFERROR(IF(Table11[[#This Row],[Year]]&gt;0,$E$1-Table11[[#This Row],[Year]],0),"")</f>
        <v>0</v>
      </c>
      <c r="F1577" s="456"/>
      <c r="G1577" s="456"/>
      <c r="H1577" s="456"/>
    </row>
    <row r="1578" spans="1:8" ht="13.5" customHeight="1">
      <c r="A1578" s="456">
        <v>8574</v>
      </c>
      <c r="B1578" s="548" t="s">
        <v>5072</v>
      </c>
      <c r="C1578" s="456" t="s">
        <v>243</v>
      </c>
      <c r="D1578" s="456">
        <f>IF(Table11[[#This Row],[Current Age]]&gt;19,"Women's",IF(E1578&gt;15,"U19",IF(E1578&gt;13,"U15",IF(E1578&gt;11,"U13",IF(E1578&gt;0,"U11",0)))))</f>
        <v>0</v>
      </c>
      <c r="E1578" s="456">
        <f>IFERROR(IF(Table11[[#This Row],[Year]]&gt;0,$E$1-Table11[[#This Row],[Year]],0),"")</f>
        <v>0</v>
      </c>
      <c r="F1578" s="456"/>
      <c r="G1578" s="456"/>
      <c r="H1578" s="456"/>
    </row>
    <row r="1579" spans="1:8" ht="13.5" customHeight="1">
      <c r="A1579" s="471">
        <v>8575</v>
      </c>
      <c r="B1579" s="547" t="s">
        <v>5081</v>
      </c>
      <c r="C1579" s="471" t="s">
        <v>243</v>
      </c>
      <c r="D1579" s="456">
        <f>IF(Table11[[#This Row],[Current Age]]&gt;19,"Women's",IF(E1579&gt;15,"U19",IF(E1579&gt;13,"U15",IF(E1579&gt;11,"U13",IF(E1579&gt;0,"U11",0)))))</f>
        <v>0</v>
      </c>
      <c r="E1579" s="456">
        <f>IFERROR(IF(Table11[[#This Row],[Year]]&gt;0,$E$1-Table11[[#This Row],[Year]],0),"")</f>
        <v>0</v>
      </c>
      <c r="F1579" s="456"/>
      <c r="G1579" s="456"/>
      <c r="H1579" s="456"/>
    </row>
    <row r="1580" spans="1:8" ht="13.5" customHeight="1">
      <c r="A1580" s="456">
        <v>8576</v>
      </c>
      <c r="B1580" s="548" t="s">
        <v>5080</v>
      </c>
      <c r="C1580" s="456" t="s">
        <v>243</v>
      </c>
      <c r="D1580" s="456">
        <f>IF(Table11[[#This Row],[Current Age]]&gt;19,"Women's",IF(E1580&gt;15,"U19",IF(E1580&gt;13,"U15",IF(E1580&gt;11,"U13",IF(E1580&gt;0,"U11",0)))))</f>
        <v>0</v>
      </c>
      <c r="E1580" s="456">
        <f>IFERROR(IF(Table11[[#This Row],[Year]]&gt;0,$E$1-Table11[[#This Row],[Year]],0),"")</f>
        <v>0</v>
      </c>
      <c r="F1580" s="456"/>
      <c r="G1580" s="456"/>
      <c r="H1580" s="456"/>
    </row>
    <row r="1581" spans="1:8" ht="13.5" customHeight="1">
      <c r="A1581" s="471">
        <v>8577</v>
      </c>
      <c r="B1581" s="547" t="s">
        <v>5079</v>
      </c>
      <c r="C1581" s="471" t="s">
        <v>243</v>
      </c>
      <c r="D1581" s="456">
        <f>IF(Table11[[#This Row],[Current Age]]&gt;19,"Women's",IF(E1581&gt;15,"U19",IF(E1581&gt;13,"U15",IF(E1581&gt;11,"U13",IF(E1581&gt;0,"U11",0)))))</f>
        <v>0</v>
      </c>
      <c r="E1581" s="456">
        <f>IFERROR(IF(Table11[[#This Row],[Year]]&gt;0,$E$1-Table11[[#This Row],[Year]],0),"")</f>
        <v>0</v>
      </c>
      <c r="F1581" s="456"/>
      <c r="G1581" s="456"/>
      <c r="H1581" s="456"/>
    </row>
    <row r="1582" spans="1:8" ht="13.5" customHeight="1">
      <c r="A1582" s="456">
        <v>8578</v>
      </c>
      <c r="B1582" s="548" t="s">
        <v>5078</v>
      </c>
      <c r="C1582" s="456" t="s">
        <v>243</v>
      </c>
      <c r="D1582" s="456">
        <f>IF(Table11[[#This Row],[Current Age]]&gt;19,"Women's",IF(E1582&gt;15,"U19",IF(E1582&gt;13,"U15",IF(E1582&gt;11,"U13",IF(E1582&gt;0,"U11",0)))))</f>
        <v>0</v>
      </c>
      <c r="E1582" s="456">
        <f>IFERROR(IF(Table11[[#This Row],[Year]]&gt;0,$E$1-Table11[[#This Row],[Year]],0),"")</f>
        <v>0</v>
      </c>
      <c r="F1582" s="456"/>
      <c r="G1582" s="456"/>
      <c r="H1582" s="456"/>
    </row>
    <row r="1583" spans="1:8" ht="13.5" customHeight="1">
      <c r="A1583" s="472">
        <v>8579</v>
      </c>
      <c r="B1583" s="547" t="s">
        <v>5082</v>
      </c>
      <c r="C1583" s="471" t="s">
        <v>243</v>
      </c>
      <c r="D1583" s="456">
        <f>IF(Table11[[#This Row],[Current Age]]&gt;19,"Women's",IF(E1583&gt;15,"U19",IF(E1583&gt;13,"U15",IF(E1583&gt;11,"U13",IF(E1583&gt;0,"U11",0)))))</f>
        <v>0</v>
      </c>
      <c r="E1583" s="456">
        <f>IFERROR(IF(Table11[[#This Row],[Year]]&gt;0,$E$1-Table11[[#This Row],[Year]],0),"")</f>
        <v>0</v>
      </c>
      <c r="F1583" s="456"/>
      <c r="G1583" s="456"/>
      <c r="H1583" s="456"/>
    </row>
    <row r="1584" spans="1:8" ht="13.5" customHeight="1">
      <c r="A1584" s="456">
        <v>8580</v>
      </c>
      <c r="B1584" s="457" t="s">
        <v>5083</v>
      </c>
      <c r="C1584" s="456" t="s">
        <v>243</v>
      </c>
      <c r="D1584" s="456">
        <f>IF(Table11[[#This Row],[Current Age]]&gt;19,"Women's",IF(E1584&gt;15,"U19",IF(E1584&gt;13,"U15",IF(E1584&gt;11,"U13",IF(E1584&gt;0,"U11",0)))))</f>
        <v>0</v>
      </c>
      <c r="E1584" s="456">
        <f>IFERROR(IF(Table11[[#This Row],[Year]]&gt;0,$E$1-Table11[[#This Row],[Year]],0),"")</f>
        <v>0</v>
      </c>
      <c r="F1584" s="456"/>
      <c r="G1584" s="456"/>
      <c r="H1584" s="456"/>
    </row>
    <row r="1585" spans="1:8" ht="13.5" customHeight="1">
      <c r="A1585" s="471">
        <v>8581</v>
      </c>
      <c r="B1585" s="540" t="s">
        <v>5084</v>
      </c>
      <c r="C1585" s="471" t="s">
        <v>243</v>
      </c>
      <c r="D1585" s="456">
        <f>IF(Table11[[#This Row],[Current Age]]&gt;19,"Women's",IF(E1585&gt;15,"U19",IF(E1585&gt;13,"U15",IF(E1585&gt;11,"U13",IF(E1585&gt;0,"U11",0)))))</f>
        <v>0</v>
      </c>
      <c r="E1585" s="456">
        <f>IFERROR(IF(Table11[[#This Row],[Year]]&gt;0,$E$1-Table11[[#This Row],[Year]],0),"")</f>
        <v>0</v>
      </c>
      <c r="F1585" s="456"/>
      <c r="G1585" s="456"/>
      <c r="H1585" s="456"/>
    </row>
    <row r="1586" spans="1:8" ht="13.5" customHeight="1">
      <c r="A1586" s="456">
        <v>8582</v>
      </c>
      <c r="B1586" s="457" t="s">
        <v>5085</v>
      </c>
      <c r="C1586" s="456" t="s">
        <v>243</v>
      </c>
      <c r="D1586" s="456">
        <f>IF(Table11[[#This Row],[Current Age]]&gt;19,"Women's",IF(E1586&gt;15,"U19",IF(E1586&gt;13,"U15",IF(E1586&gt;11,"U13",IF(E1586&gt;0,"U11",0)))))</f>
        <v>0</v>
      </c>
      <c r="E1586" s="456">
        <f>IFERROR(IF(Table11[[#This Row],[Year]]&gt;0,$E$1-Table11[[#This Row],[Year]],0),"")</f>
        <v>0</v>
      </c>
      <c r="F1586" s="456"/>
      <c r="G1586" s="456"/>
      <c r="H1586" s="456"/>
    </row>
    <row r="1587" spans="1:8" ht="13.5" customHeight="1">
      <c r="A1587" s="472">
        <v>8583</v>
      </c>
      <c r="B1587" s="551" t="s">
        <v>5782</v>
      </c>
      <c r="C1587" s="483" t="s">
        <v>244</v>
      </c>
      <c r="D1587" s="456">
        <f>IF(Table11[[#This Row],[Current Age]]&gt;19,"Women's",IF(E1587&gt;15,"U19",IF(E1587&gt;13,"U15",IF(E1587&gt;11,"U13",IF(E1587&gt;0,"U11",0)))))</f>
        <v>0</v>
      </c>
      <c r="E1587" s="456">
        <f>IFERROR(IF(Table11[[#This Row],[Year]]&gt;0,$E$1-Table11[[#This Row],[Year]],0),"")</f>
        <v>0</v>
      </c>
      <c r="F1587" s="456"/>
      <c r="G1587" s="456"/>
      <c r="H1587" s="456"/>
    </row>
    <row r="1588" spans="1:8" ht="13.5" customHeight="1">
      <c r="A1588" s="456">
        <v>8584</v>
      </c>
      <c r="B1588" s="457" t="s">
        <v>5086</v>
      </c>
      <c r="C1588" s="456" t="s">
        <v>253</v>
      </c>
      <c r="D1588" s="456">
        <f>IF(Table11[[#This Row],[Current Age]]&gt;19,"Women's",IF(E1588&gt;15,"U19",IF(E1588&gt;13,"U15",IF(E1588&gt;11,"U13",IF(E1588&gt;0,"U11",0)))))</f>
        <v>0</v>
      </c>
      <c r="E1588" s="456">
        <f>IFERROR(IF(Table11[[#This Row],[Year]]&gt;0,$E$1-Table11[[#This Row],[Year]],0),"")</f>
        <v>0</v>
      </c>
      <c r="F1588" s="456"/>
      <c r="G1588" s="456"/>
      <c r="H1588" s="456"/>
    </row>
    <row r="1589" spans="1:8" ht="13.5" customHeight="1">
      <c r="A1589" s="471">
        <v>8585</v>
      </c>
      <c r="B1589" s="540" t="s">
        <v>5087</v>
      </c>
      <c r="C1589" s="471" t="s">
        <v>253</v>
      </c>
      <c r="D1589" s="456">
        <f>IF(Table11[[#This Row],[Current Age]]&gt;19,"Women's",IF(E1589&gt;15,"U19",IF(E1589&gt;13,"U15",IF(E1589&gt;11,"U13",IF(E1589&gt;0,"U11",0)))))</f>
        <v>0</v>
      </c>
      <c r="E1589" s="456">
        <f>IFERROR(IF(Table11[[#This Row],[Year]]&gt;0,$E$1-Table11[[#This Row],[Year]],0),"")</f>
        <v>0</v>
      </c>
      <c r="F1589" s="456"/>
      <c r="G1589" s="456"/>
      <c r="H1589" s="456"/>
    </row>
    <row r="1590" spans="1:8" ht="13.5" customHeight="1">
      <c r="A1590" s="456">
        <v>8586</v>
      </c>
      <c r="B1590" s="457" t="s">
        <v>5088</v>
      </c>
      <c r="C1590" s="456" t="s">
        <v>253</v>
      </c>
      <c r="D1590" s="456">
        <f>IF(Table11[[#This Row],[Current Age]]&gt;19,"Women's",IF(E1590&gt;15,"U19",IF(E1590&gt;13,"U15",IF(E1590&gt;11,"U13",IF(E1590&gt;0,"U11",0)))))</f>
        <v>0</v>
      </c>
      <c r="E1590" s="456">
        <f>IFERROR(IF(Table11[[#This Row],[Year]]&gt;0,$E$1-Table11[[#This Row],[Year]],0),"")</f>
        <v>0</v>
      </c>
      <c r="F1590" s="456"/>
      <c r="G1590" s="456"/>
      <c r="H1590" s="456"/>
    </row>
    <row r="1591" spans="1:8" ht="13.5" customHeight="1">
      <c r="A1591" s="471">
        <v>8587</v>
      </c>
      <c r="B1591" s="540" t="s">
        <v>5089</v>
      </c>
      <c r="C1591" s="471" t="s">
        <v>253</v>
      </c>
      <c r="D1591" s="456">
        <f>IF(Table11[[#This Row],[Current Age]]&gt;19,"Women's",IF(E1591&gt;15,"U19",IF(E1591&gt;13,"U15",IF(E1591&gt;11,"U13",IF(E1591&gt;0,"U11",0)))))</f>
        <v>0</v>
      </c>
      <c r="E1591" s="456">
        <f>IFERROR(IF(Table11[[#This Row],[Year]]&gt;0,$E$1-Table11[[#This Row],[Year]],0),"")</f>
        <v>0</v>
      </c>
      <c r="F1591" s="456"/>
      <c r="G1591" s="456"/>
      <c r="H1591" s="456"/>
    </row>
    <row r="1592" spans="1:8" ht="13.5" customHeight="1">
      <c r="A1592" s="456">
        <v>8588</v>
      </c>
      <c r="B1592" s="457" t="s">
        <v>5090</v>
      </c>
      <c r="C1592" s="456" t="s">
        <v>253</v>
      </c>
      <c r="D1592" s="456">
        <f>IF(Table11[[#This Row],[Current Age]]&gt;19,"Women's",IF(E1592&gt;15,"U19",IF(E1592&gt;13,"U15",IF(E1592&gt;11,"U13",IF(E1592&gt;0,"U11",0)))))</f>
        <v>0</v>
      </c>
      <c r="E1592" s="456">
        <f>IFERROR(IF(Table11[[#This Row],[Year]]&gt;0,$E$1-Table11[[#This Row],[Year]],0),"")</f>
        <v>0</v>
      </c>
      <c r="F1592" s="456"/>
      <c r="G1592" s="456"/>
      <c r="H1592" s="456"/>
    </row>
    <row r="1593" spans="1:8" ht="13.5" customHeight="1">
      <c r="A1593" s="471">
        <v>8589</v>
      </c>
      <c r="B1593" s="540" t="s">
        <v>5091</v>
      </c>
      <c r="C1593" s="471" t="s">
        <v>253</v>
      </c>
      <c r="D1593" s="456">
        <f>IF(Table11[[#This Row],[Current Age]]&gt;19,"Women's",IF(E1593&gt;15,"U19",IF(E1593&gt;13,"U15",IF(E1593&gt;11,"U13",IF(E1593&gt;0,"U11",0)))))</f>
        <v>0</v>
      </c>
      <c r="E1593" s="456">
        <f>IFERROR(IF(Table11[[#This Row],[Year]]&gt;0,$E$1-Table11[[#This Row],[Year]],0),"")</f>
        <v>0</v>
      </c>
      <c r="F1593" s="456"/>
      <c r="G1593" s="456"/>
      <c r="H1593" s="456"/>
    </row>
    <row r="1594" spans="1:8" ht="13.5" customHeight="1">
      <c r="A1594" s="456">
        <v>8590</v>
      </c>
      <c r="B1594" s="457" t="s">
        <v>5092</v>
      </c>
      <c r="C1594" s="456" t="s">
        <v>253</v>
      </c>
      <c r="D1594" s="456">
        <f>IF(Table11[[#This Row],[Current Age]]&gt;19,"Women's",IF(E1594&gt;15,"U19",IF(E1594&gt;13,"U15",IF(E1594&gt;11,"U13",IF(E1594&gt;0,"U11",0)))))</f>
        <v>0</v>
      </c>
      <c r="E1594" s="456">
        <f>IFERROR(IF(Table11[[#This Row],[Year]]&gt;0,$E$1-Table11[[#This Row],[Year]],0),"")</f>
        <v>0</v>
      </c>
      <c r="F1594" s="456"/>
      <c r="G1594" s="456"/>
      <c r="H1594" s="456"/>
    </row>
    <row r="1595" spans="1:8" ht="13.5" customHeight="1">
      <c r="A1595" s="471">
        <v>8591</v>
      </c>
      <c r="B1595" s="540" t="s">
        <v>5191</v>
      </c>
      <c r="C1595" s="471" t="s">
        <v>251</v>
      </c>
      <c r="D1595" s="456">
        <f>IF(Table11[[#This Row],[Current Age]]&gt;19,"Women's",IF(E1595&gt;15,"U19",IF(E1595&gt;13,"U15",IF(E1595&gt;11,"U13",IF(E1595&gt;0,"U11",0)))))</f>
        <v>0</v>
      </c>
      <c r="E1595" s="456">
        <f>IFERROR(IF(Table11[[#This Row],[Year]]&gt;0,$E$1-Table11[[#This Row],[Year]],0),"")</f>
        <v>0</v>
      </c>
      <c r="F1595" s="456"/>
      <c r="G1595" s="456"/>
      <c r="H1595" s="456"/>
    </row>
    <row r="1596" spans="1:8" ht="13.5" customHeight="1">
      <c r="A1596" s="456">
        <v>8592</v>
      </c>
      <c r="B1596" s="457" t="s">
        <v>5192</v>
      </c>
      <c r="C1596" s="456" t="s">
        <v>251</v>
      </c>
      <c r="D1596" s="456">
        <f>IF(Table11[[#This Row],[Current Age]]&gt;19,"Women's",IF(E1596&gt;15,"U19",IF(E1596&gt;13,"U15",IF(E1596&gt;11,"U13",IF(E1596&gt;0,"U11",0)))))</f>
        <v>0</v>
      </c>
      <c r="E1596" s="456">
        <f>IFERROR(IF(Table11[[#This Row],[Year]]&gt;0,$E$1-Table11[[#This Row],[Year]],0),"")</f>
        <v>0</v>
      </c>
      <c r="F1596" s="456"/>
      <c r="G1596" s="456"/>
      <c r="H1596" s="456"/>
    </row>
    <row r="1597" spans="1:8" ht="13.5" customHeight="1">
      <c r="A1597" s="471">
        <v>8593</v>
      </c>
      <c r="B1597" s="540" t="s">
        <v>5193</v>
      </c>
      <c r="C1597" s="471" t="s">
        <v>251</v>
      </c>
      <c r="D1597" s="456">
        <f>IF(Table11[[#This Row],[Current Age]]&gt;19,"Women's",IF(E1597&gt;15,"U19",IF(E1597&gt;13,"U15",IF(E1597&gt;11,"U13",IF(E1597&gt;0,"U11",0)))))</f>
        <v>0</v>
      </c>
      <c r="E1597" s="456">
        <f>IFERROR(IF(Table11[[#This Row],[Year]]&gt;0,$E$1-Table11[[#This Row],[Year]],0),"")</f>
        <v>0</v>
      </c>
      <c r="F1597" s="456"/>
      <c r="G1597" s="456"/>
      <c r="H1597" s="456"/>
    </row>
    <row r="1598" spans="1:8" ht="13.5" customHeight="1">
      <c r="A1598" s="456">
        <v>8594</v>
      </c>
      <c r="B1598" s="457" t="s">
        <v>5194</v>
      </c>
      <c r="C1598" s="456" t="s">
        <v>251</v>
      </c>
      <c r="D1598" s="456">
        <f>IF(Table11[[#This Row],[Current Age]]&gt;19,"Women's",IF(E1598&gt;15,"U19",IF(E1598&gt;13,"U15",IF(E1598&gt;11,"U13",IF(E1598&gt;0,"U11",0)))))</f>
        <v>0</v>
      </c>
      <c r="E1598" s="456">
        <f>IFERROR(IF(Table11[[#This Row],[Year]]&gt;0,$E$1-Table11[[#This Row],[Year]],0),"")</f>
        <v>0</v>
      </c>
      <c r="F1598" s="456"/>
      <c r="G1598" s="456"/>
      <c r="H1598" s="456"/>
    </row>
    <row r="1599" spans="1:8" ht="13.5" customHeight="1">
      <c r="A1599" s="471">
        <v>8595</v>
      </c>
      <c r="B1599" s="540" t="s">
        <v>5195</v>
      </c>
      <c r="C1599" s="471" t="s">
        <v>251</v>
      </c>
      <c r="D1599" s="456">
        <f>IF(Table11[[#This Row],[Current Age]]&gt;19,"Women's",IF(E1599&gt;15,"U19",IF(E1599&gt;13,"U15",IF(E1599&gt;11,"U13",IF(E1599&gt;0,"U11",0)))))</f>
        <v>0</v>
      </c>
      <c r="E1599" s="456">
        <f>IFERROR(IF(Table11[[#This Row],[Year]]&gt;0,$E$1-Table11[[#This Row],[Year]],0),"")</f>
        <v>0</v>
      </c>
      <c r="F1599" s="456"/>
      <c r="G1599" s="456"/>
      <c r="H1599" s="456"/>
    </row>
    <row r="1600" spans="1:8" ht="13.5" customHeight="1">
      <c r="A1600" s="456">
        <v>8596</v>
      </c>
      <c r="B1600" s="457" t="s">
        <v>5196</v>
      </c>
      <c r="C1600" s="456" t="s">
        <v>251</v>
      </c>
      <c r="D1600" s="456">
        <f>IF(Table11[[#This Row],[Current Age]]&gt;19,"Women's",IF(E1600&gt;15,"U19",IF(E1600&gt;13,"U15",IF(E1600&gt;11,"U13",IF(E1600&gt;0,"U11",0)))))</f>
        <v>0</v>
      </c>
      <c r="E1600" s="456">
        <f>IFERROR(IF(Table11[[#This Row],[Year]]&gt;0,$E$1-Table11[[#This Row],[Year]],0),"")</f>
        <v>0</v>
      </c>
      <c r="F1600" s="456"/>
      <c r="G1600" s="456"/>
      <c r="H1600" s="456"/>
    </row>
    <row r="1601" spans="1:8" ht="13.5" customHeight="1">
      <c r="A1601" s="471">
        <v>8597</v>
      </c>
      <c r="B1601" s="540" t="s">
        <v>5197</v>
      </c>
      <c r="C1601" s="471" t="s">
        <v>251</v>
      </c>
      <c r="D1601" s="456">
        <f>IF(Table11[[#This Row],[Current Age]]&gt;19,"Women's",IF(E1601&gt;15,"U19",IF(E1601&gt;13,"U15",IF(E1601&gt;11,"U13",IF(E1601&gt;0,"U11",0)))))</f>
        <v>0</v>
      </c>
      <c r="E1601" s="456">
        <f>IFERROR(IF(Table11[[#This Row],[Year]]&gt;0,$E$1-Table11[[#This Row],[Year]],0),"")</f>
        <v>0</v>
      </c>
      <c r="F1601" s="456"/>
      <c r="G1601" s="456"/>
      <c r="H1601" s="456"/>
    </row>
    <row r="1602" spans="1:8" ht="13.5" customHeight="1">
      <c r="A1602" s="456">
        <v>8598</v>
      </c>
      <c r="B1602" s="457" t="s">
        <v>5198</v>
      </c>
      <c r="C1602" s="456" t="s">
        <v>251</v>
      </c>
      <c r="D1602" s="456">
        <f>IF(Table11[[#This Row],[Current Age]]&gt;19,"Women's",IF(E1602&gt;15,"U19",IF(E1602&gt;13,"U15",IF(E1602&gt;11,"U13",IF(E1602&gt;0,"U11",0)))))</f>
        <v>0</v>
      </c>
      <c r="E1602" s="456">
        <f>IFERROR(IF(Table11[[#This Row],[Year]]&gt;0,$E$1-Table11[[#This Row],[Year]],0),"")</f>
        <v>0</v>
      </c>
      <c r="F1602" s="456"/>
      <c r="G1602" s="456"/>
      <c r="H1602" s="456"/>
    </row>
    <row r="1603" spans="1:8" ht="13.5" customHeight="1">
      <c r="A1603" s="471">
        <v>8599</v>
      </c>
      <c r="B1603" s="540" t="s">
        <v>5199</v>
      </c>
      <c r="C1603" s="471" t="s">
        <v>251</v>
      </c>
      <c r="D1603" s="456">
        <f>IF(Table11[[#This Row],[Current Age]]&gt;19,"Women's",IF(E1603&gt;15,"U19",IF(E1603&gt;13,"U15",IF(E1603&gt;11,"U13",IF(E1603&gt;0,"U11",0)))))</f>
        <v>0</v>
      </c>
      <c r="E1603" s="456">
        <f>IFERROR(IF(Table11[[#This Row],[Year]]&gt;0,$E$1-Table11[[#This Row],[Year]],0),"")</f>
        <v>0</v>
      </c>
      <c r="F1603" s="456"/>
      <c r="G1603" s="456"/>
      <c r="H1603" s="456"/>
    </row>
    <row r="1604" spans="1:8" ht="13.5" customHeight="1">
      <c r="A1604" s="456">
        <v>8600</v>
      </c>
      <c r="B1604" s="457" t="s">
        <v>5200</v>
      </c>
      <c r="C1604" s="456" t="s">
        <v>251</v>
      </c>
      <c r="D1604" s="456">
        <f>IF(Table11[[#This Row],[Current Age]]&gt;19,"Women's",IF(E1604&gt;15,"U19",IF(E1604&gt;13,"U15",IF(E1604&gt;11,"U13",IF(E1604&gt;0,"U11",0)))))</f>
        <v>0</v>
      </c>
      <c r="E1604" s="456">
        <f>IFERROR(IF(Table11[[#This Row],[Year]]&gt;0,$E$1-Table11[[#This Row],[Year]],0),"")</f>
        <v>0</v>
      </c>
      <c r="F1604" s="456"/>
      <c r="G1604" s="456"/>
      <c r="H1604" s="456"/>
    </row>
    <row r="1605" spans="1:8" ht="13.5" customHeight="1">
      <c r="A1605" s="471">
        <v>8601</v>
      </c>
      <c r="B1605" s="540" t="s">
        <v>5201</v>
      </c>
      <c r="C1605" s="471" t="s">
        <v>251</v>
      </c>
      <c r="D1605" s="456">
        <f>IF(Table11[[#This Row],[Current Age]]&gt;19,"Women's",IF(E1605&gt;15,"U19",IF(E1605&gt;13,"U15",IF(E1605&gt;11,"U13",IF(E1605&gt;0,"U11",0)))))</f>
        <v>0</v>
      </c>
      <c r="E1605" s="456">
        <f>IFERROR(IF(Table11[[#This Row],[Year]]&gt;0,$E$1-Table11[[#This Row],[Year]],0),"")</f>
        <v>0</v>
      </c>
      <c r="F1605" s="456"/>
      <c r="G1605" s="456"/>
      <c r="H1605" s="456"/>
    </row>
    <row r="1606" spans="1:8" ht="13.5" customHeight="1">
      <c r="A1606" s="456">
        <v>8602</v>
      </c>
      <c r="B1606" s="457" t="s">
        <v>5202</v>
      </c>
      <c r="C1606" s="456" t="s">
        <v>251</v>
      </c>
      <c r="D1606" s="456">
        <f>IF(Table11[[#This Row],[Current Age]]&gt;19,"Women's",IF(E1606&gt;15,"U19",IF(E1606&gt;13,"U15",IF(E1606&gt;11,"U13",IF(E1606&gt;0,"U11",0)))))</f>
        <v>0</v>
      </c>
      <c r="E1606" s="456">
        <f>IFERROR(IF(Table11[[#This Row],[Year]]&gt;0,$E$1-Table11[[#This Row],[Year]],0),"")</f>
        <v>0</v>
      </c>
      <c r="F1606" s="456"/>
      <c r="G1606" s="456"/>
      <c r="H1606" s="456"/>
    </row>
    <row r="1607" spans="1:8" ht="13.5" customHeight="1">
      <c r="A1607" s="471">
        <v>8603</v>
      </c>
      <c r="B1607" s="540" t="s">
        <v>6040</v>
      </c>
      <c r="C1607" s="471" t="s">
        <v>3346</v>
      </c>
      <c r="D1607" s="456">
        <f>IF(Table11[[#This Row],[Current Age]]&gt;19,"Women's",IF(E1607&gt;15,"U19",IF(E1607&gt;13,"U15",IF(E1607&gt;11,"U13",IF(E1607&gt;0,"U11",0)))))</f>
        <v>0</v>
      </c>
      <c r="E1607" s="456">
        <f>IFERROR(IF(Table11[[#This Row],[Year]]&gt;0,$E$1-Table11[[#This Row],[Year]],0),"")</f>
        <v>0</v>
      </c>
      <c r="F1607" s="456"/>
      <c r="G1607" s="456"/>
      <c r="H1607" s="456"/>
    </row>
    <row r="1608" spans="1:8" ht="13.5" customHeight="1">
      <c r="A1608" s="456">
        <v>8604</v>
      </c>
      <c r="B1608" s="457" t="s">
        <v>5203</v>
      </c>
      <c r="C1608" s="456" t="s">
        <v>251</v>
      </c>
      <c r="D1608" s="456">
        <f>IF(Table11[[#This Row],[Current Age]]&gt;19,"Women's",IF(E1608&gt;15,"U19",IF(E1608&gt;13,"U15",IF(E1608&gt;11,"U13",IF(E1608&gt;0,"U11",0)))))</f>
        <v>0</v>
      </c>
      <c r="E1608" s="456">
        <f>IFERROR(IF(Table11[[#This Row],[Year]]&gt;0,$E$1-Table11[[#This Row],[Year]],0),"")</f>
        <v>0</v>
      </c>
      <c r="F1608" s="456"/>
      <c r="G1608" s="456"/>
      <c r="H1608" s="456"/>
    </row>
    <row r="1609" spans="1:8" ht="13.5" customHeight="1">
      <c r="A1609" s="471">
        <v>8605</v>
      </c>
      <c r="B1609" s="540" t="s">
        <v>5204</v>
      </c>
      <c r="C1609" s="471" t="s">
        <v>251</v>
      </c>
      <c r="D1609" s="456">
        <f>IF(Table11[[#This Row],[Current Age]]&gt;19,"Women's",IF(E1609&gt;15,"U19",IF(E1609&gt;13,"U15",IF(E1609&gt;11,"U13",IF(E1609&gt;0,"U11",0)))))</f>
        <v>0</v>
      </c>
      <c r="E1609" s="456">
        <f>IFERROR(IF(Table11[[#This Row],[Year]]&gt;0,$E$1-Table11[[#This Row],[Year]],0),"")</f>
        <v>0</v>
      </c>
      <c r="F1609" s="456"/>
      <c r="G1609" s="456"/>
      <c r="H1609" s="456"/>
    </row>
    <row r="1610" spans="1:8" ht="13.5" customHeight="1">
      <c r="A1610" s="456">
        <v>8606</v>
      </c>
      <c r="B1610" s="457" t="s">
        <v>5205</v>
      </c>
      <c r="C1610" s="456" t="s">
        <v>251</v>
      </c>
      <c r="D1610" s="456">
        <f>IF(Table11[[#This Row],[Current Age]]&gt;19,"Women's",IF(E1610&gt;15,"U19",IF(E1610&gt;13,"U15",IF(E1610&gt;11,"U13",IF(E1610&gt;0,"U11",0)))))</f>
        <v>0</v>
      </c>
      <c r="E1610" s="456">
        <f>IFERROR(IF(Table11[[#This Row],[Year]]&gt;0,$E$1-Table11[[#This Row],[Year]],0),"")</f>
        <v>0</v>
      </c>
      <c r="F1610" s="456"/>
      <c r="G1610" s="456"/>
      <c r="H1610" s="456"/>
    </row>
    <row r="1611" spans="1:8" ht="13.5" customHeight="1">
      <c r="A1611" s="471">
        <v>8607</v>
      </c>
      <c r="B1611" s="540" t="s">
        <v>5206</v>
      </c>
      <c r="C1611" s="471" t="s">
        <v>251</v>
      </c>
      <c r="D1611" s="456">
        <f>IF(Table11[[#This Row],[Current Age]]&gt;19,"Women's",IF(E1611&gt;15,"U19",IF(E1611&gt;13,"U15",IF(E1611&gt;11,"U13",IF(E1611&gt;0,"U11",0)))))</f>
        <v>0</v>
      </c>
      <c r="E1611" s="456">
        <f>IFERROR(IF(Table11[[#This Row],[Year]]&gt;0,$E$1-Table11[[#This Row],[Year]],0),"")</f>
        <v>0</v>
      </c>
      <c r="F1611" s="456"/>
      <c r="G1611" s="456"/>
      <c r="H1611" s="456"/>
    </row>
    <row r="1612" spans="1:8" ht="13.5" customHeight="1">
      <c r="A1612" s="456">
        <v>8608</v>
      </c>
      <c r="B1612" s="457" t="s">
        <v>5207</v>
      </c>
      <c r="C1612" s="456" t="s">
        <v>251</v>
      </c>
      <c r="D1612" s="456">
        <f>IF(Table11[[#This Row],[Current Age]]&gt;19,"Women's",IF(E1612&gt;15,"U19",IF(E1612&gt;13,"U15",IF(E1612&gt;11,"U13",IF(E1612&gt;0,"U11",0)))))</f>
        <v>0</v>
      </c>
      <c r="E1612" s="456">
        <f>IFERROR(IF(Table11[[#This Row],[Year]]&gt;0,$E$1-Table11[[#This Row],[Year]],0),"")</f>
        <v>0</v>
      </c>
      <c r="F1612" s="456"/>
      <c r="G1612" s="456"/>
      <c r="H1612" s="456"/>
    </row>
    <row r="1613" spans="1:8" ht="13.5" customHeight="1">
      <c r="A1613" s="471">
        <v>8609</v>
      </c>
      <c r="B1613" s="540" t="s">
        <v>5208</v>
      </c>
      <c r="C1613" s="471" t="s">
        <v>251</v>
      </c>
      <c r="D1613" s="456">
        <f>IF(Table11[[#This Row],[Current Age]]&gt;19,"Women's",IF(E1613&gt;15,"U19",IF(E1613&gt;13,"U15",IF(E1613&gt;11,"U13",IF(E1613&gt;0,"U11",0)))))</f>
        <v>0</v>
      </c>
      <c r="E1613" s="456">
        <f>IFERROR(IF(Table11[[#This Row],[Year]]&gt;0,$E$1-Table11[[#This Row],[Year]],0),"")</f>
        <v>0</v>
      </c>
      <c r="F1613" s="456"/>
      <c r="G1613" s="456"/>
      <c r="H1613" s="456"/>
    </row>
    <row r="1614" spans="1:8" ht="13.5" customHeight="1">
      <c r="A1614" s="456">
        <v>8610</v>
      </c>
      <c r="B1614" s="457" t="s">
        <v>5209</v>
      </c>
      <c r="C1614" s="456" t="s">
        <v>251</v>
      </c>
      <c r="D1614" s="456">
        <f>IF(Table11[[#This Row],[Current Age]]&gt;19,"Women's",IF(E1614&gt;15,"U19",IF(E1614&gt;13,"U15",IF(E1614&gt;11,"U13",IF(E1614&gt;0,"U11",0)))))</f>
        <v>0</v>
      </c>
      <c r="E1614" s="456">
        <f>IFERROR(IF(Table11[[#This Row],[Year]]&gt;0,$E$1-Table11[[#This Row],[Year]],0),"")</f>
        <v>0</v>
      </c>
      <c r="F1614" s="456"/>
      <c r="G1614" s="456"/>
      <c r="H1614" s="456"/>
    </row>
    <row r="1615" spans="1:8" ht="13.5" customHeight="1">
      <c r="A1615" s="471">
        <v>8611</v>
      </c>
      <c r="B1615" s="540" t="s">
        <v>5210</v>
      </c>
      <c r="C1615" s="471" t="s">
        <v>251</v>
      </c>
      <c r="D1615" s="456">
        <f>IF(Table11[[#This Row],[Current Age]]&gt;19,"Women's",IF(E1615&gt;15,"U19",IF(E1615&gt;13,"U15",IF(E1615&gt;11,"U13",IF(E1615&gt;0,"U11",0)))))</f>
        <v>0</v>
      </c>
      <c r="E1615" s="456">
        <f>IFERROR(IF(Table11[[#This Row],[Year]]&gt;0,$E$1-Table11[[#This Row],[Year]],0),"")</f>
        <v>0</v>
      </c>
      <c r="F1615" s="456"/>
      <c r="G1615" s="456"/>
      <c r="H1615" s="456"/>
    </row>
    <row r="1616" spans="1:8" ht="13.5" customHeight="1">
      <c r="A1616" s="456">
        <v>8612</v>
      </c>
      <c r="B1616" s="457" t="s">
        <v>5211</v>
      </c>
      <c r="C1616" s="456" t="s">
        <v>251</v>
      </c>
      <c r="D1616" s="456">
        <f>IF(Table11[[#This Row],[Current Age]]&gt;19,"Women's",IF(E1616&gt;15,"U19",IF(E1616&gt;13,"U15",IF(E1616&gt;11,"U13",IF(E1616&gt;0,"U11",0)))))</f>
        <v>0</v>
      </c>
      <c r="E1616" s="456">
        <f>IFERROR(IF(Table11[[#This Row],[Year]]&gt;0,$E$1-Table11[[#This Row],[Year]],0),"")</f>
        <v>0</v>
      </c>
      <c r="F1616" s="456"/>
      <c r="G1616" s="456"/>
      <c r="H1616" s="456"/>
    </row>
    <row r="1617" spans="1:14" ht="13.5" customHeight="1">
      <c r="A1617" s="471">
        <v>8613</v>
      </c>
      <c r="B1617" s="540" t="s">
        <v>5212</v>
      </c>
      <c r="C1617" s="471" t="s">
        <v>251</v>
      </c>
      <c r="D1617" s="456">
        <f>IF(Table11[[#This Row],[Current Age]]&gt;19,"Women's",IF(E1617&gt;15,"U19",IF(E1617&gt;13,"U15",IF(E1617&gt;11,"U13",IF(E1617&gt;0,"U11",0)))))</f>
        <v>0</v>
      </c>
      <c r="E1617" s="456">
        <f>IFERROR(IF(Table11[[#This Row],[Year]]&gt;0,$E$1-Table11[[#This Row],[Year]],0),"")</f>
        <v>0</v>
      </c>
      <c r="F1617" s="456"/>
      <c r="G1617" s="456"/>
      <c r="H1617" s="456"/>
    </row>
    <row r="1618" spans="1:14" ht="13.5" customHeight="1">
      <c r="A1618" s="456">
        <v>8614</v>
      </c>
      <c r="B1618" s="457" t="s">
        <v>5213</v>
      </c>
      <c r="C1618" s="456" t="s">
        <v>251</v>
      </c>
      <c r="D1618" s="456">
        <f>IF(Table11[[#This Row],[Current Age]]&gt;19,"Women's",IF(E1618&gt;15,"U19",IF(E1618&gt;13,"U15",IF(E1618&gt;11,"U13",IF(E1618&gt;0,"U11",0)))))</f>
        <v>0</v>
      </c>
      <c r="E1618" s="456">
        <f>IFERROR(IF(Table11[[#This Row],[Year]]&gt;0,$E$1-Table11[[#This Row],[Year]],0),"")</f>
        <v>0</v>
      </c>
      <c r="F1618" s="456"/>
      <c r="G1618" s="456"/>
      <c r="H1618" s="456"/>
    </row>
    <row r="1619" spans="1:14" ht="13.5" customHeight="1">
      <c r="A1619" s="471">
        <v>8615</v>
      </c>
      <c r="B1619" s="540" t="s">
        <v>5489</v>
      </c>
      <c r="C1619" s="471" t="s">
        <v>4658</v>
      </c>
      <c r="D1619" s="456">
        <f>IF(Table11[[#This Row],[Current Age]]&gt;19,"Women's",IF(E1619&gt;15,"U19",IF(E1619&gt;13,"U15",IF(E1619&gt;11,"U13",IF(E1619&gt;0,"U11",0)))))</f>
        <v>0</v>
      </c>
      <c r="E1619" s="456">
        <f>IFERROR(IF(Table11[[#This Row],[Year]]&gt;0,$E$1-Table11[[#This Row],[Year]],0),"")</f>
        <v>0</v>
      </c>
      <c r="F1619" s="456"/>
      <c r="G1619" s="456"/>
      <c r="H1619" s="456"/>
    </row>
    <row r="1620" spans="1:14" ht="13.5" customHeight="1">
      <c r="A1620" s="456">
        <v>8616</v>
      </c>
      <c r="B1620" s="457" t="s">
        <v>5232</v>
      </c>
      <c r="C1620" s="456" t="s">
        <v>251</v>
      </c>
      <c r="D1620" s="456">
        <f>IF(Table11[[#This Row],[Current Age]]&gt;19,"Women's",IF(E1620&gt;15,"U19",IF(E1620&gt;13,"U15",IF(E1620&gt;11,"U13",IF(E1620&gt;0,"U11",0)))))</f>
        <v>0</v>
      </c>
      <c r="E1620" s="456">
        <f>IFERROR(IF(Table11[[#This Row],[Year]]&gt;0,$E$1-Table11[[#This Row],[Year]],0),"")</f>
        <v>0</v>
      </c>
      <c r="F1620" s="456"/>
      <c r="G1620" s="456"/>
      <c r="H1620" s="456"/>
    </row>
    <row r="1621" spans="1:14" ht="13.5" customHeight="1">
      <c r="A1621" s="471">
        <v>8617</v>
      </c>
      <c r="B1621" s="540" t="s">
        <v>5233</v>
      </c>
      <c r="C1621" s="471" t="s">
        <v>4720</v>
      </c>
      <c r="D1621" s="456">
        <f>IF(Table11[[#This Row],[Current Age]]&gt;19,"Women's",IF(E1621&gt;15,"U19",IF(E1621&gt;13,"U15",IF(E1621&gt;11,"U13",IF(E1621&gt;0,"U11",0)))))</f>
        <v>0</v>
      </c>
      <c r="E1621" s="456">
        <f>IFERROR(IF(Table11[[#This Row],[Year]]&gt;0,$E$1-Table11[[#This Row],[Year]],0),"")</f>
        <v>0</v>
      </c>
      <c r="F1621" s="456"/>
      <c r="G1621" s="456"/>
      <c r="H1621" s="456"/>
    </row>
    <row r="1622" spans="1:14" ht="13.5" customHeight="1">
      <c r="A1622" s="456">
        <v>8618</v>
      </c>
      <c r="B1622" s="457" t="s">
        <v>5234</v>
      </c>
      <c r="C1622" s="456" t="s">
        <v>251</v>
      </c>
      <c r="D1622" s="456">
        <f>IF(Table11[[#This Row],[Current Age]]&gt;19,"Women's",IF(E1622&gt;15,"U19",IF(E1622&gt;13,"U15",IF(E1622&gt;11,"U13",IF(E1622&gt;0,"U11",0)))))</f>
        <v>0</v>
      </c>
      <c r="E1622" s="456">
        <f>IFERROR(IF(Table11[[#This Row],[Year]]&gt;0,$E$1-Table11[[#This Row],[Year]],0),"")</f>
        <v>0</v>
      </c>
      <c r="F1622" s="456"/>
      <c r="G1622" s="456"/>
      <c r="H1622" s="456"/>
    </row>
    <row r="1623" spans="1:14" ht="13.5" customHeight="1">
      <c r="A1623" s="471">
        <v>8619</v>
      </c>
      <c r="B1623" s="552" t="s">
        <v>5239</v>
      </c>
      <c r="C1623" s="471" t="s">
        <v>4720</v>
      </c>
      <c r="D1623" s="456">
        <f>IF(Table11[[#This Row],[Current Age]]&gt;19,"Women's",IF(E1623&gt;15,"U19",IF(E1623&gt;13,"U15",IF(E1623&gt;11,"U13",IF(E1623&gt;0,"U11",0)))))</f>
        <v>0</v>
      </c>
      <c r="E1623" s="456">
        <f>IFERROR(IF(Table11[[#This Row],[Year]]&gt;0,$E$1-Table11[[#This Row],[Year]],0),"")</f>
        <v>0</v>
      </c>
      <c r="F1623" s="456"/>
      <c r="G1623" s="456"/>
      <c r="H1623" s="456"/>
    </row>
    <row r="1624" spans="1:14" ht="13.5" customHeight="1">
      <c r="A1624" s="456">
        <v>8620</v>
      </c>
      <c r="B1624" s="553" t="s">
        <v>5240</v>
      </c>
      <c r="C1624" s="456" t="s">
        <v>4720</v>
      </c>
      <c r="D1624" s="456">
        <f>IF(Table11[[#This Row],[Current Age]]&gt;19,"Women's",IF(E1624&gt;15,"U19",IF(E1624&gt;13,"U15",IF(E1624&gt;11,"U13",IF(E1624&gt;0,"U11",0)))))</f>
        <v>0</v>
      </c>
      <c r="E1624" s="456">
        <f>IFERROR(IF(Table11[[#This Row],[Year]]&gt;0,$E$1-Table11[[#This Row],[Year]],0),"")</f>
        <v>0</v>
      </c>
      <c r="F1624" s="456"/>
      <c r="G1624" s="456"/>
      <c r="H1624" s="456"/>
    </row>
    <row r="1625" spans="1:14" ht="13.5" customHeight="1">
      <c r="A1625" s="471">
        <v>8621</v>
      </c>
      <c r="B1625" s="552" t="s">
        <v>5359</v>
      </c>
      <c r="C1625" s="471" t="s">
        <v>4720</v>
      </c>
      <c r="D1625" s="456">
        <f>IF(Table11[[#This Row],[Current Age]]&gt;19,"Women's",IF(E1625&gt;15,"U19",IF(E1625&gt;13,"U15",IF(E1625&gt;11,"U13",IF(E1625&gt;0,"U11",0)))))</f>
        <v>0</v>
      </c>
      <c r="E1625" s="456">
        <f>IFERROR(IF(Table11[[#This Row],[Year]]&gt;0,$E$1-Table11[[#This Row],[Year]],0),"")</f>
        <v>0</v>
      </c>
      <c r="F1625" s="456"/>
      <c r="G1625" s="456"/>
      <c r="H1625" s="456"/>
    </row>
    <row r="1626" spans="1:14" ht="13.5" customHeight="1">
      <c r="A1626" s="456">
        <v>8622</v>
      </c>
      <c r="B1626" s="553" t="s">
        <v>5247</v>
      </c>
      <c r="C1626" s="456" t="s">
        <v>4720</v>
      </c>
      <c r="D1626" s="456">
        <f>IF(Table11[[#This Row],[Current Age]]&gt;19,"Women's",IF(E1626&gt;15,"U19",IF(E1626&gt;13,"U15",IF(E1626&gt;11,"U13",IF(E1626&gt;0,"U11",0)))))</f>
        <v>0</v>
      </c>
      <c r="E1626" s="456">
        <f>IFERROR(IF(Table11[[#This Row],[Year]]&gt;0,$E$1-Table11[[#This Row],[Year]],0),"")</f>
        <v>0</v>
      </c>
      <c r="F1626" s="456"/>
      <c r="G1626" s="456"/>
      <c r="H1626" s="456"/>
    </row>
    <row r="1627" spans="1:14" ht="13.5" customHeight="1">
      <c r="A1627" s="471">
        <v>8623</v>
      </c>
      <c r="B1627" s="540" t="s">
        <v>5254</v>
      </c>
      <c r="C1627" s="471" t="s">
        <v>4552</v>
      </c>
      <c r="D1627" s="456" t="str">
        <f>IF(Table11[[#This Row],[Current Age]]&gt;19,"Women's",IF(E1627&gt;15,"U19",IF(E1627&gt;13,"U15",IF(E1627&gt;11,"U13",IF(E1627&gt;0,"U11",0)))))</f>
        <v>Women's</v>
      </c>
      <c r="E1627" s="456">
        <f>IFERROR(IF(Table11[[#This Row],[Year]]&gt;0,$E$1-Table11[[#This Row],[Year]],0),"")</f>
        <v>41</v>
      </c>
      <c r="F1627" s="456">
        <v>1984</v>
      </c>
      <c r="G1627" s="456">
        <v>7</v>
      </c>
      <c r="H1627" s="456">
        <v>20</v>
      </c>
    </row>
    <row r="1628" spans="1:14" ht="13.5" customHeight="1">
      <c r="A1628" s="456">
        <v>8624</v>
      </c>
      <c r="B1628" s="457" t="s">
        <v>5255</v>
      </c>
      <c r="C1628" s="456" t="s">
        <v>4552</v>
      </c>
      <c r="D1628" s="456" t="str">
        <f>IF(Table11[[#This Row],[Current Age]]&gt;19,"Women's",IF(E1628&gt;15,"U19",IF(E1628&gt;13,"U15",IF(E1628&gt;11,"U13",IF(E1628&gt;0,"U11",0)))))</f>
        <v>U15</v>
      </c>
      <c r="E1628" s="456">
        <f>IFERROR(IF(Table11[[#This Row],[Year]]&gt;0,$E$1-Table11[[#This Row],[Year]],0),"")</f>
        <v>15</v>
      </c>
      <c r="F1628" s="456">
        <v>2010</v>
      </c>
      <c r="G1628" s="456">
        <v>3</v>
      </c>
      <c r="H1628" s="456">
        <v>31</v>
      </c>
      <c r="M1628" s="162" t="s">
        <v>4722</v>
      </c>
      <c r="N1628" s="166" t="s">
        <v>4722</v>
      </c>
    </row>
    <row r="1629" spans="1:14" ht="13.5" customHeight="1">
      <c r="A1629" s="471">
        <v>8625</v>
      </c>
      <c r="B1629" s="540" t="s">
        <v>5256</v>
      </c>
      <c r="C1629" s="471" t="s">
        <v>4552</v>
      </c>
      <c r="D1629" s="456" t="str">
        <f>IF(Table11[[#This Row],[Current Age]]&gt;19,"Women's",IF(E1629&gt;15,"U19",IF(E1629&gt;13,"U15",IF(E1629&gt;11,"U13",IF(E1629&gt;0,"U11",0)))))</f>
        <v>Women's</v>
      </c>
      <c r="E1629" s="456">
        <f>IFERROR(IF(Table11[[#This Row],[Year]]&gt;0,$E$1-Table11[[#This Row],[Year]],0),"")</f>
        <v>48</v>
      </c>
      <c r="F1629" s="456">
        <v>1977</v>
      </c>
      <c r="G1629" s="456">
        <v>3</v>
      </c>
      <c r="H1629" s="456">
        <v>15</v>
      </c>
      <c r="M1629" s="163" t="s">
        <v>4722</v>
      </c>
      <c r="N1629" s="167" t="s">
        <v>4722</v>
      </c>
    </row>
    <row r="1630" spans="1:14" ht="13.5" customHeight="1">
      <c r="A1630" s="456">
        <v>8626</v>
      </c>
      <c r="B1630" s="457" t="s">
        <v>5257</v>
      </c>
      <c r="C1630" s="456" t="s">
        <v>4552</v>
      </c>
      <c r="D1630" s="456" t="str">
        <f>IF(Table11[[#This Row],[Current Age]]&gt;19,"Women's",IF(E1630&gt;15,"U19",IF(E1630&gt;13,"U15",IF(E1630&gt;11,"U13",IF(E1630&gt;0,"U11",0)))))</f>
        <v>U11</v>
      </c>
      <c r="E1630" s="456">
        <f>IFERROR(IF(Table11[[#This Row],[Year]]&gt;0,$E$1-Table11[[#This Row],[Year]],0),"")</f>
        <v>8</v>
      </c>
      <c r="F1630" s="456">
        <v>2017</v>
      </c>
      <c r="G1630" s="456">
        <v>1</v>
      </c>
      <c r="H1630" s="456">
        <v>23</v>
      </c>
    </row>
    <row r="1631" spans="1:14" ht="13.5" customHeight="1">
      <c r="A1631" s="471">
        <v>8627</v>
      </c>
      <c r="B1631" s="540" t="s">
        <v>5258</v>
      </c>
      <c r="C1631" s="471" t="s">
        <v>4552</v>
      </c>
      <c r="D1631" s="456" t="str">
        <f>IF(Table11[[#This Row],[Current Age]]&gt;19,"Women's",IF(E1631&gt;15,"U19",IF(E1631&gt;13,"U15",IF(E1631&gt;11,"U13",IF(E1631&gt;0,"U11",0)))))</f>
        <v>U11</v>
      </c>
      <c r="E1631" s="456">
        <f>IFERROR(IF(Table11[[#This Row],[Year]]&gt;0,$E$1-Table11[[#This Row],[Year]],0),"")</f>
        <v>8</v>
      </c>
      <c r="F1631" s="456">
        <v>2017</v>
      </c>
      <c r="G1631" s="456">
        <v>1</v>
      </c>
      <c r="H1631" s="456">
        <v>23</v>
      </c>
    </row>
    <row r="1632" spans="1:14" ht="13.5" customHeight="1">
      <c r="A1632" s="456">
        <v>8628</v>
      </c>
      <c r="B1632" s="457" t="s">
        <v>5259</v>
      </c>
      <c r="C1632" s="456" t="s">
        <v>4552</v>
      </c>
      <c r="D1632" s="456" t="str">
        <f>IF(Table11[[#This Row],[Current Age]]&gt;19,"Women's",IF(E1632&gt;15,"U19",IF(E1632&gt;13,"U15",IF(E1632&gt;11,"U13",IF(E1632&gt;0,"U11",0)))))</f>
        <v>U19</v>
      </c>
      <c r="E1632" s="456">
        <f>IFERROR(IF(Table11[[#This Row],[Year]]&gt;0,$E$1-Table11[[#This Row],[Year]],0),"")</f>
        <v>19</v>
      </c>
      <c r="F1632" s="456">
        <v>2006</v>
      </c>
      <c r="G1632" s="456">
        <v>4</v>
      </c>
      <c r="H1632" s="456">
        <v>8</v>
      </c>
    </row>
    <row r="1633" spans="1:8" ht="13.5" customHeight="1">
      <c r="A1633" s="471">
        <v>8629</v>
      </c>
      <c r="B1633" s="540" t="s">
        <v>5260</v>
      </c>
      <c r="C1633" s="471" t="s">
        <v>4552</v>
      </c>
      <c r="D1633" s="456" t="str">
        <f>IF(Table11[[#This Row],[Current Age]]&gt;19,"Women's",IF(E1633&gt;15,"U19",IF(E1633&gt;13,"U15",IF(E1633&gt;11,"U13",IF(E1633&gt;0,"U11",0)))))</f>
        <v>U19</v>
      </c>
      <c r="E1633" s="456">
        <f>IFERROR(IF(Table11[[#This Row],[Year]]&gt;0,$E$1-Table11[[#This Row],[Year]],0),"")</f>
        <v>19</v>
      </c>
      <c r="F1633" s="456">
        <v>2006</v>
      </c>
      <c r="G1633" s="456">
        <v>2</v>
      </c>
      <c r="H1633" s="456">
        <v>17</v>
      </c>
    </row>
    <row r="1634" spans="1:8" ht="13.5" customHeight="1">
      <c r="A1634" s="456">
        <v>8630</v>
      </c>
      <c r="B1634" s="457" t="s">
        <v>5261</v>
      </c>
      <c r="C1634" s="456" t="s">
        <v>4552</v>
      </c>
      <c r="D1634" s="456" t="str">
        <f>IF(Table11[[#This Row],[Current Age]]&gt;19,"Women's",IF(E1634&gt;15,"U19",IF(E1634&gt;13,"U15",IF(E1634&gt;11,"U13",IF(E1634&gt;0,"U11",0)))))</f>
        <v>Women's</v>
      </c>
      <c r="E1634" s="456">
        <f>IFERROR(IF(Table11[[#This Row],[Year]]&gt;0,$E$1-Table11[[#This Row],[Year]],0),"")</f>
        <v>22</v>
      </c>
      <c r="F1634" s="456">
        <v>2003</v>
      </c>
      <c r="G1634" s="456">
        <v>9</v>
      </c>
      <c r="H1634" s="456">
        <v>20</v>
      </c>
    </row>
    <row r="1635" spans="1:8" ht="13.5" customHeight="1">
      <c r="A1635" s="471">
        <v>8631</v>
      </c>
      <c r="B1635" s="540" t="s">
        <v>5262</v>
      </c>
      <c r="C1635" s="471" t="s">
        <v>4552</v>
      </c>
      <c r="D1635" s="456" t="str">
        <f>IF(Table11[[#This Row],[Current Age]]&gt;19,"Women's",IF(E1635&gt;15,"U19",IF(E1635&gt;13,"U15",IF(E1635&gt;11,"U13",IF(E1635&gt;0,"U11",0)))))</f>
        <v>U13</v>
      </c>
      <c r="E1635" s="456">
        <f>IFERROR(IF(Table11[[#This Row],[Year]]&gt;0,$E$1-Table11[[#This Row],[Year]],0),"")</f>
        <v>12</v>
      </c>
      <c r="F1635" s="456">
        <v>2013</v>
      </c>
      <c r="G1635" s="456">
        <v>9</v>
      </c>
      <c r="H1635" s="456">
        <v>23</v>
      </c>
    </row>
    <row r="1636" spans="1:8" ht="13.5" customHeight="1">
      <c r="A1636" s="456">
        <v>8632</v>
      </c>
      <c r="B1636" s="457" t="s">
        <v>5263</v>
      </c>
      <c r="C1636" s="456" t="s">
        <v>4552</v>
      </c>
      <c r="D1636" s="456" t="str">
        <f>IF(Table11[[#This Row],[Current Age]]&gt;19,"Women's",IF(E1636&gt;15,"U19",IF(E1636&gt;13,"U15",IF(E1636&gt;11,"U13",IF(E1636&gt;0,"U11",0)))))</f>
        <v>U15</v>
      </c>
      <c r="E1636" s="456">
        <f>IFERROR(IF(Table11[[#This Row],[Year]]&gt;0,$E$1-Table11[[#This Row],[Year]],0),"")</f>
        <v>14</v>
      </c>
      <c r="F1636" s="456">
        <v>2011</v>
      </c>
      <c r="G1636" s="456">
        <v>3</v>
      </c>
      <c r="H1636" s="456">
        <v>23</v>
      </c>
    </row>
    <row r="1637" spans="1:8" ht="13.5" customHeight="1">
      <c r="A1637" s="471">
        <v>8633</v>
      </c>
      <c r="B1637" s="540" t="s">
        <v>5264</v>
      </c>
      <c r="C1637" s="471" t="s">
        <v>4552</v>
      </c>
      <c r="D1637" s="456" t="str">
        <f>IF(Table11[[#This Row],[Current Age]]&gt;19,"Women's",IF(E1637&gt;15,"U19",IF(E1637&gt;13,"U15",IF(E1637&gt;11,"U13",IF(E1637&gt;0,"U11",0)))))</f>
        <v>U15</v>
      </c>
      <c r="E1637" s="456">
        <f>IFERROR(IF(Table11[[#This Row],[Year]]&gt;0,$E$1-Table11[[#This Row],[Year]],0),"")</f>
        <v>14</v>
      </c>
      <c r="F1637" s="456">
        <v>2011</v>
      </c>
      <c r="G1637" s="456">
        <v>4</v>
      </c>
      <c r="H1637" s="456">
        <v>13</v>
      </c>
    </row>
    <row r="1638" spans="1:8" ht="13.5" customHeight="1">
      <c r="A1638" s="456">
        <v>8634</v>
      </c>
      <c r="B1638" s="457" t="s">
        <v>5265</v>
      </c>
      <c r="C1638" s="456" t="s">
        <v>4552</v>
      </c>
      <c r="D1638" s="456" t="str">
        <f>IF(Table11[[#This Row],[Current Age]]&gt;19,"Women's",IF(E1638&gt;15,"U19",IF(E1638&gt;13,"U15",IF(E1638&gt;11,"U13",IF(E1638&gt;0,"U11",0)))))</f>
        <v>U11</v>
      </c>
      <c r="E1638" s="456">
        <f>IFERROR(IF(Table11[[#This Row],[Year]]&gt;0,$E$1-Table11[[#This Row],[Year]],0),"")</f>
        <v>10</v>
      </c>
      <c r="F1638" s="456">
        <v>2015</v>
      </c>
      <c r="G1638" s="456">
        <v>11</v>
      </c>
      <c r="H1638" s="456">
        <v>16</v>
      </c>
    </row>
    <row r="1639" spans="1:8" ht="13.5" customHeight="1">
      <c r="A1639" s="471">
        <v>8635</v>
      </c>
      <c r="B1639" s="507" t="s">
        <v>5347</v>
      </c>
      <c r="C1639" s="471" t="s">
        <v>243</v>
      </c>
      <c r="D1639" s="456">
        <f>IF(Table11[[#This Row],[Current Age]]&gt;19,"Women's",IF(E1639&gt;15,"U19",IF(E1639&gt;13,"U15",IF(E1639&gt;11,"U13",IF(E1639&gt;0,"U11",0)))))</f>
        <v>0</v>
      </c>
      <c r="E1639" s="456">
        <f>IFERROR(IF(Table11[[#This Row],[Year]]&gt;0,$E$1-Table11[[#This Row],[Year]],0),"")</f>
        <v>0</v>
      </c>
      <c r="F1639" s="456"/>
      <c r="G1639" s="456"/>
      <c r="H1639" s="456"/>
    </row>
    <row r="1640" spans="1:8" ht="13.5" customHeight="1">
      <c r="A1640" s="456">
        <v>8636</v>
      </c>
      <c r="B1640" s="457" t="s">
        <v>5266</v>
      </c>
      <c r="C1640" s="456" t="s">
        <v>4552</v>
      </c>
      <c r="D1640" s="456" t="str">
        <f>IF(Table11[[#This Row],[Current Age]]&gt;19,"Women's",IF(E1640&gt;15,"U19",IF(E1640&gt;13,"U15",IF(E1640&gt;11,"U13",IF(E1640&gt;0,"U11",0)))))</f>
        <v>Women's</v>
      </c>
      <c r="E1640" s="456">
        <f>IFERROR(IF(Table11[[#This Row],[Year]]&gt;0,$E$1-Table11[[#This Row],[Year]],0),"")</f>
        <v>53</v>
      </c>
      <c r="F1640" s="456">
        <v>1972</v>
      </c>
      <c r="G1640" s="456">
        <v>10</v>
      </c>
      <c r="H1640" s="456">
        <v>20</v>
      </c>
    </row>
    <row r="1641" spans="1:8" ht="13.5" customHeight="1">
      <c r="A1641" s="471">
        <v>8637</v>
      </c>
      <c r="B1641" s="540" t="s">
        <v>5267</v>
      </c>
      <c r="C1641" s="471" t="s">
        <v>4552</v>
      </c>
      <c r="D1641" s="456" t="str">
        <f>IF(Table11[[#This Row],[Current Age]]&gt;19,"Women's",IF(E1641&gt;15,"U19",IF(E1641&gt;13,"U15",IF(E1641&gt;11,"U13",IF(E1641&gt;0,"U11",0)))))</f>
        <v>U11</v>
      </c>
      <c r="E1641" s="456">
        <f>IFERROR(IF(Table11[[#This Row],[Year]]&gt;0,$E$1-Table11[[#This Row],[Year]],0),"")</f>
        <v>11</v>
      </c>
      <c r="F1641" s="456">
        <v>2014</v>
      </c>
      <c r="G1641" s="456">
        <v>10</v>
      </c>
      <c r="H1641" s="456">
        <v>16</v>
      </c>
    </row>
    <row r="1642" spans="1:8" ht="13.5" customHeight="1">
      <c r="A1642" s="456">
        <v>8638</v>
      </c>
      <c r="B1642" s="457" t="s">
        <v>5268</v>
      </c>
      <c r="C1642" s="456" t="s">
        <v>4552</v>
      </c>
      <c r="D1642" s="456" t="str">
        <f>IF(Table11[[#This Row],[Current Age]]&gt;19,"Women's",IF(E1642&gt;15,"U19",IF(E1642&gt;13,"U15",IF(E1642&gt;11,"U13",IF(E1642&gt;0,"U11",0)))))</f>
        <v>U11</v>
      </c>
      <c r="E1642" s="456">
        <f>IFERROR(IF(Table11[[#This Row],[Year]]&gt;0,$E$1-Table11[[#This Row],[Year]],0),"")</f>
        <v>11</v>
      </c>
      <c r="F1642" s="456">
        <v>2014</v>
      </c>
      <c r="G1642" s="456">
        <v>2</v>
      </c>
      <c r="H1642" s="456">
        <v>24</v>
      </c>
    </row>
    <row r="1643" spans="1:8" ht="13.5" customHeight="1">
      <c r="A1643" s="471">
        <v>8639</v>
      </c>
      <c r="B1643" s="540" t="s">
        <v>5269</v>
      </c>
      <c r="C1643" s="471" t="s">
        <v>4552</v>
      </c>
      <c r="D1643" s="456" t="str">
        <f>IF(Table11[[#This Row],[Current Age]]&gt;19,"Women's",IF(E1643&gt;15,"U19",IF(E1643&gt;13,"U15",IF(E1643&gt;11,"U13",IF(E1643&gt;0,"U11",0)))))</f>
        <v>Women's</v>
      </c>
      <c r="E1643" s="456">
        <f>IFERROR(IF(Table11[[#This Row],[Year]]&gt;0,$E$1-Table11[[#This Row],[Year]],0),"")</f>
        <v>22</v>
      </c>
      <c r="F1643" s="456">
        <v>2003</v>
      </c>
      <c r="G1643" s="456">
        <v>9</v>
      </c>
      <c r="H1643" s="456">
        <v>29</v>
      </c>
    </row>
    <row r="1644" spans="1:8" ht="13.5" customHeight="1">
      <c r="A1644" s="456">
        <v>8640</v>
      </c>
      <c r="B1644" s="457" t="s">
        <v>5270</v>
      </c>
      <c r="C1644" s="456" t="s">
        <v>4552</v>
      </c>
      <c r="D1644" s="456" t="str">
        <f>IF(Table11[[#This Row],[Current Age]]&gt;19,"Women's",IF(E1644&gt;15,"U19",IF(E1644&gt;13,"U15",IF(E1644&gt;11,"U13",IF(E1644&gt;0,"U11",0)))))</f>
        <v>U11</v>
      </c>
      <c r="E1644" s="456">
        <f>IFERROR(IF(Table11[[#This Row],[Year]]&gt;0,$E$1-Table11[[#This Row],[Year]],0),"")</f>
        <v>10</v>
      </c>
      <c r="F1644" s="456">
        <v>2015</v>
      </c>
      <c r="G1644" s="456">
        <v>3</v>
      </c>
      <c r="H1644" s="456">
        <v>14</v>
      </c>
    </row>
    <row r="1645" spans="1:8" ht="13.5" customHeight="1">
      <c r="A1645" s="471">
        <v>8641</v>
      </c>
      <c r="B1645" s="540" t="s">
        <v>5271</v>
      </c>
      <c r="C1645" s="471" t="s">
        <v>4552</v>
      </c>
      <c r="D1645" s="456" t="str">
        <f>IF(Table11[[#This Row],[Current Age]]&gt;19,"Women's",IF(E1645&gt;15,"U19",IF(E1645&gt;13,"U15",IF(E1645&gt;11,"U13",IF(E1645&gt;0,"U11",0)))))</f>
        <v>U13</v>
      </c>
      <c r="E1645" s="456">
        <f>IFERROR(IF(Table11[[#This Row],[Year]]&gt;0,$E$1-Table11[[#This Row],[Year]],0),"")</f>
        <v>12</v>
      </c>
      <c r="F1645" s="456">
        <v>2013</v>
      </c>
      <c r="G1645" s="456">
        <v>5</v>
      </c>
      <c r="H1645" s="456">
        <v>26</v>
      </c>
    </row>
    <row r="1646" spans="1:8" ht="13.5" customHeight="1">
      <c r="A1646" s="456">
        <v>8642</v>
      </c>
      <c r="B1646" s="457" t="s">
        <v>5272</v>
      </c>
      <c r="C1646" s="456" t="s">
        <v>4552</v>
      </c>
      <c r="D1646" s="456" t="str">
        <f>IF(Table11[[#This Row],[Current Age]]&gt;19,"Women's",IF(E1646&gt;15,"U19",IF(E1646&gt;13,"U15",IF(E1646&gt;11,"U13",IF(E1646&gt;0,"U11",0)))))</f>
        <v>U19</v>
      </c>
      <c r="E1646" s="456">
        <f>IFERROR(IF(Table11[[#This Row],[Year]]&gt;0,$E$1-Table11[[#This Row],[Year]],0),"")</f>
        <v>16</v>
      </c>
      <c r="F1646" s="456">
        <v>2009</v>
      </c>
      <c r="G1646" s="456">
        <v>11</v>
      </c>
      <c r="H1646" s="456">
        <v>23</v>
      </c>
    </row>
    <row r="1647" spans="1:8" ht="13.5" customHeight="1">
      <c r="A1647" s="471">
        <v>8643</v>
      </c>
      <c r="B1647" s="540" t="s">
        <v>5273</v>
      </c>
      <c r="C1647" s="471" t="s">
        <v>4552</v>
      </c>
      <c r="D1647" s="456" t="str">
        <f>IF(Table11[[#This Row],[Current Age]]&gt;19,"Women's",IF(E1647&gt;15,"U19",IF(E1647&gt;13,"U15",IF(E1647&gt;11,"U13",IF(E1647&gt;0,"U11",0)))))</f>
        <v>Women's</v>
      </c>
      <c r="E1647" s="456">
        <f>IFERROR(IF(Table11[[#This Row],[Year]]&gt;0,$E$1-Table11[[#This Row],[Year]],0),"")</f>
        <v>20</v>
      </c>
      <c r="F1647" s="456">
        <v>2005</v>
      </c>
      <c r="G1647" s="456">
        <v>9</v>
      </c>
      <c r="H1647" s="456">
        <v>8</v>
      </c>
    </row>
    <row r="1648" spans="1:8" ht="13.5" customHeight="1">
      <c r="A1648" s="456">
        <v>8644</v>
      </c>
      <c r="B1648" s="457" t="s">
        <v>5274</v>
      </c>
      <c r="C1648" s="456" t="s">
        <v>4552</v>
      </c>
      <c r="D1648" s="456" t="str">
        <f>IF(Table11[[#This Row],[Current Age]]&gt;19,"Women's",IF(E1648&gt;15,"U19",IF(E1648&gt;13,"U15",IF(E1648&gt;11,"U13",IF(E1648&gt;0,"U11",0)))))</f>
        <v>U11</v>
      </c>
      <c r="E1648" s="456">
        <f>IFERROR(IF(Table11[[#This Row],[Year]]&gt;0,$E$1-Table11[[#This Row],[Year]],0),"")</f>
        <v>11</v>
      </c>
      <c r="F1648" s="456">
        <v>2014</v>
      </c>
      <c r="G1648" s="456">
        <v>1</v>
      </c>
      <c r="H1648" s="456">
        <v>6</v>
      </c>
    </row>
    <row r="1649" spans="1:8" ht="13.5" customHeight="1">
      <c r="A1649" s="471">
        <v>8645</v>
      </c>
      <c r="B1649" s="540" t="s">
        <v>5275</v>
      </c>
      <c r="C1649" s="471" t="s">
        <v>4552</v>
      </c>
      <c r="D1649" s="456" t="str">
        <f>IF(Table11[[#This Row],[Current Age]]&gt;19,"Women's",IF(E1649&gt;15,"U19",IF(E1649&gt;13,"U15",IF(E1649&gt;11,"U13",IF(E1649&gt;0,"U11",0)))))</f>
        <v>U15</v>
      </c>
      <c r="E1649" s="456">
        <f>IFERROR(IF(Table11[[#This Row],[Year]]&gt;0,$E$1-Table11[[#This Row],[Year]],0),"")</f>
        <v>15</v>
      </c>
      <c r="F1649" s="456">
        <v>2010</v>
      </c>
      <c r="G1649" s="456">
        <v>11</v>
      </c>
      <c r="H1649" s="456">
        <v>19</v>
      </c>
    </row>
    <row r="1650" spans="1:8" ht="13.5" customHeight="1">
      <c r="A1650" s="456">
        <v>8646</v>
      </c>
      <c r="B1650" s="457" t="s">
        <v>5276</v>
      </c>
      <c r="C1650" s="456" t="s">
        <v>4552</v>
      </c>
      <c r="D1650" s="456" t="str">
        <f>IF(Table11[[#This Row],[Current Age]]&gt;19,"Women's",IF(E1650&gt;15,"U19",IF(E1650&gt;13,"U15",IF(E1650&gt;11,"U13",IF(E1650&gt;0,"U11",0)))))</f>
        <v>U15</v>
      </c>
      <c r="E1650" s="456">
        <f>IFERROR(IF(Table11[[#This Row],[Year]]&gt;0,$E$1-Table11[[#This Row],[Year]],0),"")</f>
        <v>14</v>
      </c>
      <c r="F1650" s="456">
        <v>2011</v>
      </c>
      <c r="G1650" s="456">
        <v>12</v>
      </c>
      <c r="H1650" s="456">
        <v>15</v>
      </c>
    </row>
    <row r="1651" spans="1:8" ht="13.5" customHeight="1">
      <c r="A1651" s="471">
        <v>8647</v>
      </c>
      <c r="B1651" s="540" t="s">
        <v>5277</v>
      </c>
      <c r="C1651" s="471" t="s">
        <v>4552</v>
      </c>
      <c r="D1651" s="456" t="str">
        <f>IF(Table11[[#This Row],[Current Age]]&gt;19,"Women's",IF(E1651&gt;15,"U19",IF(E1651&gt;13,"U15",IF(E1651&gt;11,"U13",IF(E1651&gt;0,"U11",0)))))</f>
        <v>U11</v>
      </c>
      <c r="E1651" s="456">
        <f>IFERROR(IF(Table11[[#This Row],[Year]]&gt;0,$E$1-Table11[[#This Row],[Year]],0),"")</f>
        <v>7</v>
      </c>
      <c r="F1651" s="456">
        <v>2018</v>
      </c>
      <c r="G1651" s="456">
        <v>1</v>
      </c>
      <c r="H1651" s="456">
        <v>31</v>
      </c>
    </row>
    <row r="1652" spans="1:8" ht="13.5" customHeight="1">
      <c r="A1652" s="456">
        <v>8648</v>
      </c>
      <c r="B1652" s="457" t="s">
        <v>5278</v>
      </c>
      <c r="C1652" s="456" t="s">
        <v>4552</v>
      </c>
      <c r="D1652" s="456" t="str">
        <f>IF(Table11[[#This Row],[Current Age]]&gt;19,"Women's",IF(E1652&gt;15,"U19",IF(E1652&gt;13,"U15",IF(E1652&gt;11,"U13",IF(E1652&gt;0,"U11",0)))))</f>
        <v>U13</v>
      </c>
      <c r="E1652" s="456">
        <f>IFERROR(IF(Table11[[#This Row],[Year]]&gt;0,$E$1-Table11[[#This Row],[Year]],0),"")</f>
        <v>12</v>
      </c>
      <c r="F1652" s="456">
        <v>2013</v>
      </c>
      <c r="G1652" s="456">
        <v>3</v>
      </c>
      <c r="H1652" s="456">
        <v>20</v>
      </c>
    </row>
    <row r="1653" spans="1:8" ht="13.5" customHeight="1">
      <c r="A1653" s="471">
        <v>8649</v>
      </c>
      <c r="B1653" s="540" t="s">
        <v>5279</v>
      </c>
      <c r="C1653" s="471" t="s">
        <v>4552</v>
      </c>
      <c r="D1653" s="456" t="str">
        <f>IF(Table11[[#This Row],[Current Age]]&gt;19,"Women's",IF(E1653&gt;15,"U19",IF(E1653&gt;13,"U15",IF(E1653&gt;11,"U13",IF(E1653&gt;0,"U11",0)))))</f>
        <v>U13</v>
      </c>
      <c r="E1653" s="456">
        <f>IFERROR(IF(Table11[[#This Row],[Year]]&gt;0,$E$1-Table11[[#This Row],[Year]],0),"")</f>
        <v>12</v>
      </c>
      <c r="F1653" s="456">
        <v>2013</v>
      </c>
      <c r="G1653" s="456">
        <v>8</v>
      </c>
      <c r="H1653" s="456">
        <v>9</v>
      </c>
    </row>
    <row r="1654" spans="1:8" ht="13.5" customHeight="1">
      <c r="A1654" s="456">
        <v>8650</v>
      </c>
      <c r="B1654" s="457" t="s">
        <v>5280</v>
      </c>
      <c r="C1654" s="456" t="s">
        <v>4552</v>
      </c>
      <c r="D1654" s="456" t="str">
        <f>IF(Table11[[#This Row],[Current Age]]&gt;19,"Women's",IF(E1654&gt;15,"U19",IF(E1654&gt;13,"U15",IF(E1654&gt;11,"U13",IF(E1654&gt;0,"U11",0)))))</f>
        <v>U19</v>
      </c>
      <c r="E1654" s="456">
        <f>IFERROR(IF(Table11[[#This Row],[Year]]&gt;0,$E$1-Table11[[#This Row],[Year]],0),"")</f>
        <v>17</v>
      </c>
      <c r="F1654" s="456">
        <v>2008</v>
      </c>
      <c r="G1654" s="456">
        <v>11</v>
      </c>
      <c r="H1654" s="456">
        <v>29</v>
      </c>
    </row>
    <row r="1655" spans="1:8" ht="13.5" customHeight="1">
      <c r="A1655" s="471">
        <v>8651</v>
      </c>
      <c r="B1655" s="540" t="s">
        <v>5281</v>
      </c>
      <c r="C1655" s="471" t="s">
        <v>4552</v>
      </c>
      <c r="D1655" s="456" t="str">
        <f>IF(Table11[[#This Row],[Current Age]]&gt;19,"Women's",IF(E1655&gt;15,"U19",IF(E1655&gt;13,"U15",IF(E1655&gt;11,"U13",IF(E1655&gt;0,"U11",0)))))</f>
        <v>Women's</v>
      </c>
      <c r="E1655" s="456">
        <f>IFERROR(IF(Table11[[#This Row],[Year]]&gt;0,$E$1-Table11[[#This Row],[Year]],0),"")</f>
        <v>21</v>
      </c>
      <c r="F1655" s="456">
        <v>2004</v>
      </c>
      <c r="G1655" s="456">
        <v>4</v>
      </c>
      <c r="H1655" s="456">
        <v>19</v>
      </c>
    </row>
    <row r="1656" spans="1:8" ht="13.5" customHeight="1">
      <c r="A1656" s="456">
        <v>8652</v>
      </c>
      <c r="B1656" s="457" t="s">
        <v>5282</v>
      </c>
      <c r="C1656" s="456" t="s">
        <v>4552</v>
      </c>
      <c r="D1656" s="456" t="str">
        <f>IF(Table11[[#This Row],[Current Age]]&gt;19,"Women's",IF(E1656&gt;15,"U19",IF(E1656&gt;13,"U15",IF(E1656&gt;11,"U13",IF(E1656&gt;0,"U11",0)))))</f>
        <v>U11</v>
      </c>
      <c r="E1656" s="456">
        <f>IFERROR(IF(Table11[[#This Row],[Year]]&gt;0,$E$1-Table11[[#This Row],[Year]],0),"")</f>
        <v>11</v>
      </c>
      <c r="F1656" s="456">
        <v>2014</v>
      </c>
      <c r="G1656" s="456">
        <v>9</v>
      </c>
      <c r="H1656" s="456">
        <v>8</v>
      </c>
    </row>
    <row r="1657" spans="1:8" ht="13.5" customHeight="1">
      <c r="A1657" s="471">
        <v>8653</v>
      </c>
      <c r="B1657" s="540" t="s">
        <v>5283</v>
      </c>
      <c r="C1657" s="471" t="s">
        <v>4552</v>
      </c>
      <c r="D1657" s="456" t="str">
        <f>IF(Table11[[#This Row],[Current Age]]&gt;19,"Women's",IF(E1657&gt;15,"U19",IF(E1657&gt;13,"U15",IF(E1657&gt;11,"U13",IF(E1657&gt;0,"U11",0)))))</f>
        <v>U13</v>
      </c>
      <c r="E1657" s="456">
        <f>IFERROR(IF(Table11[[#This Row],[Year]]&gt;0,$E$1-Table11[[#This Row],[Year]],0),"")</f>
        <v>13</v>
      </c>
      <c r="F1657" s="456">
        <v>2012</v>
      </c>
      <c r="G1657" s="456">
        <v>3</v>
      </c>
      <c r="H1657" s="456">
        <v>18</v>
      </c>
    </row>
    <row r="1658" spans="1:8" ht="13.5" customHeight="1">
      <c r="A1658" s="456">
        <v>8654</v>
      </c>
      <c r="B1658" s="457" t="s">
        <v>5284</v>
      </c>
      <c r="C1658" s="456" t="s">
        <v>4552</v>
      </c>
      <c r="D1658" s="456" t="str">
        <f>IF(Table11[[#This Row],[Current Age]]&gt;19,"Women's",IF(E1658&gt;15,"U19",IF(E1658&gt;13,"U15",IF(E1658&gt;11,"U13",IF(E1658&gt;0,"U11",0)))))</f>
        <v>U13</v>
      </c>
      <c r="E1658" s="456">
        <f>IFERROR(IF(Table11[[#This Row],[Year]]&gt;0,$E$1-Table11[[#This Row],[Year]],0),"")</f>
        <v>12</v>
      </c>
      <c r="F1658" s="456">
        <v>2013</v>
      </c>
      <c r="G1658" s="456">
        <v>4</v>
      </c>
      <c r="H1658" s="456">
        <v>1</v>
      </c>
    </row>
    <row r="1659" spans="1:8" ht="13.5" customHeight="1">
      <c r="A1659" s="471">
        <v>8655</v>
      </c>
      <c r="B1659" s="540" t="s">
        <v>5285</v>
      </c>
      <c r="C1659" s="471" t="s">
        <v>4552</v>
      </c>
      <c r="D1659" s="456" t="str">
        <f>IF(Table11[[#This Row],[Current Age]]&gt;19,"Women's",IF(E1659&gt;15,"U19",IF(E1659&gt;13,"U15",IF(E1659&gt;11,"U13",IF(E1659&gt;0,"U11",0)))))</f>
        <v>Women's</v>
      </c>
      <c r="E1659" s="456">
        <f>IFERROR(IF(Table11[[#This Row],[Year]]&gt;0,$E$1-Table11[[#This Row],[Year]],0),"")</f>
        <v>20</v>
      </c>
      <c r="F1659" s="456">
        <v>2005</v>
      </c>
      <c r="G1659" s="456">
        <v>3</v>
      </c>
      <c r="H1659" s="456">
        <v>3</v>
      </c>
    </row>
    <row r="1660" spans="1:8" ht="13.5" customHeight="1">
      <c r="A1660" s="456">
        <v>8656</v>
      </c>
      <c r="B1660" s="457" t="s">
        <v>5286</v>
      </c>
      <c r="C1660" s="456" t="s">
        <v>4552</v>
      </c>
      <c r="D1660" s="456" t="str">
        <f>IF(Table11[[#This Row],[Current Age]]&gt;19,"Women's",IF(E1660&gt;15,"U19",IF(E1660&gt;13,"U15",IF(E1660&gt;11,"U13",IF(E1660&gt;0,"U11",0)))))</f>
        <v>U19</v>
      </c>
      <c r="E1660" s="456">
        <f>IFERROR(IF(Table11[[#This Row],[Year]]&gt;0,$E$1-Table11[[#This Row],[Year]],0),"")</f>
        <v>19</v>
      </c>
      <c r="F1660" s="456">
        <v>2006</v>
      </c>
      <c r="G1660" s="456">
        <v>4</v>
      </c>
      <c r="H1660" s="456">
        <v>18</v>
      </c>
    </row>
    <row r="1661" spans="1:8" ht="13.5" customHeight="1">
      <c r="A1661" s="471">
        <v>8657</v>
      </c>
      <c r="B1661" s="540" t="s">
        <v>5287</v>
      </c>
      <c r="C1661" s="471" t="s">
        <v>4552</v>
      </c>
      <c r="D1661" s="456" t="str">
        <f>IF(Table11[[#This Row],[Current Age]]&gt;19,"Women's",IF(E1661&gt;15,"U19",IF(E1661&gt;13,"U15",IF(E1661&gt;11,"U13",IF(E1661&gt;0,"U11",0)))))</f>
        <v>Women's</v>
      </c>
      <c r="E1661" s="456">
        <f>IFERROR(IF(Table11[[#This Row],[Year]]&gt;0,$E$1-Table11[[#This Row],[Year]],0),"")</f>
        <v>20</v>
      </c>
      <c r="F1661" s="456">
        <v>2005</v>
      </c>
      <c r="G1661" s="456">
        <v>3</v>
      </c>
      <c r="H1661" s="456">
        <v>3</v>
      </c>
    </row>
    <row r="1662" spans="1:8" ht="13.5" customHeight="1">
      <c r="A1662" s="456">
        <v>8658</v>
      </c>
      <c r="B1662" s="457" t="s">
        <v>5288</v>
      </c>
      <c r="C1662" s="456" t="s">
        <v>4552</v>
      </c>
      <c r="D1662" s="456" t="str">
        <f>IF(Table11[[#This Row],[Current Age]]&gt;19,"Women's",IF(E1662&gt;15,"U19",IF(E1662&gt;13,"U15",IF(E1662&gt;11,"U13",IF(E1662&gt;0,"U11",0)))))</f>
        <v>U19</v>
      </c>
      <c r="E1662" s="456">
        <f>IFERROR(IF(Table11[[#This Row],[Year]]&gt;0,$E$1-Table11[[#This Row],[Year]],0),"")</f>
        <v>19</v>
      </c>
      <c r="F1662" s="456">
        <v>2006</v>
      </c>
      <c r="G1662" s="456">
        <v>4</v>
      </c>
      <c r="H1662" s="456">
        <v>18</v>
      </c>
    </row>
    <row r="1663" spans="1:8" ht="13.5" customHeight="1">
      <c r="A1663" s="471">
        <v>8659</v>
      </c>
      <c r="B1663" s="540" t="s">
        <v>5289</v>
      </c>
      <c r="C1663" s="471" t="s">
        <v>4552</v>
      </c>
      <c r="D1663" s="456" t="str">
        <f>IF(Table11[[#This Row],[Current Age]]&gt;19,"Women's",IF(E1663&gt;15,"U19",IF(E1663&gt;13,"U15",IF(E1663&gt;11,"U13",IF(E1663&gt;0,"U11",0)))))</f>
        <v>U19</v>
      </c>
      <c r="E1663" s="456">
        <f>IFERROR(IF(Table11[[#This Row],[Year]]&gt;0,$E$1-Table11[[#This Row],[Year]],0),"")</f>
        <v>16</v>
      </c>
      <c r="F1663" s="456">
        <v>2009</v>
      </c>
      <c r="G1663" s="456">
        <v>9</v>
      </c>
      <c r="H1663" s="456">
        <v>29</v>
      </c>
    </row>
    <row r="1664" spans="1:8" ht="13.5" customHeight="1">
      <c r="A1664" s="456">
        <v>8660</v>
      </c>
      <c r="B1664" s="457" t="s">
        <v>5290</v>
      </c>
      <c r="C1664" s="456" t="s">
        <v>4552</v>
      </c>
      <c r="D1664" s="456" t="str">
        <f>IF(Table11[[#This Row],[Current Age]]&gt;19,"Women's",IF(E1664&gt;15,"U19",IF(E1664&gt;13,"U15",IF(E1664&gt;11,"U13",IF(E1664&gt;0,"U11",0)))))</f>
        <v>Women's</v>
      </c>
      <c r="E1664" s="456">
        <f>IFERROR(IF(Table11[[#This Row],[Year]]&gt;0,$E$1-Table11[[#This Row],[Year]],0),"")</f>
        <v>62</v>
      </c>
      <c r="F1664" s="456">
        <v>1963</v>
      </c>
      <c r="G1664" s="456">
        <v>12</v>
      </c>
      <c r="H1664" s="456">
        <v>29</v>
      </c>
    </row>
    <row r="1665" spans="1:8" ht="13.5" customHeight="1">
      <c r="A1665" s="471">
        <v>8661</v>
      </c>
      <c r="B1665" s="540" t="s">
        <v>5291</v>
      </c>
      <c r="C1665" s="471" t="s">
        <v>4552</v>
      </c>
      <c r="D1665" s="456" t="str">
        <f>IF(Table11[[#This Row],[Current Age]]&gt;19,"Women's",IF(E1665&gt;15,"U19",IF(E1665&gt;13,"U15",IF(E1665&gt;11,"U13",IF(E1665&gt;0,"U11",0)))))</f>
        <v>U13</v>
      </c>
      <c r="E1665" s="456">
        <f>IFERROR(IF(Table11[[#This Row],[Year]]&gt;0,$E$1-Table11[[#This Row],[Year]],0),"")</f>
        <v>13</v>
      </c>
      <c r="F1665" s="456">
        <v>2012</v>
      </c>
      <c r="G1665" s="456">
        <v>3</v>
      </c>
      <c r="H1665" s="456">
        <v>2</v>
      </c>
    </row>
    <row r="1666" spans="1:8" ht="13.5" customHeight="1">
      <c r="A1666" s="456">
        <v>8662</v>
      </c>
      <c r="B1666" s="511" t="s">
        <v>5339</v>
      </c>
      <c r="C1666" s="471" t="s">
        <v>243</v>
      </c>
      <c r="D1666" s="456">
        <f>IF(Table11[[#This Row],[Current Age]]&gt;19,"Women's",IF(E1666&gt;15,"U19",IF(E1666&gt;13,"U15",IF(E1666&gt;11,"U13",IF(E1666&gt;0,"U11",0)))))</f>
        <v>0</v>
      </c>
      <c r="E1666" s="456">
        <f>IFERROR(IF(Table11[[#This Row],[Year]]&gt;0,$E$1-Table11[[#This Row],[Year]],0),"")</f>
        <v>0</v>
      </c>
      <c r="F1666" s="456"/>
      <c r="G1666" s="456"/>
      <c r="H1666" s="456"/>
    </row>
    <row r="1667" spans="1:8" ht="13.5" customHeight="1">
      <c r="A1667" s="471">
        <v>8663</v>
      </c>
      <c r="B1667" s="507" t="s">
        <v>5340</v>
      </c>
      <c r="C1667" s="471" t="s">
        <v>243</v>
      </c>
      <c r="D1667" s="456">
        <f>IF(Table11[[#This Row],[Current Age]]&gt;19,"Women's",IF(E1667&gt;15,"U19",IF(E1667&gt;13,"U15",IF(E1667&gt;11,"U13",IF(E1667&gt;0,"U11",0)))))</f>
        <v>0</v>
      </c>
      <c r="E1667" s="456">
        <f>IFERROR(IF(Table11[[#This Row],[Year]]&gt;0,$E$1-Table11[[#This Row],[Year]],0),"")</f>
        <v>0</v>
      </c>
      <c r="F1667" s="456"/>
      <c r="G1667" s="456"/>
      <c r="H1667" s="456"/>
    </row>
    <row r="1668" spans="1:8" ht="13.5" customHeight="1">
      <c r="A1668" s="456">
        <v>8664</v>
      </c>
      <c r="B1668" s="457" t="s">
        <v>5360</v>
      </c>
      <c r="C1668" s="456" t="s">
        <v>4720</v>
      </c>
      <c r="D1668" s="456">
        <f>IF(Table11[[#This Row],[Current Age]]&gt;19,"Women's",IF(E1668&gt;15,"U19",IF(E1668&gt;13,"U15",IF(E1668&gt;11,"U13",IF(E1668&gt;0,"U11",0)))))</f>
        <v>0</v>
      </c>
      <c r="E1668" s="456">
        <f>IFERROR(IF(Table11[[#This Row],[Year]]&gt;0,$E$1-Table11[[#This Row],[Year]],0),"")</f>
        <v>0</v>
      </c>
      <c r="F1668" s="456"/>
      <c r="G1668" s="456"/>
      <c r="H1668" s="456"/>
    </row>
    <row r="1669" spans="1:8" ht="13.5" customHeight="1">
      <c r="A1669" s="471">
        <v>8665</v>
      </c>
      <c r="B1669" s="540" t="s">
        <v>5361</v>
      </c>
      <c r="C1669" s="471" t="s">
        <v>4720</v>
      </c>
      <c r="D1669" s="456">
        <f>IF(Table11[[#This Row],[Current Age]]&gt;19,"Women's",IF(E1669&gt;15,"U19",IF(E1669&gt;13,"U15",IF(E1669&gt;11,"U13",IF(E1669&gt;0,"U11",0)))))</f>
        <v>0</v>
      </c>
      <c r="E1669" s="456">
        <f>IFERROR(IF(Table11[[#This Row],[Year]]&gt;0,$E$1-Table11[[#This Row],[Year]],0),"")</f>
        <v>0</v>
      </c>
      <c r="F1669" s="456"/>
      <c r="G1669" s="456"/>
      <c r="H1669" s="456"/>
    </row>
    <row r="1670" spans="1:8" ht="13.5" customHeight="1">
      <c r="A1670" s="456">
        <v>8666</v>
      </c>
      <c r="B1670" s="457" t="s">
        <v>5364</v>
      </c>
      <c r="C1670" s="456" t="s">
        <v>4720</v>
      </c>
      <c r="D1670" s="456">
        <f>IF(Table11[[#This Row],[Current Age]]&gt;19,"Women's",IF(E1670&gt;15,"U19",IF(E1670&gt;13,"U15",IF(E1670&gt;11,"U13",IF(E1670&gt;0,"U11",0)))))</f>
        <v>0</v>
      </c>
      <c r="E1670" s="456">
        <f>IFERROR(IF(Table11[[#This Row],[Year]]&gt;0,$E$1-Table11[[#This Row],[Year]],0),"")</f>
        <v>0</v>
      </c>
      <c r="F1670" s="456"/>
      <c r="G1670" s="456"/>
      <c r="H1670" s="456"/>
    </row>
    <row r="1671" spans="1:8" ht="13.5" customHeight="1">
      <c r="A1671" s="471">
        <v>8667</v>
      </c>
      <c r="B1671" s="540" t="s">
        <v>5365</v>
      </c>
      <c r="C1671" s="471" t="s">
        <v>4720</v>
      </c>
      <c r="D1671" s="456">
        <f>IF(Table11[[#This Row],[Current Age]]&gt;19,"Women's",IF(E1671&gt;15,"U19",IF(E1671&gt;13,"U15",IF(E1671&gt;11,"U13",IF(E1671&gt;0,"U11",0)))))</f>
        <v>0</v>
      </c>
      <c r="E1671" s="456">
        <f>IFERROR(IF(Table11[[#This Row],[Year]]&gt;0,$E$1-Table11[[#This Row],[Year]],0),"")</f>
        <v>0</v>
      </c>
      <c r="F1671" s="456"/>
      <c r="G1671" s="456"/>
      <c r="H1671" s="456"/>
    </row>
    <row r="1672" spans="1:8" ht="13.5" customHeight="1">
      <c r="A1672" s="456">
        <v>8668</v>
      </c>
      <c r="B1672" s="457" t="s">
        <v>5366</v>
      </c>
      <c r="C1672" s="456" t="s">
        <v>4658</v>
      </c>
      <c r="D1672" s="456">
        <f>IF(Table11[[#This Row],[Current Age]]&gt;19,"Women's",IF(E1672&gt;15,"U19",IF(E1672&gt;13,"U15",IF(E1672&gt;11,"U13",IF(E1672&gt;0,"U11",0)))))</f>
        <v>0</v>
      </c>
      <c r="E1672" s="456">
        <f>IFERROR(IF(Table11[[#This Row],[Year]]&gt;0,$E$1-Table11[[#This Row],[Year]],0),"")</f>
        <v>0</v>
      </c>
      <c r="F1672" s="456"/>
      <c r="G1672" s="456"/>
      <c r="H1672" s="456"/>
    </row>
    <row r="1673" spans="1:8" ht="13.5" customHeight="1">
      <c r="A1673" s="471">
        <v>8669</v>
      </c>
      <c r="B1673" s="540" t="s">
        <v>5370</v>
      </c>
      <c r="C1673" s="471" t="s">
        <v>252</v>
      </c>
      <c r="D1673" s="456">
        <f>IF(Table11[[#This Row],[Current Age]]&gt;19,"Women's",IF(E1673&gt;15,"U19",IF(E1673&gt;13,"U15",IF(E1673&gt;11,"U13",IF(E1673&gt;0,"U11",0)))))</f>
        <v>0</v>
      </c>
      <c r="E1673" s="456">
        <f>IFERROR(IF(Table11[[#This Row],[Year]]&gt;0,$E$1-Table11[[#This Row],[Year]],0),"")</f>
        <v>0</v>
      </c>
      <c r="F1673" s="456"/>
      <c r="G1673" s="456"/>
      <c r="H1673" s="456"/>
    </row>
    <row r="1674" spans="1:8" ht="13.5" customHeight="1">
      <c r="A1674" s="456">
        <v>8670</v>
      </c>
      <c r="B1674" s="457" t="s">
        <v>5376</v>
      </c>
      <c r="C1674" s="456" t="s">
        <v>252</v>
      </c>
      <c r="D1674" s="456">
        <f>IF(Table11[[#This Row],[Current Age]]&gt;19,"Women's",IF(E1674&gt;15,"U19",IF(E1674&gt;13,"U15",IF(E1674&gt;11,"U13",IF(E1674&gt;0,"U11",0)))))</f>
        <v>0</v>
      </c>
      <c r="E1674" s="456">
        <f>IFERROR(IF(Table11[[#This Row],[Year]]&gt;0,$E$1-Table11[[#This Row],[Year]],0),"")</f>
        <v>0</v>
      </c>
      <c r="F1674" s="456"/>
      <c r="G1674" s="456"/>
      <c r="H1674" s="456"/>
    </row>
    <row r="1675" spans="1:8" ht="13.5" customHeight="1">
      <c r="A1675" s="471">
        <v>8671</v>
      </c>
      <c r="B1675" s="540" t="s">
        <v>5371</v>
      </c>
      <c r="C1675" s="471" t="s">
        <v>4658</v>
      </c>
      <c r="D1675" s="456">
        <f>IF(Table11[[#This Row],[Current Age]]&gt;19,"Women's",IF(E1675&gt;15,"U19",IF(E1675&gt;13,"U15",IF(E1675&gt;11,"U13",IF(E1675&gt;0,"U11",0)))))</f>
        <v>0</v>
      </c>
      <c r="E1675" s="456">
        <f>IFERROR(IF(Table11[[#This Row],[Year]]&gt;0,$E$1-Table11[[#This Row],[Year]],0),"")</f>
        <v>0</v>
      </c>
      <c r="F1675" s="456"/>
      <c r="G1675" s="456"/>
      <c r="H1675" s="456"/>
    </row>
    <row r="1676" spans="1:8" ht="13.5" customHeight="1">
      <c r="A1676" s="456">
        <v>8672</v>
      </c>
      <c r="B1676" s="457" t="s">
        <v>5375</v>
      </c>
      <c r="C1676" s="456" t="s">
        <v>4720</v>
      </c>
      <c r="D1676" s="456">
        <f>IF(Table11[[#This Row],[Current Age]]&gt;19,"Women's",IF(E1676&gt;15,"U19",IF(E1676&gt;13,"U15",IF(E1676&gt;11,"U13",IF(E1676&gt;0,"U11",0)))))</f>
        <v>0</v>
      </c>
      <c r="E1676" s="456">
        <f>IFERROR(IF(Table11[[#This Row],[Year]]&gt;0,$E$1-Table11[[#This Row],[Year]],0),"")</f>
        <v>0</v>
      </c>
      <c r="F1676" s="456"/>
      <c r="G1676" s="456"/>
      <c r="H1676" s="456"/>
    </row>
    <row r="1677" spans="1:8" ht="13.5" customHeight="1">
      <c r="A1677" s="471">
        <v>8673</v>
      </c>
      <c r="B1677" s="540" t="s">
        <v>5401</v>
      </c>
      <c r="C1677" s="471" t="s">
        <v>4552</v>
      </c>
      <c r="D1677" s="456" t="str">
        <f>IF(Table11[[#This Row],[Current Age]]&gt;19,"Women's",IF(E1677&gt;15,"U19",IF(E1677&gt;13,"U15",IF(E1677&gt;11,"U13",IF(E1677&gt;0,"U11",0)))))</f>
        <v>Women's</v>
      </c>
      <c r="E1677" s="456">
        <f>IFERROR(IF(Table11[[#This Row],[Year]]&gt;0,$E$1-Table11[[#This Row],[Year]],0),"")</f>
        <v>49</v>
      </c>
      <c r="F1677" s="456">
        <v>1976</v>
      </c>
      <c r="G1677" s="456">
        <v>4</v>
      </c>
      <c r="H1677" s="456">
        <v>25</v>
      </c>
    </row>
    <row r="1678" spans="1:8" ht="13.5" customHeight="1">
      <c r="A1678" s="456">
        <v>8674</v>
      </c>
      <c r="B1678" s="457" t="s">
        <v>5402</v>
      </c>
      <c r="C1678" s="456" t="s">
        <v>4552</v>
      </c>
      <c r="D1678" s="456" t="str">
        <f>IF(Table11[[#This Row],[Current Age]]&gt;19,"Women's",IF(E1678&gt;15,"U19",IF(E1678&gt;13,"U15",IF(E1678&gt;11,"U13",IF(E1678&gt;0,"U11",0)))))</f>
        <v>Women's</v>
      </c>
      <c r="E1678" s="456">
        <f>IFERROR(IF(Table11[[#This Row],[Year]]&gt;0,$E$1-Table11[[#This Row],[Year]],0),"")</f>
        <v>42</v>
      </c>
      <c r="F1678" s="456">
        <v>1983</v>
      </c>
      <c r="G1678" s="456">
        <v>2</v>
      </c>
      <c r="H1678" s="456">
        <v>15</v>
      </c>
    </row>
    <row r="1679" spans="1:8" ht="13.5" customHeight="1">
      <c r="A1679" s="471">
        <v>8675</v>
      </c>
      <c r="B1679" s="496" t="s">
        <v>5460</v>
      </c>
      <c r="C1679" s="471" t="s">
        <v>243</v>
      </c>
      <c r="D1679" s="456">
        <f>IF(Table11[[#This Row],[Current Age]]&gt;19,"Women's",IF(E1679&gt;15,"U19",IF(E1679&gt;13,"U15",IF(E1679&gt;11,"U13",IF(E1679&gt;0,"U11",0)))))</f>
        <v>0</v>
      </c>
      <c r="E1679" s="456">
        <f>IFERROR(IF(Table11[[#This Row],[Year]]&gt;0,$E$1-Table11[[#This Row],[Year]],0),"")</f>
        <v>0</v>
      </c>
      <c r="F1679" s="456"/>
      <c r="G1679" s="456"/>
      <c r="H1679" s="456"/>
    </row>
    <row r="1680" spans="1:8" ht="13.5" customHeight="1">
      <c r="A1680" s="456">
        <v>8676</v>
      </c>
      <c r="B1680" s="506" t="s">
        <v>6038</v>
      </c>
      <c r="C1680" s="456" t="s">
        <v>243</v>
      </c>
      <c r="D1680" s="456">
        <f>IF(Table11[[#This Row],[Current Age]]&gt;19,"Women's",IF(E1680&gt;15,"U19",IF(E1680&gt;13,"U15",IF(E1680&gt;11,"U13",IF(E1680&gt;0,"U11",0)))))</f>
        <v>0</v>
      </c>
      <c r="E1680" s="456">
        <f>IFERROR(IF(Table11[[#This Row],[Year]]&gt;0,$E$1-Table11[[#This Row],[Year]],0),"")</f>
        <v>0</v>
      </c>
      <c r="F1680" s="456"/>
      <c r="G1680" s="456"/>
      <c r="H1680" s="456"/>
    </row>
    <row r="1681" spans="1:8" ht="13.5" customHeight="1">
      <c r="A1681" s="471">
        <v>8677</v>
      </c>
      <c r="B1681" s="505" t="s">
        <v>5461</v>
      </c>
      <c r="C1681" s="471" t="s">
        <v>5462</v>
      </c>
      <c r="D1681" s="456" t="str">
        <f>IF(Table11[[#This Row],[Current Age]]&gt;19,"Women's",IF(E1681&gt;15,"U19",IF(E1681&gt;13,"U15",IF(E1681&gt;11,"U13",IF(E1681&gt;0,"U11",0)))))</f>
        <v>Women's</v>
      </c>
      <c r="E1681" s="456">
        <f>IFERROR(IF(Table11[[#This Row],[Year]]&gt;0,$E$1-Table11[[#This Row],[Year]],0),"")</f>
        <v>23</v>
      </c>
      <c r="F1681" s="456">
        <v>2002</v>
      </c>
      <c r="G1681" s="456">
        <v>10</v>
      </c>
      <c r="H1681" s="456">
        <v>10</v>
      </c>
    </row>
    <row r="1682" spans="1:8" ht="13.5" customHeight="1">
      <c r="A1682" s="456">
        <v>8678</v>
      </c>
      <c r="B1682" s="506" t="s">
        <v>5463</v>
      </c>
      <c r="C1682" s="456" t="s">
        <v>243</v>
      </c>
      <c r="D1682" s="456">
        <f>IF(Table11[[#This Row],[Current Age]]&gt;19,"Women's",IF(E1682&gt;15,"U19",IF(E1682&gt;13,"U15",IF(E1682&gt;11,"U13",IF(E1682&gt;0,"U11",0)))))</f>
        <v>0</v>
      </c>
      <c r="E1682" s="456">
        <f>IFERROR(IF(Table11[[#This Row],[Year]]&gt;0,$E$1-Table11[[#This Row],[Year]],0),"")</f>
        <v>0</v>
      </c>
      <c r="F1682" s="456"/>
      <c r="G1682" s="456"/>
      <c r="H1682" s="456"/>
    </row>
    <row r="1683" spans="1:8" ht="13.5" customHeight="1">
      <c r="A1683" s="471">
        <v>8679</v>
      </c>
      <c r="B1683" s="505" t="s">
        <v>5464</v>
      </c>
      <c r="C1683" s="471" t="s">
        <v>243</v>
      </c>
      <c r="D1683" s="456">
        <f>IF(Table11[[#This Row],[Current Age]]&gt;19,"Women's",IF(E1683&gt;15,"U19",IF(E1683&gt;13,"U15",IF(E1683&gt;11,"U13",IF(E1683&gt;0,"U11",0)))))</f>
        <v>0</v>
      </c>
      <c r="E1683" s="456">
        <f>IFERROR(IF(Table11[[#This Row],[Year]]&gt;0,$E$1-Table11[[#This Row],[Year]],0),"")</f>
        <v>0</v>
      </c>
      <c r="F1683" s="456"/>
      <c r="G1683" s="456"/>
      <c r="H1683" s="456"/>
    </row>
    <row r="1684" spans="1:8" ht="13.5" customHeight="1">
      <c r="A1684" s="456">
        <v>8680</v>
      </c>
      <c r="B1684" s="506" t="s">
        <v>5465</v>
      </c>
      <c r="C1684" s="456" t="s">
        <v>243</v>
      </c>
      <c r="D1684" s="456">
        <f>IF(Table11[[#This Row],[Current Age]]&gt;19,"Women's",IF(E1684&gt;15,"U19",IF(E1684&gt;13,"U15",IF(E1684&gt;11,"U13",IF(E1684&gt;0,"U11",0)))))</f>
        <v>0</v>
      </c>
      <c r="E1684" s="456">
        <f>IFERROR(IF(Table11[[#This Row],[Year]]&gt;0,$E$1-Table11[[#This Row],[Year]],0),"")</f>
        <v>0</v>
      </c>
      <c r="F1684" s="456"/>
      <c r="G1684" s="456"/>
      <c r="H1684" s="456"/>
    </row>
    <row r="1685" spans="1:8" ht="13.5" customHeight="1">
      <c r="A1685" s="471">
        <v>8681</v>
      </c>
      <c r="B1685" s="505" t="s">
        <v>6039</v>
      </c>
      <c r="C1685" s="471" t="s">
        <v>243</v>
      </c>
      <c r="D1685" s="456">
        <f>IF(Table11[[#This Row],[Current Age]]&gt;19,"Women's",IF(E1685&gt;15,"U19",IF(E1685&gt;13,"U15",IF(E1685&gt;11,"U13",IF(E1685&gt;0,"U11",0)))))</f>
        <v>0</v>
      </c>
      <c r="E1685" s="456">
        <f>IFERROR(IF(Table11[[#This Row],[Year]]&gt;0,$E$1-Table11[[#This Row],[Year]],0),"")</f>
        <v>0</v>
      </c>
      <c r="F1685" s="456"/>
      <c r="G1685" s="456"/>
      <c r="H1685" s="456"/>
    </row>
    <row r="1686" spans="1:8" ht="13.5" customHeight="1">
      <c r="A1686" s="456">
        <v>8682</v>
      </c>
      <c r="B1686" s="506" t="s">
        <v>5466</v>
      </c>
      <c r="C1686" s="456" t="s">
        <v>243</v>
      </c>
      <c r="D1686" s="456">
        <f>IF(Table11[[#This Row],[Current Age]]&gt;19,"Women's",IF(E1686&gt;15,"U19",IF(E1686&gt;13,"U15",IF(E1686&gt;11,"U13",IF(E1686&gt;0,"U11",0)))))</f>
        <v>0</v>
      </c>
      <c r="E1686" s="456">
        <f>IFERROR(IF(Table11[[#This Row],[Year]]&gt;0,$E$1-Table11[[#This Row],[Year]],0),"")</f>
        <v>0</v>
      </c>
      <c r="F1686" s="456"/>
      <c r="G1686" s="456"/>
      <c r="H1686" s="456"/>
    </row>
    <row r="1687" spans="1:8" ht="13.5" customHeight="1">
      <c r="A1687" s="471">
        <v>8683</v>
      </c>
      <c r="B1687" s="505" t="s">
        <v>5467</v>
      </c>
      <c r="C1687" s="471" t="s">
        <v>243</v>
      </c>
      <c r="D1687" s="456">
        <f>IF(Table11[[#This Row],[Current Age]]&gt;19,"Women's",IF(E1687&gt;15,"U19",IF(E1687&gt;13,"U15",IF(E1687&gt;11,"U13",IF(E1687&gt;0,"U11",0)))))</f>
        <v>0</v>
      </c>
      <c r="E1687" s="456">
        <f>IFERROR(IF(Table11[[#This Row],[Year]]&gt;0,$E$1-Table11[[#This Row],[Year]],0),"")</f>
        <v>0</v>
      </c>
      <c r="F1687" s="456"/>
      <c r="G1687" s="456"/>
      <c r="H1687" s="456"/>
    </row>
    <row r="1688" spans="1:8" ht="13.5" customHeight="1">
      <c r="A1688" s="456">
        <v>8684</v>
      </c>
      <c r="B1688" s="506" t="s">
        <v>5468</v>
      </c>
      <c r="C1688" s="456" t="s">
        <v>243</v>
      </c>
      <c r="D1688" s="456">
        <f>IF(Table11[[#This Row],[Current Age]]&gt;19,"Women's",IF(E1688&gt;15,"U19",IF(E1688&gt;13,"U15",IF(E1688&gt;11,"U13",IF(E1688&gt;0,"U11",0)))))</f>
        <v>0</v>
      </c>
      <c r="E1688" s="456">
        <f>IFERROR(IF(Table11[[#This Row],[Year]]&gt;0,$E$1-Table11[[#This Row],[Year]],0),"")</f>
        <v>0</v>
      </c>
      <c r="F1688" s="456"/>
      <c r="G1688" s="456"/>
      <c r="H1688" s="456"/>
    </row>
    <row r="1689" spans="1:8" ht="13.5" customHeight="1">
      <c r="A1689" s="471">
        <v>8685</v>
      </c>
      <c r="B1689" s="505" t="s">
        <v>5469</v>
      </c>
      <c r="C1689" s="471" t="s">
        <v>243</v>
      </c>
      <c r="D1689" s="456">
        <f>IF(Table11[[#This Row],[Current Age]]&gt;19,"Women's",IF(E1689&gt;15,"U19",IF(E1689&gt;13,"U15",IF(E1689&gt;11,"U13",IF(E1689&gt;0,"U11",0)))))</f>
        <v>0</v>
      </c>
      <c r="E1689" s="456">
        <f>IFERROR(IF(Table11[[#This Row],[Year]]&gt;0,$E$1-Table11[[#This Row],[Year]],0),"")</f>
        <v>0</v>
      </c>
      <c r="F1689" s="456"/>
      <c r="G1689" s="456"/>
      <c r="H1689" s="456"/>
    </row>
    <row r="1690" spans="1:8" ht="13.5" customHeight="1">
      <c r="A1690" s="456">
        <v>8686</v>
      </c>
      <c r="B1690" s="506" t="s">
        <v>5470</v>
      </c>
      <c r="C1690" s="456" t="s">
        <v>243</v>
      </c>
      <c r="D1690" s="456">
        <f>IF(Table11[[#This Row],[Current Age]]&gt;19,"Women's",IF(E1690&gt;15,"U19",IF(E1690&gt;13,"U15",IF(E1690&gt;11,"U13",IF(E1690&gt;0,"U11",0)))))</f>
        <v>0</v>
      </c>
      <c r="E1690" s="456">
        <f>IFERROR(IF(Table11[[#This Row],[Year]]&gt;0,$E$1-Table11[[#This Row],[Year]],0),"")</f>
        <v>0</v>
      </c>
      <c r="F1690" s="456"/>
      <c r="G1690" s="456"/>
      <c r="H1690" s="456"/>
    </row>
    <row r="1691" spans="1:8" ht="13.5" customHeight="1">
      <c r="A1691" s="471">
        <v>8687</v>
      </c>
      <c r="B1691" s="505" t="s">
        <v>5471</v>
      </c>
      <c r="C1691" s="471" t="s">
        <v>243</v>
      </c>
      <c r="D1691" s="456">
        <f>IF(Table11[[#This Row],[Current Age]]&gt;19,"Women's",IF(E1691&gt;15,"U19",IF(E1691&gt;13,"U15",IF(E1691&gt;11,"U13",IF(E1691&gt;0,"U11",0)))))</f>
        <v>0</v>
      </c>
      <c r="E1691" s="456">
        <f>IFERROR(IF(Table11[[#This Row],[Year]]&gt;0,$E$1-Table11[[#This Row],[Year]],0),"")</f>
        <v>0</v>
      </c>
      <c r="F1691" s="456"/>
      <c r="G1691" s="456"/>
      <c r="H1691" s="456"/>
    </row>
    <row r="1692" spans="1:8" ht="13.5" customHeight="1">
      <c r="A1692" s="456">
        <v>8688</v>
      </c>
      <c r="B1692" s="506" t="s">
        <v>5472</v>
      </c>
      <c r="C1692" s="456" t="s">
        <v>243</v>
      </c>
      <c r="D1692" s="456">
        <f>IF(Table11[[#This Row],[Current Age]]&gt;19,"Women's",IF(E1692&gt;15,"U19",IF(E1692&gt;13,"U15",IF(E1692&gt;11,"U13",IF(E1692&gt;0,"U11",0)))))</f>
        <v>0</v>
      </c>
      <c r="E1692" s="456">
        <f>IFERROR(IF(Table11[[#This Row],[Year]]&gt;0,$E$1-Table11[[#This Row],[Year]],0),"")</f>
        <v>0</v>
      </c>
      <c r="F1692" s="456"/>
      <c r="G1692" s="456"/>
      <c r="H1692" s="456"/>
    </row>
    <row r="1693" spans="1:8" ht="13.5" customHeight="1">
      <c r="A1693" s="471">
        <v>8689</v>
      </c>
      <c r="B1693" s="505" t="s">
        <v>5473</v>
      </c>
      <c r="C1693" s="471" t="s">
        <v>243</v>
      </c>
      <c r="D1693" s="456">
        <f>IF(Table11[[#This Row],[Current Age]]&gt;19,"Women's",IF(E1693&gt;15,"U19",IF(E1693&gt;13,"U15",IF(E1693&gt;11,"U13",IF(E1693&gt;0,"U11",0)))))</f>
        <v>0</v>
      </c>
      <c r="E1693" s="456">
        <f>IFERROR(IF(Table11[[#This Row],[Year]]&gt;0,$E$1-Table11[[#This Row],[Year]],0),"")</f>
        <v>0</v>
      </c>
      <c r="F1693" s="456"/>
      <c r="G1693" s="456"/>
      <c r="H1693" s="456"/>
    </row>
    <row r="1694" spans="1:8" ht="13.5" customHeight="1">
      <c r="A1694" s="456">
        <v>8690</v>
      </c>
      <c r="B1694" s="457" t="s">
        <v>5474</v>
      </c>
      <c r="C1694" s="456" t="s">
        <v>4658</v>
      </c>
      <c r="D1694" s="456">
        <f>IF(Table11[[#This Row],[Current Age]]&gt;19,"Women's",IF(E1694&gt;15,"U19",IF(E1694&gt;13,"U15",IF(E1694&gt;11,"U13",IF(E1694&gt;0,"U11",0)))))</f>
        <v>0</v>
      </c>
      <c r="E1694" s="456">
        <f>IFERROR(IF(Table11[[#This Row],[Year]]&gt;0,$E$1-Table11[[#This Row],[Year]],0),"")</f>
        <v>0</v>
      </c>
      <c r="F1694" s="456"/>
      <c r="G1694" s="456"/>
      <c r="H1694" s="456"/>
    </row>
    <row r="1695" spans="1:8" ht="13.5" customHeight="1">
      <c r="A1695" s="471">
        <v>8691</v>
      </c>
      <c r="B1695" s="540" t="s">
        <v>5475</v>
      </c>
      <c r="C1695" s="471" t="s">
        <v>4658</v>
      </c>
      <c r="D1695" s="456">
        <f>IF(Table11[[#This Row],[Current Age]]&gt;19,"Women's",IF(E1695&gt;15,"U19",IF(E1695&gt;13,"U15",IF(E1695&gt;11,"U13",IF(E1695&gt;0,"U11",0)))))</f>
        <v>0</v>
      </c>
      <c r="E1695" s="456">
        <f>IFERROR(IF(Table11[[#This Row],[Year]]&gt;0,$E$1-Table11[[#This Row],[Year]],0),"")</f>
        <v>0</v>
      </c>
      <c r="F1695" s="456"/>
      <c r="G1695" s="456"/>
      <c r="H1695" s="456"/>
    </row>
    <row r="1696" spans="1:8" ht="13.5" customHeight="1">
      <c r="A1696" s="456">
        <v>8692</v>
      </c>
      <c r="B1696" s="457" t="s">
        <v>5476</v>
      </c>
      <c r="C1696" s="456" t="s">
        <v>4658</v>
      </c>
      <c r="D1696" s="456">
        <f>IF(Table11[[#This Row],[Current Age]]&gt;19,"Women's",IF(E1696&gt;15,"U19",IF(E1696&gt;13,"U15",IF(E1696&gt;11,"U13",IF(E1696&gt;0,"U11",0)))))</f>
        <v>0</v>
      </c>
      <c r="E1696" s="456">
        <f>IFERROR(IF(Table11[[#This Row],[Year]]&gt;0,$E$1-Table11[[#This Row],[Year]],0),"")</f>
        <v>0</v>
      </c>
      <c r="F1696" s="456"/>
      <c r="G1696" s="456"/>
      <c r="H1696" s="456"/>
    </row>
    <row r="1697" spans="1:8" ht="13.5" customHeight="1">
      <c r="A1697" s="471">
        <v>8693</v>
      </c>
      <c r="B1697" s="540" t="s">
        <v>5477</v>
      </c>
      <c r="C1697" s="471" t="s">
        <v>4658</v>
      </c>
      <c r="D1697" s="456">
        <f>IF(Table11[[#This Row],[Current Age]]&gt;19,"Women's",IF(E1697&gt;15,"U19",IF(E1697&gt;13,"U15",IF(E1697&gt;11,"U13",IF(E1697&gt;0,"U11",0)))))</f>
        <v>0</v>
      </c>
      <c r="E1697" s="456">
        <f>IFERROR(IF(Table11[[#This Row],[Year]]&gt;0,$E$1-Table11[[#This Row],[Year]],0),"")</f>
        <v>0</v>
      </c>
      <c r="F1697" s="456"/>
      <c r="G1697" s="456"/>
      <c r="H1697" s="456"/>
    </row>
    <row r="1698" spans="1:8" ht="13.5" customHeight="1">
      <c r="A1698" s="456">
        <v>8694</v>
      </c>
      <c r="B1698" s="457" t="s">
        <v>5478</v>
      </c>
      <c r="C1698" s="456" t="s">
        <v>4658</v>
      </c>
      <c r="D1698" s="456">
        <f>IF(Table11[[#This Row],[Current Age]]&gt;19,"Women's",IF(E1698&gt;15,"U19",IF(E1698&gt;13,"U15",IF(E1698&gt;11,"U13",IF(E1698&gt;0,"U11",0)))))</f>
        <v>0</v>
      </c>
      <c r="E1698" s="456">
        <f>IFERROR(IF(Table11[[#This Row],[Year]]&gt;0,$E$1-Table11[[#This Row],[Year]],0),"")</f>
        <v>0</v>
      </c>
      <c r="F1698" s="456"/>
      <c r="G1698" s="456"/>
      <c r="H1698" s="456"/>
    </row>
    <row r="1699" spans="1:8" ht="13.5" customHeight="1">
      <c r="A1699" s="471">
        <v>8695</v>
      </c>
      <c r="B1699" s="540" t="s">
        <v>5479</v>
      </c>
      <c r="C1699" s="471" t="s">
        <v>4658</v>
      </c>
      <c r="D1699" s="456">
        <f>IF(Table11[[#This Row],[Current Age]]&gt;19,"Women's",IF(E1699&gt;15,"U19",IF(E1699&gt;13,"U15",IF(E1699&gt;11,"U13",IF(E1699&gt;0,"U11",0)))))</f>
        <v>0</v>
      </c>
      <c r="E1699" s="456">
        <f>IFERROR(IF(Table11[[#This Row],[Year]]&gt;0,$E$1-Table11[[#This Row],[Year]],0),"")</f>
        <v>0</v>
      </c>
      <c r="F1699" s="456"/>
      <c r="G1699" s="456"/>
      <c r="H1699" s="456"/>
    </row>
    <row r="1700" spans="1:8" ht="13.5" customHeight="1">
      <c r="A1700" s="456">
        <v>8696</v>
      </c>
      <c r="B1700" s="457" t="s">
        <v>5480</v>
      </c>
      <c r="C1700" s="456" t="s">
        <v>4658</v>
      </c>
      <c r="D1700" s="456">
        <f>IF(Table11[[#This Row],[Current Age]]&gt;19,"Women's",IF(E1700&gt;15,"U19",IF(E1700&gt;13,"U15",IF(E1700&gt;11,"U13",IF(E1700&gt;0,"U11",0)))))</f>
        <v>0</v>
      </c>
      <c r="E1700" s="456">
        <f>IFERROR(IF(Table11[[#This Row],[Year]]&gt;0,$E$1-Table11[[#This Row],[Year]],0),"")</f>
        <v>0</v>
      </c>
      <c r="F1700" s="456"/>
      <c r="G1700" s="456"/>
      <c r="H1700" s="456"/>
    </row>
    <row r="1701" spans="1:8" ht="13.5" customHeight="1">
      <c r="A1701" s="471">
        <v>8697</v>
      </c>
      <c r="B1701" s="540" t="s">
        <v>5481</v>
      </c>
      <c r="C1701" s="471" t="s">
        <v>4658</v>
      </c>
      <c r="D1701" s="456">
        <f>IF(Table11[[#This Row],[Current Age]]&gt;19,"Women's",IF(E1701&gt;15,"U19",IF(E1701&gt;13,"U15",IF(E1701&gt;11,"U13",IF(E1701&gt;0,"U11",0)))))</f>
        <v>0</v>
      </c>
      <c r="E1701" s="456">
        <f>IFERROR(IF(Table11[[#This Row],[Year]]&gt;0,$E$1-Table11[[#This Row],[Year]],0),"")</f>
        <v>0</v>
      </c>
      <c r="F1701" s="456"/>
      <c r="G1701" s="456"/>
      <c r="H1701" s="456"/>
    </row>
    <row r="1702" spans="1:8" ht="13.5" customHeight="1">
      <c r="A1702" s="456">
        <v>8698</v>
      </c>
      <c r="B1702" s="457" t="s">
        <v>5482</v>
      </c>
      <c r="C1702" s="456" t="s">
        <v>4658</v>
      </c>
      <c r="D1702" s="456">
        <f>IF(Table11[[#This Row],[Current Age]]&gt;19,"Women's",IF(E1702&gt;15,"U19",IF(E1702&gt;13,"U15",IF(E1702&gt;11,"U13",IF(E1702&gt;0,"U11",0)))))</f>
        <v>0</v>
      </c>
      <c r="E1702" s="456">
        <f>IFERROR(IF(Table11[[#This Row],[Year]]&gt;0,$E$1-Table11[[#This Row],[Year]],0),"")</f>
        <v>0</v>
      </c>
      <c r="F1702" s="456"/>
      <c r="G1702" s="456"/>
      <c r="H1702" s="456"/>
    </row>
    <row r="1703" spans="1:8" ht="13.5" customHeight="1">
      <c r="A1703" s="471">
        <v>8699</v>
      </c>
      <c r="B1703" s="540" t="s">
        <v>5483</v>
      </c>
      <c r="C1703" s="471" t="s">
        <v>4658</v>
      </c>
      <c r="D1703" s="456">
        <f>IF(Table11[[#This Row],[Current Age]]&gt;19,"Women's",IF(E1703&gt;15,"U19",IF(E1703&gt;13,"U15",IF(E1703&gt;11,"U13",IF(E1703&gt;0,"U11",0)))))</f>
        <v>0</v>
      </c>
      <c r="E1703" s="456">
        <f>IFERROR(IF(Table11[[#This Row],[Year]]&gt;0,$E$1-Table11[[#This Row],[Year]],0),"")</f>
        <v>0</v>
      </c>
      <c r="F1703" s="456"/>
      <c r="G1703" s="456"/>
      <c r="H1703" s="456"/>
    </row>
    <row r="1704" spans="1:8" ht="13.5" customHeight="1">
      <c r="A1704" s="456">
        <v>8700</v>
      </c>
      <c r="B1704" s="457" t="s">
        <v>5484</v>
      </c>
      <c r="C1704" s="456" t="s">
        <v>4658</v>
      </c>
      <c r="D1704" s="456">
        <f>IF(Table11[[#This Row],[Current Age]]&gt;19,"Women's",IF(E1704&gt;15,"U19",IF(E1704&gt;13,"U15",IF(E1704&gt;11,"U13",IF(E1704&gt;0,"U11",0)))))</f>
        <v>0</v>
      </c>
      <c r="E1704" s="456">
        <f>IFERROR(IF(Table11[[#This Row],[Year]]&gt;0,$E$1-Table11[[#This Row],[Year]],0),"")</f>
        <v>0</v>
      </c>
      <c r="F1704" s="456"/>
      <c r="G1704" s="456"/>
      <c r="H1704" s="456"/>
    </row>
    <row r="1705" spans="1:8" ht="13.5" customHeight="1">
      <c r="A1705" s="471">
        <v>8701</v>
      </c>
      <c r="B1705" s="540" t="s">
        <v>5485</v>
      </c>
      <c r="C1705" s="471" t="s">
        <v>4658</v>
      </c>
      <c r="D1705" s="456">
        <f>IF(Table11[[#This Row],[Current Age]]&gt;19,"Women's",IF(E1705&gt;15,"U19",IF(E1705&gt;13,"U15",IF(E1705&gt;11,"U13",IF(E1705&gt;0,"U11",0)))))</f>
        <v>0</v>
      </c>
      <c r="E1705" s="456">
        <f>IFERROR(IF(Table11[[#This Row],[Year]]&gt;0,$E$1-Table11[[#This Row],[Year]],0),"")</f>
        <v>0</v>
      </c>
      <c r="F1705" s="456"/>
      <c r="G1705" s="456"/>
      <c r="H1705" s="456"/>
    </row>
    <row r="1706" spans="1:8" ht="13.5" customHeight="1">
      <c r="A1706" s="456">
        <v>8702</v>
      </c>
      <c r="B1706" s="457" t="s">
        <v>5486</v>
      </c>
      <c r="C1706" s="456" t="s">
        <v>4658</v>
      </c>
      <c r="D1706" s="456">
        <f>IF(Table11[[#This Row],[Current Age]]&gt;19,"Women's",IF(E1706&gt;15,"U19",IF(E1706&gt;13,"U15",IF(E1706&gt;11,"U13",IF(E1706&gt;0,"U11",0)))))</f>
        <v>0</v>
      </c>
      <c r="E1706" s="456">
        <f>IFERROR(IF(Table11[[#This Row],[Year]]&gt;0,$E$1-Table11[[#This Row],[Year]],0),"")</f>
        <v>0</v>
      </c>
      <c r="F1706" s="456"/>
      <c r="G1706" s="456"/>
      <c r="H1706" s="456"/>
    </row>
    <row r="1707" spans="1:8" ht="13.5" customHeight="1">
      <c r="A1707" s="471">
        <v>8703</v>
      </c>
      <c r="B1707" s="540" t="s">
        <v>5487</v>
      </c>
      <c r="C1707" s="471" t="s">
        <v>4720</v>
      </c>
      <c r="D1707" s="456">
        <f>IF(Table11[[#This Row],[Current Age]]&gt;19,"Women's",IF(E1707&gt;15,"U19",IF(E1707&gt;13,"U15",IF(E1707&gt;11,"U13",IF(E1707&gt;0,"U11",0)))))</f>
        <v>0</v>
      </c>
      <c r="E1707" s="456">
        <f>IFERROR(IF(Table11[[#This Row],[Year]]&gt;0,$E$1-Table11[[#This Row],[Year]],0),"")</f>
        <v>0</v>
      </c>
      <c r="F1707" s="456"/>
      <c r="G1707" s="456"/>
      <c r="H1707" s="456"/>
    </row>
    <row r="1708" spans="1:8" ht="13.5" customHeight="1">
      <c r="A1708" s="456">
        <v>8704</v>
      </c>
      <c r="B1708" s="457" t="s">
        <v>5488</v>
      </c>
      <c r="C1708" s="456" t="s">
        <v>4720</v>
      </c>
      <c r="D1708" s="456">
        <f>IF(Table11[[#This Row],[Current Age]]&gt;19,"Women's",IF(E1708&gt;15,"U19",IF(E1708&gt;13,"U15",IF(E1708&gt;11,"U13",IF(E1708&gt;0,"U11",0)))))</f>
        <v>0</v>
      </c>
      <c r="E1708" s="456">
        <f>IFERROR(IF(Table11[[#This Row],[Year]]&gt;0,$E$1-Table11[[#This Row],[Year]],0),"")</f>
        <v>0</v>
      </c>
      <c r="F1708" s="456"/>
      <c r="G1708" s="456"/>
      <c r="H1708" s="456"/>
    </row>
    <row r="1709" spans="1:8" ht="13.5" customHeight="1">
      <c r="A1709" s="471">
        <v>8705</v>
      </c>
      <c r="B1709" s="540" t="s">
        <v>5511</v>
      </c>
      <c r="C1709" s="471" t="s">
        <v>4552</v>
      </c>
      <c r="D1709" s="456" t="str">
        <f>IF(Table11[[#This Row],[Current Age]]&gt;19,"Women's",IF(E1709&gt;15,"U19",IF(E1709&gt;13,"U15",IF(E1709&gt;11,"U13",IF(E1709&gt;0,"U11",0)))))</f>
        <v>Women's</v>
      </c>
      <c r="E1709" s="456">
        <f>IFERROR(IF(Table11[[#This Row],[Year]]&gt;0,$E$1-Table11[[#This Row],[Year]],0),"")</f>
        <v>43</v>
      </c>
      <c r="F1709" s="456">
        <v>1982</v>
      </c>
      <c r="G1709" s="456">
        <v>12</v>
      </c>
      <c r="H1709" s="456">
        <v>5</v>
      </c>
    </row>
    <row r="1710" spans="1:8" ht="13.5" customHeight="1">
      <c r="A1710" s="456">
        <v>8706</v>
      </c>
      <c r="B1710" s="457" t="s">
        <v>5490</v>
      </c>
      <c r="C1710" s="456" t="s">
        <v>4720</v>
      </c>
      <c r="D1710" s="456">
        <f>IF(Table11[[#This Row],[Current Age]]&gt;19,"Women's",IF(E1710&gt;15,"U19",IF(E1710&gt;13,"U15",IF(E1710&gt;11,"U13",IF(E1710&gt;0,"U11",0)))))</f>
        <v>0</v>
      </c>
      <c r="E1710" s="456">
        <f>IFERROR(IF(Table11[[#This Row],[Year]]&gt;0,$E$1-Table11[[#This Row],[Year]],0),"")</f>
        <v>0</v>
      </c>
      <c r="F1710" s="456"/>
      <c r="G1710" s="456"/>
      <c r="H1710" s="456"/>
    </row>
    <row r="1711" spans="1:8" ht="13.5" customHeight="1">
      <c r="A1711" s="471">
        <v>8707</v>
      </c>
      <c r="B1711" s="554" t="s">
        <v>5648</v>
      </c>
      <c r="C1711" s="471" t="s">
        <v>243</v>
      </c>
      <c r="D1711" s="456">
        <f>IF(Table11[[#This Row],[Current Age]]&gt;19,"Women's",IF(E1711&gt;15,"U19",IF(E1711&gt;13,"U15",IF(E1711&gt;11,"U13",IF(E1711&gt;0,"U11",0)))))</f>
        <v>0</v>
      </c>
      <c r="E1711" s="456">
        <f>IFERROR(IF(Table11[[#This Row],[Year]]&gt;0,$E$1-Table11[[#This Row],[Year]],0),"")</f>
        <v>0</v>
      </c>
      <c r="F1711" s="584"/>
      <c r="G1711" s="584"/>
      <c r="H1711" s="585"/>
    </row>
    <row r="1712" spans="1:8" ht="13.5" customHeight="1">
      <c r="A1712" s="456">
        <v>8708</v>
      </c>
      <c r="B1712" s="555" t="s">
        <v>5651</v>
      </c>
      <c r="C1712" s="456" t="s">
        <v>243</v>
      </c>
      <c r="D1712" s="456">
        <f>IF(Table11[[#This Row],[Current Age]]&gt;19,"Women's",IF(E1712&gt;15,"U19",IF(E1712&gt;13,"U15",IF(E1712&gt;11,"U13",IF(E1712&gt;0,"U11",0)))))</f>
        <v>0</v>
      </c>
      <c r="E1712" s="456">
        <f>IFERROR(IF(Table11[[#This Row],[Year]]&gt;0,$E$1-Table11[[#This Row],[Year]],0),"")</f>
        <v>0</v>
      </c>
      <c r="F1712" s="584"/>
      <c r="G1712" s="584"/>
      <c r="H1712" s="585"/>
    </row>
    <row r="1713" spans="1:8" ht="13.5" customHeight="1">
      <c r="A1713" s="471">
        <v>8709</v>
      </c>
      <c r="B1713" s="556" t="s">
        <v>5660</v>
      </c>
      <c r="C1713" s="471" t="s">
        <v>243</v>
      </c>
      <c r="D1713" s="456">
        <f>IF(Table11[[#This Row],[Current Age]]&gt;19,"Women's",IF(E1713&gt;15,"U19",IF(E1713&gt;13,"U15",IF(E1713&gt;11,"U13",IF(E1713&gt;0,"U11",0)))))</f>
        <v>0</v>
      </c>
      <c r="E1713" s="456">
        <f>IFERROR(IF(Table11[[#This Row],[Year]]&gt;0,$E$1-Table11[[#This Row],[Year]],0),"")</f>
        <v>0</v>
      </c>
      <c r="F1713" s="456"/>
      <c r="G1713" s="456"/>
      <c r="H1713" s="456"/>
    </row>
    <row r="1714" spans="1:8" ht="13.5" customHeight="1">
      <c r="A1714" s="456">
        <v>8710</v>
      </c>
      <c r="B1714" s="457" t="s">
        <v>5665</v>
      </c>
      <c r="C1714" s="456" t="s">
        <v>1004</v>
      </c>
      <c r="D1714" s="456">
        <f>IF(Table11[[#This Row],[Current Age]]&gt;19,"Women's",IF(E1714&gt;15,"U19",IF(E1714&gt;13,"U15",IF(E1714&gt;11,"U13",IF(E1714&gt;0,"U11",0)))))</f>
        <v>0</v>
      </c>
      <c r="E1714" s="456">
        <f>IFERROR(IF(Table11[[#This Row],[Year]]&gt;0,$E$1-Table11[[#This Row],[Year]],0),"")</f>
        <v>0</v>
      </c>
      <c r="F1714" s="456"/>
      <c r="G1714" s="456"/>
      <c r="H1714" s="456"/>
    </row>
    <row r="1715" spans="1:8" ht="13.5" customHeight="1">
      <c r="A1715" s="471">
        <v>8711</v>
      </c>
      <c r="B1715" s="540" t="s">
        <v>5675</v>
      </c>
      <c r="C1715" s="471" t="s">
        <v>4720</v>
      </c>
      <c r="D1715" s="456" t="str">
        <f>IF(Table11[[#This Row],[Current Age]]&gt;19,"Women's",IF(E1715&gt;15,"U19",IF(E1715&gt;13,"U15",IF(E1715&gt;11,"U13",IF(E1715&gt;0,"U11",0)))))</f>
        <v>U13</v>
      </c>
      <c r="E1715" s="456">
        <f>IFERROR(IF(Table11[[#This Row],[Year]]&gt;0,$E$1-Table11[[#This Row],[Year]],0),"")</f>
        <v>12</v>
      </c>
      <c r="F1715" s="456">
        <v>2013</v>
      </c>
      <c r="G1715" s="456">
        <v>6</v>
      </c>
      <c r="H1715" s="456">
        <v>1</v>
      </c>
    </row>
    <row r="1716" spans="1:8" ht="13.5" customHeight="1">
      <c r="A1716" s="456">
        <v>8712</v>
      </c>
      <c r="B1716" s="457" t="s">
        <v>5676</v>
      </c>
      <c r="C1716" s="456" t="s">
        <v>4720</v>
      </c>
      <c r="D1716" s="456" t="str">
        <f>IF(Table11[[#This Row],[Current Age]]&gt;19,"Women's",IF(E1716&gt;15,"U19",IF(E1716&gt;13,"U15",IF(E1716&gt;11,"U13",IF(E1716&gt;0,"U11",0)))))</f>
        <v>U13</v>
      </c>
      <c r="E1716" s="456">
        <f>IFERROR(IF(Table11[[#This Row],[Year]]&gt;0,$E$1-Table11[[#This Row],[Year]],0),"")</f>
        <v>13</v>
      </c>
      <c r="F1716" s="456">
        <v>2012</v>
      </c>
      <c r="G1716" s="456">
        <v>12</v>
      </c>
      <c r="H1716" s="456">
        <v>2</v>
      </c>
    </row>
    <row r="1717" spans="1:8" ht="13.5" customHeight="1">
      <c r="A1717" s="471">
        <v>8713</v>
      </c>
      <c r="B1717" s="540" t="s">
        <v>5677</v>
      </c>
      <c r="C1717" s="471" t="s">
        <v>4720</v>
      </c>
      <c r="D1717" s="456" t="str">
        <f>IF(Table11[[#This Row],[Current Age]]&gt;19,"Women's",IF(E1717&gt;15,"U19",IF(E1717&gt;13,"U15",IF(E1717&gt;11,"U13",IF(E1717&gt;0,"U11",0)))))</f>
        <v>U13</v>
      </c>
      <c r="E1717" s="456">
        <f>IFERROR(IF(Table11[[#This Row],[Year]]&gt;0,$E$1-Table11[[#This Row],[Year]],0),"")</f>
        <v>13</v>
      </c>
      <c r="F1717" s="456">
        <v>2012</v>
      </c>
      <c r="G1717" s="456">
        <v>10</v>
      </c>
      <c r="H1717" s="456">
        <v>28</v>
      </c>
    </row>
    <row r="1718" spans="1:8" ht="13.5" customHeight="1">
      <c r="A1718" s="456">
        <v>8714</v>
      </c>
      <c r="B1718" s="457" t="s">
        <v>5678</v>
      </c>
      <c r="C1718" s="456" t="s">
        <v>4720</v>
      </c>
      <c r="D1718" s="456" t="str">
        <f>IF(Table11[[#This Row],[Current Age]]&gt;19,"Women's",IF(E1718&gt;15,"U19",IF(E1718&gt;13,"U15",IF(E1718&gt;11,"U13",IF(E1718&gt;0,"U11",0)))))</f>
        <v>U13</v>
      </c>
      <c r="E1718" s="456">
        <f>IFERROR(IF(Table11[[#This Row],[Year]]&gt;0,$E$1-Table11[[#This Row],[Year]],0),"")</f>
        <v>13</v>
      </c>
      <c r="F1718" s="456">
        <v>2012</v>
      </c>
      <c r="G1718" s="456">
        <v>5</v>
      </c>
      <c r="H1718" s="456">
        <v>18</v>
      </c>
    </row>
    <row r="1719" spans="1:8" ht="13.5" customHeight="1">
      <c r="A1719" s="471">
        <v>8715</v>
      </c>
      <c r="B1719" s="540" t="s">
        <v>5679</v>
      </c>
      <c r="C1719" s="471" t="s">
        <v>4720</v>
      </c>
      <c r="D1719" s="456" t="str">
        <f>IF(Table11[[#This Row],[Current Age]]&gt;19,"Women's",IF(E1719&gt;15,"U19",IF(E1719&gt;13,"U15",IF(E1719&gt;11,"U13",IF(E1719&gt;0,"U11",0)))))</f>
        <v>U15</v>
      </c>
      <c r="E1719" s="456">
        <f>IFERROR(IF(Table11[[#This Row],[Year]]&gt;0,$E$1-Table11[[#This Row],[Year]],0),"")</f>
        <v>15</v>
      </c>
      <c r="F1719" s="456">
        <v>2010</v>
      </c>
      <c r="G1719" s="456">
        <v>7</v>
      </c>
      <c r="H1719" s="456">
        <v>12</v>
      </c>
    </row>
    <row r="1720" spans="1:8" ht="13.5" customHeight="1">
      <c r="A1720" s="456">
        <v>8716</v>
      </c>
      <c r="B1720" s="457" t="s">
        <v>5692</v>
      </c>
      <c r="C1720" s="456" t="s">
        <v>361</v>
      </c>
      <c r="D1720" s="456">
        <f>IF(Table11[[#This Row],[Current Age]]&gt;19,"Women's",IF(E1720&gt;15,"U19",IF(E1720&gt;13,"U15",IF(E1720&gt;11,"U13",IF(E1720&gt;0,"U11",0)))))</f>
        <v>0</v>
      </c>
      <c r="E1720" s="456">
        <f>IFERROR(IF(Table11[[#This Row],[Year]]&gt;0,$E$1-Table11[[#This Row],[Year]],0),"")</f>
        <v>0</v>
      </c>
      <c r="F1720" s="456"/>
      <c r="G1720" s="456"/>
      <c r="H1720" s="456"/>
    </row>
    <row r="1721" spans="1:8" ht="13.5" customHeight="1">
      <c r="A1721" s="471">
        <v>8717</v>
      </c>
      <c r="B1721" s="540" t="s">
        <v>5515</v>
      </c>
      <c r="C1721" s="471" t="s">
        <v>361</v>
      </c>
      <c r="D1721" s="456">
        <f>IF(Table11[[#This Row],[Current Age]]&gt;19,"Women's",IF(E1721&gt;15,"U19",IF(E1721&gt;13,"U15",IF(E1721&gt;11,"U13",IF(E1721&gt;0,"U11",0)))))</f>
        <v>0</v>
      </c>
      <c r="E1721" s="456">
        <f>IFERROR(IF(Table11[[#This Row],[Year]]&gt;0,$E$1-Table11[[#This Row],[Year]],0),"")</f>
        <v>0</v>
      </c>
      <c r="F1721" s="456"/>
      <c r="G1721" s="456"/>
      <c r="H1721" s="456"/>
    </row>
    <row r="1722" spans="1:8" ht="13.5" customHeight="1">
      <c r="A1722" s="456">
        <v>8718</v>
      </c>
      <c r="B1722" s="457" t="s">
        <v>5536</v>
      </c>
      <c r="C1722" s="456" t="s">
        <v>251</v>
      </c>
      <c r="D1722" s="456" t="str">
        <f>IF(Table11[[#This Row],[Current Age]]&gt;19,"Women's",IF(E1722&gt;15,"U19",IF(E1722&gt;13,"U15",IF(E1722&gt;11,"U13",IF(E1722&gt;0,"U11",0)))))</f>
        <v>Women's</v>
      </c>
      <c r="E1722" s="456">
        <f>IFERROR(IF(Table11[[#This Row],[Year]]&gt;0,$E$1-Table11[[#This Row],[Year]],0),"")</f>
        <v>28</v>
      </c>
      <c r="F1722" s="456">
        <v>1997</v>
      </c>
      <c r="G1722" s="456">
        <v>9</v>
      </c>
      <c r="H1722" s="456">
        <v>7</v>
      </c>
    </row>
    <row r="1723" spans="1:8" ht="13.5" customHeight="1">
      <c r="A1723" s="471">
        <v>8719</v>
      </c>
      <c r="B1723" s="540" t="s">
        <v>5537</v>
      </c>
      <c r="C1723" s="471" t="s">
        <v>251</v>
      </c>
      <c r="D1723" s="456" t="str">
        <f>IF(Table11[[#This Row],[Current Age]]&gt;19,"Women's",IF(E1723&gt;15,"U19",IF(E1723&gt;13,"U15",IF(E1723&gt;11,"U13",IF(E1723&gt;0,"U11",0)))))</f>
        <v>U11</v>
      </c>
      <c r="E1723" s="456">
        <f>IFERROR(IF(Table11[[#This Row],[Year]]&gt;0,$E$1-Table11[[#This Row],[Year]],0),"")</f>
        <v>11</v>
      </c>
      <c r="F1723" s="456">
        <v>2014</v>
      </c>
      <c r="G1723" s="456">
        <v>8</v>
      </c>
      <c r="H1723" s="456">
        <v>25</v>
      </c>
    </row>
    <row r="1724" spans="1:8" ht="13.5" customHeight="1">
      <c r="A1724" s="456">
        <v>8720</v>
      </c>
      <c r="B1724" s="457" t="s">
        <v>5538</v>
      </c>
      <c r="C1724" s="456" t="s">
        <v>251</v>
      </c>
      <c r="D1724" s="456" t="str">
        <f>IF(Table11[[#This Row],[Current Age]]&gt;19,"Women's",IF(E1724&gt;15,"U19",IF(E1724&gt;13,"U15",IF(E1724&gt;11,"U13",IF(E1724&gt;0,"U11",0)))))</f>
        <v>U11</v>
      </c>
      <c r="E1724" s="456">
        <f>IFERROR(IF(Table11[[#This Row],[Year]]&gt;0,$E$1-Table11[[#This Row],[Year]],0),"")</f>
        <v>11</v>
      </c>
      <c r="F1724" s="456">
        <v>2014</v>
      </c>
      <c r="G1724" s="456">
        <v>8</v>
      </c>
      <c r="H1724" s="456">
        <v>29</v>
      </c>
    </row>
    <row r="1725" spans="1:8" ht="13.5" customHeight="1">
      <c r="A1725" s="471">
        <v>8721</v>
      </c>
      <c r="B1725" s="540" t="s">
        <v>5539</v>
      </c>
      <c r="C1725" s="471" t="s">
        <v>251</v>
      </c>
      <c r="D1725" s="456" t="str">
        <f>IF(Table11[[#This Row],[Current Age]]&gt;19,"Women's",IF(E1725&gt;15,"U19",IF(E1725&gt;13,"U15",IF(E1725&gt;11,"U13",IF(E1725&gt;0,"U11",0)))))</f>
        <v>Women's</v>
      </c>
      <c r="E1725" s="456">
        <f>IFERROR(IF(Table11[[#This Row],[Year]]&gt;0,$E$1-Table11[[#This Row],[Year]],0),"")</f>
        <v>35</v>
      </c>
      <c r="F1725" s="456">
        <v>1990</v>
      </c>
      <c r="G1725" s="456">
        <v>3</v>
      </c>
      <c r="H1725" s="456">
        <v>22</v>
      </c>
    </row>
    <row r="1726" spans="1:8" ht="13.5" customHeight="1">
      <c r="A1726" s="456">
        <v>8722</v>
      </c>
      <c r="B1726" s="457" t="s">
        <v>5540</v>
      </c>
      <c r="C1726" s="456" t="s">
        <v>251</v>
      </c>
      <c r="D1726" s="456" t="str">
        <f>IF(Table11[[#This Row],[Current Age]]&gt;19,"Women's",IF(E1726&gt;15,"U19",IF(E1726&gt;13,"U15",IF(E1726&gt;11,"U13",IF(E1726&gt;0,"U11",0)))))</f>
        <v>U13</v>
      </c>
      <c r="E1726" s="456">
        <f>IFERROR(IF(Table11[[#This Row],[Year]]&gt;0,$E$1-Table11[[#This Row],[Year]],0),"")</f>
        <v>13</v>
      </c>
      <c r="F1726" s="456">
        <v>2012</v>
      </c>
      <c r="G1726" s="456">
        <v>10</v>
      </c>
      <c r="H1726" s="456">
        <v>26</v>
      </c>
    </row>
    <row r="1727" spans="1:8" ht="13.5" customHeight="1">
      <c r="A1727" s="471">
        <v>8723</v>
      </c>
      <c r="B1727" s="540" t="s">
        <v>5541</v>
      </c>
      <c r="C1727" s="471" t="s">
        <v>251</v>
      </c>
      <c r="D1727" s="456" t="str">
        <f>IF(Table11[[#This Row],[Current Age]]&gt;19,"Women's",IF(E1727&gt;15,"U19",IF(E1727&gt;13,"U15",IF(E1727&gt;11,"U13",IF(E1727&gt;0,"U11",0)))))</f>
        <v>U19</v>
      </c>
      <c r="E1727" s="456">
        <f>IFERROR(IF(Table11[[#This Row],[Year]]&gt;0,$E$1-Table11[[#This Row],[Year]],0),"")</f>
        <v>18</v>
      </c>
      <c r="F1727" s="456">
        <v>2007</v>
      </c>
      <c r="G1727" s="456">
        <v>1</v>
      </c>
      <c r="H1727" s="456">
        <v>24</v>
      </c>
    </row>
    <row r="1728" spans="1:8" ht="13.5" customHeight="1">
      <c r="A1728" s="456">
        <v>8724</v>
      </c>
      <c r="B1728" s="457" t="s">
        <v>5552</v>
      </c>
      <c r="C1728" s="456" t="s">
        <v>244</v>
      </c>
      <c r="D1728" s="456">
        <f>IF(Table11[[#This Row],[Current Age]]&gt;19,"Women's",IF(E1728&gt;15,"U19",IF(E1728&gt;13,"U15",IF(E1728&gt;11,"U13",IF(E1728&gt;0,"U11",0)))))</f>
        <v>0</v>
      </c>
      <c r="E1728" s="456">
        <f>IFERROR(IF(Table11[[#This Row],[Year]]&gt;0,$E$1-Table11[[#This Row],[Year]],0),"")</f>
        <v>0</v>
      </c>
      <c r="F1728" s="456"/>
      <c r="G1728" s="456"/>
      <c r="H1728" s="456"/>
    </row>
    <row r="1729" spans="1:8" ht="13.5" customHeight="1">
      <c r="A1729" s="471">
        <v>8725</v>
      </c>
      <c r="B1729" s="540" t="s">
        <v>5553</v>
      </c>
      <c r="C1729" s="471" t="s">
        <v>251</v>
      </c>
      <c r="D1729" s="456">
        <f>IF(Table11[[#This Row],[Current Age]]&gt;19,"Women's",IF(E1729&gt;15,"U19",IF(E1729&gt;13,"U15",IF(E1729&gt;11,"U13",IF(E1729&gt;0,"U11",0)))))</f>
        <v>0</v>
      </c>
      <c r="E1729" s="456">
        <f>IFERROR(IF(Table11[[#This Row],[Year]]&gt;0,$E$1-Table11[[#This Row],[Year]],0),"")</f>
        <v>0</v>
      </c>
      <c r="F1729" s="456"/>
      <c r="G1729" s="456"/>
      <c r="H1729" s="456"/>
    </row>
    <row r="1730" spans="1:8" ht="13.5" customHeight="1">
      <c r="A1730" s="456">
        <v>8726</v>
      </c>
      <c r="B1730" s="469" t="s">
        <v>5621</v>
      </c>
      <c r="C1730" s="456" t="s">
        <v>251</v>
      </c>
      <c r="D1730" s="456" t="str">
        <f>IF(Table11[[#This Row],[Current Age]]&gt;19,"Women's",IF(E1730&gt;15,"U19",IF(E1730&gt;13,"U15",IF(E1730&gt;11,"U13",IF(E1730&gt;0,"U11",0)))))</f>
        <v>Women's</v>
      </c>
      <c r="E1730" s="456">
        <f>IFERROR(IF(Table11[[#This Row],[Year]]&gt;0,$E$1-Table11[[#This Row],[Year]],0),"")</f>
        <v>34</v>
      </c>
      <c r="F1730" s="456">
        <v>1991</v>
      </c>
      <c r="G1730" s="456">
        <v>2</v>
      </c>
      <c r="H1730" s="456">
        <v>15</v>
      </c>
    </row>
    <row r="1731" spans="1:8" ht="13.5" customHeight="1">
      <c r="A1731" s="471">
        <v>8727</v>
      </c>
      <c r="B1731" s="540" t="s">
        <v>5557</v>
      </c>
      <c r="C1731" s="471" t="s">
        <v>251</v>
      </c>
      <c r="D1731" s="456">
        <f>IF(Table11[[#This Row],[Current Age]]&gt;19,"Women's",IF(E1731&gt;15,"U19",IF(E1731&gt;13,"U15",IF(E1731&gt;11,"U13",IF(E1731&gt;0,"U11",0)))))</f>
        <v>0</v>
      </c>
      <c r="E1731" s="456">
        <f>IFERROR(IF(Table11[[#This Row],[Year]]&gt;0,$E$1-Table11[[#This Row],[Year]],0),"")</f>
        <v>0</v>
      </c>
      <c r="F1731" s="456"/>
      <c r="G1731" s="456"/>
      <c r="H1731" s="456"/>
    </row>
    <row r="1732" spans="1:8" ht="13.5" customHeight="1">
      <c r="A1732" s="456">
        <v>8728</v>
      </c>
      <c r="B1732" s="457" t="s">
        <v>5558</v>
      </c>
      <c r="C1732" s="456" t="s">
        <v>251</v>
      </c>
      <c r="D1732" s="456">
        <f>IF(Table11[[#This Row],[Current Age]]&gt;19,"Women's",IF(E1732&gt;15,"U19",IF(E1732&gt;13,"U15",IF(E1732&gt;11,"U13",IF(E1732&gt;0,"U11",0)))))</f>
        <v>0</v>
      </c>
      <c r="E1732" s="456">
        <f>IFERROR(IF(Table11[[#This Row],[Year]]&gt;0,$E$1-Table11[[#This Row],[Year]],0),"")</f>
        <v>0</v>
      </c>
      <c r="F1732" s="456"/>
      <c r="G1732" s="456"/>
      <c r="H1732" s="456"/>
    </row>
    <row r="1733" spans="1:8" ht="13.5" customHeight="1">
      <c r="A1733" s="471">
        <v>8729</v>
      </c>
      <c r="B1733" s="540" t="s">
        <v>5559</v>
      </c>
      <c r="C1733" s="471" t="s">
        <v>251</v>
      </c>
      <c r="D1733" s="456">
        <f>IF(Table11[[#This Row],[Current Age]]&gt;19,"Women's",IF(E1733&gt;15,"U19",IF(E1733&gt;13,"U15",IF(E1733&gt;11,"U13",IF(E1733&gt;0,"U11",0)))))</f>
        <v>0</v>
      </c>
      <c r="E1733" s="456">
        <f>IFERROR(IF(Table11[[#This Row],[Year]]&gt;0,$E$1-Table11[[#This Row],[Year]],0),"")</f>
        <v>0</v>
      </c>
      <c r="F1733" s="456"/>
      <c r="G1733" s="456"/>
      <c r="H1733" s="456"/>
    </row>
    <row r="1734" spans="1:8" ht="13.5" customHeight="1">
      <c r="A1734" s="456">
        <v>8730</v>
      </c>
      <c r="B1734" s="457" t="s">
        <v>5561</v>
      </c>
      <c r="C1734" s="456" t="s">
        <v>4552</v>
      </c>
      <c r="D1734" s="456" t="str">
        <f>IF(Table11[[#This Row],[Current Age]]&gt;19,"Women's",IF(E1734&gt;15,"U19",IF(E1734&gt;13,"U15",IF(E1734&gt;11,"U13",IF(E1734&gt;0,"U11",0)))))</f>
        <v>U13</v>
      </c>
      <c r="E1734" s="456">
        <f>IFERROR(IF(Table11[[#This Row],[Year]]&gt;0,$E$1-Table11[[#This Row],[Year]],0),"")</f>
        <v>12</v>
      </c>
      <c r="F1734" s="456">
        <v>2013</v>
      </c>
      <c r="G1734" s="456">
        <v>8</v>
      </c>
      <c r="H1734" s="456">
        <v>30</v>
      </c>
    </row>
    <row r="1735" spans="1:8" ht="13.5" customHeight="1">
      <c r="A1735" s="471">
        <v>8731</v>
      </c>
      <c r="B1735" s="540" t="s">
        <v>5562</v>
      </c>
      <c r="C1735" s="471" t="s">
        <v>4552</v>
      </c>
      <c r="D1735" s="456" t="str">
        <f>IF(Table11[[#This Row],[Current Age]]&gt;19,"Women's",IF(E1735&gt;15,"U19",IF(E1735&gt;13,"U15",IF(E1735&gt;11,"U13",IF(E1735&gt;0,"U11",0)))))</f>
        <v>Women's</v>
      </c>
      <c r="E1735" s="456">
        <f>IFERROR(IF(Table11[[#This Row],[Year]]&gt;0,$E$1-Table11[[#This Row],[Year]],0),"")</f>
        <v>64</v>
      </c>
      <c r="F1735" s="456">
        <v>1961</v>
      </c>
      <c r="G1735" s="456">
        <v>7</v>
      </c>
      <c r="H1735" s="456">
        <v>25</v>
      </c>
    </row>
    <row r="1736" spans="1:8" ht="13.5" customHeight="1">
      <c r="A1736" s="456">
        <v>8732</v>
      </c>
      <c r="B1736" s="457" t="s">
        <v>5563</v>
      </c>
      <c r="C1736" s="456" t="s">
        <v>4552</v>
      </c>
      <c r="D1736" s="456" t="str">
        <f>IF(Table11[[#This Row],[Current Age]]&gt;19,"Women's",IF(E1736&gt;15,"U19",IF(E1736&gt;13,"U15",IF(E1736&gt;11,"U13",IF(E1736&gt;0,"U11",0)))))</f>
        <v>Women's</v>
      </c>
      <c r="E1736" s="456">
        <f>IFERROR(IF(Table11[[#This Row],[Year]]&gt;0,$E$1-Table11[[#This Row],[Year]],0),"")</f>
        <v>60</v>
      </c>
      <c r="F1736" s="456">
        <v>1965</v>
      </c>
      <c r="G1736" s="456">
        <v>6</v>
      </c>
      <c r="H1736" s="456">
        <v>1</v>
      </c>
    </row>
    <row r="1737" spans="1:8" ht="13.5" customHeight="1">
      <c r="A1737" s="471">
        <v>8733</v>
      </c>
      <c r="B1737" s="540" t="s">
        <v>5564</v>
      </c>
      <c r="C1737" s="471" t="s">
        <v>4552</v>
      </c>
      <c r="D1737" s="456" t="str">
        <f>IF(Table11[[#This Row],[Current Age]]&gt;19,"Women's",IF(E1737&gt;15,"U19",IF(E1737&gt;13,"U15",IF(E1737&gt;11,"U13",IF(E1737&gt;0,"U11",0)))))</f>
        <v>Women's</v>
      </c>
      <c r="E1737" s="456">
        <f>IFERROR(IF(Table11[[#This Row],[Year]]&gt;0,$E$1-Table11[[#This Row],[Year]],0),"")</f>
        <v>71</v>
      </c>
      <c r="F1737" s="456">
        <v>1954</v>
      </c>
      <c r="G1737" s="456">
        <v>3</v>
      </c>
      <c r="H1737" s="456">
        <v>4</v>
      </c>
    </row>
    <row r="1738" spans="1:8" ht="13.5" customHeight="1">
      <c r="A1738" s="456">
        <v>8734</v>
      </c>
      <c r="B1738" s="457" t="s">
        <v>5565</v>
      </c>
      <c r="C1738" s="456" t="s">
        <v>4552</v>
      </c>
      <c r="D1738" s="456" t="str">
        <f>IF(Table11[[#This Row],[Current Age]]&gt;19,"Women's",IF(E1738&gt;15,"U19",IF(E1738&gt;13,"U15",IF(E1738&gt;11,"U13",IF(E1738&gt;0,"U11",0)))))</f>
        <v>Women's</v>
      </c>
      <c r="E1738" s="456">
        <f>IFERROR(IF(Table11[[#This Row],[Year]]&gt;0,$E$1-Table11[[#This Row],[Year]],0),"")</f>
        <v>77</v>
      </c>
      <c r="F1738" s="456">
        <v>1948</v>
      </c>
      <c r="G1738" s="456">
        <v>11</v>
      </c>
      <c r="H1738" s="456">
        <v>17</v>
      </c>
    </row>
    <row r="1739" spans="1:8" ht="13.5" customHeight="1">
      <c r="A1739" s="471">
        <v>8735</v>
      </c>
      <c r="B1739" s="540" t="s">
        <v>5566</v>
      </c>
      <c r="C1739" s="471" t="s">
        <v>4552</v>
      </c>
      <c r="D1739" s="456" t="str">
        <f>IF(Table11[[#This Row],[Current Age]]&gt;19,"Women's",IF(E1739&gt;15,"U19",IF(E1739&gt;13,"U15",IF(E1739&gt;11,"U13",IF(E1739&gt;0,"U11",0)))))</f>
        <v>Women's</v>
      </c>
      <c r="E1739" s="456">
        <f>IFERROR(IF(Table11[[#This Row],[Year]]&gt;0,$E$1-Table11[[#This Row],[Year]],0),"")</f>
        <v>71</v>
      </c>
      <c r="F1739" s="456">
        <v>1954</v>
      </c>
      <c r="G1739" s="456">
        <v>11</v>
      </c>
      <c r="H1739" s="456">
        <v>17</v>
      </c>
    </row>
    <row r="1740" spans="1:8" ht="13.5" customHeight="1">
      <c r="A1740" s="456">
        <v>8736</v>
      </c>
      <c r="B1740" s="457" t="s">
        <v>5585</v>
      </c>
      <c r="C1740" s="456" t="s">
        <v>361</v>
      </c>
      <c r="D1740" s="456">
        <f>IF(Table11[[#This Row],[Current Age]]&gt;19,"Women's",IF(E1740&gt;15,"U19",IF(E1740&gt;13,"U15",IF(E1740&gt;11,"U13",IF(E1740&gt;0,"U11",0)))))</f>
        <v>0</v>
      </c>
      <c r="E1740" s="456">
        <f>IFERROR(IF(Table11[[#This Row],[Year]]&gt;0,$E$1-Table11[[#This Row],[Year]],0),"")</f>
        <v>0</v>
      </c>
      <c r="F1740" s="456"/>
      <c r="G1740" s="456"/>
      <c r="H1740" s="456"/>
    </row>
    <row r="1741" spans="1:8" ht="13.5" customHeight="1">
      <c r="A1741" s="471">
        <v>8737</v>
      </c>
      <c r="B1741" s="557" t="s">
        <v>5647</v>
      </c>
      <c r="C1741" s="471" t="s">
        <v>243</v>
      </c>
      <c r="D1741" s="456">
        <f>IF(Table11[[#This Row],[Current Age]]&gt;19,"Women's",IF(E1741&gt;15,"U19",IF(E1741&gt;13,"U15",IF(E1741&gt;11,"U13",IF(E1741&gt;0,"U11",0)))))</f>
        <v>0</v>
      </c>
      <c r="E1741" s="456">
        <f>IFERROR(IF(Table11[[#This Row],[Year]]&gt;0,$E$1-Table11[[#This Row],[Year]],0),"")</f>
        <v>0</v>
      </c>
      <c r="F1741" s="456"/>
      <c r="G1741" s="456"/>
      <c r="H1741" s="456"/>
    </row>
    <row r="1742" spans="1:8" ht="13.5" customHeight="1">
      <c r="A1742" s="456">
        <v>8738</v>
      </c>
      <c r="B1742" s="550" t="s">
        <v>5597</v>
      </c>
      <c r="C1742" s="456" t="s">
        <v>1004</v>
      </c>
      <c r="D1742" s="456">
        <f>IF(Table11[[#This Row],[Current Age]]&gt;19,"Women's",IF(E1742&gt;15,"U19",IF(E1742&gt;13,"U15",IF(E1742&gt;11,"U13",IF(E1742&gt;0,"U11",0)))))</f>
        <v>0</v>
      </c>
      <c r="E1742" s="456">
        <f>IFERROR(IF(Table11[[#This Row],[Year]]&gt;0,$E$1-Table11[[#This Row],[Year]],0),"")</f>
        <v>0</v>
      </c>
      <c r="F1742" s="456"/>
      <c r="G1742" s="456"/>
      <c r="H1742" s="456"/>
    </row>
    <row r="1743" spans="1:8" ht="13.5" customHeight="1">
      <c r="A1743" s="471">
        <v>8739</v>
      </c>
      <c r="B1743" s="549" t="s">
        <v>5598</v>
      </c>
      <c r="C1743" s="471" t="s">
        <v>1004</v>
      </c>
      <c r="D1743" s="456" t="str">
        <f>IF(Table11[[#This Row],[Current Age]]&gt;19,"Women's",IF(E1743&gt;15,"U19",IF(E1743&gt;13,"U15",IF(E1743&gt;11,"U13",IF(E1743&gt;0,"U11",0)))))</f>
        <v>U11</v>
      </c>
      <c r="E1743" s="456">
        <f>IFERROR(IF(Table11[[#This Row],[Year]]&gt;0,$E$1-Table11[[#This Row],[Year]],0),"")</f>
        <v>8</v>
      </c>
      <c r="F1743" s="456">
        <v>2017</v>
      </c>
      <c r="G1743" s="456">
        <v>3</v>
      </c>
      <c r="H1743" s="456">
        <v>7</v>
      </c>
    </row>
    <row r="1744" spans="1:8" ht="13.5" customHeight="1">
      <c r="A1744" s="456">
        <v>8740</v>
      </c>
      <c r="B1744" s="469" t="s">
        <v>5599</v>
      </c>
      <c r="C1744" s="456" t="s">
        <v>1004</v>
      </c>
      <c r="D1744" s="456" t="str">
        <f>IF(Table11[[#This Row],[Current Age]]&gt;19,"Women's",IF(E1744&gt;15,"U19",IF(E1744&gt;13,"U15",IF(E1744&gt;11,"U13",IF(E1744&gt;0,"U11",0)))))</f>
        <v>U11</v>
      </c>
      <c r="E1744" s="456">
        <f>IFERROR(IF(Table11[[#This Row],[Year]]&gt;0,$E$1-Table11[[#This Row],[Year]],0),"")</f>
        <v>10</v>
      </c>
      <c r="F1744" s="456">
        <v>2015</v>
      </c>
      <c r="G1744" s="456">
        <v>11</v>
      </c>
      <c r="H1744" s="456">
        <v>2</v>
      </c>
    </row>
    <row r="1745" spans="1:8" ht="13.5" customHeight="1">
      <c r="A1745" s="471">
        <v>8741</v>
      </c>
      <c r="B1745" s="493" t="s">
        <v>5600</v>
      </c>
      <c r="C1745" s="471" t="s">
        <v>1004</v>
      </c>
      <c r="D1745" s="456">
        <f>IF(Table11[[#This Row],[Current Age]]&gt;19,"Women's",IF(E1745&gt;15,"U19",IF(E1745&gt;13,"U15",IF(E1745&gt;11,"U13",IF(E1745&gt;0,"U11",0)))))</f>
        <v>0</v>
      </c>
      <c r="E1745" s="456">
        <f>IFERROR(IF(Table11[[#This Row],[Year]]&gt;0,$E$1-Table11[[#This Row],[Year]],0),"")</f>
        <v>0</v>
      </c>
      <c r="F1745" s="456"/>
      <c r="G1745" s="456"/>
      <c r="H1745" s="456"/>
    </row>
    <row r="1746" spans="1:8" ht="13.5" customHeight="1">
      <c r="A1746" s="456">
        <v>8742</v>
      </c>
      <c r="B1746" s="469" t="s">
        <v>5601</v>
      </c>
      <c r="C1746" s="456" t="s">
        <v>1004</v>
      </c>
      <c r="D1746" s="456">
        <f>IF(Table11[[#This Row],[Current Age]]&gt;19,"Women's",IF(E1746&gt;15,"U19",IF(E1746&gt;13,"U15",IF(E1746&gt;11,"U13",IF(E1746&gt;0,"U11",0)))))</f>
        <v>0</v>
      </c>
      <c r="E1746" s="456">
        <f>IFERROR(IF(Table11[[#This Row],[Year]]&gt;0,$E$1-Table11[[#This Row],[Year]],0),"")</f>
        <v>0</v>
      </c>
      <c r="F1746" s="456"/>
      <c r="G1746" s="456"/>
      <c r="H1746" s="456"/>
    </row>
    <row r="1747" spans="1:8" ht="13.5" customHeight="1">
      <c r="A1747" s="471">
        <v>8743</v>
      </c>
      <c r="B1747" s="493" t="s">
        <v>5602</v>
      </c>
      <c r="C1747" s="471" t="s">
        <v>1004</v>
      </c>
      <c r="D1747" s="456">
        <f>IF(Table11[[#This Row],[Current Age]]&gt;19,"Women's",IF(E1747&gt;15,"U19",IF(E1747&gt;13,"U15",IF(E1747&gt;11,"U13",IF(E1747&gt;0,"U11",0)))))</f>
        <v>0</v>
      </c>
      <c r="E1747" s="456">
        <f>IFERROR(IF(Table11[[#This Row],[Year]]&gt;0,$E$1-Table11[[#This Row],[Year]],0),"")</f>
        <v>0</v>
      </c>
      <c r="F1747" s="456"/>
      <c r="G1747" s="456"/>
      <c r="H1747" s="456"/>
    </row>
    <row r="1748" spans="1:8" ht="13.5" customHeight="1">
      <c r="A1748" s="456">
        <v>8744</v>
      </c>
      <c r="B1748" s="469" t="s">
        <v>5603</v>
      </c>
      <c r="C1748" s="456" t="s">
        <v>1004</v>
      </c>
      <c r="D1748" s="456">
        <f>IF(Table11[[#This Row],[Current Age]]&gt;19,"Women's",IF(E1748&gt;15,"U19",IF(E1748&gt;13,"U15",IF(E1748&gt;11,"U13",IF(E1748&gt;0,"U11",0)))))</f>
        <v>0</v>
      </c>
      <c r="E1748" s="456">
        <f>IFERROR(IF(Table11[[#This Row],[Year]]&gt;0,$E$1-Table11[[#This Row],[Year]],0),"")</f>
        <v>0</v>
      </c>
      <c r="F1748" s="456"/>
      <c r="G1748" s="456"/>
      <c r="H1748" s="456"/>
    </row>
    <row r="1749" spans="1:8" ht="13.5" customHeight="1">
      <c r="A1749" s="471">
        <v>8745</v>
      </c>
      <c r="B1749" s="493" t="s">
        <v>5604</v>
      </c>
      <c r="C1749" s="471" t="s">
        <v>1004</v>
      </c>
      <c r="D1749" s="456">
        <f>IF(Table11[[#This Row],[Current Age]]&gt;19,"Women's",IF(E1749&gt;15,"U19",IF(E1749&gt;13,"U15",IF(E1749&gt;11,"U13",IF(E1749&gt;0,"U11",0)))))</f>
        <v>0</v>
      </c>
      <c r="E1749" s="456">
        <f>IFERROR(IF(Table11[[#This Row],[Year]]&gt;0,$E$1-Table11[[#This Row],[Year]],0),"")</f>
        <v>0</v>
      </c>
      <c r="F1749" s="456"/>
      <c r="G1749" s="456"/>
      <c r="H1749" s="456"/>
    </row>
    <row r="1750" spans="1:8" ht="13.5" customHeight="1">
      <c r="A1750" s="456">
        <v>8746</v>
      </c>
      <c r="B1750" s="469" t="s">
        <v>5615</v>
      </c>
      <c r="C1750" s="456" t="s">
        <v>361</v>
      </c>
      <c r="D1750" s="456">
        <f>IF(Table11[[#This Row],[Current Age]]&gt;19,"Women's",IF(E1750&gt;15,"U19",IF(E1750&gt;13,"U15",IF(E1750&gt;11,"U13",IF(E1750&gt;0,"U11",0)))))</f>
        <v>0</v>
      </c>
      <c r="E1750" s="456">
        <f>IFERROR(IF(Table11[[#This Row],[Year]]&gt;0,$E$1-Table11[[#This Row],[Year]],0),"")</f>
        <v>0</v>
      </c>
      <c r="F1750" s="456"/>
      <c r="G1750" s="456"/>
      <c r="H1750" s="456"/>
    </row>
    <row r="1751" spans="1:8" ht="13.5" customHeight="1">
      <c r="A1751" s="471">
        <v>8747</v>
      </c>
      <c r="B1751" s="495" t="s">
        <v>4722</v>
      </c>
      <c r="C1751" s="470" t="s">
        <v>251</v>
      </c>
      <c r="D1751" s="456" t="str">
        <f>IF(Table11[[#This Row],[Current Age]]&gt;19,"Women's",IF(E1751&gt;15,"U19",IF(E1751&gt;13,"U15",IF(E1751&gt;11,"U13",IF(E1751&gt;0,"U11",0)))))</f>
        <v>Women's</v>
      </c>
      <c r="E1751" s="456" t="str">
        <f>IFERROR(IF(Table11[[#This Row],[Year]]&gt;0,$E$1-Table11[[#This Row],[Year]],0),"")</f>
        <v/>
      </c>
      <c r="F1751" s="456" t="s">
        <v>4722</v>
      </c>
      <c r="G1751" s="456" t="s">
        <v>4722</v>
      </c>
      <c r="H1751" s="456" t="s">
        <v>4722</v>
      </c>
    </row>
    <row r="1752" spans="1:8" ht="13.5" customHeight="1">
      <c r="A1752" s="471">
        <v>8748</v>
      </c>
      <c r="B1752" s="493" t="s">
        <v>5622</v>
      </c>
      <c r="C1752" s="471" t="s">
        <v>251</v>
      </c>
      <c r="D1752" s="456" t="str">
        <f>IF(Table11[[#This Row],[Current Age]]&gt;19,"Women's",IF(E1752&gt;15,"U19",IF(E1752&gt;13,"U15",IF(E1752&gt;11,"U13",IF(E1752&gt;0,"U11",0)))))</f>
        <v>Women's</v>
      </c>
      <c r="E1752" s="456">
        <f>IFERROR(IF(Table11[[#This Row],[Year]]&gt;0,$E$1-Table11[[#This Row],[Year]],0),"")</f>
        <v>33</v>
      </c>
      <c r="F1752" s="456">
        <v>1992</v>
      </c>
      <c r="G1752" s="456">
        <v>11</v>
      </c>
      <c r="H1752" s="456">
        <v>25</v>
      </c>
    </row>
    <row r="1753" spans="1:8" ht="13.5" customHeight="1">
      <c r="A1753" s="456">
        <v>8749</v>
      </c>
      <c r="B1753" s="457" t="s">
        <v>5623</v>
      </c>
      <c r="C1753" s="456" t="s">
        <v>251</v>
      </c>
      <c r="D1753" s="456" t="str">
        <f>IF(Table11[[#This Row],[Current Age]]&gt;19,"Women's",IF(E1753&gt;15,"U19",IF(E1753&gt;13,"U15",IF(E1753&gt;11,"U13",IF(E1753&gt;0,"U11",0)))))</f>
        <v>Women's</v>
      </c>
      <c r="E1753" s="456">
        <f>IFERROR(IF(Table11[[#This Row],[Year]]&gt;0,$E$1-Table11[[#This Row],[Year]],0),"")</f>
        <v>59</v>
      </c>
      <c r="F1753" s="456">
        <v>1966</v>
      </c>
      <c r="G1753" s="456">
        <v>12</v>
      </c>
      <c r="H1753" s="456">
        <v>25</v>
      </c>
    </row>
    <row r="1754" spans="1:8" ht="13.5" customHeight="1">
      <c r="A1754" s="471">
        <v>8750</v>
      </c>
      <c r="B1754" s="540" t="s">
        <v>5624</v>
      </c>
      <c r="C1754" s="471" t="s">
        <v>251</v>
      </c>
      <c r="D1754" s="456" t="str">
        <f>IF(Table11[[#This Row],[Current Age]]&gt;19,"Women's",IF(E1754&gt;15,"U19",IF(E1754&gt;13,"U15",IF(E1754&gt;11,"U13",IF(E1754&gt;0,"U11",0)))))</f>
        <v>Women's</v>
      </c>
      <c r="E1754" s="456">
        <f>IFERROR(IF(Table11[[#This Row],[Year]]&gt;0,$E$1-Table11[[#This Row],[Year]],0),"")</f>
        <v>48</v>
      </c>
      <c r="F1754" s="456">
        <v>1977</v>
      </c>
      <c r="G1754" s="456">
        <v>5</v>
      </c>
      <c r="H1754" s="456">
        <v>19</v>
      </c>
    </row>
    <row r="1755" spans="1:8" ht="13.5" customHeight="1">
      <c r="A1755" s="456">
        <v>8751</v>
      </c>
      <c r="B1755" s="457" t="s">
        <v>5625</v>
      </c>
      <c r="C1755" s="456" t="s">
        <v>251</v>
      </c>
      <c r="D1755" s="456" t="str">
        <f>IF(Table11[[#This Row],[Current Age]]&gt;19,"Women's",IF(E1755&gt;15,"U19",IF(E1755&gt;13,"U15",IF(E1755&gt;11,"U13",IF(E1755&gt;0,"U11",0)))))</f>
        <v>Women's</v>
      </c>
      <c r="E1755" s="456">
        <f>IFERROR(IF(Table11[[#This Row],[Year]]&gt;0,$E$1-Table11[[#This Row],[Year]],0),"")</f>
        <v>24</v>
      </c>
      <c r="F1755" s="456">
        <v>2001</v>
      </c>
      <c r="G1755" s="456">
        <v>10</v>
      </c>
      <c r="H1755" s="456">
        <v>2</v>
      </c>
    </row>
    <row r="1756" spans="1:8" ht="13.5" customHeight="1">
      <c r="A1756" s="471">
        <v>8752</v>
      </c>
      <c r="B1756" s="540" t="s">
        <v>5626</v>
      </c>
      <c r="C1756" s="471" t="s">
        <v>251</v>
      </c>
      <c r="D1756" s="456">
        <f>IF(Table11[[#This Row],[Current Age]]&gt;19,"Women's",IF(E1756&gt;15,"U19",IF(E1756&gt;13,"U15",IF(E1756&gt;11,"U13",IF(E1756&gt;0,"U11",0)))))</f>
        <v>0</v>
      </c>
      <c r="E1756" s="456">
        <f>IFERROR(IF(Table11[[#This Row],[Year]]&gt;0,$E$1-Table11[[#This Row],[Year]],0),"")</f>
        <v>0</v>
      </c>
      <c r="F1756" s="456"/>
      <c r="G1756" s="456"/>
      <c r="H1756" s="457"/>
    </row>
    <row r="1757" spans="1:8" ht="13.5" customHeight="1">
      <c r="A1757" s="456">
        <v>8753</v>
      </c>
      <c r="B1757" s="457" t="s">
        <v>5630</v>
      </c>
      <c r="C1757" s="456" t="s">
        <v>251</v>
      </c>
      <c r="D1757" s="456">
        <f>IF(Table11[[#This Row],[Current Age]]&gt;19,"Women's",IF(E1757&gt;15,"U19",IF(E1757&gt;13,"U15",IF(E1757&gt;11,"U13",IF(E1757&gt;0,"U11",0)))))</f>
        <v>0</v>
      </c>
      <c r="E1757" s="456">
        <f>IFERROR(IF(Table11[[#This Row],[Year]]&gt;0,$E$1-Table11[[#This Row],[Year]],0),"")</f>
        <v>0</v>
      </c>
      <c r="F1757" s="456"/>
      <c r="G1757" s="456"/>
      <c r="H1757" s="457"/>
    </row>
    <row r="1758" spans="1:8" ht="13.5" customHeight="1">
      <c r="A1758" s="471">
        <v>8754</v>
      </c>
      <c r="B1758" s="540"/>
      <c r="C1758" s="471" t="s">
        <v>4722</v>
      </c>
      <c r="D1758" s="456">
        <f>IF(Table11[[#This Row],[Current Age]]&gt;19,"Women's",IF(E1758&gt;15,"U19",IF(E1758&gt;13,"U15",IF(E1758&gt;11,"U13",IF(E1758&gt;0,"U11",0)))))</f>
        <v>0</v>
      </c>
      <c r="E1758" s="456">
        <f>IFERROR(IF(Table11[[#This Row],[Year]]&gt;0,$E$1-Table11[[#This Row],[Year]],0),"")</f>
        <v>0</v>
      </c>
      <c r="F1758" s="456"/>
      <c r="G1758" s="456"/>
      <c r="H1758" s="457"/>
    </row>
    <row r="1759" spans="1:8" ht="13.5" customHeight="1">
      <c r="A1759" s="456">
        <v>8755</v>
      </c>
      <c r="B1759" s="457" t="s">
        <v>6043</v>
      </c>
      <c r="C1759" s="456" t="s">
        <v>3346</v>
      </c>
      <c r="D1759" s="456">
        <f>IF(Table11[[#This Row],[Current Age]]&gt;19,"Women's",IF(E1759&gt;15,"U19",IF(E1759&gt;13,"U15",IF(E1759&gt;11,"U13",IF(E1759&gt;0,"U11",0)))))</f>
        <v>0</v>
      </c>
      <c r="E1759" s="456">
        <f>IFERROR(IF(Table11[[#This Row],[Year]]&gt;0,$E$1-Table11[[#This Row],[Year]],0),"")</f>
        <v>0</v>
      </c>
      <c r="F1759" s="456"/>
      <c r="G1759" s="456"/>
      <c r="H1759" s="456"/>
    </row>
    <row r="1760" spans="1:8" ht="13.5" customHeight="1">
      <c r="A1760" s="471">
        <v>8756</v>
      </c>
      <c r="B1760" s="540" t="s">
        <v>5744</v>
      </c>
      <c r="C1760" s="471" t="s">
        <v>361</v>
      </c>
      <c r="D1760" s="456">
        <f>IF(Table11[[#This Row],[Current Age]]&gt;19,"Women's",IF(E1760&gt;15,"U19",IF(E1760&gt;13,"U15",IF(E1760&gt;11,"U13",IF(E1760&gt;0,"U11",0)))))</f>
        <v>0</v>
      </c>
      <c r="E1760" s="456">
        <f>IFERROR(IF(Table11[[#This Row],[Year]]&gt;0,$E$1-Table11[[#This Row],[Year]],0),"")</f>
        <v>0</v>
      </c>
      <c r="F1760" s="456"/>
      <c r="G1760" s="456"/>
      <c r="H1760" s="456"/>
    </row>
    <row r="1761" spans="1:8" ht="13.5" customHeight="1">
      <c r="A1761" s="456">
        <v>8757</v>
      </c>
      <c r="B1761" s="457" t="s">
        <v>5745</v>
      </c>
      <c r="C1761" s="456" t="s">
        <v>361</v>
      </c>
      <c r="D1761" s="456">
        <f>IF(Table11[[#This Row],[Current Age]]&gt;19,"Women's",IF(E1761&gt;15,"U19",IF(E1761&gt;13,"U15",IF(E1761&gt;11,"U13",IF(E1761&gt;0,"U11",0)))))</f>
        <v>0</v>
      </c>
      <c r="E1761" s="456">
        <f>IFERROR(IF(Table11[[#This Row],[Year]]&gt;0,$E$1-Table11[[#This Row],[Year]],0),"")</f>
        <v>0</v>
      </c>
      <c r="F1761" s="456"/>
      <c r="G1761" s="456"/>
      <c r="H1761" s="456"/>
    </row>
    <row r="1762" spans="1:8" ht="13.5" customHeight="1">
      <c r="A1762" s="471">
        <v>8758</v>
      </c>
      <c r="B1762" s="540" t="s">
        <v>5746</v>
      </c>
      <c r="C1762" s="471" t="s">
        <v>361</v>
      </c>
      <c r="D1762" s="456">
        <f>IF(Table11[[#This Row],[Current Age]]&gt;19,"Women's",IF(E1762&gt;15,"U19",IF(E1762&gt;13,"U15",IF(E1762&gt;11,"U13",IF(E1762&gt;0,"U11",0)))))</f>
        <v>0</v>
      </c>
      <c r="E1762" s="456">
        <f>IFERROR(IF(Table11[[#This Row],[Year]]&gt;0,$E$1-Table11[[#This Row],[Year]],0),"")</f>
        <v>0</v>
      </c>
      <c r="F1762" s="456"/>
      <c r="G1762" s="456"/>
      <c r="H1762" s="456"/>
    </row>
    <row r="1763" spans="1:8" ht="13.5" customHeight="1">
      <c r="A1763" s="456">
        <v>8759</v>
      </c>
      <c r="B1763" s="457" t="s">
        <v>5747</v>
      </c>
      <c r="C1763" s="456" t="s">
        <v>361</v>
      </c>
      <c r="D1763" s="456">
        <f>IF(Table11[[#This Row],[Current Age]]&gt;19,"Women's",IF(E1763&gt;15,"U19",IF(E1763&gt;13,"U15",IF(E1763&gt;11,"U13",IF(E1763&gt;0,"U11",0)))))</f>
        <v>0</v>
      </c>
      <c r="E1763" s="456">
        <f>IFERROR(IF(Table11[[#This Row],[Year]]&gt;0,$E$1-Table11[[#This Row],[Year]],0),"")</f>
        <v>0</v>
      </c>
      <c r="F1763" s="456"/>
      <c r="G1763" s="456"/>
      <c r="H1763" s="456"/>
    </row>
    <row r="1764" spans="1:8" ht="13.5" customHeight="1">
      <c r="A1764" s="471">
        <v>8760</v>
      </c>
      <c r="B1764" s="540" t="s">
        <v>5769</v>
      </c>
      <c r="C1764" s="471" t="s">
        <v>244</v>
      </c>
      <c r="D1764" s="456" t="str">
        <f>IF(Table11[[#This Row],[Current Age]]&gt;19,"Women's",IF(E1764&gt;15,"U19",IF(E1764&gt;13,"U15",IF(E1764&gt;11,"U13",IF(E1764&gt;0,"U11",0)))))</f>
        <v>U11</v>
      </c>
      <c r="E1764" s="456">
        <f>IFERROR(IF(Table11[[#This Row],[Year]]&gt;0,$E$1-Table11[[#This Row],[Year]],0),"")</f>
        <v>10</v>
      </c>
      <c r="F1764" s="456">
        <v>2015</v>
      </c>
      <c r="G1764" s="456">
        <v>6</v>
      </c>
      <c r="H1764" s="456">
        <v>30</v>
      </c>
    </row>
    <row r="1765" spans="1:8" ht="13.5" customHeight="1">
      <c r="A1765" s="456">
        <v>8761</v>
      </c>
      <c r="B1765" s="457" t="s">
        <v>5748</v>
      </c>
      <c r="C1765" s="456" t="s">
        <v>1914</v>
      </c>
      <c r="D1765" s="456">
        <f>IF(Table11[[#This Row],[Current Age]]&gt;19,"Women's",IF(E1765&gt;15,"U19",IF(E1765&gt;13,"U15",IF(E1765&gt;11,"U13",IF(E1765&gt;0,"U11",0)))))</f>
        <v>0</v>
      </c>
      <c r="E1765" s="456">
        <f>IFERROR(IF(Table11[[#This Row],[Year]]&gt;0,$E$1-Table11[[#This Row],[Year]],0),"")</f>
        <v>0</v>
      </c>
      <c r="F1765" s="456"/>
      <c r="G1765" s="456"/>
      <c r="H1765" s="456"/>
    </row>
    <row r="1766" spans="1:8" ht="13.5" customHeight="1">
      <c r="A1766" s="471">
        <v>8762</v>
      </c>
      <c r="B1766" s="540" t="s">
        <v>5749</v>
      </c>
      <c r="C1766" s="471" t="s">
        <v>362</v>
      </c>
      <c r="D1766" s="456" t="str">
        <f>IF(Table11[[#This Row],[Current Age]]&gt;19,"Women's",IF(E1766&gt;15,"U19",IF(E1766&gt;13,"U15",IF(E1766&gt;11,"U13",IF(E1766&gt;0,"U11",0)))))</f>
        <v>U13</v>
      </c>
      <c r="E1766" s="456">
        <f>IFERROR(IF(Table11[[#This Row],[Year]]&gt;0,$E$1-Table11[[#This Row],[Year]],0),"")</f>
        <v>13</v>
      </c>
      <c r="F1766" s="456">
        <v>2012</v>
      </c>
      <c r="G1766" s="456">
        <v>12</v>
      </c>
      <c r="H1766" s="456">
        <v>14</v>
      </c>
    </row>
    <row r="1767" spans="1:8" ht="13.5" customHeight="1">
      <c r="A1767" s="456">
        <v>8763</v>
      </c>
      <c r="B1767" s="457" t="s">
        <v>5750</v>
      </c>
      <c r="C1767" s="456" t="s">
        <v>1914</v>
      </c>
      <c r="D1767" s="456">
        <f>IF(Table11[[#This Row],[Current Age]]&gt;19,"Women's",IF(E1767&gt;15,"U19",IF(E1767&gt;13,"U15",IF(E1767&gt;11,"U13",IF(E1767&gt;0,"U11",0)))))</f>
        <v>0</v>
      </c>
      <c r="E1767" s="456">
        <f>IFERROR(IF(Table11[[#This Row],[Year]]&gt;0,$E$1-Table11[[#This Row],[Year]],0),"")</f>
        <v>0</v>
      </c>
      <c r="F1767" s="456"/>
      <c r="G1767" s="456"/>
      <c r="H1767" s="457"/>
    </row>
    <row r="1768" spans="1:8" ht="13.5" customHeight="1">
      <c r="A1768" s="471">
        <v>8764</v>
      </c>
      <c r="B1768" s="540" t="s">
        <v>5751</v>
      </c>
      <c r="C1768" s="471" t="s">
        <v>362</v>
      </c>
      <c r="D1768" s="456">
        <f>IF(Table11[[#This Row],[Current Age]]&gt;19,"Women's",IF(E1768&gt;15,"U19",IF(E1768&gt;13,"U15",IF(E1768&gt;11,"U13",IF(E1768&gt;0,"U11",0)))))</f>
        <v>0</v>
      </c>
      <c r="E1768" s="456">
        <f>IFERROR(IF(Table11[[#This Row],[Year]]&gt;0,$E$1-Table11[[#This Row],[Year]],0),"")</f>
        <v>0</v>
      </c>
      <c r="F1768" s="456"/>
      <c r="G1768" s="456"/>
      <c r="H1768" s="456"/>
    </row>
    <row r="1769" spans="1:8" ht="13.5" customHeight="1">
      <c r="A1769" s="456">
        <v>8765</v>
      </c>
      <c r="B1769" s="457" t="s">
        <v>5752</v>
      </c>
      <c r="C1769" s="456" t="s">
        <v>361</v>
      </c>
      <c r="D1769" s="456" t="str">
        <f>IF(Table11[[#This Row],[Current Age]]&gt;19,"Women's",IF(E1769&gt;15,"U19",IF(E1769&gt;13,"U15",IF(E1769&gt;11,"U13",IF(E1769&gt;0,"U11",0)))))</f>
        <v>U19</v>
      </c>
      <c r="E1769" s="456">
        <f>IFERROR(IF(Table11[[#This Row],[Year]]&gt;0,$E$1-Table11[[#This Row],[Year]],0),"")</f>
        <v>16</v>
      </c>
      <c r="F1769" s="456">
        <v>2009</v>
      </c>
      <c r="G1769" s="456">
        <v>7</v>
      </c>
      <c r="H1769" s="456">
        <v>25</v>
      </c>
    </row>
    <row r="1770" spans="1:8" ht="13.5" customHeight="1">
      <c r="A1770" s="471">
        <v>8766</v>
      </c>
      <c r="B1770" s="540" t="s">
        <v>5753</v>
      </c>
      <c r="C1770" s="471" t="s">
        <v>1914</v>
      </c>
      <c r="D1770" s="456">
        <f>IF(Table11[[#This Row],[Current Age]]&gt;19,"Women's",IF(E1770&gt;15,"U19",IF(E1770&gt;13,"U15",IF(E1770&gt;11,"U13",IF(E1770&gt;0,"U11",0)))))</f>
        <v>0</v>
      </c>
      <c r="E1770" s="456">
        <f>IFERROR(IF(Table11[[#This Row],[Year]]&gt;0,$E$1-Table11[[#This Row],[Year]],0),"")</f>
        <v>0</v>
      </c>
      <c r="F1770" s="456"/>
      <c r="G1770" s="456"/>
      <c r="H1770" s="456"/>
    </row>
    <row r="1771" spans="1:8" ht="13.5" customHeight="1">
      <c r="A1771" s="456">
        <v>8767</v>
      </c>
      <c r="B1771" s="457" t="s">
        <v>5754</v>
      </c>
      <c r="C1771" s="456" t="s">
        <v>361</v>
      </c>
      <c r="D1771" s="456">
        <f>IF(Table11[[#This Row],[Current Age]]&gt;19,"Women's",IF(E1771&gt;15,"U19",IF(E1771&gt;13,"U15",IF(E1771&gt;11,"U13",IF(E1771&gt;0,"U11",0)))))</f>
        <v>0</v>
      </c>
      <c r="E1771" s="456">
        <f>IFERROR(IF(Table11[[#This Row],[Year]]&gt;0,$E$1-Table11[[#This Row],[Year]],0),"")</f>
        <v>0</v>
      </c>
      <c r="F1771" s="456"/>
      <c r="G1771" s="456"/>
      <c r="H1771" s="456"/>
    </row>
    <row r="1772" spans="1:8" ht="13.5" customHeight="1">
      <c r="A1772" s="471">
        <v>8768</v>
      </c>
      <c r="B1772" s="540" t="s">
        <v>5755</v>
      </c>
      <c r="C1772" s="471" t="s">
        <v>361</v>
      </c>
      <c r="D1772" s="456">
        <f>IF(Table11[[#This Row],[Current Age]]&gt;19,"Women's",IF(E1772&gt;15,"U19",IF(E1772&gt;13,"U15",IF(E1772&gt;11,"U13",IF(E1772&gt;0,"U11",0)))))</f>
        <v>0</v>
      </c>
      <c r="E1772" s="456">
        <f>IFERROR(IF(Table11[[#This Row],[Year]]&gt;0,$E$1-Table11[[#This Row],[Year]],0),"")</f>
        <v>0</v>
      </c>
      <c r="F1772" s="456"/>
      <c r="G1772" s="456"/>
      <c r="H1772" s="456"/>
    </row>
    <row r="1773" spans="1:8" ht="13.5" customHeight="1">
      <c r="A1773" s="456">
        <v>8769</v>
      </c>
      <c r="B1773" s="457" t="s">
        <v>5756</v>
      </c>
      <c r="C1773" s="456" t="s">
        <v>361</v>
      </c>
      <c r="D1773" s="456">
        <f>IF(Table11[[#This Row],[Current Age]]&gt;19,"Women's",IF(E1773&gt;15,"U19",IF(E1773&gt;13,"U15",IF(E1773&gt;11,"U13",IF(E1773&gt;0,"U11",0)))))</f>
        <v>0</v>
      </c>
      <c r="E1773" s="456">
        <f>IFERROR(IF(Table11[[#This Row],[Year]]&gt;0,$E$1-Table11[[#This Row],[Year]],0),"")</f>
        <v>0</v>
      </c>
      <c r="F1773" s="456"/>
      <c r="G1773" s="456"/>
      <c r="H1773" s="456"/>
    </row>
    <row r="1774" spans="1:8" ht="13.5" customHeight="1">
      <c r="A1774" s="471">
        <v>8770</v>
      </c>
      <c r="B1774" s="540" t="s">
        <v>5757</v>
      </c>
      <c r="C1774" s="471" t="s">
        <v>361</v>
      </c>
      <c r="D1774" s="485">
        <f>IF(Table11[[#This Row],[Current Age]]&gt;19,"Women's",IF(E1774&gt;15,"U19",IF(E1774&gt;13,"U15",IF(E1774&gt;11,"U13",IF(E1774&gt;0,"U11",0)))))</f>
        <v>0</v>
      </c>
      <c r="E1774" s="485">
        <f>IFERROR(IF(Table11[[#This Row],[Year]]&gt;0,$E$1-Table11[[#This Row],[Year]],0),"")</f>
        <v>0</v>
      </c>
      <c r="F1774" s="456"/>
      <c r="G1774" s="456"/>
      <c r="H1774" s="457"/>
    </row>
    <row r="1775" spans="1:8" ht="13.5" customHeight="1">
      <c r="A1775" s="456">
        <v>8771</v>
      </c>
      <c r="B1775" s="558" t="s">
        <v>5846</v>
      </c>
      <c r="C1775" s="485" t="s">
        <v>5958</v>
      </c>
      <c r="D1775" s="456" t="str">
        <f>IF(Table11[[#This Row],[Current Age]]&gt;19,"Women's",IF(E1775&gt;15,"U19",IF(E1775&gt;13,"U15",IF(E1775&gt;11,"U13",IF(E1775&gt;0,"U11",0)))))</f>
        <v>U13</v>
      </c>
      <c r="E1775" s="456">
        <f>IFERROR(IF(Table11[[#This Row],[Year]]&gt;0,$E$1-Table11[[#This Row],[Year]],0),"")</f>
        <v>13</v>
      </c>
      <c r="F1775" s="485">
        <v>2012</v>
      </c>
      <c r="G1775" s="485">
        <v>3</v>
      </c>
      <c r="H1775" s="485">
        <v>3</v>
      </c>
    </row>
    <row r="1776" spans="1:8" ht="13.5" customHeight="1">
      <c r="A1776" s="471">
        <v>8772</v>
      </c>
      <c r="B1776" s="559" t="s">
        <v>6026</v>
      </c>
      <c r="C1776" s="471" t="s">
        <v>5959</v>
      </c>
      <c r="D1776" s="456" t="str">
        <f>IF(Table11[[#This Row],[Current Age]]&gt;19,"Women's",IF(E1776&gt;15,"U19",IF(E1776&gt;13,"U15",IF(E1776&gt;11,"U13",IF(E1776&gt;0,"U11",0)))))</f>
        <v>Women's</v>
      </c>
      <c r="E1776" s="456">
        <f>IFERROR(IF(Table11[[#This Row],[Year]]&gt;0,$E$1-Table11[[#This Row],[Year]],0),"")</f>
        <v>55</v>
      </c>
      <c r="F1776" s="456">
        <v>1970</v>
      </c>
      <c r="G1776" s="456">
        <v>7</v>
      </c>
      <c r="H1776" s="456">
        <v>26</v>
      </c>
    </row>
    <row r="1777" spans="1:8" ht="13.5" customHeight="1">
      <c r="A1777" s="456">
        <v>8773</v>
      </c>
      <c r="B1777" s="559" t="s">
        <v>5847</v>
      </c>
      <c r="C1777" s="456" t="s">
        <v>5956</v>
      </c>
      <c r="D1777" s="456" t="str">
        <f>IF(Table11[[#This Row],[Current Age]]&gt;19,"Women's",IF(E1777&gt;15,"U19",IF(E1777&gt;13,"U15",IF(E1777&gt;11,"U13",IF(E1777&gt;0,"U11",0)))))</f>
        <v>U15</v>
      </c>
      <c r="E1777" s="456">
        <f>IFERROR(IF(Table11[[#This Row],[Year]]&gt;0,$E$1-Table11[[#This Row],[Year]],0),"")</f>
        <v>14</v>
      </c>
      <c r="F1777" s="456">
        <v>2011</v>
      </c>
      <c r="G1777" s="456">
        <v>8</v>
      </c>
      <c r="H1777" s="456">
        <v>7</v>
      </c>
    </row>
    <row r="1778" spans="1:8" ht="13.5" customHeight="1">
      <c r="A1778" s="471">
        <v>8774</v>
      </c>
      <c r="B1778" s="559" t="s">
        <v>5848</v>
      </c>
      <c r="C1778" s="471" t="s">
        <v>5957</v>
      </c>
      <c r="D1778" s="456" t="str">
        <f>IF(Table11[[#This Row],[Current Age]]&gt;19,"Women's",IF(E1778&gt;15,"U19",IF(E1778&gt;13,"U15",IF(E1778&gt;11,"U13",IF(E1778&gt;0,"U11",0)))))</f>
        <v>Women's</v>
      </c>
      <c r="E1778" s="456">
        <f>IFERROR(IF(Table11[[#This Row],[Year]]&gt;0,$E$1-Table11[[#This Row],[Year]],0),"")</f>
        <v>34</v>
      </c>
      <c r="F1778" s="456">
        <v>1991</v>
      </c>
      <c r="G1778" s="456">
        <v>1</v>
      </c>
      <c r="H1778" s="456">
        <v>7</v>
      </c>
    </row>
    <row r="1779" spans="1:8" ht="13.5" customHeight="1">
      <c r="A1779" s="456">
        <v>8775</v>
      </c>
      <c r="B1779" s="559" t="s">
        <v>5849</v>
      </c>
      <c r="C1779" s="456" t="s">
        <v>5957</v>
      </c>
      <c r="D1779" s="456" t="str">
        <f>IF(Table11[[#This Row],[Current Age]]&gt;19,"Women's",IF(E1779&gt;15,"U19",IF(E1779&gt;13,"U15",IF(E1779&gt;11,"U13",IF(E1779&gt;0,"U11",0)))))</f>
        <v>U15</v>
      </c>
      <c r="E1779" s="456">
        <f>IFERROR(IF(Table11[[#This Row],[Year]]&gt;0,$E$1-Table11[[#This Row],[Year]],0),"")</f>
        <v>15</v>
      </c>
      <c r="F1779" s="456">
        <v>2010</v>
      </c>
      <c r="G1779" s="456">
        <v>12</v>
      </c>
      <c r="H1779" s="456">
        <v>7</v>
      </c>
    </row>
    <row r="1780" spans="1:8" ht="13.5" customHeight="1">
      <c r="A1780" s="471">
        <v>8776</v>
      </c>
      <c r="B1780" s="559" t="s">
        <v>5850</v>
      </c>
      <c r="C1780" s="471" t="s">
        <v>5958</v>
      </c>
      <c r="D1780" s="456" t="str">
        <f>IF(Table11[[#This Row],[Current Age]]&gt;19,"Women's",IF(E1780&gt;15,"U19",IF(E1780&gt;13,"U15",IF(E1780&gt;11,"U13",IF(E1780&gt;0,"U11",0)))))</f>
        <v>Women's</v>
      </c>
      <c r="E1780" s="456">
        <f>IFERROR(IF(Table11[[#This Row],[Year]]&gt;0,$E$1-Table11[[#This Row],[Year]],0),"")</f>
        <v>30</v>
      </c>
      <c r="F1780" s="456">
        <v>1995</v>
      </c>
      <c r="G1780" s="456">
        <v>2</v>
      </c>
      <c r="H1780" s="456">
        <v>12</v>
      </c>
    </row>
    <row r="1781" spans="1:8" ht="13.5" customHeight="1">
      <c r="A1781" s="456">
        <v>8777</v>
      </c>
      <c r="B1781" s="559" t="s">
        <v>5851</v>
      </c>
      <c r="C1781" s="456" t="s">
        <v>5958</v>
      </c>
      <c r="D1781" s="456" t="str">
        <f>IF(Table11[[#This Row],[Current Age]]&gt;19,"Women's",IF(E1781&gt;15,"U19",IF(E1781&gt;13,"U15",IF(E1781&gt;11,"U13",IF(E1781&gt;0,"U11",0)))))</f>
        <v>U15</v>
      </c>
      <c r="E1781" s="456">
        <f>IFERROR(IF(Table11[[#This Row],[Year]]&gt;0,$E$1-Table11[[#This Row],[Year]],0),"")</f>
        <v>14</v>
      </c>
      <c r="F1781" s="456">
        <v>2011</v>
      </c>
      <c r="G1781" s="456">
        <v>9</v>
      </c>
      <c r="H1781" s="456">
        <v>29</v>
      </c>
    </row>
    <row r="1782" spans="1:8" ht="13.5" customHeight="1">
      <c r="A1782" s="471">
        <v>8778</v>
      </c>
      <c r="B1782" s="559" t="s">
        <v>5852</v>
      </c>
      <c r="C1782" s="471" t="s">
        <v>5958</v>
      </c>
      <c r="D1782" s="456" t="str">
        <f>IF(Table11[[#This Row],[Current Age]]&gt;19,"Women's",IF(E1782&gt;15,"U19",IF(E1782&gt;13,"U15",IF(E1782&gt;11,"U13",IF(E1782&gt;0,"U11",0)))))</f>
        <v>Women's</v>
      </c>
      <c r="E1782" s="456">
        <f>IFERROR(IF(Table11[[#This Row],[Year]]&gt;0,$E$1-Table11[[#This Row],[Year]],0),"")</f>
        <v>21</v>
      </c>
      <c r="F1782" s="456">
        <v>2004</v>
      </c>
      <c r="G1782" s="456">
        <v>1</v>
      </c>
      <c r="H1782" s="456">
        <v>12</v>
      </c>
    </row>
    <row r="1783" spans="1:8" ht="13.5" customHeight="1">
      <c r="A1783" s="456">
        <v>8779</v>
      </c>
      <c r="B1783" s="559" t="s">
        <v>5853</v>
      </c>
      <c r="C1783" s="456" t="s">
        <v>5958</v>
      </c>
      <c r="D1783" s="456" t="str">
        <f>IF(Table11[[#This Row],[Current Age]]&gt;19,"Women's",IF(E1783&gt;15,"U19",IF(E1783&gt;13,"U15",IF(E1783&gt;11,"U13",IF(E1783&gt;0,"U11",0)))))</f>
        <v>Women's</v>
      </c>
      <c r="E1783" s="456">
        <f>IFERROR(IF(Table11[[#This Row],[Year]]&gt;0,$E$1-Table11[[#This Row],[Year]],0),"")</f>
        <v>28</v>
      </c>
      <c r="F1783" s="456">
        <v>1997</v>
      </c>
      <c r="G1783" s="456">
        <v>10</v>
      </c>
      <c r="H1783" s="456">
        <v>3</v>
      </c>
    </row>
    <row r="1784" spans="1:8" ht="13.5" customHeight="1">
      <c r="A1784" s="471">
        <v>8780</v>
      </c>
      <c r="B1784" s="559" t="s">
        <v>5854</v>
      </c>
      <c r="C1784" s="471" t="s">
        <v>5958</v>
      </c>
      <c r="D1784" s="456" t="str">
        <f>IF(Table11[[#This Row],[Current Age]]&gt;19,"Women's",IF(E1784&gt;15,"U19",IF(E1784&gt;13,"U15",IF(E1784&gt;11,"U13",IF(E1784&gt;0,"U11",0)))))</f>
        <v>U19</v>
      </c>
      <c r="E1784" s="456">
        <f>IFERROR(IF(Table11[[#This Row],[Year]]&gt;0,$E$1-Table11[[#This Row],[Year]],0),"")</f>
        <v>16</v>
      </c>
      <c r="F1784" s="456">
        <v>2009</v>
      </c>
      <c r="G1784" s="456">
        <v>1</v>
      </c>
      <c r="H1784" s="456">
        <v>12</v>
      </c>
    </row>
    <row r="1785" spans="1:8" ht="13.5" customHeight="1">
      <c r="A1785" s="456">
        <v>8781</v>
      </c>
      <c r="B1785" s="559" t="s">
        <v>5855</v>
      </c>
      <c r="C1785" s="456" t="s">
        <v>5956</v>
      </c>
      <c r="D1785" s="456" t="str">
        <f>IF(Table11[[#This Row],[Current Age]]&gt;19,"Women's",IF(E1785&gt;15,"U19",IF(E1785&gt;13,"U15",IF(E1785&gt;11,"U13",IF(E1785&gt;0,"U11",0)))))</f>
        <v>Women's</v>
      </c>
      <c r="E1785" s="456">
        <f>IFERROR(IF(Table11[[#This Row],[Year]]&gt;0,$E$1-Table11[[#This Row],[Year]],0),"")</f>
        <v>35</v>
      </c>
      <c r="F1785" s="456">
        <v>1990</v>
      </c>
      <c r="G1785" s="456">
        <v>4</v>
      </c>
      <c r="H1785" s="456">
        <v>4</v>
      </c>
    </row>
    <row r="1786" spans="1:8" ht="13.5" customHeight="1">
      <c r="A1786" s="471">
        <v>8782</v>
      </c>
      <c r="B1786" s="559" t="s">
        <v>5856</v>
      </c>
      <c r="C1786" s="456" t="s">
        <v>5956</v>
      </c>
      <c r="D1786" s="456" t="str">
        <f>IF(Table11[[#This Row],[Current Age]]&gt;19,"Women's",IF(E1786&gt;15,"U19",IF(E1786&gt;13,"U15",IF(E1786&gt;11,"U13",IF(E1786&gt;0,"U11",0)))))</f>
        <v>U19</v>
      </c>
      <c r="E1786" s="456">
        <f>IFERROR(IF(Table11[[#This Row],[Year]]&gt;0,$E$1-Table11[[#This Row],[Year]],0),"")</f>
        <v>17</v>
      </c>
      <c r="F1786" s="456">
        <v>2008</v>
      </c>
      <c r="G1786" s="456">
        <v>7</v>
      </c>
      <c r="H1786" s="456">
        <v>10</v>
      </c>
    </row>
    <row r="1787" spans="1:8" ht="13.5" customHeight="1">
      <c r="A1787" s="456">
        <v>8783</v>
      </c>
      <c r="B1787" s="559" t="s">
        <v>5857</v>
      </c>
      <c r="C1787" s="456" t="s">
        <v>5958</v>
      </c>
      <c r="D1787" s="456" t="str">
        <f>IF(Table11[[#This Row],[Current Age]]&gt;19,"Women's",IF(E1787&gt;15,"U19",IF(E1787&gt;13,"U15",IF(E1787&gt;11,"U13",IF(E1787&gt;0,"U11",0)))))</f>
        <v>Women's</v>
      </c>
      <c r="E1787" s="456">
        <f>IFERROR(IF(Table11[[#This Row],[Year]]&gt;0,$E$1-Table11[[#This Row],[Year]],0),"")</f>
        <v>48</v>
      </c>
      <c r="F1787" s="456">
        <v>1977</v>
      </c>
      <c r="G1787" s="456">
        <v>1</v>
      </c>
      <c r="H1787" s="456">
        <v>11</v>
      </c>
    </row>
    <row r="1788" spans="1:8" ht="13.5" customHeight="1">
      <c r="A1788" s="471">
        <v>8784</v>
      </c>
      <c r="B1788" s="559" t="s">
        <v>5858</v>
      </c>
      <c r="C1788" s="456" t="s">
        <v>5958</v>
      </c>
      <c r="D1788" s="485" t="str">
        <f>IF(Table11[[#This Row],[Current Age]]&gt;19,"Women's",IF(E1788&gt;15,"U19",IF(E1788&gt;13,"U15",IF(E1788&gt;11,"U13",IF(E1788&gt;0,"U11",0)))))</f>
        <v>Women's</v>
      </c>
      <c r="E1788" s="485">
        <f>IFERROR(IF(Table11[[#This Row],[Year]]&gt;0,$E$1-Table11[[#This Row],[Year]],0),"")</f>
        <v>35</v>
      </c>
      <c r="F1788" s="456">
        <v>1990</v>
      </c>
      <c r="G1788" s="456">
        <v>7</v>
      </c>
      <c r="H1788" s="456">
        <v>7</v>
      </c>
    </row>
    <row r="1789" spans="1:8" ht="13.5" customHeight="1">
      <c r="A1789" s="456">
        <v>8785</v>
      </c>
      <c r="B1789" s="558" t="s">
        <v>5859</v>
      </c>
      <c r="C1789" s="456" t="s">
        <v>5958</v>
      </c>
      <c r="D1789" s="485" t="str">
        <f>IF(Table11[[#This Row],[Current Age]]&gt;19,"Women's",IF(E1789&gt;15,"U19",IF(E1789&gt;13,"U15",IF(E1789&gt;11,"U13",IF(E1789&gt;0,"U11",0)))))</f>
        <v>Women's</v>
      </c>
      <c r="E1789" s="485">
        <f>IFERROR(IF(Table11[[#This Row],[Year]]&gt;0,$E$1-Table11[[#This Row],[Year]],0),"")</f>
        <v>35</v>
      </c>
      <c r="F1789" s="485">
        <v>1990</v>
      </c>
      <c r="G1789" s="485">
        <v>8</v>
      </c>
      <c r="H1789" s="485">
        <v>28</v>
      </c>
    </row>
    <row r="1790" spans="1:8" ht="13.5" customHeight="1">
      <c r="A1790" s="471">
        <v>8786</v>
      </c>
      <c r="B1790" s="558" t="s">
        <v>5860</v>
      </c>
      <c r="C1790" s="456" t="s">
        <v>5959</v>
      </c>
      <c r="D1790" s="485" t="str">
        <f>IF(Table11[[#This Row],[Current Age]]&gt;19,"Women's",IF(E1790&gt;15,"U19",IF(E1790&gt;13,"U15",IF(E1790&gt;11,"U13",IF(E1790&gt;0,"U11",0)))))</f>
        <v>Women's</v>
      </c>
      <c r="E1790" s="485">
        <f>IFERROR(IF(Table11[[#This Row],[Year]]&gt;0,$E$1-Table11[[#This Row],[Year]],0),"")</f>
        <v>59</v>
      </c>
      <c r="F1790" s="485">
        <v>1966</v>
      </c>
      <c r="G1790" s="456">
        <v>10</v>
      </c>
      <c r="H1790" s="456">
        <v>1</v>
      </c>
    </row>
    <row r="1791" spans="1:8" ht="13.5" customHeight="1">
      <c r="A1791" s="456">
        <v>8787</v>
      </c>
      <c r="B1791" s="558" t="s">
        <v>5861</v>
      </c>
      <c r="C1791" s="456" t="s">
        <v>5956</v>
      </c>
      <c r="D1791" s="456" t="str">
        <f>IF(Table11[[#This Row],[Current Age]]&gt;19,"Women's",IF(E1791&gt;15,"U19",IF(E1791&gt;13,"U15",IF(E1791&gt;11,"U13",IF(E1791&gt;0,"U11",0)))))</f>
        <v>Women's</v>
      </c>
      <c r="E1791" s="456">
        <f>IFERROR(IF(Table11[[#This Row],[Year]]&gt;0,$E$1-Table11[[#This Row],[Year]],0),"")</f>
        <v>28</v>
      </c>
      <c r="F1791" s="485">
        <v>1997</v>
      </c>
      <c r="G1791" s="485">
        <v>4</v>
      </c>
      <c r="H1791" s="485">
        <v>22</v>
      </c>
    </row>
    <row r="1792" spans="1:8" ht="13.5" customHeight="1">
      <c r="A1792" s="471">
        <v>8788</v>
      </c>
      <c r="B1792" s="540" t="s">
        <v>5865</v>
      </c>
      <c r="C1792" s="456" t="s">
        <v>249</v>
      </c>
      <c r="D1792" s="456" t="str">
        <f>IF(Table11[[#This Row],[Current Age]]&gt;19,"Women's",IF(E1792&gt;15,"U19",IF(E1792&gt;13,"U15",IF(E1792&gt;11,"U13",IF(E1792&gt;0,"U11",0)))))</f>
        <v>Women's</v>
      </c>
      <c r="E1792" s="456">
        <f>IFERROR(IF(Table11[[#This Row],[Year]]&gt;0,$E$1-Table11[[#This Row],[Year]],0),"")</f>
        <v>34</v>
      </c>
      <c r="F1792" s="470">
        <v>1991</v>
      </c>
      <c r="G1792" s="470">
        <v>10</v>
      </c>
      <c r="H1792" s="470">
        <v>6</v>
      </c>
    </row>
    <row r="1793" spans="1:8" ht="13.5" customHeight="1">
      <c r="A1793" s="456">
        <v>8789</v>
      </c>
      <c r="B1793" s="561" t="s">
        <v>5869</v>
      </c>
      <c r="C1793" s="456" t="s">
        <v>246</v>
      </c>
      <c r="D1793" s="456" t="str">
        <f>IF(Table11[[#This Row],[Current Age]]&gt;19,"Women's",IF(E1793&gt;15,"U19",IF(E1793&gt;13,"U15",IF(E1793&gt;11,"U13",IF(E1793&gt;0,"U11",0)))))</f>
        <v>Women's</v>
      </c>
      <c r="E1793" s="456">
        <f>IFERROR(IF(Table11[[#This Row],[Year]]&gt;0,$E$1-Table11[[#This Row],[Year]],0),"")</f>
        <v>46</v>
      </c>
      <c r="F1793" s="470">
        <v>1979</v>
      </c>
      <c r="G1793" s="470">
        <v>6</v>
      </c>
      <c r="H1793" s="470">
        <v>15</v>
      </c>
    </row>
    <row r="1794" spans="1:8" ht="13.5" customHeight="1">
      <c r="A1794" s="471">
        <v>8790</v>
      </c>
      <c r="B1794" s="551" t="s">
        <v>5870</v>
      </c>
      <c r="C1794" s="456" t="s">
        <v>246</v>
      </c>
      <c r="D1794" s="456" t="str">
        <f>IF(Table11[[#This Row],[Current Age]]&gt;19,"Women's",IF(E1794&gt;15,"U19",IF(E1794&gt;13,"U15",IF(E1794&gt;11,"U13",IF(E1794&gt;0,"U11",0)))))</f>
        <v>Women's</v>
      </c>
      <c r="E1794" s="456">
        <f>IFERROR(IF(Table11[[#This Row],[Year]]&gt;0,$E$1-Table11[[#This Row],[Year]],0),"")</f>
        <v>44</v>
      </c>
      <c r="F1794" s="470">
        <v>1981</v>
      </c>
      <c r="G1794" s="470">
        <v>3</v>
      </c>
      <c r="H1794" s="470">
        <v>27</v>
      </c>
    </row>
    <row r="1795" spans="1:8" ht="13.5" customHeight="1">
      <c r="A1795" s="456">
        <v>8791</v>
      </c>
      <c r="B1795" s="561" t="s">
        <v>5871</v>
      </c>
      <c r="C1795" s="456" t="s">
        <v>246</v>
      </c>
      <c r="D1795" s="456" t="str">
        <f>IF(Table11[[#This Row],[Current Age]]&gt;19,"Women's",IF(E1795&gt;15,"U19",IF(E1795&gt;13,"U15",IF(E1795&gt;11,"U13",IF(E1795&gt;0,"U11",0)))))</f>
        <v>Women's</v>
      </c>
      <c r="E1795" s="456">
        <f>IFERROR(IF(Table11[[#This Row],[Year]]&gt;0,$E$1-Table11[[#This Row],[Year]],0),"")</f>
        <v>47</v>
      </c>
      <c r="F1795" s="470">
        <v>1978</v>
      </c>
      <c r="G1795" s="470">
        <v>12</v>
      </c>
      <c r="H1795" s="470">
        <v>7</v>
      </c>
    </row>
    <row r="1796" spans="1:8" ht="13.5" customHeight="1">
      <c r="A1796" s="471">
        <v>8792</v>
      </c>
      <c r="B1796" s="551" t="s">
        <v>5872</v>
      </c>
      <c r="C1796" s="456" t="s">
        <v>246</v>
      </c>
      <c r="D1796" s="456" t="str">
        <f>IF(Table11[[#This Row],[Current Age]]&gt;19,"Women's",IF(E1796&gt;15,"U19",IF(E1796&gt;13,"U15",IF(E1796&gt;11,"U13",IF(E1796&gt;0,"U11",0)))))</f>
        <v>Women's</v>
      </c>
      <c r="E1796" s="456">
        <f>IFERROR(IF(Table11[[#This Row],[Year]]&gt;0,$E$1-Table11[[#This Row],[Year]],0),"")</f>
        <v>41</v>
      </c>
      <c r="F1796" s="456">
        <v>1984</v>
      </c>
      <c r="G1796" s="456">
        <v>12</v>
      </c>
      <c r="H1796" s="456">
        <v>3</v>
      </c>
    </row>
    <row r="1797" spans="1:8" ht="13.5" customHeight="1">
      <c r="A1797" s="456">
        <v>8793</v>
      </c>
      <c r="B1797" s="457" t="s">
        <v>5877</v>
      </c>
      <c r="C1797" s="456" t="s">
        <v>4552</v>
      </c>
      <c r="D1797" s="456" t="str">
        <f>IF(Table11[[#This Row],[Current Age]]&gt;19,"Women's",IF(E1797&gt;15,"U19",IF(E1797&gt;13,"U15",IF(E1797&gt;11,"U13",IF(E1797&gt;0,"U11",0)))))</f>
        <v>Women's</v>
      </c>
      <c r="E1797" s="456">
        <f>IFERROR(IF(Table11[[#This Row],[Year]]&gt;0,$E$1-Table11[[#This Row],[Year]],0),"")</f>
        <v>24</v>
      </c>
      <c r="F1797" s="456">
        <v>2001</v>
      </c>
      <c r="G1797" s="456">
        <v>2</v>
      </c>
      <c r="H1797" s="456">
        <v>2</v>
      </c>
    </row>
    <row r="1798" spans="1:8" ht="13.5" customHeight="1">
      <c r="A1798" s="471">
        <v>8794</v>
      </c>
      <c r="B1798" s="540" t="s">
        <v>5878</v>
      </c>
      <c r="C1798" s="456" t="s">
        <v>4552</v>
      </c>
      <c r="D1798" s="456" t="str">
        <f>IF(Table11[[#This Row],[Current Age]]&gt;19,"Women's",IF(E1798&gt;15,"U19",IF(E1798&gt;13,"U15",IF(E1798&gt;11,"U13",IF(E1798&gt;0,"U11",0)))))</f>
        <v>U19</v>
      </c>
      <c r="E1798" s="456">
        <f>IFERROR(IF(Table11[[#This Row],[Year]]&gt;0,$E$1-Table11[[#This Row],[Year]],0),"")</f>
        <v>19</v>
      </c>
      <c r="F1798" s="456">
        <v>2006</v>
      </c>
      <c r="G1798" s="456">
        <v>5</v>
      </c>
      <c r="H1798" s="456">
        <v>10</v>
      </c>
    </row>
    <row r="1799" spans="1:8" ht="13.5" customHeight="1">
      <c r="A1799" s="456">
        <v>8795</v>
      </c>
      <c r="B1799" s="457" t="s">
        <v>5879</v>
      </c>
      <c r="C1799" s="456" t="s">
        <v>4552</v>
      </c>
      <c r="D1799" s="456" t="str">
        <f>IF(Table11[[#This Row],[Current Age]]&gt;19,"Women's",IF(E1799&gt;15,"U19",IF(E1799&gt;13,"U15",IF(E1799&gt;11,"U13",IF(E1799&gt;0,"U11",0)))))</f>
        <v>Women's</v>
      </c>
      <c r="E1799" s="456">
        <f>IFERROR(IF(Table11[[#This Row],[Year]]&gt;0,$E$1-Table11[[#This Row],[Year]],0),"")</f>
        <v>20</v>
      </c>
      <c r="F1799" s="456">
        <v>2005</v>
      </c>
      <c r="G1799" s="456">
        <v>11</v>
      </c>
      <c r="H1799" s="456">
        <v>21</v>
      </c>
    </row>
    <row r="1800" spans="1:8" ht="13.5" customHeight="1">
      <c r="A1800" s="471">
        <v>8796</v>
      </c>
      <c r="B1800" s="540" t="s">
        <v>5880</v>
      </c>
      <c r="C1800" s="456" t="s">
        <v>4552</v>
      </c>
      <c r="D1800" s="456" t="str">
        <f>IF(Table11[[#This Row],[Current Age]]&gt;19,"Women's",IF(E1800&gt;15,"U19",IF(E1800&gt;13,"U15",IF(E1800&gt;11,"U13",IF(E1800&gt;0,"U11",0)))))</f>
        <v>U19</v>
      </c>
      <c r="E1800" s="456">
        <f>IFERROR(IF(Table11[[#This Row],[Year]]&gt;0,$E$1-Table11[[#This Row],[Year]],0),"")</f>
        <v>18</v>
      </c>
      <c r="F1800" s="456">
        <v>2007</v>
      </c>
      <c r="G1800" s="456">
        <v>8</v>
      </c>
      <c r="H1800" s="456">
        <v>16</v>
      </c>
    </row>
    <row r="1801" spans="1:8" ht="13.5" customHeight="1">
      <c r="A1801" s="456">
        <v>8797</v>
      </c>
      <c r="B1801" s="457" t="s">
        <v>5881</v>
      </c>
      <c r="C1801" s="456" t="s">
        <v>4552</v>
      </c>
      <c r="D1801" s="456" t="str">
        <f>IF(Table11[[#This Row],[Current Age]]&gt;19,"Women's",IF(E1801&gt;15,"U19",IF(E1801&gt;13,"U15",IF(E1801&gt;11,"U13",IF(E1801&gt;0,"U11",0)))))</f>
        <v>U19</v>
      </c>
      <c r="E1801" s="456">
        <f>IFERROR(IF(Table11[[#This Row],[Year]]&gt;0,$E$1-Table11[[#This Row],[Year]],0),"")</f>
        <v>17</v>
      </c>
      <c r="F1801" s="456">
        <v>2008</v>
      </c>
      <c r="G1801" s="456">
        <v>7</v>
      </c>
      <c r="H1801" s="456">
        <v>27</v>
      </c>
    </row>
    <row r="1802" spans="1:8" ht="13.5" customHeight="1">
      <c r="A1802" s="471">
        <v>8798</v>
      </c>
      <c r="B1802" s="540" t="s">
        <v>5882</v>
      </c>
      <c r="C1802" s="456" t="s">
        <v>4552</v>
      </c>
      <c r="D1802" s="456" t="str">
        <f>IF(Table11[[#This Row],[Current Age]]&gt;19,"Women's",IF(E1802&gt;15,"U19",IF(E1802&gt;13,"U15",IF(E1802&gt;11,"U13",IF(E1802&gt;0,"U11",0)))))</f>
        <v>U11</v>
      </c>
      <c r="E1802" s="456">
        <f>IFERROR(IF(Table11[[#This Row],[Year]]&gt;0,$E$1-Table11[[#This Row],[Year]],0),"")</f>
        <v>11</v>
      </c>
      <c r="F1802" s="456">
        <v>2014</v>
      </c>
      <c r="G1802" s="456">
        <v>1</v>
      </c>
      <c r="H1802" s="456">
        <v>6</v>
      </c>
    </row>
    <row r="1803" spans="1:8" ht="13.5" customHeight="1">
      <c r="A1803" s="456">
        <v>8799</v>
      </c>
      <c r="B1803" s="457" t="s">
        <v>5883</v>
      </c>
      <c r="C1803" s="456" t="s">
        <v>4552</v>
      </c>
      <c r="D1803" s="456" t="str">
        <f>IF(Table11[[#This Row],[Current Age]]&gt;19,"Women's",IF(E1803&gt;15,"U19",IF(E1803&gt;13,"U15",IF(E1803&gt;11,"U13",IF(E1803&gt;0,"U11",0)))))</f>
        <v>U19</v>
      </c>
      <c r="E1803" s="456">
        <f>IFERROR(IF(Table11[[#This Row],[Year]]&gt;0,$E$1-Table11[[#This Row],[Year]],0),"")</f>
        <v>17</v>
      </c>
      <c r="F1803" s="456">
        <v>2008</v>
      </c>
      <c r="G1803" s="456">
        <v>11</v>
      </c>
      <c r="H1803" s="456">
        <v>29</v>
      </c>
    </row>
    <row r="1804" spans="1:8" ht="13.5" customHeight="1">
      <c r="A1804" s="471">
        <v>8800</v>
      </c>
      <c r="B1804" s="540" t="s">
        <v>5884</v>
      </c>
      <c r="C1804" s="456" t="s">
        <v>4552</v>
      </c>
      <c r="D1804" s="456" t="str">
        <f>IF(Table11[[#This Row],[Current Age]]&gt;19,"Women's",IF(E1804&gt;15,"U19",IF(E1804&gt;13,"U15",IF(E1804&gt;11,"U13",IF(E1804&gt;0,"U11",0)))))</f>
        <v>U13</v>
      </c>
      <c r="E1804" s="456">
        <f>IFERROR(IF(Table11[[#This Row],[Year]]&gt;0,$E$1-Table11[[#This Row],[Year]],0),"")</f>
        <v>13</v>
      </c>
      <c r="F1804" s="456">
        <v>2012</v>
      </c>
      <c r="G1804" s="456">
        <v>9</v>
      </c>
      <c r="H1804" s="456">
        <v>11</v>
      </c>
    </row>
    <row r="1805" spans="1:8" ht="13.5" customHeight="1">
      <c r="A1805" s="456">
        <v>8801</v>
      </c>
      <c r="B1805" s="457" t="s">
        <v>5885</v>
      </c>
      <c r="C1805" s="456" t="s">
        <v>253</v>
      </c>
      <c r="D1805" s="456" t="str">
        <f>IF(Table11[[#This Row],[Current Age]]&gt;19,"Women's",IF(E1805&gt;15,"U19",IF(E1805&gt;13,"U15",IF(E1805&gt;11,"U13",IF(E1805&gt;0,"U11",0)))))</f>
        <v>U11</v>
      </c>
      <c r="E1805" s="456">
        <f>IFERROR(IF(Table11[[#This Row],[Year]]&gt;0,$E$1-Table11[[#This Row],[Year]],0),"")</f>
        <v>11</v>
      </c>
      <c r="F1805" s="456">
        <v>2014</v>
      </c>
      <c r="G1805" s="456">
        <v>3</v>
      </c>
      <c r="H1805" s="456">
        <v>6</v>
      </c>
    </row>
    <row r="1806" spans="1:8" ht="13.5" customHeight="1">
      <c r="A1806" s="471">
        <v>8802</v>
      </c>
      <c r="B1806" s="540" t="s">
        <v>5886</v>
      </c>
      <c r="C1806" s="456" t="s">
        <v>253</v>
      </c>
      <c r="D1806" s="456" t="str">
        <f>IF(Table11[[#This Row],[Current Age]]&gt;19,"Women's",IF(E1806&gt;15,"U19",IF(E1806&gt;13,"U15",IF(E1806&gt;11,"U13",IF(E1806&gt;0,"U11",0)))))</f>
        <v>U19</v>
      </c>
      <c r="E1806" s="456">
        <f>IFERROR(IF(Table11[[#This Row],[Year]]&gt;0,$E$1-Table11[[#This Row],[Year]],0),"")</f>
        <v>17</v>
      </c>
      <c r="F1806" s="456">
        <v>2008</v>
      </c>
      <c r="G1806" s="456">
        <v>6</v>
      </c>
      <c r="H1806" s="456">
        <v>30</v>
      </c>
    </row>
    <row r="1807" spans="1:8" ht="13.5" customHeight="1">
      <c r="A1807" s="456">
        <v>8803</v>
      </c>
      <c r="B1807" s="457" t="s">
        <v>5887</v>
      </c>
      <c r="C1807" s="456" t="s">
        <v>253</v>
      </c>
      <c r="D1807" s="456" t="str">
        <f>IF(Table11[[#This Row],[Current Age]]&gt;19,"Women's",IF(E1807&gt;15,"U19",IF(E1807&gt;13,"U15",IF(E1807&gt;11,"U13",IF(E1807&gt;0,"U11",0)))))</f>
        <v>U19</v>
      </c>
      <c r="E1807" s="456">
        <f>IFERROR(IF(Table11[[#This Row],[Year]]&gt;0,$E$1-Table11[[#This Row],[Year]],0),"")</f>
        <v>17</v>
      </c>
      <c r="F1807" s="456">
        <v>2008</v>
      </c>
      <c r="G1807" s="456">
        <v>1</v>
      </c>
      <c r="H1807" s="456">
        <v>30</v>
      </c>
    </row>
    <row r="1808" spans="1:8" ht="13.5" customHeight="1">
      <c r="A1808" s="471">
        <v>8804</v>
      </c>
      <c r="B1808" s="540" t="s">
        <v>5888</v>
      </c>
      <c r="C1808" s="485" t="s">
        <v>253</v>
      </c>
      <c r="D1808" s="456" t="str">
        <f>IF(Table11[[#This Row],[Current Age]]&gt;19,"Women's",IF(E1808&gt;15,"U19",IF(E1808&gt;13,"U15",IF(E1808&gt;11,"U13",IF(E1808&gt;0,"U11",0)))))</f>
        <v>U13</v>
      </c>
      <c r="E1808" s="456">
        <f>IFERROR(IF(Table11[[#This Row],[Year]]&gt;0,$E$1-Table11[[#This Row],[Year]],0),"")</f>
        <v>13</v>
      </c>
      <c r="F1808" s="456">
        <v>2012</v>
      </c>
      <c r="G1808" s="456">
        <v>12</v>
      </c>
      <c r="H1808" s="456">
        <v>20</v>
      </c>
    </row>
    <row r="1809" spans="1:14" ht="13.5" customHeight="1">
      <c r="A1809" s="456">
        <v>8805</v>
      </c>
      <c r="B1809" s="457" t="s">
        <v>5889</v>
      </c>
      <c r="C1809" s="456" t="s">
        <v>253</v>
      </c>
      <c r="D1809" s="456">
        <f>IF(Table11[[#This Row],[Current Age]]&gt;19,"Women's",IF(E1809&gt;15,"U19",IF(E1809&gt;13,"U15",IF(E1809&gt;11,"U13",IF(E1809&gt;0,"U11",0)))))</f>
        <v>0</v>
      </c>
      <c r="E1809" s="456">
        <f>IFERROR(IF(Table11[[#This Row],[Year]]&gt;0,$E$1-Table11[[#This Row],[Year]],0),"")</f>
        <v>0</v>
      </c>
      <c r="F1809" s="456"/>
      <c r="G1809" s="456"/>
      <c r="H1809" s="456"/>
    </row>
    <row r="1810" spans="1:14" ht="13.5" customHeight="1">
      <c r="A1810" s="471">
        <v>8806</v>
      </c>
      <c r="B1810" s="540" t="s">
        <v>5890</v>
      </c>
      <c r="C1810" s="456" t="s">
        <v>253</v>
      </c>
      <c r="D1810" s="456" t="str">
        <f>IF(Table11[[#This Row],[Current Age]]&gt;19,"Women's",IF(E1810&gt;15,"U19",IF(E1810&gt;13,"U15",IF(E1810&gt;11,"U13",IF(E1810&gt;0,"U11",0)))))</f>
        <v>Women's</v>
      </c>
      <c r="E1810" s="456">
        <f>IFERROR(IF(Table11[[#This Row],[Year]]&gt;0,$E$1-Table11[[#This Row],[Year]],0),"")</f>
        <v>36</v>
      </c>
      <c r="F1810" s="456">
        <v>1989</v>
      </c>
      <c r="G1810" s="456">
        <v>8</v>
      </c>
      <c r="H1810" s="456">
        <v>16</v>
      </c>
    </row>
    <row r="1811" spans="1:14" ht="13.5" customHeight="1">
      <c r="A1811" s="456">
        <v>8807</v>
      </c>
      <c r="B1811" s="457" t="s">
        <v>5891</v>
      </c>
      <c r="C1811" s="456" t="s">
        <v>253</v>
      </c>
      <c r="D1811" s="456" t="s">
        <v>4722</v>
      </c>
      <c r="E1811" s="456" t="s">
        <v>4722</v>
      </c>
      <c r="F1811" s="456" t="s">
        <v>4722</v>
      </c>
      <c r="G1811" s="456" t="s">
        <v>4722</v>
      </c>
      <c r="H1811" s="456"/>
    </row>
    <row r="1812" spans="1:14" ht="13.5" customHeight="1">
      <c r="A1812" s="471">
        <v>8808</v>
      </c>
      <c r="B1812" s="540" t="s">
        <v>6041</v>
      </c>
      <c r="C1812" s="456" t="s">
        <v>3346</v>
      </c>
      <c r="D1812" s="456">
        <f>IF(Table11[[#This Row],[Current Age]]&gt;19,"Women's",IF(E1812&gt;15,"U19",IF(E1812&gt;13,"U15",IF(E1812&gt;11,"U13",IF(E1812&gt;0,"U11",0)))))</f>
        <v>0</v>
      </c>
      <c r="E1812" s="456">
        <f>IFERROR(IF(Table11[[#This Row],[Year]]&gt;0,$E$1-Table11[[#This Row],[Year]],0),"")</f>
        <v>0</v>
      </c>
      <c r="F1812" s="456"/>
      <c r="G1812" s="456"/>
      <c r="H1812" s="456"/>
    </row>
    <row r="1813" spans="1:14" ht="13.5" customHeight="1">
      <c r="A1813" s="456">
        <v>8809</v>
      </c>
      <c r="B1813" s="459" t="s">
        <v>5908</v>
      </c>
      <c r="C1813" s="456" t="s">
        <v>244</v>
      </c>
      <c r="D1813" s="456" t="str">
        <f>IF(Table11[[#This Row],[Current Age]]&gt;19,"Women's",IF(E1813&gt;15,"U19",IF(E1813&gt;13,"U15",IF(E1813&gt;11,"U13",IF(E1813&gt;0,"U11",0)))))</f>
        <v>U15</v>
      </c>
      <c r="E1813" s="456">
        <f>IFERROR(IF(Table11[[#This Row],[Year]]&gt;0,$E$1-Table11[[#This Row],[Year]],0),"")</f>
        <v>14</v>
      </c>
      <c r="F1813" s="456">
        <v>2011</v>
      </c>
      <c r="G1813" s="456">
        <v>9</v>
      </c>
      <c r="H1813" s="456">
        <v>3</v>
      </c>
    </row>
    <row r="1814" spans="1:14" ht="13.5" customHeight="1">
      <c r="A1814" s="471">
        <v>8810</v>
      </c>
      <c r="B1814" s="541" t="s">
        <v>5909</v>
      </c>
      <c r="C1814" s="456" t="s">
        <v>244</v>
      </c>
      <c r="D1814" s="456" t="str">
        <f>IF(Table11[[#This Row],[Current Age]]&gt;19,"Women's",IF(E1814&gt;15,"U19",IF(E1814&gt;13,"U15",IF(E1814&gt;11,"U13",IF(E1814&gt;0,"U11",0)))))</f>
        <v>U15</v>
      </c>
      <c r="E1814" s="456">
        <f>IFERROR(IF(Table11[[#This Row],[Year]]&gt;0,$E$1-Table11[[#This Row],[Year]],0),"")</f>
        <v>15</v>
      </c>
      <c r="F1814" s="456">
        <v>2010</v>
      </c>
      <c r="G1814" s="456">
        <v>7</v>
      </c>
      <c r="H1814" s="456">
        <v>2</v>
      </c>
    </row>
    <row r="1815" spans="1:14" ht="13.5" customHeight="1">
      <c r="A1815" s="456">
        <v>8811</v>
      </c>
      <c r="B1815" s="459" t="s">
        <v>5910</v>
      </c>
      <c r="C1815" s="456" t="s">
        <v>244</v>
      </c>
      <c r="D1815" s="456" t="str">
        <f>IF(Table11[[#This Row],[Current Age]]&gt;19,"Women's",IF(E1815&gt;15,"U19",IF(E1815&gt;13,"U15",IF(E1815&gt;11,"U13",IF(E1815&gt;0,"U11",0)))))</f>
        <v>U15</v>
      </c>
      <c r="E1815" s="456">
        <f>IFERROR(IF(Table11[[#This Row],[Year]]&gt;0,$E$1-Table11[[#This Row],[Year]],0),"")</f>
        <v>14</v>
      </c>
      <c r="F1815" s="456">
        <v>2011</v>
      </c>
      <c r="G1815" s="456">
        <v>7</v>
      </c>
      <c r="H1815" s="456">
        <v>10</v>
      </c>
    </row>
    <row r="1816" spans="1:14" ht="13.5" customHeight="1">
      <c r="A1816" s="471">
        <v>8812</v>
      </c>
      <c r="B1816" s="541" t="s">
        <v>5911</v>
      </c>
      <c r="C1816" s="456" t="s">
        <v>244</v>
      </c>
      <c r="D1816" s="456">
        <f>IF(Table11[[#This Row],[Current Age]]&gt;19,"Women's",IF(E1816&gt;15,"U19",IF(E1816&gt;13,"U15",IF(E1816&gt;11,"U13",IF(E1816&gt;0,"U11",0)))))</f>
        <v>0</v>
      </c>
      <c r="E1816" s="456">
        <f>IFERROR(IF(Table11[[#This Row],[Year]]&gt;0,$E$1-Table11[[#This Row],[Year]],0),"")</f>
        <v>0</v>
      </c>
      <c r="F1816" s="456"/>
      <c r="G1816" s="456"/>
      <c r="H1816" s="456"/>
    </row>
    <row r="1817" spans="1:14" ht="13.5" customHeight="1">
      <c r="A1817" s="456">
        <v>8813</v>
      </c>
      <c r="B1817" s="457" t="s">
        <v>5914</v>
      </c>
      <c r="C1817" s="456" t="s">
        <v>253</v>
      </c>
      <c r="D1817" s="456" t="str">
        <f>IF(Table11[[#This Row],[Current Age]]&gt;19,"Women's",IF(E1817&gt;15,"U19",IF(E1817&gt;13,"U15",IF(E1817&gt;11,"U13",IF(E1817&gt;0,"U11",0)))))</f>
        <v>U19</v>
      </c>
      <c r="E1817" s="456">
        <f>IFERROR(IF(Table11[[#This Row],[Year]]&gt;0,$E$1-Table11[[#This Row],[Year]],0),"")</f>
        <v>19</v>
      </c>
      <c r="F1817" s="456">
        <v>2006</v>
      </c>
      <c r="G1817" s="456">
        <v>8</v>
      </c>
      <c r="H1817" s="457">
        <v>21</v>
      </c>
      <c r="I1817" s="1265"/>
      <c r="J1817" s="1265"/>
      <c r="K1817" s="1265"/>
      <c r="L1817" s="1265"/>
      <c r="M1817" s="460"/>
      <c r="N1817" s="461"/>
    </row>
    <row r="1818" spans="1:14" ht="13.5" customHeight="1">
      <c r="A1818" s="471">
        <v>8814</v>
      </c>
      <c r="B1818" s="540" t="s">
        <v>2641</v>
      </c>
      <c r="C1818" s="456" t="s">
        <v>1914</v>
      </c>
      <c r="D1818" s="456" t="str">
        <f>IF(Table11[[#This Row],[Current Age]]&gt;19,"Women's",IF(E1818&gt;15,"U19",IF(E1818&gt;13,"U15",IF(E1818&gt;11,"U13",IF(E1818&gt;0,"U11",0)))))</f>
        <v>U13</v>
      </c>
      <c r="E1818" s="456">
        <v>13</v>
      </c>
      <c r="F1818" s="456">
        <v>2012</v>
      </c>
      <c r="G1818" s="456">
        <v>12</v>
      </c>
      <c r="H1818" s="456">
        <v>28</v>
      </c>
      <c r="I1818" s="461"/>
      <c r="J1818" s="461"/>
      <c r="K1818" s="461"/>
      <c r="L1818" s="461"/>
      <c r="M1818" s="1258"/>
      <c r="N1818" s="1258"/>
    </row>
    <row r="1819" spans="1:14" ht="13.5" customHeight="1">
      <c r="A1819" s="456">
        <v>8815</v>
      </c>
      <c r="B1819" s="457" t="s">
        <v>5928</v>
      </c>
      <c r="C1819" s="456" t="s">
        <v>1914</v>
      </c>
      <c r="D1819" s="456" t="str">
        <f>IF(Table11[[#This Row],[Current Age]]&gt;19,"Women's",IF(E1819&gt;15,"U19",IF(E1819&gt;13,"U15",IF(E1819&gt;11,"U13",IF(E1819&gt;0,"U11",0)))))</f>
        <v>U19</v>
      </c>
      <c r="E1819" s="456">
        <f>IFERROR(IF(Table11[[#This Row],[Year]]&gt;0,$E$1-Table11[[#This Row],[Year]],0),"")</f>
        <v>17</v>
      </c>
      <c r="F1819" s="456">
        <v>2008</v>
      </c>
      <c r="G1819" s="456">
        <v>6</v>
      </c>
      <c r="H1819" s="456">
        <v>30</v>
      </c>
      <c r="I1819" s="462" t="s">
        <v>4722</v>
      </c>
      <c r="J1819" s="461"/>
      <c r="K1819" s="461"/>
      <c r="L1819" s="463"/>
      <c r="M1819" s="1258"/>
      <c r="N1819" s="1258"/>
    </row>
    <row r="1820" spans="1:14" ht="13.5" customHeight="1">
      <c r="A1820" s="471">
        <v>8816</v>
      </c>
      <c r="B1820" s="541" t="s">
        <v>5933</v>
      </c>
      <c r="C1820" s="456" t="s">
        <v>3750</v>
      </c>
      <c r="D1820" s="456" t="s">
        <v>5895</v>
      </c>
      <c r="E1820" s="456">
        <v>11</v>
      </c>
      <c r="F1820" s="456">
        <v>2014</v>
      </c>
      <c r="G1820" s="456">
        <v>4</v>
      </c>
      <c r="H1820" s="456">
        <v>6</v>
      </c>
      <c r="I1820" s="462"/>
      <c r="J1820" s="461"/>
      <c r="K1820" s="461"/>
      <c r="L1820" s="463"/>
      <c r="M1820" s="1258"/>
      <c r="N1820" s="1258"/>
    </row>
    <row r="1821" spans="1:14" ht="13.5" customHeight="1">
      <c r="A1821" s="456">
        <v>8817</v>
      </c>
      <c r="B1821" s="459" t="s">
        <v>5927</v>
      </c>
      <c r="C1821" s="456" t="s">
        <v>1914</v>
      </c>
      <c r="D1821" s="456" t="str">
        <f>IF(Table11[[#This Row],[Current Age]]&gt;19,"Women's",IF(E1821&gt;15,"U19",IF(E1821&gt;13,"U15",IF(E1821&gt;11,"U13",IF(E1821&gt;0,"U11",0)))))</f>
        <v>Women's</v>
      </c>
      <c r="E1821" s="456">
        <f>IFERROR(IF(Table11[[#This Row],[Year]]&gt;0,$E$1-Table11[[#This Row],[Year]],0),"")</f>
        <v>26</v>
      </c>
      <c r="F1821" s="456">
        <v>1999</v>
      </c>
      <c r="G1821" s="456">
        <v>4</v>
      </c>
      <c r="H1821" s="456">
        <v>2</v>
      </c>
      <c r="I1821" s="462"/>
      <c r="J1821" s="461"/>
      <c r="K1821" s="461"/>
      <c r="L1821" s="463"/>
      <c r="M1821" s="1258"/>
      <c r="N1821" s="1258"/>
    </row>
    <row r="1822" spans="1:14" ht="13.5" customHeight="1">
      <c r="A1822" s="471">
        <v>8818</v>
      </c>
      <c r="B1822" s="541" t="s">
        <v>6027</v>
      </c>
      <c r="C1822" s="485" t="s">
        <v>5959</v>
      </c>
      <c r="D1822" s="456" t="str">
        <f>IF(Table11[[#This Row],[Current Age]]&gt;19,"Women's",IF(E1822&gt;15,"U19",IF(E1822&gt;13,"U15",IF(E1822&gt;11,"U13",IF(E1822&gt;0,"U11",0)))))</f>
        <v>Women's</v>
      </c>
      <c r="E1822" s="456">
        <f>IFERROR(IF(Table11[[#This Row],[Year]]&gt;0,$E$1-Table11[[#This Row],[Year]],0),"")</f>
        <v>26</v>
      </c>
      <c r="F1822" s="456">
        <v>1999</v>
      </c>
      <c r="G1822" s="456">
        <v>2</v>
      </c>
      <c r="H1822" s="456">
        <v>2</v>
      </c>
      <c r="I1822" s="462"/>
      <c r="J1822" s="461"/>
      <c r="K1822" s="461"/>
      <c r="L1822" s="463"/>
      <c r="M1822" s="1258"/>
      <c r="N1822" s="1258"/>
    </row>
    <row r="1823" spans="1:14" ht="13.5" customHeight="1">
      <c r="A1823" s="456">
        <v>8819</v>
      </c>
      <c r="B1823" s="457" t="s">
        <v>5700</v>
      </c>
      <c r="C1823" s="485" t="s">
        <v>5957</v>
      </c>
      <c r="D1823" s="456" t="str">
        <f>IF(Table11[[#This Row],[Current Age]]&gt;19,"Women's",IF(E1823&gt;15,"U19",IF(E1823&gt;13,"U15",IF(E1823&gt;11,"U13",IF(E1823&gt;0,"U11",0)))))</f>
        <v>U13</v>
      </c>
      <c r="E1823" s="456">
        <f>IFERROR(IF(Table11[[#This Row],[Year]]&gt;0,$E$1-Table11[[#This Row],[Year]],0),"")</f>
        <v>12</v>
      </c>
      <c r="F1823" s="456">
        <v>2013</v>
      </c>
      <c r="G1823" s="456">
        <v>5</v>
      </c>
      <c r="H1823" s="456">
        <v>25</v>
      </c>
      <c r="I1823" s="462"/>
      <c r="J1823" s="461"/>
      <c r="K1823" s="461"/>
      <c r="L1823" s="463"/>
      <c r="M1823" s="1258"/>
      <c r="N1823" s="1258"/>
    </row>
    <row r="1824" spans="1:14" ht="13.5" customHeight="1">
      <c r="A1824" s="471">
        <v>8820</v>
      </c>
      <c r="B1824" s="540" t="s">
        <v>5701</v>
      </c>
      <c r="C1824" s="485" t="s">
        <v>5957</v>
      </c>
      <c r="D1824" s="456" t="str">
        <f>IF(Table11[[#This Row],[Current Age]]&gt;19,"Women's",IF(E1824&gt;15,"U19",IF(E1824&gt;13,"U15",IF(E1824&gt;11,"U13",IF(E1824&gt;0,"U11",0)))))</f>
        <v>U13</v>
      </c>
      <c r="E1824" s="456">
        <f>IFERROR(IF(Table11[[#This Row],[Year]]&gt;0,$E$1-Table11[[#This Row],[Year]],0),"")</f>
        <v>13</v>
      </c>
      <c r="F1824" s="456">
        <v>2012</v>
      </c>
      <c r="G1824" s="456">
        <v>12</v>
      </c>
      <c r="H1824" s="456">
        <v>30</v>
      </c>
    </row>
    <row r="1825" spans="1:8" ht="13.5" customHeight="1">
      <c r="A1825" s="456">
        <v>8821</v>
      </c>
      <c r="B1825" s="562" t="s">
        <v>4146</v>
      </c>
      <c r="C1825" s="456" t="s">
        <v>5957</v>
      </c>
      <c r="D1825" s="456" t="str">
        <f>IF(Table10[[#This Row],[Current Age]]&gt;19,"Men's",IF(E1825&gt;15,"U19",IF(E1825&gt;13,"U15",IF(E1825&gt;11,"U13",IF(E1825&gt;0,"U11",0)))))</f>
        <v>U11</v>
      </c>
      <c r="E1825" s="456">
        <f>IFERROR(IF(Table11[[#This Row],[Year]]&gt;0,$E$1-Table11[[#This Row],[Year]],0),"")</f>
        <v>11</v>
      </c>
      <c r="F1825" s="456">
        <v>2014</v>
      </c>
      <c r="G1825" s="456">
        <v>1</v>
      </c>
      <c r="H1825" s="456">
        <v>17</v>
      </c>
    </row>
    <row r="1826" spans="1:8" ht="13.5" customHeight="1">
      <c r="A1826" s="471">
        <v>8822</v>
      </c>
      <c r="B1826" s="493" t="s">
        <v>5894</v>
      </c>
      <c r="C1826" s="456" t="s">
        <v>244</v>
      </c>
      <c r="D1826" s="456" t="str">
        <f>IF(Table11[[#This Row],[Current Age]]&gt;19,"Women's",IF(E1826&gt;15,"U19",IF(E1826&gt;13,"U15",IF(E1826&gt;11,"U13",IF(E1826&gt;0,"U11",0)))))</f>
        <v>U15</v>
      </c>
      <c r="E1826" s="456">
        <f>IFERROR(IF(Table11[[#This Row],[Year]]&gt;0,$E$1-Table11[[#This Row],[Year]],0),"")</f>
        <v>14</v>
      </c>
      <c r="F1826" s="456">
        <v>2011</v>
      </c>
      <c r="G1826" s="456">
        <v>8</v>
      </c>
      <c r="H1826" s="456">
        <v>15</v>
      </c>
    </row>
    <row r="1827" spans="1:8" ht="13.5" customHeight="1">
      <c r="A1827" s="456">
        <v>8823</v>
      </c>
      <c r="B1827" s="457" t="s">
        <v>5982</v>
      </c>
      <c r="C1827" s="456" t="s">
        <v>5805</v>
      </c>
      <c r="D1827" s="456" t="str">
        <f>IF(Table11[[#This Row],[Current Age]]&gt;19,"Women's",IF(E1827&gt;15,"U19",IF(E1827&gt;13,"U15",IF(E1827&gt;11,"U13",IF(E1827&gt;0,"U11",0)))))</f>
        <v>Women's</v>
      </c>
      <c r="E1827" s="456">
        <f>IFERROR(IF(Table11[[#This Row],[Year]]&gt;0,$E$1-Table11[[#This Row],[Year]],0),"")</f>
        <v>49</v>
      </c>
      <c r="F1827" s="456">
        <v>1976</v>
      </c>
      <c r="G1827" s="456">
        <v>7</v>
      </c>
      <c r="H1827" s="456">
        <v>23</v>
      </c>
    </row>
    <row r="1828" spans="1:8" ht="13.5" customHeight="1">
      <c r="A1828" s="471">
        <v>8824</v>
      </c>
      <c r="B1828" s="541" t="s">
        <v>5948</v>
      </c>
      <c r="C1828" s="456" t="s">
        <v>243</v>
      </c>
      <c r="D1828" s="456">
        <f>IF(Table11[[#This Row],[Current Age]]&gt;19,"Women's",IF(E1828&gt;15,"U19",IF(E1828&gt;13,"U15",IF(E1828&gt;11,"U13",IF(E1828&gt;0,"U11",0)))))</f>
        <v>0</v>
      </c>
      <c r="E1828" s="456">
        <f>IFERROR(IF(Table11[[#This Row],[Year]]&gt;0,$E$1-Table11[[#This Row],[Year]],0),"")</f>
        <v>0</v>
      </c>
      <c r="F1828" s="456"/>
      <c r="G1828" s="456"/>
      <c r="H1828" s="456"/>
    </row>
    <row r="1829" spans="1:8" ht="13.5" customHeight="1">
      <c r="A1829" s="456">
        <v>8825</v>
      </c>
      <c r="B1829" s="457" t="s">
        <v>6014</v>
      </c>
      <c r="C1829" s="456" t="s">
        <v>3213</v>
      </c>
      <c r="D1829" s="456" t="str">
        <f>IF(Table11[[#This Row],[Current Age]]&gt;19,"Women's",IF(E1829&gt;15,"U19",IF(E1829&gt;13,"U15",IF(E1829&gt;11,"U13",IF(E1829&gt;0,"U11",0)))))</f>
        <v>U15</v>
      </c>
      <c r="E1829" s="456">
        <f>IFERROR(IF(Table11[[#This Row],[Year]]&gt;0,$E$1-Table11[[#This Row],[Year]],0),"")</f>
        <v>15</v>
      </c>
      <c r="F1829" s="456">
        <v>2010</v>
      </c>
      <c r="G1829" s="456">
        <v>5</v>
      </c>
      <c r="H1829" s="456">
        <v>12</v>
      </c>
    </row>
    <row r="1830" spans="1:8" ht="13.5" customHeight="1">
      <c r="A1830" s="471">
        <v>8826</v>
      </c>
      <c r="B1830" s="540" t="s">
        <v>6015</v>
      </c>
      <c r="C1830" s="456" t="s">
        <v>3213</v>
      </c>
      <c r="D1830" s="456" t="str">
        <f>IF(Table11[[#This Row],[Current Age]]&gt;19,"Women's",IF(E1830&gt;15,"U19",IF(E1830&gt;13,"U15",IF(E1830&gt;11,"U13",IF(E1830&gt;0,"U11",0)))))</f>
        <v>U15</v>
      </c>
      <c r="E1830" s="456">
        <f>IFERROR(IF(Table11[[#This Row],[Year]]&gt;0,$E$1-Table11[[#This Row],[Year]],0),"")</f>
        <v>14</v>
      </c>
      <c r="F1830" s="456">
        <v>2011</v>
      </c>
      <c r="G1830" s="456">
        <v>6</v>
      </c>
      <c r="H1830" s="456">
        <v>8</v>
      </c>
    </row>
    <row r="1831" spans="1:8" ht="13.5" customHeight="1">
      <c r="A1831" s="456">
        <v>8827</v>
      </c>
      <c r="B1831" s="457" t="s">
        <v>6016</v>
      </c>
      <c r="C1831" s="456" t="s">
        <v>3213</v>
      </c>
      <c r="D1831" s="456" t="str">
        <f>IF(Table11[[#This Row],[Current Age]]&gt;19,"Women's",IF(E1831&gt;15,"U19",IF(E1831&gt;13,"U15",IF(E1831&gt;11,"U13",IF(E1831&gt;0,"U11",0)))))</f>
        <v>U19</v>
      </c>
      <c r="E1831" s="456">
        <f>IFERROR(IF(Table11[[#This Row],[Year]]&gt;0,$E$1-Table11[[#This Row],[Year]],0),"")</f>
        <v>18</v>
      </c>
      <c r="F1831" s="456">
        <v>2007</v>
      </c>
      <c r="G1831" s="456">
        <v>6</v>
      </c>
      <c r="H1831" s="456">
        <v>3</v>
      </c>
    </row>
    <row r="1832" spans="1:8" ht="13.5" customHeight="1">
      <c r="A1832" s="471">
        <v>8828</v>
      </c>
      <c r="B1832" s="540" t="s">
        <v>6017</v>
      </c>
      <c r="C1832" s="456" t="s">
        <v>3213</v>
      </c>
      <c r="D1832" s="456" t="str">
        <f>IF(Table11[[#This Row],[Current Age]]&gt;19,"Women's",IF(E1832&gt;15,"U19",IF(E1832&gt;13,"U15",IF(E1832&gt;11,"U13",IF(E1832&gt;0,"U11",0)))))</f>
        <v>U11</v>
      </c>
      <c r="E1832" s="456">
        <f>IFERROR(IF(Table11[[#This Row],[Year]]&gt;0,$E$1-Table11[[#This Row],[Year]],0),"")</f>
        <v>11</v>
      </c>
      <c r="F1832" s="456">
        <v>2014</v>
      </c>
      <c r="G1832" s="456">
        <v>7</v>
      </c>
      <c r="H1832" s="456">
        <v>22</v>
      </c>
    </row>
    <row r="1833" spans="1:8" ht="13.5" customHeight="1">
      <c r="A1833" s="456">
        <v>8829</v>
      </c>
      <c r="B1833" s="457" t="s">
        <v>6018</v>
      </c>
      <c r="C1833" s="456" t="s">
        <v>3213</v>
      </c>
      <c r="D1833" s="456" t="str">
        <f>IF(Table11[[#This Row],[Current Age]]&gt;19,"Women's",IF(E1833&gt;15,"U19",IF(E1833&gt;13,"U15",IF(E1833&gt;11,"U13",IF(E1833&gt;0,"U11",0)))))</f>
        <v>U15</v>
      </c>
      <c r="E1833" s="456">
        <f>IFERROR(IF(Table11[[#This Row],[Year]]&gt;0,$E$1-Table11[[#This Row],[Year]],0),"")</f>
        <v>14</v>
      </c>
      <c r="F1833" s="456">
        <v>2011</v>
      </c>
      <c r="G1833" s="456">
        <v>11</v>
      </c>
      <c r="H1833" s="456">
        <v>11</v>
      </c>
    </row>
    <row r="1834" spans="1:8" ht="13.5" customHeight="1">
      <c r="A1834" s="471">
        <v>8830</v>
      </c>
      <c r="B1834" s="540" t="s">
        <v>6019</v>
      </c>
      <c r="C1834" s="456" t="s">
        <v>3213</v>
      </c>
      <c r="D1834" s="456" t="str">
        <f>IF(Table11[[#This Row],[Current Age]]&gt;19,"Women's",IF(E1834&gt;15,"U19",IF(E1834&gt;13,"U15",IF(E1834&gt;11,"U13",IF(E1834&gt;0,"U11",0)))))</f>
        <v>U15</v>
      </c>
      <c r="E1834" s="456">
        <f>IFERROR(IF(Table11[[#This Row],[Year]]&gt;0,$E$1-Table11[[#This Row],[Year]],0),"")</f>
        <v>14</v>
      </c>
      <c r="F1834" s="456">
        <v>2011</v>
      </c>
      <c r="G1834" s="456">
        <v>10</v>
      </c>
      <c r="H1834" s="456">
        <v>6</v>
      </c>
    </row>
    <row r="1835" spans="1:8" ht="13.5" customHeight="1">
      <c r="A1835" s="456">
        <v>8831</v>
      </c>
      <c r="B1835" s="457" t="s">
        <v>6020</v>
      </c>
      <c r="C1835" s="456" t="s">
        <v>3213</v>
      </c>
      <c r="D1835" s="456" t="str">
        <f>IF(Table11[[#This Row],[Current Age]]&gt;19,"Women's",IF(E1835&gt;15,"U19",IF(E1835&gt;13,"U15",IF(E1835&gt;11,"U13",IF(E1835&gt;0,"U11",0)))))</f>
        <v>U19</v>
      </c>
      <c r="E1835" s="456">
        <f>IFERROR(IF(Table11[[#This Row],[Year]]&gt;0,$E$1-Table11[[#This Row],[Year]],0),"")</f>
        <v>17</v>
      </c>
      <c r="F1835" s="456">
        <v>2008</v>
      </c>
      <c r="G1835" s="456">
        <v>5</v>
      </c>
      <c r="H1835" s="456">
        <v>28</v>
      </c>
    </row>
    <row r="1836" spans="1:8" ht="13.5" customHeight="1">
      <c r="A1836" s="471">
        <v>8832</v>
      </c>
      <c r="B1836" s="540" t="s">
        <v>6021</v>
      </c>
      <c r="C1836" s="456" t="s">
        <v>3213</v>
      </c>
      <c r="D1836" s="456" t="str">
        <f>IF(Table11[[#This Row],[Current Age]]&gt;19,"Women's",IF(E1836&gt;15,"U19",IF(E1836&gt;13,"U15",IF(E1836&gt;11,"U13",IF(E1836&gt;0,"U11",0)))))</f>
        <v>U11</v>
      </c>
      <c r="E1836" s="456">
        <f>IFERROR(IF(Table11[[#This Row],[Year]]&gt;0,$E$1-Table11[[#This Row],[Year]],0),"")</f>
        <v>11</v>
      </c>
      <c r="F1836" s="456">
        <v>2014</v>
      </c>
      <c r="G1836" s="456">
        <v>11</v>
      </c>
      <c r="H1836" s="456">
        <v>30</v>
      </c>
    </row>
    <row r="1837" spans="1:8" ht="13.5" customHeight="1">
      <c r="A1837" s="456">
        <v>8833</v>
      </c>
      <c r="B1837" s="457" t="s">
        <v>6022</v>
      </c>
      <c r="C1837" s="456" t="s">
        <v>3213</v>
      </c>
      <c r="D1837" s="456" t="str">
        <f>IF(Table11[[#This Row],[Current Age]]&gt;19,"Women's",IF(E1837&gt;15,"U19",IF(E1837&gt;13,"U15",IF(E1837&gt;11,"U13",IF(E1837&gt;0,"U11",0)))))</f>
        <v>U11</v>
      </c>
      <c r="E1837" s="456">
        <f>IFERROR(IF(Table11[[#This Row],[Year]]&gt;0,$E$1-Table11[[#This Row],[Year]],0),"")</f>
        <v>11</v>
      </c>
      <c r="F1837" s="456">
        <v>2014</v>
      </c>
      <c r="G1837" s="456">
        <v>12</v>
      </c>
      <c r="H1837" s="456">
        <v>30</v>
      </c>
    </row>
    <row r="1838" spans="1:8" ht="13.5" customHeight="1">
      <c r="A1838" s="471">
        <v>8834</v>
      </c>
      <c r="B1838" s="540" t="s">
        <v>6023</v>
      </c>
      <c r="C1838" s="456" t="s">
        <v>3213</v>
      </c>
      <c r="D1838" s="456" t="str">
        <f>IF(Table11[[#This Row],[Current Age]]&gt;19,"Women's",IF(E1838&gt;15,"U19",IF(E1838&gt;13,"U15",IF(E1838&gt;11,"U13",IF(E1838&gt;0,"U11",0)))))</f>
        <v>U11</v>
      </c>
      <c r="E1838" s="456">
        <f>IFERROR(IF(Table11[[#This Row],[Year]]&gt;0,$E$1-Table11[[#This Row],[Year]],0),"")</f>
        <v>11</v>
      </c>
      <c r="F1838" s="456">
        <v>2014</v>
      </c>
      <c r="G1838" s="456">
        <v>11</v>
      </c>
      <c r="H1838" s="456">
        <v>8</v>
      </c>
    </row>
    <row r="1839" spans="1:8" ht="13.5" customHeight="1">
      <c r="A1839" s="456">
        <v>8835</v>
      </c>
      <c r="B1839" s="457" t="s">
        <v>6024</v>
      </c>
      <c r="C1839" s="456" t="s">
        <v>3213</v>
      </c>
      <c r="D1839" s="456" t="str">
        <f>IF(Table11[[#This Row],[Current Age]]&gt;19,"Women's",IF(E1839&gt;15,"U19",IF(E1839&gt;13,"U15",IF(E1839&gt;11,"U13",IF(E1839&gt;0,"U11",0)))))</f>
        <v>U11</v>
      </c>
      <c r="E1839" s="456">
        <f>IFERROR(IF(Table11[[#This Row],[Year]]&gt;0,$E$1-Table11[[#This Row],[Year]],0),"")</f>
        <v>11</v>
      </c>
      <c r="F1839" s="456">
        <v>2014</v>
      </c>
      <c r="G1839" s="456">
        <v>11</v>
      </c>
      <c r="H1839" s="456">
        <v>6</v>
      </c>
    </row>
    <row r="1840" spans="1:8" ht="13.5" customHeight="1">
      <c r="A1840" s="471">
        <v>8836</v>
      </c>
      <c r="B1840" s="540" t="s">
        <v>6047</v>
      </c>
      <c r="C1840" s="456" t="s">
        <v>4720</v>
      </c>
      <c r="D1840" s="456">
        <f>IF(Table11[[#This Row],[Current Age]]&gt;19,"Women's",IF(E1840&gt;15,"U19",IF(E1840&gt;13,"U15",IF(E1840&gt;11,"U13",IF(E1840&gt;0,"U11",0)))))</f>
        <v>0</v>
      </c>
      <c r="E1840" s="456">
        <f>IFERROR(IF(Table11[[#This Row],[Year]]&gt;0,$E$1-Table11[[#This Row],[Year]],0),"")</f>
        <v>0</v>
      </c>
      <c r="F1840" s="456"/>
      <c r="G1840" s="456"/>
      <c r="H1840" s="456"/>
    </row>
    <row r="1841" spans="1:8" ht="13.5" customHeight="1">
      <c r="A1841" s="456">
        <v>8837</v>
      </c>
      <c r="B1841" s="457" t="s">
        <v>6048</v>
      </c>
      <c r="C1841" s="456" t="s">
        <v>4658</v>
      </c>
      <c r="D1841" s="456">
        <f>IF(Table11[[#This Row],[Current Age]]&gt;19,"Women's",IF(E1841&gt;15,"U19",IF(E1841&gt;13,"U15",IF(E1841&gt;11,"U13",IF(E1841&gt;0,"U11",0)))))</f>
        <v>0</v>
      </c>
      <c r="E1841" s="456">
        <f>IFERROR(IF(Table11[[#This Row],[Year]]&gt;0,$E$1-Table11[[#This Row],[Year]],0),"")</f>
        <v>0</v>
      </c>
      <c r="F1841" s="456"/>
      <c r="G1841" s="456"/>
      <c r="H1841" s="456"/>
    </row>
    <row r="1842" spans="1:8" ht="13.5" customHeight="1">
      <c r="A1842" s="471">
        <v>8838</v>
      </c>
      <c r="B1842" s="540" t="s">
        <v>6051</v>
      </c>
      <c r="C1842" s="456" t="s">
        <v>3346</v>
      </c>
      <c r="D1842" s="456">
        <f>IF(Table11[[#This Row],[Current Age]]&gt;19,"Women's",IF(E1842&gt;15,"U19",IF(E1842&gt;13,"U15",IF(E1842&gt;11,"U13",IF(E1842&gt;0,"U11",0)))))</f>
        <v>0</v>
      </c>
      <c r="E1842" s="456">
        <f>IFERROR(IF(Table11[[#This Row],[Year]]&gt;0,$E$1-Table11[[#This Row],[Year]],0),"")</f>
        <v>0</v>
      </c>
      <c r="F1842" s="456"/>
      <c r="G1842" s="456"/>
      <c r="H1842" s="456"/>
    </row>
    <row r="1843" spans="1:8" ht="13.5" customHeight="1">
      <c r="A1843" s="456">
        <v>8839</v>
      </c>
      <c r="B1843" s="457" t="s">
        <v>6055</v>
      </c>
      <c r="C1843" s="456" t="s">
        <v>4152</v>
      </c>
      <c r="D1843" s="456">
        <f>IF(Table11[[#This Row],[Current Age]]&gt;19,"Women's",IF(E1843&gt;15,"U19",IF(E1843&gt;13,"U15",IF(E1843&gt;11,"U13",IF(E1843&gt;0,"U11",0)))))</f>
        <v>0</v>
      </c>
      <c r="E1843" s="456">
        <f>IFERROR(IF(Table11[[#This Row],[Year]]&gt;0,$E$1-Table11[[#This Row],[Year]],0),"")</f>
        <v>0</v>
      </c>
      <c r="F1843" s="456"/>
      <c r="G1843" s="456"/>
      <c r="H1843" s="456"/>
    </row>
    <row r="1844" spans="1:8" ht="13.5" customHeight="1">
      <c r="A1844" s="471">
        <v>8840</v>
      </c>
      <c r="B1844" s="540" t="s">
        <v>6056</v>
      </c>
      <c r="C1844" s="471" t="s">
        <v>4152</v>
      </c>
      <c r="D1844" s="456">
        <f>IF(Table11[[#This Row],[Current Age]]&gt;19,"Women's",IF(E1844&gt;15,"U19",IF(E1844&gt;13,"U15",IF(E1844&gt;11,"U13",IF(E1844&gt;0,"U11",0)))))</f>
        <v>0</v>
      </c>
      <c r="E1844" s="456">
        <f>IFERROR(IF(Table11[[#This Row],[Year]]&gt;0,$E$1-Table11[[#This Row],[Year]],0),"")</f>
        <v>0</v>
      </c>
      <c r="F1844" s="456"/>
      <c r="G1844" s="456"/>
      <c r="H1844" s="456"/>
    </row>
    <row r="1845" spans="1:8" ht="13.5" customHeight="1">
      <c r="A1845" s="456">
        <v>8841</v>
      </c>
      <c r="B1845" s="457" t="s">
        <v>6058</v>
      </c>
      <c r="C1845" s="456" t="s">
        <v>4152</v>
      </c>
      <c r="D1845" s="456">
        <f>IF(Table11[[#This Row],[Current Age]]&gt;19,"Women's",IF(E1845&gt;15,"U19",IF(E1845&gt;13,"U15",IF(E1845&gt;11,"U13",IF(E1845&gt;0,"U11",0)))))</f>
        <v>0</v>
      </c>
      <c r="E1845" s="456">
        <f>IFERROR(IF(Table11[[#This Row],[Year]]&gt;0,$E$1-Table11[[#This Row],[Year]],0),"")</f>
        <v>0</v>
      </c>
      <c r="F1845" s="456"/>
      <c r="G1845" s="456"/>
      <c r="H1845" s="456"/>
    </row>
    <row r="1846" spans="1:8" ht="13.5" customHeight="1">
      <c r="A1846" s="471">
        <v>8842</v>
      </c>
      <c r="B1846" s="540" t="s">
        <v>6059</v>
      </c>
      <c r="C1846" s="471" t="s">
        <v>3750</v>
      </c>
      <c r="D1846" s="456">
        <f>IF(Table11[[#This Row],[Current Age]]&gt;19,"Women's",IF(E1846&gt;15,"U19",IF(E1846&gt;13,"U15",IF(E1846&gt;11,"U13",IF(E1846&gt;0,"U11",0)))))</f>
        <v>0</v>
      </c>
      <c r="E1846" s="456">
        <f>IFERROR(IF(Table11[[#This Row],[Year]]&gt;0,$E$1-Table11[[#This Row],[Year]],0),"")</f>
        <v>0</v>
      </c>
      <c r="F1846" s="456"/>
      <c r="G1846" s="456"/>
      <c r="H1846" s="456"/>
    </row>
    <row r="1847" spans="1:8" ht="13.5" customHeight="1">
      <c r="A1847" s="456">
        <v>8843</v>
      </c>
      <c r="B1847" s="457" t="s">
        <v>6097</v>
      </c>
      <c r="C1847" s="456" t="s">
        <v>248</v>
      </c>
      <c r="D1847" s="456">
        <f>IF(Table11[[#This Row],[Current Age]]&gt;19,"Women's",IF(E1847&gt;15,"U19",IF(E1847&gt;13,"U15",IF(E1847&gt;11,"U13",IF(E1847&gt;0,"U11",0)))))</f>
        <v>0</v>
      </c>
      <c r="E1847" s="456">
        <f>IFERROR(IF(Table11[[#This Row],[Year]]&gt;0,$E$1-Table11[[#This Row],[Year]],0),"")</f>
        <v>0</v>
      </c>
      <c r="F1847" s="456"/>
      <c r="G1847" s="456"/>
      <c r="H1847" s="456"/>
    </row>
    <row r="1848" spans="1:8" ht="13.5" customHeight="1">
      <c r="A1848" s="471">
        <v>8844</v>
      </c>
      <c r="B1848" s="540" t="s">
        <v>6098</v>
      </c>
      <c r="C1848" s="471" t="s">
        <v>248</v>
      </c>
      <c r="D1848" s="456">
        <f>IF(Table11[[#This Row],[Current Age]]&gt;19,"Women's",IF(E1848&gt;15,"U19",IF(E1848&gt;13,"U15",IF(E1848&gt;11,"U13",IF(E1848&gt;0,"U11",0)))))</f>
        <v>0</v>
      </c>
      <c r="E1848" s="456">
        <f>IFERROR(IF(Table11[[#This Row],[Year]]&gt;0,$E$1-Table11[[#This Row],[Year]],0),"")</f>
        <v>0</v>
      </c>
      <c r="F1848" s="456"/>
      <c r="G1848" s="456"/>
      <c r="H1848" s="456"/>
    </row>
    <row r="1849" spans="1:8" ht="13.5" customHeight="1">
      <c r="A1849" s="456">
        <v>8845</v>
      </c>
      <c r="B1849" s="457" t="s">
        <v>6099</v>
      </c>
      <c r="C1849" s="456" t="s">
        <v>6100</v>
      </c>
      <c r="D1849" s="456">
        <f>IF(Table11[[#This Row],[Current Age]]&gt;19,"Women's",IF(E1849&gt;15,"U19",IF(E1849&gt;13,"U15",IF(E1849&gt;11,"U13",IF(E1849&gt;0,"U11",0)))))</f>
        <v>0</v>
      </c>
      <c r="E1849" s="456">
        <f>IFERROR(IF(Table11[[#This Row],[Year]]&gt;0,$E$1-Table11[[#This Row],[Year]],0),"")</f>
        <v>0</v>
      </c>
      <c r="F1849" s="456"/>
      <c r="G1849" s="456"/>
      <c r="H1849" s="456"/>
    </row>
    <row r="1850" spans="1:8" ht="13.5" customHeight="1">
      <c r="A1850" s="471">
        <v>8846</v>
      </c>
      <c r="B1850" s="540" t="s">
        <v>6101</v>
      </c>
      <c r="C1850" s="471" t="s">
        <v>3213</v>
      </c>
      <c r="D1850" s="456">
        <f>IF(Table11[[#This Row],[Current Age]]&gt;19,"Women's",IF(E1850&gt;15,"U19",IF(E1850&gt;13,"U15",IF(E1850&gt;11,"U13",IF(E1850&gt;0,"U11",0)))))</f>
        <v>0</v>
      </c>
      <c r="E1850" s="456">
        <f>IFERROR(IF(Table11[[#This Row],[Year]]&gt;0,$E$1-Table11[[#This Row],[Year]],0),"")</f>
        <v>0</v>
      </c>
      <c r="F1850" s="456"/>
      <c r="G1850" s="456"/>
      <c r="H1850" s="456"/>
    </row>
    <row r="1851" spans="1:8" ht="13.5" customHeight="1">
      <c r="A1851" s="456">
        <v>8847</v>
      </c>
      <c r="B1851" s="457" t="s">
        <v>6035</v>
      </c>
      <c r="C1851" s="456" t="s">
        <v>248</v>
      </c>
      <c r="D1851" s="456">
        <f>IF(Table11[[#This Row],[Current Age]]&gt;19,"Women's",IF(E1851&gt;15,"U19",IF(E1851&gt;13,"U15",IF(E1851&gt;11,"U13",IF(E1851&gt;0,"U11",0)))))</f>
        <v>0</v>
      </c>
      <c r="E1851" s="456">
        <f>IFERROR(IF(Table11[[#This Row],[Year]]&gt;0,$E$1-Table11[[#This Row],[Year]],0),"")</f>
        <v>0</v>
      </c>
      <c r="F1851" s="456"/>
      <c r="G1851" s="456"/>
      <c r="H1851" s="456"/>
    </row>
    <row r="1852" spans="1:8" ht="13.5" customHeight="1">
      <c r="A1852" s="471">
        <v>8848</v>
      </c>
      <c r="B1852" s="600" t="s">
        <v>6036</v>
      </c>
      <c r="C1852" s="599" t="s">
        <v>248</v>
      </c>
      <c r="D1852" s="456">
        <f>IF(Table11[[#This Row],[Current Age]]&gt;19,"Women's",IF(E1852&gt;15,"U19",IF(E1852&gt;13,"U15",IF(E1852&gt;11,"U13",IF(E1852&gt;0,"U11",0)))))</f>
        <v>0</v>
      </c>
      <c r="E1852" s="456">
        <f>IFERROR(IF(Table11[[#This Row],[Year]]&gt;0,$E$1-Table11[[#This Row],[Year]],0),"")</f>
        <v>0</v>
      </c>
      <c r="F1852" s="456"/>
      <c r="G1852" s="456"/>
      <c r="H1852" s="456"/>
    </row>
    <row r="1853" spans="1:8" ht="13.5" customHeight="1">
      <c r="A1853" s="456">
        <v>8849</v>
      </c>
      <c r="B1853" s="598" t="s">
        <v>6037</v>
      </c>
      <c r="C1853" s="597" t="s">
        <v>248</v>
      </c>
      <c r="D1853" s="456">
        <f>IF(Table11[[#This Row],[Current Age]]&gt;19,"Women's",IF(E1853&gt;15,"U19",IF(E1853&gt;13,"U15",IF(E1853&gt;11,"U13",IF(E1853&gt;0,"U11",0)))))</f>
        <v>0</v>
      </c>
      <c r="E1853" s="456">
        <f>IFERROR(IF(Table11[[#This Row],[Year]]&gt;0,$E$1-Table11[[#This Row],[Year]],0),"")</f>
        <v>0</v>
      </c>
      <c r="F1853" s="456"/>
      <c r="G1853" s="456"/>
      <c r="H1853" s="456"/>
    </row>
    <row r="1854" spans="1:8" ht="13.5" customHeight="1">
      <c r="A1854" s="471">
        <v>8850</v>
      </c>
      <c r="B1854" s="540" t="s">
        <v>6103</v>
      </c>
      <c r="C1854" s="471" t="s">
        <v>3750</v>
      </c>
      <c r="D1854" s="456">
        <f>IF(Table11[[#This Row],[Current Age]]&gt;19,"Women's",IF(E1854&gt;15,"U19",IF(E1854&gt;13,"U15",IF(E1854&gt;11,"U13",IF(E1854&gt;0,"U11",0)))))</f>
        <v>0</v>
      </c>
      <c r="E1854" s="456">
        <f>IFERROR(IF(Table11[[#This Row],[Year]]&gt;0,$E$1-Table11[[#This Row],[Year]],0),"")</f>
        <v>0</v>
      </c>
      <c r="F1854" s="456"/>
      <c r="G1854" s="456"/>
      <c r="H1854" s="456"/>
    </row>
    <row r="1855" spans="1:8" ht="13.5" customHeight="1">
      <c r="A1855" s="456">
        <v>8851</v>
      </c>
      <c r="B1855" s="457" t="s">
        <v>6113</v>
      </c>
      <c r="C1855" s="456" t="s">
        <v>3750</v>
      </c>
      <c r="D1855" s="456">
        <f>IF(Table11[[#This Row],[Current Age]]&gt;19,"Women's",IF(E1855&gt;15,"U19",IF(E1855&gt;13,"U15",IF(E1855&gt;11,"U13",IF(E1855&gt;0,"U11",0)))))</f>
        <v>0</v>
      </c>
      <c r="E1855" s="456">
        <f>IFERROR(IF(Table11[[#This Row],[Year]]&gt;0,$E$1-Table11[[#This Row],[Year]],0),"")</f>
        <v>0</v>
      </c>
      <c r="F1855" s="456"/>
      <c r="G1855" s="456"/>
      <c r="H1855" s="456"/>
    </row>
    <row r="1856" spans="1:8" ht="13.5" customHeight="1">
      <c r="A1856" s="471">
        <v>8852</v>
      </c>
      <c r="B1856" s="540" t="s">
        <v>6114</v>
      </c>
      <c r="C1856" s="456" t="s">
        <v>3750</v>
      </c>
      <c r="D1856" s="456">
        <f>IF(Table11[[#This Row],[Current Age]]&gt;19,"Women's",IF(E1856&gt;15,"U19",IF(E1856&gt;13,"U15",IF(E1856&gt;11,"U13",IF(E1856&gt;0,"U11",0)))))</f>
        <v>0</v>
      </c>
      <c r="E1856" s="456">
        <f>IFERROR(IF(Table11[[#This Row],[Year]]&gt;0,$E$1-Table11[[#This Row],[Year]],0),"")</f>
        <v>0</v>
      </c>
      <c r="F1856" s="456"/>
      <c r="G1856" s="456"/>
      <c r="H1856" s="456"/>
    </row>
    <row r="1857" spans="1:8" ht="13.5" customHeight="1">
      <c r="A1857" s="456">
        <v>8853</v>
      </c>
      <c r="B1857" s="457" t="s">
        <v>6115</v>
      </c>
      <c r="C1857" s="456" t="s">
        <v>3750</v>
      </c>
      <c r="D1857" s="456">
        <f>IF(Table11[[#This Row],[Current Age]]&gt;19,"Women's",IF(E1857&gt;15,"U19",IF(E1857&gt;13,"U15",IF(E1857&gt;11,"U13",IF(E1857&gt;0,"U11",0)))))</f>
        <v>0</v>
      </c>
      <c r="E1857" s="456">
        <f>IFERROR(IF(Table11[[#This Row],[Year]]&gt;0,$E$1-Table11[[#This Row],[Year]],0),"")</f>
        <v>0</v>
      </c>
      <c r="F1857" s="456"/>
      <c r="G1857" s="456"/>
      <c r="H1857" s="456"/>
    </row>
    <row r="1858" spans="1:8" ht="13.5" customHeight="1">
      <c r="A1858" s="471">
        <v>8854</v>
      </c>
      <c r="B1858" s="540" t="s">
        <v>6220</v>
      </c>
      <c r="C1858" s="471" t="s">
        <v>249</v>
      </c>
      <c r="D1858" s="456" t="str">
        <f>IF(Table11[[#This Row],[Current Age]]&gt;19,"Women's",IF(E1858&gt;15,"U19",IF(E1858&gt;13,"U15",IF(E1858&gt;11,"U13",IF(E1858&gt;0,"U11",0)))))</f>
        <v>Women's</v>
      </c>
      <c r="E1858" s="456">
        <f>IFERROR(IF(Table11[[#This Row],[Year]]&gt;0,$E$1-Table11[[#This Row],[Year]],0),"")</f>
        <v>53</v>
      </c>
      <c r="F1858" s="456">
        <v>1972</v>
      </c>
      <c r="G1858" s="456">
        <v>7</v>
      </c>
      <c r="H1858" s="456">
        <v>25</v>
      </c>
    </row>
    <row r="1859" spans="1:8" ht="13.5" customHeight="1">
      <c r="A1859" s="456">
        <v>8855</v>
      </c>
      <c r="B1859" s="457" t="s">
        <v>6221</v>
      </c>
      <c r="C1859" s="456" t="s">
        <v>249</v>
      </c>
      <c r="D1859" s="456" t="str">
        <f>IF(Table11[[#This Row],[Current Age]]&gt;19,"Women's",IF(E1859&gt;15,"U19",IF(E1859&gt;13,"U15",IF(E1859&gt;11,"U13",IF(E1859&gt;0,"U11",0)))))</f>
        <v>U11</v>
      </c>
      <c r="E1859" s="456">
        <f>IFERROR(IF(Table11[[#This Row],[Year]]&gt;0,$E$1-Table11[[#This Row],[Year]],0),"")</f>
        <v>11</v>
      </c>
      <c r="F1859" s="456">
        <v>2014</v>
      </c>
      <c r="G1859" s="456">
        <v>3</v>
      </c>
      <c r="H1859" s="456">
        <v>24</v>
      </c>
    </row>
    <row r="1860" spans="1:8" ht="13.5" customHeight="1">
      <c r="A1860" s="471">
        <v>8856</v>
      </c>
      <c r="B1860" s="540" t="s">
        <v>6222</v>
      </c>
      <c r="C1860" s="471" t="s">
        <v>249</v>
      </c>
      <c r="D1860" s="456" t="str">
        <f>IF(Table11[[#This Row],[Current Age]]&gt;19,"Women's",IF(E1860&gt;15,"U19",IF(E1860&gt;13,"U15",IF(E1860&gt;11,"U13",IF(E1860&gt;0,"U11",0)))))</f>
        <v>U19</v>
      </c>
      <c r="E1860" s="456">
        <f>IFERROR(IF(Table11[[#This Row],[Year]]&gt;0,$E$1-Table11[[#This Row],[Year]],0),"")</f>
        <v>16</v>
      </c>
      <c r="F1860" s="456">
        <v>2009</v>
      </c>
      <c r="G1860" s="456">
        <v>11</v>
      </c>
      <c r="H1860" s="456">
        <v>27</v>
      </c>
    </row>
    <row r="1861" spans="1:8" ht="13.5" customHeight="1">
      <c r="A1861" s="456">
        <v>8857</v>
      </c>
      <c r="B1861" s="457" t="s">
        <v>6223</v>
      </c>
      <c r="C1861" s="456" t="s">
        <v>249</v>
      </c>
      <c r="D1861" s="456" t="str">
        <f>IF(Table11[[#This Row],[Current Age]]&gt;19,"Women's",IF(E1861&gt;15,"U19",IF(E1861&gt;13,"U15",IF(E1861&gt;11,"U13",IF(E1861&gt;0,"U11",0)))))</f>
        <v>U13</v>
      </c>
      <c r="E1861" s="456">
        <f>IFERROR(IF(Table11[[#This Row],[Year]]&gt;0,$E$1-Table11[[#This Row],[Year]],0),"")</f>
        <v>12</v>
      </c>
      <c r="F1861" s="456">
        <v>2013</v>
      </c>
      <c r="G1861" s="456">
        <v>7</v>
      </c>
      <c r="H1861" s="456">
        <v>26</v>
      </c>
    </row>
    <row r="1862" spans="1:8" ht="13.5" customHeight="1">
      <c r="A1862" s="471">
        <v>8858</v>
      </c>
      <c r="B1862" s="540" t="s">
        <v>6224</v>
      </c>
      <c r="C1862" s="471" t="s">
        <v>249</v>
      </c>
      <c r="D1862" s="456" t="str">
        <f>IF(Table11[[#This Row],[Current Age]]&gt;19,"Women's",IF(E1862&gt;15,"U19",IF(E1862&gt;13,"U15",IF(E1862&gt;11,"U13",IF(E1862&gt;0,"U11",0)))))</f>
        <v>U11</v>
      </c>
      <c r="E1862" s="456">
        <f>IFERROR(IF(Table11[[#This Row],[Year]]&gt;0,$E$1-Table11[[#This Row],[Year]],0),"")</f>
        <v>11</v>
      </c>
      <c r="F1862" s="456">
        <v>2014</v>
      </c>
      <c r="G1862" s="456">
        <v>7</v>
      </c>
      <c r="H1862" s="456">
        <v>16</v>
      </c>
    </row>
    <row r="1863" spans="1:8" ht="13.5" customHeight="1">
      <c r="A1863" s="456">
        <v>8859</v>
      </c>
      <c r="B1863" s="457" t="s">
        <v>6322</v>
      </c>
      <c r="C1863" s="456" t="s">
        <v>4720</v>
      </c>
      <c r="D1863" s="456" t="str">
        <f>IF(Table11[[#This Row],[Current Age]]&gt;19,"Women's",IF(E1863&gt;15,"U19",IF(E1863&gt;13,"U15",IF(E1863&gt;11,"U13",IF(E1863&gt;0,"U11",0)))))</f>
        <v>Women's</v>
      </c>
      <c r="E1863" s="456">
        <f>IFERROR(IF(Table11[[#This Row],[Year]]&gt;0,$E$1-Table11[[#This Row],[Year]],0),"")</f>
        <v>20</v>
      </c>
      <c r="F1863" s="456" t="s">
        <v>6306</v>
      </c>
      <c r="G1863" s="456" t="s">
        <v>6299</v>
      </c>
      <c r="H1863" s="456" t="s">
        <v>6289</v>
      </c>
    </row>
    <row r="1864" spans="1:8" ht="13.5" customHeight="1">
      <c r="A1864" s="471">
        <v>8860</v>
      </c>
      <c r="B1864" s="540" t="s">
        <v>6323</v>
      </c>
      <c r="C1864" s="471" t="s">
        <v>4720</v>
      </c>
      <c r="D1864" s="456" t="str">
        <f>IF(Table11[[#This Row],[Current Age]]&gt;19,"Women's",IF(E1864&gt;15,"U19",IF(E1864&gt;13,"U15",IF(E1864&gt;11,"U13",IF(E1864&gt;0,"U11",0)))))</f>
        <v>U19</v>
      </c>
      <c r="E1864" s="456">
        <f>IFERROR(IF(Table11[[#This Row],[Year]]&gt;0,$E$1-Table11[[#This Row],[Year]],0),"")</f>
        <v>17</v>
      </c>
      <c r="F1864" s="456" t="s">
        <v>5118</v>
      </c>
      <c r="G1864" s="456" t="s">
        <v>6295</v>
      </c>
      <c r="H1864" s="456" t="s">
        <v>4309</v>
      </c>
    </row>
    <row r="1865" spans="1:8" ht="13.5" customHeight="1">
      <c r="A1865" s="456">
        <v>8861</v>
      </c>
      <c r="B1865" s="457" t="s">
        <v>6324</v>
      </c>
      <c r="C1865" s="456" t="s">
        <v>4720</v>
      </c>
      <c r="D1865" s="456" t="str">
        <f>IF(Table11[[#This Row],[Current Age]]&gt;19,"Women's",IF(E1865&gt;15,"U19",IF(E1865&gt;13,"U15",IF(E1865&gt;11,"U13",IF(E1865&gt;0,"U11",0)))))</f>
        <v>Women's</v>
      </c>
      <c r="E1865" s="456">
        <f>IFERROR(IF(Table11[[#This Row],[Year]]&gt;0,$E$1-Table11[[#This Row],[Year]],0),"")</f>
        <v>20</v>
      </c>
      <c r="F1865" s="456" t="s">
        <v>6306</v>
      </c>
      <c r="G1865" s="456" t="s">
        <v>4266</v>
      </c>
      <c r="H1865" s="456" t="s">
        <v>4249</v>
      </c>
    </row>
    <row r="1866" spans="1:8" ht="13.5" customHeight="1">
      <c r="A1866" s="471">
        <v>8862</v>
      </c>
      <c r="B1866" s="540" t="s">
        <v>6325</v>
      </c>
      <c r="C1866" s="471" t="s">
        <v>4720</v>
      </c>
      <c r="D1866" s="456" t="str">
        <f>IF(Table11[[#This Row],[Current Age]]&gt;19,"Women's",IF(E1866&gt;15,"U19",IF(E1866&gt;13,"U15",IF(E1866&gt;11,"U13",IF(E1866&gt;0,"U11",0)))))</f>
        <v>U19</v>
      </c>
      <c r="E1866" s="456">
        <f>IFERROR(IF(Table11[[#This Row],[Year]]&gt;0,$E$1-Table11[[#This Row],[Year]],0),"")</f>
        <v>17</v>
      </c>
      <c r="F1866" s="456" t="s">
        <v>5118</v>
      </c>
      <c r="G1866" s="456" t="s">
        <v>6299</v>
      </c>
      <c r="H1866" s="456" t="s">
        <v>4253</v>
      </c>
    </row>
    <row r="1867" spans="1:8" ht="13.5" customHeight="1">
      <c r="A1867" s="456">
        <v>8863</v>
      </c>
      <c r="B1867" s="457" t="s">
        <v>6225</v>
      </c>
      <c r="C1867" s="456" t="s">
        <v>4720</v>
      </c>
      <c r="D1867" s="456" t="s">
        <v>6082</v>
      </c>
      <c r="E1867" s="456">
        <v>12</v>
      </c>
      <c r="F1867" s="456">
        <v>2013</v>
      </c>
      <c r="G1867" s="456">
        <v>6</v>
      </c>
      <c r="H1867" s="456">
        <v>1</v>
      </c>
    </row>
    <row r="1868" spans="1:8" ht="13.5" customHeight="1">
      <c r="A1868" s="471">
        <v>8864</v>
      </c>
      <c r="B1868" s="540" t="s">
        <v>6226</v>
      </c>
      <c r="C1868" s="471" t="s">
        <v>4720</v>
      </c>
      <c r="D1868" s="456" t="s">
        <v>6063</v>
      </c>
      <c r="E1868" s="456">
        <v>17</v>
      </c>
      <c r="F1868" s="456" t="s">
        <v>5118</v>
      </c>
      <c r="G1868" s="456" t="s">
        <v>6289</v>
      </c>
      <c r="H1868" s="456" t="s">
        <v>5138</v>
      </c>
    </row>
    <row r="1869" spans="1:8" ht="13.5" customHeight="1">
      <c r="A1869" s="456">
        <v>8865</v>
      </c>
      <c r="B1869" s="457"/>
      <c r="C1869" s="456"/>
      <c r="D1869" s="456">
        <f>IF(Table11[[#This Row],[Current Age]]&gt;19,"Women's",IF(E1869&gt;15,"U19",IF(E1869&gt;13,"U15",IF(E1869&gt;11,"U13",IF(E1869&gt;0,"U11",0)))))</f>
        <v>0</v>
      </c>
      <c r="E1869" s="456">
        <f>IFERROR(IF(Table11[[#This Row],[Year]]&gt;0,$E$1-Table11[[#This Row],[Year]],0),"")</f>
        <v>0</v>
      </c>
      <c r="F1869" s="456"/>
      <c r="G1869" s="456"/>
      <c r="H1869" s="456"/>
    </row>
    <row r="1870" spans="1:8" ht="13.5" customHeight="1">
      <c r="A1870" s="471">
        <v>8866</v>
      </c>
      <c r="B1870" s="540"/>
      <c r="C1870" s="471"/>
      <c r="D1870" s="456">
        <f>IF(Table11[[#This Row],[Current Age]]&gt;19,"Women's",IF(E1870&gt;15,"U19",IF(E1870&gt;13,"U15",IF(E1870&gt;11,"U13",IF(E1870&gt;0,"U11",0)))))</f>
        <v>0</v>
      </c>
      <c r="E1870" s="456">
        <f>IFERROR(IF(Table11[[#This Row],[Year]]&gt;0,$E$1-Table11[[#This Row],[Year]],0),"")</f>
        <v>0</v>
      </c>
      <c r="F1870" s="456"/>
      <c r="G1870" s="456"/>
      <c r="H1870" s="456"/>
    </row>
    <row r="1871" spans="1:8" ht="13.5" customHeight="1">
      <c r="A1871" s="456">
        <v>8867</v>
      </c>
      <c r="B1871" s="457"/>
      <c r="C1871" s="456"/>
      <c r="D1871" s="456">
        <f>IF(Table11[[#This Row],[Current Age]]&gt;19,"Women's",IF(E1871&gt;15,"U19",IF(E1871&gt;13,"U15",IF(E1871&gt;11,"U13",IF(E1871&gt;0,"U11",0)))))</f>
        <v>0</v>
      </c>
      <c r="E1871" s="456">
        <f>IFERROR(IF(Table11[[#This Row],[Year]]&gt;0,$E$1-Table11[[#This Row],[Year]],0),"")</f>
        <v>0</v>
      </c>
      <c r="F1871" s="456"/>
      <c r="G1871" s="456"/>
      <c r="H1871" s="456"/>
    </row>
    <row r="1872" spans="1:8" ht="13.5" customHeight="1">
      <c r="A1872" s="471">
        <v>8868</v>
      </c>
      <c r="B1872" s="540"/>
      <c r="C1872" s="471"/>
      <c r="D1872" s="456">
        <f>IF(Table11[[#This Row],[Current Age]]&gt;19,"Women's",IF(E1872&gt;15,"U19",IF(E1872&gt;13,"U15",IF(E1872&gt;11,"U13",IF(E1872&gt;0,"U11",0)))))</f>
        <v>0</v>
      </c>
      <c r="E1872" s="456">
        <f>IFERROR(IF(Table11[[#This Row],[Year]]&gt;0,$E$1-Table11[[#This Row],[Year]],0),"")</f>
        <v>0</v>
      </c>
      <c r="F1872" s="456"/>
      <c r="G1872" s="456"/>
      <c r="H1872" s="456"/>
    </row>
    <row r="1873" spans="1:8" ht="13.5" customHeight="1">
      <c r="A1873" s="456">
        <v>8869</v>
      </c>
      <c r="B1873" s="457"/>
      <c r="C1873" s="456"/>
      <c r="D1873" s="456">
        <f>IF(Table11[[#This Row],[Current Age]]&gt;19,"Women's",IF(E1873&gt;15,"U19",IF(E1873&gt;13,"U15",IF(E1873&gt;11,"U13",IF(E1873&gt;0,"U11",0)))))</f>
        <v>0</v>
      </c>
      <c r="E1873" s="456">
        <f>IFERROR(IF(Table11[[#This Row],[Year]]&gt;0,$E$1-Table11[[#This Row],[Year]],0),"")</f>
        <v>0</v>
      </c>
      <c r="F1873" s="456"/>
      <c r="G1873" s="456"/>
      <c r="H1873" s="456"/>
    </row>
    <row r="1874" spans="1:8" ht="13.5" customHeight="1">
      <c r="A1874" s="471">
        <v>8870</v>
      </c>
      <c r="B1874" s="540"/>
      <c r="C1874" s="471"/>
      <c r="D1874" s="456">
        <f>IF(Table11[[#This Row],[Current Age]]&gt;19,"Women's",IF(E1874&gt;15,"U19",IF(E1874&gt;13,"U15",IF(E1874&gt;11,"U13",IF(E1874&gt;0,"U11",0)))))</f>
        <v>0</v>
      </c>
      <c r="E1874" s="456">
        <f>IFERROR(IF(Table11[[#This Row],[Year]]&gt;0,$E$1-Table11[[#This Row],[Year]],0),"")</f>
        <v>0</v>
      </c>
      <c r="F1874" s="456"/>
      <c r="G1874" s="456"/>
      <c r="H1874" s="456"/>
    </row>
    <row r="1875" spans="1:8" ht="13.5" customHeight="1">
      <c r="A1875" s="456">
        <v>8871</v>
      </c>
      <c r="B1875" s="457"/>
      <c r="C1875" s="456"/>
      <c r="D1875" s="456">
        <f>IF(Table11[[#This Row],[Current Age]]&gt;19,"Women's",IF(E1875&gt;15,"U19",IF(E1875&gt;13,"U15",IF(E1875&gt;11,"U13",IF(E1875&gt;0,"U11",0)))))</f>
        <v>0</v>
      </c>
      <c r="E1875" s="456">
        <f>IFERROR(IF(Table11[[#This Row],[Year]]&gt;0,$E$1-Table11[[#This Row],[Year]],0),"")</f>
        <v>0</v>
      </c>
      <c r="F1875" s="456"/>
      <c r="G1875" s="456"/>
      <c r="H1875" s="456"/>
    </row>
    <row r="1876" spans="1:8" ht="13.5" customHeight="1">
      <c r="A1876" s="471">
        <v>8872</v>
      </c>
      <c r="B1876" s="540"/>
      <c r="C1876" s="471"/>
      <c r="D1876" s="456">
        <f>IF(Table11[[#This Row],[Current Age]]&gt;19,"Women's",IF(E1876&gt;15,"U19",IF(E1876&gt;13,"U15",IF(E1876&gt;11,"U13",IF(E1876&gt;0,"U11",0)))))</f>
        <v>0</v>
      </c>
      <c r="E1876" s="456">
        <f>IFERROR(IF(Table11[[#This Row],[Year]]&gt;0,$E$1-Table11[[#This Row],[Year]],0),"")</f>
        <v>0</v>
      </c>
      <c r="F1876" s="456"/>
      <c r="G1876" s="456"/>
      <c r="H1876" s="456"/>
    </row>
    <row r="1877" spans="1:8" ht="13.5" customHeight="1">
      <c r="A1877" s="456">
        <v>8873</v>
      </c>
      <c r="B1877" s="457"/>
      <c r="C1877" s="456"/>
      <c r="D1877" s="456">
        <f>IF(Table11[[#This Row],[Current Age]]&gt;19,"Women's",IF(E1877&gt;15,"U19",IF(E1877&gt;13,"U15",IF(E1877&gt;11,"U13",IF(E1877&gt;0,"U11",0)))))</f>
        <v>0</v>
      </c>
      <c r="E1877" s="456">
        <f>IFERROR(IF(Table11[[#This Row],[Year]]&gt;0,$E$1-Table11[[#This Row],[Year]],0),"")</f>
        <v>0</v>
      </c>
      <c r="F1877" s="456"/>
      <c r="G1877" s="456"/>
      <c r="H1877" s="456"/>
    </row>
    <row r="1878" spans="1:8" ht="13.5" customHeight="1">
      <c r="A1878" s="471">
        <v>8874</v>
      </c>
      <c r="B1878" s="540"/>
      <c r="C1878" s="471"/>
      <c r="D1878" s="456">
        <f>IF(Table11[[#This Row],[Current Age]]&gt;19,"Women's",IF(E1878&gt;15,"U19",IF(E1878&gt;13,"U15",IF(E1878&gt;11,"U13",IF(E1878&gt;0,"U11",0)))))</f>
        <v>0</v>
      </c>
      <c r="E1878" s="456">
        <f>IFERROR(IF(Table11[[#This Row],[Year]]&gt;0,$E$1-Table11[[#This Row],[Year]],0),"")</f>
        <v>0</v>
      </c>
      <c r="F1878" s="456"/>
      <c r="G1878" s="456"/>
      <c r="H1878" s="456"/>
    </row>
    <row r="1879" spans="1:8" ht="13.5" customHeight="1">
      <c r="A1879" s="456">
        <v>8875</v>
      </c>
      <c r="B1879" s="457"/>
      <c r="C1879" s="456"/>
      <c r="D1879" s="456">
        <f>IF(Table11[[#This Row],[Current Age]]&gt;19,"Women's",IF(E1879&gt;15,"U19",IF(E1879&gt;13,"U15",IF(E1879&gt;11,"U13",IF(E1879&gt;0,"U11",0)))))</f>
        <v>0</v>
      </c>
      <c r="E1879" s="456">
        <f>IFERROR(IF(Table11[[#This Row],[Year]]&gt;0,$E$1-Table11[[#This Row],[Year]],0),"")</f>
        <v>0</v>
      </c>
      <c r="F1879" s="456"/>
      <c r="G1879" s="456"/>
      <c r="H1879" s="456"/>
    </row>
    <row r="1880" spans="1:8" ht="13.5" customHeight="1">
      <c r="A1880" s="471">
        <v>8876</v>
      </c>
      <c r="B1880" s="540"/>
      <c r="C1880" s="471"/>
      <c r="D1880" s="456">
        <f>IF(Table11[[#This Row],[Current Age]]&gt;19,"Women's",IF(E1880&gt;15,"U19",IF(E1880&gt;13,"U15",IF(E1880&gt;11,"U13",IF(E1880&gt;0,"U11",0)))))</f>
        <v>0</v>
      </c>
      <c r="E1880" s="456">
        <f>IFERROR(IF(Table11[[#This Row],[Year]]&gt;0,$E$1-Table11[[#This Row],[Year]],0),"")</f>
        <v>0</v>
      </c>
      <c r="F1880" s="456"/>
      <c r="G1880" s="456"/>
      <c r="H1880" s="456"/>
    </row>
    <row r="1881" spans="1:8" ht="13.5" customHeight="1">
      <c r="A1881" s="456">
        <v>8877</v>
      </c>
      <c r="B1881" s="457"/>
      <c r="C1881" s="456"/>
      <c r="D1881" s="456">
        <f>IF(Table11[[#This Row],[Current Age]]&gt;19,"Women's",IF(E1881&gt;15,"U19",IF(E1881&gt;13,"U15",IF(E1881&gt;11,"U13",IF(E1881&gt;0,"U11",0)))))</f>
        <v>0</v>
      </c>
      <c r="E1881" s="456">
        <f>IFERROR(IF(Table11[[#This Row],[Year]]&gt;0,$E$1-Table11[[#This Row],[Year]],0),"")</f>
        <v>0</v>
      </c>
      <c r="F1881" s="456"/>
      <c r="G1881" s="456"/>
      <c r="H1881" s="456"/>
    </row>
    <row r="1882" spans="1:8" ht="13.5" customHeight="1">
      <c r="A1882" s="471">
        <v>8878</v>
      </c>
      <c r="B1882" s="540"/>
      <c r="C1882" s="471"/>
      <c r="D1882" s="456">
        <f>IF(Table11[[#This Row],[Current Age]]&gt;19,"Women's",IF(E1882&gt;15,"U19",IF(E1882&gt;13,"U15",IF(E1882&gt;11,"U13",IF(E1882&gt;0,"U11",0)))))</f>
        <v>0</v>
      </c>
      <c r="E1882" s="456">
        <f>IFERROR(IF(Table11[[#This Row],[Year]]&gt;0,$E$1-Table11[[#This Row],[Year]],0),"")</f>
        <v>0</v>
      </c>
      <c r="F1882" s="456"/>
      <c r="G1882" s="456"/>
      <c r="H1882" s="456"/>
    </row>
    <row r="1883" spans="1:8" ht="13.5" customHeight="1">
      <c r="A1883" s="456">
        <v>8879</v>
      </c>
      <c r="B1883" s="457"/>
      <c r="C1883" s="456"/>
      <c r="D1883" s="456">
        <f>IF(Table11[[#This Row],[Current Age]]&gt;19,"Women's",IF(E1883&gt;15,"U19",IF(E1883&gt;13,"U15",IF(E1883&gt;11,"U13",IF(E1883&gt;0,"U11",0)))))</f>
        <v>0</v>
      </c>
      <c r="E1883" s="456">
        <f>IFERROR(IF(Table11[[#This Row],[Year]]&gt;0,$E$1-Table11[[#This Row],[Year]],0),"")</f>
        <v>0</v>
      </c>
      <c r="F1883" s="456"/>
      <c r="G1883" s="456"/>
      <c r="H1883" s="456"/>
    </row>
    <row r="1884" spans="1:8" ht="13.5" customHeight="1">
      <c r="A1884" s="471">
        <v>8880</v>
      </c>
      <c r="B1884" s="540"/>
      <c r="C1884" s="471"/>
      <c r="D1884" s="456">
        <f>IF(Table11[[#This Row],[Current Age]]&gt;19,"Women's",IF(E1884&gt;15,"U19",IF(E1884&gt;13,"U15",IF(E1884&gt;11,"U13",IF(E1884&gt;0,"U11",0)))))</f>
        <v>0</v>
      </c>
      <c r="E1884" s="456">
        <f>IFERROR(IF(Table11[[#This Row],[Year]]&gt;0,$E$1-Table11[[#This Row],[Year]],0),"")</f>
        <v>0</v>
      </c>
      <c r="F1884" s="456"/>
      <c r="G1884" s="456"/>
      <c r="H1884" s="456"/>
    </row>
    <row r="1885" spans="1:8" ht="13.5" customHeight="1">
      <c r="A1885" s="456">
        <v>8881</v>
      </c>
      <c r="B1885" s="457"/>
      <c r="C1885" s="456"/>
      <c r="D1885" s="456">
        <f>IF(Table11[[#This Row],[Current Age]]&gt;19,"Women's",IF(E1885&gt;15,"U19",IF(E1885&gt;13,"U15",IF(E1885&gt;11,"U13",IF(E1885&gt;0,"U11",0)))))</f>
        <v>0</v>
      </c>
      <c r="E1885" s="456">
        <f>IFERROR(IF(Table11[[#This Row],[Year]]&gt;0,$E$1-Table11[[#This Row],[Year]],0),"")</f>
        <v>0</v>
      </c>
      <c r="F1885" s="456"/>
      <c r="G1885" s="456"/>
      <c r="H1885" s="456"/>
    </row>
    <row r="1886" spans="1:8" ht="13.5" customHeight="1">
      <c r="A1886" s="471">
        <v>8882</v>
      </c>
      <c r="B1886" s="540"/>
      <c r="C1886" s="471"/>
      <c r="D1886" s="456">
        <f>IF(Table11[[#This Row],[Current Age]]&gt;19,"Women's",IF(E1886&gt;15,"U19",IF(E1886&gt;13,"U15",IF(E1886&gt;11,"U13",IF(E1886&gt;0,"U11",0)))))</f>
        <v>0</v>
      </c>
      <c r="E1886" s="456">
        <f>IFERROR(IF(Table11[[#This Row],[Year]]&gt;0,$E$1-Table11[[#This Row],[Year]],0),"")</f>
        <v>0</v>
      </c>
      <c r="F1886" s="456"/>
      <c r="G1886" s="456"/>
      <c r="H1886" s="456"/>
    </row>
    <row r="1887" spans="1:8" ht="13.5" customHeight="1">
      <c r="A1887" s="456">
        <v>8883</v>
      </c>
      <c r="B1887" s="457"/>
      <c r="C1887" s="456"/>
      <c r="D1887" s="456">
        <f>IF(Table11[[#This Row],[Current Age]]&gt;19,"Women's",IF(E1887&gt;15,"U19",IF(E1887&gt;13,"U15",IF(E1887&gt;11,"U13",IF(E1887&gt;0,"U11",0)))))</f>
        <v>0</v>
      </c>
      <c r="E1887" s="456">
        <f>IFERROR(IF(Table11[[#This Row],[Year]]&gt;0,$E$1-Table11[[#This Row],[Year]],0),"")</f>
        <v>0</v>
      </c>
      <c r="F1887" s="456"/>
      <c r="G1887" s="456"/>
      <c r="H1887" s="456"/>
    </row>
    <row r="1888" spans="1:8" ht="13.5" customHeight="1">
      <c r="A1888" s="471">
        <v>8884</v>
      </c>
      <c r="B1888" s="540"/>
      <c r="C1888" s="471"/>
      <c r="D1888" s="456">
        <f>IF(Table11[[#This Row],[Current Age]]&gt;19,"Women's",IF(E1888&gt;15,"U19",IF(E1888&gt;13,"U15",IF(E1888&gt;11,"U13",IF(E1888&gt;0,"U11",0)))))</f>
        <v>0</v>
      </c>
      <c r="E1888" s="456">
        <f>IFERROR(IF(Table11[[#This Row],[Year]]&gt;0,$E$1-Table11[[#This Row],[Year]],0),"")</f>
        <v>0</v>
      </c>
      <c r="F1888" s="456"/>
      <c r="G1888" s="456"/>
      <c r="H1888" s="456"/>
    </row>
    <row r="1889" spans="1:8" ht="13.5" customHeight="1">
      <c r="A1889" s="456">
        <v>8885</v>
      </c>
      <c r="B1889" s="457"/>
      <c r="C1889" s="456"/>
      <c r="D1889" s="456">
        <f>IF(Table11[[#This Row],[Current Age]]&gt;19,"Women's",IF(E1889&gt;15,"U19",IF(E1889&gt;13,"U15",IF(E1889&gt;11,"U13",IF(E1889&gt;0,"U11",0)))))</f>
        <v>0</v>
      </c>
      <c r="E1889" s="456">
        <f>IFERROR(IF(Table11[[#This Row],[Year]]&gt;0,$E$1-Table11[[#This Row],[Year]],0),"")</f>
        <v>0</v>
      </c>
      <c r="F1889" s="456"/>
      <c r="G1889" s="456"/>
      <c r="H1889" s="456"/>
    </row>
    <row r="1890" spans="1:8" ht="13.5" customHeight="1">
      <c r="A1890" s="471">
        <v>8886</v>
      </c>
      <c r="B1890" s="540"/>
      <c r="C1890" s="471"/>
      <c r="D1890" s="456">
        <f>IF(Table11[[#This Row],[Current Age]]&gt;19,"Women's",IF(E1890&gt;15,"U19",IF(E1890&gt;13,"U15",IF(E1890&gt;11,"U13",IF(E1890&gt;0,"U11",0)))))</f>
        <v>0</v>
      </c>
      <c r="E1890" s="456">
        <f>IFERROR(IF(Table11[[#This Row],[Year]]&gt;0,$E$1-Table11[[#This Row],[Year]],0),"")</f>
        <v>0</v>
      </c>
      <c r="F1890" s="456"/>
      <c r="G1890" s="456"/>
      <c r="H1890" s="456"/>
    </row>
    <row r="1891" spans="1:8" ht="13.5" customHeight="1">
      <c r="A1891" s="456">
        <v>8887</v>
      </c>
      <c r="B1891" s="457"/>
      <c r="C1891" s="456"/>
      <c r="D1891" s="456">
        <f>IF(Table11[[#This Row],[Current Age]]&gt;19,"Women's",IF(E1891&gt;15,"U19",IF(E1891&gt;13,"U15",IF(E1891&gt;11,"U13",IF(E1891&gt;0,"U11",0)))))</f>
        <v>0</v>
      </c>
      <c r="E1891" s="456">
        <f>IFERROR(IF(Table11[[#This Row],[Year]]&gt;0,$E$1-Table11[[#This Row],[Year]],0),"")</f>
        <v>0</v>
      </c>
      <c r="F1891" s="456"/>
      <c r="G1891" s="456"/>
      <c r="H1891" s="456"/>
    </row>
    <row r="1892" spans="1:8" ht="13.5" customHeight="1">
      <c r="A1892" s="471">
        <v>8888</v>
      </c>
      <c r="B1892" s="540"/>
      <c r="C1892" s="471"/>
      <c r="D1892" s="456">
        <f>IF(Table11[[#This Row],[Current Age]]&gt;19,"Women's",IF(E1892&gt;15,"U19",IF(E1892&gt;13,"U15",IF(E1892&gt;11,"U13",IF(E1892&gt;0,"U11",0)))))</f>
        <v>0</v>
      </c>
      <c r="E1892" s="456">
        <f>IFERROR(IF(Table11[[#This Row],[Year]]&gt;0,$E$1-Table11[[#This Row],[Year]],0),"")</f>
        <v>0</v>
      </c>
      <c r="F1892" s="456"/>
      <c r="G1892" s="456"/>
      <c r="H1892" s="456"/>
    </row>
    <row r="1893" spans="1:8" ht="13.5" customHeight="1">
      <c r="A1893" s="456">
        <v>8889</v>
      </c>
      <c r="B1893" s="457"/>
      <c r="C1893" s="456"/>
      <c r="D1893" s="456">
        <f>IF(Table11[[#This Row],[Current Age]]&gt;19,"Women's",IF(E1893&gt;15,"U19",IF(E1893&gt;13,"U15",IF(E1893&gt;11,"U13",IF(E1893&gt;0,"U11",0)))))</f>
        <v>0</v>
      </c>
      <c r="E1893" s="456">
        <f>IFERROR(IF(Table11[[#This Row],[Year]]&gt;0,$E$1-Table11[[#This Row],[Year]],0),"")</f>
        <v>0</v>
      </c>
      <c r="F1893" s="456"/>
      <c r="G1893" s="456"/>
      <c r="H1893" s="456"/>
    </row>
    <row r="1894" spans="1:8" ht="13.5" customHeight="1">
      <c r="A1894" s="471">
        <v>8890</v>
      </c>
      <c r="B1894" s="540"/>
      <c r="C1894" s="471"/>
      <c r="D1894" s="456">
        <f>IF(Table11[[#This Row],[Current Age]]&gt;19,"Women's",IF(E1894&gt;15,"U19",IF(E1894&gt;13,"U15",IF(E1894&gt;11,"U13",IF(E1894&gt;0,"U11",0)))))</f>
        <v>0</v>
      </c>
      <c r="E1894" s="456">
        <f>IFERROR(IF(Table11[[#This Row],[Year]]&gt;0,$E$1-Table11[[#This Row],[Year]],0),"")</f>
        <v>0</v>
      </c>
      <c r="F1894" s="456"/>
      <c r="G1894" s="456"/>
      <c r="H1894" s="456"/>
    </row>
    <row r="1895" spans="1:8" ht="13.5" customHeight="1">
      <c r="A1895" s="456">
        <v>8891</v>
      </c>
      <c r="B1895" s="457"/>
      <c r="C1895" s="456"/>
      <c r="D1895" s="456">
        <f>IF(Table11[[#This Row],[Current Age]]&gt;19,"Women's",IF(E1895&gt;15,"U19",IF(E1895&gt;13,"U15",IF(E1895&gt;11,"U13",IF(E1895&gt;0,"U11",0)))))</f>
        <v>0</v>
      </c>
      <c r="E1895" s="456">
        <f>IFERROR(IF(Table11[[#This Row],[Year]]&gt;0,$E$1-Table11[[#This Row],[Year]],0),"")</f>
        <v>0</v>
      </c>
      <c r="F1895" s="456"/>
      <c r="G1895" s="456"/>
      <c r="H1895" s="456"/>
    </row>
    <row r="1896" spans="1:8" ht="13.5" customHeight="1">
      <c r="A1896" s="471">
        <v>8892</v>
      </c>
      <c r="B1896" s="540"/>
      <c r="C1896" s="471"/>
      <c r="D1896" s="456">
        <f>IF(Table11[[#This Row],[Current Age]]&gt;19,"Women's",IF(E1896&gt;15,"U19",IF(E1896&gt;13,"U15",IF(E1896&gt;11,"U13",IF(E1896&gt;0,"U11",0)))))</f>
        <v>0</v>
      </c>
      <c r="E1896" s="456">
        <f>IFERROR(IF(Table11[[#This Row],[Year]]&gt;0,$E$1-Table11[[#This Row],[Year]],0),"")</f>
        <v>0</v>
      </c>
      <c r="F1896" s="456"/>
      <c r="G1896" s="456"/>
      <c r="H1896" s="456"/>
    </row>
    <row r="1897" spans="1:8" ht="13.5" customHeight="1">
      <c r="A1897" s="456">
        <v>8893</v>
      </c>
      <c r="B1897" s="457"/>
      <c r="C1897" s="456"/>
      <c r="D1897" s="456">
        <f>IF(Table11[[#This Row],[Current Age]]&gt;19,"Women's",IF(E1897&gt;15,"U19",IF(E1897&gt;13,"U15",IF(E1897&gt;11,"U13",IF(E1897&gt;0,"U11",0)))))</f>
        <v>0</v>
      </c>
      <c r="E1897" s="456">
        <f>IFERROR(IF(Table11[[#This Row],[Year]]&gt;0,$E$1-Table11[[#This Row],[Year]],0),"")</f>
        <v>0</v>
      </c>
      <c r="F1897" s="456"/>
      <c r="G1897" s="456"/>
      <c r="H1897" s="456"/>
    </row>
    <row r="1898" spans="1:8" ht="13.5" customHeight="1">
      <c r="A1898" s="471">
        <v>8894</v>
      </c>
      <c r="B1898" s="540"/>
      <c r="C1898" s="471"/>
      <c r="D1898" s="456">
        <f>IF(Table11[[#This Row],[Current Age]]&gt;19,"Women's",IF(E1898&gt;15,"U19",IF(E1898&gt;13,"U15",IF(E1898&gt;11,"U13",IF(E1898&gt;0,"U11",0)))))</f>
        <v>0</v>
      </c>
      <c r="E1898" s="456">
        <f>IFERROR(IF(Table11[[#This Row],[Year]]&gt;0,$E$1-Table11[[#This Row],[Year]],0),"")</f>
        <v>0</v>
      </c>
      <c r="F1898" s="456"/>
      <c r="G1898" s="456"/>
      <c r="H1898" s="456"/>
    </row>
    <row r="1899" spans="1:8" ht="13.5" customHeight="1">
      <c r="A1899" s="456">
        <v>8895</v>
      </c>
      <c r="B1899" s="457"/>
      <c r="C1899" s="456"/>
      <c r="D1899" s="456">
        <f>IF(Table11[[#This Row],[Current Age]]&gt;19,"Women's",IF(E1899&gt;15,"U19",IF(E1899&gt;13,"U15",IF(E1899&gt;11,"U13",IF(E1899&gt;0,"U11",0)))))</f>
        <v>0</v>
      </c>
      <c r="E1899" s="456">
        <f>IFERROR(IF(Table11[[#This Row],[Year]]&gt;0,$E$1-Table11[[#This Row],[Year]],0),"")</f>
        <v>0</v>
      </c>
      <c r="F1899" s="456"/>
      <c r="G1899" s="456"/>
      <c r="H1899" s="456"/>
    </row>
    <row r="1900" spans="1:8" ht="13.5" customHeight="1">
      <c r="A1900" s="471">
        <v>8896</v>
      </c>
      <c r="B1900" s="540"/>
      <c r="C1900" s="471"/>
      <c r="D1900" s="456">
        <f>IF(Table11[[#This Row],[Current Age]]&gt;19,"Women's",IF(E1900&gt;15,"U19",IF(E1900&gt;13,"U15",IF(E1900&gt;11,"U13",IF(E1900&gt;0,"U11",0)))))</f>
        <v>0</v>
      </c>
      <c r="E1900" s="456">
        <f>IFERROR(IF(Table11[[#This Row],[Year]]&gt;0,$E$1-Table11[[#This Row],[Year]],0),"")</f>
        <v>0</v>
      </c>
      <c r="F1900" s="456"/>
      <c r="G1900" s="456"/>
      <c r="H1900" s="456"/>
    </row>
    <row r="1901" spans="1:8" ht="13.5" customHeight="1">
      <c r="A1901" s="456">
        <v>8897</v>
      </c>
      <c r="B1901" s="457"/>
      <c r="C1901" s="456"/>
      <c r="D1901" s="456">
        <f>IF(Table11[[#This Row],[Current Age]]&gt;19,"Women's",IF(E1901&gt;15,"U19",IF(E1901&gt;13,"U15",IF(E1901&gt;11,"U13",IF(E1901&gt;0,"U11",0)))))</f>
        <v>0</v>
      </c>
      <c r="E1901" s="456">
        <f>IFERROR(IF(Table11[[#This Row],[Year]]&gt;0,$E$1-Table11[[#This Row],[Year]],0),"")</f>
        <v>0</v>
      </c>
      <c r="F1901" s="456"/>
      <c r="G1901" s="456"/>
      <c r="H1901" s="456"/>
    </row>
    <row r="1902" spans="1:8" ht="13.5" customHeight="1">
      <c r="A1902" s="471">
        <v>8898</v>
      </c>
      <c r="B1902" s="540"/>
      <c r="C1902" s="471"/>
      <c r="D1902" s="456">
        <f>IF(Table11[[#This Row],[Current Age]]&gt;19,"Women's",IF(E1902&gt;15,"U19",IF(E1902&gt;13,"U15",IF(E1902&gt;11,"U13",IF(E1902&gt;0,"U11",0)))))</f>
        <v>0</v>
      </c>
      <c r="E1902" s="456">
        <f>IFERROR(IF(Table11[[#This Row],[Year]]&gt;0,$E$1-Table11[[#This Row],[Year]],0),"")</f>
        <v>0</v>
      </c>
      <c r="F1902" s="456"/>
      <c r="G1902" s="456"/>
      <c r="H1902" s="456"/>
    </row>
    <row r="1903" spans="1:8" ht="13.5" customHeight="1">
      <c r="A1903" s="456">
        <v>8899</v>
      </c>
      <c r="B1903" s="457"/>
      <c r="C1903" s="456"/>
      <c r="D1903" s="456">
        <f>IF(Table11[[#This Row],[Current Age]]&gt;19,"Women's",IF(E1903&gt;15,"U19",IF(E1903&gt;13,"U15",IF(E1903&gt;11,"U13",IF(E1903&gt;0,"U11",0)))))</f>
        <v>0</v>
      </c>
      <c r="E1903" s="456">
        <f>IFERROR(IF(Table11[[#This Row],[Year]]&gt;0,$E$1-Table11[[#This Row],[Year]],0),"")</f>
        <v>0</v>
      </c>
      <c r="F1903" s="456"/>
      <c r="G1903" s="456"/>
      <c r="H1903" s="456"/>
    </row>
    <row r="1904" spans="1:8" ht="13.5" customHeight="1">
      <c r="A1904" s="471">
        <v>8900</v>
      </c>
      <c r="B1904" s="540"/>
      <c r="C1904" s="471"/>
      <c r="D1904" s="456">
        <f>IF(Table11[[#This Row],[Current Age]]&gt;19,"Women's",IF(E1904&gt;15,"U19",IF(E1904&gt;13,"U15",IF(E1904&gt;11,"U13",IF(E1904&gt;0,"U11",0)))))</f>
        <v>0</v>
      </c>
      <c r="E1904" s="456">
        <f>IFERROR(IF(Table11[[#This Row],[Year]]&gt;0,$E$1-Table11[[#This Row],[Year]],0),"")</f>
        <v>0</v>
      </c>
      <c r="F1904" s="456"/>
      <c r="G1904" s="456"/>
      <c r="H1904" s="456"/>
    </row>
    <row r="1905" spans="1:8" ht="13.5" customHeight="1">
      <c r="A1905" s="456">
        <v>8901</v>
      </c>
      <c r="B1905" s="457"/>
      <c r="C1905" s="456"/>
      <c r="D1905" s="456">
        <f>IF(Table11[[#This Row],[Current Age]]&gt;19,"Women's",IF(E1905&gt;15,"U19",IF(E1905&gt;13,"U15",IF(E1905&gt;11,"U13",IF(E1905&gt;0,"U11",0)))))</f>
        <v>0</v>
      </c>
      <c r="E1905" s="456">
        <f>IFERROR(IF(Table11[[#This Row],[Year]]&gt;0,$E$1-Table11[[#This Row],[Year]],0),"")</f>
        <v>0</v>
      </c>
      <c r="F1905" s="456"/>
      <c r="G1905" s="456"/>
      <c r="H1905" s="456"/>
    </row>
    <row r="1906" spans="1:8" ht="13.5" customHeight="1">
      <c r="A1906" s="471">
        <v>8902</v>
      </c>
      <c r="B1906" s="540"/>
      <c r="C1906" s="471"/>
      <c r="D1906" s="456">
        <f>IF(Table11[[#This Row],[Current Age]]&gt;19,"Women's",IF(E1906&gt;15,"U19",IF(E1906&gt;13,"U15",IF(E1906&gt;11,"U13",IF(E1906&gt;0,"U11",0)))))</f>
        <v>0</v>
      </c>
      <c r="E1906" s="456">
        <f>IFERROR(IF(Table11[[#This Row],[Year]]&gt;0,$E$1-Table11[[#This Row],[Year]],0),"")</f>
        <v>0</v>
      </c>
      <c r="F1906" s="456"/>
      <c r="G1906" s="456"/>
      <c r="H1906" s="456"/>
    </row>
    <row r="1907" spans="1:8" ht="13.5" customHeight="1">
      <c r="A1907" s="456">
        <v>8903</v>
      </c>
      <c r="B1907" s="457"/>
      <c r="C1907" s="456"/>
      <c r="D1907" s="456">
        <f>IF(Table11[[#This Row],[Current Age]]&gt;19,"Women's",IF(E1907&gt;15,"U19",IF(E1907&gt;13,"U15",IF(E1907&gt;11,"U13",IF(E1907&gt;0,"U11",0)))))</f>
        <v>0</v>
      </c>
      <c r="E1907" s="456">
        <f>IFERROR(IF(Table11[[#This Row],[Year]]&gt;0,$E$1-Table11[[#This Row],[Year]],0),"")</f>
        <v>0</v>
      </c>
      <c r="F1907" s="456"/>
      <c r="G1907" s="456"/>
      <c r="H1907" s="456"/>
    </row>
    <row r="1908" spans="1:8" ht="13.5" customHeight="1">
      <c r="A1908" s="471">
        <v>8904</v>
      </c>
      <c r="B1908" s="540"/>
      <c r="C1908" s="471"/>
      <c r="D1908" s="456">
        <f>IF(Table11[[#This Row],[Current Age]]&gt;19,"Women's",IF(E1908&gt;15,"U19",IF(E1908&gt;13,"U15",IF(E1908&gt;11,"U13",IF(E1908&gt;0,"U11",0)))))</f>
        <v>0</v>
      </c>
      <c r="E1908" s="456">
        <f>IFERROR(IF(Table11[[#This Row],[Year]]&gt;0,$E$1-Table11[[#This Row],[Year]],0),"")</f>
        <v>0</v>
      </c>
      <c r="F1908" s="456"/>
      <c r="G1908" s="456"/>
      <c r="H1908" s="456"/>
    </row>
    <row r="1909" spans="1:8" ht="13.5" customHeight="1">
      <c r="A1909" s="456">
        <v>8905</v>
      </c>
      <c r="B1909" s="457"/>
      <c r="C1909" s="456"/>
      <c r="D1909" s="456">
        <f>IF(Table11[[#This Row],[Current Age]]&gt;19,"Women's",IF(E1909&gt;15,"U19",IF(E1909&gt;13,"U15",IF(E1909&gt;11,"U13",IF(E1909&gt;0,"U11",0)))))</f>
        <v>0</v>
      </c>
      <c r="E1909" s="456">
        <f>IFERROR(IF(Table11[[#This Row],[Year]]&gt;0,$E$1-Table11[[#This Row],[Year]],0),"")</f>
        <v>0</v>
      </c>
      <c r="F1909" s="456"/>
      <c r="G1909" s="456"/>
      <c r="H1909" s="456"/>
    </row>
    <row r="1910" spans="1:8" ht="13.5" customHeight="1">
      <c r="A1910" s="471">
        <v>8906</v>
      </c>
      <c r="B1910" s="540"/>
      <c r="C1910" s="471"/>
      <c r="D1910" s="456">
        <f>IF(Table11[[#This Row],[Current Age]]&gt;19,"Women's",IF(E1910&gt;15,"U19",IF(E1910&gt;13,"U15",IF(E1910&gt;11,"U13",IF(E1910&gt;0,"U11",0)))))</f>
        <v>0</v>
      </c>
      <c r="E1910" s="456">
        <f>IFERROR(IF(Table11[[#This Row],[Year]]&gt;0,$E$1-Table11[[#This Row],[Year]],0),"")</f>
        <v>0</v>
      </c>
      <c r="F1910" s="456"/>
      <c r="G1910" s="456"/>
      <c r="H1910" s="456"/>
    </row>
    <row r="1911" spans="1:8" ht="13.5" customHeight="1">
      <c r="A1911" s="456">
        <v>8907</v>
      </c>
      <c r="B1911" s="457"/>
      <c r="C1911" s="456"/>
      <c r="D1911" s="456">
        <f>IF(Table11[[#This Row],[Current Age]]&gt;19,"Women's",IF(E1911&gt;15,"U19",IF(E1911&gt;13,"U15",IF(E1911&gt;11,"U13",IF(E1911&gt;0,"U11",0)))))</f>
        <v>0</v>
      </c>
      <c r="E1911" s="456">
        <f>IFERROR(IF(Table11[[#This Row],[Year]]&gt;0,$E$1-Table11[[#This Row],[Year]],0),"")</f>
        <v>0</v>
      </c>
      <c r="F1911" s="456"/>
      <c r="G1911" s="456"/>
      <c r="H1911" s="456"/>
    </row>
    <row r="1912" spans="1:8" ht="13.5" customHeight="1">
      <c r="A1912" s="471">
        <v>8908</v>
      </c>
      <c r="B1912" s="540"/>
      <c r="C1912" s="471"/>
      <c r="D1912" s="456">
        <f>IF(Table11[[#This Row],[Current Age]]&gt;19,"Women's",IF(E1912&gt;15,"U19",IF(E1912&gt;13,"U15",IF(E1912&gt;11,"U13",IF(E1912&gt;0,"U11",0)))))</f>
        <v>0</v>
      </c>
      <c r="E1912" s="456">
        <f>IFERROR(IF(Table11[[#This Row],[Year]]&gt;0,$E$1-Table11[[#This Row],[Year]],0),"")</f>
        <v>0</v>
      </c>
      <c r="F1912" s="456"/>
      <c r="G1912" s="456"/>
      <c r="H1912" s="456"/>
    </row>
    <row r="1913" spans="1:8" ht="13.5" customHeight="1">
      <c r="A1913" s="456">
        <v>8909</v>
      </c>
      <c r="B1913" s="457"/>
      <c r="C1913" s="456"/>
      <c r="D1913" s="456">
        <f>IF(Table11[[#This Row],[Current Age]]&gt;19,"Women's",IF(E1913&gt;15,"U19",IF(E1913&gt;13,"U15",IF(E1913&gt;11,"U13",IF(E1913&gt;0,"U11",0)))))</f>
        <v>0</v>
      </c>
      <c r="E1913" s="456">
        <f>IFERROR(IF(Table11[[#This Row],[Year]]&gt;0,$E$1-Table11[[#This Row],[Year]],0),"")</f>
        <v>0</v>
      </c>
      <c r="F1913" s="456"/>
      <c r="G1913" s="456"/>
      <c r="H1913" s="456"/>
    </row>
    <row r="1914" spans="1:8" ht="13.5" customHeight="1">
      <c r="A1914" s="471">
        <v>8910</v>
      </c>
      <c r="B1914" s="540"/>
      <c r="C1914" s="471"/>
      <c r="D1914" s="456">
        <f>IF(Table11[[#This Row],[Current Age]]&gt;19,"Women's",IF(E1914&gt;15,"U19",IF(E1914&gt;13,"U15",IF(E1914&gt;11,"U13",IF(E1914&gt;0,"U11",0)))))</f>
        <v>0</v>
      </c>
      <c r="E1914" s="456">
        <f>IFERROR(IF(Table11[[#This Row],[Year]]&gt;0,$E$1-Table11[[#This Row],[Year]],0),"")</f>
        <v>0</v>
      </c>
      <c r="F1914" s="456"/>
      <c r="G1914" s="456"/>
      <c r="H1914" s="456"/>
    </row>
    <row r="1915" spans="1:8" ht="13.5" customHeight="1">
      <c r="A1915" s="456">
        <v>8911</v>
      </c>
      <c r="B1915" s="457"/>
      <c r="C1915" s="456"/>
      <c r="D1915" s="456">
        <f>IF(Table11[[#This Row],[Current Age]]&gt;19,"Women's",IF(E1915&gt;15,"U19",IF(E1915&gt;13,"U15",IF(E1915&gt;11,"U13",IF(E1915&gt;0,"U11",0)))))</f>
        <v>0</v>
      </c>
      <c r="E1915" s="456">
        <f>IFERROR(IF(Table11[[#This Row],[Year]]&gt;0,$E$1-Table11[[#This Row],[Year]],0),"")</f>
        <v>0</v>
      </c>
      <c r="F1915" s="456"/>
      <c r="G1915" s="456"/>
      <c r="H1915" s="456"/>
    </row>
    <row r="1916" spans="1:8" ht="13.5" customHeight="1">
      <c r="A1916" s="471">
        <v>8912</v>
      </c>
      <c r="B1916" s="540"/>
      <c r="C1916" s="471"/>
      <c r="D1916" s="456">
        <f>IF(Table11[[#This Row],[Current Age]]&gt;19,"Women's",IF(E1916&gt;15,"U19",IF(E1916&gt;13,"U15",IF(E1916&gt;11,"U13",IF(E1916&gt;0,"U11",0)))))</f>
        <v>0</v>
      </c>
      <c r="E1916" s="456">
        <f>IFERROR(IF(Table11[[#This Row],[Year]]&gt;0,$E$1-Table11[[#This Row],[Year]],0),"")</f>
        <v>0</v>
      </c>
      <c r="F1916" s="456"/>
      <c r="G1916" s="456"/>
      <c r="H1916" s="456"/>
    </row>
    <row r="1917" spans="1:8" ht="13.5" customHeight="1">
      <c r="A1917" s="456">
        <v>8913</v>
      </c>
      <c r="B1917" s="457"/>
      <c r="C1917" s="456"/>
      <c r="D1917" s="456">
        <f>IF(Table11[[#This Row],[Current Age]]&gt;19,"Women's",IF(E1917&gt;15,"U19",IF(E1917&gt;13,"U15",IF(E1917&gt;11,"U13",IF(E1917&gt;0,"U11",0)))))</f>
        <v>0</v>
      </c>
      <c r="E1917" s="456">
        <f>IFERROR(IF(Table11[[#This Row],[Year]]&gt;0,$E$1-Table11[[#This Row],[Year]],0),"")</f>
        <v>0</v>
      </c>
      <c r="F1917" s="456"/>
      <c r="G1917" s="456"/>
      <c r="H1917" s="456"/>
    </row>
    <row r="1918" spans="1:8" ht="13.5" customHeight="1">
      <c r="A1918" s="471">
        <v>8914</v>
      </c>
      <c r="B1918" s="540"/>
      <c r="C1918" s="471"/>
      <c r="D1918" s="456">
        <f>IF(Table11[[#This Row],[Current Age]]&gt;19,"Women's",IF(E1918&gt;15,"U19",IF(E1918&gt;13,"U15",IF(E1918&gt;11,"U13",IF(E1918&gt;0,"U11",0)))))</f>
        <v>0</v>
      </c>
      <c r="E1918" s="456">
        <f>IFERROR(IF(Table11[[#This Row],[Year]]&gt;0,$E$1-Table11[[#This Row],[Year]],0),"")</f>
        <v>0</v>
      </c>
      <c r="F1918" s="456"/>
      <c r="G1918" s="456"/>
      <c r="H1918" s="456"/>
    </row>
    <row r="1919" spans="1:8" ht="13.5" customHeight="1">
      <c r="A1919" s="456">
        <v>8915</v>
      </c>
      <c r="B1919" s="457"/>
      <c r="C1919" s="456"/>
      <c r="D1919" s="456">
        <f>IF(Table11[[#This Row],[Current Age]]&gt;19,"Women's",IF(E1919&gt;15,"U19",IF(E1919&gt;13,"U15",IF(E1919&gt;11,"U13",IF(E1919&gt;0,"U11",0)))))</f>
        <v>0</v>
      </c>
      <c r="E1919" s="456">
        <f>IFERROR(IF(Table11[[#This Row],[Year]]&gt;0,$E$1-Table11[[#This Row],[Year]],0),"")</f>
        <v>0</v>
      </c>
      <c r="F1919" s="456"/>
      <c r="G1919" s="456"/>
      <c r="H1919" s="456"/>
    </row>
    <row r="1920" spans="1:8" ht="13.5" customHeight="1">
      <c r="A1920" s="471">
        <v>8916</v>
      </c>
      <c r="B1920" s="540"/>
      <c r="C1920" s="471"/>
      <c r="D1920" s="456">
        <f>IF(Table11[[#This Row],[Current Age]]&gt;19,"Women's",IF(E1920&gt;15,"U19",IF(E1920&gt;13,"U15",IF(E1920&gt;11,"U13",IF(E1920&gt;0,"U11",0)))))</f>
        <v>0</v>
      </c>
      <c r="E1920" s="456">
        <f>IFERROR(IF(Table11[[#This Row],[Year]]&gt;0,$E$1-Table11[[#This Row],[Year]],0),"")</f>
        <v>0</v>
      </c>
      <c r="F1920" s="456"/>
      <c r="G1920" s="456"/>
      <c r="H1920" s="456"/>
    </row>
    <row r="1921" spans="1:8" ht="13.5" customHeight="1">
      <c r="A1921" s="456">
        <v>8917</v>
      </c>
      <c r="B1921" s="457"/>
      <c r="C1921" s="456"/>
      <c r="D1921" s="456">
        <f>IF(Table11[[#This Row],[Current Age]]&gt;19,"Women's",IF(E1921&gt;15,"U19",IF(E1921&gt;13,"U15",IF(E1921&gt;11,"U13",IF(E1921&gt;0,"U11",0)))))</f>
        <v>0</v>
      </c>
      <c r="E1921" s="456">
        <f>IFERROR(IF(Table11[[#This Row],[Year]]&gt;0,$E$1-Table11[[#This Row],[Year]],0),"")</f>
        <v>0</v>
      </c>
      <c r="F1921" s="456"/>
      <c r="G1921" s="456"/>
      <c r="H1921" s="456"/>
    </row>
    <row r="1922" spans="1:8" ht="13.5" customHeight="1">
      <c r="A1922" s="471">
        <v>8918</v>
      </c>
      <c r="B1922" s="540"/>
      <c r="C1922" s="471"/>
      <c r="D1922" s="456">
        <f>IF(Table11[[#This Row],[Current Age]]&gt;19,"Women's",IF(E1922&gt;15,"U19",IF(E1922&gt;13,"U15",IF(E1922&gt;11,"U13",IF(E1922&gt;0,"U11",0)))))</f>
        <v>0</v>
      </c>
      <c r="E1922" s="456">
        <f>IFERROR(IF(Table11[[#This Row],[Year]]&gt;0,$E$1-Table11[[#This Row],[Year]],0),"")</f>
        <v>0</v>
      </c>
      <c r="F1922" s="456"/>
      <c r="G1922" s="456"/>
      <c r="H1922" s="456"/>
    </row>
    <row r="1923" spans="1:8" ht="13.5" customHeight="1">
      <c r="A1923" s="456">
        <v>8919</v>
      </c>
      <c r="B1923" s="457"/>
      <c r="C1923" s="456"/>
      <c r="D1923" s="456">
        <f>IF(Table11[[#This Row],[Current Age]]&gt;19,"Women's",IF(E1923&gt;15,"U19",IF(E1923&gt;13,"U15",IF(E1923&gt;11,"U13",IF(E1923&gt;0,"U11",0)))))</f>
        <v>0</v>
      </c>
      <c r="E1923" s="456">
        <f>IFERROR(IF(Table11[[#This Row],[Year]]&gt;0,$E$1-Table11[[#This Row],[Year]],0),"")</f>
        <v>0</v>
      </c>
      <c r="F1923" s="456"/>
      <c r="G1923" s="456"/>
      <c r="H1923" s="456"/>
    </row>
    <row r="1924" spans="1:8" ht="13.5" customHeight="1">
      <c r="A1924" s="471">
        <v>8920</v>
      </c>
      <c r="B1924" s="540"/>
      <c r="C1924" s="471"/>
      <c r="D1924" s="456">
        <f>IF(Table11[[#This Row],[Current Age]]&gt;19,"Women's",IF(E1924&gt;15,"U19",IF(E1924&gt;13,"U15",IF(E1924&gt;11,"U13",IF(E1924&gt;0,"U11",0)))))</f>
        <v>0</v>
      </c>
      <c r="E1924" s="456">
        <f>IFERROR(IF(Table11[[#This Row],[Year]]&gt;0,$E$1-Table11[[#This Row],[Year]],0),"")</f>
        <v>0</v>
      </c>
      <c r="F1924" s="456"/>
      <c r="G1924" s="456"/>
      <c r="H1924" s="456"/>
    </row>
    <row r="1925" spans="1:8" ht="13.5" customHeight="1">
      <c r="A1925" s="456">
        <v>8921</v>
      </c>
      <c r="B1925" s="457"/>
      <c r="C1925" s="456"/>
      <c r="D1925" s="456">
        <f>IF(Table11[[#This Row],[Current Age]]&gt;19,"Women's",IF(E1925&gt;15,"U19",IF(E1925&gt;13,"U15",IF(E1925&gt;11,"U13",IF(E1925&gt;0,"U11",0)))))</f>
        <v>0</v>
      </c>
      <c r="E1925" s="456">
        <f>IFERROR(IF(Table11[[#This Row],[Year]]&gt;0,$E$1-Table11[[#This Row],[Year]],0),"")</f>
        <v>0</v>
      </c>
      <c r="F1925" s="456"/>
      <c r="G1925" s="456"/>
      <c r="H1925" s="456"/>
    </row>
    <row r="1926" spans="1:8" ht="13.5" customHeight="1">
      <c r="A1926" s="471">
        <v>8922</v>
      </c>
      <c r="B1926" s="540"/>
      <c r="C1926" s="471"/>
      <c r="D1926" s="456">
        <f>IF(Table11[[#This Row],[Current Age]]&gt;19,"Women's",IF(E1926&gt;15,"U19",IF(E1926&gt;13,"U15",IF(E1926&gt;11,"U13",IF(E1926&gt;0,"U11",0)))))</f>
        <v>0</v>
      </c>
      <c r="E1926" s="456">
        <f>IFERROR(IF(Table11[[#This Row],[Year]]&gt;0,$E$1-Table11[[#This Row],[Year]],0),"")</f>
        <v>0</v>
      </c>
      <c r="F1926" s="456"/>
      <c r="G1926" s="456"/>
      <c r="H1926" s="456"/>
    </row>
    <row r="1927" spans="1:8" ht="13.5" customHeight="1">
      <c r="A1927" s="456">
        <v>8923</v>
      </c>
      <c r="B1927" s="457"/>
      <c r="C1927" s="456"/>
      <c r="D1927" s="456">
        <f>IF(Table11[[#This Row],[Current Age]]&gt;19,"Women's",IF(E1927&gt;15,"U19",IF(E1927&gt;13,"U15",IF(E1927&gt;11,"U13",IF(E1927&gt;0,"U11",0)))))</f>
        <v>0</v>
      </c>
      <c r="E1927" s="456">
        <f>IFERROR(IF(Table11[[#This Row],[Year]]&gt;0,$E$1-Table11[[#This Row],[Year]],0),"")</f>
        <v>0</v>
      </c>
      <c r="F1927" s="456"/>
      <c r="G1927" s="456"/>
      <c r="H1927" s="456"/>
    </row>
    <row r="1928" spans="1:8" ht="13.5" customHeight="1">
      <c r="A1928" s="471">
        <v>8924</v>
      </c>
      <c r="B1928" s="540"/>
      <c r="C1928" s="471"/>
      <c r="D1928" s="456">
        <f>IF(Table11[[#This Row],[Current Age]]&gt;19,"Women's",IF(E1928&gt;15,"U19",IF(E1928&gt;13,"U15",IF(E1928&gt;11,"U13",IF(E1928&gt;0,"U11",0)))))</f>
        <v>0</v>
      </c>
      <c r="E1928" s="456">
        <f>IFERROR(IF(Table11[[#This Row],[Year]]&gt;0,$E$1-Table11[[#This Row],[Year]],0),"")</f>
        <v>0</v>
      </c>
      <c r="F1928" s="456"/>
      <c r="G1928" s="456"/>
      <c r="H1928" s="456"/>
    </row>
    <row r="1929" spans="1:8" ht="13.5" customHeight="1">
      <c r="A1929" s="456">
        <v>8925</v>
      </c>
      <c r="B1929" s="457"/>
      <c r="C1929" s="456"/>
      <c r="D1929" s="456">
        <f>IF(Table11[[#This Row],[Current Age]]&gt;19,"Women's",IF(E1929&gt;15,"U19",IF(E1929&gt;13,"U15",IF(E1929&gt;11,"U13",IF(E1929&gt;0,"U11",0)))))</f>
        <v>0</v>
      </c>
      <c r="E1929" s="456">
        <f>IFERROR(IF(Table11[[#This Row],[Year]]&gt;0,$E$1-Table11[[#This Row],[Year]],0),"")</f>
        <v>0</v>
      </c>
      <c r="F1929" s="456"/>
      <c r="G1929" s="456"/>
      <c r="H1929" s="456"/>
    </row>
    <row r="1930" spans="1:8" ht="13.5" customHeight="1">
      <c r="A1930" s="471">
        <v>8926</v>
      </c>
      <c r="B1930" s="540"/>
      <c r="C1930" s="471"/>
      <c r="D1930" s="456">
        <f>IF(Table11[[#This Row],[Current Age]]&gt;19,"Women's",IF(E1930&gt;15,"U19",IF(E1930&gt;13,"U15",IF(E1930&gt;11,"U13",IF(E1930&gt;0,"U11",0)))))</f>
        <v>0</v>
      </c>
      <c r="E1930" s="456">
        <f>IFERROR(IF(Table11[[#This Row],[Year]]&gt;0,$E$1-Table11[[#This Row],[Year]],0),"")</f>
        <v>0</v>
      </c>
      <c r="F1930" s="456"/>
      <c r="G1930" s="456"/>
      <c r="H1930" s="456"/>
    </row>
    <row r="1931" spans="1:8" ht="13.5" customHeight="1">
      <c r="A1931" s="456">
        <v>8927</v>
      </c>
      <c r="B1931" s="457"/>
      <c r="C1931" s="456"/>
      <c r="D1931" s="456">
        <f>IF(Table11[[#This Row],[Current Age]]&gt;19,"Women's",IF(E1931&gt;15,"U19",IF(E1931&gt;13,"U15",IF(E1931&gt;11,"U13",IF(E1931&gt;0,"U11",0)))))</f>
        <v>0</v>
      </c>
      <c r="E1931" s="456">
        <f>IFERROR(IF(Table11[[#This Row],[Year]]&gt;0,$E$1-Table11[[#This Row],[Year]],0),"")</f>
        <v>0</v>
      </c>
      <c r="F1931" s="456"/>
      <c r="G1931" s="456"/>
      <c r="H1931" s="456"/>
    </row>
    <row r="1932" spans="1:8" ht="13.5" customHeight="1">
      <c r="A1932" s="471">
        <v>8928</v>
      </c>
      <c r="B1932" s="540"/>
      <c r="C1932" s="471"/>
      <c r="D1932" s="456">
        <f>IF(Table11[[#This Row],[Current Age]]&gt;19,"Women's",IF(E1932&gt;15,"U19",IF(E1932&gt;13,"U15",IF(E1932&gt;11,"U13",IF(E1932&gt;0,"U11",0)))))</f>
        <v>0</v>
      </c>
      <c r="E1932" s="456">
        <f>IFERROR(IF(Table11[[#This Row],[Year]]&gt;0,$E$1-Table11[[#This Row],[Year]],0),"")</f>
        <v>0</v>
      </c>
      <c r="F1932" s="456"/>
      <c r="G1932" s="456"/>
      <c r="H1932" s="456"/>
    </row>
    <row r="1933" spans="1:8" ht="13.5" customHeight="1">
      <c r="A1933" s="456">
        <v>8929</v>
      </c>
      <c r="B1933" s="457"/>
      <c r="C1933" s="456"/>
      <c r="D1933" s="456">
        <f>IF(Table11[[#This Row],[Current Age]]&gt;19,"Women's",IF(E1933&gt;15,"U19",IF(E1933&gt;13,"U15",IF(E1933&gt;11,"U13",IF(E1933&gt;0,"U11",0)))))</f>
        <v>0</v>
      </c>
      <c r="E1933" s="456">
        <f>IFERROR(IF(Table11[[#This Row],[Year]]&gt;0,$E$1-Table11[[#This Row],[Year]],0),"")</f>
        <v>0</v>
      </c>
      <c r="F1933" s="456"/>
      <c r="G1933" s="456"/>
      <c r="H1933" s="456"/>
    </row>
    <row r="1934" spans="1:8" ht="13.5" customHeight="1">
      <c r="A1934" s="471">
        <v>8930</v>
      </c>
      <c r="B1934" s="540"/>
      <c r="C1934" s="471"/>
      <c r="D1934" s="456">
        <f>IF(Table11[[#This Row],[Current Age]]&gt;19,"Women's",IF(E1934&gt;15,"U19",IF(E1934&gt;13,"U15",IF(E1934&gt;11,"U13",IF(E1934&gt;0,"U11",0)))))</f>
        <v>0</v>
      </c>
      <c r="E1934" s="456">
        <f>IFERROR(IF(Table11[[#This Row],[Year]]&gt;0,$E$1-Table11[[#This Row],[Year]],0),"")</f>
        <v>0</v>
      </c>
      <c r="F1934" s="456"/>
      <c r="G1934" s="456"/>
      <c r="H1934" s="456"/>
    </row>
    <row r="1935" spans="1:8" ht="13.5" customHeight="1">
      <c r="A1935" s="456">
        <v>8931</v>
      </c>
      <c r="B1935" s="457"/>
      <c r="C1935" s="456"/>
      <c r="D1935" s="456">
        <f>IF(Table11[[#This Row],[Current Age]]&gt;19,"Women's",IF(E1935&gt;15,"U19",IF(E1935&gt;13,"U15",IF(E1935&gt;11,"U13",IF(E1935&gt;0,"U11",0)))))</f>
        <v>0</v>
      </c>
      <c r="E1935" s="456">
        <f>IFERROR(IF(Table11[[#This Row],[Year]]&gt;0,$E$1-Table11[[#This Row],[Year]],0),"")</f>
        <v>0</v>
      </c>
      <c r="F1935" s="456"/>
      <c r="G1935" s="456"/>
      <c r="H1935" s="456"/>
    </row>
    <row r="1936" spans="1:8" ht="13.5" customHeight="1">
      <c r="A1936" s="471">
        <v>8932</v>
      </c>
      <c r="B1936" s="540"/>
      <c r="C1936" s="471"/>
      <c r="D1936" s="456">
        <f>IF(Table11[[#This Row],[Current Age]]&gt;19,"Women's",IF(E1936&gt;15,"U19",IF(E1936&gt;13,"U15",IF(E1936&gt;11,"U13",IF(E1936&gt;0,"U11",0)))))</f>
        <v>0</v>
      </c>
      <c r="E1936" s="456">
        <f>IFERROR(IF(Table11[[#This Row],[Year]]&gt;0,$E$1-Table11[[#This Row],[Year]],0),"")</f>
        <v>0</v>
      </c>
      <c r="F1936" s="456"/>
      <c r="G1936" s="456"/>
      <c r="H1936" s="456"/>
    </row>
    <row r="1937" spans="1:8" ht="13.5" customHeight="1">
      <c r="A1937" s="456">
        <v>8933</v>
      </c>
      <c r="B1937" s="457"/>
      <c r="C1937" s="456"/>
      <c r="D1937" s="456">
        <f>IF(Table11[[#This Row],[Current Age]]&gt;19,"Women's",IF(E1937&gt;15,"U19",IF(E1937&gt;13,"U15",IF(E1937&gt;11,"U13",IF(E1937&gt;0,"U11",0)))))</f>
        <v>0</v>
      </c>
      <c r="E1937" s="456">
        <f>IFERROR(IF(Table11[[#This Row],[Year]]&gt;0,$E$1-Table11[[#This Row],[Year]],0),"")</f>
        <v>0</v>
      </c>
      <c r="F1937" s="456"/>
      <c r="G1937" s="456"/>
      <c r="H1937" s="456"/>
    </row>
    <row r="1938" spans="1:8" ht="13.5" customHeight="1">
      <c r="A1938" s="471">
        <v>8934</v>
      </c>
      <c r="B1938" s="540"/>
      <c r="C1938" s="471"/>
      <c r="D1938" s="456">
        <f>IF(Table11[[#This Row],[Current Age]]&gt;19,"Women's",IF(E1938&gt;15,"U19",IF(E1938&gt;13,"U15",IF(E1938&gt;11,"U13",IF(E1938&gt;0,"U11",0)))))</f>
        <v>0</v>
      </c>
      <c r="E1938" s="456">
        <f>IFERROR(IF(Table11[[#This Row],[Year]]&gt;0,$E$1-Table11[[#This Row],[Year]],0),"")</f>
        <v>0</v>
      </c>
      <c r="F1938" s="456"/>
      <c r="G1938" s="456"/>
      <c r="H1938" s="456"/>
    </row>
    <row r="1939" spans="1:8" ht="13.5" customHeight="1">
      <c r="A1939" s="456">
        <v>8935</v>
      </c>
      <c r="B1939" s="457"/>
      <c r="C1939" s="456"/>
      <c r="D1939" s="456">
        <f>IF(Table11[[#This Row],[Current Age]]&gt;19,"Women's",IF(E1939&gt;15,"U19",IF(E1939&gt;13,"U15",IF(E1939&gt;11,"U13",IF(E1939&gt;0,"U11",0)))))</f>
        <v>0</v>
      </c>
      <c r="E1939" s="456">
        <f>IFERROR(IF(Table11[[#This Row],[Year]]&gt;0,$E$1-Table11[[#This Row],[Year]],0),"")</f>
        <v>0</v>
      </c>
      <c r="F1939" s="456"/>
      <c r="G1939" s="456"/>
      <c r="H1939" s="456"/>
    </row>
    <row r="1940" spans="1:8" ht="13.5" customHeight="1">
      <c r="A1940" s="471">
        <v>8936</v>
      </c>
      <c r="B1940" s="540"/>
      <c r="C1940" s="471"/>
      <c r="D1940" s="456">
        <f>IF(Table11[[#This Row],[Current Age]]&gt;19,"Women's",IF(E1940&gt;15,"U19",IF(E1940&gt;13,"U15",IF(E1940&gt;11,"U13",IF(E1940&gt;0,"U11",0)))))</f>
        <v>0</v>
      </c>
      <c r="E1940" s="456">
        <f>IFERROR(IF(Table11[[#This Row],[Year]]&gt;0,$E$1-Table11[[#This Row],[Year]],0),"")</f>
        <v>0</v>
      </c>
      <c r="F1940" s="456"/>
      <c r="G1940" s="456"/>
      <c r="H1940" s="456"/>
    </row>
    <row r="1941" spans="1:8" ht="13.5" customHeight="1">
      <c r="A1941" s="456">
        <v>8937</v>
      </c>
      <c r="B1941" s="457"/>
      <c r="C1941" s="456"/>
      <c r="D1941" s="456">
        <f>IF(Table11[[#This Row],[Current Age]]&gt;19,"Women's",IF(E1941&gt;15,"U19",IF(E1941&gt;13,"U15",IF(E1941&gt;11,"U13",IF(E1941&gt;0,"U11",0)))))</f>
        <v>0</v>
      </c>
      <c r="E1941" s="456">
        <f>IFERROR(IF(Table11[[#This Row],[Year]]&gt;0,$E$1-Table11[[#This Row],[Year]],0),"")</f>
        <v>0</v>
      </c>
      <c r="F1941" s="456"/>
      <c r="G1941" s="456"/>
      <c r="H1941" s="456"/>
    </row>
    <row r="1942" spans="1:8" ht="13.5" customHeight="1">
      <c r="A1942" s="471">
        <v>8938</v>
      </c>
      <c r="B1942" s="540"/>
      <c r="C1942" s="471"/>
      <c r="D1942" s="456">
        <f>IF(Table11[[#This Row],[Current Age]]&gt;19,"Women's",IF(E1942&gt;15,"U19",IF(E1942&gt;13,"U15",IF(E1942&gt;11,"U13",IF(E1942&gt;0,"U11",0)))))</f>
        <v>0</v>
      </c>
      <c r="E1942" s="456">
        <f>IFERROR(IF(Table11[[#This Row],[Year]]&gt;0,$E$1-Table11[[#This Row],[Year]],0),"")</f>
        <v>0</v>
      </c>
      <c r="F1942" s="456"/>
      <c r="G1942" s="456"/>
      <c r="H1942" s="456"/>
    </row>
    <row r="1943" spans="1:8" ht="13.5" customHeight="1">
      <c r="A1943" s="456">
        <v>8939</v>
      </c>
      <c r="B1943" s="457"/>
      <c r="C1943" s="456"/>
      <c r="D1943" s="456">
        <f>IF(Table11[[#This Row],[Current Age]]&gt;19,"Women's",IF(E1943&gt;15,"U19",IF(E1943&gt;13,"U15",IF(E1943&gt;11,"U13",IF(E1943&gt;0,"U11",0)))))</f>
        <v>0</v>
      </c>
      <c r="E1943" s="456">
        <f>IFERROR(IF(Table11[[#This Row],[Year]]&gt;0,$E$1-Table11[[#This Row],[Year]],0),"")</f>
        <v>0</v>
      </c>
      <c r="F1943" s="456"/>
      <c r="G1943" s="456"/>
      <c r="H1943" s="456"/>
    </row>
    <row r="1944" spans="1:8" ht="13.5" customHeight="1">
      <c r="A1944" s="471">
        <v>8940</v>
      </c>
      <c r="B1944" s="540"/>
      <c r="C1944" s="471"/>
      <c r="D1944" s="456">
        <f>IF(Table11[[#This Row],[Current Age]]&gt;19,"Women's",IF(E1944&gt;15,"U19",IF(E1944&gt;13,"U15",IF(E1944&gt;11,"U13",IF(E1944&gt;0,"U11",0)))))</f>
        <v>0</v>
      </c>
      <c r="E1944" s="456">
        <f>IFERROR(IF(Table11[[#This Row],[Year]]&gt;0,$E$1-Table11[[#This Row],[Year]],0),"")</f>
        <v>0</v>
      </c>
      <c r="F1944" s="456"/>
      <c r="G1944" s="456"/>
      <c r="H1944" s="456"/>
    </row>
    <row r="1945" spans="1:8" ht="13.5" customHeight="1">
      <c r="A1945" s="456">
        <v>8941</v>
      </c>
      <c r="B1945" s="457"/>
      <c r="C1945" s="456"/>
      <c r="D1945" s="456">
        <f>IF(Table11[[#This Row],[Current Age]]&gt;19,"Women's",IF(E1945&gt;15,"U19",IF(E1945&gt;13,"U15",IF(E1945&gt;11,"U13",IF(E1945&gt;0,"U11",0)))))</f>
        <v>0</v>
      </c>
      <c r="E1945" s="456">
        <f>IFERROR(IF(Table11[[#This Row],[Year]]&gt;0,$E$1-Table11[[#This Row],[Year]],0),"")</f>
        <v>0</v>
      </c>
      <c r="F1945" s="456"/>
      <c r="G1945" s="456"/>
      <c r="H1945" s="456"/>
    </row>
    <row r="1946" spans="1:8" ht="13.5" customHeight="1">
      <c r="A1946" s="471">
        <v>8942</v>
      </c>
      <c r="B1946" s="540"/>
      <c r="C1946" s="471"/>
      <c r="D1946" s="456">
        <f>IF(Table11[[#This Row],[Current Age]]&gt;19,"Women's",IF(E1946&gt;15,"U19",IF(E1946&gt;13,"U15",IF(E1946&gt;11,"U13",IF(E1946&gt;0,"U11",0)))))</f>
        <v>0</v>
      </c>
      <c r="E1946" s="456">
        <f>IFERROR(IF(Table11[[#This Row],[Year]]&gt;0,$E$1-Table11[[#This Row],[Year]],0),"")</f>
        <v>0</v>
      </c>
      <c r="F1946" s="456"/>
      <c r="G1946" s="456"/>
      <c r="H1946" s="456"/>
    </row>
    <row r="1947" spans="1:8" ht="13.5" customHeight="1">
      <c r="A1947" s="456">
        <v>8943</v>
      </c>
      <c r="B1947" s="457"/>
      <c r="C1947" s="456"/>
      <c r="D1947" s="456">
        <f>IF(Table11[[#This Row],[Current Age]]&gt;19,"Women's",IF(E1947&gt;15,"U19",IF(E1947&gt;13,"U15",IF(E1947&gt;11,"U13",IF(E1947&gt;0,"U11",0)))))</f>
        <v>0</v>
      </c>
      <c r="E1947" s="456">
        <f>IFERROR(IF(Table11[[#This Row],[Year]]&gt;0,$E$1-Table11[[#This Row],[Year]],0),"")</f>
        <v>0</v>
      </c>
      <c r="F1947" s="456"/>
      <c r="G1947" s="456"/>
      <c r="H1947" s="456"/>
    </row>
    <row r="1948" spans="1:8" ht="13.5" customHeight="1">
      <c r="A1948" s="471">
        <v>8944</v>
      </c>
      <c r="B1948" s="540"/>
      <c r="C1948" s="471"/>
      <c r="D1948" s="456">
        <f>IF(Table11[[#This Row],[Current Age]]&gt;19,"Women's",IF(E1948&gt;15,"U19",IF(E1948&gt;13,"U15",IF(E1948&gt;11,"U13",IF(E1948&gt;0,"U11",0)))))</f>
        <v>0</v>
      </c>
      <c r="E1948" s="456">
        <f>IFERROR(IF(Table11[[#This Row],[Year]]&gt;0,$E$1-Table11[[#This Row],[Year]],0),"")</f>
        <v>0</v>
      </c>
      <c r="F1948" s="456"/>
      <c r="G1948" s="456"/>
      <c r="H1948" s="456"/>
    </row>
    <row r="1949" spans="1:8" ht="13.5" customHeight="1">
      <c r="A1949" s="456">
        <v>8945</v>
      </c>
      <c r="B1949" s="457"/>
      <c r="C1949" s="456"/>
      <c r="D1949" s="456">
        <f>IF(Table11[[#This Row],[Current Age]]&gt;19,"Women's",IF(E1949&gt;15,"U19",IF(E1949&gt;13,"U15",IF(E1949&gt;11,"U13",IF(E1949&gt;0,"U11",0)))))</f>
        <v>0</v>
      </c>
      <c r="E1949" s="456">
        <f>IFERROR(IF(Table11[[#This Row],[Year]]&gt;0,$E$1-Table11[[#This Row],[Year]],0),"")</f>
        <v>0</v>
      </c>
      <c r="F1949" s="456"/>
      <c r="G1949" s="456"/>
      <c r="H1949" s="456"/>
    </row>
    <row r="1950" spans="1:8" ht="13.5" customHeight="1">
      <c r="A1950" s="471">
        <v>8946</v>
      </c>
      <c r="B1950" s="540"/>
      <c r="C1950" s="471"/>
      <c r="D1950" s="456">
        <f>IF(Table11[[#This Row],[Current Age]]&gt;19,"Women's",IF(E1950&gt;15,"U19",IF(E1950&gt;13,"U15",IF(E1950&gt;11,"U13",IF(E1950&gt;0,"U11",0)))))</f>
        <v>0</v>
      </c>
      <c r="E1950" s="456">
        <f>IFERROR(IF(Table11[[#This Row],[Year]]&gt;0,$E$1-Table11[[#This Row],[Year]],0),"")</f>
        <v>0</v>
      </c>
      <c r="F1950" s="456"/>
      <c r="G1950" s="456"/>
      <c r="H1950" s="456"/>
    </row>
    <row r="1951" spans="1:8" ht="13.5" customHeight="1">
      <c r="A1951" s="456">
        <v>8947</v>
      </c>
      <c r="B1951" s="457"/>
      <c r="C1951" s="456"/>
      <c r="D1951" s="456">
        <f>IF(Table11[[#This Row],[Current Age]]&gt;19,"Women's",IF(E1951&gt;15,"U19",IF(E1951&gt;13,"U15",IF(E1951&gt;11,"U13",IF(E1951&gt;0,"U11",0)))))</f>
        <v>0</v>
      </c>
      <c r="E1951" s="456">
        <f>IFERROR(IF(Table11[[#This Row],[Year]]&gt;0,$E$1-Table11[[#This Row],[Year]],0),"")</f>
        <v>0</v>
      </c>
      <c r="F1951" s="456"/>
      <c r="G1951" s="456"/>
      <c r="H1951" s="456"/>
    </row>
    <row r="1952" spans="1:8" ht="13.5" customHeight="1">
      <c r="A1952" s="471">
        <v>8948</v>
      </c>
      <c r="B1952" s="540"/>
      <c r="C1952" s="471"/>
      <c r="D1952" s="456">
        <f>IF(Table11[[#This Row],[Current Age]]&gt;19,"Women's",IF(E1952&gt;15,"U19",IF(E1952&gt;13,"U15",IF(E1952&gt;11,"U13",IF(E1952&gt;0,"U11",0)))))</f>
        <v>0</v>
      </c>
      <c r="E1952" s="456">
        <f>IFERROR(IF(Table11[[#This Row],[Year]]&gt;0,$E$1-Table11[[#This Row],[Year]],0),"")</f>
        <v>0</v>
      </c>
      <c r="F1952" s="456"/>
      <c r="G1952" s="456"/>
      <c r="H1952" s="456"/>
    </row>
    <row r="1953" spans="1:8" ht="13.5" customHeight="1">
      <c r="A1953" s="456">
        <v>8949</v>
      </c>
      <c r="B1953" s="457"/>
      <c r="C1953" s="456"/>
      <c r="D1953" s="456">
        <f>IF(Table11[[#This Row],[Current Age]]&gt;19,"Women's",IF(E1953&gt;15,"U19",IF(E1953&gt;13,"U15",IF(E1953&gt;11,"U13",IF(E1953&gt;0,"U11",0)))))</f>
        <v>0</v>
      </c>
      <c r="E1953" s="456">
        <f>IFERROR(IF(Table11[[#This Row],[Year]]&gt;0,$E$1-Table11[[#This Row],[Year]],0),"")</f>
        <v>0</v>
      </c>
      <c r="F1953" s="456"/>
      <c r="G1953" s="456"/>
      <c r="H1953" s="456"/>
    </row>
    <row r="1954" spans="1:8" ht="13.5" customHeight="1">
      <c r="A1954" s="471">
        <v>8950</v>
      </c>
      <c r="B1954" s="540" t="s">
        <v>6176</v>
      </c>
      <c r="C1954" s="471" t="s">
        <v>243</v>
      </c>
      <c r="D1954" s="456" t="s">
        <v>5895</v>
      </c>
      <c r="E1954" s="456"/>
      <c r="F1954" s="456"/>
      <c r="G1954" s="456"/>
      <c r="H1954" s="456"/>
    </row>
    <row r="1955" spans="1:8" ht="13.5" customHeight="1">
      <c r="A1955" s="456">
        <v>8951</v>
      </c>
      <c r="B1955" s="457" t="s">
        <v>6177</v>
      </c>
      <c r="C1955" s="456" t="s">
        <v>243</v>
      </c>
      <c r="D1955" s="456" t="s">
        <v>5895</v>
      </c>
      <c r="E1955" s="456"/>
      <c r="F1955" s="456"/>
      <c r="G1955" s="456"/>
      <c r="H1955" s="456"/>
    </row>
    <row r="1956" spans="1:8" ht="13.5" customHeight="1">
      <c r="A1956" s="471">
        <v>8952</v>
      </c>
      <c r="B1956" s="540" t="s">
        <v>6178</v>
      </c>
      <c r="C1956" s="471" t="s">
        <v>243</v>
      </c>
      <c r="D1956" s="456" t="s">
        <v>6082</v>
      </c>
      <c r="E1956" s="456">
        <f>IFERROR(IF(Table11[[#This Row],[Year]]&gt;0,$E$1-Table11[[#This Row],[Year]],0),"")</f>
        <v>0</v>
      </c>
      <c r="F1956" s="456"/>
      <c r="G1956" s="456"/>
      <c r="H1956" s="456"/>
    </row>
    <row r="1957" spans="1:8" ht="13.5" customHeight="1">
      <c r="A1957" s="456">
        <v>8953</v>
      </c>
      <c r="B1957" s="457" t="s">
        <v>6189</v>
      </c>
      <c r="C1957" s="456" t="s">
        <v>243</v>
      </c>
      <c r="D1957" s="456" t="s">
        <v>6033</v>
      </c>
      <c r="E1957" s="456"/>
      <c r="F1957" s="456"/>
      <c r="G1957" s="456"/>
      <c r="H1957" s="456"/>
    </row>
    <row r="1958" spans="1:8" ht="13.5" customHeight="1">
      <c r="A1958" s="471">
        <v>8954</v>
      </c>
      <c r="B1958" s="540" t="s">
        <v>6193</v>
      </c>
      <c r="C1958" s="471" t="s">
        <v>251</v>
      </c>
      <c r="D1958" s="456" t="s">
        <v>6063</v>
      </c>
      <c r="E1958" s="456">
        <f>IFERROR(IF(Table11[[#This Row],[Year]]&gt;0,$E$1-Table11[[#This Row],[Year]],0),"")</f>
        <v>0</v>
      </c>
      <c r="F1958" s="456"/>
      <c r="G1958" s="456"/>
      <c r="H1958" s="456"/>
    </row>
    <row r="1959" spans="1:8" ht="13.5" customHeight="1">
      <c r="A1959" s="456">
        <v>8955</v>
      </c>
      <c r="B1959" s="457" t="s">
        <v>6207</v>
      </c>
      <c r="C1959" s="456" t="s">
        <v>4720</v>
      </c>
      <c r="D1959" s="456" t="s">
        <v>6208</v>
      </c>
      <c r="E1959" s="456">
        <f>IFERROR(IF(Table11[[#This Row],[Year]]&gt;0,$E$1-Table11[[#This Row],[Year]],0),"")</f>
        <v>0</v>
      </c>
      <c r="F1959" s="456"/>
      <c r="G1959" s="456"/>
      <c r="H1959" s="456"/>
    </row>
    <row r="1960" spans="1:8" ht="13.5" customHeight="1">
      <c r="A1960" s="471">
        <v>8956</v>
      </c>
      <c r="B1960" s="540"/>
      <c r="C1960" s="471"/>
      <c r="D1960" s="456">
        <f>IF(Table11[[#This Row],[Current Age]]&gt;19,"Women's",IF(E1960&gt;15,"U19",IF(E1960&gt;13,"U15",IF(E1960&gt;11,"U13",IF(E1960&gt;0,"U11",0)))))</f>
        <v>0</v>
      </c>
      <c r="E1960" s="456">
        <f>IFERROR(IF(Table11[[#This Row],[Year]]&gt;0,$E$1-Table11[[#This Row],[Year]],0),"")</f>
        <v>0</v>
      </c>
      <c r="F1960" s="456"/>
      <c r="G1960" s="456"/>
      <c r="H1960" s="456"/>
    </row>
    <row r="1961" spans="1:8" ht="13.5" customHeight="1">
      <c r="A1961" s="456">
        <v>8957</v>
      </c>
      <c r="B1961" s="457"/>
      <c r="C1961" s="456"/>
      <c r="D1961" s="456">
        <f>IF(Table11[[#This Row],[Current Age]]&gt;19,"Women's",IF(E1961&gt;15,"U19",IF(E1961&gt;13,"U15",IF(E1961&gt;11,"U13",IF(E1961&gt;0,"U11",0)))))</f>
        <v>0</v>
      </c>
      <c r="E1961" s="456">
        <f>IFERROR(IF(Table11[[#This Row],[Year]]&gt;0,$E$1-Table11[[#This Row],[Year]],0),"")</f>
        <v>0</v>
      </c>
      <c r="F1961" s="456"/>
      <c r="G1961" s="456"/>
      <c r="H1961" s="456"/>
    </row>
    <row r="1962" spans="1:8" ht="13.5" customHeight="1">
      <c r="A1962" s="471">
        <v>8958</v>
      </c>
      <c r="B1962" s="540"/>
      <c r="C1962" s="471"/>
      <c r="D1962" s="456">
        <f>IF(Table11[[#This Row],[Current Age]]&gt;19,"Women's",IF(E1962&gt;15,"U19",IF(E1962&gt;13,"U15",IF(E1962&gt;11,"U13",IF(E1962&gt;0,"U11",0)))))</f>
        <v>0</v>
      </c>
      <c r="E1962" s="456">
        <f>IFERROR(IF(Table11[[#This Row],[Year]]&gt;0,$E$1-Table11[[#This Row],[Year]],0),"")</f>
        <v>0</v>
      </c>
      <c r="F1962" s="456"/>
      <c r="G1962" s="456"/>
      <c r="H1962" s="456"/>
    </row>
    <row r="1963" spans="1:8" ht="13.5" customHeight="1">
      <c r="A1963" s="456">
        <v>8959</v>
      </c>
      <c r="B1963" s="457"/>
      <c r="C1963" s="456"/>
      <c r="D1963" s="456">
        <f>IF(Table11[[#This Row],[Current Age]]&gt;19,"Women's",IF(E1963&gt;15,"U19",IF(E1963&gt;13,"U15",IF(E1963&gt;11,"U13",IF(E1963&gt;0,"U11",0)))))</f>
        <v>0</v>
      </c>
      <c r="E1963" s="456">
        <f>IFERROR(IF(Table11[[#This Row],[Year]]&gt;0,$E$1-Table11[[#This Row],[Year]],0),"")</f>
        <v>0</v>
      </c>
      <c r="F1963" s="456"/>
      <c r="G1963" s="456"/>
      <c r="H1963" s="456"/>
    </row>
    <row r="1964" spans="1:8" ht="13.5" customHeight="1">
      <c r="A1964" s="471">
        <v>8960</v>
      </c>
      <c r="B1964" s="540"/>
      <c r="C1964" s="471"/>
      <c r="D1964" s="456">
        <f>IF(Table11[[#This Row],[Current Age]]&gt;19,"Women's",IF(E1964&gt;15,"U19",IF(E1964&gt;13,"U15",IF(E1964&gt;11,"U13",IF(E1964&gt;0,"U11",0)))))</f>
        <v>0</v>
      </c>
      <c r="E1964" s="456">
        <f>IFERROR(IF(Table11[[#This Row],[Year]]&gt;0,$E$1-Table11[[#This Row],[Year]],0),"")</f>
        <v>0</v>
      </c>
      <c r="F1964" s="456"/>
      <c r="G1964" s="456"/>
      <c r="H1964" s="456"/>
    </row>
    <row r="1965" spans="1:8" ht="13.5" customHeight="1">
      <c r="A1965" s="456">
        <v>8961</v>
      </c>
      <c r="B1965" s="457"/>
      <c r="C1965" s="456"/>
      <c r="D1965" s="456">
        <f>IF(Table11[[#This Row],[Current Age]]&gt;19,"Women's",IF(E1965&gt;15,"U19",IF(E1965&gt;13,"U15",IF(E1965&gt;11,"U13",IF(E1965&gt;0,"U11",0)))))</f>
        <v>0</v>
      </c>
      <c r="E1965" s="456">
        <f>IFERROR(IF(Table11[[#This Row],[Year]]&gt;0,$E$1-Table11[[#This Row],[Year]],0),"")</f>
        <v>0</v>
      </c>
      <c r="F1965" s="456"/>
      <c r="G1965" s="456"/>
      <c r="H1965" s="456"/>
    </row>
    <row r="1966" spans="1:8" ht="13.5" customHeight="1">
      <c r="A1966" s="471">
        <v>8962</v>
      </c>
      <c r="B1966" s="540"/>
      <c r="C1966" s="471"/>
      <c r="D1966" s="456">
        <f>IF(Table11[[#This Row],[Current Age]]&gt;19,"Women's",IF(E1966&gt;15,"U19",IF(E1966&gt;13,"U15",IF(E1966&gt;11,"U13",IF(E1966&gt;0,"U11",0)))))</f>
        <v>0</v>
      </c>
      <c r="E1966" s="456">
        <f>IFERROR(IF(Table11[[#This Row],[Year]]&gt;0,$E$1-Table11[[#This Row],[Year]],0),"")</f>
        <v>0</v>
      </c>
      <c r="F1966" s="456"/>
      <c r="G1966" s="456"/>
      <c r="H1966" s="456"/>
    </row>
    <row r="1967" spans="1:8" ht="13.5" customHeight="1">
      <c r="A1967" s="456">
        <v>8963</v>
      </c>
      <c r="B1967" s="457"/>
      <c r="C1967" s="456"/>
      <c r="D1967" s="456">
        <f>IF(Table11[[#This Row],[Current Age]]&gt;19,"Women's",IF(E1967&gt;15,"U19",IF(E1967&gt;13,"U15",IF(E1967&gt;11,"U13",IF(E1967&gt;0,"U11",0)))))</f>
        <v>0</v>
      </c>
      <c r="E1967" s="456">
        <f>IFERROR(IF(Table11[[#This Row],[Year]]&gt;0,$E$1-Table11[[#This Row],[Year]],0),"")</f>
        <v>0</v>
      </c>
      <c r="F1967" s="456"/>
      <c r="G1967" s="456"/>
      <c r="H1967" s="456"/>
    </row>
    <row r="1968" spans="1:8" ht="13.5" customHeight="1">
      <c r="A1968" s="471">
        <v>8964</v>
      </c>
      <c r="B1968" s="540"/>
      <c r="C1968" s="471"/>
      <c r="D1968" s="456">
        <f>IF(Table11[[#This Row],[Current Age]]&gt;19,"Women's",IF(E1968&gt;15,"U19",IF(E1968&gt;13,"U15",IF(E1968&gt;11,"U13",IF(E1968&gt;0,"U11",0)))))</f>
        <v>0</v>
      </c>
      <c r="E1968" s="456">
        <f>IFERROR(IF(Table11[[#This Row],[Year]]&gt;0,$E$1-Table11[[#This Row],[Year]],0),"")</f>
        <v>0</v>
      </c>
      <c r="F1968" s="456"/>
      <c r="G1968" s="456"/>
      <c r="H1968" s="456"/>
    </row>
    <row r="1969" spans="1:8" ht="13.5" customHeight="1">
      <c r="A1969" s="456">
        <v>8965</v>
      </c>
      <c r="B1969" s="457"/>
      <c r="C1969" s="456"/>
      <c r="D1969" s="456">
        <f>IF(Table11[[#This Row],[Current Age]]&gt;19,"Women's",IF(E1969&gt;15,"U19",IF(E1969&gt;13,"U15",IF(E1969&gt;11,"U13",IF(E1969&gt;0,"U11",0)))))</f>
        <v>0</v>
      </c>
      <c r="E1969" s="456">
        <f>IFERROR(IF(Table11[[#This Row],[Year]]&gt;0,$E$1-Table11[[#This Row],[Year]],0),"")</f>
        <v>0</v>
      </c>
      <c r="F1969" s="456"/>
      <c r="G1969" s="456"/>
      <c r="H1969" s="456"/>
    </row>
    <row r="1970" spans="1:8" ht="13.5" customHeight="1">
      <c r="A1970" s="471">
        <v>8966</v>
      </c>
      <c r="B1970" s="540"/>
      <c r="C1970" s="471"/>
      <c r="D1970" s="456">
        <f>IF(Table11[[#This Row],[Current Age]]&gt;19,"Women's",IF(E1970&gt;15,"U19",IF(E1970&gt;13,"U15",IF(E1970&gt;11,"U13",IF(E1970&gt;0,"U11",0)))))</f>
        <v>0</v>
      </c>
      <c r="E1970" s="456">
        <f>IFERROR(IF(Table11[[#This Row],[Year]]&gt;0,$E$1-Table11[[#This Row],[Year]],0),"")</f>
        <v>0</v>
      </c>
      <c r="F1970" s="456"/>
      <c r="G1970" s="456"/>
      <c r="H1970" s="456"/>
    </row>
    <row r="1971" spans="1:8" ht="13.5" customHeight="1">
      <c r="A1971" s="456">
        <v>8967</v>
      </c>
      <c r="B1971" s="457"/>
      <c r="C1971" s="456"/>
      <c r="D1971" s="456">
        <f>IF(Table11[[#This Row],[Current Age]]&gt;19,"Women's",IF(E1971&gt;15,"U19",IF(E1971&gt;13,"U15",IF(E1971&gt;11,"U13",IF(E1971&gt;0,"U11",0)))))</f>
        <v>0</v>
      </c>
      <c r="E1971" s="456">
        <f>IFERROR(IF(Table11[[#This Row],[Year]]&gt;0,$E$1-Table11[[#This Row],[Year]],0),"")</f>
        <v>0</v>
      </c>
      <c r="F1971" s="456"/>
      <c r="G1971" s="456"/>
      <c r="H1971" s="456"/>
    </row>
    <row r="1972" spans="1:8" ht="13.5" customHeight="1">
      <c r="A1972" s="471">
        <v>8968</v>
      </c>
      <c r="B1972" s="540"/>
      <c r="C1972" s="471"/>
      <c r="D1972" s="456">
        <f>IF(Table11[[#This Row],[Current Age]]&gt;19,"Women's",IF(E1972&gt;15,"U19",IF(E1972&gt;13,"U15",IF(E1972&gt;11,"U13",IF(E1972&gt;0,"U11",0)))))</f>
        <v>0</v>
      </c>
      <c r="E1972" s="456">
        <f>IFERROR(IF(Table11[[#This Row],[Year]]&gt;0,$E$1-Table11[[#This Row],[Year]],0),"")</f>
        <v>0</v>
      </c>
      <c r="F1972" s="456"/>
      <c r="G1972" s="456"/>
      <c r="H1972" s="456"/>
    </row>
    <row r="1973" spans="1:8" ht="13.5" customHeight="1">
      <c r="A1973" s="456">
        <v>8969</v>
      </c>
      <c r="B1973" s="457"/>
      <c r="C1973" s="456"/>
      <c r="D1973" s="456">
        <f>IF(Table11[[#This Row],[Current Age]]&gt;19,"Women's",IF(E1973&gt;15,"U19",IF(E1973&gt;13,"U15",IF(E1973&gt;11,"U13",IF(E1973&gt;0,"U11",0)))))</f>
        <v>0</v>
      </c>
      <c r="E1973" s="456">
        <f>IFERROR(IF(Table11[[#This Row],[Year]]&gt;0,$E$1-Table11[[#This Row],[Year]],0),"")</f>
        <v>0</v>
      </c>
      <c r="F1973" s="456"/>
      <c r="G1973" s="456"/>
      <c r="H1973" s="456"/>
    </row>
    <row r="1974" spans="1:8" ht="13.5" customHeight="1">
      <c r="A1974" s="471">
        <v>8970</v>
      </c>
      <c r="B1974" s="540"/>
      <c r="C1974" s="471"/>
      <c r="D1974" s="456">
        <f>IF(Table11[[#This Row],[Current Age]]&gt;19,"Women's",IF(E1974&gt;15,"U19",IF(E1974&gt;13,"U15",IF(E1974&gt;11,"U13",IF(E1974&gt;0,"U11",0)))))</f>
        <v>0</v>
      </c>
      <c r="E1974" s="456">
        <f>IFERROR(IF(Table11[[#This Row],[Year]]&gt;0,$E$1-Table11[[#This Row],[Year]],0),"")</f>
        <v>0</v>
      </c>
      <c r="F1974" s="456"/>
      <c r="G1974" s="456"/>
      <c r="H1974" s="456"/>
    </row>
    <row r="1975" spans="1:8" ht="13.5" customHeight="1">
      <c r="A1975" s="456">
        <v>8971</v>
      </c>
      <c r="B1975" s="457"/>
      <c r="C1975" s="456"/>
      <c r="D1975" s="456">
        <f>IF(Table11[[#This Row],[Current Age]]&gt;19,"Women's",IF(E1975&gt;15,"U19",IF(E1975&gt;13,"U15",IF(E1975&gt;11,"U13",IF(E1975&gt;0,"U11",0)))))</f>
        <v>0</v>
      </c>
      <c r="E1975" s="456">
        <f>IFERROR(IF(Table11[[#This Row],[Year]]&gt;0,$E$1-Table11[[#This Row],[Year]],0),"")</f>
        <v>0</v>
      </c>
      <c r="F1975" s="456"/>
      <c r="G1975" s="456"/>
      <c r="H1975" s="456"/>
    </row>
    <row r="1976" spans="1:8" ht="13.5" customHeight="1">
      <c r="A1976" s="471">
        <v>8972</v>
      </c>
      <c r="B1976" s="540"/>
      <c r="C1976" s="471"/>
      <c r="D1976" s="456">
        <f>IF(Table11[[#This Row],[Current Age]]&gt;19,"Women's",IF(E1976&gt;15,"U19",IF(E1976&gt;13,"U15",IF(E1976&gt;11,"U13",IF(E1976&gt;0,"U11",0)))))</f>
        <v>0</v>
      </c>
      <c r="E1976" s="456">
        <f>IFERROR(IF(Table11[[#This Row],[Year]]&gt;0,$E$1-Table11[[#This Row],[Year]],0),"")</f>
        <v>0</v>
      </c>
      <c r="F1976" s="456"/>
      <c r="G1976" s="456"/>
      <c r="H1976" s="456"/>
    </row>
    <row r="1977" spans="1:8" ht="13.5" customHeight="1">
      <c r="A1977" s="456">
        <v>8973</v>
      </c>
      <c r="B1977" s="457"/>
      <c r="C1977" s="456"/>
      <c r="D1977" s="456">
        <f>IF(Table11[[#This Row],[Current Age]]&gt;19,"Women's",IF(E1977&gt;15,"U19",IF(E1977&gt;13,"U15",IF(E1977&gt;11,"U13",IF(E1977&gt;0,"U11",0)))))</f>
        <v>0</v>
      </c>
      <c r="E1977" s="456">
        <f>IFERROR(IF(Table11[[#This Row],[Year]]&gt;0,$E$1-Table11[[#This Row],[Year]],0),"")</f>
        <v>0</v>
      </c>
      <c r="F1977" s="456"/>
      <c r="G1977" s="456"/>
      <c r="H1977" s="456"/>
    </row>
    <row r="1978" spans="1:8" ht="13.5" customHeight="1">
      <c r="A1978" s="471">
        <v>8974</v>
      </c>
      <c r="B1978" s="540"/>
      <c r="C1978" s="471"/>
      <c r="D1978" s="456">
        <f>IF(Table11[[#This Row],[Current Age]]&gt;19,"Women's",IF(E1978&gt;15,"U19",IF(E1978&gt;13,"U15",IF(E1978&gt;11,"U13",IF(E1978&gt;0,"U11",0)))))</f>
        <v>0</v>
      </c>
      <c r="E1978" s="456">
        <f>IFERROR(IF(Table11[[#This Row],[Year]]&gt;0,$E$1-Table11[[#This Row],[Year]],0),"")</f>
        <v>0</v>
      </c>
      <c r="F1978" s="456"/>
      <c r="G1978" s="456"/>
      <c r="H1978" s="456"/>
    </row>
    <row r="1979" spans="1:8" ht="13.5" customHeight="1">
      <c r="A1979" s="456">
        <v>8975</v>
      </c>
      <c r="B1979" s="457"/>
      <c r="C1979" s="456"/>
      <c r="D1979" s="456">
        <f>IF(Table11[[#This Row],[Current Age]]&gt;19,"Women's",IF(E1979&gt;15,"U19",IF(E1979&gt;13,"U15",IF(E1979&gt;11,"U13",IF(E1979&gt;0,"U11",0)))))</f>
        <v>0</v>
      </c>
      <c r="E1979" s="456">
        <f>IFERROR(IF(Table11[[#This Row],[Year]]&gt;0,$E$1-Table11[[#This Row],[Year]],0),"")</f>
        <v>0</v>
      </c>
      <c r="F1979" s="456"/>
      <c r="G1979" s="456"/>
      <c r="H1979" s="456"/>
    </row>
    <row r="1980" spans="1:8" ht="13.5" customHeight="1">
      <c r="A1980" s="471">
        <v>8976</v>
      </c>
      <c r="B1980" s="540"/>
      <c r="C1980" s="471"/>
      <c r="D1980" s="456">
        <f>IF(Table11[[#This Row],[Current Age]]&gt;19,"Women's",IF(E1980&gt;15,"U19",IF(E1980&gt;13,"U15",IF(E1980&gt;11,"U13",IF(E1980&gt;0,"U11",0)))))</f>
        <v>0</v>
      </c>
      <c r="E1980" s="456">
        <f>IFERROR(IF(Table11[[#This Row],[Year]]&gt;0,$E$1-Table11[[#This Row],[Year]],0),"")</f>
        <v>0</v>
      </c>
      <c r="F1980" s="456"/>
      <c r="G1980" s="456"/>
      <c r="H1980" s="456"/>
    </row>
    <row r="1981" spans="1:8" ht="13.5" customHeight="1">
      <c r="A1981" s="456">
        <v>8977</v>
      </c>
      <c r="B1981" s="457"/>
      <c r="C1981" s="456"/>
      <c r="D1981" s="456">
        <f>IF(Table11[[#This Row],[Current Age]]&gt;19,"Women's",IF(E1981&gt;15,"U19",IF(E1981&gt;13,"U15",IF(E1981&gt;11,"U13",IF(E1981&gt;0,"U11",0)))))</f>
        <v>0</v>
      </c>
      <c r="E1981" s="456">
        <f>IFERROR(IF(Table11[[#This Row],[Year]]&gt;0,$E$1-Table11[[#This Row],[Year]],0),"")</f>
        <v>0</v>
      </c>
      <c r="F1981" s="456"/>
      <c r="G1981" s="456"/>
      <c r="H1981" s="456"/>
    </row>
    <row r="1982" spans="1:8" ht="13.5" customHeight="1">
      <c r="A1982" s="471">
        <v>8978</v>
      </c>
      <c r="B1982" s="540"/>
      <c r="C1982" s="471"/>
      <c r="D1982" s="456">
        <f>IF(Table11[[#This Row],[Current Age]]&gt;19,"Women's",IF(E1982&gt;15,"U19",IF(E1982&gt;13,"U15",IF(E1982&gt;11,"U13",IF(E1982&gt;0,"U11",0)))))</f>
        <v>0</v>
      </c>
      <c r="E1982" s="456">
        <f>IFERROR(IF(Table11[[#This Row],[Year]]&gt;0,$E$1-Table11[[#This Row],[Year]],0),"")</f>
        <v>0</v>
      </c>
      <c r="F1982" s="456"/>
      <c r="G1982" s="456"/>
      <c r="H1982" s="456"/>
    </row>
    <row r="1983" spans="1:8" ht="13.5" customHeight="1">
      <c r="A1983" s="456">
        <v>8979</v>
      </c>
      <c r="B1983" s="457"/>
      <c r="C1983" s="456"/>
      <c r="D1983" s="456">
        <f>IF(Table11[[#This Row],[Current Age]]&gt;19,"Women's",IF(E1983&gt;15,"U19",IF(E1983&gt;13,"U15",IF(E1983&gt;11,"U13",IF(E1983&gt;0,"U11",0)))))</f>
        <v>0</v>
      </c>
      <c r="E1983" s="456">
        <f>IFERROR(IF(Table11[[#This Row],[Year]]&gt;0,$E$1-Table11[[#This Row],[Year]],0),"")</f>
        <v>0</v>
      </c>
      <c r="F1983" s="456"/>
      <c r="G1983" s="456"/>
      <c r="H1983" s="456"/>
    </row>
    <row r="1984" spans="1:8" ht="13.5" customHeight="1">
      <c r="A1984" s="471">
        <v>8980</v>
      </c>
      <c r="B1984" s="540"/>
      <c r="C1984" s="471"/>
      <c r="D1984" s="456">
        <f>IF(Table11[[#This Row],[Current Age]]&gt;19,"Women's",IF(E1984&gt;15,"U19",IF(E1984&gt;13,"U15",IF(E1984&gt;11,"U13",IF(E1984&gt;0,"U11",0)))))</f>
        <v>0</v>
      </c>
      <c r="E1984" s="456">
        <f>IFERROR(IF(Table11[[#This Row],[Year]]&gt;0,$E$1-Table11[[#This Row],[Year]],0),"")</f>
        <v>0</v>
      </c>
      <c r="F1984" s="456"/>
      <c r="G1984" s="456"/>
      <c r="H1984" s="456"/>
    </row>
    <row r="1985" spans="1:8" ht="13.5" customHeight="1">
      <c r="A1985" s="456">
        <v>8981</v>
      </c>
      <c r="B1985" s="457"/>
      <c r="C1985" s="456"/>
      <c r="D1985" s="456">
        <f>IF(Table11[[#This Row],[Current Age]]&gt;19,"Women's",IF(E1985&gt;15,"U19",IF(E1985&gt;13,"U15",IF(E1985&gt;11,"U13",IF(E1985&gt;0,"U11",0)))))</f>
        <v>0</v>
      </c>
      <c r="E1985" s="456">
        <f>IFERROR(IF(Table11[[#This Row],[Year]]&gt;0,$E$1-Table11[[#This Row],[Year]],0),"")</f>
        <v>0</v>
      </c>
      <c r="F1985" s="456"/>
      <c r="G1985" s="456"/>
      <c r="H1985" s="456"/>
    </row>
    <row r="1986" spans="1:8" ht="13.5" customHeight="1">
      <c r="A1986" s="471">
        <v>8982</v>
      </c>
      <c r="B1986" s="540"/>
      <c r="C1986" s="471"/>
      <c r="D1986" s="456">
        <f>IF(Table11[[#This Row],[Current Age]]&gt;19,"Women's",IF(E1986&gt;15,"U19",IF(E1986&gt;13,"U15",IF(E1986&gt;11,"U13",IF(E1986&gt;0,"U11",0)))))</f>
        <v>0</v>
      </c>
      <c r="E1986" s="456">
        <f>IFERROR(IF(Table11[[#This Row],[Year]]&gt;0,$E$1-Table11[[#This Row],[Year]],0),"")</f>
        <v>0</v>
      </c>
      <c r="F1986" s="456"/>
      <c r="G1986" s="456"/>
      <c r="H1986" s="456"/>
    </row>
    <row r="1987" spans="1:8" ht="13.5" customHeight="1">
      <c r="A1987" s="456">
        <v>8983</v>
      </c>
      <c r="B1987" s="457"/>
      <c r="C1987" s="456"/>
      <c r="D1987" s="456">
        <f>IF(Table11[[#This Row],[Current Age]]&gt;19,"Women's",IF(E1987&gt;15,"U19",IF(E1987&gt;13,"U15",IF(E1987&gt;11,"U13",IF(E1987&gt;0,"U11",0)))))</f>
        <v>0</v>
      </c>
      <c r="E1987" s="456">
        <f>IFERROR(IF(Table11[[#This Row],[Year]]&gt;0,$E$1-Table11[[#This Row],[Year]],0),"")</f>
        <v>0</v>
      </c>
      <c r="F1987" s="456"/>
      <c r="G1987" s="456"/>
      <c r="H1987" s="456"/>
    </row>
    <row r="1988" spans="1:8" ht="13.5" customHeight="1">
      <c r="A1988" s="471">
        <v>8984</v>
      </c>
      <c r="B1988" s="540"/>
      <c r="C1988" s="471"/>
      <c r="D1988" s="456">
        <f>IF(Table11[[#This Row],[Current Age]]&gt;19,"Women's",IF(E1988&gt;15,"U19",IF(E1988&gt;13,"U15",IF(E1988&gt;11,"U13",IF(E1988&gt;0,"U11",0)))))</f>
        <v>0</v>
      </c>
      <c r="E1988" s="456">
        <f>IFERROR(IF(Table11[[#This Row],[Year]]&gt;0,$E$1-Table11[[#This Row],[Year]],0),"")</f>
        <v>0</v>
      </c>
      <c r="F1988" s="456"/>
      <c r="G1988" s="456"/>
      <c r="H1988" s="456"/>
    </row>
    <row r="1989" spans="1:8" ht="13.5" customHeight="1">
      <c r="A1989" s="456">
        <v>8985</v>
      </c>
      <c r="B1989" s="457"/>
      <c r="C1989" s="456"/>
      <c r="D1989" s="456">
        <f>IF(Table11[[#This Row],[Current Age]]&gt;19,"Women's",IF(E1989&gt;15,"U19",IF(E1989&gt;13,"U15",IF(E1989&gt;11,"U13",IF(E1989&gt;0,"U11",0)))))</f>
        <v>0</v>
      </c>
      <c r="E1989" s="456">
        <f>IFERROR(IF(Table11[[#This Row],[Year]]&gt;0,$E$1-Table11[[#This Row],[Year]],0),"")</f>
        <v>0</v>
      </c>
      <c r="F1989" s="456"/>
      <c r="G1989" s="456"/>
      <c r="H1989" s="456"/>
    </row>
    <row r="1990" spans="1:8" ht="13.5" customHeight="1">
      <c r="A1990" s="471">
        <v>8986</v>
      </c>
      <c r="B1990" s="540"/>
      <c r="C1990" s="471"/>
      <c r="D1990" s="456">
        <f>IF(Table11[[#This Row],[Current Age]]&gt;19,"Women's",IF(E1990&gt;15,"U19",IF(E1990&gt;13,"U15",IF(E1990&gt;11,"U13",IF(E1990&gt;0,"U11",0)))))</f>
        <v>0</v>
      </c>
      <c r="E1990" s="456">
        <f>IFERROR(IF(Table11[[#This Row],[Year]]&gt;0,$E$1-Table11[[#This Row],[Year]],0),"")</f>
        <v>0</v>
      </c>
      <c r="F1990" s="456"/>
      <c r="G1990" s="456"/>
      <c r="H1990" s="456"/>
    </row>
    <row r="1991" spans="1:8" ht="13.5" customHeight="1">
      <c r="A1991" s="456">
        <v>8987</v>
      </c>
      <c r="B1991" s="457"/>
      <c r="C1991" s="456"/>
      <c r="D1991" s="456">
        <f>IF(Table11[[#This Row],[Current Age]]&gt;19,"Women's",IF(E1991&gt;15,"U19",IF(E1991&gt;13,"U15",IF(E1991&gt;11,"U13",IF(E1991&gt;0,"U11",0)))))</f>
        <v>0</v>
      </c>
      <c r="E1991" s="456">
        <f>IFERROR(IF(Table11[[#This Row],[Year]]&gt;0,$E$1-Table11[[#This Row],[Year]],0),"")</f>
        <v>0</v>
      </c>
      <c r="F1991" s="456"/>
      <c r="G1991" s="456"/>
      <c r="H1991" s="456"/>
    </row>
    <row r="1992" spans="1:8" ht="13.5" customHeight="1">
      <c r="A1992" s="471">
        <v>8988</v>
      </c>
      <c r="B1992" s="540"/>
      <c r="C1992" s="471"/>
      <c r="D1992" s="456">
        <f>IF(Table11[[#This Row],[Current Age]]&gt;19,"Women's",IF(E1992&gt;15,"U19",IF(E1992&gt;13,"U15",IF(E1992&gt;11,"U13",IF(E1992&gt;0,"U11",0)))))</f>
        <v>0</v>
      </c>
      <c r="E1992" s="456">
        <f>IFERROR(IF(Table11[[#This Row],[Year]]&gt;0,$E$1-Table11[[#This Row],[Year]],0),"")</f>
        <v>0</v>
      </c>
      <c r="F1992" s="456"/>
      <c r="G1992" s="456"/>
      <c r="H1992" s="456"/>
    </row>
    <row r="1993" spans="1:8" ht="13.5" customHeight="1">
      <c r="A1993" s="456">
        <v>8989</v>
      </c>
      <c r="B1993" s="457"/>
      <c r="C1993" s="456"/>
      <c r="D1993" s="456">
        <f>IF(Table11[[#This Row],[Current Age]]&gt;19,"Women's",IF(E1993&gt;15,"U19",IF(E1993&gt;13,"U15",IF(E1993&gt;11,"U13",IF(E1993&gt;0,"U11",0)))))</f>
        <v>0</v>
      </c>
      <c r="E1993" s="456">
        <f>IFERROR(IF(Table11[[#This Row],[Year]]&gt;0,$E$1-Table11[[#This Row],[Year]],0),"")</f>
        <v>0</v>
      </c>
      <c r="F1993" s="456"/>
      <c r="G1993" s="456"/>
      <c r="H1993" s="456"/>
    </row>
    <row r="1994" spans="1:8" ht="13.5" customHeight="1">
      <c r="A1994" s="471">
        <v>8990</v>
      </c>
      <c r="B1994" s="540"/>
      <c r="C1994" s="471"/>
      <c r="D1994" s="456">
        <f>IF(Table11[[#This Row],[Current Age]]&gt;19,"Women's",IF(E1994&gt;15,"U19",IF(E1994&gt;13,"U15",IF(E1994&gt;11,"U13",IF(E1994&gt;0,"U11",0)))))</f>
        <v>0</v>
      </c>
      <c r="E1994" s="456">
        <f>IFERROR(IF(Table11[[#This Row],[Year]]&gt;0,$E$1-Table11[[#This Row],[Year]],0),"")</f>
        <v>0</v>
      </c>
      <c r="F1994" s="456"/>
      <c r="G1994" s="456"/>
      <c r="H1994" s="456"/>
    </row>
    <row r="1995" spans="1:8" ht="13.5" customHeight="1">
      <c r="A1995" s="456">
        <v>8991</v>
      </c>
      <c r="B1995" s="457"/>
      <c r="C1995" s="456"/>
      <c r="D1995" s="456">
        <f>IF(Table11[[#This Row],[Current Age]]&gt;19,"Women's",IF(E1995&gt;15,"U19",IF(E1995&gt;13,"U15",IF(E1995&gt;11,"U13",IF(E1995&gt;0,"U11",0)))))</f>
        <v>0</v>
      </c>
      <c r="E1995" s="456">
        <f>IFERROR(IF(Table11[[#This Row],[Year]]&gt;0,$E$1-Table11[[#This Row],[Year]],0),"")</f>
        <v>0</v>
      </c>
      <c r="F1995" s="456"/>
      <c r="G1995" s="456"/>
      <c r="H1995" s="456"/>
    </row>
    <row r="1996" spans="1:8" ht="13.5" customHeight="1">
      <c r="A1996" s="471">
        <v>8992</v>
      </c>
      <c r="B1996" s="540"/>
      <c r="C1996" s="471"/>
      <c r="D1996" s="456">
        <f>IF(Table11[[#This Row],[Current Age]]&gt;19,"Women's",IF(E1996&gt;15,"U19",IF(E1996&gt;13,"U15",IF(E1996&gt;11,"U13",IF(E1996&gt;0,"U11",0)))))</f>
        <v>0</v>
      </c>
      <c r="E1996" s="456">
        <f>IFERROR(IF(Table11[[#This Row],[Year]]&gt;0,$E$1-Table11[[#This Row],[Year]],0),"")</f>
        <v>0</v>
      </c>
      <c r="F1996" s="456"/>
      <c r="G1996" s="456"/>
      <c r="H1996" s="456"/>
    </row>
    <row r="1997" spans="1:8" ht="13.5" customHeight="1">
      <c r="A1997" s="456">
        <v>8993</v>
      </c>
      <c r="B1997" s="457"/>
      <c r="C1997" s="456"/>
      <c r="D1997" s="456">
        <f>IF(Table11[[#This Row],[Current Age]]&gt;19,"Women's",IF(E1997&gt;15,"U19",IF(E1997&gt;13,"U15",IF(E1997&gt;11,"U13",IF(E1997&gt;0,"U11",0)))))</f>
        <v>0</v>
      </c>
      <c r="E1997" s="456">
        <f>IFERROR(IF(Table11[[#This Row],[Year]]&gt;0,$E$1-Table11[[#This Row],[Year]],0),"")</f>
        <v>0</v>
      </c>
      <c r="F1997" s="456"/>
      <c r="G1997" s="456"/>
      <c r="H1997" s="456"/>
    </row>
    <row r="1998" spans="1:8" ht="13.5" customHeight="1">
      <c r="A1998" s="471">
        <v>8994</v>
      </c>
      <c r="B1998" s="540"/>
      <c r="C1998" s="471"/>
      <c r="D1998" s="456">
        <f>IF(Table11[[#This Row],[Current Age]]&gt;19,"Women's",IF(E1998&gt;15,"U19",IF(E1998&gt;13,"U15",IF(E1998&gt;11,"U13",IF(E1998&gt;0,"U11",0)))))</f>
        <v>0</v>
      </c>
      <c r="E1998" s="456">
        <f>IFERROR(IF(Table11[[#This Row],[Year]]&gt;0,$E$1-Table11[[#This Row],[Year]],0),"")</f>
        <v>0</v>
      </c>
      <c r="F1998" s="456"/>
      <c r="G1998" s="456"/>
      <c r="H1998" s="456"/>
    </row>
    <row r="1999" spans="1:8" ht="13.5" customHeight="1">
      <c r="A1999" s="456">
        <v>8995</v>
      </c>
      <c r="B1999" s="457"/>
      <c r="C1999" s="456"/>
      <c r="D1999" s="456">
        <f>IF(Table11[[#This Row],[Current Age]]&gt;19,"Women's",IF(E1999&gt;15,"U19",IF(E1999&gt;13,"U15",IF(E1999&gt;11,"U13",IF(E1999&gt;0,"U11",0)))))</f>
        <v>0</v>
      </c>
      <c r="E1999" s="456">
        <f>IFERROR(IF(Table11[[#This Row],[Year]]&gt;0,$E$1-Table11[[#This Row],[Year]],0),"")</f>
        <v>0</v>
      </c>
      <c r="F1999" s="456"/>
      <c r="G1999" s="456"/>
      <c r="H1999" s="456"/>
    </row>
    <row r="2000" spans="1:8" ht="13.5" customHeight="1">
      <c r="A2000" s="471">
        <v>8996</v>
      </c>
      <c r="B2000" s="540"/>
      <c r="C2000" s="471"/>
      <c r="D2000" s="456">
        <f>IF(Table11[[#This Row],[Current Age]]&gt;19,"Women's",IF(E2000&gt;15,"U19",IF(E2000&gt;13,"U15",IF(E2000&gt;11,"U13",IF(E2000&gt;0,"U11",0)))))</f>
        <v>0</v>
      </c>
      <c r="E2000" s="456">
        <f>IFERROR(IF(Table11[[#This Row],[Year]]&gt;0,$E$1-Table11[[#This Row],[Year]],0),"")</f>
        <v>0</v>
      </c>
      <c r="F2000" s="456"/>
      <c r="G2000" s="456"/>
      <c r="H2000" s="456"/>
    </row>
    <row r="2001" spans="1:8" ht="13.5" customHeight="1">
      <c r="A2001" s="456">
        <v>8997</v>
      </c>
      <c r="B2001" s="457"/>
      <c r="C2001" s="456"/>
      <c r="D2001" s="456">
        <f>IF(Table11[[#This Row],[Current Age]]&gt;19,"Women's",IF(E2001&gt;15,"U19",IF(E2001&gt;13,"U15",IF(E2001&gt;11,"U13",IF(E2001&gt;0,"U11",0)))))</f>
        <v>0</v>
      </c>
      <c r="E2001" s="456">
        <f>IFERROR(IF(Table11[[#This Row],[Year]]&gt;0,$E$1-Table11[[#This Row],[Year]],0),"")</f>
        <v>0</v>
      </c>
      <c r="F2001" s="456"/>
      <c r="G2001" s="456"/>
      <c r="H2001" s="456"/>
    </row>
    <row r="2002" spans="1:8" ht="13.5" customHeight="1">
      <c r="A2002" s="471">
        <v>8998</v>
      </c>
      <c r="B2002" s="540"/>
      <c r="C2002" s="471"/>
      <c r="D2002" s="456">
        <f>IF(Table11[[#This Row],[Current Age]]&gt;19,"Women's",IF(E2002&gt;15,"U19",IF(E2002&gt;13,"U15",IF(E2002&gt;11,"U13",IF(E2002&gt;0,"U11",0)))))</f>
        <v>0</v>
      </c>
      <c r="E2002" s="456">
        <f>IFERROR(IF(Table11[[#This Row],[Year]]&gt;0,$E$1-Table11[[#This Row],[Year]],0),"")</f>
        <v>0</v>
      </c>
      <c r="F2002" s="456"/>
      <c r="G2002" s="456"/>
      <c r="H2002" s="456"/>
    </row>
    <row r="2003" spans="1:8" ht="13.5" customHeight="1">
      <c r="A2003" s="456">
        <v>8999</v>
      </c>
      <c r="B2003" s="457"/>
      <c r="C2003" s="456"/>
      <c r="D2003" s="456">
        <f>IF(Table11[[#This Row],[Current Age]]&gt;19,"Women's",IF(E2003&gt;15,"U19",IF(E2003&gt;13,"U15",IF(E2003&gt;11,"U13",IF(E2003&gt;0,"U11",0)))))</f>
        <v>0</v>
      </c>
      <c r="E2003" s="456">
        <f>IFERROR(IF(Table11[[#This Row],[Year]]&gt;0,$E$1-Table11[[#This Row],[Year]],0),"")</f>
        <v>0</v>
      </c>
      <c r="F2003" s="456"/>
      <c r="G2003" s="456"/>
      <c r="H2003" s="456"/>
    </row>
    <row r="2004" spans="1:8" ht="13.5" customHeight="1">
      <c r="A2004" s="471">
        <v>9000</v>
      </c>
      <c r="B2004" s="540"/>
      <c r="C2004" s="471"/>
      <c r="D2004" s="456">
        <f>IF(Table11[[#This Row],[Current Age]]&gt;19,"Women's",IF(E2004&gt;15,"U19",IF(E2004&gt;13,"U15",IF(E2004&gt;11,"U13",IF(E2004&gt;0,"U11",0)))))</f>
        <v>0</v>
      </c>
      <c r="E2004" s="456">
        <f>IFERROR(IF(Table11[[#This Row],[Year]]&gt;0,$E$1-Table11[[#This Row],[Year]],0),"")</f>
        <v>0</v>
      </c>
      <c r="F2004" s="456"/>
      <c r="G2004" s="456"/>
      <c r="H2004" s="456"/>
    </row>
    <row r="2005" spans="1:8" ht="13.5" customHeight="1">
      <c r="A2005" s="456">
        <v>9001</v>
      </c>
      <c r="B2005" s="457"/>
      <c r="C2005" s="456"/>
      <c r="D2005" s="456">
        <f>IF(Table11[[#This Row],[Current Age]]&gt;19,"Women's",IF(E2005&gt;15,"U19",IF(E2005&gt;13,"U15",IF(E2005&gt;11,"U13",IF(E2005&gt;0,"U11",0)))))</f>
        <v>0</v>
      </c>
      <c r="E2005" s="456">
        <f>IFERROR(IF(Table11[[#This Row],[Year]]&gt;0,$E$1-Table11[[#This Row],[Year]],0),"")</f>
        <v>0</v>
      </c>
      <c r="F2005" s="456"/>
      <c r="G2005" s="456"/>
      <c r="H2005" s="456"/>
    </row>
    <row r="2006" spans="1:8" ht="13.5" customHeight="1">
      <c r="A2006" s="471">
        <v>9002</v>
      </c>
      <c r="B2006" s="540"/>
      <c r="C2006" s="471"/>
      <c r="D2006" s="456">
        <f>IF(Table11[[#This Row],[Current Age]]&gt;19,"Women's",IF(E2006&gt;15,"U19",IF(E2006&gt;13,"U15",IF(E2006&gt;11,"U13",IF(E2006&gt;0,"U11",0)))))</f>
        <v>0</v>
      </c>
      <c r="E2006" s="456">
        <f>IFERROR(IF(Table11[[#This Row],[Year]]&gt;0,$E$1-Table11[[#This Row],[Year]],0),"")</f>
        <v>0</v>
      </c>
      <c r="F2006" s="456"/>
      <c r="G2006" s="456"/>
      <c r="H2006" s="456"/>
    </row>
    <row r="2007" spans="1:8" ht="13.5" customHeight="1">
      <c r="A2007" s="456">
        <v>9003</v>
      </c>
      <c r="B2007" s="457"/>
      <c r="C2007" s="456"/>
      <c r="D2007" s="456">
        <f>IF(Table11[[#This Row],[Current Age]]&gt;19,"Women's",IF(E2007&gt;15,"U19",IF(E2007&gt;13,"U15",IF(E2007&gt;11,"U13",IF(E2007&gt;0,"U11",0)))))</f>
        <v>0</v>
      </c>
      <c r="E2007" s="456">
        <f>IFERROR(IF(Table11[[#This Row],[Year]]&gt;0,$E$1-Table11[[#This Row],[Year]],0),"")</f>
        <v>0</v>
      </c>
      <c r="F2007" s="456"/>
      <c r="G2007" s="456"/>
      <c r="H2007" s="456"/>
    </row>
    <row r="2008" spans="1:8" ht="13.5" customHeight="1">
      <c r="A2008" s="471">
        <v>9004</v>
      </c>
      <c r="B2008" s="540"/>
      <c r="C2008" s="471"/>
      <c r="D2008" s="456">
        <f>IF(Table11[[#This Row],[Current Age]]&gt;19,"Women's",IF(E2008&gt;15,"U19",IF(E2008&gt;13,"U15",IF(E2008&gt;11,"U13",IF(E2008&gt;0,"U11",0)))))</f>
        <v>0</v>
      </c>
      <c r="E2008" s="456">
        <f>IFERROR(IF(Table11[[#This Row],[Year]]&gt;0,$E$1-Table11[[#This Row],[Year]],0),"")</f>
        <v>0</v>
      </c>
      <c r="F2008" s="456"/>
      <c r="G2008" s="456"/>
      <c r="H2008" s="456"/>
    </row>
    <row r="2009" spans="1:8" ht="13.5" customHeight="1">
      <c r="A2009" s="456">
        <v>9005</v>
      </c>
      <c r="B2009" s="457"/>
      <c r="C2009" s="456"/>
      <c r="D2009" s="456">
        <f>IF(Table11[[#This Row],[Current Age]]&gt;19,"Women's",IF(E2009&gt;15,"U19",IF(E2009&gt;13,"U15",IF(E2009&gt;11,"U13",IF(E2009&gt;0,"U11",0)))))</f>
        <v>0</v>
      </c>
      <c r="E2009" s="456">
        <f>IFERROR(IF(Table11[[#This Row],[Year]]&gt;0,$E$1-Table11[[#This Row],[Year]],0),"")</f>
        <v>0</v>
      </c>
      <c r="F2009" s="456"/>
      <c r="G2009" s="456"/>
      <c r="H2009" s="456"/>
    </row>
    <row r="2010" spans="1:8" ht="13.5" customHeight="1">
      <c r="A2010" s="471">
        <v>9006</v>
      </c>
      <c r="B2010" s="540"/>
      <c r="C2010" s="471"/>
      <c r="D2010" s="456">
        <f>IF(Table11[[#This Row],[Current Age]]&gt;19,"Women's",IF(E2010&gt;15,"U19",IF(E2010&gt;13,"U15",IF(E2010&gt;11,"U13",IF(E2010&gt;0,"U11",0)))))</f>
        <v>0</v>
      </c>
      <c r="E2010" s="456">
        <f>IFERROR(IF(Table11[[#This Row],[Year]]&gt;0,$E$1-Table11[[#This Row],[Year]],0),"")</f>
        <v>0</v>
      </c>
      <c r="F2010" s="456"/>
      <c r="G2010" s="456"/>
      <c r="H2010" s="456"/>
    </row>
    <row r="2011" spans="1:8" ht="13.5" customHeight="1">
      <c r="A2011" s="456">
        <v>9007</v>
      </c>
      <c r="B2011" s="457"/>
      <c r="C2011" s="456"/>
      <c r="D2011" s="456">
        <f>IF(Table11[[#This Row],[Current Age]]&gt;19,"Women's",IF(E2011&gt;15,"U19",IF(E2011&gt;13,"U15",IF(E2011&gt;11,"U13",IF(E2011&gt;0,"U11",0)))))</f>
        <v>0</v>
      </c>
      <c r="E2011" s="456">
        <f>IFERROR(IF(Table11[[#This Row],[Year]]&gt;0,$E$1-Table11[[#This Row],[Year]],0),"")</f>
        <v>0</v>
      </c>
      <c r="F2011" s="456"/>
      <c r="G2011" s="456"/>
      <c r="H2011" s="456"/>
    </row>
    <row r="2012" spans="1:8" ht="13.5" customHeight="1">
      <c r="A2012" s="471">
        <v>9008</v>
      </c>
      <c r="B2012" s="540"/>
      <c r="C2012" s="471"/>
      <c r="D2012" s="456">
        <f>IF(Table11[[#This Row],[Current Age]]&gt;19,"Women's",IF(E2012&gt;15,"U19",IF(E2012&gt;13,"U15",IF(E2012&gt;11,"U13",IF(E2012&gt;0,"U11",0)))))</f>
        <v>0</v>
      </c>
      <c r="E2012" s="456">
        <f>IFERROR(IF(Table11[[#This Row],[Year]]&gt;0,$E$1-Table11[[#This Row],[Year]],0),"")</f>
        <v>0</v>
      </c>
      <c r="F2012" s="456"/>
      <c r="G2012" s="456"/>
      <c r="H2012" s="456"/>
    </row>
    <row r="2013" spans="1:8" ht="13.5" customHeight="1">
      <c r="A2013" s="456">
        <v>9009</v>
      </c>
      <c r="B2013" s="457"/>
      <c r="C2013" s="456"/>
      <c r="D2013" s="456">
        <f>IF(Table11[[#This Row],[Current Age]]&gt;19,"Women's",IF(E2013&gt;15,"U19",IF(E2013&gt;13,"U15",IF(E2013&gt;11,"U13",IF(E2013&gt;0,"U11",0)))))</f>
        <v>0</v>
      </c>
      <c r="E2013" s="456">
        <f>IFERROR(IF(Table11[[#This Row],[Year]]&gt;0,$E$1-Table11[[#This Row],[Year]],0),"")</f>
        <v>0</v>
      </c>
      <c r="F2013" s="456"/>
      <c r="G2013" s="456"/>
      <c r="H2013" s="456"/>
    </row>
    <row r="2014" spans="1:8" ht="13.5" customHeight="1">
      <c r="A2014" s="471">
        <v>9010</v>
      </c>
      <c r="B2014" s="540"/>
      <c r="C2014" s="471"/>
      <c r="D2014" s="456">
        <f>IF(Table11[[#This Row],[Current Age]]&gt;19,"Women's",IF(E2014&gt;15,"U19",IF(E2014&gt;13,"U15",IF(E2014&gt;11,"U13",IF(E2014&gt;0,"U11",0)))))</f>
        <v>0</v>
      </c>
      <c r="E2014" s="456">
        <f>IFERROR(IF(Table11[[#This Row],[Year]]&gt;0,$E$1-Table11[[#This Row],[Year]],0),"")</f>
        <v>0</v>
      </c>
      <c r="F2014" s="456"/>
      <c r="G2014" s="456"/>
      <c r="H2014" s="456"/>
    </row>
    <row r="2015" spans="1:8" ht="13.5" customHeight="1">
      <c r="A2015" s="456">
        <v>9011</v>
      </c>
      <c r="B2015" s="457"/>
      <c r="C2015" s="456"/>
      <c r="D2015" s="456">
        <f>IF(Table11[[#This Row],[Current Age]]&gt;19,"Women's",IF(E2015&gt;15,"U19",IF(E2015&gt;13,"U15",IF(E2015&gt;11,"U13",IF(E2015&gt;0,"U11",0)))))</f>
        <v>0</v>
      </c>
      <c r="E2015" s="456">
        <f>IFERROR(IF(Table11[[#This Row],[Year]]&gt;0,$E$1-Table11[[#This Row],[Year]],0),"")</f>
        <v>0</v>
      </c>
      <c r="F2015" s="456"/>
      <c r="G2015" s="456"/>
      <c r="H2015" s="456"/>
    </row>
    <row r="2016" spans="1:8" ht="13.5" customHeight="1">
      <c r="A2016" s="471">
        <v>9012</v>
      </c>
      <c r="B2016" s="540"/>
      <c r="C2016" s="471"/>
      <c r="D2016" s="456">
        <f>IF(Table11[[#This Row],[Current Age]]&gt;19,"Women's",IF(E2016&gt;15,"U19",IF(E2016&gt;13,"U15",IF(E2016&gt;11,"U13",IF(E2016&gt;0,"U11",0)))))</f>
        <v>0</v>
      </c>
      <c r="E2016" s="456">
        <f>IFERROR(IF(Table11[[#This Row],[Year]]&gt;0,$E$1-Table11[[#This Row],[Year]],0),"")</f>
        <v>0</v>
      </c>
      <c r="F2016" s="456"/>
      <c r="G2016" s="456"/>
      <c r="H2016" s="456"/>
    </row>
    <row r="2017" spans="1:8" ht="13.5" customHeight="1">
      <c r="A2017" s="456">
        <v>9013</v>
      </c>
      <c r="B2017" s="457"/>
      <c r="C2017" s="456"/>
      <c r="D2017" s="456">
        <f>IF(Table11[[#This Row],[Current Age]]&gt;19,"Women's",IF(E2017&gt;15,"U19",IF(E2017&gt;13,"U15",IF(E2017&gt;11,"U13",IF(E2017&gt;0,"U11",0)))))</f>
        <v>0</v>
      </c>
      <c r="E2017" s="456">
        <f>IFERROR(IF(Table11[[#This Row],[Year]]&gt;0,$E$1-Table11[[#This Row],[Year]],0),"")</f>
        <v>0</v>
      </c>
      <c r="F2017" s="456"/>
      <c r="G2017" s="456"/>
      <c r="H2017" s="456"/>
    </row>
    <row r="2018" spans="1:8" ht="13.5" customHeight="1">
      <c r="A2018" s="471">
        <v>9014</v>
      </c>
      <c r="B2018" s="540"/>
      <c r="C2018" s="471"/>
      <c r="D2018" s="456">
        <f>IF(Table11[[#This Row],[Current Age]]&gt;19,"Women's",IF(E2018&gt;15,"U19",IF(E2018&gt;13,"U15",IF(E2018&gt;11,"U13",IF(E2018&gt;0,"U11",0)))))</f>
        <v>0</v>
      </c>
      <c r="E2018" s="456">
        <f>IFERROR(IF(Table11[[#This Row],[Year]]&gt;0,$E$1-Table11[[#This Row],[Year]],0),"")</f>
        <v>0</v>
      </c>
      <c r="F2018" s="456"/>
      <c r="G2018" s="456"/>
      <c r="H2018" s="456"/>
    </row>
    <row r="2019" spans="1:8" ht="13.5" customHeight="1">
      <c r="A2019" s="456">
        <v>9015</v>
      </c>
      <c r="B2019" s="457"/>
      <c r="C2019" s="456"/>
      <c r="D2019" s="456">
        <f>IF(Table11[[#This Row],[Current Age]]&gt;19,"Women's",IF(E2019&gt;15,"U19",IF(E2019&gt;13,"U15",IF(E2019&gt;11,"U13",IF(E2019&gt;0,"U11",0)))))</f>
        <v>0</v>
      </c>
      <c r="E2019" s="456">
        <f>IFERROR(IF(Table11[[#This Row],[Year]]&gt;0,$E$1-Table11[[#This Row],[Year]],0),"")</f>
        <v>0</v>
      </c>
      <c r="F2019" s="456"/>
      <c r="G2019" s="456"/>
      <c r="H2019" s="456"/>
    </row>
    <row r="2020" spans="1:8" ht="13.5" customHeight="1">
      <c r="A2020" s="471">
        <v>9016</v>
      </c>
      <c r="B2020" s="540"/>
      <c r="C2020" s="471"/>
      <c r="D2020" s="456">
        <f>IF(Table11[[#This Row],[Current Age]]&gt;19,"Women's",IF(E2020&gt;15,"U19",IF(E2020&gt;13,"U15",IF(E2020&gt;11,"U13",IF(E2020&gt;0,"U11",0)))))</f>
        <v>0</v>
      </c>
      <c r="E2020" s="456">
        <f>IFERROR(IF(Table11[[#This Row],[Year]]&gt;0,$E$1-Table11[[#This Row],[Year]],0),"")</f>
        <v>0</v>
      </c>
      <c r="F2020" s="456"/>
      <c r="G2020" s="456"/>
      <c r="H2020" s="456"/>
    </row>
    <row r="2021" spans="1:8" ht="13.5" customHeight="1">
      <c r="A2021" s="456">
        <v>9017</v>
      </c>
      <c r="B2021" s="457"/>
      <c r="C2021" s="456"/>
      <c r="D2021" s="456">
        <f>IF(Table11[[#This Row],[Current Age]]&gt;19,"Women's",IF(E2021&gt;15,"U19",IF(E2021&gt;13,"U15",IF(E2021&gt;11,"U13",IF(E2021&gt;0,"U11",0)))))</f>
        <v>0</v>
      </c>
      <c r="E2021" s="456">
        <f>IFERROR(IF(Table11[[#This Row],[Year]]&gt;0,$E$1-Table11[[#This Row],[Year]],0),"")</f>
        <v>0</v>
      </c>
      <c r="F2021" s="456"/>
      <c r="G2021" s="456"/>
      <c r="H2021" s="456"/>
    </row>
    <row r="2022" spans="1:8" ht="13.5" customHeight="1">
      <c r="A2022" s="471">
        <v>9018</v>
      </c>
      <c r="B2022" s="540"/>
      <c r="C2022" s="471"/>
      <c r="D2022" s="456">
        <f>IF(Table11[[#This Row],[Current Age]]&gt;19,"Women's",IF(E2022&gt;15,"U19",IF(E2022&gt;13,"U15",IF(E2022&gt;11,"U13",IF(E2022&gt;0,"U11",0)))))</f>
        <v>0</v>
      </c>
      <c r="E2022" s="456">
        <f>IFERROR(IF(Table11[[#This Row],[Year]]&gt;0,$E$1-Table11[[#This Row],[Year]],0),"")</f>
        <v>0</v>
      </c>
      <c r="F2022" s="456"/>
      <c r="G2022" s="456"/>
      <c r="H2022" s="456"/>
    </row>
    <row r="2023" spans="1:8" ht="13.5" customHeight="1">
      <c r="A2023" s="456">
        <v>9019</v>
      </c>
      <c r="B2023" s="457"/>
      <c r="C2023" s="456"/>
      <c r="D2023" s="456">
        <f>IF(Table11[[#This Row],[Current Age]]&gt;19,"Women's",IF(E2023&gt;15,"U19",IF(E2023&gt;13,"U15",IF(E2023&gt;11,"U13",IF(E2023&gt;0,"U11",0)))))</f>
        <v>0</v>
      </c>
      <c r="E2023" s="456">
        <f>IFERROR(IF(Table11[[#This Row],[Year]]&gt;0,$E$1-Table11[[#This Row],[Year]],0),"")</f>
        <v>0</v>
      </c>
      <c r="F2023" s="456"/>
      <c r="G2023" s="456"/>
      <c r="H2023" s="456"/>
    </row>
    <row r="2024" spans="1:8" ht="13.5" customHeight="1">
      <c r="A2024" s="471">
        <v>9020</v>
      </c>
      <c r="B2024" s="540"/>
      <c r="C2024" s="471"/>
      <c r="D2024" s="456">
        <f>IF(Table11[[#This Row],[Current Age]]&gt;19,"Women's",IF(E2024&gt;15,"U19",IF(E2024&gt;13,"U15",IF(E2024&gt;11,"U13",IF(E2024&gt;0,"U11",0)))))</f>
        <v>0</v>
      </c>
      <c r="E2024" s="456">
        <f>IFERROR(IF(Table11[[#This Row],[Year]]&gt;0,$E$1-Table11[[#This Row],[Year]],0),"")</f>
        <v>0</v>
      </c>
      <c r="F2024" s="456"/>
      <c r="G2024" s="456"/>
      <c r="H2024" s="456"/>
    </row>
    <row r="2025" spans="1:8" ht="13.5" customHeight="1">
      <c r="A2025" s="456">
        <v>9021</v>
      </c>
      <c r="B2025" s="457"/>
      <c r="C2025" s="456"/>
      <c r="D2025" s="456">
        <f>IF(Table11[[#This Row],[Current Age]]&gt;19,"Women's",IF(E2025&gt;15,"U19",IF(E2025&gt;13,"U15",IF(E2025&gt;11,"U13",IF(E2025&gt;0,"U11",0)))))</f>
        <v>0</v>
      </c>
      <c r="E2025" s="456">
        <f>IFERROR(IF(Table11[[#This Row],[Year]]&gt;0,$E$1-Table11[[#This Row],[Year]],0),"")</f>
        <v>0</v>
      </c>
      <c r="F2025" s="456"/>
      <c r="G2025" s="456"/>
      <c r="H2025" s="456"/>
    </row>
    <row r="2026" spans="1:8" ht="13.5" customHeight="1">
      <c r="A2026" s="471">
        <v>9022</v>
      </c>
      <c r="B2026" s="540"/>
      <c r="C2026" s="471"/>
      <c r="D2026" s="456">
        <f>IF(Table11[[#This Row],[Current Age]]&gt;19,"Women's",IF(E2026&gt;15,"U19",IF(E2026&gt;13,"U15",IF(E2026&gt;11,"U13",IF(E2026&gt;0,"U11",0)))))</f>
        <v>0</v>
      </c>
      <c r="E2026" s="456">
        <f>IFERROR(IF(Table11[[#This Row],[Year]]&gt;0,$E$1-Table11[[#This Row],[Year]],0),"")</f>
        <v>0</v>
      </c>
      <c r="F2026" s="456"/>
      <c r="G2026" s="456"/>
      <c r="H2026" s="456"/>
    </row>
    <row r="2027" spans="1:8" ht="13.5" customHeight="1">
      <c r="A2027" s="456">
        <v>9023</v>
      </c>
      <c r="B2027" s="457"/>
      <c r="C2027" s="456"/>
      <c r="D2027" s="456">
        <f>IF(Table11[[#This Row],[Current Age]]&gt;19,"Women's",IF(E2027&gt;15,"U19",IF(E2027&gt;13,"U15",IF(E2027&gt;11,"U13",IF(E2027&gt;0,"U11",0)))))</f>
        <v>0</v>
      </c>
      <c r="E2027" s="456">
        <f>IFERROR(IF(Table11[[#This Row],[Year]]&gt;0,$E$1-Table11[[#This Row],[Year]],0),"")</f>
        <v>0</v>
      </c>
      <c r="F2027" s="456"/>
      <c r="G2027" s="456"/>
      <c r="H2027" s="456"/>
    </row>
    <row r="2028" spans="1:8" ht="13.5" customHeight="1">
      <c r="A2028" s="471">
        <v>9024</v>
      </c>
      <c r="B2028" s="540"/>
      <c r="C2028" s="471"/>
      <c r="D2028" s="456">
        <f>IF(Table11[[#This Row],[Current Age]]&gt;19,"Women's",IF(E2028&gt;15,"U19",IF(E2028&gt;13,"U15",IF(E2028&gt;11,"U13",IF(E2028&gt;0,"U11",0)))))</f>
        <v>0</v>
      </c>
      <c r="E2028" s="456">
        <f>IFERROR(IF(Table11[[#This Row],[Year]]&gt;0,$E$1-Table11[[#This Row],[Year]],0),"")</f>
        <v>0</v>
      </c>
      <c r="F2028" s="456"/>
      <c r="G2028" s="456"/>
      <c r="H2028" s="456"/>
    </row>
    <row r="2029" spans="1:8" ht="13.5" customHeight="1">
      <c r="A2029" s="456">
        <v>9025</v>
      </c>
      <c r="B2029" s="457"/>
      <c r="C2029" s="456"/>
      <c r="D2029" s="456">
        <f>IF(Table11[[#This Row],[Current Age]]&gt;19,"Women's",IF(E2029&gt;15,"U19",IF(E2029&gt;13,"U15",IF(E2029&gt;11,"U13",IF(E2029&gt;0,"U11",0)))))</f>
        <v>0</v>
      </c>
      <c r="E2029" s="456">
        <f>IFERROR(IF(Table11[[#This Row],[Year]]&gt;0,$E$1-Table11[[#This Row],[Year]],0),"")</f>
        <v>0</v>
      </c>
      <c r="F2029" s="456"/>
      <c r="G2029" s="456"/>
      <c r="H2029" s="456"/>
    </row>
    <row r="2030" spans="1:8" ht="13.5" customHeight="1">
      <c r="A2030" s="471">
        <v>9026</v>
      </c>
      <c r="B2030" s="540"/>
      <c r="C2030" s="471"/>
      <c r="D2030" s="456">
        <f>IF(Table11[[#This Row],[Current Age]]&gt;19,"Women's",IF(E2030&gt;15,"U19",IF(E2030&gt;13,"U15",IF(E2030&gt;11,"U13",IF(E2030&gt;0,"U11",0)))))</f>
        <v>0</v>
      </c>
      <c r="E2030" s="456">
        <f>IFERROR(IF(Table11[[#This Row],[Year]]&gt;0,$E$1-Table11[[#This Row],[Year]],0),"")</f>
        <v>0</v>
      </c>
      <c r="F2030" s="456"/>
      <c r="G2030" s="456"/>
      <c r="H2030" s="456"/>
    </row>
    <row r="2031" spans="1:8" ht="13.5" customHeight="1">
      <c r="A2031" s="456">
        <v>9027</v>
      </c>
      <c r="B2031" s="457"/>
      <c r="C2031" s="456"/>
      <c r="D2031" s="456">
        <f>IF(Table11[[#This Row],[Current Age]]&gt;19,"Women's",IF(E2031&gt;15,"U19",IF(E2031&gt;13,"U15",IF(E2031&gt;11,"U13",IF(E2031&gt;0,"U11",0)))))</f>
        <v>0</v>
      </c>
      <c r="E2031" s="456">
        <f>IFERROR(IF(Table11[[#This Row],[Year]]&gt;0,$E$1-Table11[[#This Row],[Year]],0),"")</f>
        <v>0</v>
      </c>
      <c r="F2031" s="456"/>
      <c r="G2031" s="456"/>
      <c r="H2031" s="456"/>
    </row>
    <row r="2032" spans="1:8" ht="13.5" customHeight="1">
      <c r="A2032" s="471">
        <v>9028</v>
      </c>
      <c r="B2032" s="540"/>
      <c r="C2032" s="471"/>
      <c r="D2032" s="456">
        <f>IF(Table11[[#This Row],[Current Age]]&gt;19,"Women's",IF(E2032&gt;15,"U19",IF(E2032&gt;13,"U15",IF(E2032&gt;11,"U13",IF(E2032&gt;0,"U11",0)))))</f>
        <v>0</v>
      </c>
      <c r="E2032" s="456">
        <f>IFERROR(IF(Table11[[#This Row],[Year]]&gt;0,$E$1-Table11[[#This Row],[Year]],0),"")</f>
        <v>0</v>
      </c>
      <c r="F2032" s="456"/>
      <c r="G2032" s="456"/>
      <c r="H2032" s="456"/>
    </row>
    <row r="2033" spans="1:8" ht="13.5" customHeight="1">
      <c r="A2033" s="456">
        <v>9029</v>
      </c>
      <c r="B2033" s="457"/>
      <c r="C2033" s="456"/>
      <c r="D2033" s="456">
        <f>IF(Table11[[#This Row],[Current Age]]&gt;19,"Women's",IF(E2033&gt;15,"U19",IF(E2033&gt;13,"U15",IF(E2033&gt;11,"U13",IF(E2033&gt;0,"U11",0)))))</f>
        <v>0</v>
      </c>
      <c r="E2033" s="456">
        <f>IFERROR(IF(Table11[[#This Row],[Year]]&gt;0,$E$1-Table11[[#This Row],[Year]],0),"")</f>
        <v>0</v>
      </c>
      <c r="F2033" s="456"/>
      <c r="G2033" s="456"/>
      <c r="H2033" s="456"/>
    </row>
    <row r="2034" spans="1:8" ht="13.5" customHeight="1">
      <c r="A2034" s="471">
        <v>9030</v>
      </c>
      <c r="B2034" s="540"/>
      <c r="C2034" s="471"/>
      <c r="D2034" s="456">
        <f>IF(Table11[[#This Row],[Current Age]]&gt;19,"Women's",IF(E2034&gt;15,"U19",IF(E2034&gt;13,"U15",IF(E2034&gt;11,"U13",IF(E2034&gt;0,"U11",0)))))</f>
        <v>0</v>
      </c>
      <c r="E2034" s="456">
        <f>IFERROR(IF(Table11[[#This Row],[Year]]&gt;0,$E$1-Table11[[#This Row],[Year]],0),"")</f>
        <v>0</v>
      </c>
      <c r="F2034" s="456"/>
      <c r="G2034" s="456"/>
      <c r="H2034" s="456"/>
    </row>
    <row r="2035" spans="1:8" ht="13.5" customHeight="1">
      <c r="A2035" s="456">
        <v>9031</v>
      </c>
      <c r="B2035" s="457"/>
      <c r="C2035" s="456"/>
      <c r="D2035" s="456">
        <f>IF(Table11[[#This Row],[Current Age]]&gt;19,"Women's",IF(E2035&gt;15,"U19",IF(E2035&gt;13,"U15",IF(E2035&gt;11,"U13",IF(E2035&gt;0,"U11",0)))))</f>
        <v>0</v>
      </c>
      <c r="E2035" s="456">
        <f>IFERROR(IF(Table11[[#This Row],[Year]]&gt;0,$E$1-Table11[[#This Row],[Year]],0),"")</f>
        <v>0</v>
      </c>
      <c r="F2035" s="456"/>
      <c r="G2035" s="456"/>
      <c r="H2035" s="456"/>
    </row>
    <row r="2036" spans="1:8" ht="13.5" customHeight="1">
      <c r="A2036" s="471">
        <v>9032</v>
      </c>
      <c r="B2036" s="540"/>
      <c r="C2036" s="471"/>
      <c r="D2036" s="456">
        <f>IF(Table11[[#This Row],[Current Age]]&gt;19,"Women's",IF(E2036&gt;15,"U19",IF(E2036&gt;13,"U15",IF(E2036&gt;11,"U13",IF(E2036&gt;0,"U11",0)))))</f>
        <v>0</v>
      </c>
      <c r="E2036" s="456">
        <f>IFERROR(IF(Table11[[#This Row],[Year]]&gt;0,$E$1-Table11[[#This Row],[Year]],0),"")</f>
        <v>0</v>
      </c>
      <c r="F2036" s="456"/>
      <c r="G2036" s="456"/>
      <c r="H2036" s="456"/>
    </row>
    <row r="2037" spans="1:8" ht="13.5" customHeight="1">
      <c r="A2037" s="456">
        <v>9033</v>
      </c>
      <c r="B2037" s="457"/>
      <c r="C2037" s="456"/>
      <c r="D2037" s="456">
        <f>IF(Table11[[#This Row],[Current Age]]&gt;19,"Women's",IF(E2037&gt;15,"U19",IF(E2037&gt;13,"U15",IF(E2037&gt;11,"U13",IF(E2037&gt;0,"U11",0)))))</f>
        <v>0</v>
      </c>
      <c r="E2037" s="456">
        <f>IFERROR(IF(Table11[[#This Row],[Year]]&gt;0,$E$1-Table11[[#This Row],[Year]],0),"")</f>
        <v>0</v>
      </c>
      <c r="F2037" s="456"/>
      <c r="G2037" s="456"/>
      <c r="H2037" s="456"/>
    </row>
    <row r="2038" spans="1:8" ht="13.5" customHeight="1">
      <c r="A2038" s="471">
        <v>9034</v>
      </c>
      <c r="B2038" s="540"/>
      <c r="C2038" s="471"/>
      <c r="D2038" s="456">
        <f>IF(Table11[[#This Row],[Current Age]]&gt;19,"Women's",IF(E2038&gt;15,"U19",IF(E2038&gt;13,"U15",IF(E2038&gt;11,"U13",IF(E2038&gt;0,"U11",0)))))</f>
        <v>0</v>
      </c>
      <c r="E2038" s="456">
        <f>IFERROR(IF(Table11[[#This Row],[Year]]&gt;0,$E$1-Table11[[#This Row],[Year]],0),"")</f>
        <v>0</v>
      </c>
      <c r="F2038" s="456"/>
      <c r="G2038" s="456"/>
      <c r="H2038" s="456"/>
    </row>
    <row r="2039" spans="1:8" ht="13.5" customHeight="1">
      <c r="A2039" s="456">
        <v>9035</v>
      </c>
      <c r="B2039" s="457"/>
      <c r="C2039" s="456"/>
      <c r="D2039" s="456">
        <f>IF(Table11[[#This Row],[Current Age]]&gt;19,"Women's",IF(E2039&gt;15,"U19",IF(E2039&gt;13,"U15",IF(E2039&gt;11,"U13",IF(E2039&gt;0,"U11",0)))))</f>
        <v>0</v>
      </c>
      <c r="E2039" s="456">
        <f>IFERROR(IF(Table11[[#This Row],[Year]]&gt;0,$E$1-Table11[[#This Row],[Year]],0),"")</f>
        <v>0</v>
      </c>
      <c r="F2039" s="456"/>
      <c r="G2039" s="456"/>
      <c r="H2039" s="456"/>
    </row>
    <row r="2040" spans="1:8" ht="13.5" customHeight="1">
      <c r="A2040" s="471">
        <v>9036</v>
      </c>
      <c r="B2040" s="540"/>
      <c r="C2040" s="471"/>
      <c r="D2040" s="456">
        <f>IF(Table11[[#This Row],[Current Age]]&gt;19,"Women's",IF(E2040&gt;15,"U19",IF(E2040&gt;13,"U15",IF(E2040&gt;11,"U13",IF(E2040&gt;0,"U11",0)))))</f>
        <v>0</v>
      </c>
      <c r="E2040" s="456">
        <f>IFERROR(IF(Table11[[#This Row],[Year]]&gt;0,$E$1-Table11[[#This Row],[Year]],0),"")</f>
        <v>0</v>
      </c>
      <c r="F2040" s="456"/>
      <c r="G2040" s="456"/>
      <c r="H2040" s="456"/>
    </row>
    <row r="2041" spans="1:8" ht="13.5" customHeight="1">
      <c r="A2041" s="456">
        <v>9037</v>
      </c>
      <c r="B2041" s="457"/>
      <c r="C2041" s="456"/>
      <c r="D2041" s="456">
        <f>IF(Table11[[#This Row],[Current Age]]&gt;19,"Women's",IF(E2041&gt;15,"U19",IF(E2041&gt;13,"U15",IF(E2041&gt;11,"U13",IF(E2041&gt;0,"U11",0)))))</f>
        <v>0</v>
      </c>
      <c r="E2041" s="456">
        <f>IFERROR(IF(Table11[[#This Row],[Year]]&gt;0,$E$1-Table11[[#This Row],[Year]],0),"")</f>
        <v>0</v>
      </c>
      <c r="F2041" s="456"/>
      <c r="G2041" s="456"/>
      <c r="H2041" s="456"/>
    </row>
    <row r="2042" spans="1:8" ht="13.5" customHeight="1">
      <c r="A2042" s="471">
        <v>9038</v>
      </c>
      <c r="B2042" s="540"/>
      <c r="C2042" s="471"/>
      <c r="D2042" s="456">
        <f>IF(Table11[[#This Row],[Current Age]]&gt;19,"Women's",IF(E2042&gt;15,"U19",IF(E2042&gt;13,"U15",IF(E2042&gt;11,"U13",IF(E2042&gt;0,"U11",0)))))</f>
        <v>0</v>
      </c>
      <c r="E2042" s="456">
        <f>IFERROR(IF(Table11[[#This Row],[Year]]&gt;0,$E$1-Table11[[#This Row],[Year]],0),"")</f>
        <v>0</v>
      </c>
      <c r="F2042" s="456"/>
      <c r="G2042" s="456"/>
      <c r="H2042" s="456"/>
    </row>
    <row r="2043" spans="1:8" ht="13.5" customHeight="1">
      <c r="A2043" s="456">
        <v>9039</v>
      </c>
      <c r="B2043" s="457"/>
      <c r="C2043" s="456"/>
      <c r="D2043" s="456">
        <f>IF(Table11[[#This Row],[Current Age]]&gt;19,"Women's",IF(E2043&gt;15,"U19",IF(E2043&gt;13,"U15",IF(E2043&gt;11,"U13",IF(E2043&gt;0,"U11",0)))))</f>
        <v>0</v>
      </c>
      <c r="E2043" s="456">
        <f>IFERROR(IF(Table11[[#This Row],[Year]]&gt;0,$E$1-Table11[[#This Row],[Year]],0),"")</f>
        <v>0</v>
      </c>
      <c r="F2043" s="456"/>
      <c r="G2043" s="456"/>
      <c r="H2043" s="456"/>
    </row>
    <row r="2044" spans="1:8" ht="13.5" customHeight="1">
      <c r="A2044" s="471">
        <v>9040</v>
      </c>
      <c r="B2044" s="540"/>
      <c r="C2044" s="471"/>
      <c r="D2044" s="456">
        <f>IF(Table11[[#This Row],[Current Age]]&gt;19,"Women's",IF(E2044&gt;15,"U19",IF(E2044&gt;13,"U15",IF(E2044&gt;11,"U13",IF(E2044&gt;0,"U11",0)))))</f>
        <v>0</v>
      </c>
      <c r="E2044" s="456">
        <f>IFERROR(IF(Table11[[#This Row],[Year]]&gt;0,$E$1-Table11[[#This Row],[Year]],0),"")</f>
        <v>0</v>
      </c>
      <c r="F2044" s="456"/>
      <c r="G2044" s="456"/>
      <c r="H2044" s="456"/>
    </row>
    <row r="2045" spans="1:8" ht="13.5" customHeight="1">
      <c r="A2045" s="456">
        <v>9041</v>
      </c>
      <c r="B2045" s="457"/>
      <c r="C2045" s="456"/>
      <c r="D2045" s="456">
        <f>IF(Table11[[#This Row],[Current Age]]&gt;19,"Women's",IF(E2045&gt;15,"U19",IF(E2045&gt;13,"U15",IF(E2045&gt;11,"U13",IF(E2045&gt;0,"U11",0)))))</f>
        <v>0</v>
      </c>
      <c r="E2045" s="456">
        <f>IFERROR(IF(Table11[[#This Row],[Year]]&gt;0,$E$1-Table11[[#This Row],[Year]],0),"")</f>
        <v>0</v>
      </c>
      <c r="F2045" s="456"/>
      <c r="G2045" s="456"/>
      <c r="H2045" s="456"/>
    </row>
    <row r="2046" spans="1:8" ht="13.5" customHeight="1">
      <c r="A2046" s="471">
        <v>9042</v>
      </c>
      <c r="B2046" s="540"/>
      <c r="C2046" s="471"/>
      <c r="D2046" s="456">
        <f>IF(Table11[[#This Row],[Current Age]]&gt;19,"Women's",IF(E2046&gt;15,"U19",IF(E2046&gt;13,"U15",IF(E2046&gt;11,"U13",IF(E2046&gt;0,"U11",0)))))</f>
        <v>0</v>
      </c>
      <c r="E2046" s="456">
        <f>IFERROR(IF(Table11[[#This Row],[Year]]&gt;0,$E$1-Table11[[#This Row],[Year]],0),"")</f>
        <v>0</v>
      </c>
      <c r="F2046" s="456"/>
      <c r="G2046" s="456"/>
      <c r="H2046" s="456"/>
    </row>
    <row r="2047" spans="1:8" ht="13.5" customHeight="1">
      <c r="A2047" s="456">
        <v>9043</v>
      </c>
      <c r="B2047" s="457"/>
      <c r="C2047" s="456"/>
      <c r="D2047" s="456">
        <f>IF(Table11[[#This Row],[Current Age]]&gt;19,"Women's",IF(E2047&gt;15,"U19",IF(E2047&gt;13,"U15",IF(E2047&gt;11,"U13",IF(E2047&gt;0,"U11",0)))))</f>
        <v>0</v>
      </c>
      <c r="E2047" s="456">
        <f>IFERROR(IF(Table11[[#This Row],[Year]]&gt;0,$E$1-Table11[[#This Row],[Year]],0),"")</f>
        <v>0</v>
      </c>
      <c r="F2047" s="456"/>
      <c r="G2047" s="456"/>
      <c r="H2047" s="456"/>
    </row>
    <row r="2048" spans="1:8" ht="13.5" customHeight="1">
      <c r="A2048" s="471">
        <v>9044</v>
      </c>
      <c r="B2048" s="540"/>
      <c r="C2048" s="471"/>
      <c r="D2048" s="456">
        <f>IF(Table11[[#This Row],[Current Age]]&gt;19,"Women's",IF(E2048&gt;15,"U19",IF(E2048&gt;13,"U15",IF(E2048&gt;11,"U13",IF(E2048&gt;0,"U11",0)))))</f>
        <v>0</v>
      </c>
      <c r="E2048" s="456">
        <f>IFERROR(IF(Table11[[#This Row],[Year]]&gt;0,$E$1-Table11[[#This Row],[Year]],0),"")</f>
        <v>0</v>
      </c>
      <c r="F2048" s="456"/>
      <c r="G2048" s="456"/>
      <c r="H2048" s="456"/>
    </row>
    <row r="2049" spans="1:8" ht="13.5" customHeight="1">
      <c r="A2049" s="456">
        <v>9045</v>
      </c>
      <c r="B2049" s="457"/>
      <c r="C2049" s="456"/>
      <c r="D2049" s="456">
        <f>IF(Table11[[#This Row],[Current Age]]&gt;19,"Women's",IF(E2049&gt;15,"U19",IF(E2049&gt;13,"U15",IF(E2049&gt;11,"U13",IF(E2049&gt;0,"U11",0)))))</f>
        <v>0</v>
      </c>
      <c r="E2049" s="456">
        <f>IFERROR(IF(Table11[[#This Row],[Year]]&gt;0,$E$1-Table11[[#This Row],[Year]],0),"")</f>
        <v>0</v>
      </c>
      <c r="F2049" s="456"/>
      <c r="G2049" s="456"/>
      <c r="H2049" s="456"/>
    </row>
    <row r="2050" spans="1:8" ht="13.5" customHeight="1">
      <c r="A2050" s="471">
        <v>9046</v>
      </c>
      <c r="B2050" s="540"/>
      <c r="C2050" s="471"/>
      <c r="D2050" s="456">
        <f>IF(Table11[[#This Row],[Current Age]]&gt;19,"Women's",IF(E2050&gt;15,"U19",IF(E2050&gt;13,"U15",IF(E2050&gt;11,"U13",IF(E2050&gt;0,"U11",0)))))</f>
        <v>0</v>
      </c>
      <c r="E2050" s="456">
        <f>IFERROR(IF(Table11[[#This Row],[Year]]&gt;0,$E$1-Table11[[#This Row],[Year]],0),"")</f>
        <v>0</v>
      </c>
      <c r="F2050" s="456"/>
      <c r="G2050" s="456"/>
      <c r="H2050" s="456"/>
    </row>
    <row r="2051" spans="1:8" ht="13.5" customHeight="1">
      <c r="A2051" s="456">
        <v>9047</v>
      </c>
      <c r="B2051" s="457"/>
      <c r="C2051" s="456"/>
      <c r="D2051" s="456">
        <f>IF(Table11[[#This Row],[Current Age]]&gt;19,"Women's",IF(E2051&gt;15,"U19",IF(E2051&gt;13,"U15",IF(E2051&gt;11,"U13",IF(E2051&gt;0,"U11",0)))))</f>
        <v>0</v>
      </c>
      <c r="E2051" s="456">
        <f>IFERROR(IF(Table11[[#This Row],[Year]]&gt;0,$E$1-Table11[[#This Row],[Year]],0),"")</f>
        <v>0</v>
      </c>
      <c r="F2051" s="456"/>
      <c r="G2051" s="456"/>
      <c r="H2051" s="456"/>
    </row>
    <row r="2052" spans="1:8" ht="13.5" customHeight="1">
      <c r="A2052" s="471">
        <v>9048</v>
      </c>
      <c r="B2052" s="540"/>
      <c r="C2052" s="471"/>
      <c r="D2052" s="456">
        <f>IF(Table11[[#This Row],[Current Age]]&gt;19,"Women's",IF(E2052&gt;15,"U19",IF(E2052&gt;13,"U15",IF(E2052&gt;11,"U13",IF(E2052&gt;0,"U11",0)))))</f>
        <v>0</v>
      </c>
      <c r="E2052" s="456">
        <f>IFERROR(IF(Table11[[#This Row],[Year]]&gt;0,$E$1-Table11[[#This Row],[Year]],0),"")</f>
        <v>0</v>
      </c>
      <c r="F2052" s="456"/>
      <c r="G2052" s="456"/>
      <c r="H2052" s="456"/>
    </row>
    <row r="2053" spans="1:8" ht="13.5" customHeight="1">
      <c r="A2053" s="456">
        <v>9049</v>
      </c>
      <c r="B2053" s="457"/>
      <c r="C2053" s="456"/>
      <c r="D2053" s="456">
        <f>IF(Table11[[#This Row],[Current Age]]&gt;19,"Women's",IF(E2053&gt;15,"U19",IF(E2053&gt;13,"U15",IF(E2053&gt;11,"U13",IF(E2053&gt;0,"U11",0)))))</f>
        <v>0</v>
      </c>
      <c r="E2053" s="456">
        <f>IFERROR(IF(Table11[[#This Row],[Year]]&gt;0,$E$1-Table11[[#This Row],[Year]],0),"")</f>
        <v>0</v>
      </c>
      <c r="F2053" s="456"/>
      <c r="G2053" s="456"/>
      <c r="H2053" s="456"/>
    </row>
    <row r="2054" spans="1:8" ht="13.5" customHeight="1">
      <c r="A2054" s="471">
        <v>9050</v>
      </c>
      <c r="B2054" s="540"/>
      <c r="C2054" s="471"/>
      <c r="D2054" s="456">
        <f>IF(Table11[[#This Row],[Current Age]]&gt;19,"Women's",IF(E2054&gt;15,"U19",IF(E2054&gt;13,"U15",IF(E2054&gt;11,"U13",IF(E2054&gt;0,"U11",0)))))</f>
        <v>0</v>
      </c>
      <c r="E2054" s="456">
        <f>IFERROR(IF(Table11[[#This Row],[Year]]&gt;0,$E$1-Table11[[#This Row],[Year]],0),"")</f>
        <v>0</v>
      </c>
      <c r="F2054" s="456"/>
      <c r="G2054" s="456"/>
      <c r="H2054" s="456"/>
    </row>
    <row r="2055" spans="1:8" ht="13.5" customHeight="1">
      <c r="A2055" s="456">
        <v>9051</v>
      </c>
      <c r="B2055" s="457"/>
      <c r="C2055" s="456"/>
      <c r="D2055" s="456">
        <f>IF(Table11[[#This Row],[Current Age]]&gt;19,"Women's",IF(E2055&gt;15,"U19",IF(E2055&gt;13,"U15",IF(E2055&gt;11,"U13",IF(E2055&gt;0,"U11",0)))))</f>
        <v>0</v>
      </c>
      <c r="E2055" s="456">
        <f>IFERROR(IF(Table11[[#This Row],[Year]]&gt;0,$E$1-Table11[[#This Row],[Year]],0),"")</f>
        <v>0</v>
      </c>
      <c r="F2055" s="456"/>
      <c r="G2055" s="456"/>
      <c r="H2055" s="456"/>
    </row>
    <row r="2056" spans="1:8" ht="13.5" customHeight="1">
      <c r="A2056" s="471">
        <v>9052</v>
      </c>
      <c r="B2056" s="540"/>
      <c r="C2056" s="471"/>
      <c r="D2056" s="456">
        <f>IF(Table11[[#This Row],[Current Age]]&gt;19,"Women's",IF(E2056&gt;15,"U19",IF(E2056&gt;13,"U15",IF(E2056&gt;11,"U13",IF(E2056&gt;0,"U11",0)))))</f>
        <v>0</v>
      </c>
      <c r="E2056" s="456">
        <f>IFERROR(IF(Table11[[#This Row],[Year]]&gt;0,$E$1-Table11[[#This Row],[Year]],0),"")</f>
        <v>0</v>
      </c>
      <c r="F2056" s="456"/>
      <c r="G2056" s="456"/>
      <c r="H2056" s="456"/>
    </row>
    <row r="2057" spans="1:8" ht="13.5" customHeight="1">
      <c r="A2057" s="456">
        <v>9053</v>
      </c>
      <c r="B2057" s="457"/>
      <c r="C2057" s="456"/>
      <c r="D2057" s="456">
        <f>IF(Table11[[#This Row],[Current Age]]&gt;19,"Women's",IF(E2057&gt;15,"U19",IF(E2057&gt;13,"U15",IF(E2057&gt;11,"U13",IF(E2057&gt;0,"U11",0)))))</f>
        <v>0</v>
      </c>
      <c r="E2057" s="456">
        <f>IFERROR(IF(Table11[[#This Row],[Year]]&gt;0,$E$1-Table11[[#This Row],[Year]],0),"")</f>
        <v>0</v>
      </c>
      <c r="F2057" s="456"/>
      <c r="G2057" s="456"/>
      <c r="H2057" s="456"/>
    </row>
    <row r="2058" spans="1:8" ht="13.5" customHeight="1">
      <c r="A2058" s="471">
        <v>9054</v>
      </c>
      <c r="B2058" s="540"/>
      <c r="C2058" s="471"/>
      <c r="D2058" s="456">
        <f>IF(Table11[[#This Row],[Current Age]]&gt;19,"Women's",IF(E2058&gt;15,"U19",IF(E2058&gt;13,"U15",IF(E2058&gt;11,"U13",IF(E2058&gt;0,"U11",0)))))</f>
        <v>0</v>
      </c>
      <c r="E2058" s="456">
        <f>IFERROR(IF(Table11[[#This Row],[Year]]&gt;0,$E$1-Table11[[#This Row],[Year]],0),"")</f>
        <v>0</v>
      </c>
      <c r="F2058" s="456"/>
      <c r="G2058" s="456"/>
      <c r="H2058" s="456"/>
    </row>
    <row r="2059" spans="1:8" ht="13.5" customHeight="1">
      <c r="A2059" s="456">
        <v>9055</v>
      </c>
      <c r="B2059" s="457"/>
      <c r="C2059" s="456"/>
      <c r="D2059" s="456">
        <f>IF(Table11[[#This Row],[Current Age]]&gt;19,"Women's",IF(E2059&gt;15,"U19",IF(E2059&gt;13,"U15",IF(E2059&gt;11,"U13",IF(E2059&gt;0,"U11",0)))))</f>
        <v>0</v>
      </c>
      <c r="E2059" s="456">
        <f>IFERROR(IF(Table11[[#This Row],[Year]]&gt;0,$E$1-Table11[[#This Row],[Year]],0),"")</f>
        <v>0</v>
      </c>
      <c r="F2059" s="456"/>
      <c r="G2059" s="456"/>
      <c r="H2059" s="456"/>
    </row>
    <row r="2060" spans="1:8" ht="13.5" customHeight="1">
      <c r="A2060" s="471">
        <v>9056</v>
      </c>
      <c r="B2060" s="540"/>
      <c r="C2060" s="471"/>
      <c r="D2060" s="456">
        <f>IF(Table11[[#This Row],[Current Age]]&gt;19,"Women's",IF(E2060&gt;15,"U19",IF(E2060&gt;13,"U15",IF(E2060&gt;11,"U13",IF(E2060&gt;0,"U11",0)))))</f>
        <v>0</v>
      </c>
      <c r="E2060" s="456">
        <f>IFERROR(IF(Table11[[#This Row],[Year]]&gt;0,$E$1-Table11[[#This Row],[Year]],0),"")</f>
        <v>0</v>
      </c>
      <c r="F2060" s="456"/>
      <c r="G2060" s="456"/>
      <c r="H2060" s="456"/>
    </row>
    <row r="2061" spans="1:8" ht="13.5" customHeight="1">
      <c r="A2061" s="456">
        <v>9057</v>
      </c>
      <c r="B2061" s="457"/>
      <c r="C2061" s="456"/>
      <c r="D2061" s="456">
        <f>IF(Table11[[#This Row],[Current Age]]&gt;19,"Women's",IF(E2061&gt;15,"U19",IF(E2061&gt;13,"U15",IF(E2061&gt;11,"U13",IF(E2061&gt;0,"U11",0)))))</f>
        <v>0</v>
      </c>
      <c r="E2061" s="456">
        <f>IFERROR(IF(Table11[[#This Row],[Year]]&gt;0,$E$1-Table11[[#This Row],[Year]],0),"")</f>
        <v>0</v>
      </c>
      <c r="F2061" s="456"/>
      <c r="G2061" s="456"/>
      <c r="H2061" s="456"/>
    </row>
    <row r="2062" spans="1:8" ht="13.5" customHeight="1">
      <c r="A2062" s="471">
        <v>9058</v>
      </c>
      <c r="B2062" s="540"/>
      <c r="C2062" s="471"/>
      <c r="D2062" s="456">
        <f>IF(Table11[[#This Row],[Current Age]]&gt;19,"Women's",IF(E2062&gt;15,"U19",IF(E2062&gt;13,"U15",IF(E2062&gt;11,"U13",IF(E2062&gt;0,"U11",0)))))</f>
        <v>0</v>
      </c>
      <c r="E2062" s="456">
        <f>IFERROR(IF(Table11[[#This Row],[Year]]&gt;0,$E$1-Table11[[#This Row],[Year]],0),"")</f>
        <v>0</v>
      </c>
      <c r="F2062" s="456"/>
      <c r="G2062" s="456"/>
      <c r="H2062" s="456"/>
    </row>
    <row r="2063" spans="1:8" ht="13.5" customHeight="1">
      <c r="A2063" s="456">
        <v>9059</v>
      </c>
      <c r="B2063" s="457"/>
      <c r="C2063" s="456"/>
      <c r="D2063" s="456">
        <f>IF(Table11[[#This Row],[Current Age]]&gt;19,"Women's",IF(E2063&gt;15,"U19",IF(E2063&gt;13,"U15",IF(E2063&gt;11,"U13",IF(E2063&gt;0,"U11",0)))))</f>
        <v>0</v>
      </c>
      <c r="E2063" s="456">
        <f>IFERROR(IF(Table11[[#This Row],[Year]]&gt;0,$E$1-Table11[[#This Row],[Year]],0),"")</f>
        <v>0</v>
      </c>
      <c r="F2063" s="456"/>
      <c r="G2063" s="456"/>
      <c r="H2063" s="456"/>
    </row>
    <row r="2064" spans="1:8" ht="13.5" customHeight="1">
      <c r="A2064" s="471">
        <v>9060</v>
      </c>
      <c r="B2064" s="540"/>
      <c r="C2064" s="471"/>
      <c r="D2064" s="456">
        <f>IF(Table11[[#This Row],[Current Age]]&gt;19,"Women's",IF(E2064&gt;15,"U19",IF(E2064&gt;13,"U15",IF(E2064&gt;11,"U13",IF(E2064&gt;0,"U11",0)))))</f>
        <v>0</v>
      </c>
      <c r="E2064" s="456">
        <f>IFERROR(IF(Table11[[#This Row],[Year]]&gt;0,$E$1-Table11[[#This Row],[Year]],0),"")</f>
        <v>0</v>
      </c>
      <c r="F2064" s="456"/>
      <c r="G2064" s="456"/>
      <c r="H2064" s="456"/>
    </row>
    <row r="2065" spans="1:8" ht="13.5" customHeight="1">
      <c r="A2065" s="456">
        <v>9061</v>
      </c>
      <c r="B2065" s="457"/>
      <c r="C2065" s="456"/>
      <c r="D2065" s="456">
        <f>IF(Table11[[#This Row],[Current Age]]&gt;19,"Women's",IF(E2065&gt;15,"U19",IF(E2065&gt;13,"U15",IF(E2065&gt;11,"U13",IF(E2065&gt;0,"U11",0)))))</f>
        <v>0</v>
      </c>
      <c r="E2065" s="456">
        <f>IFERROR(IF(Table11[[#This Row],[Year]]&gt;0,$E$1-Table11[[#This Row],[Year]],0),"")</f>
        <v>0</v>
      </c>
      <c r="F2065" s="456"/>
      <c r="G2065" s="456"/>
      <c r="H2065" s="456"/>
    </row>
    <row r="2066" spans="1:8" ht="13.5" customHeight="1">
      <c r="A2066" s="471">
        <v>9062</v>
      </c>
      <c r="B2066" s="540"/>
      <c r="C2066" s="471"/>
      <c r="D2066" s="456">
        <f>IF(Table11[[#This Row],[Current Age]]&gt;19,"Women's",IF(E2066&gt;15,"U19",IF(E2066&gt;13,"U15",IF(E2066&gt;11,"U13",IF(E2066&gt;0,"U11",0)))))</f>
        <v>0</v>
      </c>
      <c r="E2066" s="456">
        <f>IFERROR(IF(Table11[[#This Row],[Year]]&gt;0,$E$1-Table11[[#This Row],[Year]],0),"")</f>
        <v>0</v>
      </c>
      <c r="F2066" s="456"/>
      <c r="G2066" s="456"/>
      <c r="H2066" s="456"/>
    </row>
    <row r="2067" spans="1:8" ht="13.5" customHeight="1">
      <c r="A2067" s="456">
        <v>9063</v>
      </c>
      <c r="B2067" s="457"/>
      <c r="C2067" s="456"/>
      <c r="D2067" s="456">
        <f>IF(Table11[[#This Row],[Current Age]]&gt;19,"Women's",IF(E2067&gt;15,"U19",IF(E2067&gt;13,"U15",IF(E2067&gt;11,"U13",IF(E2067&gt;0,"U11",0)))))</f>
        <v>0</v>
      </c>
      <c r="E2067" s="456">
        <f>IFERROR(IF(Table11[[#This Row],[Year]]&gt;0,$E$1-Table11[[#This Row],[Year]],0),"")</f>
        <v>0</v>
      </c>
      <c r="F2067" s="456"/>
      <c r="G2067" s="456"/>
      <c r="H2067" s="456"/>
    </row>
    <row r="2068" spans="1:8" ht="13.5" customHeight="1">
      <c r="A2068" s="471">
        <v>9064</v>
      </c>
      <c r="B2068" s="540"/>
      <c r="C2068" s="471"/>
      <c r="D2068" s="456">
        <f>IF(Table11[[#This Row],[Current Age]]&gt;19,"Women's",IF(E2068&gt;15,"U19",IF(E2068&gt;13,"U15",IF(E2068&gt;11,"U13",IF(E2068&gt;0,"U11",0)))))</f>
        <v>0</v>
      </c>
      <c r="E2068" s="456">
        <f>IFERROR(IF(Table11[[#This Row],[Year]]&gt;0,$E$1-Table11[[#This Row],[Year]],0),"")</f>
        <v>0</v>
      </c>
      <c r="F2068" s="456"/>
      <c r="G2068" s="456"/>
      <c r="H2068" s="456"/>
    </row>
    <row r="2069" spans="1:8" ht="13.5" customHeight="1">
      <c r="A2069" s="456">
        <v>9065</v>
      </c>
      <c r="B2069" s="457"/>
      <c r="C2069" s="456"/>
      <c r="D2069" s="456">
        <f>IF(Table11[[#This Row],[Current Age]]&gt;19,"Women's",IF(E2069&gt;15,"U19",IF(E2069&gt;13,"U15",IF(E2069&gt;11,"U13",IF(E2069&gt;0,"U11",0)))))</f>
        <v>0</v>
      </c>
      <c r="E2069" s="456">
        <f>IFERROR(IF(Table11[[#This Row],[Year]]&gt;0,$E$1-Table11[[#This Row],[Year]],0),"")</f>
        <v>0</v>
      </c>
      <c r="F2069" s="456"/>
      <c r="G2069" s="456"/>
      <c r="H2069" s="456"/>
    </row>
    <row r="2070" spans="1:8" ht="13.5" customHeight="1">
      <c r="A2070" s="471">
        <v>9066</v>
      </c>
      <c r="B2070" s="540"/>
      <c r="C2070" s="471"/>
      <c r="D2070" s="456">
        <f>IF(Table11[[#This Row],[Current Age]]&gt;19,"Women's",IF(E2070&gt;15,"U19",IF(E2070&gt;13,"U15",IF(E2070&gt;11,"U13",IF(E2070&gt;0,"U11",0)))))</f>
        <v>0</v>
      </c>
      <c r="E2070" s="456">
        <f>IFERROR(IF(Table11[[#This Row],[Year]]&gt;0,$E$1-Table11[[#This Row],[Year]],0),"")</f>
        <v>0</v>
      </c>
      <c r="F2070" s="456"/>
      <c r="G2070" s="456"/>
      <c r="H2070" s="456"/>
    </row>
    <row r="2071" spans="1:8" ht="13.5" customHeight="1">
      <c r="A2071" s="456">
        <v>9067</v>
      </c>
      <c r="B2071" s="457"/>
      <c r="C2071" s="456"/>
      <c r="D2071" s="456">
        <f>IF(Table11[[#This Row],[Current Age]]&gt;19,"Women's",IF(E2071&gt;15,"U19",IF(E2071&gt;13,"U15",IF(E2071&gt;11,"U13",IF(E2071&gt;0,"U11",0)))))</f>
        <v>0</v>
      </c>
      <c r="E2071" s="456">
        <f>IFERROR(IF(Table11[[#This Row],[Year]]&gt;0,$E$1-Table11[[#This Row],[Year]],0),"")</f>
        <v>0</v>
      </c>
      <c r="F2071" s="456"/>
      <c r="G2071" s="456"/>
      <c r="H2071" s="456"/>
    </row>
    <row r="2072" spans="1:8" ht="13.5" customHeight="1">
      <c r="A2072" s="471">
        <v>9068</v>
      </c>
      <c r="B2072" s="540"/>
      <c r="C2072" s="471"/>
      <c r="D2072" s="456">
        <f>IF(Table11[[#This Row],[Current Age]]&gt;19,"Women's",IF(E2072&gt;15,"U19",IF(E2072&gt;13,"U15",IF(E2072&gt;11,"U13",IF(E2072&gt;0,"U11",0)))))</f>
        <v>0</v>
      </c>
      <c r="E2072" s="456">
        <f>IFERROR(IF(Table11[[#This Row],[Year]]&gt;0,$E$1-Table11[[#This Row],[Year]],0),"")</f>
        <v>0</v>
      </c>
      <c r="F2072" s="456"/>
      <c r="G2072" s="456"/>
      <c r="H2072" s="456"/>
    </row>
    <row r="2073" spans="1:8" ht="13.5" customHeight="1">
      <c r="A2073" s="456">
        <v>9069</v>
      </c>
      <c r="B2073" s="457"/>
      <c r="C2073" s="456"/>
      <c r="D2073" s="456">
        <f>IF(Table11[[#This Row],[Current Age]]&gt;19,"Women's",IF(E2073&gt;15,"U19",IF(E2073&gt;13,"U15",IF(E2073&gt;11,"U13",IF(E2073&gt;0,"U11",0)))))</f>
        <v>0</v>
      </c>
      <c r="E2073" s="456">
        <f>IFERROR(IF(Table11[[#This Row],[Year]]&gt;0,$E$1-Table11[[#This Row],[Year]],0),"")</f>
        <v>0</v>
      </c>
      <c r="F2073" s="456"/>
      <c r="G2073" s="456"/>
      <c r="H2073" s="456"/>
    </row>
    <row r="2074" spans="1:8" ht="13.5" customHeight="1">
      <c r="A2074" s="471">
        <v>9070</v>
      </c>
      <c r="B2074" s="540"/>
      <c r="C2074" s="471"/>
      <c r="D2074" s="456">
        <f>IF(Table11[[#This Row],[Current Age]]&gt;19,"Women's",IF(E2074&gt;15,"U19",IF(E2074&gt;13,"U15",IF(E2074&gt;11,"U13",IF(E2074&gt;0,"U11",0)))))</f>
        <v>0</v>
      </c>
      <c r="E2074" s="456">
        <f>IFERROR(IF(Table11[[#This Row],[Year]]&gt;0,$E$1-Table11[[#This Row],[Year]],0),"")</f>
        <v>0</v>
      </c>
      <c r="F2074" s="456"/>
      <c r="G2074" s="456"/>
      <c r="H2074" s="456"/>
    </row>
    <row r="2075" spans="1:8" ht="13.5" customHeight="1">
      <c r="A2075" s="456">
        <v>9071</v>
      </c>
      <c r="B2075" s="457"/>
      <c r="C2075" s="456"/>
      <c r="D2075" s="456">
        <f>IF(Table11[[#This Row],[Current Age]]&gt;19,"Women's",IF(E2075&gt;15,"U19",IF(E2075&gt;13,"U15",IF(E2075&gt;11,"U13",IF(E2075&gt;0,"U11",0)))))</f>
        <v>0</v>
      </c>
      <c r="E2075" s="456">
        <f>IFERROR(IF(Table11[[#This Row],[Year]]&gt;0,$E$1-Table11[[#This Row],[Year]],0),"")</f>
        <v>0</v>
      </c>
      <c r="F2075" s="456"/>
      <c r="G2075" s="456"/>
      <c r="H2075" s="456"/>
    </row>
    <row r="2076" spans="1:8" ht="13.5" customHeight="1">
      <c r="A2076" s="471">
        <v>9072</v>
      </c>
      <c r="B2076" s="540"/>
      <c r="C2076" s="471"/>
      <c r="D2076" s="456">
        <f>IF(Table11[[#This Row],[Current Age]]&gt;19,"Women's",IF(E2076&gt;15,"U19",IF(E2076&gt;13,"U15",IF(E2076&gt;11,"U13",IF(E2076&gt;0,"U11",0)))))</f>
        <v>0</v>
      </c>
      <c r="E2076" s="456">
        <f>IFERROR(IF(Table11[[#This Row],[Year]]&gt;0,$E$1-Table11[[#This Row],[Year]],0),"")</f>
        <v>0</v>
      </c>
      <c r="F2076" s="456"/>
      <c r="G2076" s="456"/>
      <c r="H2076" s="456"/>
    </row>
    <row r="2077" spans="1:8" ht="13.5" customHeight="1">
      <c r="A2077" s="456">
        <v>9073</v>
      </c>
      <c r="B2077" s="457"/>
      <c r="C2077" s="456"/>
      <c r="D2077" s="456">
        <f>IF(Table11[[#This Row],[Current Age]]&gt;19,"Women's",IF(E2077&gt;15,"U19",IF(E2077&gt;13,"U15",IF(E2077&gt;11,"U13",IF(E2077&gt;0,"U11",0)))))</f>
        <v>0</v>
      </c>
      <c r="E2077" s="456">
        <f>IFERROR(IF(Table11[[#This Row],[Year]]&gt;0,$E$1-Table11[[#This Row],[Year]],0),"")</f>
        <v>0</v>
      </c>
      <c r="F2077" s="456"/>
      <c r="G2077" s="456"/>
      <c r="H2077" s="456"/>
    </row>
    <row r="2078" spans="1:8" ht="13.5" customHeight="1">
      <c r="A2078" s="471">
        <v>9074</v>
      </c>
      <c r="B2078" s="540"/>
      <c r="C2078" s="471"/>
      <c r="D2078" s="456">
        <f>IF(Table11[[#This Row],[Current Age]]&gt;19,"Women's",IF(E2078&gt;15,"U19",IF(E2078&gt;13,"U15",IF(E2078&gt;11,"U13",IF(E2078&gt;0,"U11",0)))))</f>
        <v>0</v>
      </c>
      <c r="E2078" s="456">
        <f>IFERROR(IF(Table11[[#This Row],[Year]]&gt;0,$E$1-Table11[[#This Row],[Year]],0),"")</f>
        <v>0</v>
      </c>
      <c r="F2078" s="456"/>
      <c r="G2078" s="456"/>
      <c r="H2078" s="456"/>
    </row>
    <row r="2079" spans="1:8" ht="13.5" customHeight="1">
      <c r="A2079" s="456">
        <v>9075</v>
      </c>
      <c r="B2079" s="457"/>
      <c r="C2079" s="456"/>
      <c r="D2079" s="456">
        <f>IF(Table11[[#This Row],[Current Age]]&gt;19,"Women's",IF(E2079&gt;15,"U19",IF(E2079&gt;13,"U15",IF(E2079&gt;11,"U13",IF(E2079&gt;0,"U11",0)))))</f>
        <v>0</v>
      </c>
      <c r="E2079" s="456">
        <f>IFERROR(IF(Table11[[#This Row],[Year]]&gt;0,$E$1-Table11[[#This Row],[Year]],0),"")</f>
        <v>0</v>
      </c>
      <c r="F2079" s="456"/>
      <c r="G2079" s="456"/>
      <c r="H2079" s="456"/>
    </row>
    <row r="2080" spans="1:8" ht="13.5" customHeight="1">
      <c r="A2080" s="471">
        <v>9076</v>
      </c>
      <c r="B2080" s="540"/>
      <c r="C2080" s="471"/>
      <c r="D2080" s="456">
        <f>IF(Table11[[#This Row],[Current Age]]&gt;19,"Women's",IF(E2080&gt;15,"U19",IF(E2080&gt;13,"U15",IF(E2080&gt;11,"U13",IF(E2080&gt;0,"U11",0)))))</f>
        <v>0</v>
      </c>
      <c r="E2080" s="456">
        <f>IFERROR(IF(Table11[[#This Row],[Year]]&gt;0,$E$1-Table11[[#This Row],[Year]],0),"")</f>
        <v>0</v>
      </c>
      <c r="F2080" s="456"/>
      <c r="G2080" s="456"/>
      <c r="H2080" s="456"/>
    </row>
    <row r="2081" spans="1:8" ht="13.5" customHeight="1">
      <c r="A2081" s="456">
        <v>9077</v>
      </c>
      <c r="B2081" s="457"/>
      <c r="C2081" s="456"/>
      <c r="D2081" s="456">
        <f>IF(Table11[[#This Row],[Current Age]]&gt;19,"Women's",IF(E2081&gt;15,"U19",IF(E2081&gt;13,"U15",IF(E2081&gt;11,"U13",IF(E2081&gt;0,"U11",0)))))</f>
        <v>0</v>
      </c>
      <c r="E2081" s="456">
        <f>IFERROR(IF(Table11[[#This Row],[Year]]&gt;0,$E$1-Table11[[#This Row],[Year]],0),"")</f>
        <v>0</v>
      </c>
      <c r="F2081" s="456"/>
      <c r="G2081" s="456"/>
      <c r="H2081" s="456"/>
    </row>
    <row r="2082" spans="1:8" ht="13.5" customHeight="1">
      <c r="A2082" s="471">
        <v>9078</v>
      </c>
      <c r="B2082" s="540"/>
      <c r="C2082" s="471"/>
      <c r="D2082" s="456">
        <f>IF(Table11[[#This Row],[Current Age]]&gt;19,"Women's",IF(E2082&gt;15,"U19",IF(E2082&gt;13,"U15",IF(E2082&gt;11,"U13",IF(E2082&gt;0,"U11",0)))))</f>
        <v>0</v>
      </c>
      <c r="E2082" s="456">
        <f>IFERROR(IF(Table11[[#This Row],[Year]]&gt;0,$E$1-Table11[[#This Row],[Year]],0),"")</f>
        <v>0</v>
      </c>
      <c r="F2082" s="456"/>
      <c r="G2082" s="456"/>
      <c r="H2082" s="456"/>
    </row>
    <row r="2083" spans="1:8" ht="13.5" customHeight="1">
      <c r="A2083" s="456">
        <v>9079</v>
      </c>
      <c r="B2083" s="457"/>
      <c r="C2083" s="456"/>
      <c r="D2083" s="456">
        <f>IF(Table11[[#This Row],[Current Age]]&gt;19,"Women's",IF(E2083&gt;15,"U19",IF(E2083&gt;13,"U15",IF(E2083&gt;11,"U13",IF(E2083&gt;0,"U11",0)))))</f>
        <v>0</v>
      </c>
      <c r="E2083" s="456">
        <f>IFERROR(IF(Table11[[#This Row],[Year]]&gt;0,$E$1-Table11[[#This Row],[Year]],0),"")</f>
        <v>0</v>
      </c>
      <c r="F2083" s="456"/>
      <c r="G2083" s="456"/>
      <c r="H2083" s="456"/>
    </row>
    <row r="2084" spans="1:8" ht="13.5" customHeight="1">
      <c r="A2084" s="471">
        <v>9080</v>
      </c>
      <c r="B2084" s="540"/>
      <c r="C2084" s="471"/>
      <c r="D2084" s="456">
        <f>IF(Table11[[#This Row],[Current Age]]&gt;19,"Women's",IF(E2084&gt;15,"U19",IF(E2084&gt;13,"U15",IF(E2084&gt;11,"U13",IF(E2084&gt;0,"U11",0)))))</f>
        <v>0</v>
      </c>
      <c r="E2084" s="456">
        <f>IFERROR(IF(Table11[[#This Row],[Year]]&gt;0,$E$1-Table11[[#This Row],[Year]],0),"")</f>
        <v>0</v>
      </c>
      <c r="F2084" s="456"/>
      <c r="G2084" s="456"/>
      <c r="H2084" s="456"/>
    </row>
    <row r="2085" spans="1:8" ht="13.5" customHeight="1">
      <c r="A2085" s="456">
        <v>9081</v>
      </c>
      <c r="B2085" s="457"/>
      <c r="C2085" s="456"/>
      <c r="D2085" s="456">
        <f>IF(Table11[[#This Row],[Current Age]]&gt;19,"Women's",IF(E2085&gt;15,"U19",IF(E2085&gt;13,"U15",IF(E2085&gt;11,"U13",IF(E2085&gt;0,"U11",0)))))</f>
        <v>0</v>
      </c>
      <c r="E2085" s="456">
        <f>IFERROR(IF(Table11[[#This Row],[Year]]&gt;0,$E$1-Table11[[#This Row],[Year]],0),"")</f>
        <v>0</v>
      </c>
      <c r="F2085" s="456"/>
      <c r="G2085" s="456"/>
      <c r="H2085" s="456"/>
    </row>
    <row r="2086" spans="1:8" ht="13.5" customHeight="1">
      <c r="A2086" s="471">
        <v>9082</v>
      </c>
      <c r="B2086" s="540"/>
      <c r="C2086" s="471"/>
      <c r="D2086" s="456">
        <f>IF(Table11[[#This Row],[Current Age]]&gt;19,"Women's",IF(E2086&gt;15,"U19",IF(E2086&gt;13,"U15",IF(E2086&gt;11,"U13",IF(E2086&gt;0,"U11",0)))))</f>
        <v>0</v>
      </c>
      <c r="E2086" s="456">
        <f>IFERROR(IF(Table11[[#This Row],[Year]]&gt;0,$E$1-Table11[[#This Row],[Year]],0),"")</f>
        <v>0</v>
      </c>
      <c r="F2086" s="456"/>
      <c r="G2086" s="456"/>
      <c r="H2086" s="456"/>
    </row>
    <row r="2087" spans="1:8" ht="13.5" customHeight="1">
      <c r="A2087" s="456">
        <v>9083</v>
      </c>
      <c r="B2087" s="457"/>
      <c r="C2087" s="456"/>
      <c r="D2087" s="456">
        <f>IF(Table11[[#This Row],[Current Age]]&gt;19,"Women's",IF(E2087&gt;15,"U19",IF(E2087&gt;13,"U15",IF(E2087&gt;11,"U13",IF(E2087&gt;0,"U11",0)))))</f>
        <v>0</v>
      </c>
      <c r="E2087" s="456">
        <f>IFERROR(IF(Table11[[#This Row],[Year]]&gt;0,$E$1-Table11[[#This Row],[Year]],0),"")</f>
        <v>0</v>
      </c>
      <c r="F2087" s="456"/>
      <c r="G2087" s="456"/>
      <c r="H2087" s="456"/>
    </row>
    <row r="2088" spans="1:8" ht="13.5" customHeight="1">
      <c r="A2088" s="471">
        <v>9084</v>
      </c>
      <c r="B2088" s="540"/>
      <c r="C2088" s="471"/>
      <c r="D2088" s="456">
        <f>IF(Table11[[#This Row],[Current Age]]&gt;19,"Women's",IF(E2088&gt;15,"U19",IF(E2088&gt;13,"U15",IF(E2088&gt;11,"U13",IF(E2088&gt;0,"U11",0)))))</f>
        <v>0</v>
      </c>
      <c r="E2088" s="456">
        <f>IFERROR(IF(Table11[[#This Row],[Year]]&gt;0,$E$1-Table11[[#This Row],[Year]],0),"")</f>
        <v>0</v>
      </c>
      <c r="F2088" s="456"/>
      <c r="G2088" s="456"/>
      <c r="H2088" s="456"/>
    </row>
    <row r="2089" spans="1:8" ht="13.5" customHeight="1">
      <c r="A2089" s="456">
        <v>9085</v>
      </c>
      <c r="B2089" s="457"/>
      <c r="C2089" s="456"/>
      <c r="D2089" s="456">
        <f>IF(Table11[[#This Row],[Current Age]]&gt;19,"Women's",IF(E2089&gt;15,"U19",IF(E2089&gt;13,"U15",IF(E2089&gt;11,"U13",IF(E2089&gt;0,"U11",0)))))</f>
        <v>0</v>
      </c>
      <c r="E2089" s="456">
        <f>IFERROR(IF(Table11[[#This Row],[Year]]&gt;0,$E$1-Table11[[#This Row],[Year]],0),"")</f>
        <v>0</v>
      </c>
      <c r="F2089" s="456"/>
      <c r="G2089" s="456"/>
      <c r="H2089" s="456"/>
    </row>
    <row r="2090" spans="1:8" ht="13.5" customHeight="1">
      <c r="A2090" s="471">
        <v>9086</v>
      </c>
      <c r="B2090" s="540"/>
      <c r="C2090" s="471"/>
      <c r="D2090" s="456">
        <f>IF(Table11[[#This Row],[Current Age]]&gt;19,"Women's",IF(E2090&gt;15,"U19",IF(E2090&gt;13,"U15",IF(E2090&gt;11,"U13",IF(E2090&gt;0,"U11",0)))))</f>
        <v>0</v>
      </c>
      <c r="E2090" s="456">
        <f>IFERROR(IF(Table11[[#This Row],[Year]]&gt;0,$E$1-Table11[[#This Row],[Year]],0),"")</f>
        <v>0</v>
      </c>
      <c r="F2090" s="456"/>
      <c r="G2090" s="456"/>
      <c r="H2090" s="456"/>
    </row>
    <row r="2091" spans="1:8" ht="13.5" customHeight="1">
      <c r="A2091" s="456">
        <v>9087</v>
      </c>
      <c r="B2091" s="457"/>
      <c r="C2091" s="456"/>
      <c r="D2091" s="456">
        <f>IF(Table11[[#This Row],[Current Age]]&gt;19,"Women's",IF(E2091&gt;15,"U19",IF(E2091&gt;13,"U15",IF(E2091&gt;11,"U13",IF(E2091&gt;0,"U11",0)))))</f>
        <v>0</v>
      </c>
      <c r="E2091" s="456">
        <f>IFERROR(IF(Table11[[#This Row],[Year]]&gt;0,$E$1-Table11[[#This Row],[Year]],0),"")</f>
        <v>0</v>
      </c>
      <c r="F2091" s="456"/>
      <c r="G2091" s="456"/>
      <c r="H2091" s="456"/>
    </row>
    <row r="2092" spans="1:8" ht="13.5" customHeight="1">
      <c r="A2092" s="471">
        <v>9088</v>
      </c>
      <c r="B2092" s="540"/>
      <c r="C2092" s="471"/>
      <c r="D2092" s="456">
        <f>IF(Table11[[#This Row],[Current Age]]&gt;19,"Women's",IF(E2092&gt;15,"U19",IF(E2092&gt;13,"U15",IF(E2092&gt;11,"U13",IF(E2092&gt;0,"U11",0)))))</f>
        <v>0</v>
      </c>
      <c r="E2092" s="456">
        <f>IFERROR(IF(Table11[[#This Row],[Year]]&gt;0,$E$1-Table11[[#This Row],[Year]],0),"")</f>
        <v>0</v>
      </c>
      <c r="F2092" s="456"/>
      <c r="G2092" s="456"/>
      <c r="H2092" s="456"/>
    </row>
    <row r="2093" spans="1:8" ht="13.5" customHeight="1">
      <c r="A2093" s="456">
        <v>9089</v>
      </c>
      <c r="B2093" s="457"/>
      <c r="C2093" s="456"/>
      <c r="D2093" s="456">
        <f>IF(Table11[[#This Row],[Current Age]]&gt;19,"Women's",IF(E2093&gt;15,"U19",IF(E2093&gt;13,"U15",IF(E2093&gt;11,"U13",IF(E2093&gt;0,"U11",0)))))</f>
        <v>0</v>
      </c>
      <c r="E2093" s="456">
        <f>IFERROR(IF(Table11[[#This Row],[Year]]&gt;0,$E$1-Table11[[#This Row],[Year]],0),"")</f>
        <v>0</v>
      </c>
      <c r="F2093" s="456"/>
      <c r="G2093" s="456"/>
      <c r="H2093" s="456"/>
    </row>
    <row r="2094" spans="1:8" ht="13.5" customHeight="1">
      <c r="A2094" s="471">
        <v>9090</v>
      </c>
      <c r="B2094" s="540"/>
      <c r="C2094" s="471"/>
      <c r="D2094" s="456">
        <f>IF(Table11[[#This Row],[Current Age]]&gt;19,"Women's",IF(E2094&gt;15,"U19",IF(E2094&gt;13,"U15",IF(E2094&gt;11,"U13",IF(E2094&gt;0,"U11",0)))))</f>
        <v>0</v>
      </c>
      <c r="E2094" s="456">
        <f>IFERROR(IF(Table11[[#This Row],[Year]]&gt;0,$E$1-Table11[[#This Row],[Year]],0),"")</f>
        <v>0</v>
      </c>
      <c r="F2094" s="456"/>
      <c r="G2094" s="456"/>
      <c r="H2094" s="456"/>
    </row>
    <row r="2095" spans="1:8" ht="13.5" customHeight="1">
      <c r="A2095" s="456">
        <v>9091</v>
      </c>
      <c r="B2095" s="457"/>
      <c r="C2095" s="456"/>
      <c r="D2095" s="456">
        <f>IF(Table11[[#This Row],[Current Age]]&gt;19,"Women's",IF(E2095&gt;15,"U19",IF(E2095&gt;13,"U15",IF(E2095&gt;11,"U13",IF(E2095&gt;0,"U11",0)))))</f>
        <v>0</v>
      </c>
      <c r="E2095" s="456">
        <f>IFERROR(IF(Table11[[#This Row],[Year]]&gt;0,$E$1-Table11[[#This Row],[Year]],0),"")</f>
        <v>0</v>
      </c>
      <c r="F2095" s="456"/>
      <c r="G2095" s="456"/>
      <c r="H2095" s="456"/>
    </row>
    <row r="2096" spans="1:8" ht="13.5" customHeight="1">
      <c r="A2096" s="471">
        <v>9092</v>
      </c>
      <c r="B2096" s="540"/>
      <c r="C2096" s="471"/>
      <c r="D2096" s="456">
        <f>IF(Table11[[#This Row],[Current Age]]&gt;19,"Women's",IF(E2096&gt;15,"U19",IF(E2096&gt;13,"U15",IF(E2096&gt;11,"U13",IF(E2096&gt;0,"U11",0)))))</f>
        <v>0</v>
      </c>
      <c r="E2096" s="456">
        <f>IFERROR(IF(Table11[[#This Row],[Year]]&gt;0,$E$1-Table11[[#This Row],[Year]],0),"")</f>
        <v>0</v>
      </c>
      <c r="F2096" s="456"/>
      <c r="G2096" s="456"/>
      <c r="H2096" s="456"/>
    </row>
    <row r="2097" spans="1:8" ht="13.5" customHeight="1">
      <c r="A2097" s="456">
        <v>9093</v>
      </c>
      <c r="B2097" s="457"/>
      <c r="C2097" s="456"/>
      <c r="D2097" s="456">
        <f>IF(Table11[[#This Row],[Current Age]]&gt;19,"Women's",IF(E2097&gt;15,"U19",IF(E2097&gt;13,"U15",IF(E2097&gt;11,"U13",IF(E2097&gt;0,"U11",0)))))</f>
        <v>0</v>
      </c>
      <c r="E2097" s="456">
        <f>IFERROR(IF(Table11[[#This Row],[Year]]&gt;0,$E$1-Table11[[#This Row],[Year]],0),"")</f>
        <v>0</v>
      </c>
      <c r="F2097" s="456"/>
      <c r="G2097" s="456"/>
      <c r="H2097" s="456"/>
    </row>
    <row r="2098" spans="1:8" ht="13.5" customHeight="1">
      <c r="A2098" s="471">
        <v>9094</v>
      </c>
      <c r="B2098" s="540"/>
      <c r="C2098" s="471"/>
      <c r="D2098" s="456">
        <f>IF(Table11[[#This Row],[Current Age]]&gt;19,"Women's",IF(E2098&gt;15,"U19",IF(E2098&gt;13,"U15",IF(E2098&gt;11,"U13",IF(E2098&gt;0,"U11",0)))))</f>
        <v>0</v>
      </c>
      <c r="E2098" s="456">
        <f>IFERROR(IF(Table11[[#This Row],[Year]]&gt;0,$E$1-Table11[[#This Row],[Year]],0),"")</f>
        <v>0</v>
      </c>
      <c r="F2098" s="456"/>
      <c r="G2098" s="456"/>
      <c r="H2098" s="456"/>
    </row>
    <row r="2099" spans="1:8" ht="13.5" customHeight="1">
      <c r="A2099" s="456">
        <v>9095</v>
      </c>
      <c r="B2099" s="457"/>
      <c r="C2099" s="456"/>
      <c r="D2099" s="456">
        <f>IF(Table11[[#This Row],[Current Age]]&gt;19,"Women's",IF(E2099&gt;15,"U19",IF(E2099&gt;13,"U15",IF(E2099&gt;11,"U13",IF(E2099&gt;0,"U11",0)))))</f>
        <v>0</v>
      </c>
      <c r="E2099" s="456">
        <f>IFERROR(IF(Table11[[#This Row],[Year]]&gt;0,$E$1-Table11[[#This Row],[Year]],0),"")</f>
        <v>0</v>
      </c>
      <c r="F2099" s="456"/>
      <c r="G2099" s="456"/>
      <c r="H2099" s="456"/>
    </row>
    <row r="2100" spans="1:8" ht="13.5" customHeight="1">
      <c r="A2100" s="471">
        <v>9096</v>
      </c>
      <c r="B2100" s="540"/>
      <c r="C2100" s="471"/>
      <c r="D2100" s="456">
        <f>IF(Table11[[#This Row],[Current Age]]&gt;19,"Women's",IF(E2100&gt;15,"U19",IF(E2100&gt;13,"U15",IF(E2100&gt;11,"U13",IF(E2100&gt;0,"U11",0)))))</f>
        <v>0</v>
      </c>
      <c r="E2100" s="456">
        <f>IFERROR(IF(Table11[[#This Row],[Year]]&gt;0,$E$1-Table11[[#This Row],[Year]],0),"")</f>
        <v>0</v>
      </c>
      <c r="F2100" s="456"/>
      <c r="G2100" s="456"/>
      <c r="H2100" s="456"/>
    </row>
    <row r="2101" spans="1:8" ht="13.5" customHeight="1">
      <c r="A2101" s="456">
        <v>9097</v>
      </c>
      <c r="B2101" s="457"/>
      <c r="C2101" s="456"/>
      <c r="D2101" s="456">
        <f>IF(Table11[[#This Row],[Current Age]]&gt;19,"Women's",IF(E2101&gt;15,"U19",IF(E2101&gt;13,"U15",IF(E2101&gt;11,"U13",IF(E2101&gt;0,"U11",0)))))</f>
        <v>0</v>
      </c>
      <c r="E2101" s="456">
        <f>IFERROR(IF(Table11[[#This Row],[Year]]&gt;0,$E$1-Table11[[#This Row],[Year]],0),"")</f>
        <v>0</v>
      </c>
      <c r="F2101" s="456"/>
      <c r="G2101" s="456"/>
      <c r="H2101" s="456"/>
    </row>
    <row r="2102" spans="1:8" ht="13.5" customHeight="1">
      <c r="A2102" s="471">
        <v>9098</v>
      </c>
      <c r="B2102" s="540"/>
      <c r="C2102" s="471"/>
      <c r="D2102" s="456">
        <f>IF(Table11[[#This Row],[Current Age]]&gt;19,"Women's",IF(E2102&gt;15,"U19",IF(E2102&gt;13,"U15",IF(E2102&gt;11,"U13",IF(E2102&gt;0,"U11",0)))))</f>
        <v>0</v>
      </c>
      <c r="E2102" s="456">
        <f>IFERROR(IF(Table11[[#This Row],[Year]]&gt;0,$E$1-Table11[[#This Row],[Year]],0),"")</f>
        <v>0</v>
      </c>
      <c r="F2102" s="456"/>
      <c r="G2102" s="456"/>
      <c r="H2102" s="456"/>
    </row>
    <row r="2103" spans="1:8" ht="13.5" customHeight="1">
      <c r="A2103" s="456">
        <v>9099</v>
      </c>
      <c r="B2103" s="457"/>
      <c r="C2103" s="456"/>
      <c r="D2103" s="456">
        <f>IF(Table11[[#This Row],[Current Age]]&gt;19,"Women's",IF(E2103&gt;15,"U19",IF(E2103&gt;13,"U15",IF(E2103&gt;11,"U13",IF(E2103&gt;0,"U11",0)))))</f>
        <v>0</v>
      </c>
      <c r="E2103" s="456">
        <f>IFERROR(IF(Table11[[#This Row],[Year]]&gt;0,$E$1-Table11[[#This Row],[Year]],0),"")</f>
        <v>0</v>
      </c>
      <c r="F2103" s="456"/>
      <c r="G2103" s="456"/>
      <c r="H2103" s="456"/>
    </row>
    <row r="2104" spans="1:8" ht="13.5" customHeight="1">
      <c r="A2104" s="471">
        <v>9100</v>
      </c>
      <c r="B2104" s="540"/>
      <c r="C2104" s="471"/>
      <c r="D2104" s="456">
        <f>IF(Table11[[#This Row],[Current Age]]&gt;19,"Women's",IF(E2104&gt;15,"U19",IF(E2104&gt;13,"U15",IF(E2104&gt;11,"U13",IF(E2104&gt;0,"U11",0)))))</f>
        <v>0</v>
      </c>
      <c r="E2104" s="456">
        <f>IFERROR(IF(Table11[[#This Row],[Year]]&gt;0,$E$1-Table11[[#This Row],[Year]],0),"")</f>
        <v>0</v>
      </c>
      <c r="F2104" s="456"/>
      <c r="G2104" s="456"/>
      <c r="H2104" s="456"/>
    </row>
    <row r="2105" spans="1:8" ht="13.5" customHeight="1">
      <c r="A2105" s="456">
        <v>9101</v>
      </c>
      <c r="B2105" s="457"/>
      <c r="C2105" s="456"/>
      <c r="D2105" s="456">
        <f>IF(Table11[[#This Row],[Current Age]]&gt;19,"Women's",IF(E2105&gt;15,"U19",IF(E2105&gt;13,"U15",IF(E2105&gt;11,"U13",IF(E2105&gt;0,"U11",0)))))</f>
        <v>0</v>
      </c>
      <c r="E2105" s="456">
        <f>IFERROR(IF(Table11[[#This Row],[Year]]&gt;0,$E$1-Table11[[#This Row],[Year]],0),"")</f>
        <v>0</v>
      </c>
      <c r="F2105" s="456"/>
      <c r="G2105" s="456"/>
      <c r="H2105" s="456"/>
    </row>
    <row r="2106" spans="1:8" ht="13.5" customHeight="1">
      <c r="A2106" s="471">
        <v>9102</v>
      </c>
      <c r="B2106" s="540"/>
      <c r="C2106" s="471"/>
      <c r="D2106" s="456">
        <f>IF(Table11[[#This Row],[Current Age]]&gt;19,"Women's",IF(E2106&gt;15,"U19",IF(E2106&gt;13,"U15",IF(E2106&gt;11,"U13",IF(E2106&gt;0,"U11",0)))))</f>
        <v>0</v>
      </c>
      <c r="E2106" s="456">
        <f>IFERROR(IF(Table11[[#This Row],[Year]]&gt;0,$E$1-Table11[[#This Row],[Year]],0),"")</f>
        <v>0</v>
      </c>
      <c r="F2106" s="456"/>
      <c r="G2106" s="456"/>
      <c r="H2106" s="456"/>
    </row>
    <row r="2107" spans="1:8" ht="13.5" customHeight="1">
      <c r="A2107" s="456">
        <v>9103</v>
      </c>
      <c r="B2107" s="457"/>
      <c r="C2107" s="456"/>
      <c r="D2107" s="456">
        <f>IF(Table11[[#This Row],[Current Age]]&gt;19,"Women's",IF(E2107&gt;15,"U19",IF(E2107&gt;13,"U15",IF(E2107&gt;11,"U13",IF(E2107&gt;0,"U11",0)))))</f>
        <v>0</v>
      </c>
      <c r="E2107" s="456">
        <f>IFERROR(IF(Table11[[#This Row],[Year]]&gt;0,$E$1-Table11[[#This Row],[Year]],0),"")</f>
        <v>0</v>
      </c>
      <c r="F2107" s="456"/>
      <c r="G2107" s="456"/>
      <c r="H2107" s="456"/>
    </row>
    <row r="2108" spans="1:8" ht="13.5" customHeight="1">
      <c r="A2108" s="471">
        <v>9104</v>
      </c>
      <c r="B2108" s="540"/>
      <c r="C2108" s="471"/>
      <c r="D2108" s="456">
        <f>IF(Table11[[#This Row],[Current Age]]&gt;19,"Women's",IF(E2108&gt;15,"U19",IF(E2108&gt;13,"U15",IF(E2108&gt;11,"U13",IF(E2108&gt;0,"U11",0)))))</f>
        <v>0</v>
      </c>
      <c r="E2108" s="456">
        <f>IFERROR(IF(Table11[[#This Row],[Year]]&gt;0,$E$1-Table11[[#This Row],[Year]],0),"")</f>
        <v>0</v>
      </c>
      <c r="F2108" s="456"/>
      <c r="G2108" s="456"/>
      <c r="H2108" s="456"/>
    </row>
    <row r="2109" spans="1:8" ht="13.5" customHeight="1">
      <c r="A2109" s="456">
        <v>9105</v>
      </c>
      <c r="B2109" s="457"/>
      <c r="C2109" s="456"/>
      <c r="D2109" s="456">
        <f>IF(Table11[[#This Row],[Current Age]]&gt;19,"Women's",IF(E2109&gt;15,"U19",IF(E2109&gt;13,"U15",IF(E2109&gt;11,"U13",IF(E2109&gt;0,"U11",0)))))</f>
        <v>0</v>
      </c>
      <c r="E2109" s="456">
        <f>IFERROR(IF(Table11[[#This Row],[Year]]&gt;0,$E$1-Table11[[#This Row],[Year]],0),"")</f>
        <v>0</v>
      </c>
      <c r="F2109" s="456"/>
      <c r="G2109" s="456"/>
      <c r="H2109" s="456"/>
    </row>
    <row r="2110" spans="1:8" ht="13.5" customHeight="1">
      <c r="A2110" s="471">
        <v>9106</v>
      </c>
      <c r="B2110" s="540"/>
      <c r="C2110" s="471"/>
      <c r="D2110" s="456">
        <f>IF(Table11[[#This Row],[Current Age]]&gt;19,"Women's",IF(E2110&gt;15,"U19",IF(E2110&gt;13,"U15",IF(E2110&gt;11,"U13",IF(E2110&gt;0,"U11",0)))))</f>
        <v>0</v>
      </c>
      <c r="E2110" s="456">
        <f>IFERROR(IF(Table11[[#This Row],[Year]]&gt;0,$E$1-Table11[[#This Row],[Year]],0),"")</f>
        <v>0</v>
      </c>
      <c r="F2110" s="456"/>
      <c r="G2110" s="456"/>
      <c r="H2110" s="456"/>
    </row>
    <row r="2111" spans="1:8" ht="13.5" customHeight="1">
      <c r="A2111" s="456">
        <v>9107</v>
      </c>
      <c r="B2111" s="457"/>
      <c r="C2111" s="456"/>
      <c r="D2111" s="456">
        <f>IF(Table11[[#This Row],[Current Age]]&gt;19,"Women's",IF(E2111&gt;15,"U19",IF(E2111&gt;13,"U15",IF(E2111&gt;11,"U13",IF(E2111&gt;0,"U11",0)))))</f>
        <v>0</v>
      </c>
      <c r="E2111" s="456">
        <f>IFERROR(IF(Table11[[#This Row],[Year]]&gt;0,$E$1-Table11[[#This Row],[Year]],0),"")</f>
        <v>0</v>
      </c>
      <c r="F2111" s="456"/>
      <c r="G2111" s="456"/>
      <c r="H2111" s="456"/>
    </row>
    <row r="2112" spans="1:8" ht="13.5" customHeight="1">
      <c r="A2112" s="471">
        <v>9108</v>
      </c>
      <c r="B2112" s="540"/>
      <c r="C2112" s="471"/>
      <c r="D2112" s="456">
        <f>IF(Table11[[#This Row],[Current Age]]&gt;19,"Women's",IF(E2112&gt;15,"U19",IF(E2112&gt;13,"U15",IF(E2112&gt;11,"U13",IF(E2112&gt;0,"U11",0)))))</f>
        <v>0</v>
      </c>
      <c r="E2112" s="456">
        <f>IFERROR(IF(Table11[[#This Row],[Year]]&gt;0,$E$1-Table11[[#This Row],[Year]],0),"")</f>
        <v>0</v>
      </c>
      <c r="F2112" s="456"/>
      <c r="G2112" s="456"/>
      <c r="H2112" s="456"/>
    </row>
    <row r="2113" spans="1:8" ht="13.5" customHeight="1">
      <c r="A2113" s="456">
        <v>9109</v>
      </c>
      <c r="B2113" s="457"/>
      <c r="C2113" s="456"/>
      <c r="D2113" s="456">
        <f>IF(Table11[[#This Row],[Current Age]]&gt;19,"Women's",IF(E2113&gt;15,"U19",IF(E2113&gt;13,"U15",IF(E2113&gt;11,"U13",IF(E2113&gt;0,"U11",0)))))</f>
        <v>0</v>
      </c>
      <c r="E2113" s="456">
        <f>IFERROR(IF(Table11[[#This Row],[Year]]&gt;0,$E$1-Table11[[#This Row],[Year]],0),"")</f>
        <v>0</v>
      </c>
      <c r="F2113" s="456"/>
      <c r="G2113" s="456"/>
      <c r="H2113" s="456"/>
    </row>
    <row r="2114" spans="1:8" ht="13.5" customHeight="1">
      <c r="A2114" s="471">
        <v>9110</v>
      </c>
      <c r="B2114" s="540"/>
      <c r="C2114" s="471"/>
      <c r="D2114" s="456">
        <f>IF(Table11[[#This Row],[Current Age]]&gt;19,"Women's",IF(E2114&gt;15,"U19",IF(E2114&gt;13,"U15",IF(E2114&gt;11,"U13",IF(E2114&gt;0,"U11",0)))))</f>
        <v>0</v>
      </c>
      <c r="E2114" s="456">
        <f>IFERROR(IF(Table11[[#This Row],[Year]]&gt;0,$E$1-Table11[[#This Row],[Year]],0),"")</f>
        <v>0</v>
      </c>
      <c r="F2114" s="456"/>
      <c r="G2114" s="456"/>
      <c r="H2114" s="456"/>
    </row>
    <row r="2115" spans="1:8" ht="13.5" customHeight="1">
      <c r="A2115" s="456">
        <v>9111</v>
      </c>
      <c r="B2115" s="457"/>
      <c r="C2115" s="456"/>
      <c r="D2115" s="456">
        <f>IF(Table11[[#This Row],[Current Age]]&gt;19,"Women's",IF(E2115&gt;15,"U19",IF(E2115&gt;13,"U15",IF(E2115&gt;11,"U13",IF(E2115&gt;0,"U11",0)))))</f>
        <v>0</v>
      </c>
      <c r="E2115" s="456">
        <f>IFERROR(IF(Table11[[#This Row],[Year]]&gt;0,$E$1-Table11[[#This Row],[Year]],0),"")</f>
        <v>0</v>
      </c>
      <c r="F2115" s="456"/>
      <c r="G2115" s="456"/>
      <c r="H2115" s="456"/>
    </row>
    <row r="2116" spans="1:8" ht="13.5" customHeight="1">
      <c r="A2116" s="471">
        <v>9112</v>
      </c>
      <c r="B2116" s="540"/>
      <c r="C2116" s="471"/>
      <c r="D2116" s="456">
        <f>IF(Table11[[#This Row],[Current Age]]&gt;19,"Women's",IF(E2116&gt;15,"U19",IF(E2116&gt;13,"U15",IF(E2116&gt;11,"U13",IF(E2116&gt;0,"U11",0)))))</f>
        <v>0</v>
      </c>
      <c r="E2116" s="456">
        <f>IFERROR(IF(Table11[[#This Row],[Year]]&gt;0,$E$1-Table11[[#This Row],[Year]],0),"")</f>
        <v>0</v>
      </c>
      <c r="F2116" s="456"/>
      <c r="G2116" s="456"/>
      <c r="H2116" s="456"/>
    </row>
    <row r="2117" spans="1:8" ht="13.5" customHeight="1">
      <c r="A2117" s="456">
        <v>9113</v>
      </c>
      <c r="B2117" s="457"/>
      <c r="C2117" s="456"/>
      <c r="D2117" s="456">
        <f>IF(Table11[[#This Row],[Current Age]]&gt;19,"Women's",IF(E2117&gt;15,"U19",IF(E2117&gt;13,"U15",IF(E2117&gt;11,"U13",IF(E2117&gt;0,"U11",0)))))</f>
        <v>0</v>
      </c>
      <c r="E2117" s="456">
        <f>IFERROR(IF(Table11[[#This Row],[Year]]&gt;0,$E$1-Table11[[#This Row],[Year]],0),"")</f>
        <v>0</v>
      </c>
      <c r="F2117" s="456"/>
      <c r="G2117" s="456"/>
      <c r="H2117" s="456"/>
    </row>
    <row r="2118" spans="1:8" ht="13.5" customHeight="1">
      <c r="A2118" s="471">
        <v>9114</v>
      </c>
      <c r="B2118" s="540"/>
      <c r="C2118" s="471"/>
      <c r="D2118" s="456">
        <f>IF(Table11[[#This Row],[Current Age]]&gt;19,"Women's",IF(E2118&gt;15,"U19",IF(E2118&gt;13,"U15",IF(E2118&gt;11,"U13",IF(E2118&gt;0,"U11",0)))))</f>
        <v>0</v>
      </c>
      <c r="E2118" s="456">
        <f>IFERROR(IF(Table11[[#This Row],[Year]]&gt;0,$E$1-Table11[[#This Row],[Year]],0),"")</f>
        <v>0</v>
      </c>
      <c r="F2118" s="456"/>
      <c r="G2118" s="456"/>
      <c r="H2118" s="456"/>
    </row>
    <row r="2119" spans="1:8" ht="13.5" customHeight="1">
      <c r="A2119" s="456">
        <v>9115</v>
      </c>
      <c r="B2119" s="457"/>
      <c r="C2119" s="456"/>
      <c r="D2119" s="456">
        <f>IF(Table11[[#This Row],[Current Age]]&gt;19,"Women's",IF(E2119&gt;15,"U19",IF(E2119&gt;13,"U15",IF(E2119&gt;11,"U13",IF(E2119&gt;0,"U11",0)))))</f>
        <v>0</v>
      </c>
      <c r="E2119" s="456">
        <f>IFERROR(IF(Table11[[#This Row],[Year]]&gt;0,$E$1-Table11[[#This Row],[Year]],0),"")</f>
        <v>0</v>
      </c>
      <c r="F2119" s="456"/>
      <c r="G2119" s="456"/>
      <c r="H2119" s="456"/>
    </row>
    <row r="2120" spans="1:8" ht="13.5" customHeight="1">
      <c r="A2120" s="471">
        <v>9116</v>
      </c>
      <c r="B2120" s="540"/>
      <c r="C2120" s="471"/>
      <c r="D2120" s="456">
        <f>IF(Table11[[#This Row],[Current Age]]&gt;19,"Women's",IF(E2120&gt;15,"U19",IF(E2120&gt;13,"U15",IF(E2120&gt;11,"U13",IF(E2120&gt;0,"U11",0)))))</f>
        <v>0</v>
      </c>
      <c r="E2120" s="456">
        <f>IFERROR(IF(Table11[[#This Row],[Year]]&gt;0,$E$1-Table11[[#This Row],[Year]],0),"")</f>
        <v>0</v>
      </c>
      <c r="F2120" s="456"/>
      <c r="G2120" s="456"/>
      <c r="H2120" s="456"/>
    </row>
    <row r="2121" spans="1:8" ht="13.5" customHeight="1">
      <c r="A2121" s="456">
        <v>9117</v>
      </c>
      <c r="B2121" s="457"/>
      <c r="C2121" s="456"/>
      <c r="D2121" s="456">
        <f>IF(Table11[[#This Row],[Current Age]]&gt;19,"Women's",IF(E2121&gt;15,"U19",IF(E2121&gt;13,"U15",IF(E2121&gt;11,"U13",IF(E2121&gt;0,"U11",0)))))</f>
        <v>0</v>
      </c>
      <c r="E2121" s="456">
        <f>IFERROR(IF(Table11[[#This Row],[Year]]&gt;0,$E$1-Table11[[#This Row],[Year]],0),"")</f>
        <v>0</v>
      </c>
      <c r="F2121" s="456"/>
      <c r="G2121" s="456"/>
      <c r="H2121" s="456"/>
    </row>
    <row r="2122" spans="1:8" ht="13.5" customHeight="1">
      <c r="A2122" s="471">
        <v>9118</v>
      </c>
      <c r="B2122" s="540"/>
      <c r="C2122" s="471"/>
      <c r="D2122" s="456">
        <f>IF(Table11[[#This Row],[Current Age]]&gt;19,"Women's",IF(E2122&gt;15,"U19",IF(E2122&gt;13,"U15",IF(E2122&gt;11,"U13",IF(E2122&gt;0,"U11",0)))))</f>
        <v>0</v>
      </c>
      <c r="E2122" s="456">
        <f>IFERROR(IF(Table11[[#This Row],[Year]]&gt;0,$E$1-Table11[[#This Row],[Year]],0),"")</f>
        <v>0</v>
      </c>
      <c r="F2122" s="456"/>
      <c r="G2122" s="456"/>
      <c r="H2122" s="456"/>
    </row>
    <row r="2123" spans="1:8" ht="13.5" customHeight="1">
      <c r="A2123" s="456">
        <v>9119</v>
      </c>
      <c r="B2123" s="457"/>
      <c r="C2123" s="456"/>
      <c r="D2123" s="456">
        <f>IF(Table11[[#This Row],[Current Age]]&gt;19,"Women's",IF(E2123&gt;15,"U19",IF(E2123&gt;13,"U15",IF(E2123&gt;11,"U13",IF(E2123&gt;0,"U11",0)))))</f>
        <v>0</v>
      </c>
      <c r="E2123" s="456">
        <f>IFERROR(IF(Table11[[#This Row],[Year]]&gt;0,$E$1-Table11[[#This Row],[Year]],0),"")</f>
        <v>0</v>
      </c>
      <c r="F2123" s="456"/>
      <c r="G2123" s="456"/>
      <c r="H2123" s="456"/>
    </row>
    <row r="2124" spans="1:8" ht="13.5" customHeight="1">
      <c r="A2124" s="471">
        <v>9120</v>
      </c>
      <c r="B2124" s="540"/>
      <c r="C2124" s="471"/>
      <c r="D2124" s="456">
        <f>IF(Table11[[#This Row],[Current Age]]&gt;19,"Women's",IF(E2124&gt;15,"U19",IF(E2124&gt;13,"U15",IF(E2124&gt;11,"U13",IF(E2124&gt;0,"U11",0)))))</f>
        <v>0</v>
      </c>
      <c r="E2124" s="456">
        <f>IFERROR(IF(Table11[[#This Row],[Year]]&gt;0,$E$1-Table11[[#This Row],[Year]],0),"")</f>
        <v>0</v>
      </c>
      <c r="F2124" s="456"/>
      <c r="G2124" s="456"/>
      <c r="H2124" s="456"/>
    </row>
    <row r="2125" spans="1:8" ht="13.5" customHeight="1">
      <c r="A2125" s="456">
        <v>9121</v>
      </c>
      <c r="B2125" s="457"/>
      <c r="C2125" s="456"/>
      <c r="D2125" s="456">
        <f>IF(Table11[[#This Row],[Current Age]]&gt;19,"Women's",IF(E2125&gt;15,"U19",IF(E2125&gt;13,"U15",IF(E2125&gt;11,"U13",IF(E2125&gt;0,"U11",0)))))</f>
        <v>0</v>
      </c>
      <c r="E2125" s="456">
        <f>IFERROR(IF(Table11[[#This Row],[Year]]&gt;0,$E$1-Table11[[#This Row],[Year]],0),"")</f>
        <v>0</v>
      </c>
      <c r="F2125" s="456"/>
      <c r="G2125" s="456"/>
      <c r="H2125" s="456"/>
    </row>
    <row r="2126" spans="1:8" ht="13.5" customHeight="1">
      <c r="A2126" s="471">
        <v>9122</v>
      </c>
      <c r="B2126" s="540"/>
      <c r="C2126" s="471"/>
      <c r="D2126" s="456">
        <f>IF(Table11[[#This Row],[Current Age]]&gt;19,"Women's",IF(E2126&gt;15,"U19",IF(E2126&gt;13,"U15",IF(E2126&gt;11,"U13",IF(E2126&gt;0,"U11",0)))))</f>
        <v>0</v>
      </c>
      <c r="E2126" s="456">
        <f>IFERROR(IF(Table11[[#This Row],[Year]]&gt;0,$E$1-Table11[[#This Row],[Year]],0),"")</f>
        <v>0</v>
      </c>
      <c r="F2126" s="456"/>
      <c r="G2126" s="456"/>
      <c r="H2126" s="456"/>
    </row>
    <row r="2127" spans="1:8" ht="13.5" customHeight="1">
      <c r="A2127" s="456">
        <v>9123</v>
      </c>
      <c r="B2127" s="457"/>
      <c r="C2127" s="456"/>
      <c r="D2127" s="456">
        <f>IF(Table11[[#This Row],[Current Age]]&gt;19,"Women's",IF(E2127&gt;15,"U19",IF(E2127&gt;13,"U15",IF(E2127&gt;11,"U13",IF(E2127&gt;0,"U11",0)))))</f>
        <v>0</v>
      </c>
      <c r="E2127" s="456">
        <f>IFERROR(IF(Table11[[#This Row],[Year]]&gt;0,$E$1-Table11[[#This Row],[Year]],0),"")</f>
        <v>0</v>
      </c>
      <c r="F2127" s="456"/>
      <c r="G2127" s="456"/>
      <c r="H2127" s="456"/>
    </row>
    <row r="2128" spans="1:8" ht="13.5" customHeight="1">
      <c r="A2128" s="471">
        <v>9124</v>
      </c>
      <c r="B2128" s="540"/>
      <c r="C2128" s="471"/>
      <c r="D2128" s="456">
        <f>IF(Table11[[#This Row],[Current Age]]&gt;19,"Women's",IF(E2128&gt;15,"U19",IF(E2128&gt;13,"U15",IF(E2128&gt;11,"U13",IF(E2128&gt;0,"U11",0)))))</f>
        <v>0</v>
      </c>
      <c r="E2128" s="456">
        <f>IFERROR(IF(Table11[[#This Row],[Year]]&gt;0,$E$1-Table11[[#This Row],[Year]],0),"")</f>
        <v>0</v>
      </c>
      <c r="F2128" s="456"/>
      <c r="G2128" s="456"/>
      <c r="H2128" s="456"/>
    </row>
    <row r="2129" spans="1:8" ht="13.5" customHeight="1">
      <c r="A2129" s="456">
        <v>9125</v>
      </c>
      <c r="B2129" s="457"/>
      <c r="C2129" s="456"/>
      <c r="D2129" s="456">
        <f>IF(Table11[[#This Row],[Current Age]]&gt;19,"Women's",IF(E2129&gt;15,"U19",IF(E2129&gt;13,"U15",IF(E2129&gt;11,"U13",IF(E2129&gt;0,"U11",0)))))</f>
        <v>0</v>
      </c>
      <c r="E2129" s="456">
        <f>IFERROR(IF(Table11[[#This Row],[Year]]&gt;0,$E$1-Table11[[#This Row],[Year]],0),"")</f>
        <v>0</v>
      </c>
      <c r="F2129" s="456"/>
      <c r="G2129" s="456"/>
      <c r="H2129" s="456"/>
    </row>
    <row r="2130" spans="1:8" ht="13.5" customHeight="1">
      <c r="A2130" s="471">
        <v>9126</v>
      </c>
      <c r="B2130" s="540"/>
      <c r="C2130" s="471"/>
      <c r="D2130" s="456">
        <f>IF(Table11[[#This Row],[Current Age]]&gt;19,"Women's",IF(E2130&gt;15,"U19",IF(E2130&gt;13,"U15",IF(E2130&gt;11,"U13",IF(E2130&gt;0,"U11",0)))))</f>
        <v>0</v>
      </c>
      <c r="E2130" s="456">
        <f>IFERROR(IF(Table11[[#This Row],[Year]]&gt;0,$E$1-Table11[[#This Row],[Year]],0),"")</f>
        <v>0</v>
      </c>
      <c r="F2130" s="456"/>
      <c r="G2130" s="456"/>
      <c r="H2130" s="456"/>
    </row>
    <row r="2131" spans="1:8" ht="13.5" customHeight="1">
      <c r="A2131" s="456">
        <v>9127</v>
      </c>
      <c r="B2131" s="457"/>
      <c r="C2131" s="456"/>
      <c r="D2131" s="456">
        <f>IF(Table11[[#This Row],[Current Age]]&gt;19,"Women's",IF(E2131&gt;15,"U19",IF(E2131&gt;13,"U15",IF(E2131&gt;11,"U13",IF(E2131&gt;0,"U11",0)))))</f>
        <v>0</v>
      </c>
      <c r="E2131" s="456">
        <f>IFERROR(IF(Table11[[#This Row],[Year]]&gt;0,$E$1-Table11[[#This Row],[Year]],0),"")</f>
        <v>0</v>
      </c>
      <c r="F2131" s="456"/>
      <c r="G2131" s="456"/>
      <c r="H2131" s="456"/>
    </row>
    <row r="2132" spans="1:8" ht="13.5" customHeight="1">
      <c r="A2132" s="471">
        <v>9128</v>
      </c>
      <c r="B2132" s="540"/>
      <c r="C2132" s="471"/>
      <c r="D2132" s="456">
        <f>IF(Table11[[#This Row],[Current Age]]&gt;19,"Women's",IF(E2132&gt;15,"U19",IF(E2132&gt;13,"U15",IF(E2132&gt;11,"U13",IF(E2132&gt;0,"U11",0)))))</f>
        <v>0</v>
      </c>
      <c r="E2132" s="456">
        <f>IFERROR(IF(Table11[[#This Row],[Year]]&gt;0,$E$1-Table11[[#This Row],[Year]],0),"")</f>
        <v>0</v>
      </c>
      <c r="F2132" s="456"/>
      <c r="G2132" s="456"/>
      <c r="H2132" s="456"/>
    </row>
    <row r="2133" spans="1:8" ht="13.5" customHeight="1">
      <c r="A2133" s="456">
        <v>9129</v>
      </c>
      <c r="B2133" s="457"/>
      <c r="C2133" s="456"/>
      <c r="D2133" s="456">
        <f>IF(Table11[[#This Row],[Current Age]]&gt;19,"Women's",IF(E2133&gt;15,"U19",IF(E2133&gt;13,"U15",IF(E2133&gt;11,"U13",IF(E2133&gt;0,"U11",0)))))</f>
        <v>0</v>
      </c>
      <c r="E2133" s="456">
        <f>IFERROR(IF(Table11[[#This Row],[Year]]&gt;0,$E$1-Table11[[#This Row],[Year]],0),"")</f>
        <v>0</v>
      </c>
      <c r="F2133" s="456"/>
      <c r="G2133" s="456"/>
      <c r="H2133" s="456"/>
    </row>
    <row r="2134" spans="1:8" ht="13.5" customHeight="1">
      <c r="A2134" s="471">
        <v>9130</v>
      </c>
      <c r="B2134" s="540"/>
      <c r="C2134" s="471"/>
      <c r="D2134" s="456">
        <f>IF(Table11[[#This Row],[Current Age]]&gt;19,"Women's",IF(E2134&gt;15,"U19",IF(E2134&gt;13,"U15",IF(E2134&gt;11,"U13",IF(E2134&gt;0,"U11",0)))))</f>
        <v>0</v>
      </c>
      <c r="E2134" s="456">
        <f>IFERROR(IF(Table11[[#This Row],[Year]]&gt;0,$E$1-Table11[[#This Row],[Year]],0),"")</f>
        <v>0</v>
      </c>
      <c r="F2134" s="456"/>
      <c r="G2134" s="456"/>
      <c r="H2134" s="456"/>
    </row>
    <row r="2135" spans="1:8" ht="13.5" customHeight="1">
      <c r="A2135" s="456">
        <v>9131</v>
      </c>
      <c r="B2135" s="457"/>
      <c r="C2135" s="456"/>
      <c r="D2135" s="456">
        <f>IF(Table11[[#This Row],[Current Age]]&gt;19,"Women's",IF(E2135&gt;15,"U19",IF(E2135&gt;13,"U15",IF(E2135&gt;11,"U13",IF(E2135&gt;0,"U11",0)))))</f>
        <v>0</v>
      </c>
      <c r="E2135" s="456">
        <f>IFERROR(IF(Table11[[#This Row],[Year]]&gt;0,$E$1-Table11[[#This Row],[Year]],0),"")</f>
        <v>0</v>
      </c>
      <c r="F2135" s="456"/>
      <c r="G2135" s="456"/>
      <c r="H2135" s="456"/>
    </row>
    <row r="2136" spans="1:8" ht="13.5" customHeight="1">
      <c r="A2136" s="471">
        <v>9132</v>
      </c>
      <c r="B2136" s="540"/>
      <c r="C2136" s="471"/>
      <c r="D2136" s="456">
        <f>IF(Table11[[#This Row],[Current Age]]&gt;19,"Women's",IF(E2136&gt;15,"U19",IF(E2136&gt;13,"U15",IF(E2136&gt;11,"U13",IF(E2136&gt;0,"U11",0)))))</f>
        <v>0</v>
      </c>
      <c r="E2136" s="456">
        <f>IFERROR(IF(Table11[[#This Row],[Year]]&gt;0,$E$1-Table11[[#This Row],[Year]],0),"")</f>
        <v>0</v>
      </c>
      <c r="F2136" s="456"/>
      <c r="G2136" s="456"/>
      <c r="H2136" s="456"/>
    </row>
    <row r="2137" spans="1:8" ht="13.5" customHeight="1">
      <c r="A2137" s="456">
        <v>9133</v>
      </c>
      <c r="B2137" s="457"/>
      <c r="C2137" s="456"/>
      <c r="D2137" s="456">
        <f>IF(Table11[[#This Row],[Current Age]]&gt;19,"Women's",IF(E2137&gt;15,"U19",IF(E2137&gt;13,"U15",IF(E2137&gt;11,"U13",IF(E2137&gt;0,"U11",0)))))</f>
        <v>0</v>
      </c>
      <c r="E2137" s="456">
        <f>IFERROR(IF(Table11[[#This Row],[Year]]&gt;0,$E$1-Table11[[#This Row],[Year]],0),"")</f>
        <v>0</v>
      </c>
      <c r="F2137" s="456"/>
      <c r="G2137" s="456"/>
      <c r="H2137" s="456"/>
    </row>
    <row r="2138" spans="1:8" ht="13.5" customHeight="1">
      <c r="A2138" s="471">
        <v>9134</v>
      </c>
      <c r="B2138" s="540"/>
      <c r="C2138" s="471"/>
      <c r="D2138" s="456">
        <f>IF(Table11[[#This Row],[Current Age]]&gt;19,"Women's",IF(E2138&gt;15,"U19",IF(E2138&gt;13,"U15",IF(E2138&gt;11,"U13",IF(E2138&gt;0,"U11",0)))))</f>
        <v>0</v>
      </c>
      <c r="E2138" s="456">
        <f>IFERROR(IF(Table11[[#This Row],[Year]]&gt;0,$E$1-Table11[[#This Row],[Year]],0),"")</f>
        <v>0</v>
      </c>
      <c r="F2138" s="456"/>
      <c r="G2138" s="456"/>
      <c r="H2138" s="456"/>
    </row>
    <row r="2139" spans="1:8" ht="13.5" customHeight="1">
      <c r="A2139" s="456">
        <v>9135</v>
      </c>
      <c r="B2139" s="457"/>
      <c r="C2139" s="456"/>
      <c r="D2139" s="456">
        <f>IF(Table11[[#This Row],[Current Age]]&gt;19,"Women's",IF(E2139&gt;15,"U19",IF(E2139&gt;13,"U15",IF(E2139&gt;11,"U13",IF(E2139&gt;0,"U11",0)))))</f>
        <v>0</v>
      </c>
      <c r="E2139" s="456">
        <f>IFERROR(IF(Table11[[#This Row],[Year]]&gt;0,$E$1-Table11[[#This Row],[Year]],0),"")</f>
        <v>0</v>
      </c>
      <c r="F2139" s="456"/>
      <c r="G2139" s="456"/>
      <c r="H2139" s="456"/>
    </row>
    <row r="2140" spans="1:8" ht="13.5" customHeight="1">
      <c r="A2140" s="471">
        <v>9136</v>
      </c>
      <c r="B2140" s="540"/>
      <c r="C2140" s="471"/>
      <c r="D2140" s="456">
        <f>IF(Table11[[#This Row],[Current Age]]&gt;19,"Women's",IF(E2140&gt;15,"U19",IF(E2140&gt;13,"U15",IF(E2140&gt;11,"U13",IF(E2140&gt;0,"U11",0)))))</f>
        <v>0</v>
      </c>
      <c r="E2140" s="456">
        <f>IFERROR(IF(Table11[[#This Row],[Year]]&gt;0,$E$1-Table11[[#This Row],[Year]],0),"")</f>
        <v>0</v>
      </c>
      <c r="F2140" s="456"/>
      <c r="G2140" s="456"/>
      <c r="H2140" s="456"/>
    </row>
    <row r="2141" spans="1:8" ht="13.5" customHeight="1">
      <c r="A2141" s="456">
        <v>9137</v>
      </c>
      <c r="B2141" s="457"/>
      <c r="C2141" s="456"/>
      <c r="D2141" s="456">
        <f>IF(Table11[[#This Row],[Current Age]]&gt;19,"Women's",IF(E2141&gt;15,"U19",IF(E2141&gt;13,"U15",IF(E2141&gt;11,"U13",IF(E2141&gt;0,"U11",0)))))</f>
        <v>0</v>
      </c>
      <c r="E2141" s="456">
        <f>IFERROR(IF(Table11[[#This Row],[Year]]&gt;0,$E$1-Table11[[#This Row],[Year]],0),"")</f>
        <v>0</v>
      </c>
      <c r="F2141" s="456"/>
      <c r="G2141" s="456"/>
      <c r="H2141" s="456"/>
    </row>
    <row r="2142" spans="1:8" ht="13.5" customHeight="1">
      <c r="A2142" s="471">
        <v>9138</v>
      </c>
      <c r="B2142" s="540"/>
      <c r="C2142" s="471"/>
      <c r="D2142" s="456">
        <f>IF(Table11[[#This Row],[Current Age]]&gt;19,"Women's",IF(E2142&gt;15,"U19",IF(E2142&gt;13,"U15",IF(E2142&gt;11,"U13",IF(E2142&gt;0,"U11",0)))))</f>
        <v>0</v>
      </c>
      <c r="E2142" s="456">
        <f>IFERROR(IF(Table11[[#This Row],[Year]]&gt;0,$E$1-Table11[[#This Row],[Year]],0),"")</f>
        <v>0</v>
      </c>
      <c r="F2142" s="456"/>
      <c r="G2142" s="456"/>
      <c r="H2142" s="456"/>
    </row>
    <row r="2143" spans="1:8" ht="13.5" customHeight="1">
      <c r="A2143" s="456">
        <v>9139</v>
      </c>
      <c r="B2143" s="457"/>
      <c r="C2143" s="456"/>
      <c r="D2143" s="456">
        <f>IF(Table11[[#This Row],[Current Age]]&gt;19,"Women's",IF(E2143&gt;15,"U19",IF(E2143&gt;13,"U15",IF(E2143&gt;11,"U13",IF(E2143&gt;0,"U11",0)))))</f>
        <v>0</v>
      </c>
      <c r="E2143" s="456">
        <f>IFERROR(IF(Table11[[#This Row],[Year]]&gt;0,$E$1-Table11[[#This Row],[Year]],0),"")</f>
        <v>0</v>
      </c>
      <c r="F2143" s="456"/>
      <c r="G2143" s="456"/>
      <c r="H2143" s="456"/>
    </row>
    <row r="2144" spans="1:8" ht="13.5" customHeight="1">
      <c r="A2144" s="471">
        <v>9140</v>
      </c>
      <c r="B2144" s="540"/>
      <c r="C2144" s="471"/>
      <c r="D2144" s="456">
        <f>IF(Table11[[#This Row],[Current Age]]&gt;19,"Women's",IF(E2144&gt;15,"U19",IF(E2144&gt;13,"U15",IF(E2144&gt;11,"U13",IF(E2144&gt;0,"U11",0)))))</f>
        <v>0</v>
      </c>
      <c r="E2144" s="456">
        <f>IFERROR(IF(Table11[[#This Row],[Year]]&gt;0,$E$1-Table11[[#This Row],[Year]],0),"")</f>
        <v>0</v>
      </c>
      <c r="F2144" s="456"/>
      <c r="G2144" s="456"/>
      <c r="H2144" s="456"/>
    </row>
    <row r="2145" spans="1:8" ht="13.5" customHeight="1">
      <c r="A2145" s="456">
        <v>9141</v>
      </c>
      <c r="B2145" s="457"/>
      <c r="C2145" s="456"/>
      <c r="D2145" s="456">
        <f>IF(Table11[[#This Row],[Current Age]]&gt;19,"Women's",IF(E2145&gt;15,"U19",IF(E2145&gt;13,"U15",IF(E2145&gt;11,"U13",IF(E2145&gt;0,"U11",0)))))</f>
        <v>0</v>
      </c>
      <c r="E2145" s="456">
        <f>IFERROR(IF(Table11[[#This Row],[Year]]&gt;0,$E$1-Table11[[#This Row],[Year]],0),"")</f>
        <v>0</v>
      </c>
      <c r="F2145" s="456"/>
      <c r="G2145" s="456"/>
      <c r="H2145" s="456"/>
    </row>
    <row r="2146" spans="1:8" ht="13.5" customHeight="1">
      <c r="A2146" s="471">
        <v>9142</v>
      </c>
      <c r="B2146" s="540"/>
      <c r="C2146" s="471"/>
      <c r="D2146" s="456">
        <f>IF(Table11[[#This Row],[Current Age]]&gt;19,"Women's",IF(E2146&gt;15,"U19",IF(E2146&gt;13,"U15",IF(E2146&gt;11,"U13",IF(E2146&gt;0,"U11",0)))))</f>
        <v>0</v>
      </c>
      <c r="E2146" s="456">
        <f>IFERROR(IF(Table11[[#This Row],[Year]]&gt;0,$E$1-Table11[[#This Row],[Year]],0),"")</f>
        <v>0</v>
      </c>
      <c r="F2146" s="456"/>
      <c r="G2146" s="456"/>
      <c r="H2146" s="456"/>
    </row>
    <row r="2147" spans="1:8" ht="13.5" customHeight="1">
      <c r="A2147" s="456">
        <v>9143</v>
      </c>
      <c r="B2147" s="457"/>
      <c r="C2147" s="456"/>
      <c r="D2147" s="456">
        <f>IF(Table11[[#This Row],[Current Age]]&gt;19,"Women's",IF(E2147&gt;15,"U19",IF(E2147&gt;13,"U15",IF(E2147&gt;11,"U13",IF(E2147&gt;0,"U11",0)))))</f>
        <v>0</v>
      </c>
      <c r="E2147" s="456">
        <f>IFERROR(IF(Table11[[#This Row],[Year]]&gt;0,$E$1-Table11[[#This Row],[Year]],0),"")</f>
        <v>0</v>
      </c>
      <c r="F2147" s="456"/>
      <c r="G2147" s="456"/>
      <c r="H2147" s="456"/>
    </row>
    <row r="2148" spans="1:8" ht="13.5" customHeight="1">
      <c r="A2148" s="471">
        <v>9144</v>
      </c>
      <c r="B2148" s="540"/>
      <c r="C2148" s="471"/>
      <c r="D2148" s="456">
        <f>IF(Table11[[#This Row],[Current Age]]&gt;19,"Women's",IF(E2148&gt;15,"U19",IF(E2148&gt;13,"U15",IF(E2148&gt;11,"U13",IF(E2148&gt;0,"U11",0)))))</f>
        <v>0</v>
      </c>
      <c r="E2148" s="456">
        <f>IFERROR(IF(Table11[[#This Row],[Year]]&gt;0,$E$1-Table11[[#This Row],[Year]],0),"")</f>
        <v>0</v>
      </c>
      <c r="F2148" s="456"/>
      <c r="G2148" s="456"/>
      <c r="H2148" s="456"/>
    </row>
    <row r="2149" spans="1:8" ht="13.5" customHeight="1">
      <c r="A2149" s="456">
        <v>9145</v>
      </c>
      <c r="B2149" s="457"/>
      <c r="C2149" s="456"/>
      <c r="D2149" s="456">
        <f>IF(Table11[[#This Row],[Current Age]]&gt;19,"Women's",IF(E2149&gt;15,"U19",IF(E2149&gt;13,"U15",IF(E2149&gt;11,"U13",IF(E2149&gt;0,"U11",0)))))</f>
        <v>0</v>
      </c>
      <c r="E2149" s="456">
        <f>IFERROR(IF(Table11[[#This Row],[Year]]&gt;0,$E$1-Table11[[#This Row],[Year]],0),"")</f>
        <v>0</v>
      </c>
      <c r="F2149" s="456"/>
      <c r="G2149" s="456"/>
      <c r="H2149" s="456"/>
    </row>
    <row r="2150" spans="1:8" ht="13.5" customHeight="1">
      <c r="A2150" s="471">
        <v>9146</v>
      </c>
      <c r="B2150" s="540"/>
      <c r="C2150" s="471"/>
      <c r="D2150" s="456">
        <f>IF(Table11[[#This Row],[Current Age]]&gt;19,"Women's",IF(E2150&gt;15,"U19",IF(E2150&gt;13,"U15",IF(E2150&gt;11,"U13",IF(E2150&gt;0,"U11",0)))))</f>
        <v>0</v>
      </c>
      <c r="E2150" s="456">
        <f>IFERROR(IF(Table11[[#This Row],[Year]]&gt;0,$E$1-Table11[[#This Row],[Year]],0),"")</f>
        <v>0</v>
      </c>
      <c r="F2150" s="456"/>
      <c r="G2150" s="456"/>
      <c r="H2150" s="456"/>
    </row>
    <row r="2151" spans="1:8" ht="13.5" customHeight="1">
      <c r="A2151" s="456">
        <v>9147</v>
      </c>
      <c r="B2151" s="457"/>
      <c r="C2151" s="456"/>
      <c r="D2151" s="456">
        <f>IF(Table11[[#This Row],[Current Age]]&gt;19,"Women's",IF(E2151&gt;15,"U19",IF(E2151&gt;13,"U15",IF(E2151&gt;11,"U13",IF(E2151&gt;0,"U11",0)))))</f>
        <v>0</v>
      </c>
      <c r="E2151" s="456">
        <f>IFERROR(IF(Table11[[#This Row],[Year]]&gt;0,$E$1-Table11[[#This Row],[Year]],0),"")</f>
        <v>0</v>
      </c>
      <c r="F2151" s="456"/>
      <c r="G2151" s="456"/>
      <c r="H2151" s="456"/>
    </row>
    <row r="2152" spans="1:8" ht="13.5" customHeight="1">
      <c r="A2152" s="471">
        <v>9148</v>
      </c>
      <c r="B2152" s="540"/>
      <c r="C2152" s="471"/>
      <c r="D2152" s="456">
        <f>IF(Table11[[#This Row],[Current Age]]&gt;19,"Women's",IF(E2152&gt;15,"U19",IF(E2152&gt;13,"U15",IF(E2152&gt;11,"U13",IF(E2152&gt;0,"U11",0)))))</f>
        <v>0</v>
      </c>
      <c r="E2152" s="456">
        <f>IFERROR(IF(Table11[[#This Row],[Year]]&gt;0,$E$1-Table11[[#This Row],[Year]],0),"")</f>
        <v>0</v>
      </c>
      <c r="F2152" s="456"/>
      <c r="G2152" s="456"/>
      <c r="H2152" s="456"/>
    </row>
    <row r="2153" spans="1:8" ht="13.5" customHeight="1">
      <c r="A2153" s="456">
        <v>9149</v>
      </c>
      <c r="B2153" s="457"/>
      <c r="C2153" s="456"/>
      <c r="D2153" s="456">
        <f>IF(Table11[[#This Row],[Current Age]]&gt;19,"Women's",IF(E2153&gt;15,"U19",IF(E2153&gt;13,"U15",IF(E2153&gt;11,"U13",IF(E2153&gt;0,"U11",0)))))</f>
        <v>0</v>
      </c>
      <c r="E2153" s="456">
        <f>IFERROR(IF(Table11[[#This Row],[Year]]&gt;0,$E$1-Table11[[#This Row],[Year]],0),"")</f>
        <v>0</v>
      </c>
      <c r="F2153" s="456"/>
      <c r="G2153" s="456"/>
      <c r="H2153" s="456"/>
    </row>
    <row r="2154" spans="1:8" ht="13.5" customHeight="1">
      <c r="A2154" s="471">
        <v>9150</v>
      </c>
      <c r="B2154" s="540"/>
      <c r="C2154" s="471"/>
      <c r="D2154" s="456">
        <f>IF(Table11[[#This Row],[Current Age]]&gt;19,"Women's",IF(E2154&gt;15,"U19",IF(E2154&gt;13,"U15",IF(E2154&gt;11,"U13",IF(E2154&gt;0,"U11",0)))))</f>
        <v>0</v>
      </c>
      <c r="E2154" s="456">
        <f>IFERROR(IF(Table11[[#This Row],[Year]]&gt;0,$E$1-Table11[[#This Row],[Year]],0),"")</f>
        <v>0</v>
      </c>
      <c r="F2154" s="456"/>
      <c r="G2154" s="456"/>
      <c r="H2154" s="456"/>
    </row>
    <row r="2155" spans="1:8" ht="13.5" customHeight="1">
      <c r="A2155" s="456">
        <v>9151</v>
      </c>
      <c r="B2155" s="457"/>
      <c r="C2155" s="456"/>
      <c r="D2155" s="456">
        <f>IF(Table11[[#This Row],[Current Age]]&gt;19,"Women's",IF(E2155&gt;15,"U19",IF(E2155&gt;13,"U15",IF(E2155&gt;11,"U13",IF(E2155&gt;0,"U11",0)))))</f>
        <v>0</v>
      </c>
      <c r="E2155" s="456">
        <f>IFERROR(IF(Table11[[#This Row],[Year]]&gt;0,$E$1-Table11[[#This Row],[Year]],0),"")</f>
        <v>0</v>
      </c>
      <c r="F2155" s="456"/>
      <c r="G2155" s="456"/>
      <c r="H2155" s="456"/>
    </row>
    <row r="2156" spans="1:8" ht="13.5" customHeight="1">
      <c r="A2156" s="471">
        <v>9152</v>
      </c>
      <c r="B2156" s="540"/>
      <c r="C2156" s="471"/>
      <c r="D2156" s="456">
        <f>IF(Table11[[#This Row],[Current Age]]&gt;19,"Women's",IF(E2156&gt;15,"U19",IF(E2156&gt;13,"U15",IF(E2156&gt;11,"U13",IF(E2156&gt;0,"U11",0)))))</f>
        <v>0</v>
      </c>
      <c r="E2156" s="456">
        <f>IFERROR(IF(Table11[[#This Row],[Year]]&gt;0,$E$1-Table11[[#This Row],[Year]],0),"")</f>
        <v>0</v>
      </c>
      <c r="F2156" s="456"/>
      <c r="G2156" s="456"/>
      <c r="H2156" s="456"/>
    </row>
    <row r="2157" spans="1:8" ht="13.5" customHeight="1">
      <c r="A2157" s="456">
        <v>9153</v>
      </c>
      <c r="B2157" s="457"/>
      <c r="C2157" s="456"/>
      <c r="D2157" s="456">
        <f>IF(Table11[[#This Row],[Current Age]]&gt;19,"Women's",IF(E2157&gt;15,"U19",IF(E2157&gt;13,"U15",IF(E2157&gt;11,"U13",IF(E2157&gt;0,"U11",0)))))</f>
        <v>0</v>
      </c>
      <c r="E2157" s="456">
        <f>IFERROR(IF(Table11[[#This Row],[Year]]&gt;0,$E$1-Table11[[#This Row],[Year]],0),"")</f>
        <v>0</v>
      </c>
      <c r="F2157" s="456"/>
      <c r="G2157" s="456"/>
      <c r="H2157" s="456"/>
    </row>
    <row r="2158" spans="1:8" ht="13.5" customHeight="1">
      <c r="A2158" s="471">
        <v>9154</v>
      </c>
      <c r="B2158" s="540"/>
      <c r="C2158" s="471"/>
      <c r="D2158" s="456">
        <f>IF(Table11[[#This Row],[Current Age]]&gt;19,"Women's",IF(E2158&gt;15,"U19",IF(E2158&gt;13,"U15",IF(E2158&gt;11,"U13",IF(E2158&gt;0,"U11",0)))))</f>
        <v>0</v>
      </c>
      <c r="E2158" s="456">
        <f>IFERROR(IF(Table11[[#This Row],[Year]]&gt;0,$E$1-Table11[[#This Row],[Year]],0),"")</f>
        <v>0</v>
      </c>
      <c r="F2158" s="456"/>
      <c r="G2158" s="456"/>
      <c r="H2158" s="456"/>
    </row>
    <row r="2159" spans="1:8" ht="13.5" customHeight="1">
      <c r="A2159" s="456">
        <v>9155</v>
      </c>
      <c r="B2159" s="457"/>
      <c r="C2159" s="456"/>
      <c r="D2159" s="456">
        <f>IF(Table11[[#This Row],[Current Age]]&gt;19,"Women's",IF(E2159&gt;15,"U19",IF(E2159&gt;13,"U15",IF(E2159&gt;11,"U13",IF(E2159&gt;0,"U11",0)))))</f>
        <v>0</v>
      </c>
      <c r="E2159" s="456">
        <f>IFERROR(IF(Table11[[#This Row],[Year]]&gt;0,$E$1-Table11[[#This Row],[Year]],0),"")</f>
        <v>0</v>
      </c>
      <c r="F2159" s="456"/>
      <c r="G2159" s="456"/>
      <c r="H2159" s="456"/>
    </row>
    <row r="2160" spans="1:8" ht="13.5" customHeight="1">
      <c r="A2160" s="471">
        <v>9156</v>
      </c>
      <c r="B2160" s="540"/>
      <c r="C2160" s="471"/>
      <c r="D2160" s="456">
        <f>IF(Table11[[#This Row],[Current Age]]&gt;19,"Women's",IF(E2160&gt;15,"U19",IF(E2160&gt;13,"U15",IF(E2160&gt;11,"U13",IF(E2160&gt;0,"U11",0)))))</f>
        <v>0</v>
      </c>
      <c r="E2160" s="456">
        <f>IFERROR(IF(Table11[[#This Row],[Year]]&gt;0,$E$1-Table11[[#This Row],[Year]],0),"")</f>
        <v>0</v>
      </c>
      <c r="F2160" s="456"/>
      <c r="G2160" s="456"/>
      <c r="H2160" s="456"/>
    </row>
    <row r="2161" spans="1:8" ht="13.5" customHeight="1">
      <c r="A2161" s="456">
        <v>9157</v>
      </c>
      <c r="B2161" s="457"/>
      <c r="C2161" s="456"/>
      <c r="D2161" s="456">
        <f>IF(Table11[[#This Row],[Current Age]]&gt;19,"Women's",IF(E2161&gt;15,"U19",IF(E2161&gt;13,"U15",IF(E2161&gt;11,"U13",IF(E2161&gt;0,"U11",0)))))</f>
        <v>0</v>
      </c>
      <c r="E2161" s="456">
        <f>IFERROR(IF(Table11[[#This Row],[Year]]&gt;0,$E$1-Table11[[#This Row],[Year]],0),"")</f>
        <v>0</v>
      </c>
      <c r="F2161" s="456"/>
      <c r="G2161" s="456"/>
      <c r="H2161" s="456"/>
    </row>
    <row r="2162" spans="1:8" ht="13.5" customHeight="1">
      <c r="A2162" s="471">
        <v>9158</v>
      </c>
      <c r="B2162" s="540"/>
      <c r="C2162" s="471"/>
      <c r="D2162" s="456">
        <f>IF(Table11[[#This Row],[Current Age]]&gt;19,"Women's",IF(E2162&gt;15,"U19",IF(E2162&gt;13,"U15",IF(E2162&gt;11,"U13",IF(E2162&gt;0,"U11",0)))))</f>
        <v>0</v>
      </c>
      <c r="E2162" s="456">
        <f>IFERROR(IF(Table11[[#This Row],[Year]]&gt;0,$E$1-Table11[[#This Row],[Year]],0),"")</f>
        <v>0</v>
      </c>
      <c r="F2162" s="456"/>
      <c r="G2162" s="456"/>
      <c r="H2162" s="456"/>
    </row>
    <row r="2163" spans="1:8" ht="13.5" customHeight="1">
      <c r="A2163" s="456">
        <v>9159</v>
      </c>
      <c r="B2163" s="457"/>
      <c r="C2163" s="456"/>
      <c r="D2163" s="456">
        <f>IF(Table11[[#This Row],[Current Age]]&gt;19,"Women's",IF(E2163&gt;15,"U19",IF(E2163&gt;13,"U15",IF(E2163&gt;11,"U13",IF(E2163&gt;0,"U11",0)))))</f>
        <v>0</v>
      </c>
      <c r="E2163" s="456">
        <f>IFERROR(IF(Table11[[#This Row],[Year]]&gt;0,$E$1-Table11[[#This Row],[Year]],0),"")</f>
        <v>0</v>
      </c>
      <c r="F2163" s="456"/>
      <c r="G2163" s="456"/>
      <c r="H2163" s="456"/>
    </row>
    <row r="2164" spans="1:8" ht="13.5" customHeight="1">
      <c r="A2164" s="471">
        <v>9160</v>
      </c>
      <c r="B2164" s="540"/>
      <c r="C2164" s="471"/>
      <c r="D2164" s="456">
        <f>IF(Table11[[#This Row],[Current Age]]&gt;19,"Women's",IF(E2164&gt;15,"U19",IF(E2164&gt;13,"U15",IF(E2164&gt;11,"U13",IF(E2164&gt;0,"U11",0)))))</f>
        <v>0</v>
      </c>
      <c r="E2164" s="456">
        <f>IFERROR(IF(Table11[[#This Row],[Year]]&gt;0,$E$1-Table11[[#This Row],[Year]],0),"")</f>
        <v>0</v>
      </c>
      <c r="F2164" s="456"/>
      <c r="G2164" s="456"/>
      <c r="H2164" s="456"/>
    </row>
    <row r="2165" spans="1:8" ht="13.5" customHeight="1">
      <c r="A2165" s="456">
        <v>9161</v>
      </c>
      <c r="B2165" s="457"/>
      <c r="C2165" s="456"/>
      <c r="D2165" s="456">
        <f>IF(Table11[[#This Row],[Current Age]]&gt;19,"Women's",IF(E2165&gt;15,"U19",IF(E2165&gt;13,"U15",IF(E2165&gt;11,"U13",IF(E2165&gt;0,"U11",0)))))</f>
        <v>0</v>
      </c>
      <c r="E2165" s="456">
        <f>IFERROR(IF(Table11[[#This Row],[Year]]&gt;0,$E$1-Table11[[#This Row],[Year]],0),"")</f>
        <v>0</v>
      </c>
      <c r="F2165" s="456"/>
      <c r="G2165" s="456"/>
      <c r="H2165" s="456"/>
    </row>
    <row r="2166" spans="1:8" ht="13.5" customHeight="1">
      <c r="A2166" s="471">
        <v>9162</v>
      </c>
      <c r="B2166" s="540"/>
      <c r="C2166" s="471"/>
      <c r="D2166" s="456">
        <f>IF(Table11[[#This Row],[Current Age]]&gt;19,"Women's",IF(E2166&gt;15,"U19",IF(E2166&gt;13,"U15",IF(E2166&gt;11,"U13",IF(E2166&gt;0,"U11",0)))))</f>
        <v>0</v>
      </c>
      <c r="E2166" s="456">
        <f>IFERROR(IF(Table11[[#This Row],[Year]]&gt;0,$E$1-Table11[[#This Row],[Year]],0),"")</f>
        <v>0</v>
      </c>
      <c r="F2166" s="456"/>
      <c r="G2166" s="456"/>
      <c r="H2166" s="456"/>
    </row>
    <row r="2167" spans="1:8" ht="13.5" customHeight="1">
      <c r="A2167" s="456">
        <v>9163</v>
      </c>
      <c r="B2167" s="457"/>
      <c r="C2167" s="456"/>
      <c r="D2167" s="456">
        <f>IF(Table11[[#This Row],[Current Age]]&gt;19,"Women's",IF(E2167&gt;15,"U19",IF(E2167&gt;13,"U15",IF(E2167&gt;11,"U13",IF(E2167&gt;0,"U11",0)))))</f>
        <v>0</v>
      </c>
      <c r="E2167" s="456">
        <f>IFERROR(IF(Table11[[#This Row],[Year]]&gt;0,$E$1-Table11[[#This Row],[Year]],0),"")</f>
        <v>0</v>
      </c>
      <c r="F2167" s="456"/>
      <c r="G2167" s="456"/>
      <c r="H2167" s="456"/>
    </row>
    <row r="2168" spans="1:8" ht="13.5" customHeight="1">
      <c r="A2168" s="471">
        <v>9164</v>
      </c>
      <c r="B2168" s="540"/>
      <c r="C2168" s="471"/>
      <c r="D2168" s="456">
        <f>IF(Table11[[#This Row],[Current Age]]&gt;19,"Women's",IF(E2168&gt;15,"U19",IF(E2168&gt;13,"U15",IF(E2168&gt;11,"U13",IF(E2168&gt;0,"U11",0)))))</f>
        <v>0</v>
      </c>
      <c r="E2168" s="456">
        <f>IFERROR(IF(Table11[[#This Row],[Year]]&gt;0,$E$1-Table11[[#This Row],[Year]],0),"")</f>
        <v>0</v>
      </c>
      <c r="F2168" s="456"/>
      <c r="G2168" s="456"/>
      <c r="H2168" s="456"/>
    </row>
    <row r="2169" spans="1:8" ht="13.5" customHeight="1">
      <c r="A2169" s="456">
        <v>9165</v>
      </c>
      <c r="B2169" s="457"/>
      <c r="C2169" s="456"/>
      <c r="D2169" s="456">
        <f>IF(Table11[[#This Row],[Current Age]]&gt;19,"Women's",IF(E2169&gt;15,"U19",IF(E2169&gt;13,"U15",IF(E2169&gt;11,"U13",IF(E2169&gt;0,"U11",0)))))</f>
        <v>0</v>
      </c>
      <c r="E2169" s="456">
        <f>IFERROR(IF(Table11[[#This Row],[Year]]&gt;0,$E$1-Table11[[#This Row],[Year]],0),"")</f>
        <v>0</v>
      </c>
      <c r="F2169" s="456"/>
      <c r="G2169" s="456"/>
      <c r="H2169" s="456"/>
    </row>
    <row r="2170" spans="1:8" ht="13.5" customHeight="1">
      <c r="A2170" s="471">
        <v>9166</v>
      </c>
      <c r="B2170" s="540"/>
      <c r="C2170" s="471"/>
      <c r="D2170" s="456">
        <f>IF(Table11[[#This Row],[Current Age]]&gt;19,"Women's",IF(E2170&gt;15,"U19",IF(E2170&gt;13,"U15",IF(E2170&gt;11,"U13",IF(E2170&gt;0,"U11",0)))))</f>
        <v>0</v>
      </c>
      <c r="E2170" s="456">
        <f>IFERROR(IF(Table11[[#This Row],[Year]]&gt;0,$E$1-Table11[[#This Row],[Year]],0),"")</f>
        <v>0</v>
      </c>
      <c r="F2170" s="456"/>
      <c r="G2170" s="456"/>
      <c r="H2170" s="456"/>
    </row>
    <row r="2171" spans="1:8" ht="13.5" customHeight="1">
      <c r="A2171" s="456">
        <v>9167</v>
      </c>
      <c r="B2171" s="457"/>
      <c r="C2171" s="456"/>
      <c r="D2171" s="456">
        <f>IF(Table11[[#This Row],[Current Age]]&gt;19,"Women's",IF(E2171&gt;15,"U19",IF(E2171&gt;13,"U15",IF(E2171&gt;11,"U13",IF(E2171&gt;0,"U11",0)))))</f>
        <v>0</v>
      </c>
      <c r="E2171" s="456">
        <f>IFERROR(IF(Table11[[#This Row],[Year]]&gt;0,$E$1-Table11[[#This Row],[Year]],0),"")</f>
        <v>0</v>
      </c>
      <c r="F2171" s="456"/>
      <c r="G2171" s="456"/>
      <c r="H2171" s="456"/>
    </row>
    <row r="2172" spans="1:8" ht="13.5" customHeight="1">
      <c r="A2172" s="471">
        <v>9168</v>
      </c>
      <c r="B2172" s="540"/>
      <c r="C2172" s="471"/>
      <c r="D2172" s="456">
        <f>IF(Table11[[#This Row],[Current Age]]&gt;19,"Women's",IF(E2172&gt;15,"U19",IF(E2172&gt;13,"U15",IF(E2172&gt;11,"U13",IF(E2172&gt;0,"U11",0)))))</f>
        <v>0</v>
      </c>
      <c r="E2172" s="456">
        <f>IFERROR(IF(Table11[[#This Row],[Year]]&gt;0,$E$1-Table11[[#This Row],[Year]],0),"")</f>
        <v>0</v>
      </c>
      <c r="F2172" s="456"/>
      <c r="G2172" s="456"/>
      <c r="H2172" s="456"/>
    </row>
    <row r="2173" spans="1:8" ht="13.5" customHeight="1">
      <c r="A2173" s="456">
        <v>9169</v>
      </c>
      <c r="B2173" s="457"/>
      <c r="C2173" s="456"/>
      <c r="D2173" s="456">
        <f>IF(Table11[[#This Row],[Current Age]]&gt;19,"Women's",IF(E2173&gt;15,"U19",IF(E2173&gt;13,"U15",IF(E2173&gt;11,"U13",IF(E2173&gt;0,"U11",0)))))</f>
        <v>0</v>
      </c>
      <c r="E2173" s="456">
        <f>IFERROR(IF(Table11[[#This Row],[Year]]&gt;0,$E$1-Table11[[#This Row],[Year]],0),"")</f>
        <v>0</v>
      </c>
      <c r="F2173" s="456"/>
      <c r="G2173" s="456"/>
      <c r="H2173" s="456"/>
    </row>
    <row r="2174" spans="1:8" ht="13.5" customHeight="1">
      <c r="A2174" s="471">
        <v>9170</v>
      </c>
      <c r="B2174" s="540"/>
      <c r="C2174" s="471"/>
      <c r="D2174" s="456">
        <f>IF(Table11[[#This Row],[Current Age]]&gt;19,"Women's",IF(E2174&gt;15,"U19",IF(E2174&gt;13,"U15",IF(E2174&gt;11,"U13",IF(E2174&gt;0,"U11",0)))))</f>
        <v>0</v>
      </c>
      <c r="E2174" s="456">
        <f>IFERROR(IF(Table11[[#This Row],[Year]]&gt;0,$E$1-Table11[[#This Row],[Year]],0),"")</f>
        <v>0</v>
      </c>
      <c r="F2174" s="456"/>
      <c r="G2174" s="456"/>
      <c r="H2174" s="456"/>
    </row>
    <row r="2175" spans="1:8" ht="13.5" customHeight="1">
      <c r="A2175" s="456">
        <v>9171</v>
      </c>
      <c r="B2175" s="457"/>
      <c r="C2175" s="456"/>
      <c r="D2175" s="456">
        <f>IF(Table11[[#This Row],[Current Age]]&gt;19,"Women's",IF(E2175&gt;15,"U19",IF(E2175&gt;13,"U15",IF(E2175&gt;11,"U13",IF(E2175&gt;0,"U11",0)))))</f>
        <v>0</v>
      </c>
      <c r="E2175" s="456">
        <f>IFERROR(IF(Table11[[#This Row],[Year]]&gt;0,$E$1-Table11[[#This Row],[Year]],0),"")</f>
        <v>0</v>
      </c>
      <c r="F2175" s="456"/>
      <c r="G2175" s="456"/>
      <c r="H2175" s="456"/>
    </row>
    <row r="2176" spans="1:8" ht="13.5" customHeight="1">
      <c r="A2176" s="471">
        <v>9172</v>
      </c>
      <c r="B2176" s="540"/>
      <c r="C2176" s="471"/>
      <c r="D2176" s="456">
        <f>IF(Table11[[#This Row],[Current Age]]&gt;19,"Women's",IF(E2176&gt;15,"U19",IF(E2176&gt;13,"U15",IF(E2176&gt;11,"U13",IF(E2176&gt;0,"U11",0)))))</f>
        <v>0</v>
      </c>
      <c r="E2176" s="456">
        <f>IFERROR(IF(Table11[[#This Row],[Year]]&gt;0,$E$1-Table11[[#This Row],[Year]],0),"")</f>
        <v>0</v>
      </c>
      <c r="F2176" s="456"/>
      <c r="G2176" s="456"/>
      <c r="H2176" s="456"/>
    </row>
    <row r="2177" spans="1:8" ht="13.5" customHeight="1">
      <c r="A2177" s="456">
        <v>9173</v>
      </c>
      <c r="B2177" s="457"/>
      <c r="C2177" s="456"/>
      <c r="D2177" s="456">
        <f>IF(Table11[[#This Row],[Current Age]]&gt;19,"Women's",IF(E2177&gt;15,"U19",IF(E2177&gt;13,"U15",IF(E2177&gt;11,"U13",IF(E2177&gt;0,"U11",0)))))</f>
        <v>0</v>
      </c>
      <c r="E2177" s="456">
        <f>IFERROR(IF(Table11[[#This Row],[Year]]&gt;0,$E$1-Table11[[#This Row],[Year]],0),"")</f>
        <v>0</v>
      </c>
      <c r="F2177" s="456"/>
      <c r="G2177" s="456"/>
      <c r="H2177" s="456"/>
    </row>
    <row r="2178" spans="1:8" ht="13.5" customHeight="1">
      <c r="A2178" s="471">
        <v>9174</v>
      </c>
      <c r="B2178" s="540"/>
      <c r="C2178" s="471"/>
      <c r="D2178" s="456">
        <f>IF(Table11[[#This Row],[Current Age]]&gt;19,"Women's",IF(E2178&gt;15,"U19",IF(E2178&gt;13,"U15",IF(E2178&gt;11,"U13",IF(E2178&gt;0,"U11",0)))))</f>
        <v>0</v>
      </c>
      <c r="E2178" s="456">
        <f>IFERROR(IF(Table11[[#This Row],[Year]]&gt;0,$E$1-Table11[[#This Row],[Year]],0),"")</f>
        <v>0</v>
      </c>
      <c r="F2178" s="456"/>
      <c r="G2178" s="456"/>
      <c r="H2178" s="456"/>
    </row>
    <row r="2179" spans="1:8" ht="13.5" customHeight="1">
      <c r="A2179" s="456">
        <v>9175</v>
      </c>
      <c r="B2179" s="457"/>
      <c r="C2179" s="456"/>
      <c r="D2179" s="456">
        <f>IF(Table11[[#This Row],[Current Age]]&gt;19,"Women's",IF(E2179&gt;15,"U19",IF(E2179&gt;13,"U15",IF(E2179&gt;11,"U13",IF(E2179&gt;0,"U11",0)))))</f>
        <v>0</v>
      </c>
      <c r="E2179" s="456">
        <f>IFERROR(IF(Table11[[#This Row],[Year]]&gt;0,$E$1-Table11[[#This Row],[Year]],0),"")</f>
        <v>0</v>
      </c>
      <c r="F2179" s="456"/>
      <c r="G2179" s="456"/>
      <c r="H2179" s="456"/>
    </row>
    <row r="2180" spans="1:8" ht="13.5" customHeight="1">
      <c r="A2180" s="471">
        <v>9176</v>
      </c>
      <c r="B2180" s="540"/>
      <c r="C2180" s="471"/>
      <c r="D2180" s="456">
        <f>IF(Table11[[#This Row],[Current Age]]&gt;19,"Women's",IF(E2180&gt;15,"U19",IF(E2180&gt;13,"U15",IF(E2180&gt;11,"U13",IF(E2180&gt;0,"U11",0)))))</f>
        <v>0</v>
      </c>
      <c r="E2180" s="456">
        <f>IFERROR(IF(Table11[[#This Row],[Year]]&gt;0,$E$1-Table11[[#This Row],[Year]],0),"")</f>
        <v>0</v>
      </c>
      <c r="F2180" s="456"/>
      <c r="G2180" s="456"/>
      <c r="H2180" s="456"/>
    </row>
    <row r="2181" spans="1:8" ht="13.5" customHeight="1">
      <c r="A2181" s="456">
        <v>9177</v>
      </c>
      <c r="B2181" s="457"/>
      <c r="C2181" s="456"/>
      <c r="D2181" s="456">
        <f>IF(Table11[[#This Row],[Current Age]]&gt;19,"Women's",IF(E2181&gt;15,"U19",IF(E2181&gt;13,"U15",IF(E2181&gt;11,"U13",IF(E2181&gt;0,"U11",0)))))</f>
        <v>0</v>
      </c>
      <c r="E2181" s="456">
        <f>IFERROR(IF(Table11[[#This Row],[Year]]&gt;0,$E$1-Table11[[#This Row],[Year]],0),"")</f>
        <v>0</v>
      </c>
      <c r="F2181" s="456"/>
      <c r="G2181" s="456"/>
      <c r="H2181" s="456"/>
    </row>
    <row r="2182" spans="1:8" ht="13.5" customHeight="1">
      <c r="A2182" s="471">
        <v>9178</v>
      </c>
      <c r="B2182" s="540"/>
      <c r="C2182" s="471"/>
      <c r="D2182" s="456">
        <f>IF(Table11[[#This Row],[Current Age]]&gt;19,"Women's",IF(E2182&gt;15,"U19",IF(E2182&gt;13,"U15",IF(E2182&gt;11,"U13",IF(E2182&gt;0,"U11",0)))))</f>
        <v>0</v>
      </c>
      <c r="E2182" s="456">
        <f>IFERROR(IF(Table11[[#This Row],[Year]]&gt;0,$E$1-Table11[[#This Row],[Year]],0),"")</f>
        <v>0</v>
      </c>
      <c r="F2182" s="456"/>
      <c r="G2182" s="456"/>
      <c r="H2182" s="456"/>
    </row>
    <row r="2183" spans="1:8" ht="13.5" customHeight="1">
      <c r="A2183" s="456">
        <v>9179</v>
      </c>
      <c r="B2183" s="457"/>
      <c r="C2183" s="456"/>
      <c r="D2183" s="456">
        <f>IF(Table11[[#This Row],[Current Age]]&gt;19,"Women's",IF(E2183&gt;15,"U19",IF(E2183&gt;13,"U15",IF(E2183&gt;11,"U13",IF(E2183&gt;0,"U11",0)))))</f>
        <v>0</v>
      </c>
      <c r="E2183" s="456">
        <f>IFERROR(IF(Table11[[#This Row],[Year]]&gt;0,$E$1-Table11[[#This Row],[Year]],0),"")</f>
        <v>0</v>
      </c>
      <c r="F2183" s="456"/>
      <c r="G2183" s="456"/>
      <c r="H2183" s="456"/>
    </row>
    <row r="2184" spans="1:8" ht="13.5" customHeight="1">
      <c r="A2184" s="471">
        <v>9180</v>
      </c>
      <c r="B2184" s="540"/>
      <c r="C2184" s="471"/>
      <c r="D2184" s="456">
        <f>IF(Table11[[#This Row],[Current Age]]&gt;19,"Women's",IF(E2184&gt;15,"U19",IF(E2184&gt;13,"U15",IF(E2184&gt;11,"U13",IF(E2184&gt;0,"U11",0)))))</f>
        <v>0</v>
      </c>
      <c r="E2184" s="456">
        <f>IFERROR(IF(Table11[[#This Row],[Year]]&gt;0,$E$1-Table11[[#This Row],[Year]],0),"")</f>
        <v>0</v>
      </c>
      <c r="F2184" s="456"/>
      <c r="G2184" s="456"/>
      <c r="H2184" s="456"/>
    </row>
    <row r="2185" spans="1:8" ht="13.5" customHeight="1">
      <c r="A2185" s="456">
        <v>9181</v>
      </c>
      <c r="B2185" s="457"/>
      <c r="C2185" s="456"/>
      <c r="D2185" s="456">
        <f>IF(Table11[[#This Row],[Current Age]]&gt;19,"Women's",IF(E2185&gt;15,"U19",IF(E2185&gt;13,"U15",IF(E2185&gt;11,"U13",IF(E2185&gt;0,"U11",0)))))</f>
        <v>0</v>
      </c>
      <c r="E2185" s="456">
        <f>IFERROR(IF(Table11[[#This Row],[Year]]&gt;0,$E$1-Table11[[#This Row],[Year]],0),"")</f>
        <v>0</v>
      </c>
      <c r="F2185" s="456"/>
      <c r="G2185" s="456"/>
      <c r="H2185" s="456"/>
    </row>
    <row r="2186" spans="1:8" ht="13.5" customHeight="1">
      <c r="A2186" s="471">
        <v>9182</v>
      </c>
      <c r="B2186" s="540"/>
      <c r="C2186" s="471"/>
      <c r="D2186" s="456">
        <f>IF(Table11[[#This Row],[Current Age]]&gt;19,"Women's",IF(E2186&gt;15,"U19",IF(E2186&gt;13,"U15",IF(E2186&gt;11,"U13",IF(E2186&gt;0,"U11",0)))))</f>
        <v>0</v>
      </c>
      <c r="E2186" s="456">
        <f>IFERROR(IF(Table11[[#This Row],[Year]]&gt;0,$E$1-Table11[[#This Row],[Year]],0),"")</f>
        <v>0</v>
      </c>
      <c r="F2186" s="456"/>
      <c r="G2186" s="456"/>
      <c r="H2186" s="456"/>
    </row>
    <row r="2187" spans="1:8" ht="13.5" customHeight="1">
      <c r="A2187" s="456">
        <v>9183</v>
      </c>
      <c r="B2187" s="457"/>
      <c r="C2187" s="456"/>
      <c r="D2187" s="456">
        <f>IF(Table11[[#This Row],[Current Age]]&gt;19,"Women's",IF(E2187&gt;15,"U19",IF(E2187&gt;13,"U15",IF(E2187&gt;11,"U13",IF(E2187&gt;0,"U11",0)))))</f>
        <v>0</v>
      </c>
      <c r="E2187" s="456">
        <f>IFERROR(IF(Table11[[#This Row],[Year]]&gt;0,$E$1-Table11[[#This Row],[Year]],0),"")</f>
        <v>0</v>
      </c>
      <c r="F2187" s="456"/>
      <c r="G2187" s="456"/>
      <c r="H2187" s="456"/>
    </row>
    <row r="2188" spans="1:8" ht="13.5" customHeight="1">
      <c r="A2188" s="471">
        <v>9184</v>
      </c>
      <c r="B2188" s="540"/>
      <c r="C2188" s="471"/>
      <c r="D2188" s="456">
        <f>IF(Table11[[#This Row],[Current Age]]&gt;19,"Women's",IF(E2188&gt;15,"U19",IF(E2188&gt;13,"U15",IF(E2188&gt;11,"U13",IF(E2188&gt;0,"U11",0)))))</f>
        <v>0</v>
      </c>
      <c r="E2188" s="456">
        <f>IFERROR(IF(Table11[[#This Row],[Year]]&gt;0,$E$1-Table11[[#This Row],[Year]],0),"")</f>
        <v>0</v>
      </c>
      <c r="F2188" s="456"/>
      <c r="G2188" s="456"/>
      <c r="H2188" s="456"/>
    </row>
    <row r="2189" spans="1:8" ht="13.5" customHeight="1">
      <c r="A2189" s="456">
        <v>9185</v>
      </c>
      <c r="B2189" s="457"/>
      <c r="C2189" s="456"/>
      <c r="D2189" s="456">
        <f>IF(Table11[[#This Row],[Current Age]]&gt;19,"Women's",IF(E2189&gt;15,"U19",IF(E2189&gt;13,"U15",IF(E2189&gt;11,"U13",IF(E2189&gt;0,"U11",0)))))</f>
        <v>0</v>
      </c>
      <c r="E2189" s="456">
        <f>IFERROR(IF(Table11[[#This Row],[Year]]&gt;0,$E$1-Table11[[#This Row],[Year]],0),"")</f>
        <v>0</v>
      </c>
      <c r="F2189" s="456"/>
      <c r="G2189" s="456"/>
      <c r="H2189" s="456"/>
    </row>
    <row r="2190" spans="1:8" ht="13.5" customHeight="1">
      <c r="A2190" s="471">
        <v>9186</v>
      </c>
      <c r="B2190" s="540"/>
      <c r="C2190" s="471"/>
      <c r="D2190" s="456">
        <f>IF(Table11[[#This Row],[Current Age]]&gt;19,"Women's",IF(E2190&gt;15,"U19",IF(E2190&gt;13,"U15",IF(E2190&gt;11,"U13",IF(E2190&gt;0,"U11",0)))))</f>
        <v>0</v>
      </c>
      <c r="E2190" s="456">
        <f>IFERROR(IF(Table11[[#This Row],[Year]]&gt;0,$E$1-Table11[[#This Row],[Year]],0),"")</f>
        <v>0</v>
      </c>
      <c r="F2190" s="456"/>
      <c r="G2190" s="456"/>
      <c r="H2190" s="456"/>
    </row>
    <row r="2191" spans="1:8" ht="13.5" customHeight="1">
      <c r="A2191" s="456">
        <v>9187</v>
      </c>
      <c r="B2191" s="457"/>
      <c r="C2191" s="456"/>
      <c r="D2191" s="456">
        <f>IF(Table11[[#This Row],[Current Age]]&gt;19,"Women's",IF(E2191&gt;15,"U19",IF(E2191&gt;13,"U15",IF(E2191&gt;11,"U13",IF(E2191&gt;0,"U11",0)))))</f>
        <v>0</v>
      </c>
      <c r="E2191" s="456">
        <f>IFERROR(IF(Table11[[#This Row],[Year]]&gt;0,$E$1-Table11[[#This Row],[Year]],0),"")</f>
        <v>0</v>
      </c>
      <c r="F2191" s="456"/>
      <c r="G2191" s="456"/>
      <c r="H2191" s="456"/>
    </row>
    <row r="2192" spans="1:8" ht="13.5" customHeight="1">
      <c r="A2192" s="471">
        <v>9188</v>
      </c>
      <c r="B2192" s="540"/>
      <c r="C2192" s="471"/>
      <c r="D2192" s="456">
        <f>IF(Table11[[#This Row],[Current Age]]&gt;19,"Women's",IF(E2192&gt;15,"U19",IF(E2192&gt;13,"U15",IF(E2192&gt;11,"U13",IF(E2192&gt;0,"U11",0)))))</f>
        <v>0</v>
      </c>
      <c r="E2192" s="456">
        <f>IFERROR(IF(Table11[[#This Row],[Year]]&gt;0,$E$1-Table11[[#This Row],[Year]],0),"")</f>
        <v>0</v>
      </c>
      <c r="F2192" s="456"/>
      <c r="G2192" s="456"/>
      <c r="H2192" s="456"/>
    </row>
    <row r="2193" spans="1:8" ht="13.5" customHeight="1">
      <c r="A2193" s="456">
        <v>9189</v>
      </c>
      <c r="B2193" s="457"/>
      <c r="C2193" s="456"/>
      <c r="D2193" s="456">
        <f>IF(Table11[[#This Row],[Current Age]]&gt;19,"Women's",IF(E2193&gt;15,"U19",IF(E2193&gt;13,"U15",IF(E2193&gt;11,"U13",IF(E2193&gt;0,"U11",0)))))</f>
        <v>0</v>
      </c>
      <c r="E2193" s="456">
        <f>IFERROR(IF(Table11[[#This Row],[Year]]&gt;0,$E$1-Table11[[#This Row],[Year]],0),"")</f>
        <v>0</v>
      </c>
      <c r="F2193" s="456"/>
      <c r="G2193" s="456"/>
      <c r="H2193" s="456"/>
    </row>
    <row r="2194" spans="1:8" ht="13.5" customHeight="1">
      <c r="A2194" s="471">
        <v>9190</v>
      </c>
      <c r="B2194" s="540"/>
      <c r="C2194" s="471"/>
      <c r="D2194" s="456">
        <f>IF(Table11[[#This Row],[Current Age]]&gt;19,"Women's",IF(E2194&gt;15,"U19",IF(E2194&gt;13,"U15",IF(E2194&gt;11,"U13",IF(E2194&gt;0,"U11",0)))))</f>
        <v>0</v>
      </c>
      <c r="E2194" s="456">
        <f>IFERROR(IF(Table11[[#This Row],[Year]]&gt;0,$E$1-Table11[[#This Row],[Year]],0),"")</f>
        <v>0</v>
      </c>
      <c r="F2194" s="456"/>
      <c r="G2194" s="456"/>
      <c r="H2194" s="456"/>
    </row>
    <row r="2195" spans="1:8" ht="13.5" customHeight="1">
      <c r="A2195" s="456">
        <v>9191</v>
      </c>
      <c r="B2195" s="457"/>
      <c r="C2195" s="456"/>
      <c r="D2195" s="456">
        <f>IF(Table11[[#This Row],[Current Age]]&gt;19,"Women's",IF(E2195&gt;15,"U19",IF(E2195&gt;13,"U15",IF(E2195&gt;11,"U13",IF(E2195&gt;0,"U11",0)))))</f>
        <v>0</v>
      </c>
      <c r="E2195" s="456">
        <f>IFERROR(IF(Table11[[#This Row],[Year]]&gt;0,$E$1-Table11[[#This Row],[Year]],0),"")</f>
        <v>0</v>
      </c>
      <c r="F2195" s="456"/>
      <c r="G2195" s="456"/>
      <c r="H2195" s="456"/>
    </row>
    <row r="2196" spans="1:8" ht="13.5" customHeight="1">
      <c r="A2196" s="471">
        <v>9192</v>
      </c>
      <c r="B2196" s="540"/>
      <c r="C2196" s="471"/>
      <c r="D2196" s="456">
        <f>IF(Table11[[#This Row],[Current Age]]&gt;19,"Women's",IF(E2196&gt;15,"U19",IF(E2196&gt;13,"U15",IF(E2196&gt;11,"U13",IF(E2196&gt;0,"U11",0)))))</f>
        <v>0</v>
      </c>
      <c r="E2196" s="456">
        <f>IFERROR(IF(Table11[[#This Row],[Year]]&gt;0,$E$1-Table11[[#This Row],[Year]],0),"")</f>
        <v>0</v>
      </c>
      <c r="F2196" s="456"/>
      <c r="G2196" s="456"/>
      <c r="H2196" s="456"/>
    </row>
    <row r="2197" spans="1:8" ht="13.5" customHeight="1">
      <c r="A2197" s="456">
        <v>9193</v>
      </c>
      <c r="B2197" s="457"/>
      <c r="C2197" s="456"/>
      <c r="D2197" s="456">
        <f>IF(Table11[[#This Row],[Current Age]]&gt;19,"Women's",IF(E2197&gt;15,"U19",IF(E2197&gt;13,"U15",IF(E2197&gt;11,"U13",IF(E2197&gt;0,"U11",0)))))</f>
        <v>0</v>
      </c>
      <c r="E2197" s="456">
        <f>IFERROR(IF(Table11[[#This Row],[Year]]&gt;0,$E$1-Table11[[#This Row],[Year]],0),"")</f>
        <v>0</v>
      </c>
      <c r="F2197" s="456"/>
      <c r="G2197" s="456"/>
      <c r="H2197" s="456"/>
    </row>
    <row r="2198" spans="1:8" ht="13.5" customHeight="1">
      <c r="A2198" s="471">
        <v>9194</v>
      </c>
      <c r="B2198" s="540"/>
      <c r="C2198" s="471"/>
      <c r="D2198" s="456">
        <f>IF(Table11[[#This Row],[Current Age]]&gt;19,"Women's",IF(E2198&gt;15,"U19",IF(E2198&gt;13,"U15",IF(E2198&gt;11,"U13",IF(E2198&gt;0,"U11",0)))))</f>
        <v>0</v>
      </c>
      <c r="E2198" s="456">
        <f>IFERROR(IF(Table11[[#This Row],[Year]]&gt;0,$E$1-Table11[[#This Row],[Year]],0),"")</f>
        <v>0</v>
      </c>
      <c r="F2198" s="456"/>
      <c r="G2198" s="456"/>
      <c r="H2198" s="456"/>
    </row>
    <row r="2199" spans="1:8" ht="13.5" customHeight="1">
      <c r="A2199" s="456">
        <v>9195</v>
      </c>
      <c r="B2199" s="457"/>
      <c r="C2199" s="456"/>
      <c r="D2199" s="456">
        <f>IF(Table11[[#This Row],[Current Age]]&gt;19,"Women's",IF(E2199&gt;15,"U19",IF(E2199&gt;13,"U15",IF(E2199&gt;11,"U13",IF(E2199&gt;0,"U11",0)))))</f>
        <v>0</v>
      </c>
      <c r="E2199" s="456">
        <f>IFERROR(IF(Table11[[#This Row],[Year]]&gt;0,$E$1-Table11[[#This Row],[Year]],0),"")</f>
        <v>0</v>
      </c>
      <c r="F2199" s="456"/>
      <c r="G2199" s="456"/>
      <c r="H2199" s="456"/>
    </row>
    <row r="2200" spans="1:8" ht="13.5" customHeight="1">
      <c r="A2200" s="471">
        <v>9196</v>
      </c>
      <c r="B2200" s="540"/>
      <c r="C2200" s="471"/>
      <c r="D2200" s="456">
        <f>IF(Table11[[#This Row],[Current Age]]&gt;19,"Women's",IF(E2200&gt;15,"U19",IF(E2200&gt;13,"U15",IF(E2200&gt;11,"U13",IF(E2200&gt;0,"U11",0)))))</f>
        <v>0</v>
      </c>
      <c r="E2200" s="456">
        <f>IFERROR(IF(Table11[[#This Row],[Year]]&gt;0,$E$1-Table11[[#This Row],[Year]],0),"")</f>
        <v>0</v>
      </c>
      <c r="F2200" s="456"/>
      <c r="G2200" s="456"/>
      <c r="H2200" s="456"/>
    </row>
    <row r="2201" spans="1:8" ht="13.5" customHeight="1">
      <c r="A2201" s="456">
        <v>9197</v>
      </c>
      <c r="B2201" s="457"/>
      <c r="C2201" s="456"/>
      <c r="D2201" s="456">
        <f>IF(Table11[[#This Row],[Current Age]]&gt;19,"Women's",IF(E2201&gt;15,"U19",IF(E2201&gt;13,"U15",IF(E2201&gt;11,"U13",IF(E2201&gt;0,"U11",0)))))</f>
        <v>0</v>
      </c>
      <c r="E2201" s="456">
        <f>IFERROR(IF(Table11[[#This Row],[Year]]&gt;0,$E$1-Table11[[#This Row],[Year]],0),"")</f>
        <v>0</v>
      </c>
      <c r="F2201" s="456"/>
      <c r="G2201" s="456"/>
      <c r="H2201" s="456"/>
    </row>
    <row r="2202" spans="1:8" ht="13.5" customHeight="1">
      <c r="A2202" s="471">
        <v>9198</v>
      </c>
      <c r="B2202" s="540"/>
      <c r="C2202" s="471"/>
      <c r="D2202" s="456">
        <f>IF(Table11[[#This Row],[Current Age]]&gt;19,"Women's",IF(E2202&gt;15,"U19",IF(E2202&gt;13,"U15",IF(E2202&gt;11,"U13",IF(E2202&gt;0,"U11",0)))))</f>
        <v>0</v>
      </c>
      <c r="E2202" s="456">
        <f>IFERROR(IF(Table11[[#This Row],[Year]]&gt;0,$E$1-Table11[[#This Row],[Year]],0),"")</f>
        <v>0</v>
      </c>
      <c r="F2202" s="456"/>
      <c r="G2202" s="456"/>
      <c r="H2202" s="456"/>
    </row>
    <row r="2203" spans="1:8" ht="13.5" customHeight="1">
      <c r="A2203" s="456">
        <v>9199</v>
      </c>
      <c r="B2203" s="457"/>
      <c r="C2203" s="456"/>
      <c r="D2203" s="456">
        <f>IF(Table11[[#This Row],[Current Age]]&gt;19,"Women's",IF(E2203&gt;15,"U19",IF(E2203&gt;13,"U15",IF(E2203&gt;11,"U13",IF(E2203&gt;0,"U11",0)))))</f>
        <v>0</v>
      </c>
      <c r="E2203" s="456">
        <f>IFERROR(IF(Table11[[#This Row],[Year]]&gt;0,$E$1-Table11[[#This Row],[Year]],0),"")</f>
        <v>0</v>
      </c>
      <c r="F2203" s="456"/>
      <c r="G2203" s="456"/>
      <c r="H2203" s="456"/>
    </row>
    <row r="2204" spans="1:8" ht="13.5" customHeight="1">
      <c r="A2204" s="471">
        <v>9200</v>
      </c>
      <c r="B2204" s="540"/>
      <c r="C2204" s="471"/>
      <c r="D2204" s="456">
        <f>IF(Table11[[#This Row],[Current Age]]&gt;19,"Women's",IF(E2204&gt;15,"U19",IF(E2204&gt;13,"U15",IF(E2204&gt;11,"U13",IF(E2204&gt;0,"U11",0)))))</f>
        <v>0</v>
      </c>
      <c r="E2204" s="456">
        <f>IFERROR(IF(Table11[[#This Row],[Year]]&gt;0,$E$1-Table11[[#This Row],[Year]],0),"")</f>
        <v>0</v>
      </c>
      <c r="F2204" s="456"/>
      <c r="G2204" s="456"/>
      <c r="H2204" s="456"/>
    </row>
    <row r="2205" spans="1:8" ht="13.5" customHeight="1">
      <c r="A2205" s="456">
        <v>9201</v>
      </c>
      <c r="B2205" s="457"/>
      <c r="C2205" s="456"/>
      <c r="D2205" s="456">
        <f>IF(Table11[[#This Row],[Current Age]]&gt;19,"Women's",IF(E2205&gt;15,"U19",IF(E2205&gt;13,"U15",IF(E2205&gt;11,"U13",IF(E2205&gt;0,"U11",0)))))</f>
        <v>0</v>
      </c>
      <c r="E2205" s="456">
        <f>IFERROR(IF(Table11[[#This Row],[Year]]&gt;0,$E$1-Table11[[#This Row],[Year]],0),"")</f>
        <v>0</v>
      </c>
      <c r="F2205" s="456"/>
      <c r="G2205" s="456"/>
      <c r="H2205" s="456"/>
    </row>
    <row r="2206" spans="1:8" ht="13.5" customHeight="1">
      <c r="A2206" s="471">
        <v>9202</v>
      </c>
      <c r="B2206" s="540"/>
      <c r="C2206" s="471"/>
      <c r="D2206" s="456">
        <f>IF(Table11[[#This Row],[Current Age]]&gt;19,"Women's",IF(E2206&gt;15,"U19",IF(E2206&gt;13,"U15",IF(E2206&gt;11,"U13",IF(E2206&gt;0,"U11",0)))))</f>
        <v>0</v>
      </c>
      <c r="E2206" s="456">
        <f>IFERROR(IF(Table11[[#This Row],[Year]]&gt;0,$E$1-Table11[[#This Row],[Year]],0),"")</f>
        <v>0</v>
      </c>
      <c r="F2206" s="456"/>
      <c r="G2206" s="456"/>
      <c r="H2206" s="456"/>
    </row>
    <row r="2207" spans="1:8" ht="13.5" customHeight="1">
      <c r="A2207" s="456">
        <v>9203</v>
      </c>
      <c r="B2207" s="457"/>
      <c r="C2207" s="456"/>
      <c r="D2207" s="456">
        <f>IF(Table11[[#This Row],[Current Age]]&gt;19,"Women's",IF(E2207&gt;15,"U19",IF(E2207&gt;13,"U15",IF(E2207&gt;11,"U13",IF(E2207&gt;0,"U11",0)))))</f>
        <v>0</v>
      </c>
      <c r="E2207" s="456">
        <f>IFERROR(IF(Table11[[#This Row],[Year]]&gt;0,$E$1-Table11[[#This Row],[Year]],0),"")</f>
        <v>0</v>
      </c>
      <c r="F2207" s="456"/>
      <c r="G2207" s="456"/>
      <c r="H2207" s="456"/>
    </row>
    <row r="2208" spans="1:8" ht="13.5" customHeight="1">
      <c r="A2208" s="471">
        <v>9204</v>
      </c>
      <c r="B2208" s="540"/>
      <c r="C2208" s="471"/>
      <c r="D2208" s="456">
        <f>IF(Table11[[#This Row],[Current Age]]&gt;19,"Women's",IF(E2208&gt;15,"U19",IF(E2208&gt;13,"U15",IF(E2208&gt;11,"U13",IF(E2208&gt;0,"U11",0)))))</f>
        <v>0</v>
      </c>
      <c r="E2208" s="456">
        <f>IFERROR(IF(Table11[[#This Row],[Year]]&gt;0,$E$1-Table11[[#This Row],[Year]],0),"")</f>
        <v>0</v>
      </c>
      <c r="F2208" s="456"/>
      <c r="G2208" s="456"/>
      <c r="H2208" s="456"/>
    </row>
    <row r="2209" spans="1:8" ht="13.5" customHeight="1">
      <c r="A2209" s="456">
        <v>9205</v>
      </c>
      <c r="B2209" s="457"/>
      <c r="C2209" s="456"/>
      <c r="D2209" s="456">
        <f>IF(Table11[[#This Row],[Current Age]]&gt;19,"Women's",IF(E2209&gt;15,"U19",IF(E2209&gt;13,"U15",IF(E2209&gt;11,"U13",IF(E2209&gt;0,"U11",0)))))</f>
        <v>0</v>
      </c>
      <c r="E2209" s="456">
        <f>IFERROR(IF(Table11[[#This Row],[Year]]&gt;0,$E$1-Table11[[#This Row],[Year]],0),"")</f>
        <v>0</v>
      </c>
      <c r="F2209" s="456"/>
      <c r="G2209" s="456"/>
      <c r="H2209" s="456"/>
    </row>
    <row r="2210" spans="1:8" ht="13.5" customHeight="1">
      <c r="A2210" s="471">
        <v>9206</v>
      </c>
      <c r="B2210" s="540"/>
      <c r="C2210" s="471"/>
      <c r="D2210" s="456">
        <f>IF(Table11[[#This Row],[Current Age]]&gt;19,"Women's",IF(E2210&gt;15,"U19",IF(E2210&gt;13,"U15",IF(E2210&gt;11,"U13",IF(E2210&gt;0,"U11",0)))))</f>
        <v>0</v>
      </c>
      <c r="E2210" s="456">
        <f>IFERROR(IF(Table11[[#This Row],[Year]]&gt;0,$E$1-Table11[[#This Row],[Year]],0),"")</f>
        <v>0</v>
      </c>
      <c r="F2210" s="456"/>
      <c r="G2210" s="456"/>
      <c r="H2210" s="456"/>
    </row>
    <row r="2211" spans="1:8" ht="13.5" customHeight="1">
      <c r="A2211" s="456">
        <v>9207</v>
      </c>
      <c r="B2211" s="457"/>
      <c r="C2211" s="456"/>
      <c r="D2211" s="456">
        <f>IF(Table11[[#This Row],[Current Age]]&gt;19,"Women's",IF(E2211&gt;15,"U19",IF(E2211&gt;13,"U15",IF(E2211&gt;11,"U13",IF(E2211&gt;0,"U11",0)))))</f>
        <v>0</v>
      </c>
      <c r="E2211" s="456">
        <f>IFERROR(IF(Table11[[#This Row],[Year]]&gt;0,$E$1-Table11[[#This Row],[Year]],0),"")</f>
        <v>0</v>
      </c>
      <c r="F2211" s="456"/>
      <c r="G2211" s="456"/>
      <c r="H2211" s="456"/>
    </row>
    <row r="2212" spans="1:8" ht="13.5" customHeight="1">
      <c r="A2212" s="471">
        <v>9208</v>
      </c>
      <c r="B2212" s="540"/>
      <c r="C2212" s="471"/>
      <c r="D2212" s="456">
        <f>IF(Table11[[#This Row],[Current Age]]&gt;19,"Women's",IF(E2212&gt;15,"U19",IF(E2212&gt;13,"U15",IF(E2212&gt;11,"U13",IF(E2212&gt;0,"U11",0)))))</f>
        <v>0</v>
      </c>
      <c r="E2212" s="456">
        <f>IFERROR(IF(Table11[[#This Row],[Year]]&gt;0,$E$1-Table11[[#This Row],[Year]],0),"")</f>
        <v>0</v>
      </c>
      <c r="F2212" s="456"/>
      <c r="G2212" s="456"/>
      <c r="H2212" s="456"/>
    </row>
    <row r="2213" spans="1:8" ht="13.5" customHeight="1">
      <c r="A2213" s="456">
        <v>9209</v>
      </c>
      <c r="B2213" s="457"/>
      <c r="C2213" s="456"/>
      <c r="D2213" s="456">
        <f>IF(Table11[[#This Row],[Current Age]]&gt;19,"Women's",IF(E2213&gt;15,"U19",IF(E2213&gt;13,"U15",IF(E2213&gt;11,"U13",IF(E2213&gt;0,"U11",0)))))</f>
        <v>0</v>
      </c>
      <c r="E2213" s="456">
        <f>IFERROR(IF(Table11[[#This Row],[Year]]&gt;0,$E$1-Table11[[#This Row],[Year]],0),"")</f>
        <v>0</v>
      </c>
      <c r="F2213" s="456"/>
      <c r="G2213" s="456"/>
      <c r="H2213" s="456"/>
    </row>
    <row r="2214" spans="1:8" ht="13.5" customHeight="1">
      <c r="A2214" s="471">
        <v>9210</v>
      </c>
      <c r="B2214" s="540"/>
      <c r="C2214" s="471"/>
      <c r="D2214" s="456">
        <f>IF(Table11[[#This Row],[Current Age]]&gt;19,"Women's",IF(E2214&gt;15,"U19",IF(E2214&gt;13,"U15",IF(E2214&gt;11,"U13",IF(E2214&gt;0,"U11",0)))))</f>
        <v>0</v>
      </c>
      <c r="E2214" s="456">
        <f>IFERROR(IF(Table11[[#This Row],[Year]]&gt;0,$E$1-Table11[[#This Row],[Year]],0),"")</f>
        <v>0</v>
      </c>
      <c r="F2214" s="456"/>
      <c r="G2214" s="456"/>
      <c r="H2214" s="456"/>
    </row>
    <row r="2215" spans="1:8" ht="13.5" customHeight="1">
      <c r="A2215" s="456">
        <v>9211</v>
      </c>
      <c r="B2215" s="457"/>
      <c r="C2215" s="456"/>
      <c r="D2215" s="456">
        <f>IF(Table11[[#This Row],[Current Age]]&gt;19,"Women's",IF(E2215&gt;15,"U19",IF(E2215&gt;13,"U15",IF(E2215&gt;11,"U13",IF(E2215&gt;0,"U11",0)))))</f>
        <v>0</v>
      </c>
      <c r="E2215" s="456">
        <f>IFERROR(IF(Table11[[#This Row],[Year]]&gt;0,$E$1-Table11[[#This Row],[Year]],0),"")</f>
        <v>0</v>
      </c>
      <c r="F2215" s="456"/>
      <c r="G2215" s="456"/>
      <c r="H2215" s="456"/>
    </row>
    <row r="2216" spans="1:8" ht="13.5" customHeight="1">
      <c r="A2216" s="471">
        <v>9212</v>
      </c>
      <c r="B2216" s="540"/>
      <c r="C2216" s="471"/>
      <c r="D2216" s="456">
        <f>IF(Table11[[#This Row],[Current Age]]&gt;19,"Women's",IF(E2216&gt;15,"U19",IF(E2216&gt;13,"U15",IF(E2216&gt;11,"U13",IF(E2216&gt;0,"U11",0)))))</f>
        <v>0</v>
      </c>
      <c r="E2216" s="456">
        <f>IFERROR(IF(Table11[[#This Row],[Year]]&gt;0,$E$1-Table11[[#This Row],[Year]],0),"")</f>
        <v>0</v>
      </c>
      <c r="F2216" s="456"/>
      <c r="G2216" s="456"/>
      <c r="H2216" s="456"/>
    </row>
    <row r="2217" spans="1:8" ht="13.5" customHeight="1">
      <c r="A2217" s="456">
        <v>9213</v>
      </c>
      <c r="B2217" s="457"/>
      <c r="C2217" s="456"/>
      <c r="D2217" s="456">
        <f>IF(Table11[[#This Row],[Current Age]]&gt;19,"Women's",IF(E2217&gt;15,"U19",IF(E2217&gt;13,"U15",IF(E2217&gt;11,"U13",IF(E2217&gt;0,"U11",0)))))</f>
        <v>0</v>
      </c>
      <c r="E2217" s="456">
        <f>IFERROR(IF(Table11[[#This Row],[Year]]&gt;0,$E$1-Table11[[#This Row],[Year]],0),"")</f>
        <v>0</v>
      </c>
      <c r="F2217" s="456"/>
      <c r="G2217" s="456"/>
      <c r="H2217" s="456"/>
    </row>
    <row r="2218" spans="1:8" ht="13.5" customHeight="1">
      <c r="A2218" s="471">
        <v>9214</v>
      </c>
      <c r="B2218" s="540"/>
      <c r="C2218" s="471"/>
      <c r="D2218" s="456">
        <f>IF(Table11[[#This Row],[Current Age]]&gt;19,"Women's",IF(E2218&gt;15,"U19",IF(E2218&gt;13,"U15",IF(E2218&gt;11,"U13",IF(E2218&gt;0,"U11",0)))))</f>
        <v>0</v>
      </c>
      <c r="E2218" s="456">
        <f>IFERROR(IF(Table11[[#This Row],[Year]]&gt;0,$E$1-Table11[[#This Row],[Year]],0),"")</f>
        <v>0</v>
      </c>
      <c r="F2218" s="456"/>
      <c r="G2218" s="456"/>
      <c r="H2218" s="456"/>
    </row>
    <row r="2219" spans="1:8" ht="13.5" customHeight="1">
      <c r="A2219" s="456">
        <v>9215</v>
      </c>
      <c r="B2219" s="457"/>
      <c r="C2219" s="456"/>
      <c r="D2219" s="456">
        <f>IF(Table11[[#This Row],[Current Age]]&gt;19,"Women's",IF(E2219&gt;15,"U19",IF(E2219&gt;13,"U15",IF(E2219&gt;11,"U13",IF(E2219&gt;0,"U11",0)))))</f>
        <v>0</v>
      </c>
      <c r="E2219" s="456">
        <f>IFERROR(IF(Table11[[#This Row],[Year]]&gt;0,$E$1-Table11[[#This Row],[Year]],0),"")</f>
        <v>0</v>
      </c>
      <c r="F2219" s="456"/>
      <c r="G2219" s="456"/>
      <c r="H2219" s="456"/>
    </row>
    <row r="2220" spans="1:8" ht="13.5" customHeight="1">
      <c r="A2220" s="471">
        <v>9216</v>
      </c>
      <c r="B2220" s="540"/>
      <c r="C2220" s="471"/>
      <c r="D2220" s="456">
        <f>IF(Table11[[#This Row],[Current Age]]&gt;19,"Women's",IF(E2220&gt;15,"U19",IF(E2220&gt;13,"U15",IF(E2220&gt;11,"U13",IF(E2220&gt;0,"U11",0)))))</f>
        <v>0</v>
      </c>
      <c r="E2220" s="456">
        <f>IFERROR(IF(Table11[[#This Row],[Year]]&gt;0,$E$1-Table11[[#This Row],[Year]],0),"")</f>
        <v>0</v>
      </c>
      <c r="F2220" s="456"/>
      <c r="G2220" s="456"/>
      <c r="H2220" s="456"/>
    </row>
    <row r="2221" spans="1:8" ht="13.5" customHeight="1">
      <c r="A2221" s="456">
        <v>9217</v>
      </c>
      <c r="B2221" s="457"/>
      <c r="C2221" s="456"/>
      <c r="D2221" s="456">
        <f>IF(Table11[[#This Row],[Current Age]]&gt;19,"Women's",IF(E2221&gt;15,"U19",IF(E2221&gt;13,"U15",IF(E2221&gt;11,"U13",IF(E2221&gt;0,"U11",0)))))</f>
        <v>0</v>
      </c>
      <c r="E2221" s="456">
        <f>IFERROR(IF(Table11[[#This Row],[Year]]&gt;0,$E$1-Table11[[#This Row],[Year]],0),"")</f>
        <v>0</v>
      </c>
      <c r="F2221" s="456"/>
      <c r="G2221" s="456"/>
      <c r="H2221" s="456"/>
    </row>
    <row r="2222" spans="1:8" ht="13.5" customHeight="1">
      <c r="A2222" s="471">
        <v>9218</v>
      </c>
      <c r="B2222" s="540"/>
      <c r="C2222" s="471"/>
      <c r="D2222" s="456">
        <f>IF(Table11[[#This Row],[Current Age]]&gt;19,"Women's",IF(E2222&gt;15,"U19",IF(E2222&gt;13,"U15",IF(E2222&gt;11,"U13",IF(E2222&gt;0,"U11",0)))))</f>
        <v>0</v>
      </c>
      <c r="E2222" s="456">
        <f>IFERROR(IF(Table11[[#This Row],[Year]]&gt;0,$E$1-Table11[[#This Row],[Year]],0),"")</f>
        <v>0</v>
      </c>
      <c r="F2222" s="456"/>
      <c r="G2222" s="456"/>
      <c r="H2222" s="456"/>
    </row>
    <row r="2223" spans="1:8" ht="13.5" customHeight="1">
      <c r="A2223" s="456">
        <v>9219</v>
      </c>
      <c r="B2223" s="457"/>
      <c r="C2223" s="456"/>
      <c r="D2223" s="456">
        <f>IF(Table11[[#This Row],[Current Age]]&gt;19,"Women's",IF(E2223&gt;15,"U19",IF(E2223&gt;13,"U15",IF(E2223&gt;11,"U13",IF(E2223&gt;0,"U11",0)))))</f>
        <v>0</v>
      </c>
      <c r="E2223" s="456">
        <f>IFERROR(IF(Table11[[#This Row],[Year]]&gt;0,$E$1-Table11[[#This Row],[Year]],0),"")</f>
        <v>0</v>
      </c>
      <c r="F2223" s="456"/>
      <c r="G2223" s="456"/>
      <c r="H2223" s="456"/>
    </row>
    <row r="2224" spans="1:8" ht="13.5" customHeight="1">
      <c r="A2224" s="471">
        <v>9220</v>
      </c>
      <c r="B2224" s="540"/>
      <c r="C2224" s="471"/>
      <c r="D2224" s="456">
        <f>IF(Table11[[#This Row],[Current Age]]&gt;19,"Women's",IF(E2224&gt;15,"U19",IF(E2224&gt;13,"U15",IF(E2224&gt;11,"U13",IF(E2224&gt;0,"U11",0)))))</f>
        <v>0</v>
      </c>
      <c r="E2224" s="456">
        <f>IFERROR(IF(Table11[[#This Row],[Year]]&gt;0,$E$1-Table11[[#This Row],[Year]],0),"")</f>
        <v>0</v>
      </c>
      <c r="F2224" s="456"/>
      <c r="G2224" s="456"/>
      <c r="H2224" s="456"/>
    </row>
    <row r="2225" spans="1:8" ht="13.5" customHeight="1">
      <c r="A2225" s="456">
        <v>9221</v>
      </c>
      <c r="B2225" s="457"/>
      <c r="C2225" s="456"/>
      <c r="D2225" s="456">
        <f>IF(Table11[[#This Row],[Current Age]]&gt;19,"Women's",IF(E2225&gt;15,"U19",IF(E2225&gt;13,"U15",IF(E2225&gt;11,"U13",IF(E2225&gt;0,"U11",0)))))</f>
        <v>0</v>
      </c>
      <c r="E2225" s="456">
        <f>IFERROR(IF(Table11[[#This Row],[Year]]&gt;0,$E$1-Table11[[#This Row],[Year]],0),"")</f>
        <v>0</v>
      </c>
      <c r="F2225" s="456"/>
      <c r="G2225" s="456"/>
      <c r="H2225" s="456"/>
    </row>
    <row r="2226" spans="1:8" ht="13.5" customHeight="1">
      <c r="A2226" s="471">
        <v>9222</v>
      </c>
      <c r="B2226" s="540"/>
      <c r="C2226" s="471"/>
      <c r="D2226" s="456">
        <f>IF(Table11[[#This Row],[Current Age]]&gt;19,"Women's",IF(E2226&gt;15,"U19",IF(E2226&gt;13,"U15",IF(E2226&gt;11,"U13",IF(E2226&gt;0,"U11",0)))))</f>
        <v>0</v>
      </c>
      <c r="E2226" s="456">
        <f>IFERROR(IF(Table11[[#This Row],[Year]]&gt;0,$E$1-Table11[[#This Row],[Year]],0),"")</f>
        <v>0</v>
      </c>
      <c r="F2226" s="456"/>
      <c r="G2226" s="456"/>
      <c r="H2226" s="456"/>
    </row>
    <row r="2227" spans="1:8" ht="13.5" customHeight="1">
      <c r="A2227" s="456">
        <v>9223</v>
      </c>
      <c r="B2227" s="457"/>
      <c r="C2227" s="456"/>
      <c r="D2227" s="456">
        <f>IF(Table11[[#This Row],[Current Age]]&gt;19,"Women's",IF(E2227&gt;15,"U19",IF(E2227&gt;13,"U15",IF(E2227&gt;11,"U13",IF(E2227&gt;0,"U11",0)))))</f>
        <v>0</v>
      </c>
      <c r="E2227" s="456">
        <f>IFERROR(IF(Table11[[#This Row],[Year]]&gt;0,$E$1-Table11[[#This Row],[Year]],0),"")</f>
        <v>0</v>
      </c>
      <c r="F2227" s="456"/>
      <c r="G2227" s="456"/>
      <c r="H2227" s="456"/>
    </row>
    <row r="2228" spans="1:8" ht="13.5" customHeight="1">
      <c r="A2228" s="471">
        <v>9224</v>
      </c>
      <c r="B2228" s="540"/>
      <c r="C2228" s="471"/>
      <c r="D2228" s="456">
        <f>IF(Table11[[#This Row],[Current Age]]&gt;19,"Women's",IF(E2228&gt;15,"U19",IF(E2228&gt;13,"U15",IF(E2228&gt;11,"U13",IF(E2228&gt;0,"U11",0)))))</f>
        <v>0</v>
      </c>
      <c r="E2228" s="456">
        <f>IFERROR(IF(Table11[[#This Row],[Year]]&gt;0,$E$1-Table11[[#This Row],[Year]],0),"")</f>
        <v>0</v>
      </c>
      <c r="F2228" s="456"/>
      <c r="G2228" s="456"/>
      <c r="H2228" s="456"/>
    </row>
    <row r="2229" spans="1:8" ht="13.5" customHeight="1">
      <c r="A2229" s="456">
        <v>9225</v>
      </c>
      <c r="B2229" s="457"/>
      <c r="C2229" s="456"/>
      <c r="D2229" s="456">
        <f>IF(Table11[[#This Row],[Current Age]]&gt;19,"Women's",IF(E2229&gt;15,"U19",IF(E2229&gt;13,"U15",IF(E2229&gt;11,"U13",IF(E2229&gt;0,"U11",0)))))</f>
        <v>0</v>
      </c>
      <c r="E2229" s="456">
        <f>IFERROR(IF(Table11[[#This Row],[Year]]&gt;0,$E$1-Table11[[#This Row],[Year]],0),"")</f>
        <v>0</v>
      </c>
      <c r="F2229" s="456"/>
      <c r="G2229" s="456"/>
      <c r="H2229" s="456"/>
    </row>
    <row r="2230" spans="1:8" ht="13.5" customHeight="1">
      <c r="A2230" s="471">
        <v>9226</v>
      </c>
      <c r="B2230" s="540"/>
      <c r="C2230" s="471"/>
      <c r="D2230" s="456">
        <f>IF(Table11[[#This Row],[Current Age]]&gt;19,"Women's",IF(E2230&gt;15,"U19",IF(E2230&gt;13,"U15",IF(E2230&gt;11,"U13",IF(E2230&gt;0,"U11",0)))))</f>
        <v>0</v>
      </c>
      <c r="E2230" s="456">
        <f>IFERROR(IF(Table11[[#This Row],[Year]]&gt;0,$E$1-Table11[[#This Row],[Year]],0),"")</f>
        <v>0</v>
      </c>
      <c r="F2230" s="456"/>
      <c r="G2230" s="456"/>
      <c r="H2230" s="456"/>
    </row>
    <row r="2231" spans="1:8" ht="13.5" customHeight="1">
      <c r="A2231" s="456">
        <v>9227</v>
      </c>
      <c r="B2231" s="457"/>
      <c r="C2231" s="456"/>
      <c r="D2231" s="456">
        <f>IF(Table11[[#This Row],[Current Age]]&gt;19,"Women's",IF(E2231&gt;15,"U19",IF(E2231&gt;13,"U15",IF(E2231&gt;11,"U13",IF(E2231&gt;0,"U11",0)))))</f>
        <v>0</v>
      </c>
      <c r="E2231" s="456">
        <f>IFERROR(IF(Table11[[#This Row],[Year]]&gt;0,$E$1-Table11[[#This Row],[Year]],0),"")</f>
        <v>0</v>
      </c>
      <c r="F2231" s="456"/>
      <c r="G2231" s="456"/>
      <c r="H2231" s="456"/>
    </row>
    <row r="2232" spans="1:8" ht="13.5" customHeight="1">
      <c r="A2232" s="471">
        <v>9228</v>
      </c>
      <c r="B2232" s="540"/>
      <c r="C2232" s="471"/>
      <c r="D2232" s="456">
        <f>IF(Table11[[#This Row],[Current Age]]&gt;19,"Women's",IF(E2232&gt;15,"U19",IF(E2232&gt;13,"U15",IF(E2232&gt;11,"U13",IF(E2232&gt;0,"U11",0)))))</f>
        <v>0</v>
      </c>
      <c r="E2232" s="456">
        <f>IFERROR(IF(Table11[[#This Row],[Year]]&gt;0,$E$1-Table11[[#This Row],[Year]],0),"")</f>
        <v>0</v>
      </c>
      <c r="F2232" s="456"/>
      <c r="G2232" s="456"/>
      <c r="H2232" s="456"/>
    </row>
    <row r="2233" spans="1:8" ht="13.5" customHeight="1">
      <c r="A2233" s="456">
        <v>9229</v>
      </c>
      <c r="B2233" s="457"/>
      <c r="C2233" s="456"/>
      <c r="D2233" s="456">
        <f>IF(Table11[[#This Row],[Current Age]]&gt;19,"Women's",IF(E2233&gt;15,"U19",IF(E2233&gt;13,"U15",IF(E2233&gt;11,"U13",IF(E2233&gt;0,"U11",0)))))</f>
        <v>0</v>
      </c>
      <c r="E2233" s="456">
        <f>IFERROR(IF(Table11[[#This Row],[Year]]&gt;0,$E$1-Table11[[#This Row],[Year]],0),"")</f>
        <v>0</v>
      </c>
      <c r="F2233" s="456"/>
      <c r="G2233" s="456"/>
      <c r="H2233" s="456"/>
    </row>
    <row r="2234" spans="1:8" ht="13.5" customHeight="1">
      <c r="A2234" s="471">
        <v>9230</v>
      </c>
      <c r="B2234" s="540"/>
      <c r="C2234" s="471"/>
      <c r="D2234" s="456">
        <f>IF(Table11[[#This Row],[Current Age]]&gt;19,"Women's",IF(E2234&gt;15,"U19",IF(E2234&gt;13,"U15",IF(E2234&gt;11,"U13",IF(E2234&gt;0,"U11",0)))))</f>
        <v>0</v>
      </c>
      <c r="E2234" s="456">
        <f>IFERROR(IF(Table11[[#This Row],[Year]]&gt;0,$E$1-Table11[[#This Row],[Year]],0),"")</f>
        <v>0</v>
      </c>
      <c r="F2234" s="456"/>
      <c r="G2234" s="456"/>
      <c r="H2234" s="456"/>
    </row>
    <row r="2235" spans="1:8" ht="13.5" customHeight="1">
      <c r="A2235" s="456">
        <v>9231</v>
      </c>
      <c r="B2235" s="457"/>
      <c r="C2235" s="456"/>
      <c r="D2235" s="456">
        <f>IF(Table11[[#This Row],[Current Age]]&gt;19,"Women's",IF(E2235&gt;15,"U19",IF(E2235&gt;13,"U15",IF(E2235&gt;11,"U13",IF(E2235&gt;0,"U11",0)))))</f>
        <v>0</v>
      </c>
      <c r="E2235" s="456">
        <f>IFERROR(IF(Table11[[#This Row],[Year]]&gt;0,$E$1-Table11[[#This Row],[Year]],0),"")</f>
        <v>0</v>
      </c>
      <c r="F2235" s="456"/>
      <c r="G2235" s="456"/>
      <c r="H2235" s="456"/>
    </row>
    <row r="2236" spans="1:8" ht="13.5" customHeight="1">
      <c r="A2236" s="471">
        <v>9232</v>
      </c>
      <c r="B2236" s="540"/>
      <c r="C2236" s="471"/>
      <c r="D2236" s="456">
        <f>IF(Table11[[#This Row],[Current Age]]&gt;19,"Women's",IF(E2236&gt;15,"U19",IF(E2236&gt;13,"U15",IF(E2236&gt;11,"U13",IF(E2236&gt;0,"U11",0)))))</f>
        <v>0</v>
      </c>
      <c r="E2236" s="456">
        <f>IFERROR(IF(Table11[[#This Row],[Year]]&gt;0,$E$1-Table11[[#This Row],[Year]],0),"")</f>
        <v>0</v>
      </c>
      <c r="F2236" s="456"/>
      <c r="G2236" s="456"/>
      <c r="H2236" s="456"/>
    </row>
    <row r="2237" spans="1:8" ht="13.5" customHeight="1">
      <c r="A2237" s="456">
        <v>9233</v>
      </c>
      <c r="B2237" s="457"/>
      <c r="C2237" s="456"/>
      <c r="D2237" s="456">
        <f>IF(Table11[[#This Row],[Current Age]]&gt;19,"Women's",IF(E2237&gt;15,"U19",IF(E2237&gt;13,"U15",IF(E2237&gt;11,"U13",IF(E2237&gt;0,"U11",0)))))</f>
        <v>0</v>
      </c>
      <c r="E2237" s="456">
        <f>IFERROR(IF(Table11[[#This Row],[Year]]&gt;0,$E$1-Table11[[#This Row],[Year]],0),"")</f>
        <v>0</v>
      </c>
      <c r="F2237" s="456"/>
      <c r="G2237" s="456"/>
      <c r="H2237" s="456"/>
    </row>
    <row r="2238" spans="1:8" ht="13.5" customHeight="1">
      <c r="A2238" s="471">
        <v>9234</v>
      </c>
      <c r="B2238" s="540"/>
      <c r="C2238" s="471"/>
      <c r="D2238" s="456">
        <f>IF(Table11[[#This Row],[Current Age]]&gt;19,"Women's",IF(E2238&gt;15,"U19",IF(E2238&gt;13,"U15",IF(E2238&gt;11,"U13",IF(E2238&gt;0,"U11",0)))))</f>
        <v>0</v>
      </c>
      <c r="E2238" s="456">
        <f>IFERROR(IF(Table11[[#This Row],[Year]]&gt;0,$E$1-Table11[[#This Row],[Year]],0),"")</f>
        <v>0</v>
      </c>
      <c r="F2238" s="456"/>
      <c r="G2238" s="456"/>
      <c r="H2238" s="456"/>
    </row>
    <row r="2239" spans="1:8" ht="13.5" customHeight="1">
      <c r="A2239" s="456">
        <v>9235</v>
      </c>
      <c r="B2239" s="457"/>
      <c r="C2239" s="456"/>
      <c r="D2239" s="456">
        <f>IF(Table11[[#This Row],[Current Age]]&gt;19,"Women's",IF(E2239&gt;15,"U19",IF(E2239&gt;13,"U15",IF(E2239&gt;11,"U13",IF(E2239&gt;0,"U11",0)))))</f>
        <v>0</v>
      </c>
      <c r="E2239" s="456">
        <f>IFERROR(IF(Table11[[#This Row],[Year]]&gt;0,$E$1-Table11[[#This Row],[Year]],0),"")</f>
        <v>0</v>
      </c>
      <c r="F2239" s="456"/>
      <c r="G2239" s="456"/>
      <c r="H2239" s="456"/>
    </row>
    <row r="2240" spans="1:8" ht="13.5" customHeight="1">
      <c r="A2240" s="471">
        <v>9236</v>
      </c>
      <c r="B2240" s="540"/>
      <c r="C2240" s="471"/>
      <c r="D2240" s="456">
        <f>IF(Table11[[#This Row],[Current Age]]&gt;19,"Women's",IF(E2240&gt;15,"U19",IF(E2240&gt;13,"U15",IF(E2240&gt;11,"U13",IF(E2240&gt;0,"U11",0)))))</f>
        <v>0</v>
      </c>
      <c r="E2240" s="456">
        <f>IFERROR(IF(Table11[[#This Row],[Year]]&gt;0,$E$1-Table11[[#This Row],[Year]],0),"")</f>
        <v>0</v>
      </c>
      <c r="F2240" s="456"/>
      <c r="G2240" s="456"/>
      <c r="H2240" s="456"/>
    </row>
    <row r="2241" spans="1:8" ht="13.5" customHeight="1">
      <c r="A2241" s="456">
        <v>9237</v>
      </c>
      <c r="B2241" s="457"/>
      <c r="C2241" s="456"/>
      <c r="D2241" s="456">
        <f>IF(Table11[[#This Row],[Current Age]]&gt;19,"Women's",IF(E2241&gt;15,"U19",IF(E2241&gt;13,"U15",IF(E2241&gt;11,"U13",IF(E2241&gt;0,"U11",0)))))</f>
        <v>0</v>
      </c>
      <c r="E2241" s="456">
        <f>IFERROR(IF(Table11[[#This Row],[Year]]&gt;0,$E$1-Table11[[#This Row],[Year]],0),"")</f>
        <v>0</v>
      </c>
      <c r="F2241" s="456"/>
      <c r="G2241" s="456"/>
      <c r="H2241" s="456"/>
    </row>
    <row r="2242" spans="1:8" ht="13.5" customHeight="1">
      <c r="A2242" s="471">
        <v>9238</v>
      </c>
      <c r="B2242" s="540"/>
      <c r="C2242" s="471"/>
      <c r="D2242" s="456">
        <f>IF(Table11[[#This Row],[Current Age]]&gt;19,"Women's",IF(E2242&gt;15,"U19",IF(E2242&gt;13,"U15",IF(E2242&gt;11,"U13",IF(E2242&gt;0,"U11",0)))))</f>
        <v>0</v>
      </c>
      <c r="E2242" s="456">
        <f>IFERROR(IF(Table11[[#This Row],[Year]]&gt;0,$E$1-Table11[[#This Row],[Year]],0),"")</f>
        <v>0</v>
      </c>
      <c r="F2242" s="456"/>
      <c r="G2242" s="456"/>
      <c r="H2242" s="456"/>
    </row>
    <row r="2243" spans="1:8" ht="13.5" customHeight="1">
      <c r="A2243" s="456">
        <v>9239</v>
      </c>
      <c r="B2243" s="457"/>
      <c r="C2243" s="456"/>
      <c r="D2243" s="456">
        <f>IF(Table11[[#This Row],[Current Age]]&gt;19,"Women's",IF(E2243&gt;15,"U19",IF(E2243&gt;13,"U15",IF(E2243&gt;11,"U13",IF(E2243&gt;0,"U11",0)))))</f>
        <v>0</v>
      </c>
      <c r="E2243" s="456">
        <f>IFERROR(IF(Table11[[#This Row],[Year]]&gt;0,$E$1-Table11[[#This Row],[Year]],0),"")</f>
        <v>0</v>
      </c>
      <c r="F2243" s="456"/>
      <c r="G2243" s="456"/>
      <c r="H2243" s="456"/>
    </row>
    <row r="2244" spans="1:8" ht="13.5" customHeight="1">
      <c r="A2244" s="471">
        <v>9240</v>
      </c>
      <c r="B2244" s="540"/>
      <c r="C2244" s="471"/>
      <c r="D2244" s="456">
        <f>IF(Table11[[#This Row],[Current Age]]&gt;19,"Women's",IF(E2244&gt;15,"U19",IF(E2244&gt;13,"U15",IF(E2244&gt;11,"U13",IF(E2244&gt;0,"U11",0)))))</f>
        <v>0</v>
      </c>
      <c r="E2244" s="456">
        <f>IFERROR(IF(Table11[[#This Row],[Year]]&gt;0,$E$1-Table11[[#This Row],[Year]],0),"")</f>
        <v>0</v>
      </c>
      <c r="F2244" s="456"/>
      <c r="G2244" s="456"/>
      <c r="H2244" s="456"/>
    </row>
    <row r="2245" spans="1:8" ht="13.5" customHeight="1">
      <c r="A2245" s="456">
        <v>9241</v>
      </c>
      <c r="B2245" s="457"/>
      <c r="C2245" s="456"/>
      <c r="D2245" s="456">
        <f>IF(Table11[[#This Row],[Current Age]]&gt;19,"Women's",IF(E2245&gt;15,"U19",IF(E2245&gt;13,"U15",IF(E2245&gt;11,"U13",IF(E2245&gt;0,"U11",0)))))</f>
        <v>0</v>
      </c>
      <c r="E2245" s="456">
        <f>IFERROR(IF(Table11[[#This Row],[Year]]&gt;0,$E$1-Table11[[#This Row],[Year]],0),"")</f>
        <v>0</v>
      </c>
      <c r="F2245" s="456"/>
      <c r="G2245" s="456"/>
      <c r="H2245" s="456"/>
    </row>
    <row r="2246" spans="1:8" ht="13.5" customHeight="1">
      <c r="A2246" s="471">
        <v>9242</v>
      </c>
      <c r="B2246" s="540"/>
      <c r="C2246" s="471"/>
      <c r="D2246" s="456">
        <f>IF(Table11[[#This Row],[Current Age]]&gt;19,"Women's",IF(E2246&gt;15,"U19",IF(E2246&gt;13,"U15",IF(E2246&gt;11,"U13",IF(E2246&gt;0,"U11",0)))))</f>
        <v>0</v>
      </c>
      <c r="E2246" s="456">
        <f>IFERROR(IF(Table11[[#This Row],[Year]]&gt;0,$E$1-Table11[[#This Row],[Year]],0),"")</f>
        <v>0</v>
      </c>
      <c r="F2246" s="456"/>
      <c r="G2246" s="456"/>
      <c r="H2246" s="456"/>
    </row>
    <row r="2247" spans="1:8" ht="13.5" customHeight="1">
      <c r="A2247" s="456">
        <v>9243</v>
      </c>
      <c r="B2247" s="457"/>
      <c r="C2247" s="456"/>
      <c r="D2247" s="456">
        <f>IF(Table11[[#This Row],[Current Age]]&gt;19,"Women's",IF(E2247&gt;15,"U19",IF(E2247&gt;13,"U15",IF(E2247&gt;11,"U13",IF(E2247&gt;0,"U11",0)))))</f>
        <v>0</v>
      </c>
      <c r="E2247" s="456">
        <f>IFERROR(IF(Table11[[#This Row],[Year]]&gt;0,$E$1-Table11[[#This Row],[Year]],0),"")</f>
        <v>0</v>
      </c>
      <c r="F2247" s="456"/>
      <c r="G2247" s="456"/>
      <c r="H2247" s="456"/>
    </row>
    <row r="2248" spans="1:8" ht="13.5" customHeight="1">
      <c r="A2248" s="471">
        <v>9244</v>
      </c>
      <c r="B2248" s="540"/>
      <c r="C2248" s="471"/>
      <c r="D2248" s="456">
        <f>IF(Table11[[#This Row],[Current Age]]&gt;19,"Women's",IF(E2248&gt;15,"U19",IF(E2248&gt;13,"U15",IF(E2248&gt;11,"U13",IF(E2248&gt;0,"U11",0)))))</f>
        <v>0</v>
      </c>
      <c r="E2248" s="456">
        <f>IFERROR(IF(Table11[[#This Row],[Year]]&gt;0,$E$1-Table11[[#This Row],[Year]],0),"")</f>
        <v>0</v>
      </c>
      <c r="F2248" s="456"/>
      <c r="G2248" s="456"/>
      <c r="H2248" s="456"/>
    </row>
    <row r="2249" spans="1:8" ht="13.5" customHeight="1">
      <c r="A2249" s="456">
        <v>9245</v>
      </c>
      <c r="B2249" s="457"/>
      <c r="C2249" s="456"/>
      <c r="D2249" s="456">
        <f>IF(Table11[[#This Row],[Current Age]]&gt;19,"Women's",IF(E2249&gt;15,"U19",IF(E2249&gt;13,"U15",IF(E2249&gt;11,"U13",IF(E2249&gt;0,"U11",0)))))</f>
        <v>0</v>
      </c>
      <c r="E2249" s="456">
        <f>IFERROR(IF(Table11[[#This Row],[Year]]&gt;0,$E$1-Table11[[#This Row],[Year]],0),"")</f>
        <v>0</v>
      </c>
      <c r="F2249" s="456"/>
      <c r="G2249" s="456"/>
      <c r="H2249" s="456"/>
    </row>
    <row r="2250" spans="1:8" ht="13.5" customHeight="1">
      <c r="A2250" s="471">
        <v>9246</v>
      </c>
      <c r="B2250" s="540"/>
      <c r="C2250" s="471"/>
      <c r="D2250" s="456">
        <f>IF(Table11[[#This Row],[Current Age]]&gt;19,"Women's",IF(E2250&gt;15,"U19",IF(E2250&gt;13,"U15",IF(E2250&gt;11,"U13",IF(E2250&gt;0,"U11",0)))))</f>
        <v>0</v>
      </c>
      <c r="E2250" s="456">
        <f>IFERROR(IF(Table11[[#This Row],[Year]]&gt;0,$E$1-Table11[[#This Row],[Year]],0),"")</f>
        <v>0</v>
      </c>
      <c r="F2250" s="456"/>
      <c r="G2250" s="456"/>
      <c r="H2250" s="456"/>
    </row>
    <row r="2251" spans="1:8" ht="13.5" customHeight="1">
      <c r="A2251" s="456">
        <v>9247</v>
      </c>
      <c r="B2251" s="457"/>
      <c r="C2251" s="456"/>
      <c r="D2251" s="456">
        <f>IF(Table11[[#This Row],[Current Age]]&gt;19,"Women's",IF(E2251&gt;15,"U19",IF(E2251&gt;13,"U15",IF(E2251&gt;11,"U13",IF(E2251&gt;0,"U11",0)))))</f>
        <v>0</v>
      </c>
      <c r="E2251" s="456">
        <f>IFERROR(IF(Table11[[#This Row],[Year]]&gt;0,$E$1-Table11[[#This Row],[Year]],0),"")</f>
        <v>0</v>
      </c>
      <c r="F2251" s="456"/>
      <c r="G2251" s="456"/>
      <c r="H2251" s="456"/>
    </row>
    <row r="2252" spans="1:8" ht="13.5" customHeight="1">
      <c r="A2252" s="471">
        <v>9248</v>
      </c>
      <c r="B2252" s="540"/>
      <c r="C2252" s="471"/>
      <c r="D2252" s="456">
        <f>IF(Table11[[#This Row],[Current Age]]&gt;19,"Women's",IF(E2252&gt;15,"U19",IF(E2252&gt;13,"U15",IF(E2252&gt;11,"U13",IF(E2252&gt;0,"U11",0)))))</f>
        <v>0</v>
      </c>
      <c r="E2252" s="456">
        <f>IFERROR(IF(Table11[[#This Row],[Year]]&gt;0,$E$1-Table11[[#This Row],[Year]],0),"")</f>
        <v>0</v>
      </c>
      <c r="F2252" s="456"/>
      <c r="G2252" s="456"/>
      <c r="H2252" s="456"/>
    </row>
    <row r="2253" spans="1:8" ht="13.5" customHeight="1">
      <c r="A2253" s="456">
        <v>9249</v>
      </c>
      <c r="B2253" s="457"/>
      <c r="C2253" s="456"/>
      <c r="D2253" s="456">
        <f>IF(Table11[[#This Row],[Current Age]]&gt;19,"Women's",IF(E2253&gt;15,"U19",IF(E2253&gt;13,"U15",IF(E2253&gt;11,"U13",IF(E2253&gt;0,"U11",0)))))</f>
        <v>0</v>
      </c>
      <c r="E2253" s="456">
        <f>IFERROR(IF(Table11[[#This Row],[Year]]&gt;0,$E$1-Table11[[#This Row],[Year]],0),"")</f>
        <v>0</v>
      </c>
      <c r="F2253" s="456"/>
      <c r="G2253" s="456"/>
      <c r="H2253" s="456"/>
    </row>
    <row r="2254" spans="1:8" ht="13.5" customHeight="1">
      <c r="A2254" s="471">
        <v>9250</v>
      </c>
      <c r="B2254" s="540" t="s">
        <v>4754</v>
      </c>
      <c r="C2254" s="471" t="s">
        <v>4720</v>
      </c>
      <c r="D2254" s="456">
        <f>IF(Table11[[#This Row],[Current Age]]&gt;19,"Women's",IF(E2254&gt;15,"U19",IF(E2254&gt;13,"U15",IF(E2254&gt;11,"U13",IF(E2254&gt;0,"U11",0)))))</f>
        <v>0</v>
      </c>
      <c r="E2254" s="456">
        <f>IFERROR(IF(Table11[[#This Row],[Year]]&gt;0,$E$1-Table11[[#This Row],[Year]],0),"")</f>
        <v>0</v>
      </c>
      <c r="F2254" s="456"/>
      <c r="G2254" s="456"/>
      <c r="H2254" s="456"/>
    </row>
    <row r="2255" spans="1:8" ht="13.5" customHeight="1">
      <c r="A2255" s="456">
        <v>9251</v>
      </c>
      <c r="B2255" s="457" t="s">
        <v>4755</v>
      </c>
      <c r="C2255" s="456" t="s">
        <v>4720</v>
      </c>
      <c r="D2255" s="456">
        <f>IF(Table11[[#This Row],[Current Age]]&gt;19,"Women's",IF(E2255&gt;15,"U19",IF(E2255&gt;13,"U15",IF(E2255&gt;11,"U13",IF(E2255&gt;0,"U11",0)))))</f>
        <v>0</v>
      </c>
      <c r="E2255" s="456">
        <f>IFERROR(IF(Table11[[#This Row],[Year]]&gt;0,$E$1-Table11[[#This Row],[Year]],0),"")</f>
        <v>0</v>
      </c>
      <c r="F2255" s="456"/>
      <c r="G2255" s="456"/>
      <c r="H2255" s="456"/>
    </row>
    <row r="2256" spans="1:8" ht="13.5" customHeight="1">
      <c r="A2256" s="471">
        <v>9252</v>
      </c>
      <c r="B2256" s="540" t="s">
        <v>4756</v>
      </c>
      <c r="C2256" s="471" t="s">
        <v>4720</v>
      </c>
      <c r="D2256" s="456">
        <f>IF(Table11[[#This Row],[Current Age]]&gt;19,"Women's",IF(E2256&gt;15,"U19",IF(E2256&gt;13,"U15",IF(E2256&gt;11,"U13",IF(E2256&gt;0,"U11",0)))))</f>
        <v>0</v>
      </c>
      <c r="E2256" s="456">
        <f>IFERROR(IF(Table11[[#This Row],[Year]]&gt;0,$E$1-Table11[[#This Row],[Year]],0),"")</f>
        <v>0</v>
      </c>
      <c r="F2256" s="456"/>
      <c r="G2256" s="456"/>
      <c r="H2256" s="456"/>
    </row>
    <row r="2257" spans="1:8" ht="13.5" customHeight="1">
      <c r="A2257" s="456">
        <v>9253</v>
      </c>
      <c r="B2257" s="457" t="s">
        <v>4757</v>
      </c>
      <c r="C2257" s="456" t="s">
        <v>4720</v>
      </c>
      <c r="D2257" s="456">
        <f>IF(Table11[[#This Row],[Current Age]]&gt;19,"Women's",IF(E2257&gt;15,"U19",IF(E2257&gt;13,"U15",IF(E2257&gt;11,"U13",IF(E2257&gt;0,"U11",0)))))</f>
        <v>0</v>
      </c>
      <c r="E2257" s="456">
        <f>IFERROR(IF(Table11[[#This Row],[Year]]&gt;0,$E$1-Table11[[#This Row],[Year]],0),"")</f>
        <v>0</v>
      </c>
      <c r="F2257" s="456"/>
      <c r="G2257" s="456"/>
      <c r="H2257" s="456"/>
    </row>
    <row r="2258" spans="1:8" ht="13.5" customHeight="1">
      <c r="A2258" s="471">
        <v>9254</v>
      </c>
      <c r="B2258" s="540" t="s">
        <v>4758</v>
      </c>
      <c r="C2258" s="471" t="s">
        <v>4720</v>
      </c>
      <c r="D2258" s="456">
        <f>IF(Table11[[#This Row],[Current Age]]&gt;19,"Women's",IF(E2258&gt;15,"U19",IF(E2258&gt;13,"U15",IF(E2258&gt;11,"U13",IF(E2258&gt;0,"U11",0)))))</f>
        <v>0</v>
      </c>
      <c r="E2258" s="456">
        <f>IFERROR(IF(Table11[[#This Row],[Year]]&gt;0,$E$1-Table11[[#This Row],[Year]],0),"")</f>
        <v>0</v>
      </c>
      <c r="F2258" s="456"/>
      <c r="G2258" s="456"/>
      <c r="H2258" s="456"/>
    </row>
    <row r="2259" spans="1:8" ht="13.5" customHeight="1">
      <c r="A2259" s="456">
        <v>9255</v>
      </c>
      <c r="B2259" s="457" t="s">
        <v>4759</v>
      </c>
      <c r="C2259" s="456" t="s">
        <v>4720</v>
      </c>
      <c r="D2259" s="456">
        <f>IF(Table11[[#This Row],[Current Age]]&gt;19,"Women's",IF(E2259&gt;15,"U19",IF(E2259&gt;13,"U15",IF(E2259&gt;11,"U13",IF(E2259&gt;0,"U11",0)))))</f>
        <v>0</v>
      </c>
      <c r="E2259" s="456">
        <f>IFERROR(IF(Table11[[#This Row],[Year]]&gt;0,$E$1-Table11[[#This Row],[Year]],0),"")</f>
        <v>0</v>
      </c>
      <c r="F2259" s="456"/>
      <c r="G2259" s="456"/>
      <c r="H2259" s="456"/>
    </row>
    <row r="2260" spans="1:8" ht="13.5" customHeight="1">
      <c r="A2260" s="471">
        <v>9256</v>
      </c>
      <c r="B2260" s="540" t="s">
        <v>4760</v>
      </c>
      <c r="C2260" s="471" t="s">
        <v>4720</v>
      </c>
      <c r="D2260" s="456">
        <f>IF(Table11[[#This Row],[Current Age]]&gt;19,"Women's",IF(E2260&gt;15,"U19",IF(E2260&gt;13,"U15",IF(E2260&gt;11,"U13",IF(E2260&gt;0,"U11",0)))))</f>
        <v>0</v>
      </c>
      <c r="E2260" s="456">
        <f>IFERROR(IF(Table11[[#This Row],[Year]]&gt;0,$E$1-Table11[[#This Row],[Year]],0),"")</f>
        <v>0</v>
      </c>
      <c r="F2260" s="456"/>
      <c r="G2260" s="456"/>
      <c r="H2260" s="456"/>
    </row>
    <row r="2261" spans="1:8" ht="13.5" customHeight="1">
      <c r="A2261" s="456">
        <v>9257</v>
      </c>
      <c r="B2261" s="457" t="s">
        <v>4761</v>
      </c>
      <c r="C2261" s="456" t="s">
        <v>4720</v>
      </c>
      <c r="D2261" s="456">
        <f>IF(Table11[[#This Row],[Current Age]]&gt;19,"Women's",IF(E2261&gt;15,"U19",IF(E2261&gt;13,"U15",IF(E2261&gt;11,"U13",IF(E2261&gt;0,"U11",0)))))</f>
        <v>0</v>
      </c>
      <c r="E2261" s="456">
        <f>IFERROR(IF(Table11[[#This Row],[Year]]&gt;0,$E$1-Table11[[#This Row],[Year]],0),"")</f>
        <v>0</v>
      </c>
      <c r="F2261" s="456"/>
      <c r="G2261" s="456"/>
      <c r="H2261" s="456"/>
    </row>
    <row r="2262" spans="1:8" ht="13.5" customHeight="1">
      <c r="A2262" s="474">
        <v>9258</v>
      </c>
      <c r="B2262" s="540"/>
      <c r="C2262" s="471"/>
      <c r="D2262" s="456">
        <f>IF(Table11[[#This Row],[Current Age]]&gt;19,"Women's",IF(E2262&gt;15,"U19",IF(E2262&gt;13,"U15",IF(E2262&gt;11,"U13",IF(E2262&gt;0,"U11",0)))))</f>
        <v>0</v>
      </c>
      <c r="E2262" s="456">
        <f>IFERROR(IF(Table11[[#This Row],[Year]]&gt;0,$E$1-Table11[[#This Row],[Year]],0),"")</f>
        <v>0</v>
      </c>
      <c r="F2262" s="456"/>
      <c r="G2262" s="456"/>
      <c r="H2262" s="456"/>
    </row>
    <row r="2263" spans="1:8" ht="13.5" customHeight="1">
      <c r="A2263" s="456">
        <v>9259</v>
      </c>
      <c r="B2263" s="457" t="s">
        <v>4762</v>
      </c>
      <c r="C2263" s="456" t="s">
        <v>4720</v>
      </c>
      <c r="D2263" s="456">
        <f>IF(Table11[[#This Row],[Current Age]]&gt;19,"Women's",IF(E2263&gt;15,"U19",IF(E2263&gt;13,"U15",IF(E2263&gt;11,"U13",IF(E2263&gt;0,"U11",0)))))</f>
        <v>0</v>
      </c>
      <c r="E2263" s="456">
        <f>IFERROR(IF(Table11[[#This Row],[Year]]&gt;0,$E$1-Table11[[#This Row],[Year]],0),"")</f>
        <v>0</v>
      </c>
      <c r="F2263" s="456"/>
      <c r="G2263" s="456"/>
      <c r="H2263" s="456"/>
    </row>
    <row r="2264" spans="1:8" ht="13.5" customHeight="1">
      <c r="A2264" s="474">
        <v>9260</v>
      </c>
      <c r="B2264" s="540"/>
      <c r="C2264" s="471"/>
      <c r="D2264" s="456">
        <f>IF(Table11[[#This Row],[Current Age]]&gt;19,"Women's",IF(E2264&gt;15,"U19",IF(E2264&gt;13,"U15",IF(E2264&gt;11,"U13",IF(E2264&gt;0,"U11",0)))))</f>
        <v>0</v>
      </c>
      <c r="E2264" s="456">
        <f>IFERROR(IF(Table11[[#This Row],[Year]]&gt;0,$E$1-Table11[[#This Row],[Year]],0),"")</f>
        <v>0</v>
      </c>
      <c r="F2264" s="456"/>
      <c r="G2264" s="456"/>
      <c r="H2264" s="456"/>
    </row>
    <row r="2265" spans="1:8" ht="13.5" customHeight="1">
      <c r="A2265" s="456">
        <v>9261</v>
      </c>
      <c r="B2265" s="457"/>
      <c r="C2265" s="456"/>
      <c r="D2265" s="456">
        <f>IF(Table11[[#This Row],[Current Age]]&gt;19,"Women's",IF(E2265&gt;15,"U19",IF(E2265&gt;13,"U15",IF(E2265&gt;11,"U13",IF(E2265&gt;0,"U11",0)))))</f>
        <v>0</v>
      </c>
      <c r="E2265" s="456">
        <f>IFERROR(IF(Table11[[#This Row],[Year]]&gt;0,$E$1-Table11[[#This Row],[Year]],0),"")</f>
        <v>0</v>
      </c>
      <c r="F2265" s="456"/>
      <c r="G2265" s="456"/>
      <c r="H2265" s="456"/>
    </row>
    <row r="2266" spans="1:8" ht="13.5" customHeight="1">
      <c r="A2266" s="471">
        <v>9262</v>
      </c>
      <c r="B2266" s="540"/>
      <c r="C2266" s="471"/>
      <c r="D2266" s="456">
        <f>IF(Table11[[#This Row],[Current Age]]&gt;19,"Women's",IF(E2266&gt;15,"U19",IF(E2266&gt;13,"U15",IF(E2266&gt;11,"U13",IF(E2266&gt;0,"U11",0)))))</f>
        <v>0</v>
      </c>
      <c r="E2266" s="456">
        <f>IFERROR(IF(Table11[[#This Row],[Year]]&gt;0,$E$1-Table11[[#This Row],[Year]],0),"")</f>
        <v>0</v>
      </c>
      <c r="F2266" s="456"/>
      <c r="G2266" s="456"/>
      <c r="H2266" s="456"/>
    </row>
    <row r="2267" spans="1:8" ht="13.5" customHeight="1">
      <c r="A2267" s="456">
        <v>9263</v>
      </c>
      <c r="B2267" s="457"/>
      <c r="C2267" s="456"/>
      <c r="D2267" s="456">
        <f>IF(Table11[[#This Row],[Current Age]]&gt;19,"Women's",IF(E2267&gt;15,"U19",IF(E2267&gt;13,"U15",IF(E2267&gt;11,"U13",IF(E2267&gt;0,"U11",0)))))</f>
        <v>0</v>
      </c>
      <c r="E2267" s="456">
        <f>IFERROR(IF(Table11[[#This Row],[Year]]&gt;0,$E$1-Table11[[#This Row],[Year]],0),"")</f>
        <v>0</v>
      </c>
      <c r="F2267" s="456"/>
      <c r="G2267" s="456"/>
      <c r="H2267" s="456"/>
    </row>
    <row r="2268" spans="1:8" ht="13.5" customHeight="1">
      <c r="A2268" s="471">
        <v>9264</v>
      </c>
      <c r="B2268" s="540"/>
      <c r="C2268" s="471"/>
      <c r="D2268" s="456">
        <f>IF(Table11[[#This Row],[Current Age]]&gt;19,"Women's",IF(E2268&gt;15,"U19",IF(E2268&gt;13,"U15",IF(E2268&gt;11,"U13",IF(E2268&gt;0,"U11",0)))))</f>
        <v>0</v>
      </c>
      <c r="E2268" s="456">
        <f>IFERROR(IF(Table11[[#This Row],[Year]]&gt;0,$E$1-Table11[[#This Row],[Year]],0),"")</f>
        <v>0</v>
      </c>
      <c r="F2268" s="456"/>
      <c r="G2268" s="456"/>
      <c r="H2268" s="456"/>
    </row>
    <row r="2269" spans="1:8" ht="13.5" customHeight="1">
      <c r="A2269" s="456">
        <v>9265</v>
      </c>
      <c r="B2269" s="457"/>
      <c r="C2269" s="456"/>
      <c r="D2269" s="456">
        <f>IF(Table11[[#This Row],[Current Age]]&gt;19,"Women's",IF(E2269&gt;15,"U19",IF(E2269&gt;13,"U15",IF(E2269&gt;11,"U13",IF(E2269&gt;0,"U11",0)))))</f>
        <v>0</v>
      </c>
      <c r="E2269" s="456">
        <f>IFERROR(IF(Table11[[#This Row],[Year]]&gt;0,$E$1-Table11[[#This Row],[Year]],0),"")</f>
        <v>0</v>
      </c>
      <c r="F2269" s="456"/>
      <c r="G2269" s="456"/>
      <c r="H2269" s="456"/>
    </row>
    <row r="2270" spans="1:8" ht="13.5" customHeight="1">
      <c r="A2270" s="471">
        <v>9266</v>
      </c>
      <c r="B2270" s="540"/>
      <c r="C2270" s="471"/>
      <c r="D2270" s="456">
        <f>IF(Table11[[#This Row],[Current Age]]&gt;19,"Women's",IF(E2270&gt;15,"U19",IF(E2270&gt;13,"U15",IF(E2270&gt;11,"U13",IF(E2270&gt;0,"U11",0)))))</f>
        <v>0</v>
      </c>
      <c r="E2270" s="456">
        <f>IFERROR(IF(Table11[[#This Row],[Year]]&gt;0,$E$1-Table11[[#This Row],[Year]],0),"")</f>
        <v>0</v>
      </c>
      <c r="F2270" s="456"/>
      <c r="G2270" s="456"/>
      <c r="H2270" s="456"/>
    </row>
    <row r="2271" spans="1:8" ht="13.5" customHeight="1">
      <c r="A2271" s="456">
        <v>9267</v>
      </c>
      <c r="B2271" s="457"/>
      <c r="C2271" s="456"/>
      <c r="D2271" s="456">
        <f>IF(Table11[[#This Row],[Current Age]]&gt;19,"Women's",IF(E2271&gt;15,"U19",IF(E2271&gt;13,"U15",IF(E2271&gt;11,"U13",IF(E2271&gt;0,"U11",0)))))</f>
        <v>0</v>
      </c>
      <c r="E2271" s="456">
        <f>IFERROR(IF(Table11[[#This Row],[Year]]&gt;0,$E$1-Table11[[#This Row],[Year]],0),"")</f>
        <v>0</v>
      </c>
      <c r="F2271" s="456"/>
      <c r="G2271" s="456"/>
      <c r="H2271" s="456"/>
    </row>
    <row r="2272" spans="1:8" ht="13.5" customHeight="1">
      <c r="A2272" s="471">
        <v>9268</v>
      </c>
      <c r="B2272" s="540"/>
      <c r="C2272" s="471"/>
      <c r="D2272" s="456">
        <f>IF(Table11[[#This Row],[Current Age]]&gt;19,"Women's",IF(E2272&gt;15,"U19",IF(E2272&gt;13,"U15",IF(E2272&gt;11,"U13",IF(E2272&gt;0,"U11",0)))))</f>
        <v>0</v>
      </c>
      <c r="E2272" s="456">
        <f>IFERROR(IF(Table11[[#This Row],[Year]]&gt;0,$E$1-Table11[[#This Row],[Year]],0),"")</f>
        <v>0</v>
      </c>
      <c r="F2272" s="456"/>
      <c r="G2272" s="456"/>
      <c r="H2272" s="456"/>
    </row>
    <row r="2273" spans="1:8" ht="13.5" customHeight="1">
      <c r="A2273" s="456">
        <v>9269</v>
      </c>
      <c r="B2273" s="457"/>
      <c r="C2273" s="456"/>
      <c r="D2273" s="456">
        <f>IF(Table11[[#This Row],[Current Age]]&gt;19,"Women's",IF(E2273&gt;15,"U19",IF(E2273&gt;13,"U15",IF(E2273&gt;11,"U13",IF(E2273&gt;0,"U11",0)))))</f>
        <v>0</v>
      </c>
      <c r="E2273" s="456">
        <f>IFERROR(IF(Table11[[#This Row],[Year]]&gt;0,$E$1-Table11[[#This Row],[Year]],0),"")</f>
        <v>0</v>
      </c>
      <c r="F2273" s="456"/>
      <c r="G2273" s="456"/>
      <c r="H2273" s="456"/>
    </row>
    <row r="2274" spans="1:8" ht="13.5" customHeight="1">
      <c r="A2274" s="471">
        <v>9270</v>
      </c>
      <c r="B2274" s="540"/>
      <c r="C2274" s="471"/>
      <c r="D2274" s="456">
        <f>IF(Table11[[#This Row],[Current Age]]&gt;19,"Women's",IF(E2274&gt;15,"U19",IF(E2274&gt;13,"U15",IF(E2274&gt;11,"U13",IF(E2274&gt;0,"U11",0)))))</f>
        <v>0</v>
      </c>
      <c r="E2274" s="456">
        <f>IFERROR(IF(Table11[[#This Row],[Year]]&gt;0,$E$1-Table11[[#This Row],[Year]],0),"")</f>
        <v>0</v>
      </c>
      <c r="F2274" s="456"/>
      <c r="G2274" s="456"/>
      <c r="H2274" s="456"/>
    </row>
    <row r="2275" spans="1:8" ht="13.5" customHeight="1">
      <c r="A2275" s="456">
        <v>9271</v>
      </c>
      <c r="B2275" s="457"/>
      <c r="C2275" s="456"/>
      <c r="D2275" s="456">
        <f>IF(Table11[[#This Row],[Current Age]]&gt;19,"Women's",IF(E2275&gt;15,"U19",IF(E2275&gt;13,"U15",IF(E2275&gt;11,"U13",IF(E2275&gt;0,"U11",0)))))</f>
        <v>0</v>
      </c>
      <c r="E2275" s="456">
        <f>IFERROR(IF(Table11[[#This Row],[Year]]&gt;0,$E$1-Table11[[#This Row],[Year]],0),"")</f>
        <v>0</v>
      </c>
      <c r="F2275" s="456"/>
      <c r="G2275" s="456"/>
      <c r="H2275" s="456"/>
    </row>
    <row r="2276" spans="1:8" ht="13.5" customHeight="1">
      <c r="A2276" s="471">
        <v>9272</v>
      </c>
      <c r="B2276" s="540"/>
      <c r="C2276" s="471"/>
      <c r="D2276" s="456">
        <f>IF(Table11[[#This Row],[Current Age]]&gt;19,"Women's",IF(E2276&gt;15,"U19",IF(E2276&gt;13,"U15",IF(E2276&gt;11,"U13",IF(E2276&gt;0,"U11",0)))))</f>
        <v>0</v>
      </c>
      <c r="E2276" s="456">
        <f>IFERROR(IF(Table11[[#This Row],[Year]]&gt;0,$E$1-Table11[[#This Row],[Year]],0),"")</f>
        <v>0</v>
      </c>
      <c r="F2276" s="456"/>
      <c r="G2276" s="456"/>
      <c r="H2276" s="456"/>
    </row>
    <row r="2277" spans="1:8" ht="13.5" customHeight="1">
      <c r="A2277" s="456">
        <v>9273</v>
      </c>
      <c r="B2277" s="457"/>
      <c r="C2277" s="456"/>
      <c r="D2277" s="456">
        <f>IF(Table11[[#This Row],[Current Age]]&gt;19,"Women's",IF(E2277&gt;15,"U19",IF(E2277&gt;13,"U15",IF(E2277&gt;11,"U13",IF(E2277&gt;0,"U11",0)))))</f>
        <v>0</v>
      </c>
      <c r="E2277" s="456">
        <f>IFERROR(IF(Table11[[#This Row],[Year]]&gt;0,$E$1-Table11[[#This Row],[Year]],0),"")</f>
        <v>0</v>
      </c>
      <c r="F2277" s="456"/>
      <c r="G2277" s="456"/>
      <c r="H2277" s="456"/>
    </row>
    <row r="2278" spans="1:8" ht="13.5" customHeight="1">
      <c r="A2278" s="471">
        <v>9274</v>
      </c>
      <c r="B2278" s="540"/>
      <c r="C2278" s="471"/>
      <c r="D2278" s="456">
        <f>IF(Table11[[#This Row],[Current Age]]&gt;19,"Women's",IF(E2278&gt;15,"U19",IF(E2278&gt;13,"U15",IF(E2278&gt;11,"U13",IF(E2278&gt;0,"U11",0)))))</f>
        <v>0</v>
      </c>
      <c r="E2278" s="456">
        <f>IFERROR(IF(Table11[[#This Row],[Year]]&gt;0,$E$1-Table11[[#This Row],[Year]],0),"")</f>
        <v>0</v>
      </c>
      <c r="F2278" s="456"/>
      <c r="G2278" s="456"/>
      <c r="H2278" s="456"/>
    </row>
    <row r="2279" spans="1:8" ht="13.5" customHeight="1">
      <c r="A2279" s="456">
        <v>9275</v>
      </c>
      <c r="B2279" s="457"/>
      <c r="C2279" s="456"/>
      <c r="D2279" s="456">
        <f>IF(Table11[[#This Row],[Current Age]]&gt;19,"Women's",IF(E2279&gt;15,"U19",IF(E2279&gt;13,"U15",IF(E2279&gt;11,"U13",IF(E2279&gt;0,"U11",0)))))</f>
        <v>0</v>
      </c>
      <c r="E2279" s="456">
        <f>IFERROR(IF(Table11[[#This Row],[Year]]&gt;0,$E$1-Table11[[#This Row],[Year]],0),"")</f>
        <v>0</v>
      </c>
      <c r="F2279" s="456"/>
      <c r="G2279" s="456"/>
      <c r="H2279" s="456"/>
    </row>
    <row r="2280" spans="1:8" ht="13.5" customHeight="1">
      <c r="A2280" s="471">
        <v>9276</v>
      </c>
      <c r="B2280" s="540"/>
      <c r="C2280" s="471"/>
      <c r="D2280" s="456">
        <f>IF(Table11[[#This Row],[Current Age]]&gt;19,"Women's",IF(E2280&gt;15,"U19",IF(E2280&gt;13,"U15",IF(E2280&gt;11,"U13",IF(E2280&gt;0,"U11",0)))))</f>
        <v>0</v>
      </c>
      <c r="E2280" s="456">
        <f>IFERROR(IF(Table11[[#This Row],[Year]]&gt;0,$E$1-Table11[[#This Row],[Year]],0),"")</f>
        <v>0</v>
      </c>
      <c r="F2280" s="456"/>
      <c r="G2280" s="456"/>
      <c r="H2280" s="456"/>
    </row>
    <row r="2281" spans="1:8" ht="13.5" customHeight="1">
      <c r="A2281" s="456">
        <v>9277</v>
      </c>
      <c r="B2281" s="457"/>
      <c r="C2281" s="456"/>
      <c r="D2281" s="456">
        <f>IF(Table11[[#This Row],[Current Age]]&gt;19,"Women's",IF(E2281&gt;15,"U19",IF(E2281&gt;13,"U15",IF(E2281&gt;11,"U13",IF(E2281&gt;0,"U11",0)))))</f>
        <v>0</v>
      </c>
      <c r="E2281" s="456">
        <f>IFERROR(IF(Table11[[#This Row],[Year]]&gt;0,$E$1-Table11[[#This Row],[Year]],0),"")</f>
        <v>0</v>
      </c>
      <c r="F2281" s="456"/>
      <c r="G2281" s="456"/>
      <c r="H2281" s="456"/>
    </row>
    <row r="2282" spans="1:8" ht="13.5" customHeight="1">
      <c r="A2282" s="471">
        <v>9278</v>
      </c>
      <c r="B2282" s="540"/>
      <c r="C2282" s="471"/>
      <c r="D2282" s="456">
        <f>IF(Table11[[#This Row],[Current Age]]&gt;19,"Women's",IF(E2282&gt;15,"U19",IF(E2282&gt;13,"U15",IF(E2282&gt;11,"U13",IF(E2282&gt;0,"U11",0)))))</f>
        <v>0</v>
      </c>
      <c r="E2282" s="456">
        <f>IFERROR(IF(Table11[[#This Row],[Year]]&gt;0,$E$1-Table11[[#This Row],[Year]],0),"")</f>
        <v>0</v>
      </c>
      <c r="F2282" s="456"/>
      <c r="G2282" s="456"/>
      <c r="H2282" s="456"/>
    </row>
    <row r="2283" spans="1:8" ht="13.5" customHeight="1">
      <c r="A2283" s="456">
        <v>9279</v>
      </c>
      <c r="B2283" s="457"/>
      <c r="C2283" s="456"/>
      <c r="D2283" s="456">
        <f>IF(Table11[[#This Row],[Current Age]]&gt;19,"Women's",IF(E2283&gt;15,"U19",IF(E2283&gt;13,"U15",IF(E2283&gt;11,"U13",IF(E2283&gt;0,"U11",0)))))</f>
        <v>0</v>
      </c>
      <c r="E2283" s="456">
        <f>IFERROR(IF(Table11[[#This Row],[Year]]&gt;0,$E$1-Table11[[#This Row],[Year]],0),"")</f>
        <v>0</v>
      </c>
      <c r="F2283" s="456"/>
      <c r="G2283" s="456"/>
      <c r="H2283" s="456"/>
    </row>
    <row r="2284" spans="1:8" ht="13.5" customHeight="1">
      <c r="A2284" s="471">
        <v>9280</v>
      </c>
      <c r="B2284" s="540"/>
      <c r="C2284" s="471"/>
      <c r="D2284" s="456">
        <f>IF(Table11[[#This Row],[Current Age]]&gt;19,"Women's",IF(E2284&gt;15,"U19",IF(E2284&gt;13,"U15",IF(E2284&gt;11,"U13",IF(E2284&gt;0,"U11",0)))))</f>
        <v>0</v>
      </c>
      <c r="E2284" s="456">
        <f>IFERROR(IF(Table11[[#This Row],[Year]]&gt;0,$E$1-Table11[[#This Row],[Year]],0),"")</f>
        <v>0</v>
      </c>
      <c r="F2284" s="456"/>
      <c r="G2284" s="456"/>
      <c r="H2284" s="456"/>
    </row>
    <row r="2285" spans="1:8" ht="13.5" customHeight="1">
      <c r="A2285" s="456">
        <v>9281</v>
      </c>
      <c r="B2285" s="457"/>
      <c r="C2285" s="456"/>
      <c r="D2285" s="456">
        <f>IF(Table11[[#This Row],[Current Age]]&gt;19,"Women's",IF(E2285&gt;15,"U19",IF(E2285&gt;13,"U15",IF(E2285&gt;11,"U13",IF(E2285&gt;0,"U11",0)))))</f>
        <v>0</v>
      </c>
      <c r="E2285" s="456">
        <f>IFERROR(IF(Table11[[#This Row],[Year]]&gt;0,$E$1-Table11[[#This Row],[Year]],0),"")</f>
        <v>0</v>
      </c>
      <c r="F2285" s="456"/>
      <c r="G2285" s="456"/>
      <c r="H2285" s="456"/>
    </row>
    <row r="2286" spans="1:8" ht="13.5" customHeight="1">
      <c r="A2286" s="471">
        <v>9282</v>
      </c>
      <c r="B2286" s="540"/>
      <c r="C2286" s="471"/>
      <c r="D2286" s="456">
        <f>IF(Table11[[#This Row],[Current Age]]&gt;19,"Women's",IF(E2286&gt;15,"U19",IF(E2286&gt;13,"U15",IF(E2286&gt;11,"U13",IF(E2286&gt;0,"U11",0)))))</f>
        <v>0</v>
      </c>
      <c r="E2286" s="456">
        <f>IFERROR(IF(Table11[[#This Row],[Year]]&gt;0,$E$1-Table11[[#This Row],[Year]],0),"")</f>
        <v>0</v>
      </c>
      <c r="F2286" s="456"/>
      <c r="G2286" s="456"/>
      <c r="H2286" s="456"/>
    </row>
    <row r="2287" spans="1:8" ht="13.5" customHeight="1">
      <c r="A2287" s="456">
        <v>9283</v>
      </c>
      <c r="B2287" s="457"/>
      <c r="C2287" s="456"/>
      <c r="D2287" s="456">
        <f>IF(Table11[[#This Row],[Current Age]]&gt;19,"Women's",IF(E2287&gt;15,"U19",IF(E2287&gt;13,"U15",IF(E2287&gt;11,"U13",IF(E2287&gt;0,"U11",0)))))</f>
        <v>0</v>
      </c>
      <c r="E2287" s="456">
        <f>IFERROR(IF(Table11[[#This Row],[Year]]&gt;0,$E$1-Table11[[#This Row],[Year]],0),"")</f>
        <v>0</v>
      </c>
      <c r="F2287" s="456"/>
      <c r="G2287" s="456"/>
      <c r="H2287" s="456"/>
    </row>
    <row r="2288" spans="1:8" ht="13.5" customHeight="1">
      <c r="A2288" s="471">
        <v>9284</v>
      </c>
      <c r="B2288" s="540"/>
      <c r="C2288" s="471"/>
      <c r="D2288" s="456">
        <f>IF(Table11[[#This Row],[Current Age]]&gt;19,"Women's",IF(E2288&gt;15,"U19",IF(E2288&gt;13,"U15",IF(E2288&gt;11,"U13",IF(E2288&gt;0,"U11",0)))))</f>
        <v>0</v>
      </c>
      <c r="E2288" s="456">
        <f>IFERROR(IF(Table11[[#This Row],[Year]]&gt;0,$E$1-Table11[[#This Row],[Year]],0),"")</f>
        <v>0</v>
      </c>
      <c r="F2288" s="456"/>
      <c r="G2288" s="456"/>
      <c r="H2288" s="456"/>
    </row>
    <row r="2289" spans="1:8" ht="13.5" customHeight="1">
      <c r="A2289" s="456">
        <v>9285</v>
      </c>
      <c r="B2289" s="457"/>
      <c r="C2289" s="456"/>
      <c r="D2289" s="456">
        <f>IF(Table11[[#This Row],[Current Age]]&gt;19,"Women's",IF(E2289&gt;15,"U19",IF(E2289&gt;13,"U15",IF(E2289&gt;11,"U13",IF(E2289&gt;0,"U11",0)))))</f>
        <v>0</v>
      </c>
      <c r="E2289" s="456">
        <f>IFERROR(IF(Table11[[#This Row],[Year]]&gt;0,$E$1-Table11[[#This Row],[Year]],0),"")</f>
        <v>0</v>
      </c>
      <c r="F2289" s="456"/>
      <c r="G2289" s="456"/>
      <c r="H2289" s="456"/>
    </row>
    <row r="2290" spans="1:8" ht="13.5" customHeight="1">
      <c r="A2290" s="471">
        <v>9286</v>
      </c>
      <c r="B2290" s="540"/>
      <c r="C2290" s="471"/>
      <c r="D2290" s="456">
        <f>IF(Table11[[#This Row],[Current Age]]&gt;19,"Women's",IF(E2290&gt;15,"U19",IF(E2290&gt;13,"U15",IF(E2290&gt;11,"U13",IF(E2290&gt;0,"U11",0)))))</f>
        <v>0</v>
      </c>
      <c r="E2290" s="456">
        <f>IFERROR(IF(Table11[[#This Row],[Year]]&gt;0,$E$1-Table11[[#This Row],[Year]],0),"")</f>
        <v>0</v>
      </c>
      <c r="F2290" s="456"/>
      <c r="G2290" s="456"/>
      <c r="H2290" s="456"/>
    </row>
    <row r="2291" spans="1:8" ht="13.5" customHeight="1">
      <c r="A2291" s="456">
        <v>9287</v>
      </c>
      <c r="B2291" s="457"/>
      <c r="C2291" s="456"/>
      <c r="D2291" s="456">
        <f>IF(Table11[[#This Row],[Current Age]]&gt;19,"Women's",IF(E2291&gt;15,"U19",IF(E2291&gt;13,"U15",IF(E2291&gt;11,"U13",IF(E2291&gt;0,"U11",0)))))</f>
        <v>0</v>
      </c>
      <c r="E2291" s="456">
        <f>IFERROR(IF(Table11[[#This Row],[Year]]&gt;0,$E$1-Table11[[#This Row],[Year]],0),"")</f>
        <v>0</v>
      </c>
      <c r="F2291" s="456"/>
      <c r="G2291" s="456"/>
      <c r="H2291" s="456"/>
    </row>
    <row r="2292" spans="1:8" ht="13.5" customHeight="1">
      <c r="A2292" s="471">
        <v>9288</v>
      </c>
      <c r="B2292" s="540"/>
      <c r="C2292" s="471"/>
      <c r="D2292" s="456">
        <f>IF(Table11[[#This Row],[Current Age]]&gt;19,"Women's",IF(E2292&gt;15,"U19",IF(E2292&gt;13,"U15",IF(E2292&gt;11,"U13",IF(E2292&gt;0,"U11",0)))))</f>
        <v>0</v>
      </c>
      <c r="E2292" s="456">
        <f>IFERROR(IF(Table11[[#This Row],[Year]]&gt;0,$E$1-Table11[[#This Row],[Year]],0),"")</f>
        <v>0</v>
      </c>
      <c r="F2292" s="456"/>
      <c r="G2292" s="456"/>
      <c r="H2292" s="456"/>
    </row>
    <row r="2293" spans="1:8" ht="13.5" customHeight="1">
      <c r="A2293" s="456">
        <v>9289</v>
      </c>
      <c r="B2293" s="457"/>
      <c r="C2293" s="456"/>
      <c r="D2293" s="456">
        <f>IF(Table11[[#This Row],[Current Age]]&gt;19,"Women's",IF(E2293&gt;15,"U19",IF(E2293&gt;13,"U15",IF(E2293&gt;11,"U13",IF(E2293&gt;0,"U11",0)))))</f>
        <v>0</v>
      </c>
      <c r="E2293" s="456">
        <f>IFERROR(IF(Table11[[#This Row],[Year]]&gt;0,$E$1-Table11[[#This Row],[Year]],0),"")</f>
        <v>0</v>
      </c>
      <c r="F2293" s="456"/>
      <c r="G2293" s="456"/>
      <c r="H2293" s="456"/>
    </row>
    <row r="2294" spans="1:8" ht="13.5" customHeight="1">
      <c r="A2294" s="471">
        <v>9290</v>
      </c>
      <c r="B2294" s="540"/>
      <c r="C2294" s="471"/>
      <c r="D2294" s="456">
        <f>IF(Table11[[#This Row],[Current Age]]&gt;19,"Women's",IF(E2294&gt;15,"U19",IF(E2294&gt;13,"U15",IF(E2294&gt;11,"U13",IF(E2294&gt;0,"U11",0)))))</f>
        <v>0</v>
      </c>
      <c r="E2294" s="456">
        <f>IFERROR(IF(Table11[[#This Row],[Year]]&gt;0,$E$1-Table11[[#This Row],[Year]],0),"")</f>
        <v>0</v>
      </c>
      <c r="F2294" s="456"/>
      <c r="G2294" s="456"/>
      <c r="H2294" s="456"/>
    </row>
    <row r="2295" spans="1:8" ht="13.5" customHeight="1">
      <c r="A2295" s="456">
        <v>9291</v>
      </c>
      <c r="B2295" s="457"/>
      <c r="C2295" s="456"/>
      <c r="D2295" s="456">
        <f>IF(Table11[[#This Row],[Current Age]]&gt;19,"Women's",IF(E2295&gt;15,"U19",IF(E2295&gt;13,"U15",IF(E2295&gt;11,"U13",IF(E2295&gt;0,"U11",0)))))</f>
        <v>0</v>
      </c>
      <c r="E2295" s="456">
        <f>IFERROR(IF(Table11[[#This Row],[Year]]&gt;0,$E$1-Table11[[#This Row],[Year]],0),"")</f>
        <v>0</v>
      </c>
      <c r="F2295" s="456"/>
      <c r="G2295" s="456"/>
      <c r="H2295" s="456"/>
    </row>
    <row r="2296" spans="1:8" ht="13.5" customHeight="1">
      <c r="A2296" s="471">
        <v>9292</v>
      </c>
      <c r="B2296" s="540"/>
      <c r="C2296" s="471"/>
      <c r="D2296" s="456">
        <f>IF(Table11[[#This Row],[Current Age]]&gt;19,"Women's",IF(E2296&gt;15,"U19",IF(E2296&gt;13,"U15",IF(E2296&gt;11,"U13",IF(E2296&gt;0,"U11",0)))))</f>
        <v>0</v>
      </c>
      <c r="E2296" s="456">
        <f>IFERROR(IF(Table11[[#This Row],[Year]]&gt;0,$E$1-Table11[[#This Row],[Year]],0),"")</f>
        <v>0</v>
      </c>
      <c r="F2296" s="456"/>
      <c r="G2296" s="456"/>
      <c r="H2296" s="456"/>
    </row>
    <row r="2297" spans="1:8" ht="13.5" customHeight="1">
      <c r="A2297" s="456">
        <v>9293</v>
      </c>
      <c r="B2297" s="457"/>
      <c r="C2297" s="456"/>
      <c r="D2297" s="456">
        <f>IF(Table11[[#This Row],[Current Age]]&gt;19,"Women's",IF(E2297&gt;15,"U19",IF(E2297&gt;13,"U15",IF(E2297&gt;11,"U13",IF(E2297&gt;0,"U11",0)))))</f>
        <v>0</v>
      </c>
      <c r="E2297" s="456">
        <f>IFERROR(IF(Table11[[#This Row],[Year]]&gt;0,$E$1-Table11[[#This Row],[Year]],0),"")</f>
        <v>0</v>
      </c>
      <c r="F2297" s="456"/>
      <c r="G2297" s="456"/>
      <c r="H2297" s="456"/>
    </row>
    <row r="2298" spans="1:8" ht="13.5" customHeight="1">
      <c r="A2298" s="471">
        <v>9294</v>
      </c>
      <c r="B2298" s="540"/>
      <c r="C2298" s="471"/>
      <c r="D2298" s="456">
        <f>IF(Table11[[#This Row],[Current Age]]&gt;19,"Women's",IF(E2298&gt;15,"U19",IF(E2298&gt;13,"U15",IF(E2298&gt;11,"U13",IF(E2298&gt;0,"U11",0)))))</f>
        <v>0</v>
      </c>
      <c r="E2298" s="456">
        <f>IFERROR(IF(Table11[[#This Row],[Year]]&gt;0,$E$1-Table11[[#This Row],[Year]],0),"")</f>
        <v>0</v>
      </c>
      <c r="F2298" s="456"/>
      <c r="G2298" s="456"/>
      <c r="H2298" s="456"/>
    </row>
    <row r="2299" spans="1:8" ht="13.5" customHeight="1">
      <c r="A2299" s="456">
        <v>9295</v>
      </c>
      <c r="B2299" s="457"/>
      <c r="C2299" s="456"/>
      <c r="D2299" s="456">
        <f>IF(Table11[[#This Row],[Current Age]]&gt;19,"Women's",IF(E2299&gt;15,"U19",IF(E2299&gt;13,"U15",IF(E2299&gt;11,"U13",IF(E2299&gt;0,"U11",0)))))</f>
        <v>0</v>
      </c>
      <c r="E2299" s="456">
        <f>IFERROR(IF(Table11[[#This Row],[Year]]&gt;0,$E$1-Table11[[#This Row],[Year]],0),"")</f>
        <v>0</v>
      </c>
      <c r="F2299" s="456"/>
      <c r="G2299" s="456"/>
      <c r="H2299" s="456"/>
    </row>
    <row r="2300" spans="1:8" ht="13.5" customHeight="1">
      <c r="A2300" s="471">
        <v>9296</v>
      </c>
      <c r="B2300" s="540"/>
      <c r="C2300" s="471"/>
      <c r="D2300" s="456">
        <f>IF(Table11[[#This Row],[Current Age]]&gt;19,"Women's",IF(E2300&gt;15,"U19",IF(E2300&gt;13,"U15",IF(E2300&gt;11,"U13",IF(E2300&gt;0,"U11",0)))))</f>
        <v>0</v>
      </c>
      <c r="E2300" s="456">
        <f>IFERROR(IF(Table11[[#This Row],[Year]]&gt;0,$E$1-Table11[[#This Row],[Year]],0),"")</f>
        <v>0</v>
      </c>
      <c r="F2300" s="456"/>
      <c r="G2300" s="456"/>
      <c r="H2300" s="456"/>
    </row>
    <row r="2301" spans="1:8" ht="13.5" customHeight="1">
      <c r="A2301" s="456">
        <v>9297</v>
      </c>
      <c r="B2301" s="457"/>
      <c r="C2301" s="456"/>
      <c r="D2301" s="456">
        <f>IF(Table11[[#This Row],[Current Age]]&gt;19,"Women's",IF(E2301&gt;15,"U19",IF(E2301&gt;13,"U15",IF(E2301&gt;11,"U13",IF(E2301&gt;0,"U11",0)))))</f>
        <v>0</v>
      </c>
      <c r="E2301" s="456">
        <f>IFERROR(IF(Table11[[#This Row],[Year]]&gt;0,$E$1-Table11[[#This Row],[Year]],0),"")</f>
        <v>0</v>
      </c>
      <c r="F2301" s="456"/>
      <c r="G2301" s="456"/>
      <c r="H2301" s="456"/>
    </row>
    <row r="2302" spans="1:8" ht="13.5" customHeight="1">
      <c r="A2302" s="471">
        <v>9298</v>
      </c>
      <c r="B2302" s="540"/>
      <c r="C2302" s="471"/>
      <c r="D2302" s="456">
        <f>IF(Table11[[#This Row],[Current Age]]&gt;19,"Women's",IF(E2302&gt;15,"U19",IF(E2302&gt;13,"U15",IF(E2302&gt;11,"U13",IF(E2302&gt;0,"U11",0)))))</f>
        <v>0</v>
      </c>
      <c r="E2302" s="456">
        <f>IFERROR(IF(Table11[[#This Row],[Year]]&gt;0,$E$1-Table11[[#This Row],[Year]],0),"")</f>
        <v>0</v>
      </c>
      <c r="F2302" s="456"/>
      <c r="G2302" s="456"/>
      <c r="H2302" s="456"/>
    </row>
    <row r="2303" spans="1:8" ht="13.5" customHeight="1">
      <c r="A2303" s="456">
        <v>9299</v>
      </c>
      <c r="B2303" s="457"/>
      <c r="C2303" s="456"/>
      <c r="D2303" s="456">
        <f>IF(Table11[[#This Row],[Current Age]]&gt;19,"Women's",IF(E2303&gt;15,"U19",IF(E2303&gt;13,"U15",IF(E2303&gt;11,"U13",IF(E2303&gt;0,"U11",0)))))</f>
        <v>0</v>
      </c>
      <c r="E2303" s="456">
        <f>IFERROR(IF(Table11[[#This Row],[Year]]&gt;0,$E$1-Table11[[#This Row],[Year]],0),"")</f>
        <v>0</v>
      </c>
      <c r="F2303" s="456"/>
      <c r="G2303" s="456"/>
      <c r="H2303" s="456"/>
    </row>
    <row r="2304" spans="1:8" ht="13.5" customHeight="1">
      <c r="A2304" s="471">
        <v>9300</v>
      </c>
      <c r="B2304" s="540"/>
      <c r="C2304" s="471"/>
      <c r="D2304" s="456">
        <f>IF(Table11[[#This Row],[Current Age]]&gt;19,"Women's",IF(E2304&gt;15,"U19",IF(E2304&gt;13,"U15",IF(E2304&gt;11,"U13",IF(E2304&gt;0,"U11",0)))))</f>
        <v>0</v>
      </c>
      <c r="E2304" s="456">
        <f>IFERROR(IF(Table11[[#This Row],[Year]]&gt;0,$E$1-Table11[[#This Row],[Year]],0),"")</f>
        <v>0</v>
      </c>
      <c r="F2304" s="456"/>
      <c r="G2304" s="456"/>
      <c r="H2304" s="456"/>
    </row>
    <row r="2305" spans="1:8" ht="13.5" customHeight="1">
      <c r="A2305" s="456">
        <v>9301</v>
      </c>
      <c r="B2305" s="457"/>
      <c r="C2305" s="456"/>
      <c r="D2305" s="456">
        <f>IF(Table11[[#This Row],[Current Age]]&gt;19,"Women's",IF(E2305&gt;15,"U19",IF(E2305&gt;13,"U15",IF(E2305&gt;11,"U13",IF(E2305&gt;0,"U11",0)))))</f>
        <v>0</v>
      </c>
      <c r="E2305" s="456">
        <f>IFERROR(IF(Table11[[#This Row],[Year]]&gt;0,$E$1-Table11[[#This Row],[Year]],0),"")</f>
        <v>0</v>
      </c>
      <c r="F2305" s="456"/>
      <c r="G2305" s="456"/>
      <c r="H2305" s="456"/>
    </row>
    <row r="2306" spans="1:8" ht="13.5" customHeight="1">
      <c r="A2306" s="471">
        <v>9302</v>
      </c>
      <c r="B2306" s="540"/>
      <c r="C2306" s="471"/>
      <c r="D2306" s="456">
        <f>IF(Table11[[#This Row],[Current Age]]&gt;19,"Women's",IF(E2306&gt;15,"U19",IF(E2306&gt;13,"U15",IF(E2306&gt;11,"U13",IF(E2306&gt;0,"U11",0)))))</f>
        <v>0</v>
      </c>
      <c r="E2306" s="456">
        <f>IFERROR(IF(Table11[[#This Row],[Year]]&gt;0,$E$1-Table11[[#This Row],[Year]],0),"")</f>
        <v>0</v>
      </c>
      <c r="F2306" s="456"/>
      <c r="G2306" s="456"/>
      <c r="H2306" s="456"/>
    </row>
    <row r="2307" spans="1:8" ht="13.5" customHeight="1">
      <c r="A2307" s="456">
        <v>9303</v>
      </c>
      <c r="B2307" s="457"/>
      <c r="C2307" s="456"/>
      <c r="D2307" s="456">
        <f>IF(Table11[[#This Row],[Current Age]]&gt;19,"Women's",IF(E2307&gt;15,"U19",IF(E2307&gt;13,"U15",IF(E2307&gt;11,"U13",IF(E2307&gt;0,"U11",0)))))</f>
        <v>0</v>
      </c>
      <c r="E2307" s="456">
        <f>IFERROR(IF(Table11[[#This Row],[Year]]&gt;0,$E$1-Table11[[#This Row],[Year]],0),"")</f>
        <v>0</v>
      </c>
      <c r="F2307" s="456"/>
      <c r="G2307" s="456"/>
      <c r="H2307" s="456"/>
    </row>
    <row r="2308" spans="1:8" ht="13.5" customHeight="1">
      <c r="A2308" s="471">
        <v>9304</v>
      </c>
      <c r="B2308" s="540"/>
      <c r="C2308" s="471"/>
      <c r="D2308" s="456">
        <f>IF(Table11[[#This Row],[Current Age]]&gt;19,"Women's",IF(E2308&gt;15,"U19",IF(E2308&gt;13,"U15",IF(E2308&gt;11,"U13",IF(E2308&gt;0,"U11",0)))))</f>
        <v>0</v>
      </c>
      <c r="E2308" s="456">
        <f>IFERROR(IF(Table11[[#This Row],[Year]]&gt;0,$E$1-Table11[[#This Row],[Year]],0),"")</f>
        <v>0</v>
      </c>
      <c r="F2308" s="456"/>
      <c r="G2308" s="456"/>
      <c r="H2308" s="456"/>
    </row>
    <row r="2309" spans="1:8" ht="13.5" customHeight="1">
      <c r="A2309" s="456">
        <v>9305</v>
      </c>
      <c r="B2309" s="457"/>
      <c r="C2309" s="456"/>
      <c r="D2309" s="456">
        <f>IF(Table11[[#This Row],[Current Age]]&gt;19,"Women's",IF(E2309&gt;15,"U19",IF(E2309&gt;13,"U15",IF(E2309&gt;11,"U13",IF(E2309&gt;0,"U11",0)))))</f>
        <v>0</v>
      </c>
      <c r="E2309" s="456">
        <f>IFERROR(IF(Table11[[#This Row],[Year]]&gt;0,$E$1-Table11[[#This Row],[Year]],0),"")</f>
        <v>0</v>
      </c>
      <c r="F2309" s="456"/>
      <c r="G2309" s="456"/>
      <c r="H2309" s="456"/>
    </row>
    <row r="2310" spans="1:8" ht="13.5" customHeight="1">
      <c r="A2310" s="471">
        <v>9306</v>
      </c>
      <c r="B2310" s="540"/>
      <c r="C2310" s="471"/>
      <c r="D2310" s="456">
        <f>IF(Table11[[#This Row],[Current Age]]&gt;19,"Women's",IF(E2310&gt;15,"U19",IF(E2310&gt;13,"U15",IF(E2310&gt;11,"U13",IF(E2310&gt;0,"U11",0)))))</f>
        <v>0</v>
      </c>
      <c r="E2310" s="456">
        <f>IFERROR(IF(Table11[[#This Row],[Year]]&gt;0,$E$1-Table11[[#This Row],[Year]],0),"")</f>
        <v>0</v>
      </c>
      <c r="F2310" s="456"/>
      <c r="G2310" s="456"/>
      <c r="H2310" s="456"/>
    </row>
    <row r="2311" spans="1:8" ht="13.5" customHeight="1">
      <c r="A2311" s="456">
        <v>9307</v>
      </c>
      <c r="B2311" s="457"/>
      <c r="C2311" s="456"/>
      <c r="D2311" s="456">
        <f>IF(Table11[[#This Row],[Current Age]]&gt;19,"Women's",IF(E2311&gt;15,"U19",IF(E2311&gt;13,"U15",IF(E2311&gt;11,"U13",IF(E2311&gt;0,"U11",0)))))</f>
        <v>0</v>
      </c>
      <c r="E2311" s="456">
        <f>IFERROR(IF(Table11[[#This Row],[Year]]&gt;0,$E$1-Table11[[#This Row],[Year]],0),"")</f>
        <v>0</v>
      </c>
      <c r="F2311" s="456"/>
      <c r="G2311" s="456"/>
      <c r="H2311" s="456"/>
    </row>
    <row r="2312" spans="1:8" ht="13.5" customHeight="1">
      <c r="A2312" s="471">
        <v>9308</v>
      </c>
      <c r="B2312" s="540"/>
      <c r="C2312" s="471"/>
      <c r="D2312" s="456">
        <f>IF(Table11[[#This Row],[Current Age]]&gt;19,"Women's",IF(E2312&gt;15,"U19",IF(E2312&gt;13,"U15",IF(E2312&gt;11,"U13",IF(E2312&gt;0,"U11",0)))))</f>
        <v>0</v>
      </c>
      <c r="E2312" s="456">
        <f>IFERROR(IF(Table11[[#This Row],[Year]]&gt;0,$E$1-Table11[[#This Row],[Year]],0),"")</f>
        <v>0</v>
      </c>
      <c r="F2312" s="456"/>
      <c r="G2312" s="456"/>
      <c r="H2312" s="456"/>
    </row>
    <row r="2313" spans="1:8" ht="13.5" customHeight="1">
      <c r="A2313" s="456">
        <v>9309</v>
      </c>
      <c r="B2313" s="457"/>
      <c r="C2313" s="456"/>
      <c r="D2313" s="456">
        <f>IF(Table11[[#This Row],[Current Age]]&gt;19,"Women's",IF(E2313&gt;15,"U19",IF(E2313&gt;13,"U15",IF(E2313&gt;11,"U13",IF(E2313&gt;0,"U11",0)))))</f>
        <v>0</v>
      </c>
      <c r="E2313" s="456">
        <f>IFERROR(IF(Table11[[#This Row],[Year]]&gt;0,$E$1-Table11[[#This Row],[Year]],0),"")</f>
        <v>0</v>
      </c>
      <c r="F2313" s="456"/>
      <c r="G2313" s="456"/>
      <c r="H2313" s="456"/>
    </row>
    <row r="2314" spans="1:8" ht="13.5" customHeight="1">
      <c r="A2314" s="471">
        <v>9310</v>
      </c>
      <c r="B2314" s="540"/>
      <c r="C2314" s="471"/>
      <c r="D2314" s="456">
        <f>IF(Table11[[#This Row],[Current Age]]&gt;19,"Women's",IF(E2314&gt;15,"U19",IF(E2314&gt;13,"U15",IF(E2314&gt;11,"U13",IF(E2314&gt;0,"U11",0)))))</f>
        <v>0</v>
      </c>
      <c r="E2314" s="456">
        <f>IFERROR(IF(Table11[[#This Row],[Year]]&gt;0,$E$1-Table11[[#This Row],[Year]],0),"")</f>
        <v>0</v>
      </c>
      <c r="F2314" s="456"/>
      <c r="G2314" s="456"/>
      <c r="H2314" s="456"/>
    </row>
    <row r="2315" spans="1:8" ht="13.5" customHeight="1">
      <c r="A2315" s="456">
        <v>9311</v>
      </c>
      <c r="B2315" s="457"/>
      <c r="C2315" s="456"/>
      <c r="D2315" s="456">
        <f>IF(Table11[[#This Row],[Current Age]]&gt;19,"Women's",IF(E2315&gt;15,"U19",IF(E2315&gt;13,"U15",IF(E2315&gt;11,"U13",IF(E2315&gt;0,"U11",0)))))</f>
        <v>0</v>
      </c>
      <c r="E2315" s="456">
        <f>IFERROR(IF(Table11[[#This Row],[Year]]&gt;0,$E$1-Table11[[#This Row],[Year]],0),"")</f>
        <v>0</v>
      </c>
      <c r="F2315" s="456"/>
      <c r="G2315" s="456"/>
      <c r="H2315" s="456"/>
    </row>
    <row r="2316" spans="1:8" ht="13.5" customHeight="1">
      <c r="A2316" s="471">
        <v>9312</v>
      </c>
      <c r="B2316" s="540"/>
      <c r="C2316" s="471"/>
      <c r="D2316" s="456">
        <f>IF(Table11[[#This Row],[Current Age]]&gt;19,"Women's",IF(E2316&gt;15,"U19",IF(E2316&gt;13,"U15",IF(E2316&gt;11,"U13",IF(E2316&gt;0,"U11",0)))))</f>
        <v>0</v>
      </c>
      <c r="E2316" s="456">
        <f>IFERROR(IF(Table11[[#This Row],[Year]]&gt;0,$E$1-Table11[[#This Row],[Year]],0),"")</f>
        <v>0</v>
      </c>
      <c r="F2316" s="456"/>
      <c r="G2316" s="456"/>
      <c r="H2316" s="456"/>
    </row>
    <row r="2317" spans="1:8" ht="13.5" customHeight="1">
      <c r="A2317" s="456">
        <v>9313</v>
      </c>
      <c r="B2317" s="457"/>
      <c r="C2317" s="456"/>
      <c r="D2317" s="456">
        <f>IF(Table11[[#This Row],[Current Age]]&gt;19,"Women's",IF(E2317&gt;15,"U19",IF(E2317&gt;13,"U15",IF(E2317&gt;11,"U13",IF(E2317&gt;0,"U11",0)))))</f>
        <v>0</v>
      </c>
      <c r="E2317" s="456">
        <f>IFERROR(IF(Table11[[#This Row],[Year]]&gt;0,$E$1-Table11[[#This Row],[Year]],0),"")</f>
        <v>0</v>
      </c>
      <c r="F2317" s="456"/>
      <c r="G2317" s="456"/>
      <c r="H2317" s="456"/>
    </row>
    <row r="2318" spans="1:8" ht="13.5" customHeight="1">
      <c r="A2318" s="471">
        <v>9314</v>
      </c>
      <c r="B2318" s="540"/>
      <c r="C2318" s="471"/>
      <c r="D2318" s="456">
        <f>IF(Table11[[#This Row],[Current Age]]&gt;19,"Women's",IF(E2318&gt;15,"U19",IF(E2318&gt;13,"U15",IF(E2318&gt;11,"U13",IF(E2318&gt;0,"U11",0)))))</f>
        <v>0</v>
      </c>
      <c r="E2318" s="456">
        <f>IFERROR(IF(Table11[[#This Row],[Year]]&gt;0,$E$1-Table11[[#This Row],[Year]],0),"")</f>
        <v>0</v>
      </c>
      <c r="F2318" s="456"/>
      <c r="G2318" s="456"/>
      <c r="H2318" s="456"/>
    </row>
    <row r="2319" spans="1:8" ht="13.5" customHeight="1">
      <c r="A2319" s="456">
        <v>9315</v>
      </c>
      <c r="B2319" s="457"/>
      <c r="C2319" s="456"/>
      <c r="D2319" s="456">
        <f>IF(Table11[[#This Row],[Current Age]]&gt;19,"Women's",IF(E2319&gt;15,"U19",IF(E2319&gt;13,"U15",IF(E2319&gt;11,"U13",IF(E2319&gt;0,"U11",0)))))</f>
        <v>0</v>
      </c>
      <c r="E2319" s="456">
        <f>IFERROR(IF(Table11[[#This Row],[Year]]&gt;0,$E$1-Table11[[#This Row],[Year]],0),"")</f>
        <v>0</v>
      </c>
      <c r="F2319" s="456"/>
      <c r="G2319" s="456"/>
      <c r="H2319" s="456"/>
    </row>
    <row r="2320" spans="1:8" ht="13.5" customHeight="1">
      <c r="A2320" s="471">
        <v>9316</v>
      </c>
      <c r="B2320" s="540"/>
      <c r="C2320" s="471"/>
      <c r="D2320" s="456">
        <f>IF(Table11[[#This Row],[Current Age]]&gt;19,"Women's",IF(E2320&gt;15,"U19",IF(E2320&gt;13,"U15",IF(E2320&gt;11,"U13",IF(E2320&gt;0,"U11",0)))))</f>
        <v>0</v>
      </c>
      <c r="E2320" s="456">
        <f>IFERROR(IF(Table11[[#This Row],[Year]]&gt;0,$E$1-Table11[[#This Row],[Year]],0),"")</f>
        <v>0</v>
      </c>
      <c r="F2320" s="456"/>
      <c r="G2320" s="456"/>
      <c r="H2320" s="456"/>
    </row>
    <row r="2321" spans="1:8" ht="13.5" customHeight="1">
      <c r="A2321" s="456">
        <v>9317</v>
      </c>
      <c r="B2321" s="457"/>
      <c r="C2321" s="456"/>
      <c r="D2321" s="456">
        <f>IF(Table11[[#This Row],[Current Age]]&gt;19,"Women's",IF(E2321&gt;15,"U19",IF(E2321&gt;13,"U15",IF(E2321&gt;11,"U13",IF(E2321&gt;0,"U11",0)))))</f>
        <v>0</v>
      </c>
      <c r="E2321" s="456">
        <f>IFERROR(IF(Table11[[#This Row],[Year]]&gt;0,$E$1-Table11[[#This Row],[Year]],0),"")</f>
        <v>0</v>
      </c>
      <c r="F2321" s="456"/>
      <c r="G2321" s="456"/>
      <c r="H2321" s="456"/>
    </row>
    <row r="2322" spans="1:8" ht="13.5" customHeight="1">
      <c r="A2322" s="471">
        <v>9318</v>
      </c>
      <c r="B2322" s="540"/>
      <c r="C2322" s="471"/>
      <c r="D2322" s="456">
        <f>IF(Table11[[#This Row],[Current Age]]&gt;19,"Women's",IF(E2322&gt;15,"U19",IF(E2322&gt;13,"U15",IF(E2322&gt;11,"U13",IF(E2322&gt;0,"U11",0)))))</f>
        <v>0</v>
      </c>
      <c r="E2322" s="456">
        <f>IFERROR(IF(Table11[[#This Row],[Year]]&gt;0,$E$1-Table11[[#This Row],[Year]],0),"")</f>
        <v>0</v>
      </c>
      <c r="F2322" s="456"/>
      <c r="G2322" s="456"/>
      <c r="H2322" s="456"/>
    </row>
    <row r="2323" spans="1:8" ht="13.5" customHeight="1">
      <c r="A2323" s="456">
        <v>9319</v>
      </c>
      <c r="B2323" s="457"/>
      <c r="C2323" s="456"/>
      <c r="D2323" s="456">
        <f>IF(Table11[[#This Row],[Current Age]]&gt;19,"Women's",IF(E2323&gt;15,"U19",IF(E2323&gt;13,"U15",IF(E2323&gt;11,"U13",IF(E2323&gt;0,"U11",0)))))</f>
        <v>0</v>
      </c>
      <c r="E2323" s="456">
        <f>IFERROR(IF(Table11[[#This Row],[Year]]&gt;0,$E$1-Table11[[#This Row],[Year]],0),"")</f>
        <v>0</v>
      </c>
      <c r="F2323" s="456"/>
      <c r="G2323" s="456"/>
      <c r="H2323" s="456"/>
    </row>
    <row r="2324" spans="1:8" ht="13.5" customHeight="1">
      <c r="A2324" s="471">
        <v>9320</v>
      </c>
      <c r="B2324" s="540"/>
      <c r="C2324" s="471"/>
      <c r="D2324" s="456">
        <f>IF(Table11[[#This Row],[Current Age]]&gt;19,"Women's",IF(E2324&gt;15,"U19",IF(E2324&gt;13,"U15",IF(E2324&gt;11,"U13",IF(E2324&gt;0,"U11",0)))))</f>
        <v>0</v>
      </c>
      <c r="E2324" s="456">
        <f>IFERROR(IF(Table11[[#This Row],[Year]]&gt;0,$E$1-Table11[[#This Row],[Year]],0),"")</f>
        <v>0</v>
      </c>
      <c r="F2324" s="456"/>
      <c r="G2324" s="456"/>
      <c r="H2324" s="456"/>
    </row>
    <row r="2325" spans="1:8" ht="13.5" customHeight="1">
      <c r="A2325" s="456">
        <v>9321</v>
      </c>
      <c r="B2325" s="457"/>
      <c r="C2325" s="456"/>
      <c r="D2325" s="456">
        <f>IF(Table11[[#This Row],[Current Age]]&gt;19,"Women's",IF(E2325&gt;15,"U19",IF(E2325&gt;13,"U15",IF(E2325&gt;11,"U13",IF(E2325&gt;0,"U11",0)))))</f>
        <v>0</v>
      </c>
      <c r="E2325" s="456">
        <f>IFERROR(IF(Table11[[#This Row],[Year]]&gt;0,$E$1-Table11[[#This Row],[Year]],0),"")</f>
        <v>0</v>
      </c>
      <c r="F2325" s="456"/>
      <c r="G2325" s="456"/>
      <c r="H2325" s="456"/>
    </row>
    <row r="2326" spans="1:8" ht="13.5" customHeight="1">
      <c r="A2326" s="471">
        <v>9322</v>
      </c>
      <c r="B2326" s="540"/>
      <c r="C2326" s="471"/>
      <c r="D2326" s="456">
        <f>IF(Table11[[#This Row],[Current Age]]&gt;19,"Women's",IF(E2326&gt;15,"U19",IF(E2326&gt;13,"U15",IF(E2326&gt;11,"U13",IF(E2326&gt;0,"U11",0)))))</f>
        <v>0</v>
      </c>
      <c r="E2326" s="456">
        <f>IFERROR(IF(Table11[[#This Row],[Year]]&gt;0,$E$1-Table11[[#This Row],[Year]],0),"")</f>
        <v>0</v>
      </c>
      <c r="F2326" s="456"/>
      <c r="G2326" s="456"/>
      <c r="H2326" s="456"/>
    </row>
    <row r="2327" spans="1:8" ht="13.5" customHeight="1">
      <c r="A2327" s="456">
        <v>9323</v>
      </c>
      <c r="B2327" s="457"/>
      <c r="C2327" s="456"/>
      <c r="D2327" s="456">
        <f>IF(Table11[[#This Row],[Current Age]]&gt;19,"Women's",IF(E2327&gt;15,"U19",IF(E2327&gt;13,"U15",IF(E2327&gt;11,"U13",IF(E2327&gt;0,"U11",0)))))</f>
        <v>0</v>
      </c>
      <c r="E2327" s="456">
        <f>IFERROR(IF(Table11[[#This Row],[Year]]&gt;0,$E$1-Table11[[#This Row],[Year]],0),"")</f>
        <v>0</v>
      </c>
      <c r="F2327" s="456"/>
      <c r="G2327" s="456"/>
      <c r="H2327" s="456"/>
    </row>
    <row r="2328" spans="1:8" ht="13.5" customHeight="1">
      <c r="A2328" s="471">
        <v>9324</v>
      </c>
      <c r="B2328" s="540"/>
      <c r="C2328" s="471"/>
      <c r="D2328" s="456">
        <f>IF(Table11[[#This Row],[Current Age]]&gt;19,"Women's",IF(E2328&gt;15,"U19",IF(E2328&gt;13,"U15",IF(E2328&gt;11,"U13",IF(E2328&gt;0,"U11",0)))))</f>
        <v>0</v>
      </c>
      <c r="E2328" s="456">
        <f>IFERROR(IF(Table11[[#This Row],[Year]]&gt;0,$E$1-Table11[[#This Row],[Year]],0),"")</f>
        <v>0</v>
      </c>
      <c r="F2328" s="456"/>
      <c r="G2328" s="456"/>
      <c r="H2328" s="456"/>
    </row>
    <row r="2329" spans="1:8" ht="13.5" customHeight="1">
      <c r="A2329" s="456">
        <v>9325</v>
      </c>
      <c r="B2329" s="457"/>
      <c r="C2329" s="456"/>
      <c r="D2329" s="456">
        <f>IF(Table11[[#This Row],[Current Age]]&gt;19,"Women's",IF(E2329&gt;15,"U19",IF(E2329&gt;13,"U15",IF(E2329&gt;11,"U13",IF(E2329&gt;0,"U11",0)))))</f>
        <v>0</v>
      </c>
      <c r="E2329" s="456">
        <f>IFERROR(IF(Table11[[#This Row],[Year]]&gt;0,$E$1-Table11[[#This Row],[Year]],0),"")</f>
        <v>0</v>
      </c>
      <c r="F2329" s="456"/>
      <c r="G2329" s="456"/>
      <c r="H2329" s="456"/>
    </row>
    <row r="2330" spans="1:8" ht="13.5" customHeight="1">
      <c r="A2330" s="471">
        <v>9326</v>
      </c>
      <c r="B2330" s="540"/>
      <c r="C2330" s="471"/>
      <c r="D2330" s="456">
        <f>IF(Table11[[#This Row],[Current Age]]&gt;19,"Women's",IF(E2330&gt;15,"U19",IF(E2330&gt;13,"U15",IF(E2330&gt;11,"U13",IF(E2330&gt;0,"U11",0)))))</f>
        <v>0</v>
      </c>
      <c r="E2330" s="456">
        <f>IFERROR(IF(Table11[[#This Row],[Year]]&gt;0,$E$1-Table11[[#This Row],[Year]],0),"")</f>
        <v>0</v>
      </c>
      <c r="F2330" s="456"/>
      <c r="G2330" s="456"/>
      <c r="H2330" s="456"/>
    </row>
    <row r="2331" spans="1:8" ht="13.5" customHeight="1">
      <c r="A2331" s="456">
        <v>9327</v>
      </c>
      <c r="B2331" s="457"/>
      <c r="C2331" s="456"/>
      <c r="D2331" s="456">
        <f>IF(Table11[[#This Row],[Current Age]]&gt;19,"Women's",IF(E2331&gt;15,"U19",IF(E2331&gt;13,"U15",IF(E2331&gt;11,"U13",IF(E2331&gt;0,"U11",0)))))</f>
        <v>0</v>
      </c>
      <c r="E2331" s="456">
        <f>IFERROR(IF(Table11[[#This Row],[Year]]&gt;0,$E$1-Table11[[#This Row],[Year]],0),"")</f>
        <v>0</v>
      </c>
      <c r="F2331" s="456"/>
      <c r="G2331" s="456"/>
      <c r="H2331" s="456"/>
    </row>
    <row r="2332" spans="1:8" ht="13.5" customHeight="1">
      <c r="A2332" s="471">
        <v>9328</v>
      </c>
      <c r="B2332" s="540"/>
      <c r="C2332" s="471"/>
      <c r="D2332" s="456">
        <f>IF(Table11[[#This Row],[Current Age]]&gt;19,"Women's",IF(E2332&gt;15,"U19",IF(E2332&gt;13,"U15",IF(E2332&gt;11,"U13",IF(E2332&gt;0,"U11",0)))))</f>
        <v>0</v>
      </c>
      <c r="E2332" s="456">
        <f>IFERROR(IF(Table11[[#This Row],[Year]]&gt;0,$E$1-Table11[[#This Row],[Year]],0),"")</f>
        <v>0</v>
      </c>
      <c r="F2332" s="456"/>
      <c r="G2332" s="456"/>
      <c r="H2332" s="456"/>
    </row>
    <row r="2333" spans="1:8" ht="13.5" customHeight="1">
      <c r="A2333" s="456">
        <v>9329</v>
      </c>
      <c r="B2333" s="457"/>
      <c r="C2333" s="456"/>
      <c r="D2333" s="456">
        <f>IF(Table11[[#This Row],[Current Age]]&gt;19,"Women's",IF(E2333&gt;15,"U19",IF(E2333&gt;13,"U15",IF(E2333&gt;11,"U13",IF(E2333&gt;0,"U11",0)))))</f>
        <v>0</v>
      </c>
      <c r="E2333" s="456">
        <f>IFERROR(IF(Table11[[#This Row],[Year]]&gt;0,$E$1-Table11[[#This Row],[Year]],0),"")</f>
        <v>0</v>
      </c>
      <c r="F2333" s="456"/>
      <c r="G2333" s="456"/>
      <c r="H2333" s="456"/>
    </row>
    <row r="2334" spans="1:8" ht="13.5" customHeight="1">
      <c r="A2334" s="471">
        <v>9330</v>
      </c>
      <c r="B2334" s="540"/>
      <c r="C2334" s="471"/>
      <c r="D2334" s="456">
        <f>IF(Table11[[#This Row],[Current Age]]&gt;19,"Women's",IF(E2334&gt;15,"U19",IF(E2334&gt;13,"U15",IF(E2334&gt;11,"U13",IF(E2334&gt;0,"U11",0)))))</f>
        <v>0</v>
      </c>
      <c r="E2334" s="456">
        <f>IFERROR(IF(Table11[[#This Row],[Year]]&gt;0,$E$1-Table11[[#This Row],[Year]],0),"")</f>
        <v>0</v>
      </c>
      <c r="F2334" s="456"/>
      <c r="G2334" s="456"/>
      <c r="H2334" s="456"/>
    </row>
    <row r="2335" spans="1:8" ht="13.5" customHeight="1">
      <c r="A2335" s="456">
        <v>9331</v>
      </c>
      <c r="B2335" s="457"/>
      <c r="C2335" s="456"/>
      <c r="D2335" s="456">
        <f>IF(Table11[[#This Row],[Current Age]]&gt;19,"Women's",IF(E2335&gt;15,"U19",IF(E2335&gt;13,"U15",IF(E2335&gt;11,"U13",IF(E2335&gt;0,"U11",0)))))</f>
        <v>0</v>
      </c>
      <c r="E2335" s="456">
        <f>IFERROR(IF(Table11[[#This Row],[Year]]&gt;0,$E$1-Table11[[#This Row],[Year]],0),"")</f>
        <v>0</v>
      </c>
      <c r="F2335" s="456"/>
      <c r="G2335" s="456"/>
      <c r="H2335" s="456"/>
    </row>
    <row r="2336" spans="1:8" ht="13.5" customHeight="1">
      <c r="A2336" s="471">
        <v>9332</v>
      </c>
      <c r="B2336" s="540"/>
      <c r="C2336" s="471"/>
      <c r="D2336" s="456">
        <f>IF(Table11[[#This Row],[Current Age]]&gt;19,"Women's",IF(E2336&gt;15,"U19",IF(E2336&gt;13,"U15",IF(E2336&gt;11,"U13",IF(E2336&gt;0,"U11",0)))))</f>
        <v>0</v>
      </c>
      <c r="E2336" s="456">
        <f>IFERROR(IF(Table11[[#This Row],[Year]]&gt;0,$E$1-Table11[[#This Row],[Year]],0),"")</f>
        <v>0</v>
      </c>
      <c r="F2336" s="456"/>
      <c r="G2336" s="456"/>
      <c r="H2336" s="456"/>
    </row>
    <row r="2337" spans="1:8" ht="13.5" customHeight="1">
      <c r="A2337" s="456">
        <v>9333</v>
      </c>
      <c r="B2337" s="457"/>
      <c r="C2337" s="456"/>
      <c r="D2337" s="456">
        <f>IF(Table11[[#This Row],[Current Age]]&gt;19,"Women's",IF(E2337&gt;15,"U19",IF(E2337&gt;13,"U15",IF(E2337&gt;11,"U13",IF(E2337&gt;0,"U11",0)))))</f>
        <v>0</v>
      </c>
      <c r="E2337" s="456">
        <f>IFERROR(IF(Table11[[#This Row],[Year]]&gt;0,$E$1-Table11[[#This Row],[Year]],0),"")</f>
        <v>0</v>
      </c>
      <c r="F2337" s="456"/>
      <c r="G2337" s="456"/>
      <c r="H2337" s="456"/>
    </row>
    <row r="2338" spans="1:8" ht="13.5" customHeight="1">
      <c r="A2338" s="471">
        <v>9334</v>
      </c>
      <c r="B2338" s="540"/>
      <c r="C2338" s="471"/>
      <c r="D2338" s="456">
        <f>IF(Table11[[#This Row],[Current Age]]&gt;19,"Women's",IF(E2338&gt;15,"U19",IF(E2338&gt;13,"U15",IF(E2338&gt;11,"U13",IF(E2338&gt;0,"U11",0)))))</f>
        <v>0</v>
      </c>
      <c r="E2338" s="456">
        <f>IFERROR(IF(Table11[[#This Row],[Year]]&gt;0,$E$1-Table11[[#This Row],[Year]],0),"")</f>
        <v>0</v>
      </c>
      <c r="F2338" s="456"/>
      <c r="G2338" s="456"/>
      <c r="H2338" s="456"/>
    </row>
    <row r="2339" spans="1:8" ht="13.5" customHeight="1">
      <c r="A2339" s="456">
        <v>9335</v>
      </c>
      <c r="B2339" s="457"/>
      <c r="C2339" s="456"/>
      <c r="D2339" s="456">
        <f>IF(Table11[[#This Row],[Current Age]]&gt;19,"Women's",IF(E2339&gt;15,"U19",IF(E2339&gt;13,"U15",IF(E2339&gt;11,"U13",IF(E2339&gt;0,"U11",0)))))</f>
        <v>0</v>
      </c>
      <c r="E2339" s="456">
        <f>IFERROR(IF(Table11[[#This Row],[Year]]&gt;0,$E$1-Table11[[#This Row],[Year]],0),"")</f>
        <v>0</v>
      </c>
      <c r="F2339" s="456"/>
      <c r="G2339" s="456"/>
      <c r="H2339" s="456"/>
    </row>
    <row r="2340" spans="1:8" ht="13.5" customHeight="1">
      <c r="A2340" s="471">
        <v>9336</v>
      </c>
      <c r="B2340" s="540"/>
      <c r="C2340" s="471"/>
      <c r="D2340" s="456">
        <f>IF(Table11[[#This Row],[Current Age]]&gt;19,"Women's",IF(E2340&gt;15,"U19",IF(E2340&gt;13,"U15",IF(E2340&gt;11,"U13",IF(E2340&gt;0,"U11",0)))))</f>
        <v>0</v>
      </c>
      <c r="E2340" s="456">
        <f>IFERROR(IF(Table11[[#This Row],[Year]]&gt;0,$E$1-Table11[[#This Row],[Year]],0),"")</f>
        <v>0</v>
      </c>
      <c r="F2340" s="456"/>
      <c r="G2340" s="456"/>
      <c r="H2340" s="456"/>
    </row>
    <row r="2341" spans="1:8" ht="13.5" customHeight="1">
      <c r="A2341" s="456">
        <v>9337</v>
      </c>
      <c r="B2341" s="457"/>
      <c r="C2341" s="456"/>
      <c r="D2341" s="456">
        <f>IF(Table11[[#This Row],[Current Age]]&gt;19,"Women's",IF(E2341&gt;15,"U19",IF(E2341&gt;13,"U15",IF(E2341&gt;11,"U13",IF(E2341&gt;0,"U11",0)))))</f>
        <v>0</v>
      </c>
      <c r="E2341" s="456">
        <f>IFERROR(IF(Table11[[#This Row],[Year]]&gt;0,$E$1-Table11[[#This Row],[Year]],0),"")</f>
        <v>0</v>
      </c>
      <c r="F2341" s="456"/>
      <c r="G2341" s="456"/>
      <c r="H2341" s="456"/>
    </row>
    <row r="2342" spans="1:8" ht="13.5" customHeight="1">
      <c r="A2342" s="471">
        <v>9338</v>
      </c>
      <c r="B2342" s="540"/>
      <c r="C2342" s="471"/>
      <c r="D2342" s="456">
        <f>IF(Table11[[#This Row],[Current Age]]&gt;19,"Women's",IF(E2342&gt;15,"U19",IF(E2342&gt;13,"U15",IF(E2342&gt;11,"U13",IF(E2342&gt;0,"U11",0)))))</f>
        <v>0</v>
      </c>
      <c r="E2342" s="456">
        <f>IFERROR(IF(Table11[[#This Row],[Year]]&gt;0,$E$1-Table11[[#This Row],[Year]],0),"")</f>
        <v>0</v>
      </c>
      <c r="F2342" s="456"/>
      <c r="G2342" s="456"/>
      <c r="H2342" s="456"/>
    </row>
    <row r="2343" spans="1:8" ht="13.5" customHeight="1">
      <c r="A2343" s="456">
        <v>9339</v>
      </c>
      <c r="B2343" s="457"/>
      <c r="C2343" s="456"/>
      <c r="D2343" s="456">
        <f>IF(Table11[[#This Row],[Current Age]]&gt;19,"Women's",IF(E2343&gt;15,"U19",IF(E2343&gt;13,"U15",IF(E2343&gt;11,"U13",IF(E2343&gt;0,"U11",0)))))</f>
        <v>0</v>
      </c>
      <c r="E2343" s="456">
        <f>IFERROR(IF(Table11[[#This Row],[Year]]&gt;0,$E$1-Table11[[#This Row],[Year]],0),"")</f>
        <v>0</v>
      </c>
      <c r="F2343" s="456"/>
      <c r="G2343" s="456"/>
      <c r="H2343" s="456"/>
    </row>
    <row r="2344" spans="1:8" ht="13.5" customHeight="1">
      <c r="A2344" s="471">
        <v>9340</v>
      </c>
      <c r="B2344" s="540"/>
      <c r="C2344" s="471"/>
      <c r="D2344" s="456">
        <f>IF(Table11[[#This Row],[Current Age]]&gt;19,"Women's",IF(E2344&gt;15,"U19",IF(E2344&gt;13,"U15",IF(E2344&gt;11,"U13",IF(E2344&gt;0,"U11",0)))))</f>
        <v>0</v>
      </c>
      <c r="E2344" s="456">
        <f>IFERROR(IF(Table11[[#This Row],[Year]]&gt;0,$E$1-Table11[[#This Row],[Year]],0),"")</f>
        <v>0</v>
      </c>
      <c r="F2344" s="456"/>
      <c r="G2344" s="456"/>
      <c r="H2344" s="456"/>
    </row>
    <row r="2345" spans="1:8" ht="13.5" customHeight="1">
      <c r="A2345" s="456">
        <v>9341</v>
      </c>
      <c r="B2345" s="457"/>
      <c r="C2345" s="456"/>
      <c r="D2345" s="456">
        <f>IF(Table11[[#This Row],[Current Age]]&gt;19,"Women's",IF(E2345&gt;15,"U19",IF(E2345&gt;13,"U15",IF(E2345&gt;11,"U13",IF(E2345&gt;0,"U11",0)))))</f>
        <v>0</v>
      </c>
      <c r="E2345" s="456">
        <f>IFERROR(IF(Table11[[#This Row],[Year]]&gt;0,$E$1-Table11[[#This Row],[Year]],0),"")</f>
        <v>0</v>
      </c>
      <c r="F2345" s="456"/>
      <c r="G2345" s="456"/>
      <c r="H2345" s="456"/>
    </row>
    <row r="2346" spans="1:8" ht="13.5" customHeight="1">
      <c r="A2346" s="471">
        <v>9342</v>
      </c>
      <c r="B2346" s="540"/>
      <c r="C2346" s="471"/>
      <c r="D2346" s="456">
        <f>IF(Table11[[#This Row],[Current Age]]&gt;19,"Women's",IF(E2346&gt;15,"U19",IF(E2346&gt;13,"U15",IF(E2346&gt;11,"U13",IF(E2346&gt;0,"U11",0)))))</f>
        <v>0</v>
      </c>
      <c r="E2346" s="456">
        <f>IFERROR(IF(Table11[[#This Row],[Year]]&gt;0,$E$1-Table11[[#This Row],[Year]],0),"")</f>
        <v>0</v>
      </c>
      <c r="F2346" s="456"/>
      <c r="G2346" s="456"/>
      <c r="H2346" s="456"/>
    </row>
    <row r="2347" spans="1:8" ht="13.5" customHeight="1">
      <c r="A2347" s="456">
        <v>9343</v>
      </c>
      <c r="B2347" s="457"/>
      <c r="C2347" s="456"/>
      <c r="D2347" s="456">
        <f>IF(Table11[[#This Row],[Current Age]]&gt;19,"Women's",IF(E2347&gt;15,"U19",IF(E2347&gt;13,"U15",IF(E2347&gt;11,"U13",IF(E2347&gt;0,"U11",0)))))</f>
        <v>0</v>
      </c>
      <c r="E2347" s="456">
        <f>IFERROR(IF(Table11[[#This Row],[Year]]&gt;0,$E$1-Table11[[#This Row],[Year]],0),"")</f>
        <v>0</v>
      </c>
      <c r="F2347" s="456"/>
      <c r="G2347" s="456"/>
      <c r="H2347" s="456"/>
    </row>
    <row r="2348" spans="1:8" ht="13.5" customHeight="1">
      <c r="A2348" s="471">
        <v>9344</v>
      </c>
      <c r="B2348" s="540"/>
      <c r="C2348" s="471"/>
      <c r="D2348" s="456">
        <f>IF(Table11[[#This Row],[Current Age]]&gt;19,"Women's",IF(E2348&gt;15,"U19",IF(E2348&gt;13,"U15",IF(E2348&gt;11,"U13",IF(E2348&gt;0,"U11",0)))))</f>
        <v>0</v>
      </c>
      <c r="E2348" s="456">
        <f>IFERROR(IF(Table11[[#This Row],[Year]]&gt;0,$E$1-Table11[[#This Row],[Year]],0),"")</f>
        <v>0</v>
      </c>
      <c r="F2348" s="456"/>
      <c r="G2348" s="456"/>
      <c r="H2348" s="456"/>
    </row>
    <row r="2349" spans="1:8" ht="13.5" customHeight="1">
      <c r="A2349" s="456">
        <v>9345</v>
      </c>
      <c r="B2349" s="457"/>
      <c r="C2349" s="456"/>
      <c r="D2349" s="456">
        <f>IF(Table11[[#This Row],[Current Age]]&gt;19,"Women's",IF(E2349&gt;15,"U19",IF(E2349&gt;13,"U15",IF(E2349&gt;11,"U13",IF(E2349&gt;0,"U11",0)))))</f>
        <v>0</v>
      </c>
      <c r="E2349" s="456">
        <f>IFERROR(IF(Table11[[#This Row],[Year]]&gt;0,$E$1-Table11[[#This Row],[Year]],0),"")</f>
        <v>0</v>
      </c>
      <c r="F2349" s="456"/>
      <c r="G2349" s="456"/>
      <c r="H2349" s="456"/>
    </row>
    <row r="2350" spans="1:8" ht="13.5" customHeight="1">
      <c r="A2350" s="471">
        <v>9346</v>
      </c>
      <c r="B2350" s="540"/>
      <c r="C2350" s="471"/>
      <c r="D2350" s="456">
        <f>IF(Table11[[#This Row],[Current Age]]&gt;19,"Women's",IF(E2350&gt;15,"U19",IF(E2350&gt;13,"U15",IF(E2350&gt;11,"U13",IF(E2350&gt;0,"U11",0)))))</f>
        <v>0</v>
      </c>
      <c r="E2350" s="456">
        <f>IFERROR(IF(Table11[[#This Row],[Year]]&gt;0,$E$1-Table11[[#This Row],[Year]],0),"")</f>
        <v>0</v>
      </c>
      <c r="F2350" s="456"/>
      <c r="G2350" s="456"/>
      <c r="H2350" s="456"/>
    </row>
    <row r="2351" spans="1:8" ht="13.5" customHeight="1">
      <c r="A2351" s="456">
        <v>9347</v>
      </c>
      <c r="B2351" s="457"/>
      <c r="C2351" s="456"/>
      <c r="D2351" s="456">
        <f>IF(Table11[[#This Row],[Current Age]]&gt;19,"Women's",IF(E2351&gt;15,"U19",IF(E2351&gt;13,"U15",IF(E2351&gt;11,"U13",IF(E2351&gt;0,"U11",0)))))</f>
        <v>0</v>
      </c>
      <c r="E2351" s="456">
        <f>IFERROR(IF(Table11[[#This Row],[Year]]&gt;0,$E$1-Table11[[#This Row],[Year]],0),"")</f>
        <v>0</v>
      </c>
      <c r="F2351" s="456"/>
      <c r="G2351" s="456"/>
      <c r="H2351" s="456"/>
    </row>
    <row r="2352" spans="1:8" ht="13.5" customHeight="1">
      <c r="A2352" s="471">
        <v>9348</v>
      </c>
      <c r="B2352" s="540"/>
      <c r="C2352" s="471"/>
      <c r="D2352" s="456">
        <f>IF(Table11[[#This Row],[Current Age]]&gt;19,"Women's",IF(E2352&gt;15,"U19",IF(E2352&gt;13,"U15",IF(E2352&gt;11,"U13",IF(E2352&gt;0,"U11",0)))))</f>
        <v>0</v>
      </c>
      <c r="E2352" s="456">
        <f>IFERROR(IF(Table11[[#This Row],[Year]]&gt;0,$E$1-Table11[[#This Row],[Year]],0),"")</f>
        <v>0</v>
      </c>
      <c r="F2352" s="456"/>
      <c r="G2352" s="456"/>
      <c r="H2352" s="456"/>
    </row>
    <row r="2353" spans="1:8" ht="13.5" customHeight="1">
      <c r="A2353" s="456">
        <v>9349</v>
      </c>
      <c r="B2353" s="457"/>
      <c r="C2353" s="456"/>
      <c r="D2353" s="456">
        <f>IF(Table11[[#This Row],[Current Age]]&gt;19,"Women's",IF(E2353&gt;15,"U19",IF(E2353&gt;13,"U15",IF(E2353&gt;11,"U13",IF(E2353&gt;0,"U11",0)))))</f>
        <v>0</v>
      </c>
      <c r="E2353" s="456">
        <f>IFERROR(IF(Table11[[#This Row],[Year]]&gt;0,$E$1-Table11[[#This Row],[Year]],0),"")</f>
        <v>0</v>
      </c>
      <c r="F2353" s="456"/>
      <c r="G2353" s="456"/>
      <c r="H2353" s="456"/>
    </row>
    <row r="2354" spans="1:8" ht="13.5" customHeight="1">
      <c r="A2354" s="471">
        <v>9350</v>
      </c>
      <c r="B2354" s="540"/>
      <c r="C2354" s="471"/>
      <c r="D2354" s="456">
        <f>IF(Table11[[#This Row],[Current Age]]&gt;19,"Women's",IF(E2354&gt;15,"U19",IF(E2354&gt;13,"U15",IF(E2354&gt;11,"U13",IF(E2354&gt;0,"U11",0)))))</f>
        <v>0</v>
      </c>
      <c r="E2354" s="456">
        <f>IFERROR(IF(Table11[[#This Row],[Year]]&gt;0,$E$1-Table11[[#This Row],[Year]],0),"")</f>
        <v>0</v>
      </c>
      <c r="F2354" s="456"/>
      <c r="G2354" s="456"/>
      <c r="H2354" s="456"/>
    </row>
    <row r="2355" spans="1:8" ht="13.5" customHeight="1">
      <c r="A2355" s="456">
        <v>9351</v>
      </c>
      <c r="B2355" s="457"/>
      <c r="C2355" s="456"/>
      <c r="D2355" s="456">
        <f>IF(Table11[[#This Row],[Current Age]]&gt;19,"Women's",IF(E2355&gt;15,"U19",IF(E2355&gt;13,"U15",IF(E2355&gt;11,"U13",IF(E2355&gt;0,"U11",0)))))</f>
        <v>0</v>
      </c>
      <c r="E2355" s="456">
        <f>IFERROR(IF(Table11[[#This Row],[Year]]&gt;0,$E$1-Table11[[#This Row],[Year]],0),"")</f>
        <v>0</v>
      </c>
      <c r="F2355" s="456"/>
      <c r="G2355" s="456"/>
      <c r="H2355" s="456"/>
    </row>
    <row r="2356" spans="1:8" ht="13.5" customHeight="1">
      <c r="A2356" s="471">
        <v>9352</v>
      </c>
      <c r="B2356" s="540"/>
      <c r="C2356" s="471"/>
      <c r="D2356" s="456">
        <f>IF(Table11[[#This Row],[Current Age]]&gt;19,"Women's",IF(E2356&gt;15,"U19",IF(E2356&gt;13,"U15",IF(E2356&gt;11,"U13",IF(E2356&gt;0,"U11",0)))))</f>
        <v>0</v>
      </c>
      <c r="E2356" s="456">
        <f>IFERROR(IF(Table11[[#This Row],[Year]]&gt;0,$E$1-Table11[[#This Row],[Year]],0),"")</f>
        <v>0</v>
      </c>
      <c r="F2356" s="456"/>
      <c r="G2356" s="456"/>
      <c r="H2356" s="456"/>
    </row>
    <row r="2357" spans="1:8" ht="13.5" customHeight="1">
      <c r="A2357" s="456">
        <v>9353</v>
      </c>
      <c r="B2357" s="457"/>
      <c r="C2357" s="456"/>
      <c r="D2357" s="456">
        <f>IF(Table11[[#This Row],[Current Age]]&gt;19,"Women's",IF(E2357&gt;15,"U19",IF(E2357&gt;13,"U15",IF(E2357&gt;11,"U13",IF(E2357&gt;0,"U11",0)))))</f>
        <v>0</v>
      </c>
      <c r="E2357" s="456">
        <f>IFERROR(IF(Table11[[#This Row],[Year]]&gt;0,$E$1-Table11[[#This Row],[Year]],0),"")</f>
        <v>0</v>
      </c>
      <c r="F2357" s="456"/>
      <c r="G2357" s="456"/>
      <c r="H2357" s="456"/>
    </row>
    <row r="2358" spans="1:8" ht="13.5" customHeight="1">
      <c r="A2358" s="471">
        <v>9354</v>
      </c>
      <c r="B2358" s="540"/>
      <c r="C2358" s="471"/>
      <c r="D2358" s="456">
        <f>IF(Table11[[#This Row],[Current Age]]&gt;19,"Women's",IF(E2358&gt;15,"U19",IF(E2358&gt;13,"U15",IF(E2358&gt;11,"U13",IF(E2358&gt;0,"U11",0)))))</f>
        <v>0</v>
      </c>
      <c r="E2358" s="456">
        <f>IFERROR(IF(Table11[[#This Row],[Year]]&gt;0,$E$1-Table11[[#This Row],[Year]],0),"")</f>
        <v>0</v>
      </c>
      <c r="F2358" s="456"/>
      <c r="G2358" s="456"/>
      <c r="H2358" s="456"/>
    </row>
    <row r="2359" spans="1:8" ht="13.5" customHeight="1">
      <c r="A2359" s="456">
        <v>9355</v>
      </c>
      <c r="B2359" s="457"/>
      <c r="C2359" s="456"/>
      <c r="D2359" s="456">
        <f>IF(Table11[[#This Row],[Current Age]]&gt;19,"Women's",IF(E2359&gt;15,"U19",IF(E2359&gt;13,"U15",IF(E2359&gt;11,"U13",IF(E2359&gt;0,"U11",0)))))</f>
        <v>0</v>
      </c>
      <c r="E2359" s="456">
        <f>IFERROR(IF(Table11[[#This Row],[Year]]&gt;0,$E$1-Table11[[#This Row],[Year]],0),"")</f>
        <v>0</v>
      </c>
      <c r="F2359" s="456"/>
      <c r="G2359" s="456"/>
      <c r="H2359" s="456"/>
    </row>
    <row r="2360" spans="1:8" ht="13.5" customHeight="1">
      <c r="A2360" s="471">
        <v>9356</v>
      </c>
      <c r="B2360" s="540"/>
      <c r="C2360" s="471"/>
      <c r="D2360" s="456">
        <f>IF(Table11[[#This Row],[Current Age]]&gt;19,"Women's",IF(E2360&gt;15,"U19",IF(E2360&gt;13,"U15",IF(E2360&gt;11,"U13",IF(E2360&gt;0,"U11",0)))))</f>
        <v>0</v>
      </c>
      <c r="E2360" s="456">
        <f>IFERROR(IF(Table11[[#This Row],[Year]]&gt;0,$E$1-Table11[[#This Row],[Year]],0),"")</f>
        <v>0</v>
      </c>
      <c r="F2360" s="456"/>
      <c r="G2360" s="456"/>
      <c r="H2360" s="456"/>
    </row>
    <row r="2361" spans="1:8" ht="13.5" customHeight="1">
      <c r="A2361" s="456">
        <v>9357</v>
      </c>
      <c r="B2361" s="457"/>
      <c r="C2361" s="456"/>
      <c r="D2361" s="456">
        <f>IF(Table11[[#This Row],[Current Age]]&gt;19,"Women's",IF(E2361&gt;15,"U19",IF(E2361&gt;13,"U15",IF(E2361&gt;11,"U13",IF(E2361&gt;0,"U11",0)))))</f>
        <v>0</v>
      </c>
      <c r="E2361" s="456">
        <f>IFERROR(IF(Table11[[#This Row],[Year]]&gt;0,$E$1-Table11[[#This Row],[Year]],0),"")</f>
        <v>0</v>
      </c>
      <c r="F2361" s="456"/>
      <c r="G2361" s="456"/>
      <c r="H2361" s="456"/>
    </row>
    <row r="2362" spans="1:8" ht="13.5" customHeight="1">
      <c r="A2362" s="471">
        <v>9358</v>
      </c>
      <c r="B2362" s="540"/>
      <c r="C2362" s="471"/>
      <c r="D2362" s="456">
        <f>IF(Table11[[#This Row],[Current Age]]&gt;19,"Women's",IF(E2362&gt;15,"U19",IF(E2362&gt;13,"U15",IF(E2362&gt;11,"U13",IF(E2362&gt;0,"U11",0)))))</f>
        <v>0</v>
      </c>
      <c r="E2362" s="456">
        <f>IFERROR(IF(Table11[[#This Row],[Year]]&gt;0,$E$1-Table11[[#This Row],[Year]],0),"")</f>
        <v>0</v>
      </c>
      <c r="F2362" s="456"/>
      <c r="G2362" s="456"/>
      <c r="H2362" s="456"/>
    </row>
    <row r="2363" spans="1:8" ht="13.5" customHeight="1">
      <c r="A2363" s="456">
        <v>9359</v>
      </c>
      <c r="B2363" s="457"/>
      <c r="C2363" s="456"/>
      <c r="D2363" s="456">
        <f>IF(Table11[[#This Row],[Current Age]]&gt;19,"Women's",IF(E2363&gt;15,"U19",IF(E2363&gt;13,"U15",IF(E2363&gt;11,"U13",IF(E2363&gt;0,"U11",0)))))</f>
        <v>0</v>
      </c>
      <c r="E2363" s="456">
        <f>IFERROR(IF(Table11[[#This Row],[Year]]&gt;0,$E$1-Table11[[#This Row],[Year]],0),"")</f>
        <v>0</v>
      </c>
      <c r="F2363" s="456"/>
      <c r="G2363" s="456"/>
      <c r="H2363" s="456"/>
    </row>
    <row r="2364" spans="1:8" ht="13.5" customHeight="1">
      <c r="A2364" s="471">
        <v>9360</v>
      </c>
      <c r="B2364" s="540"/>
      <c r="C2364" s="471"/>
      <c r="D2364" s="456">
        <f>IF(Table11[[#This Row],[Current Age]]&gt;19,"Women's",IF(E2364&gt;15,"U19",IF(E2364&gt;13,"U15",IF(E2364&gt;11,"U13",IF(E2364&gt;0,"U11",0)))))</f>
        <v>0</v>
      </c>
      <c r="E2364" s="456">
        <f>IFERROR(IF(Table11[[#This Row],[Year]]&gt;0,$E$1-Table11[[#This Row],[Year]],0),"")</f>
        <v>0</v>
      </c>
      <c r="F2364" s="456"/>
      <c r="G2364" s="456"/>
      <c r="H2364" s="456"/>
    </row>
    <row r="2365" spans="1:8" ht="13.5" customHeight="1">
      <c r="A2365" s="456">
        <v>9361</v>
      </c>
      <c r="B2365" s="457"/>
      <c r="C2365" s="456"/>
      <c r="D2365" s="456">
        <f>IF(Table11[[#This Row],[Current Age]]&gt;19,"Women's",IF(E2365&gt;15,"U19",IF(E2365&gt;13,"U15",IF(E2365&gt;11,"U13",IF(E2365&gt;0,"U11",0)))))</f>
        <v>0</v>
      </c>
      <c r="E2365" s="456">
        <f>IFERROR(IF(Table11[[#This Row],[Year]]&gt;0,$E$1-Table11[[#This Row],[Year]],0),"")</f>
        <v>0</v>
      </c>
      <c r="F2365" s="456"/>
      <c r="G2365" s="456"/>
      <c r="H2365" s="456"/>
    </row>
    <row r="2366" spans="1:8" ht="13.5" customHeight="1">
      <c r="A2366" s="471">
        <v>9362</v>
      </c>
      <c r="B2366" s="540"/>
      <c r="C2366" s="471"/>
      <c r="D2366" s="456">
        <f>IF(Table11[[#This Row],[Current Age]]&gt;19,"Women's",IF(E2366&gt;15,"U19",IF(E2366&gt;13,"U15",IF(E2366&gt;11,"U13",IF(E2366&gt;0,"U11",0)))))</f>
        <v>0</v>
      </c>
      <c r="E2366" s="456">
        <f>IFERROR(IF(Table11[[#This Row],[Year]]&gt;0,$E$1-Table11[[#This Row],[Year]],0),"")</f>
        <v>0</v>
      </c>
      <c r="F2366" s="456"/>
      <c r="G2366" s="456"/>
      <c r="H2366" s="456"/>
    </row>
    <row r="2367" spans="1:8" ht="13.5" customHeight="1">
      <c r="A2367" s="456">
        <v>9363</v>
      </c>
      <c r="B2367" s="457"/>
      <c r="C2367" s="456"/>
      <c r="D2367" s="456">
        <f>IF(Table11[[#This Row],[Current Age]]&gt;19,"Women's",IF(E2367&gt;15,"U19",IF(E2367&gt;13,"U15",IF(E2367&gt;11,"U13",IF(E2367&gt;0,"U11",0)))))</f>
        <v>0</v>
      </c>
      <c r="E2367" s="456">
        <f>IFERROR(IF(Table11[[#This Row],[Year]]&gt;0,$E$1-Table11[[#This Row],[Year]],0),"")</f>
        <v>0</v>
      </c>
      <c r="F2367" s="456"/>
      <c r="G2367" s="456"/>
      <c r="H2367" s="456"/>
    </row>
    <row r="2368" spans="1:8" ht="13.5" customHeight="1">
      <c r="A2368" s="471">
        <v>9364</v>
      </c>
      <c r="B2368" s="540"/>
      <c r="C2368" s="471"/>
      <c r="D2368" s="456">
        <f>IF(Table11[[#This Row],[Current Age]]&gt;19,"Women's",IF(E2368&gt;15,"U19",IF(E2368&gt;13,"U15",IF(E2368&gt;11,"U13",IF(E2368&gt;0,"U11",0)))))</f>
        <v>0</v>
      </c>
      <c r="E2368" s="456">
        <f>IFERROR(IF(Table11[[#This Row],[Year]]&gt;0,$E$1-Table11[[#This Row],[Year]],0),"")</f>
        <v>0</v>
      </c>
      <c r="F2368" s="456"/>
      <c r="G2368" s="456"/>
      <c r="H2368" s="456"/>
    </row>
    <row r="2369" spans="1:8" ht="13.5" customHeight="1">
      <c r="A2369" s="456">
        <v>9365</v>
      </c>
      <c r="B2369" s="457"/>
      <c r="C2369" s="456"/>
      <c r="D2369" s="456">
        <f>IF(Table11[[#This Row],[Current Age]]&gt;19,"Women's",IF(E2369&gt;15,"U19",IF(E2369&gt;13,"U15",IF(E2369&gt;11,"U13",IF(E2369&gt;0,"U11",0)))))</f>
        <v>0</v>
      </c>
      <c r="E2369" s="456">
        <f>IFERROR(IF(Table11[[#This Row],[Year]]&gt;0,$E$1-Table11[[#This Row],[Year]],0),"")</f>
        <v>0</v>
      </c>
      <c r="F2369" s="456"/>
      <c r="G2369" s="456"/>
      <c r="H2369" s="456"/>
    </row>
    <row r="2370" spans="1:8" ht="13.5" customHeight="1">
      <c r="A2370" s="471">
        <v>9366</v>
      </c>
      <c r="B2370" s="540"/>
      <c r="C2370" s="471"/>
      <c r="D2370" s="456">
        <f>IF(Table11[[#This Row],[Current Age]]&gt;19,"Women's",IF(E2370&gt;15,"U19",IF(E2370&gt;13,"U15",IF(E2370&gt;11,"U13",IF(E2370&gt;0,"U11",0)))))</f>
        <v>0</v>
      </c>
      <c r="E2370" s="456">
        <f>IFERROR(IF(Table11[[#This Row],[Year]]&gt;0,$E$1-Table11[[#This Row],[Year]],0),"")</f>
        <v>0</v>
      </c>
      <c r="F2370" s="456"/>
      <c r="G2370" s="456"/>
      <c r="H2370" s="456"/>
    </row>
    <row r="2371" spans="1:8" ht="13.5" customHeight="1">
      <c r="A2371" s="456">
        <v>9367</v>
      </c>
      <c r="B2371" s="457"/>
      <c r="C2371" s="456"/>
      <c r="D2371" s="456">
        <f>IF(Table11[[#This Row],[Current Age]]&gt;19,"Women's",IF(E2371&gt;15,"U19",IF(E2371&gt;13,"U15",IF(E2371&gt;11,"U13",IF(E2371&gt;0,"U11",0)))))</f>
        <v>0</v>
      </c>
      <c r="E2371" s="456">
        <f>IFERROR(IF(Table11[[#This Row],[Year]]&gt;0,$E$1-Table11[[#This Row],[Year]],0),"")</f>
        <v>0</v>
      </c>
      <c r="F2371" s="456"/>
      <c r="G2371" s="456"/>
      <c r="H2371" s="456"/>
    </row>
    <row r="2372" spans="1:8" ht="13.5" customHeight="1">
      <c r="A2372" s="471">
        <v>9368</v>
      </c>
      <c r="B2372" s="540"/>
      <c r="C2372" s="471"/>
      <c r="D2372" s="456">
        <f>IF(Table11[[#This Row],[Current Age]]&gt;19,"Women's",IF(E2372&gt;15,"U19",IF(E2372&gt;13,"U15",IF(E2372&gt;11,"U13",IF(E2372&gt;0,"U11",0)))))</f>
        <v>0</v>
      </c>
      <c r="E2372" s="456">
        <f>IFERROR(IF(Table11[[#This Row],[Year]]&gt;0,$E$1-Table11[[#This Row],[Year]],0),"")</f>
        <v>0</v>
      </c>
      <c r="F2372" s="456"/>
      <c r="G2372" s="456"/>
      <c r="H2372" s="456"/>
    </row>
    <row r="2373" spans="1:8" ht="13.5" customHeight="1">
      <c r="A2373" s="456">
        <v>9369</v>
      </c>
      <c r="B2373" s="457"/>
      <c r="C2373" s="456"/>
      <c r="D2373" s="456">
        <f>IF(Table11[[#This Row],[Current Age]]&gt;19,"Women's",IF(E2373&gt;15,"U19",IF(E2373&gt;13,"U15",IF(E2373&gt;11,"U13",IF(E2373&gt;0,"U11",0)))))</f>
        <v>0</v>
      </c>
      <c r="E2373" s="456">
        <f>IFERROR(IF(Table11[[#This Row],[Year]]&gt;0,$E$1-Table11[[#This Row],[Year]],0),"")</f>
        <v>0</v>
      </c>
      <c r="F2373" s="456"/>
      <c r="G2373" s="456"/>
      <c r="H2373" s="456"/>
    </row>
    <row r="2374" spans="1:8" ht="13.5" customHeight="1">
      <c r="A2374" s="471">
        <v>9370</v>
      </c>
      <c r="B2374" s="540"/>
      <c r="C2374" s="471"/>
      <c r="D2374" s="456">
        <f>IF(Table11[[#This Row],[Current Age]]&gt;19,"Women's",IF(E2374&gt;15,"U19",IF(E2374&gt;13,"U15",IF(E2374&gt;11,"U13",IF(E2374&gt;0,"U11",0)))))</f>
        <v>0</v>
      </c>
      <c r="E2374" s="456">
        <f>IFERROR(IF(Table11[[#This Row],[Year]]&gt;0,$E$1-Table11[[#This Row],[Year]],0),"")</f>
        <v>0</v>
      </c>
      <c r="F2374" s="456"/>
      <c r="G2374" s="456"/>
      <c r="H2374" s="456"/>
    </row>
    <row r="2375" spans="1:8" ht="13.5" customHeight="1">
      <c r="A2375" s="456">
        <v>9371</v>
      </c>
      <c r="B2375" s="457"/>
      <c r="C2375" s="456"/>
      <c r="D2375" s="456">
        <f>IF(Table11[[#This Row],[Current Age]]&gt;19,"Women's",IF(E2375&gt;15,"U19",IF(E2375&gt;13,"U15",IF(E2375&gt;11,"U13",IF(E2375&gt;0,"U11",0)))))</f>
        <v>0</v>
      </c>
      <c r="E2375" s="456">
        <f>IFERROR(IF(Table11[[#This Row],[Year]]&gt;0,$E$1-Table11[[#This Row],[Year]],0),"")</f>
        <v>0</v>
      </c>
      <c r="F2375" s="456"/>
      <c r="G2375" s="456"/>
      <c r="H2375" s="456"/>
    </row>
    <row r="2376" spans="1:8" ht="13.5" customHeight="1">
      <c r="A2376" s="471">
        <v>9372</v>
      </c>
      <c r="B2376" s="540"/>
      <c r="C2376" s="471"/>
      <c r="D2376" s="456">
        <f>IF(Table11[[#This Row],[Current Age]]&gt;19,"Women's",IF(E2376&gt;15,"U19",IF(E2376&gt;13,"U15",IF(E2376&gt;11,"U13",IF(E2376&gt;0,"U11",0)))))</f>
        <v>0</v>
      </c>
      <c r="E2376" s="456">
        <f>IFERROR(IF(Table11[[#This Row],[Year]]&gt;0,$E$1-Table11[[#This Row],[Year]],0),"")</f>
        <v>0</v>
      </c>
      <c r="F2376" s="456"/>
      <c r="G2376" s="456"/>
      <c r="H2376" s="456"/>
    </row>
    <row r="2377" spans="1:8" ht="13.5" customHeight="1">
      <c r="A2377" s="456">
        <v>9373</v>
      </c>
      <c r="B2377" s="457"/>
      <c r="C2377" s="456"/>
      <c r="D2377" s="456">
        <f>IF(Table11[[#This Row],[Current Age]]&gt;19,"Women's",IF(E2377&gt;15,"U19",IF(E2377&gt;13,"U15",IF(E2377&gt;11,"U13",IF(E2377&gt;0,"U11",0)))))</f>
        <v>0</v>
      </c>
      <c r="E2377" s="456">
        <f>IFERROR(IF(Table11[[#This Row],[Year]]&gt;0,$E$1-Table11[[#This Row],[Year]],0),"")</f>
        <v>0</v>
      </c>
      <c r="F2377" s="456"/>
      <c r="G2377" s="456"/>
      <c r="H2377" s="456"/>
    </row>
    <row r="2378" spans="1:8" ht="13.5" customHeight="1">
      <c r="A2378" s="471">
        <v>9374</v>
      </c>
      <c r="B2378" s="540"/>
      <c r="C2378" s="471"/>
      <c r="D2378" s="456">
        <f>IF(Table11[[#This Row],[Current Age]]&gt;19,"Women's",IF(E2378&gt;15,"U19",IF(E2378&gt;13,"U15",IF(E2378&gt;11,"U13",IF(E2378&gt;0,"U11",0)))))</f>
        <v>0</v>
      </c>
      <c r="E2378" s="456">
        <f>IFERROR(IF(Table11[[#This Row],[Year]]&gt;0,$E$1-Table11[[#This Row],[Year]],0),"")</f>
        <v>0</v>
      </c>
      <c r="F2378" s="456"/>
      <c r="G2378" s="456"/>
      <c r="H2378" s="456"/>
    </row>
    <row r="2379" spans="1:8" ht="13.5" customHeight="1">
      <c r="A2379" s="456">
        <v>9375</v>
      </c>
      <c r="B2379" s="457"/>
      <c r="C2379" s="456"/>
      <c r="D2379" s="456">
        <f>IF(Table11[[#This Row],[Current Age]]&gt;19,"Women's",IF(E2379&gt;15,"U19",IF(E2379&gt;13,"U15",IF(E2379&gt;11,"U13",IF(E2379&gt;0,"U11",0)))))</f>
        <v>0</v>
      </c>
      <c r="E2379" s="456">
        <f>IFERROR(IF(Table11[[#This Row],[Year]]&gt;0,$E$1-Table11[[#This Row],[Year]],0),"")</f>
        <v>0</v>
      </c>
      <c r="F2379" s="456"/>
      <c r="G2379" s="456"/>
      <c r="H2379" s="456"/>
    </row>
    <row r="2380" spans="1:8" ht="13.5" customHeight="1">
      <c r="A2380" s="471">
        <v>9376</v>
      </c>
      <c r="B2380" s="540"/>
      <c r="C2380" s="471"/>
      <c r="D2380" s="456">
        <f>IF(Table11[[#This Row],[Current Age]]&gt;19,"Women's",IF(E2380&gt;15,"U19",IF(E2380&gt;13,"U15",IF(E2380&gt;11,"U13",IF(E2380&gt;0,"U11",0)))))</f>
        <v>0</v>
      </c>
      <c r="E2380" s="456">
        <f>IFERROR(IF(Table11[[#This Row],[Year]]&gt;0,$E$1-Table11[[#This Row],[Year]],0),"")</f>
        <v>0</v>
      </c>
      <c r="F2380" s="456"/>
      <c r="G2380" s="456"/>
      <c r="H2380" s="456"/>
    </row>
    <row r="2381" spans="1:8" ht="13.5" customHeight="1">
      <c r="A2381" s="456">
        <v>9377</v>
      </c>
      <c r="B2381" s="457"/>
      <c r="C2381" s="456"/>
      <c r="D2381" s="456">
        <f>IF(Table11[[#This Row],[Current Age]]&gt;19,"Women's",IF(E2381&gt;15,"U19",IF(E2381&gt;13,"U15",IF(E2381&gt;11,"U13",IF(E2381&gt;0,"U11",0)))))</f>
        <v>0</v>
      </c>
      <c r="E2381" s="456">
        <f>IFERROR(IF(Table11[[#This Row],[Year]]&gt;0,$E$1-Table11[[#This Row],[Year]],0),"")</f>
        <v>0</v>
      </c>
      <c r="F2381" s="456"/>
      <c r="G2381" s="456"/>
      <c r="H2381" s="456"/>
    </row>
    <row r="2382" spans="1:8" ht="13.5" customHeight="1">
      <c r="A2382" s="471">
        <v>9378</v>
      </c>
      <c r="B2382" s="540"/>
      <c r="C2382" s="471"/>
      <c r="D2382" s="456">
        <f>IF(Table11[[#This Row],[Current Age]]&gt;19,"Women's",IF(E2382&gt;15,"U19",IF(E2382&gt;13,"U15",IF(E2382&gt;11,"U13",IF(E2382&gt;0,"U11",0)))))</f>
        <v>0</v>
      </c>
      <c r="E2382" s="456">
        <f>IFERROR(IF(Table11[[#This Row],[Year]]&gt;0,$E$1-Table11[[#This Row],[Year]],0),"")</f>
        <v>0</v>
      </c>
      <c r="F2382" s="456"/>
      <c r="G2382" s="456"/>
      <c r="H2382" s="456"/>
    </row>
    <row r="2383" spans="1:8" ht="13.5" customHeight="1">
      <c r="A2383" s="456">
        <v>9379</v>
      </c>
      <c r="B2383" s="457"/>
      <c r="C2383" s="456"/>
      <c r="D2383" s="456">
        <f>IF(Table11[[#This Row],[Current Age]]&gt;19,"Women's",IF(E2383&gt;15,"U19",IF(E2383&gt;13,"U15",IF(E2383&gt;11,"U13",IF(E2383&gt;0,"U11",0)))))</f>
        <v>0</v>
      </c>
      <c r="E2383" s="456">
        <f>IFERROR(IF(Table11[[#This Row],[Year]]&gt;0,$E$1-Table11[[#This Row],[Year]],0),"")</f>
        <v>0</v>
      </c>
      <c r="F2383" s="456"/>
      <c r="G2383" s="456"/>
      <c r="H2383" s="456"/>
    </row>
    <row r="2384" spans="1:8" ht="13.5" customHeight="1">
      <c r="A2384" s="471">
        <v>9380</v>
      </c>
      <c r="B2384" s="540"/>
      <c r="C2384" s="471"/>
      <c r="D2384" s="456">
        <f>IF(Table11[[#This Row],[Current Age]]&gt;19,"Women's",IF(E2384&gt;15,"U19",IF(E2384&gt;13,"U15",IF(E2384&gt;11,"U13",IF(E2384&gt;0,"U11",0)))))</f>
        <v>0</v>
      </c>
      <c r="E2384" s="456">
        <f>IFERROR(IF(Table11[[#This Row],[Year]]&gt;0,$E$1-Table11[[#This Row],[Year]],0),"")</f>
        <v>0</v>
      </c>
      <c r="F2384" s="456"/>
      <c r="G2384" s="456"/>
      <c r="H2384" s="456"/>
    </row>
    <row r="2385" spans="1:8" ht="13.5" customHeight="1">
      <c r="A2385" s="456">
        <v>9381</v>
      </c>
      <c r="B2385" s="457"/>
      <c r="C2385" s="456"/>
      <c r="D2385" s="456">
        <f>IF(Table11[[#This Row],[Current Age]]&gt;19,"Women's",IF(E2385&gt;15,"U19",IF(E2385&gt;13,"U15",IF(E2385&gt;11,"U13",IF(E2385&gt;0,"U11",0)))))</f>
        <v>0</v>
      </c>
      <c r="E2385" s="456">
        <f>IFERROR(IF(Table11[[#This Row],[Year]]&gt;0,$E$1-Table11[[#This Row],[Year]],0),"")</f>
        <v>0</v>
      </c>
      <c r="F2385" s="456"/>
      <c r="G2385" s="456"/>
      <c r="H2385" s="456"/>
    </row>
    <row r="2386" spans="1:8" ht="13.5" customHeight="1">
      <c r="A2386" s="471">
        <v>9382</v>
      </c>
      <c r="B2386" s="540"/>
      <c r="C2386" s="471"/>
      <c r="D2386" s="456">
        <f>IF(Table11[[#This Row],[Current Age]]&gt;19,"Women's",IF(E2386&gt;15,"U19",IF(E2386&gt;13,"U15",IF(E2386&gt;11,"U13",IF(E2386&gt;0,"U11",0)))))</f>
        <v>0</v>
      </c>
      <c r="E2386" s="456">
        <f>IFERROR(IF(Table11[[#This Row],[Year]]&gt;0,$E$1-Table11[[#This Row],[Year]],0),"")</f>
        <v>0</v>
      </c>
      <c r="F2386" s="456"/>
      <c r="G2386" s="456"/>
      <c r="H2386" s="456"/>
    </row>
    <row r="2387" spans="1:8" ht="13.5" customHeight="1">
      <c r="A2387" s="456">
        <v>9383</v>
      </c>
      <c r="B2387" s="457"/>
      <c r="C2387" s="456"/>
      <c r="D2387" s="456">
        <f>IF(Table11[[#This Row],[Current Age]]&gt;19,"Women's",IF(E2387&gt;15,"U19",IF(E2387&gt;13,"U15",IF(E2387&gt;11,"U13",IF(E2387&gt;0,"U11",0)))))</f>
        <v>0</v>
      </c>
      <c r="E2387" s="456">
        <f>IFERROR(IF(Table11[[#This Row],[Year]]&gt;0,$E$1-Table11[[#This Row],[Year]],0),"")</f>
        <v>0</v>
      </c>
      <c r="F2387" s="456"/>
      <c r="G2387" s="456"/>
      <c r="H2387" s="456"/>
    </row>
    <row r="2388" spans="1:8" ht="13.5" customHeight="1">
      <c r="A2388" s="471">
        <v>9384</v>
      </c>
      <c r="B2388" s="540"/>
      <c r="C2388" s="471"/>
      <c r="D2388" s="456">
        <f>IF(Table11[[#This Row],[Current Age]]&gt;19,"Women's",IF(E2388&gt;15,"U19",IF(E2388&gt;13,"U15",IF(E2388&gt;11,"U13",IF(E2388&gt;0,"U11",0)))))</f>
        <v>0</v>
      </c>
      <c r="E2388" s="456">
        <f>IFERROR(IF(Table11[[#This Row],[Year]]&gt;0,$E$1-Table11[[#This Row],[Year]],0),"")</f>
        <v>0</v>
      </c>
      <c r="F2388" s="456"/>
      <c r="G2388" s="456"/>
      <c r="H2388" s="456"/>
    </row>
    <row r="2389" spans="1:8" ht="13.5" customHeight="1">
      <c r="A2389" s="456">
        <v>9385</v>
      </c>
      <c r="B2389" s="457"/>
      <c r="C2389" s="456"/>
      <c r="D2389" s="456">
        <f>IF(Table11[[#This Row],[Current Age]]&gt;19,"Women's",IF(E2389&gt;15,"U19",IF(E2389&gt;13,"U15",IF(E2389&gt;11,"U13",IF(E2389&gt;0,"U11",0)))))</f>
        <v>0</v>
      </c>
      <c r="E2389" s="456">
        <f>IFERROR(IF(Table11[[#This Row],[Year]]&gt;0,$E$1-Table11[[#This Row],[Year]],0),"")</f>
        <v>0</v>
      </c>
      <c r="F2389" s="456"/>
      <c r="G2389" s="456"/>
      <c r="H2389" s="456"/>
    </row>
    <row r="2390" spans="1:8" ht="13.5" customHeight="1">
      <c r="A2390" s="471">
        <v>9386</v>
      </c>
      <c r="B2390" s="540"/>
      <c r="C2390" s="471"/>
      <c r="D2390" s="456">
        <f>IF(Table11[[#This Row],[Current Age]]&gt;19,"Women's",IF(E2390&gt;15,"U19",IF(E2390&gt;13,"U15",IF(E2390&gt;11,"U13",IF(E2390&gt;0,"U11",0)))))</f>
        <v>0</v>
      </c>
      <c r="E2390" s="456">
        <f>IFERROR(IF(Table11[[#This Row],[Year]]&gt;0,$E$1-Table11[[#This Row],[Year]],0),"")</f>
        <v>0</v>
      </c>
      <c r="F2390" s="456"/>
      <c r="G2390" s="456"/>
      <c r="H2390" s="456"/>
    </row>
    <row r="2391" spans="1:8" ht="13.5" customHeight="1">
      <c r="A2391" s="456">
        <v>9387</v>
      </c>
      <c r="B2391" s="457"/>
      <c r="C2391" s="456"/>
      <c r="D2391" s="456">
        <f>IF(Table11[[#This Row],[Current Age]]&gt;19,"Women's",IF(E2391&gt;15,"U19",IF(E2391&gt;13,"U15",IF(E2391&gt;11,"U13",IF(E2391&gt;0,"U11",0)))))</f>
        <v>0</v>
      </c>
      <c r="E2391" s="456">
        <f>IFERROR(IF(Table11[[#This Row],[Year]]&gt;0,$E$1-Table11[[#This Row],[Year]],0),"")</f>
        <v>0</v>
      </c>
      <c r="F2391" s="456"/>
      <c r="G2391" s="456"/>
      <c r="H2391" s="456"/>
    </row>
    <row r="2392" spans="1:8" ht="13.5" customHeight="1">
      <c r="A2392" s="471">
        <v>9388</v>
      </c>
      <c r="B2392" s="540"/>
      <c r="C2392" s="471"/>
      <c r="D2392" s="456">
        <f>IF(Table11[[#This Row],[Current Age]]&gt;19,"Women's",IF(E2392&gt;15,"U19",IF(E2392&gt;13,"U15",IF(E2392&gt;11,"U13",IF(E2392&gt;0,"U11",0)))))</f>
        <v>0</v>
      </c>
      <c r="E2392" s="456">
        <f>IFERROR(IF(Table11[[#This Row],[Year]]&gt;0,$E$1-Table11[[#This Row],[Year]],0),"")</f>
        <v>0</v>
      </c>
      <c r="F2392" s="456"/>
      <c r="G2392" s="456"/>
      <c r="H2392" s="456"/>
    </row>
    <row r="2393" spans="1:8" ht="13.5" customHeight="1">
      <c r="A2393" s="456">
        <v>9389</v>
      </c>
      <c r="B2393" s="457"/>
      <c r="C2393" s="456"/>
      <c r="D2393" s="456">
        <f>IF(Table11[[#This Row],[Current Age]]&gt;19,"Women's",IF(E2393&gt;15,"U19",IF(E2393&gt;13,"U15",IF(E2393&gt;11,"U13",IF(E2393&gt;0,"U11",0)))))</f>
        <v>0</v>
      </c>
      <c r="E2393" s="456">
        <f>IFERROR(IF(Table11[[#This Row],[Year]]&gt;0,$E$1-Table11[[#This Row],[Year]],0),"")</f>
        <v>0</v>
      </c>
      <c r="F2393" s="456"/>
      <c r="G2393" s="456"/>
      <c r="H2393" s="456"/>
    </row>
    <row r="2394" spans="1:8" ht="13.5" customHeight="1">
      <c r="A2394" s="471">
        <v>9390</v>
      </c>
      <c r="B2394" s="540"/>
      <c r="C2394" s="471"/>
      <c r="D2394" s="456">
        <f>IF(Table11[[#This Row],[Current Age]]&gt;19,"Women's",IF(E2394&gt;15,"U19",IF(E2394&gt;13,"U15",IF(E2394&gt;11,"U13",IF(E2394&gt;0,"U11",0)))))</f>
        <v>0</v>
      </c>
      <c r="E2394" s="456">
        <f>IFERROR(IF(Table11[[#This Row],[Year]]&gt;0,$E$1-Table11[[#This Row],[Year]],0),"")</f>
        <v>0</v>
      </c>
      <c r="F2394" s="456"/>
      <c r="G2394" s="456"/>
      <c r="H2394" s="456"/>
    </row>
    <row r="2395" spans="1:8" ht="13.5" customHeight="1">
      <c r="A2395" s="456">
        <v>9391</v>
      </c>
      <c r="B2395" s="457"/>
      <c r="C2395" s="456"/>
      <c r="D2395" s="456">
        <f>IF(Table11[[#This Row],[Current Age]]&gt;19,"Women's",IF(E2395&gt;15,"U19",IF(E2395&gt;13,"U15",IF(E2395&gt;11,"U13",IF(E2395&gt;0,"U11",0)))))</f>
        <v>0</v>
      </c>
      <c r="E2395" s="456">
        <f>IFERROR(IF(Table11[[#This Row],[Year]]&gt;0,$E$1-Table11[[#This Row],[Year]],0),"")</f>
        <v>0</v>
      </c>
      <c r="F2395" s="456"/>
      <c r="G2395" s="456"/>
      <c r="H2395" s="456"/>
    </row>
    <row r="2396" spans="1:8" ht="13.5" customHeight="1">
      <c r="A2396" s="471">
        <v>9392</v>
      </c>
      <c r="B2396" s="540"/>
      <c r="C2396" s="471"/>
      <c r="D2396" s="456">
        <f>IF(Table11[[#This Row],[Current Age]]&gt;19,"Women's",IF(E2396&gt;15,"U19",IF(E2396&gt;13,"U15",IF(E2396&gt;11,"U13",IF(E2396&gt;0,"U11",0)))))</f>
        <v>0</v>
      </c>
      <c r="E2396" s="456">
        <f>IFERROR(IF(Table11[[#This Row],[Year]]&gt;0,$E$1-Table11[[#This Row],[Year]],0),"")</f>
        <v>0</v>
      </c>
      <c r="F2396" s="456"/>
      <c r="G2396" s="456"/>
      <c r="H2396" s="456"/>
    </row>
    <row r="2397" spans="1:8" ht="13.5" customHeight="1">
      <c r="A2397" s="456">
        <v>9393</v>
      </c>
      <c r="B2397" s="457"/>
      <c r="C2397" s="456"/>
      <c r="D2397" s="456">
        <f>IF(Table11[[#This Row],[Current Age]]&gt;19,"Women's",IF(E2397&gt;15,"U19",IF(E2397&gt;13,"U15",IF(E2397&gt;11,"U13",IF(E2397&gt;0,"U11",0)))))</f>
        <v>0</v>
      </c>
      <c r="E2397" s="456">
        <f>IFERROR(IF(Table11[[#This Row],[Year]]&gt;0,$E$1-Table11[[#This Row],[Year]],0),"")</f>
        <v>0</v>
      </c>
      <c r="F2397" s="456"/>
      <c r="G2397" s="456"/>
      <c r="H2397" s="456"/>
    </row>
    <row r="2398" spans="1:8" ht="13.5" customHeight="1">
      <c r="A2398" s="471">
        <v>9394</v>
      </c>
      <c r="B2398" s="540"/>
      <c r="C2398" s="471"/>
      <c r="D2398" s="456">
        <f>IF(Table11[[#This Row],[Current Age]]&gt;19,"Women's",IF(E2398&gt;15,"U19",IF(E2398&gt;13,"U15",IF(E2398&gt;11,"U13",IF(E2398&gt;0,"U11",0)))))</f>
        <v>0</v>
      </c>
      <c r="E2398" s="456">
        <f>IFERROR(IF(Table11[[#This Row],[Year]]&gt;0,$E$1-Table11[[#This Row],[Year]],0),"")</f>
        <v>0</v>
      </c>
      <c r="F2398" s="456"/>
      <c r="G2398" s="456"/>
      <c r="H2398" s="456"/>
    </row>
    <row r="2399" spans="1:8" ht="13.5" customHeight="1">
      <c r="A2399" s="456">
        <v>9395</v>
      </c>
      <c r="B2399" s="457"/>
      <c r="C2399" s="456"/>
      <c r="D2399" s="456">
        <f>IF(Table11[[#This Row],[Current Age]]&gt;19,"Women's",IF(E2399&gt;15,"U19",IF(E2399&gt;13,"U15",IF(E2399&gt;11,"U13",IF(E2399&gt;0,"U11",0)))))</f>
        <v>0</v>
      </c>
      <c r="E2399" s="456">
        <f>IFERROR(IF(Table11[[#This Row],[Year]]&gt;0,$E$1-Table11[[#This Row],[Year]],0),"")</f>
        <v>0</v>
      </c>
      <c r="F2399" s="456"/>
      <c r="G2399" s="456"/>
      <c r="H2399" s="456"/>
    </row>
    <row r="2400" spans="1:8" ht="13.5" customHeight="1">
      <c r="A2400" s="471">
        <v>9396</v>
      </c>
      <c r="B2400" s="540"/>
      <c r="C2400" s="471"/>
      <c r="D2400" s="456">
        <f>IF(Table11[[#This Row],[Current Age]]&gt;19,"Women's",IF(E2400&gt;15,"U19",IF(E2400&gt;13,"U15",IF(E2400&gt;11,"U13",IF(E2400&gt;0,"U11",0)))))</f>
        <v>0</v>
      </c>
      <c r="E2400" s="456">
        <f>IFERROR(IF(Table11[[#This Row],[Year]]&gt;0,$E$1-Table11[[#This Row],[Year]],0),"")</f>
        <v>0</v>
      </c>
      <c r="F2400" s="456"/>
      <c r="G2400" s="456"/>
      <c r="H2400" s="456"/>
    </row>
    <row r="2401" spans="1:8" ht="13.5" customHeight="1">
      <c r="A2401" s="456">
        <v>9397</v>
      </c>
      <c r="B2401" s="457"/>
      <c r="C2401" s="456"/>
      <c r="D2401" s="456">
        <f>IF(Table11[[#This Row],[Current Age]]&gt;19,"Women's",IF(E2401&gt;15,"U19",IF(E2401&gt;13,"U15",IF(E2401&gt;11,"U13",IF(E2401&gt;0,"U11",0)))))</f>
        <v>0</v>
      </c>
      <c r="E2401" s="456">
        <f>IFERROR(IF(Table11[[#This Row],[Year]]&gt;0,$E$1-Table11[[#This Row],[Year]],0),"")</f>
        <v>0</v>
      </c>
      <c r="F2401" s="456"/>
      <c r="G2401" s="456"/>
      <c r="H2401" s="456"/>
    </row>
    <row r="2402" spans="1:8" ht="13.5" customHeight="1">
      <c r="A2402" s="471">
        <v>9398</v>
      </c>
      <c r="B2402" s="540"/>
      <c r="C2402" s="471"/>
      <c r="D2402" s="456">
        <f>IF(Table11[[#This Row],[Current Age]]&gt;19,"Women's",IF(E2402&gt;15,"U19",IF(E2402&gt;13,"U15",IF(E2402&gt;11,"U13",IF(E2402&gt;0,"U11",0)))))</f>
        <v>0</v>
      </c>
      <c r="E2402" s="456">
        <f>IFERROR(IF(Table11[[#This Row],[Year]]&gt;0,$E$1-Table11[[#This Row],[Year]],0),"")</f>
        <v>0</v>
      </c>
      <c r="F2402" s="456"/>
      <c r="G2402" s="456"/>
      <c r="H2402" s="456"/>
    </row>
    <row r="2403" spans="1:8" ht="13.5" customHeight="1">
      <c r="A2403" s="456">
        <v>9399</v>
      </c>
      <c r="B2403" s="457"/>
      <c r="C2403" s="456"/>
      <c r="D2403" s="456">
        <f>IF(Table11[[#This Row],[Current Age]]&gt;19,"Women's",IF(E2403&gt;15,"U19",IF(E2403&gt;13,"U15",IF(E2403&gt;11,"U13",IF(E2403&gt;0,"U11",0)))))</f>
        <v>0</v>
      </c>
      <c r="E2403" s="456">
        <f>IFERROR(IF(Table11[[#This Row],[Year]]&gt;0,$E$1-Table11[[#This Row],[Year]],0),"")</f>
        <v>0</v>
      </c>
      <c r="F2403" s="456"/>
      <c r="G2403" s="456"/>
      <c r="H2403" s="456"/>
    </row>
    <row r="2404" spans="1:8" ht="13.5" customHeight="1">
      <c r="A2404" s="471">
        <v>9400</v>
      </c>
      <c r="B2404" s="540"/>
      <c r="C2404" s="471"/>
      <c r="D2404" s="456">
        <f>IF(Table11[[#This Row],[Current Age]]&gt;19,"Women's",IF(E2404&gt;15,"U19",IF(E2404&gt;13,"U15",IF(E2404&gt;11,"U13",IF(E2404&gt;0,"U11",0)))))</f>
        <v>0</v>
      </c>
      <c r="E2404" s="456">
        <f>IFERROR(IF(Table11[[#This Row],[Year]]&gt;0,$E$1-Table11[[#This Row],[Year]],0),"")</f>
        <v>0</v>
      </c>
      <c r="F2404" s="456"/>
      <c r="G2404" s="456"/>
      <c r="H2404" s="456"/>
    </row>
    <row r="2405" spans="1:8" ht="13.5" customHeight="1">
      <c r="A2405" s="456">
        <v>9401</v>
      </c>
      <c r="B2405" s="457"/>
      <c r="C2405" s="456"/>
      <c r="D2405" s="456">
        <f>IF(Table11[[#This Row],[Current Age]]&gt;19,"Women's",IF(E2405&gt;15,"U19",IF(E2405&gt;13,"U15",IF(E2405&gt;11,"U13",IF(E2405&gt;0,"U11",0)))))</f>
        <v>0</v>
      </c>
      <c r="E2405" s="456">
        <f>IFERROR(IF(Table11[[#This Row],[Year]]&gt;0,$E$1-Table11[[#This Row],[Year]],0),"")</f>
        <v>0</v>
      </c>
      <c r="F2405" s="456"/>
      <c r="G2405" s="456"/>
      <c r="H2405" s="456"/>
    </row>
    <row r="2406" spans="1:8" ht="13.5" customHeight="1">
      <c r="A2406" s="471">
        <v>9402</v>
      </c>
      <c r="B2406" s="540"/>
      <c r="C2406" s="471"/>
      <c r="D2406" s="456">
        <f>IF(Table11[[#This Row],[Current Age]]&gt;19,"Women's",IF(E2406&gt;15,"U19",IF(E2406&gt;13,"U15",IF(E2406&gt;11,"U13",IF(E2406&gt;0,"U11",0)))))</f>
        <v>0</v>
      </c>
      <c r="E2406" s="456">
        <f>IFERROR(IF(Table11[[#This Row],[Year]]&gt;0,$E$1-Table11[[#This Row],[Year]],0),"")</f>
        <v>0</v>
      </c>
      <c r="F2406" s="456"/>
      <c r="G2406" s="456"/>
      <c r="H2406" s="456"/>
    </row>
    <row r="2407" spans="1:8" ht="13.5" customHeight="1">
      <c r="A2407" s="456">
        <v>9403</v>
      </c>
      <c r="B2407" s="457"/>
      <c r="C2407" s="456"/>
      <c r="D2407" s="456">
        <f>IF(Table11[[#This Row],[Current Age]]&gt;19,"Women's",IF(E2407&gt;15,"U19",IF(E2407&gt;13,"U15",IF(E2407&gt;11,"U13",IF(E2407&gt;0,"U11",0)))))</f>
        <v>0</v>
      </c>
      <c r="E2407" s="456">
        <f>IFERROR(IF(Table11[[#This Row],[Year]]&gt;0,$E$1-Table11[[#This Row],[Year]],0),"")</f>
        <v>0</v>
      </c>
      <c r="F2407" s="456"/>
      <c r="G2407" s="456"/>
      <c r="H2407" s="456"/>
    </row>
    <row r="2408" spans="1:8" ht="13.5" customHeight="1">
      <c r="A2408" s="471">
        <v>9404</v>
      </c>
      <c r="B2408" s="540"/>
      <c r="C2408" s="471"/>
      <c r="D2408" s="456">
        <f>IF(Table11[[#This Row],[Current Age]]&gt;19,"Women's",IF(E2408&gt;15,"U19",IF(E2408&gt;13,"U15",IF(E2408&gt;11,"U13",IF(E2408&gt;0,"U11",0)))))</f>
        <v>0</v>
      </c>
      <c r="E2408" s="456">
        <f>IFERROR(IF(Table11[[#This Row],[Year]]&gt;0,$E$1-Table11[[#This Row],[Year]],0),"")</f>
        <v>0</v>
      </c>
      <c r="F2408" s="456"/>
      <c r="G2408" s="456"/>
      <c r="H2408" s="456"/>
    </row>
    <row r="2409" spans="1:8" ht="13.5" customHeight="1">
      <c r="A2409" s="456">
        <v>9405</v>
      </c>
      <c r="B2409" s="457"/>
      <c r="C2409" s="456"/>
      <c r="D2409" s="456">
        <f>IF(Table11[[#This Row],[Current Age]]&gt;19,"Women's",IF(E2409&gt;15,"U19",IF(E2409&gt;13,"U15",IF(E2409&gt;11,"U13",IF(E2409&gt;0,"U11",0)))))</f>
        <v>0</v>
      </c>
      <c r="E2409" s="456">
        <f>IFERROR(IF(Table11[[#This Row],[Year]]&gt;0,$E$1-Table11[[#This Row],[Year]],0),"")</f>
        <v>0</v>
      </c>
      <c r="F2409" s="456"/>
      <c r="G2409" s="456"/>
      <c r="H2409" s="456"/>
    </row>
    <row r="2410" spans="1:8" ht="13.5" customHeight="1">
      <c r="A2410" s="471">
        <v>9406</v>
      </c>
      <c r="B2410" s="540"/>
      <c r="C2410" s="471"/>
      <c r="D2410" s="456">
        <f>IF(Table11[[#This Row],[Current Age]]&gt;19,"Women's",IF(E2410&gt;15,"U19",IF(E2410&gt;13,"U15",IF(E2410&gt;11,"U13",IF(E2410&gt;0,"U11",0)))))</f>
        <v>0</v>
      </c>
      <c r="E2410" s="456">
        <f>IFERROR(IF(Table11[[#This Row],[Year]]&gt;0,$E$1-Table11[[#This Row],[Year]],0),"")</f>
        <v>0</v>
      </c>
      <c r="F2410" s="456"/>
      <c r="G2410" s="456"/>
      <c r="H2410" s="456"/>
    </row>
    <row r="2411" spans="1:8" ht="13.5" customHeight="1">
      <c r="A2411" s="456">
        <v>9407</v>
      </c>
      <c r="B2411" s="457"/>
      <c r="C2411" s="456"/>
      <c r="D2411" s="456">
        <f>IF(Table11[[#This Row],[Current Age]]&gt;19,"Women's",IF(E2411&gt;15,"U19",IF(E2411&gt;13,"U15",IF(E2411&gt;11,"U13",IF(E2411&gt;0,"U11",0)))))</f>
        <v>0</v>
      </c>
      <c r="E2411" s="456">
        <f>IFERROR(IF(Table11[[#This Row],[Year]]&gt;0,$E$1-Table11[[#This Row],[Year]],0),"")</f>
        <v>0</v>
      </c>
      <c r="F2411" s="456"/>
      <c r="G2411" s="456"/>
      <c r="H2411" s="456"/>
    </row>
    <row r="2412" spans="1:8" ht="13.5" customHeight="1">
      <c r="A2412" s="471">
        <v>9408</v>
      </c>
      <c r="B2412" s="540"/>
      <c r="C2412" s="471"/>
      <c r="D2412" s="456">
        <f>IF(Table11[[#This Row],[Current Age]]&gt;19,"Women's",IF(E2412&gt;15,"U19",IF(E2412&gt;13,"U15",IF(E2412&gt;11,"U13",IF(E2412&gt;0,"U11",0)))))</f>
        <v>0</v>
      </c>
      <c r="E2412" s="456">
        <f>IFERROR(IF(Table11[[#This Row],[Year]]&gt;0,$E$1-Table11[[#This Row],[Year]],0),"")</f>
        <v>0</v>
      </c>
      <c r="F2412" s="456"/>
      <c r="G2412" s="456"/>
      <c r="H2412" s="456"/>
    </row>
    <row r="2413" spans="1:8" ht="13.5" customHeight="1">
      <c r="A2413" s="456">
        <v>9409</v>
      </c>
      <c r="B2413" s="457"/>
      <c r="C2413" s="456"/>
      <c r="D2413" s="456">
        <f>IF(Table11[[#This Row],[Current Age]]&gt;19,"Women's",IF(E2413&gt;15,"U19",IF(E2413&gt;13,"U15",IF(E2413&gt;11,"U13",IF(E2413&gt;0,"U11",0)))))</f>
        <v>0</v>
      </c>
      <c r="E2413" s="456">
        <f>IFERROR(IF(Table11[[#This Row],[Year]]&gt;0,$E$1-Table11[[#This Row],[Year]],0),"")</f>
        <v>0</v>
      </c>
      <c r="F2413" s="456"/>
      <c r="G2413" s="456"/>
      <c r="H2413" s="456"/>
    </row>
    <row r="2414" spans="1:8" ht="13.5" customHeight="1">
      <c r="A2414" s="471">
        <v>9410</v>
      </c>
      <c r="B2414" s="540"/>
      <c r="C2414" s="471"/>
      <c r="D2414" s="456">
        <f>IF(Table11[[#This Row],[Current Age]]&gt;19,"Women's",IF(E2414&gt;15,"U19",IF(E2414&gt;13,"U15",IF(E2414&gt;11,"U13",IF(E2414&gt;0,"U11",0)))))</f>
        <v>0</v>
      </c>
      <c r="E2414" s="456">
        <f>IFERROR(IF(Table11[[#This Row],[Year]]&gt;0,$E$1-Table11[[#This Row],[Year]],0),"")</f>
        <v>0</v>
      </c>
      <c r="F2414" s="456"/>
      <c r="G2414" s="456"/>
      <c r="H2414" s="456"/>
    </row>
    <row r="2415" spans="1:8" ht="13.5" customHeight="1">
      <c r="A2415" s="456">
        <v>9411</v>
      </c>
      <c r="B2415" s="457"/>
      <c r="C2415" s="456"/>
      <c r="D2415" s="456">
        <f>IF(Table11[[#This Row],[Current Age]]&gt;19,"Women's",IF(E2415&gt;15,"U19",IF(E2415&gt;13,"U15",IF(E2415&gt;11,"U13",IF(E2415&gt;0,"U11",0)))))</f>
        <v>0</v>
      </c>
      <c r="E2415" s="456">
        <f>IFERROR(IF(Table11[[#This Row],[Year]]&gt;0,$E$1-Table11[[#This Row],[Year]],0),"")</f>
        <v>0</v>
      </c>
      <c r="F2415" s="456"/>
      <c r="G2415" s="456"/>
      <c r="H2415" s="456"/>
    </row>
    <row r="2416" spans="1:8" ht="13.5" customHeight="1">
      <c r="A2416" s="471">
        <v>9412</v>
      </c>
      <c r="B2416" s="540"/>
      <c r="C2416" s="471"/>
      <c r="D2416" s="456">
        <f>IF(Table11[[#This Row],[Current Age]]&gt;19,"Women's",IF(E2416&gt;15,"U19",IF(E2416&gt;13,"U15",IF(E2416&gt;11,"U13",IF(E2416&gt;0,"U11",0)))))</f>
        <v>0</v>
      </c>
      <c r="E2416" s="456">
        <f>IFERROR(IF(Table11[[#This Row],[Year]]&gt;0,$E$1-Table11[[#This Row],[Year]],0),"")</f>
        <v>0</v>
      </c>
      <c r="F2416" s="456"/>
      <c r="G2416" s="456"/>
      <c r="H2416" s="456"/>
    </row>
    <row r="2417" spans="1:8" ht="13.5" customHeight="1">
      <c r="A2417" s="456">
        <v>9413</v>
      </c>
      <c r="B2417" s="457"/>
      <c r="C2417" s="456"/>
      <c r="D2417" s="456">
        <f>IF(Table11[[#This Row],[Current Age]]&gt;19,"Women's",IF(E2417&gt;15,"U19",IF(E2417&gt;13,"U15",IF(E2417&gt;11,"U13",IF(E2417&gt;0,"U11",0)))))</f>
        <v>0</v>
      </c>
      <c r="E2417" s="456">
        <f>IFERROR(IF(Table11[[#This Row],[Year]]&gt;0,$E$1-Table11[[#This Row],[Year]],0),"")</f>
        <v>0</v>
      </c>
      <c r="F2417" s="456"/>
      <c r="G2417" s="456"/>
      <c r="H2417" s="456"/>
    </row>
    <row r="2418" spans="1:8" ht="13.5" customHeight="1">
      <c r="A2418" s="471">
        <v>9414</v>
      </c>
      <c r="B2418" s="540"/>
      <c r="C2418" s="471"/>
      <c r="D2418" s="456">
        <f>IF(Table11[[#This Row],[Current Age]]&gt;19,"Women's",IF(E2418&gt;15,"U19",IF(E2418&gt;13,"U15",IF(E2418&gt;11,"U13",IF(E2418&gt;0,"U11",0)))))</f>
        <v>0</v>
      </c>
      <c r="E2418" s="456">
        <f>IFERROR(IF(Table11[[#This Row],[Year]]&gt;0,$E$1-Table11[[#This Row],[Year]],0),"")</f>
        <v>0</v>
      </c>
      <c r="F2418" s="456"/>
      <c r="G2418" s="456"/>
      <c r="H2418" s="456"/>
    </row>
    <row r="2419" spans="1:8" ht="13.5" customHeight="1">
      <c r="A2419" s="456">
        <v>9415</v>
      </c>
      <c r="B2419" s="457"/>
      <c r="C2419" s="456"/>
      <c r="D2419" s="456">
        <f>IF(Table11[[#This Row],[Current Age]]&gt;19,"Women's",IF(E2419&gt;15,"U19",IF(E2419&gt;13,"U15",IF(E2419&gt;11,"U13",IF(E2419&gt;0,"U11",0)))))</f>
        <v>0</v>
      </c>
      <c r="E2419" s="456">
        <f>IFERROR(IF(Table11[[#This Row],[Year]]&gt;0,$E$1-Table11[[#This Row],[Year]],0),"")</f>
        <v>0</v>
      </c>
      <c r="F2419" s="456"/>
      <c r="G2419" s="456"/>
      <c r="H2419" s="456"/>
    </row>
    <row r="2420" spans="1:8" ht="13.5" customHeight="1">
      <c r="A2420" s="471">
        <v>9416</v>
      </c>
      <c r="B2420" s="540"/>
      <c r="C2420" s="471"/>
      <c r="D2420" s="456">
        <f>IF(Table11[[#This Row],[Current Age]]&gt;19,"Women's",IF(E2420&gt;15,"U19",IF(E2420&gt;13,"U15",IF(E2420&gt;11,"U13",IF(E2420&gt;0,"U11",0)))))</f>
        <v>0</v>
      </c>
      <c r="E2420" s="456">
        <f>IFERROR(IF(Table11[[#This Row],[Year]]&gt;0,$E$1-Table11[[#This Row],[Year]],0),"")</f>
        <v>0</v>
      </c>
      <c r="F2420" s="456"/>
      <c r="G2420" s="456"/>
      <c r="H2420" s="456"/>
    </row>
    <row r="2421" spans="1:8" ht="13.5" customHeight="1">
      <c r="A2421" s="456">
        <v>9417</v>
      </c>
      <c r="B2421" s="457"/>
      <c r="C2421" s="456"/>
      <c r="D2421" s="456">
        <f>IF(Table11[[#This Row],[Current Age]]&gt;19,"Women's",IF(E2421&gt;15,"U19",IF(E2421&gt;13,"U15",IF(E2421&gt;11,"U13",IF(E2421&gt;0,"U11",0)))))</f>
        <v>0</v>
      </c>
      <c r="E2421" s="456">
        <f>IFERROR(IF(Table11[[#This Row],[Year]]&gt;0,$E$1-Table11[[#This Row],[Year]],0),"")</f>
        <v>0</v>
      </c>
      <c r="F2421" s="456"/>
      <c r="G2421" s="456"/>
      <c r="H2421" s="456"/>
    </row>
    <row r="2422" spans="1:8" ht="13.5" customHeight="1">
      <c r="A2422" s="471">
        <v>9418</v>
      </c>
      <c r="B2422" s="540"/>
      <c r="C2422" s="471"/>
      <c r="D2422" s="456">
        <f>IF(Table11[[#This Row],[Current Age]]&gt;19,"Women's",IF(E2422&gt;15,"U19",IF(E2422&gt;13,"U15",IF(E2422&gt;11,"U13",IF(E2422&gt;0,"U11",0)))))</f>
        <v>0</v>
      </c>
      <c r="E2422" s="456">
        <f>IFERROR(IF(Table11[[#This Row],[Year]]&gt;0,$E$1-Table11[[#This Row],[Year]],0),"")</f>
        <v>0</v>
      </c>
      <c r="F2422" s="456"/>
      <c r="G2422" s="456"/>
      <c r="H2422" s="456"/>
    </row>
    <row r="2423" spans="1:8" ht="13.5" customHeight="1">
      <c r="A2423" s="456">
        <v>9419</v>
      </c>
      <c r="B2423" s="457"/>
      <c r="C2423" s="456"/>
      <c r="D2423" s="456">
        <f>IF(Table11[[#This Row],[Current Age]]&gt;19,"Women's",IF(E2423&gt;15,"U19",IF(E2423&gt;13,"U15",IF(E2423&gt;11,"U13",IF(E2423&gt;0,"U11",0)))))</f>
        <v>0</v>
      </c>
      <c r="E2423" s="456">
        <f>IFERROR(IF(Table11[[#This Row],[Year]]&gt;0,$E$1-Table11[[#This Row],[Year]],0),"")</f>
        <v>0</v>
      </c>
      <c r="F2423" s="456"/>
      <c r="G2423" s="456"/>
      <c r="H2423" s="456"/>
    </row>
    <row r="2424" spans="1:8" ht="13.5" customHeight="1">
      <c r="A2424" s="471">
        <v>9420</v>
      </c>
      <c r="B2424" s="540"/>
      <c r="C2424" s="471"/>
      <c r="D2424" s="456">
        <f>IF(Table11[[#This Row],[Current Age]]&gt;19,"Women's",IF(E2424&gt;15,"U19",IF(E2424&gt;13,"U15",IF(E2424&gt;11,"U13",IF(E2424&gt;0,"U11",0)))))</f>
        <v>0</v>
      </c>
      <c r="E2424" s="456">
        <f>IFERROR(IF(Table11[[#This Row],[Year]]&gt;0,$E$1-Table11[[#This Row],[Year]],0),"")</f>
        <v>0</v>
      </c>
      <c r="F2424" s="456"/>
      <c r="G2424" s="456"/>
      <c r="H2424" s="456"/>
    </row>
    <row r="2425" spans="1:8" ht="13.5" customHeight="1">
      <c r="A2425" s="456">
        <v>9421</v>
      </c>
      <c r="B2425" s="457"/>
      <c r="C2425" s="456"/>
      <c r="D2425" s="456">
        <f>IF(Table11[[#This Row],[Current Age]]&gt;19,"Women's",IF(E2425&gt;15,"U19",IF(E2425&gt;13,"U15",IF(E2425&gt;11,"U13",IF(E2425&gt;0,"U11",0)))))</f>
        <v>0</v>
      </c>
      <c r="E2425" s="456">
        <f>IFERROR(IF(Table11[[#This Row],[Year]]&gt;0,$E$1-Table11[[#This Row],[Year]],0),"")</f>
        <v>0</v>
      </c>
      <c r="F2425" s="456"/>
      <c r="G2425" s="456"/>
      <c r="H2425" s="456"/>
    </row>
    <row r="2426" spans="1:8" ht="13.5" customHeight="1">
      <c r="A2426" s="471">
        <v>9422</v>
      </c>
      <c r="B2426" s="540"/>
      <c r="C2426" s="471"/>
      <c r="D2426" s="456">
        <f>IF(Table11[[#This Row],[Current Age]]&gt;19,"Women's",IF(E2426&gt;15,"U19",IF(E2426&gt;13,"U15",IF(E2426&gt;11,"U13",IF(E2426&gt;0,"U11",0)))))</f>
        <v>0</v>
      </c>
      <c r="E2426" s="456">
        <f>IFERROR(IF(Table11[[#This Row],[Year]]&gt;0,$E$1-Table11[[#This Row],[Year]],0),"")</f>
        <v>0</v>
      </c>
      <c r="F2426" s="456"/>
      <c r="G2426" s="456"/>
      <c r="H2426" s="456"/>
    </row>
    <row r="2427" spans="1:8" ht="13.5" customHeight="1">
      <c r="A2427" s="456">
        <v>9423</v>
      </c>
      <c r="B2427" s="457"/>
      <c r="C2427" s="456"/>
      <c r="D2427" s="456">
        <f>IF(Table11[[#This Row],[Current Age]]&gt;19,"Women's",IF(E2427&gt;15,"U19",IF(E2427&gt;13,"U15",IF(E2427&gt;11,"U13",IF(E2427&gt;0,"U11",0)))))</f>
        <v>0</v>
      </c>
      <c r="E2427" s="456">
        <f>IFERROR(IF(Table11[[#This Row],[Year]]&gt;0,$E$1-Table11[[#This Row],[Year]],0),"")</f>
        <v>0</v>
      </c>
      <c r="F2427" s="456"/>
      <c r="G2427" s="456"/>
      <c r="H2427" s="456"/>
    </row>
    <row r="2428" spans="1:8" ht="13.5" customHeight="1">
      <c r="A2428" s="471">
        <v>9424</v>
      </c>
      <c r="B2428" s="540"/>
      <c r="C2428" s="471"/>
      <c r="D2428" s="456">
        <f>IF(Table11[[#This Row],[Current Age]]&gt;19,"Women's",IF(E2428&gt;15,"U19",IF(E2428&gt;13,"U15",IF(E2428&gt;11,"U13",IF(E2428&gt;0,"U11",0)))))</f>
        <v>0</v>
      </c>
      <c r="E2428" s="456">
        <f>IFERROR(IF(Table11[[#This Row],[Year]]&gt;0,$E$1-Table11[[#This Row],[Year]],0),"")</f>
        <v>0</v>
      </c>
      <c r="F2428" s="456"/>
      <c r="G2428" s="456"/>
      <c r="H2428" s="456"/>
    </row>
    <row r="2429" spans="1:8" ht="13.5" customHeight="1">
      <c r="A2429" s="456">
        <v>9425</v>
      </c>
      <c r="B2429" s="457"/>
      <c r="C2429" s="456"/>
      <c r="D2429" s="456">
        <f>IF(Table11[[#This Row],[Current Age]]&gt;19,"Women's",IF(E2429&gt;15,"U19",IF(E2429&gt;13,"U15",IF(E2429&gt;11,"U13",IF(E2429&gt;0,"U11",0)))))</f>
        <v>0</v>
      </c>
      <c r="E2429" s="456">
        <f>IFERROR(IF(Table11[[#This Row],[Year]]&gt;0,$E$1-Table11[[#This Row],[Year]],0),"")</f>
        <v>0</v>
      </c>
      <c r="F2429" s="456"/>
      <c r="G2429" s="456"/>
      <c r="H2429" s="456"/>
    </row>
    <row r="2430" spans="1:8" ht="13.5" customHeight="1">
      <c r="A2430" s="471">
        <v>9426</v>
      </c>
      <c r="B2430" s="540"/>
      <c r="C2430" s="471"/>
      <c r="D2430" s="456">
        <f>IF(Table11[[#This Row],[Current Age]]&gt;19,"Women's",IF(E2430&gt;15,"U19",IF(E2430&gt;13,"U15",IF(E2430&gt;11,"U13",IF(E2430&gt;0,"U11",0)))))</f>
        <v>0</v>
      </c>
      <c r="E2430" s="456">
        <f>IFERROR(IF(Table11[[#This Row],[Year]]&gt;0,$E$1-Table11[[#This Row],[Year]],0),"")</f>
        <v>0</v>
      </c>
      <c r="F2430" s="456"/>
      <c r="G2430" s="456"/>
      <c r="H2430" s="456"/>
    </row>
    <row r="2431" spans="1:8" ht="13.5" customHeight="1">
      <c r="A2431" s="456">
        <v>9427</v>
      </c>
      <c r="B2431" s="457"/>
      <c r="C2431" s="456"/>
      <c r="D2431" s="456">
        <f>IF(Table11[[#This Row],[Current Age]]&gt;19,"Women's",IF(E2431&gt;15,"U19",IF(E2431&gt;13,"U15",IF(E2431&gt;11,"U13",IF(E2431&gt;0,"U11",0)))))</f>
        <v>0</v>
      </c>
      <c r="E2431" s="456">
        <f>IFERROR(IF(Table11[[#This Row],[Year]]&gt;0,$E$1-Table11[[#This Row],[Year]],0),"")</f>
        <v>0</v>
      </c>
      <c r="F2431" s="456"/>
      <c r="G2431" s="456"/>
      <c r="H2431" s="456"/>
    </row>
    <row r="2432" spans="1:8" ht="13.5" customHeight="1">
      <c r="A2432" s="471">
        <v>9428</v>
      </c>
      <c r="B2432" s="540"/>
      <c r="C2432" s="471"/>
      <c r="D2432" s="456">
        <f>IF(Table11[[#This Row],[Current Age]]&gt;19,"Women's",IF(E2432&gt;15,"U19",IF(E2432&gt;13,"U15",IF(E2432&gt;11,"U13",IF(E2432&gt;0,"U11",0)))))</f>
        <v>0</v>
      </c>
      <c r="E2432" s="456">
        <f>IFERROR(IF(Table11[[#This Row],[Year]]&gt;0,$E$1-Table11[[#This Row],[Year]],0),"")</f>
        <v>0</v>
      </c>
      <c r="F2432" s="456"/>
      <c r="G2432" s="456"/>
      <c r="H2432" s="456"/>
    </row>
    <row r="2433" spans="1:8" ht="13.5" customHeight="1">
      <c r="A2433" s="456">
        <v>9429</v>
      </c>
      <c r="B2433" s="457"/>
      <c r="C2433" s="456"/>
      <c r="D2433" s="456">
        <f>IF(Table11[[#This Row],[Current Age]]&gt;19,"Women's",IF(E2433&gt;15,"U19",IF(E2433&gt;13,"U15",IF(E2433&gt;11,"U13",IF(E2433&gt;0,"U11",0)))))</f>
        <v>0</v>
      </c>
      <c r="E2433" s="456">
        <f>IFERROR(IF(Table11[[#This Row],[Year]]&gt;0,$E$1-Table11[[#This Row],[Year]],0),"")</f>
        <v>0</v>
      </c>
      <c r="F2433" s="456"/>
      <c r="G2433" s="456"/>
      <c r="H2433" s="456"/>
    </row>
    <row r="2434" spans="1:8" ht="13.5" customHeight="1">
      <c r="A2434" s="471">
        <v>9430</v>
      </c>
      <c r="B2434" s="540"/>
      <c r="C2434" s="471"/>
      <c r="D2434" s="456">
        <f>IF(Table11[[#This Row],[Current Age]]&gt;19,"Women's",IF(E2434&gt;15,"U19",IF(E2434&gt;13,"U15",IF(E2434&gt;11,"U13",IF(E2434&gt;0,"U11",0)))))</f>
        <v>0</v>
      </c>
      <c r="E2434" s="456">
        <f>IFERROR(IF(Table11[[#This Row],[Year]]&gt;0,$E$1-Table11[[#This Row],[Year]],0),"")</f>
        <v>0</v>
      </c>
      <c r="F2434" s="456"/>
      <c r="G2434" s="456"/>
      <c r="H2434" s="456"/>
    </row>
    <row r="2435" spans="1:8" ht="13.5" customHeight="1">
      <c r="A2435" s="456">
        <v>9431</v>
      </c>
      <c r="B2435" s="457"/>
      <c r="C2435" s="456"/>
      <c r="D2435" s="456">
        <f>IF(Table11[[#This Row],[Current Age]]&gt;19,"Women's",IF(E2435&gt;15,"U19",IF(E2435&gt;13,"U15",IF(E2435&gt;11,"U13",IF(E2435&gt;0,"U11",0)))))</f>
        <v>0</v>
      </c>
      <c r="E2435" s="456">
        <f>IFERROR(IF(Table11[[#This Row],[Year]]&gt;0,$E$1-Table11[[#This Row],[Year]],0),"")</f>
        <v>0</v>
      </c>
      <c r="F2435" s="456"/>
      <c r="G2435" s="456"/>
      <c r="H2435" s="456"/>
    </row>
    <row r="2436" spans="1:8" ht="13.5" customHeight="1">
      <c r="A2436" s="471">
        <v>9432</v>
      </c>
      <c r="B2436" s="540"/>
      <c r="C2436" s="471"/>
      <c r="D2436" s="456">
        <f>IF(Table11[[#This Row],[Current Age]]&gt;19,"Women's",IF(E2436&gt;15,"U19",IF(E2436&gt;13,"U15",IF(E2436&gt;11,"U13",IF(E2436&gt;0,"U11",0)))))</f>
        <v>0</v>
      </c>
      <c r="E2436" s="456">
        <f>IFERROR(IF(Table11[[#This Row],[Year]]&gt;0,$E$1-Table11[[#This Row],[Year]],0),"")</f>
        <v>0</v>
      </c>
      <c r="F2436" s="456"/>
      <c r="G2436" s="456"/>
      <c r="H2436" s="456"/>
    </row>
    <row r="2437" spans="1:8" ht="13.5" customHeight="1">
      <c r="A2437" s="456">
        <v>9433</v>
      </c>
      <c r="B2437" s="457"/>
      <c r="C2437" s="456"/>
      <c r="D2437" s="456">
        <f>IF(Table11[[#This Row],[Current Age]]&gt;19,"Women's",IF(E2437&gt;15,"U19",IF(E2437&gt;13,"U15",IF(E2437&gt;11,"U13",IF(E2437&gt;0,"U11",0)))))</f>
        <v>0</v>
      </c>
      <c r="E2437" s="456">
        <f>IFERROR(IF(Table11[[#This Row],[Year]]&gt;0,$E$1-Table11[[#This Row],[Year]],0),"")</f>
        <v>0</v>
      </c>
      <c r="F2437" s="456"/>
      <c r="G2437" s="456"/>
      <c r="H2437" s="456"/>
    </row>
    <row r="2438" spans="1:8" ht="13.5" customHeight="1">
      <c r="A2438" s="471">
        <v>9434</v>
      </c>
      <c r="B2438" s="540"/>
      <c r="C2438" s="471"/>
      <c r="D2438" s="456">
        <f>IF(Table11[[#This Row],[Current Age]]&gt;19,"Women's",IF(E2438&gt;15,"U19",IF(E2438&gt;13,"U15",IF(E2438&gt;11,"U13",IF(E2438&gt;0,"U11",0)))))</f>
        <v>0</v>
      </c>
      <c r="E2438" s="456">
        <f>IFERROR(IF(Table11[[#This Row],[Year]]&gt;0,$E$1-Table11[[#This Row],[Year]],0),"")</f>
        <v>0</v>
      </c>
      <c r="F2438" s="456"/>
      <c r="G2438" s="456"/>
      <c r="H2438" s="456"/>
    </row>
    <row r="2439" spans="1:8" ht="13.5" customHeight="1">
      <c r="A2439" s="456">
        <v>9435</v>
      </c>
      <c r="B2439" s="457"/>
      <c r="C2439" s="456"/>
      <c r="D2439" s="456">
        <f>IF(Table11[[#This Row],[Current Age]]&gt;19,"Women's",IF(E2439&gt;15,"U19",IF(E2439&gt;13,"U15",IF(E2439&gt;11,"U13",IF(E2439&gt;0,"U11",0)))))</f>
        <v>0</v>
      </c>
      <c r="E2439" s="456">
        <f>IFERROR(IF(Table11[[#This Row],[Year]]&gt;0,$E$1-Table11[[#This Row],[Year]],0),"")</f>
        <v>0</v>
      </c>
      <c r="F2439" s="456"/>
      <c r="G2439" s="456"/>
      <c r="H2439" s="456"/>
    </row>
    <row r="2440" spans="1:8" ht="13.5" customHeight="1">
      <c r="A2440" s="471">
        <v>9436</v>
      </c>
      <c r="B2440" s="540"/>
      <c r="C2440" s="471"/>
      <c r="D2440" s="456">
        <f>IF(Table11[[#This Row],[Current Age]]&gt;19,"Women's",IF(E2440&gt;15,"U19",IF(E2440&gt;13,"U15",IF(E2440&gt;11,"U13",IF(E2440&gt;0,"U11",0)))))</f>
        <v>0</v>
      </c>
      <c r="E2440" s="456">
        <f>IFERROR(IF(Table11[[#This Row],[Year]]&gt;0,$E$1-Table11[[#This Row],[Year]],0),"")</f>
        <v>0</v>
      </c>
      <c r="F2440" s="456"/>
      <c r="G2440" s="456"/>
      <c r="H2440" s="456"/>
    </row>
    <row r="2441" spans="1:8" ht="13.5" customHeight="1">
      <c r="A2441" s="456">
        <v>9437</v>
      </c>
      <c r="B2441" s="457"/>
      <c r="C2441" s="456"/>
      <c r="D2441" s="456">
        <f>IF(Table11[[#This Row],[Current Age]]&gt;19,"Women's",IF(E2441&gt;15,"U19",IF(E2441&gt;13,"U15",IF(E2441&gt;11,"U13",IF(E2441&gt;0,"U11",0)))))</f>
        <v>0</v>
      </c>
      <c r="E2441" s="456">
        <f>IFERROR(IF(Table11[[#This Row],[Year]]&gt;0,$E$1-Table11[[#This Row],[Year]],0),"")</f>
        <v>0</v>
      </c>
      <c r="F2441" s="456"/>
      <c r="G2441" s="456"/>
      <c r="H2441" s="456"/>
    </row>
    <row r="2442" spans="1:8" ht="13.5" customHeight="1">
      <c r="A2442" s="471">
        <v>9438</v>
      </c>
      <c r="B2442" s="540"/>
      <c r="C2442" s="471"/>
      <c r="D2442" s="456">
        <f>IF(Table11[[#This Row],[Current Age]]&gt;19,"Women's",IF(E2442&gt;15,"U19",IF(E2442&gt;13,"U15",IF(E2442&gt;11,"U13",IF(E2442&gt;0,"U11",0)))))</f>
        <v>0</v>
      </c>
      <c r="E2442" s="456">
        <f>IFERROR(IF(Table11[[#This Row],[Year]]&gt;0,$E$1-Table11[[#This Row],[Year]],0),"")</f>
        <v>0</v>
      </c>
      <c r="F2442" s="456"/>
      <c r="G2442" s="456"/>
      <c r="H2442" s="456"/>
    </row>
    <row r="2443" spans="1:8" ht="13.5" customHeight="1">
      <c r="A2443" s="456">
        <v>9439</v>
      </c>
      <c r="B2443" s="457"/>
      <c r="C2443" s="456"/>
      <c r="D2443" s="456">
        <f>IF(Table11[[#This Row],[Current Age]]&gt;19,"Women's",IF(E2443&gt;15,"U19",IF(E2443&gt;13,"U15",IF(E2443&gt;11,"U13",IF(E2443&gt;0,"U11",0)))))</f>
        <v>0</v>
      </c>
      <c r="E2443" s="456">
        <f>IFERROR(IF(Table11[[#This Row],[Year]]&gt;0,$E$1-Table11[[#This Row],[Year]],0),"")</f>
        <v>0</v>
      </c>
      <c r="F2443" s="456"/>
      <c r="G2443" s="456"/>
      <c r="H2443" s="456"/>
    </row>
    <row r="2444" spans="1:8" ht="13.5" customHeight="1">
      <c r="A2444" s="471">
        <v>9440</v>
      </c>
      <c r="B2444" s="540"/>
      <c r="C2444" s="471"/>
      <c r="D2444" s="456">
        <f>IF(Table11[[#This Row],[Current Age]]&gt;19,"Women's",IF(E2444&gt;15,"U19",IF(E2444&gt;13,"U15",IF(E2444&gt;11,"U13",IF(E2444&gt;0,"U11",0)))))</f>
        <v>0</v>
      </c>
      <c r="E2444" s="456">
        <f>IFERROR(IF(Table11[[#This Row],[Year]]&gt;0,$E$1-Table11[[#This Row],[Year]],0),"")</f>
        <v>0</v>
      </c>
      <c r="F2444" s="456"/>
      <c r="G2444" s="456"/>
      <c r="H2444" s="456"/>
    </row>
    <row r="2445" spans="1:8" ht="13.5" customHeight="1">
      <c r="A2445" s="456">
        <v>9441</v>
      </c>
      <c r="B2445" s="457"/>
      <c r="C2445" s="456"/>
      <c r="D2445" s="456">
        <f>IF(Table11[[#This Row],[Current Age]]&gt;19,"Women's",IF(E2445&gt;15,"U19",IF(E2445&gt;13,"U15",IF(E2445&gt;11,"U13",IF(E2445&gt;0,"U11",0)))))</f>
        <v>0</v>
      </c>
      <c r="E2445" s="456">
        <f>IFERROR(IF(Table11[[#This Row],[Year]]&gt;0,$E$1-Table11[[#This Row],[Year]],0),"")</f>
        <v>0</v>
      </c>
      <c r="F2445" s="456"/>
      <c r="G2445" s="456"/>
      <c r="H2445" s="456"/>
    </row>
    <row r="2446" spans="1:8" ht="13.5" customHeight="1">
      <c r="A2446" s="471">
        <v>9442</v>
      </c>
      <c r="B2446" s="540"/>
      <c r="C2446" s="471"/>
      <c r="D2446" s="456">
        <f>IF(Table11[[#This Row],[Current Age]]&gt;19,"Women's",IF(E2446&gt;15,"U19",IF(E2446&gt;13,"U15",IF(E2446&gt;11,"U13",IF(E2446&gt;0,"U11",0)))))</f>
        <v>0</v>
      </c>
      <c r="E2446" s="456">
        <f>IFERROR(IF(Table11[[#This Row],[Year]]&gt;0,$E$1-Table11[[#This Row],[Year]],0),"")</f>
        <v>0</v>
      </c>
      <c r="F2446" s="456"/>
      <c r="G2446" s="456"/>
      <c r="H2446" s="456"/>
    </row>
    <row r="2447" spans="1:8" ht="13.5" customHeight="1">
      <c r="A2447" s="456">
        <v>9443</v>
      </c>
      <c r="B2447" s="457"/>
      <c r="C2447" s="456"/>
      <c r="D2447" s="456">
        <f>IF(Table11[[#This Row],[Current Age]]&gt;19,"Women's",IF(E2447&gt;15,"U19",IF(E2447&gt;13,"U15",IF(E2447&gt;11,"U13",IF(E2447&gt;0,"U11",0)))))</f>
        <v>0</v>
      </c>
      <c r="E2447" s="456">
        <f>IFERROR(IF(Table11[[#This Row],[Year]]&gt;0,$E$1-Table11[[#This Row],[Year]],0),"")</f>
        <v>0</v>
      </c>
      <c r="F2447" s="456"/>
      <c r="G2447" s="456"/>
      <c r="H2447" s="456"/>
    </row>
    <row r="2448" spans="1:8" ht="13.5" customHeight="1">
      <c r="A2448" s="471">
        <v>9444</v>
      </c>
      <c r="B2448" s="540"/>
      <c r="C2448" s="471"/>
      <c r="D2448" s="456">
        <f>IF(Table11[[#This Row],[Current Age]]&gt;19,"Women's",IF(E2448&gt;15,"U19",IF(E2448&gt;13,"U15",IF(E2448&gt;11,"U13",IF(E2448&gt;0,"U11",0)))))</f>
        <v>0</v>
      </c>
      <c r="E2448" s="456">
        <f>IFERROR(IF(Table11[[#This Row],[Year]]&gt;0,$E$1-Table11[[#This Row],[Year]],0),"")</f>
        <v>0</v>
      </c>
      <c r="F2448" s="456"/>
      <c r="G2448" s="456"/>
      <c r="H2448" s="456"/>
    </row>
    <row r="2449" spans="1:8" ht="13.5" customHeight="1">
      <c r="A2449" s="456">
        <v>9445</v>
      </c>
      <c r="B2449" s="457"/>
      <c r="C2449" s="456"/>
      <c r="D2449" s="456">
        <f>IF(Table11[[#This Row],[Current Age]]&gt;19,"Women's",IF(E2449&gt;15,"U19",IF(E2449&gt;13,"U15",IF(E2449&gt;11,"U13",IF(E2449&gt;0,"U11",0)))))</f>
        <v>0</v>
      </c>
      <c r="E2449" s="456">
        <f>IFERROR(IF(Table11[[#This Row],[Year]]&gt;0,$E$1-Table11[[#This Row],[Year]],0),"")</f>
        <v>0</v>
      </c>
      <c r="F2449" s="456"/>
      <c r="G2449" s="456"/>
      <c r="H2449" s="456"/>
    </row>
    <row r="2450" spans="1:8" ht="13.5" customHeight="1">
      <c r="A2450" s="471">
        <v>9446</v>
      </c>
      <c r="B2450" s="540"/>
      <c r="C2450" s="471"/>
      <c r="D2450" s="456">
        <f>IF(Table11[[#This Row],[Current Age]]&gt;19,"Women's",IF(E2450&gt;15,"U19",IF(E2450&gt;13,"U15",IF(E2450&gt;11,"U13",IF(E2450&gt;0,"U11",0)))))</f>
        <v>0</v>
      </c>
      <c r="E2450" s="456">
        <f>IFERROR(IF(Table11[[#This Row],[Year]]&gt;0,$E$1-Table11[[#This Row],[Year]],0),"")</f>
        <v>0</v>
      </c>
      <c r="F2450" s="456"/>
      <c r="G2450" s="456"/>
      <c r="H2450" s="456"/>
    </row>
    <row r="2451" spans="1:8" ht="13.5" customHeight="1">
      <c r="A2451" s="456">
        <v>9447</v>
      </c>
      <c r="B2451" s="457"/>
      <c r="C2451" s="456"/>
      <c r="D2451" s="456">
        <f>IF(Table11[[#This Row],[Current Age]]&gt;19,"Women's",IF(E2451&gt;15,"U19",IF(E2451&gt;13,"U15",IF(E2451&gt;11,"U13",IF(E2451&gt;0,"U11",0)))))</f>
        <v>0</v>
      </c>
      <c r="E2451" s="456">
        <f>IFERROR(IF(Table11[[#This Row],[Year]]&gt;0,$E$1-Table11[[#This Row],[Year]],0),"")</f>
        <v>0</v>
      </c>
      <c r="F2451" s="456"/>
      <c r="G2451" s="456"/>
      <c r="H2451" s="456"/>
    </row>
    <row r="2452" spans="1:8" ht="13.5" customHeight="1">
      <c r="A2452" s="471">
        <v>9448</v>
      </c>
      <c r="B2452" s="540"/>
      <c r="C2452" s="471"/>
      <c r="D2452" s="456">
        <f>IF(Table11[[#This Row],[Current Age]]&gt;19,"Women's",IF(E2452&gt;15,"U19",IF(E2452&gt;13,"U15",IF(E2452&gt;11,"U13",IF(E2452&gt;0,"U11",0)))))</f>
        <v>0</v>
      </c>
      <c r="E2452" s="456">
        <f>IFERROR(IF(Table11[[#This Row],[Year]]&gt;0,$E$1-Table11[[#This Row],[Year]],0),"")</f>
        <v>0</v>
      </c>
      <c r="F2452" s="456"/>
      <c r="G2452" s="456"/>
      <c r="H2452" s="456"/>
    </row>
    <row r="2453" spans="1:8" ht="13.5" customHeight="1">
      <c r="A2453" s="456">
        <v>9449</v>
      </c>
      <c r="B2453" s="457"/>
      <c r="C2453" s="456"/>
      <c r="D2453" s="456">
        <f>IF(Table11[[#This Row],[Current Age]]&gt;19,"Women's",IF(E2453&gt;15,"U19",IF(E2453&gt;13,"U15",IF(E2453&gt;11,"U13",IF(E2453&gt;0,"U11",0)))))</f>
        <v>0</v>
      </c>
      <c r="E2453" s="456">
        <f>IFERROR(IF(Table11[[#This Row],[Year]]&gt;0,$E$1-Table11[[#This Row],[Year]],0),"")</f>
        <v>0</v>
      </c>
      <c r="F2453" s="456"/>
      <c r="G2453" s="456"/>
      <c r="H2453" s="456"/>
    </row>
    <row r="2454" spans="1:8" ht="13.5" customHeight="1">
      <c r="A2454" s="471">
        <v>9450</v>
      </c>
      <c r="B2454" s="540"/>
      <c r="C2454" s="471"/>
      <c r="D2454" s="456">
        <f>IF(Table11[[#This Row],[Current Age]]&gt;19,"Women's",IF(E2454&gt;15,"U19",IF(E2454&gt;13,"U15",IF(E2454&gt;11,"U13",IF(E2454&gt;0,"U11",0)))))</f>
        <v>0</v>
      </c>
      <c r="E2454" s="456">
        <f>IFERROR(IF(Table11[[#This Row],[Year]]&gt;0,$E$1-Table11[[#This Row],[Year]],0),"")</f>
        <v>0</v>
      </c>
      <c r="F2454" s="456"/>
      <c r="G2454" s="456"/>
      <c r="H2454" s="456"/>
    </row>
    <row r="2455" spans="1:8" ht="13.5" customHeight="1">
      <c r="A2455" s="456">
        <v>9451</v>
      </c>
      <c r="B2455" s="457"/>
      <c r="C2455" s="456"/>
      <c r="D2455" s="456">
        <f>IF(Table11[[#This Row],[Current Age]]&gt;19,"Women's",IF(E2455&gt;15,"U19",IF(E2455&gt;13,"U15",IF(E2455&gt;11,"U13",IF(E2455&gt;0,"U11",0)))))</f>
        <v>0</v>
      </c>
      <c r="E2455" s="456">
        <f>IFERROR(IF(Table11[[#This Row],[Year]]&gt;0,$E$1-Table11[[#This Row],[Year]],0),"")</f>
        <v>0</v>
      </c>
      <c r="F2455" s="456"/>
      <c r="G2455" s="456"/>
      <c r="H2455" s="456"/>
    </row>
    <row r="2456" spans="1:8" ht="13.5" customHeight="1">
      <c r="A2456" s="471">
        <v>9452</v>
      </c>
      <c r="B2456" s="540"/>
      <c r="C2456" s="471"/>
      <c r="D2456" s="456">
        <f>IF(Table11[[#This Row],[Current Age]]&gt;19,"Women's",IF(E2456&gt;15,"U19",IF(E2456&gt;13,"U15",IF(E2456&gt;11,"U13",IF(E2456&gt;0,"U11",0)))))</f>
        <v>0</v>
      </c>
      <c r="E2456" s="456">
        <f>IFERROR(IF(Table11[[#This Row],[Year]]&gt;0,$E$1-Table11[[#This Row],[Year]],0),"")</f>
        <v>0</v>
      </c>
      <c r="F2456" s="456"/>
      <c r="G2456" s="456"/>
      <c r="H2456" s="456"/>
    </row>
    <row r="2457" spans="1:8" ht="13.5" customHeight="1">
      <c r="A2457" s="456">
        <v>9453</v>
      </c>
      <c r="B2457" s="457"/>
      <c r="C2457" s="456"/>
      <c r="D2457" s="456">
        <f>IF(Table11[[#This Row],[Current Age]]&gt;19,"Women's",IF(E2457&gt;15,"U19",IF(E2457&gt;13,"U15",IF(E2457&gt;11,"U13",IF(E2457&gt;0,"U11",0)))))</f>
        <v>0</v>
      </c>
      <c r="E2457" s="456">
        <f>IFERROR(IF(Table11[[#This Row],[Year]]&gt;0,$E$1-Table11[[#This Row],[Year]],0),"")</f>
        <v>0</v>
      </c>
      <c r="F2457" s="456"/>
      <c r="G2457" s="456"/>
      <c r="H2457" s="456"/>
    </row>
    <row r="2458" spans="1:8" ht="13.5" customHeight="1">
      <c r="A2458" s="471">
        <v>9454</v>
      </c>
      <c r="B2458" s="540"/>
      <c r="C2458" s="471"/>
      <c r="D2458" s="456">
        <f>IF(Table11[[#This Row],[Current Age]]&gt;19,"Women's",IF(E2458&gt;15,"U19",IF(E2458&gt;13,"U15",IF(E2458&gt;11,"U13",IF(E2458&gt;0,"U11",0)))))</f>
        <v>0</v>
      </c>
      <c r="E2458" s="456">
        <f>IFERROR(IF(Table11[[#This Row],[Year]]&gt;0,$E$1-Table11[[#This Row],[Year]],0),"")</f>
        <v>0</v>
      </c>
      <c r="F2458" s="456"/>
      <c r="G2458" s="456"/>
      <c r="H2458" s="456"/>
    </row>
    <row r="2459" spans="1:8" ht="13.5" customHeight="1">
      <c r="A2459" s="456">
        <v>9455</v>
      </c>
      <c r="B2459" s="457"/>
      <c r="C2459" s="456"/>
      <c r="D2459" s="456">
        <f>IF(Table11[[#This Row],[Current Age]]&gt;19,"Women's",IF(E2459&gt;15,"U19",IF(E2459&gt;13,"U15",IF(E2459&gt;11,"U13",IF(E2459&gt;0,"U11",0)))))</f>
        <v>0</v>
      </c>
      <c r="E2459" s="456">
        <f>IFERROR(IF(Table11[[#This Row],[Year]]&gt;0,$E$1-Table11[[#This Row],[Year]],0),"")</f>
        <v>0</v>
      </c>
      <c r="F2459" s="456"/>
      <c r="G2459" s="456"/>
      <c r="H2459" s="456"/>
    </row>
    <row r="2460" spans="1:8" ht="13.5" customHeight="1">
      <c r="A2460" s="471">
        <v>9456</v>
      </c>
      <c r="B2460" s="540"/>
      <c r="C2460" s="471"/>
      <c r="D2460" s="456">
        <f>IF(Table11[[#This Row],[Current Age]]&gt;19,"Women's",IF(E2460&gt;15,"U19",IF(E2460&gt;13,"U15",IF(E2460&gt;11,"U13",IF(E2460&gt;0,"U11",0)))))</f>
        <v>0</v>
      </c>
      <c r="E2460" s="456">
        <f>IFERROR(IF(Table11[[#This Row],[Year]]&gt;0,$E$1-Table11[[#This Row],[Year]],0),"")</f>
        <v>0</v>
      </c>
      <c r="F2460" s="456"/>
      <c r="G2460" s="456"/>
      <c r="H2460" s="456"/>
    </row>
    <row r="2461" spans="1:8" ht="13.5" customHeight="1">
      <c r="A2461" s="456">
        <v>9457</v>
      </c>
      <c r="B2461" s="457"/>
      <c r="C2461" s="456"/>
      <c r="D2461" s="456">
        <f>IF(Table11[[#This Row],[Current Age]]&gt;19,"Women's",IF(E2461&gt;15,"U19",IF(E2461&gt;13,"U15",IF(E2461&gt;11,"U13",IF(E2461&gt;0,"U11",0)))))</f>
        <v>0</v>
      </c>
      <c r="E2461" s="456">
        <f>IFERROR(IF(Table11[[#This Row],[Year]]&gt;0,$E$1-Table11[[#This Row],[Year]],0),"")</f>
        <v>0</v>
      </c>
      <c r="F2461" s="456"/>
      <c r="G2461" s="456"/>
      <c r="H2461" s="456"/>
    </row>
    <row r="2462" spans="1:8" ht="13.5" customHeight="1">
      <c r="A2462" s="471">
        <v>9458</v>
      </c>
      <c r="B2462" s="540"/>
      <c r="C2462" s="471"/>
      <c r="D2462" s="456">
        <f>IF(Table11[[#This Row],[Current Age]]&gt;19,"Women's",IF(E2462&gt;15,"U19",IF(E2462&gt;13,"U15",IF(E2462&gt;11,"U13",IF(E2462&gt;0,"U11",0)))))</f>
        <v>0</v>
      </c>
      <c r="E2462" s="456">
        <f>IFERROR(IF(Table11[[#This Row],[Year]]&gt;0,$E$1-Table11[[#This Row],[Year]],0),"")</f>
        <v>0</v>
      </c>
      <c r="F2462" s="456"/>
      <c r="G2462" s="456"/>
      <c r="H2462" s="456"/>
    </row>
    <row r="2463" spans="1:8" ht="13.5" customHeight="1">
      <c r="A2463" s="456">
        <v>9459</v>
      </c>
      <c r="B2463" s="457"/>
      <c r="C2463" s="456"/>
      <c r="D2463" s="456">
        <f>IF(Table11[[#This Row],[Current Age]]&gt;19,"Women's",IF(E2463&gt;15,"U19",IF(E2463&gt;13,"U15",IF(E2463&gt;11,"U13",IF(E2463&gt;0,"U11",0)))))</f>
        <v>0</v>
      </c>
      <c r="E2463" s="456">
        <f>IFERROR(IF(Table11[[#This Row],[Year]]&gt;0,$E$1-Table11[[#This Row],[Year]],0),"")</f>
        <v>0</v>
      </c>
      <c r="F2463" s="456"/>
      <c r="G2463" s="456"/>
      <c r="H2463" s="456"/>
    </row>
    <row r="2464" spans="1:8" ht="13.5" customHeight="1">
      <c r="A2464" s="471">
        <v>9460</v>
      </c>
      <c r="B2464" s="540"/>
      <c r="C2464" s="471"/>
      <c r="D2464" s="456">
        <f>IF(Table11[[#This Row],[Current Age]]&gt;19,"Women's",IF(E2464&gt;15,"U19",IF(E2464&gt;13,"U15",IF(E2464&gt;11,"U13",IF(E2464&gt;0,"U11",0)))))</f>
        <v>0</v>
      </c>
      <c r="E2464" s="456">
        <f>IFERROR(IF(Table11[[#This Row],[Year]]&gt;0,$E$1-Table11[[#This Row],[Year]],0),"")</f>
        <v>0</v>
      </c>
      <c r="F2464" s="456"/>
      <c r="G2464" s="456"/>
      <c r="H2464" s="456"/>
    </row>
    <row r="2465" spans="1:8" ht="13.5" customHeight="1">
      <c r="A2465" s="456">
        <v>9461</v>
      </c>
      <c r="B2465" s="457"/>
      <c r="C2465" s="456"/>
      <c r="D2465" s="456">
        <f>IF(Table11[[#This Row],[Current Age]]&gt;19,"Women's",IF(E2465&gt;15,"U19",IF(E2465&gt;13,"U15",IF(E2465&gt;11,"U13",IF(E2465&gt;0,"U11",0)))))</f>
        <v>0</v>
      </c>
      <c r="E2465" s="456">
        <f>IFERROR(IF(Table11[[#This Row],[Year]]&gt;0,$E$1-Table11[[#This Row],[Year]],0),"")</f>
        <v>0</v>
      </c>
      <c r="F2465" s="456"/>
      <c r="G2465" s="456"/>
      <c r="H2465" s="456"/>
    </row>
    <row r="2466" spans="1:8" ht="13.5" customHeight="1">
      <c r="A2466" s="471">
        <v>9462</v>
      </c>
      <c r="B2466" s="540"/>
      <c r="C2466" s="471"/>
      <c r="D2466" s="456">
        <f>IF(Table11[[#This Row],[Current Age]]&gt;19,"Women's",IF(E2466&gt;15,"U19",IF(E2466&gt;13,"U15",IF(E2466&gt;11,"U13",IF(E2466&gt;0,"U11",0)))))</f>
        <v>0</v>
      </c>
      <c r="E2466" s="456">
        <f>IFERROR(IF(Table11[[#This Row],[Year]]&gt;0,$E$1-Table11[[#This Row],[Year]],0),"")</f>
        <v>0</v>
      </c>
      <c r="F2466" s="456"/>
      <c r="G2466" s="456"/>
      <c r="H2466" s="456"/>
    </row>
    <row r="2467" spans="1:8" ht="13.5" customHeight="1">
      <c r="A2467" s="456">
        <v>9463</v>
      </c>
      <c r="B2467" s="457"/>
      <c r="C2467" s="456"/>
      <c r="D2467" s="456">
        <f>IF(Table11[[#This Row],[Current Age]]&gt;19,"Women's",IF(E2467&gt;15,"U19",IF(E2467&gt;13,"U15",IF(E2467&gt;11,"U13",IF(E2467&gt;0,"U11",0)))))</f>
        <v>0</v>
      </c>
      <c r="E2467" s="456">
        <f>IFERROR(IF(Table11[[#This Row],[Year]]&gt;0,$E$1-Table11[[#This Row],[Year]],0),"")</f>
        <v>0</v>
      </c>
      <c r="F2467" s="456"/>
      <c r="G2467" s="456"/>
      <c r="H2467" s="456"/>
    </row>
    <row r="2468" spans="1:8" ht="13.5" customHeight="1">
      <c r="A2468" s="471">
        <v>9464</v>
      </c>
      <c r="B2468" s="540"/>
      <c r="C2468" s="471"/>
      <c r="D2468" s="456">
        <f>IF(Table11[[#This Row],[Current Age]]&gt;19,"Women's",IF(E2468&gt;15,"U19",IF(E2468&gt;13,"U15",IF(E2468&gt;11,"U13",IF(E2468&gt;0,"U11",0)))))</f>
        <v>0</v>
      </c>
      <c r="E2468" s="456">
        <f>IFERROR(IF(Table11[[#This Row],[Year]]&gt;0,$E$1-Table11[[#This Row],[Year]],0),"")</f>
        <v>0</v>
      </c>
      <c r="F2468" s="456"/>
      <c r="G2468" s="456"/>
      <c r="H2468" s="456"/>
    </row>
    <row r="2469" spans="1:8" ht="13.5" customHeight="1">
      <c r="A2469" s="456">
        <v>9465</v>
      </c>
      <c r="B2469" s="457"/>
      <c r="C2469" s="456"/>
      <c r="D2469" s="456">
        <f>IF(Table11[[#This Row],[Current Age]]&gt;19,"Women's",IF(E2469&gt;15,"U19",IF(E2469&gt;13,"U15",IF(E2469&gt;11,"U13",IF(E2469&gt;0,"U11",0)))))</f>
        <v>0</v>
      </c>
      <c r="E2469" s="456">
        <f>IFERROR(IF(Table11[[#This Row],[Year]]&gt;0,$E$1-Table11[[#This Row],[Year]],0),"")</f>
        <v>0</v>
      </c>
      <c r="F2469" s="456"/>
      <c r="G2469" s="456"/>
      <c r="H2469" s="456"/>
    </row>
    <row r="2470" spans="1:8" ht="13.5" customHeight="1">
      <c r="A2470" s="471">
        <v>9466</v>
      </c>
      <c r="B2470" s="540"/>
      <c r="C2470" s="471"/>
      <c r="D2470" s="456">
        <f>IF(Table11[[#This Row],[Current Age]]&gt;19,"Women's",IF(E2470&gt;15,"U19",IF(E2470&gt;13,"U15",IF(E2470&gt;11,"U13",IF(E2470&gt;0,"U11",0)))))</f>
        <v>0</v>
      </c>
      <c r="E2470" s="456">
        <f>IFERROR(IF(Table11[[#This Row],[Year]]&gt;0,$E$1-Table11[[#This Row],[Year]],0),"")</f>
        <v>0</v>
      </c>
      <c r="F2470" s="456"/>
      <c r="G2470" s="456"/>
      <c r="H2470" s="456"/>
    </row>
    <row r="2471" spans="1:8" ht="13.5" customHeight="1">
      <c r="A2471" s="456">
        <v>9467</v>
      </c>
      <c r="B2471" s="457"/>
      <c r="C2471" s="456"/>
      <c r="D2471" s="456">
        <f>IF(Table11[[#This Row],[Current Age]]&gt;19,"Women's",IF(E2471&gt;15,"U19",IF(E2471&gt;13,"U15",IF(E2471&gt;11,"U13",IF(E2471&gt;0,"U11",0)))))</f>
        <v>0</v>
      </c>
      <c r="E2471" s="456">
        <f>IFERROR(IF(Table11[[#This Row],[Year]]&gt;0,$E$1-Table11[[#This Row],[Year]],0),"")</f>
        <v>0</v>
      </c>
      <c r="F2471" s="456"/>
      <c r="G2471" s="456"/>
      <c r="H2471" s="456"/>
    </row>
    <row r="2472" spans="1:8" ht="13.5" customHeight="1">
      <c r="A2472" s="471">
        <v>9468</v>
      </c>
      <c r="B2472" s="540"/>
      <c r="C2472" s="471"/>
      <c r="D2472" s="456">
        <f>IF(Table11[[#This Row],[Current Age]]&gt;19,"Women's",IF(E2472&gt;15,"U19",IF(E2472&gt;13,"U15",IF(E2472&gt;11,"U13",IF(E2472&gt;0,"U11",0)))))</f>
        <v>0</v>
      </c>
      <c r="E2472" s="456">
        <f>IFERROR(IF(Table11[[#This Row],[Year]]&gt;0,$E$1-Table11[[#This Row],[Year]],0),"")</f>
        <v>0</v>
      </c>
      <c r="F2472" s="456"/>
      <c r="G2472" s="456"/>
      <c r="H2472" s="456"/>
    </row>
    <row r="2473" spans="1:8" ht="13.5" customHeight="1">
      <c r="A2473" s="456">
        <v>9469</v>
      </c>
      <c r="B2473" s="457"/>
      <c r="C2473" s="456"/>
      <c r="D2473" s="456">
        <f>IF(Table11[[#This Row],[Current Age]]&gt;19,"Women's",IF(E2473&gt;15,"U19",IF(E2473&gt;13,"U15",IF(E2473&gt;11,"U13",IF(E2473&gt;0,"U11",0)))))</f>
        <v>0</v>
      </c>
      <c r="E2473" s="456">
        <f>IFERROR(IF(Table11[[#This Row],[Year]]&gt;0,$E$1-Table11[[#This Row],[Year]],0),"")</f>
        <v>0</v>
      </c>
      <c r="F2473" s="456"/>
      <c r="G2473" s="456"/>
      <c r="H2473" s="456"/>
    </row>
    <row r="2474" spans="1:8" ht="13.5" customHeight="1">
      <c r="A2474" s="471">
        <v>9470</v>
      </c>
      <c r="B2474" s="540"/>
      <c r="C2474" s="471"/>
      <c r="D2474" s="456">
        <f>IF(Table11[[#This Row],[Current Age]]&gt;19,"Women's",IF(E2474&gt;15,"U19",IF(E2474&gt;13,"U15",IF(E2474&gt;11,"U13",IF(E2474&gt;0,"U11",0)))))</f>
        <v>0</v>
      </c>
      <c r="E2474" s="456">
        <f>IFERROR(IF(Table11[[#This Row],[Year]]&gt;0,$E$1-Table11[[#This Row],[Year]],0),"")</f>
        <v>0</v>
      </c>
      <c r="F2474" s="456"/>
      <c r="G2474" s="456"/>
      <c r="H2474" s="456"/>
    </row>
    <row r="2475" spans="1:8" ht="13.5" customHeight="1">
      <c r="A2475" s="456">
        <v>9471</v>
      </c>
      <c r="B2475" s="457"/>
      <c r="C2475" s="456"/>
      <c r="D2475" s="456">
        <f>IF(Table11[[#This Row],[Current Age]]&gt;19,"Women's",IF(E2475&gt;15,"U19",IF(E2475&gt;13,"U15",IF(E2475&gt;11,"U13",IF(E2475&gt;0,"U11",0)))))</f>
        <v>0</v>
      </c>
      <c r="E2475" s="456">
        <f>IFERROR(IF(Table11[[#This Row],[Year]]&gt;0,$E$1-Table11[[#This Row],[Year]],0),"")</f>
        <v>0</v>
      </c>
      <c r="F2475" s="456"/>
      <c r="G2475" s="456"/>
      <c r="H2475" s="456"/>
    </row>
    <row r="2476" spans="1:8" ht="13.5" customHeight="1">
      <c r="A2476" s="471">
        <v>9472</v>
      </c>
      <c r="B2476" s="540"/>
      <c r="C2476" s="471"/>
      <c r="D2476" s="456">
        <f>IF(Table11[[#This Row],[Current Age]]&gt;19,"Women's",IF(E2476&gt;15,"U19",IF(E2476&gt;13,"U15",IF(E2476&gt;11,"U13",IF(E2476&gt;0,"U11",0)))))</f>
        <v>0</v>
      </c>
      <c r="E2476" s="456">
        <f>IFERROR(IF(Table11[[#This Row],[Year]]&gt;0,$E$1-Table11[[#This Row],[Year]],0),"")</f>
        <v>0</v>
      </c>
      <c r="F2476" s="456"/>
      <c r="G2476" s="456"/>
      <c r="H2476" s="456"/>
    </row>
    <row r="2477" spans="1:8" ht="13.5" customHeight="1">
      <c r="A2477" s="456">
        <v>9473</v>
      </c>
      <c r="B2477" s="457"/>
      <c r="C2477" s="456"/>
      <c r="D2477" s="456">
        <f>IF(Table11[[#This Row],[Current Age]]&gt;19,"Women's",IF(E2477&gt;15,"U19",IF(E2477&gt;13,"U15",IF(E2477&gt;11,"U13",IF(E2477&gt;0,"U11",0)))))</f>
        <v>0</v>
      </c>
      <c r="E2477" s="456">
        <f>IFERROR(IF(Table11[[#This Row],[Year]]&gt;0,$E$1-Table11[[#This Row],[Year]],0),"")</f>
        <v>0</v>
      </c>
      <c r="F2477" s="456"/>
      <c r="G2477" s="456"/>
      <c r="H2477" s="456"/>
    </row>
    <row r="2478" spans="1:8" ht="13.5" customHeight="1">
      <c r="A2478" s="471">
        <v>9474</v>
      </c>
      <c r="B2478" s="540"/>
      <c r="C2478" s="471"/>
      <c r="D2478" s="456">
        <f>IF(Table11[[#This Row],[Current Age]]&gt;19,"Women's",IF(E2478&gt;15,"U19",IF(E2478&gt;13,"U15",IF(E2478&gt;11,"U13",IF(E2478&gt;0,"U11",0)))))</f>
        <v>0</v>
      </c>
      <c r="E2478" s="456">
        <f>IFERROR(IF(Table11[[#This Row],[Year]]&gt;0,$E$1-Table11[[#This Row],[Year]],0),"")</f>
        <v>0</v>
      </c>
      <c r="F2478" s="456"/>
      <c r="G2478" s="456"/>
      <c r="H2478" s="456"/>
    </row>
    <row r="2479" spans="1:8" ht="13.5" customHeight="1">
      <c r="A2479" s="456">
        <v>9475</v>
      </c>
      <c r="B2479" s="457"/>
      <c r="C2479" s="456"/>
      <c r="D2479" s="456">
        <f>IF(Table11[[#This Row],[Current Age]]&gt;19,"Women's",IF(E2479&gt;15,"U19",IF(E2479&gt;13,"U15",IF(E2479&gt;11,"U13",IF(E2479&gt;0,"U11",0)))))</f>
        <v>0</v>
      </c>
      <c r="E2479" s="456">
        <f>IFERROR(IF(Table11[[#This Row],[Year]]&gt;0,$E$1-Table11[[#This Row],[Year]],0),"")</f>
        <v>0</v>
      </c>
      <c r="F2479" s="456"/>
      <c r="G2479" s="456"/>
      <c r="H2479" s="456"/>
    </row>
    <row r="2480" spans="1:8" ht="13.5" customHeight="1">
      <c r="A2480" s="471">
        <v>9476</v>
      </c>
      <c r="B2480" s="540"/>
      <c r="C2480" s="471"/>
      <c r="D2480" s="456">
        <f>IF(Table11[[#This Row],[Current Age]]&gt;19,"Women's",IF(E2480&gt;15,"U19",IF(E2480&gt;13,"U15",IF(E2480&gt;11,"U13",IF(E2480&gt;0,"U11",0)))))</f>
        <v>0</v>
      </c>
      <c r="E2480" s="456">
        <f>IFERROR(IF(Table11[[#This Row],[Year]]&gt;0,$E$1-Table11[[#This Row],[Year]],0),"")</f>
        <v>0</v>
      </c>
      <c r="F2480" s="456"/>
      <c r="G2480" s="456"/>
      <c r="H2480" s="456"/>
    </row>
    <row r="2481" spans="1:8" ht="13.5" customHeight="1">
      <c r="A2481" s="456">
        <v>9477</v>
      </c>
      <c r="B2481" s="457"/>
      <c r="C2481" s="456"/>
      <c r="D2481" s="456">
        <f>IF(Table11[[#This Row],[Current Age]]&gt;19,"Women's",IF(E2481&gt;15,"U19",IF(E2481&gt;13,"U15",IF(E2481&gt;11,"U13",IF(E2481&gt;0,"U11",0)))))</f>
        <v>0</v>
      </c>
      <c r="E2481" s="456">
        <f>IFERROR(IF(Table11[[#This Row],[Year]]&gt;0,$E$1-Table11[[#This Row],[Year]],0),"")</f>
        <v>0</v>
      </c>
      <c r="F2481" s="456"/>
      <c r="G2481" s="456"/>
      <c r="H2481" s="456"/>
    </row>
    <row r="2482" spans="1:8" ht="13.5" customHeight="1">
      <c r="A2482" s="471">
        <v>9478</v>
      </c>
      <c r="B2482" s="540"/>
      <c r="C2482" s="471"/>
      <c r="D2482" s="456">
        <f>IF(Table11[[#This Row],[Current Age]]&gt;19,"Women's",IF(E2482&gt;15,"U19",IF(E2482&gt;13,"U15",IF(E2482&gt;11,"U13",IF(E2482&gt;0,"U11",0)))))</f>
        <v>0</v>
      </c>
      <c r="E2482" s="456">
        <f>IFERROR(IF(Table11[[#This Row],[Year]]&gt;0,$E$1-Table11[[#This Row],[Year]],0),"")</f>
        <v>0</v>
      </c>
      <c r="F2482" s="456"/>
      <c r="G2482" s="456"/>
      <c r="H2482" s="456"/>
    </row>
    <row r="2483" spans="1:8" ht="13.5" customHeight="1">
      <c r="A2483" s="456">
        <v>9479</v>
      </c>
      <c r="B2483" s="457"/>
      <c r="C2483" s="456"/>
      <c r="D2483" s="456">
        <f>IF(Table11[[#This Row],[Current Age]]&gt;19,"Women's",IF(E2483&gt;15,"U19",IF(E2483&gt;13,"U15",IF(E2483&gt;11,"U13",IF(E2483&gt;0,"U11",0)))))</f>
        <v>0</v>
      </c>
      <c r="E2483" s="456">
        <f>IFERROR(IF(Table11[[#This Row],[Year]]&gt;0,$E$1-Table11[[#This Row],[Year]],0),"")</f>
        <v>0</v>
      </c>
      <c r="F2483" s="456"/>
      <c r="G2483" s="456"/>
      <c r="H2483" s="456"/>
    </row>
    <row r="2484" spans="1:8" ht="13.5" customHeight="1">
      <c r="A2484" s="471">
        <v>9480</v>
      </c>
      <c r="B2484" s="540"/>
      <c r="C2484" s="471"/>
      <c r="D2484" s="456">
        <f>IF(Table11[[#This Row],[Current Age]]&gt;19,"Women's",IF(E2484&gt;15,"U19",IF(E2484&gt;13,"U15",IF(E2484&gt;11,"U13",IF(E2484&gt;0,"U11",0)))))</f>
        <v>0</v>
      </c>
      <c r="E2484" s="456">
        <f>IFERROR(IF(Table11[[#This Row],[Year]]&gt;0,$E$1-Table11[[#This Row],[Year]],0),"")</f>
        <v>0</v>
      </c>
      <c r="F2484" s="456"/>
      <c r="G2484" s="456"/>
      <c r="H2484" s="456"/>
    </row>
    <row r="2485" spans="1:8" ht="13.5" customHeight="1">
      <c r="A2485" s="456">
        <v>9481</v>
      </c>
      <c r="B2485" s="457"/>
      <c r="C2485" s="456"/>
      <c r="D2485" s="456">
        <f>IF(Table11[[#This Row],[Current Age]]&gt;19,"Women's",IF(E2485&gt;15,"U19",IF(E2485&gt;13,"U15",IF(E2485&gt;11,"U13",IF(E2485&gt;0,"U11",0)))))</f>
        <v>0</v>
      </c>
      <c r="E2485" s="456">
        <f>IFERROR(IF(Table11[[#This Row],[Year]]&gt;0,$E$1-Table11[[#This Row],[Year]],0),"")</f>
        <v>0</v>
      </c>
      <c r="F2485" s="456"/>
      <c r="G2485" s="456"/>
      <c r="H2485" s="456"/>
    </row>
    <row r="2486" spans="1:8" ht="13.5" customHeight="1">
      <c r="A2486" s="471">
        <v>9482</v>
      </c>
      <c r="B2486" s="540"/>
      <c r="C2486" s="471"/>
      <c r="D2486" s="456">
        <f>IF(Table11[[#This Row],[Current Age]]&gt;19,"Women's",IF(E2486&gt;15,"U19",IF(E2486&gt;13,"U15",IF(E2486&gt;11,"U13",IF(E2486&gt;0,"U11",0)))))</f>
        <v>0</v>
      </c>
      <c r="E2486" s="456">
        <f>IFERROR(IF(Table11[[#This Row],[Year]]&gt;0,$E$1-Table11[[#This Row],[Year]],0),"")</f>
        <v>0</v>
      </c>
      <c r="F2486" s="456"/>
      <c r="G2486" s="456"/>
      <c r="H2486" s="456"/>
    </row>
    <row r="2487" spans="1:8" ht="13.5" customHeight="1">
      <c r="A2487" s="456">
        <v>9483</v>
      </c>
      <c r="B2487" s="457"/>
      <c r="C2487" s="456"/>
      <c r="D2487" s="456">
        <f>IF(Table11[[#This Row],[Current Age]]&gt;19,"Women's",IF(E2487&gt;15,"U19",IF(E2487&gt;13,"U15",IF(E2487&gt;11,"U13",IF(E2487&gt;0,"U11",0)))))</f>
        <v>0</v>
      </c>
      <c r="E2487" s="456">
        <f>IFERROR(IF(Table11[[#This Row],[Year]]&gt;0,$E$1-Table11[[#This Row],[Year]],0),"")</f>
        <v>0</v>
      </c>
      <c r="F2487" s="456"/>
      <c r="G2487" s="456"/>
      <c r="H2487" s="456"/>
    </row>
    <row r="2488" spans="1:8" ht="13.5" customHeight="1">
      <c r="A2488" s="471">
        <v>9484</v>
      </c>
      <c r="B2488" s="540"/>
      <c r="C2488" s="471"/>
      <c r="D2488" s="456">
        <f>IF(Table11[[#This Row],[Current Age]]&gt;19,"Women's",IF(E2488&gt;15,"U19",IF(E2488&gt;13,"U15",IF(E2488&gt;11,"U13",IF(E2488&gt;0,"U11",0)))))</f>
        <v>0</v>
      </c>
      <c r="E2488" s="456">
        <f>IFERROR(IF(Table11[[#This Row],[Year]]&gt;0,$E$1-Table11[[#This Row],[Year]],0),"")</f>
        <v>0</v>
      </c>
      <c r="F2488" s="456"/>
      <c r="G2488" s="456"/>
      <c r="H2488" s="456"/>
    </row>
    <row r="2489" spans="1:8" ht="13.5" customHeight="1">
      <c r="A2489" s="456">
        <v>9485</v>
      </c>
      <c r="B2489" s="457"/>
      <c r="C2489" s="456"/>
      <c r="D2489" s="456">
        <f>IF(Table11[[#This Row],[Current Age]]&gt;19,"Women's",IF(E2489&gt;15,"U19",IF(E2489&gt;13,"U15",IF(E2489&gt;11,"U13",IF(E2489&gt;0,"U11",0)))))</f>
        <v>0</v>
      </c>
      <c r="E2489" s="456">
        <f>IFERROR(IF(Table11[[#This Row],[Year]]&gt;0,$E$1-Table11[[#This Row],[Year]],0),"")</f>
        <v>0</v>
      </c>
      <c r="F2489" s="456"/>
      <c r="G2489" s="456"/>
      <c r="H2489" s="456"/>
    </row>
    <row r="2490" spans="1:8" ht="13.5" customHeight="1">
      <c r="A2490" s="471">
        <v>9486</v>
      </c>
      <c r="B2490" s="540"/>
      <c r="C2490" s="471"/>
      <c r="D2490" s="456">
        <f>IF(Table11[[#This Row],[Current Age]]&gt;19,"Women's",IF(E2490&gt;15,"U19",IF(E2490&gt;13,"U15",IF(E2490&gt;11,"U13",IF(E2490&gt;0,"U11",0)))))</f>
        <v>0</v>
      </c>
      <c r="E2490" s="456">
        <f>IFERROR(IF(Table11[[#This Row],[Year]]&gt;0,$E$1-Table11[[#This Row],[Year]],0),"")</f>
        <v>0</v>
      </c>
      <c r="F2490" s="456"/>
      <c r="G2490" s="456"/>
      <c r="H2490" s="456"/>
    </row>
    <row r="2491" spans="1:8" ht="13.5" customHeight="1">
      <c r="A2491" s="456">
        <v>9487</v>
      </c>
      <c r="B2491" s="457"/>
      <c r="C2491" s="456"/>
      <c r="D2491" s="456">
        <f>IF(Table11[[#This Row],[Current Age]]&gt;19,"Women's",IF(E2491&gt;15,"U19",IF(E2491&gt;13,"U15",IF(E2491&gt;11,"U13",IF(E2491&gt;0,"U11",0)))))</f>
        <v>0</v>
      </c>
      <c r="E2491" s="456">
        <f>IFERROR(IF(Table11[[#This Row],[Year]]&gt;0,$E$1-Table11[[#This Row],[Year]],0),"")</f>
        <v>0</v>
      </c>
      <c r="F2491" s="456"/>
      <c r="G2491" s="456"/>
      <c r="H2491" s="456"/>
    </row>
    <row r="2492" spans="1:8" ht="13.5" customHeight="1">
      <c r="A2492" s="471">
        <v>9488</v>
      </c>
      <c r="B2492" s="540"/>
      <c r="C2492" s="471"/>
      <c r="D2492" s="456">
        <f>IF(Table11[[#This Row],[Current Age]]&gt;19,"Women's",IF(E2492&gt;15,"U19",IF(E2492&gt;13,"U15",IF(E2492&gt;11,"U13",IF(E2492&gt;0,"U11",0)))))</f>
        <v>0</v>
      </c>
      <c r="E2492" s="456">
        <f>IFERROR(IF(Table11[[#This Row],[Year]]&gt;0,$E$1-Table11[[#This Row],[Year]],0),"")</f>
        <v>0</v>
      </c>
      <c r="F2492" s="456"/>
      <c r="G2492" s="456"/>
      <c r="H2492" s="456"/>
    </row>
    <row r="2493" spans="1:8" ht="13.5" customHeight="1">
      <c r="A2493" s="456">
        <v>9489</v>
      </c>
      <c r="B2493" s="457"/>
      <c r="C2493" s="456"/>
      <c r="D2493" s="456">
        <f>IF(Table11[[#This Row],[Current Age]]&gt;19,"Women's",IF(E2493&gt;15,"U19",IF(E2493&gt;13,"U15",IF(E2493&gt;11,"U13",IF(E2493&gt;0,"U11",0)))))</f>
        <v>0</v>
      </c>
      <c r="E2493" s="456">
        <f>IFERROR(IF(Table11[[#This Row],[Year]]&gt;0,$E$1-Table11[[#This Row],[Year]],0),"")</f>
        <v>0</v>
      </c>
      <c r="F2493" s="456"/>
      <c r="G2493" s="456"/>
      <c r="H2493" s="456"/>
    </row>
    <row r="2494" spans="1:8" ht="13.5" customHeight="1">
      <c r="A2494" s="471">
        <v>9490</v>
      </c>
      <c r="B2494" s="540"/>
      <c r="C2494" s="471"/>
      <c r="D2494" s="456">
        <f>IF(Table11[[#This Row],[Current Age]]&gt;19,"Women's",IF(E2494&gt;15,"U19",IF(E2494&gt;13,"U15",IF(E2494&gt;11,"U13",IF(E2494&gt;0,"U11",0)))))</f>
        <v>0</v>
      </c>
      <c r="E2494" s="456">
        <f>IFERROR(IF(Table11[[#This Row],[Year]]&gt;0,$E$1-Table11[[#This Row],[Year]],0),"")</f>
        <v>0</v>
      </c>
      <c r="F2494" s="456"/>
      <c r="G2494" s="456"/>
      <c r="H2494" s="456"/>
    </row>
    <row r="2495" spans="1:8" ht="13.5" customHeight="1">
      <c r="A2495" s="456">
        <v>9491</v>
      </c>
      <c r="B2495" s="457"/>
      <c r="C2495" s="456"/>
      <c r="D2495" s="456">
        <f>IF(Table11[[#This Row],[Current Age]]&gt;19,"Women's",IF(E2495&gt;15,"U19",IF(E2495&gt;13,"U15",IF(E2495&gt;11,"U13",IF(E2495&gt;0,"U11",0)))))</f>
        <v>0</v>
      </c>
      <c r="E2495" s="456">
        <f>IFERROR(IF(Table11[[#This Row],[Year]]&gt;0,$E$1-Table11[[#This Row],[Year]],0),"")</f>
        <v>0</v>
      </c>
      <c r="F2495" s="456"/>
      <c r="G2495" s="456"/>
      <c r="H2495" s="456"/>
    </row>
    <row r="2496" spans="1:8" ht="13.5" customHeight="1">
      <c r="A2496" s="471">
        <v>9492</v>
      </c>
      <c r="B2496" s="540"/>
      <c r="C2496" s="471"/>
      <c r="D2496" s="456">
        <f>IF(Table11[[#This Row],[Current Age]]&gt;19,"Women's",IF(E2496&gt;15,"U19",IF(E2496&gt;13,"U15",IF(E2496&gt;11,"U13",IF(E2496&gt;0,"U11",0)))))</f>
        <v>0</v>
      </c>
      <c r="E2496" s="456">
        <f>IFERROR(IF(Table11[[#This Row],[Year]]&gt;0,$E$1-Table11[[#This Row],[Year]],0),"")</f>
        <v>0</v>
      </c>
      <c r="F2496" s="456"/>
      <c r="G2496" s="456"/>
      <c r="H2496" s="456"/>
    </row>
    <row r="2497" spans="1:8" ht="13.5" customHeight="1">
      <c r="A2497" s="456">
        <v>9493</v>
      </c>
      <c r="B2497" s="457"/>
      <c r="C2497" s="456"/>
      <c r="D2497" s="456">
        <f>IF(Table11[[#This Row],[Current Age]]&gt;19,"Women's",IF(E2497&gt;15,"U19",IF(E2497&gt;13,"U15",IF(E2497&gt;11,"U13",IF(E2497&gt;0,"U11",0)))))</f>
        <v>0</v>
      </c>
      <c r="E2497" s="456">
        <f>IFERROR(IF(Table11[[#This Row],[Year]]&gt;0,$E$1-Table11[[#This Row],[Year]],0),"")</f>
        <v>0</v>
      </c>
      <c r="F2497" s="456"/>
      <c r="G2497" s="456"/>
      <c r="H2497" s="456"/>
    </row>
    <row r="2498" spans="1:8" ht="13.5" customHeight="1">
      <c r="A2498" s="471">
        <v>9494</v>
      </c>
      <c r="B2498" s="540"/>
      <c r="C2498" s="471"/>
      <c r="D2498" s="456">
        <f>IF(Table11[[#This Row],[Current Age]]&gt;19,"Women's",IF(E2498&gt;15,"U19",IF(E2498&gt;13,"U15",IF(E2498&gt;11,"U13",IF(E2498&gt;0,"U11",0)))))</f>
        <v>0</v>
      </c>
      <c r="E2498" s="456">
        <f>IFERROR(IF(Table11[[#This Row],[Year]]&gt;0,$E$1-Table11[[#This Row],[Year]],0),"")</f>
        <v>0</v>
      </c>
      <c r="F2498" s="456"/>
      <c r="G2498" s="456"/>
      <c r="H2498" s="456"/>
    </row>
    <row r="2499" spans="1:8" ht="13.5" customHeight="1">
      <c r="A2499" s="456">
        <v>9495</v>
      </c>
      <c r="B2499" s="457"/>
      <c r="C2499" s="456"/>
      <c r="D2499" s="456">
        <f>IF(Table11[[#This Row],[Current Age]]&gt;19,"Women's",IF(E2499&gt;15,"U19",IF(E2499&gt;13,"U15",IF(E2499&gt;11,"U13",IF(E2499&gt;0,"U11",0)))))</f>
        <v>0</v>
      </c>
      <c r="E2499" s="456">
        <f>IFERROR(IF(Table11[[#This Row],[Year]]&gt;0,$E$1-Table11[[#This Row],[Year]],0),"")</f>
        <v>0</v>
      </c>
      <c r="F2499" s="456"/>
      <c r="G2499" s="456"/>
      <c r="H2499" s="456"/>
    </row>
    <row r="2500" spans="1:8" ht="13.5" customHeight="1">
      <c r="A2500" s="471">
        <v>9496</v>
      </c>
      <c r="B2500" s="540"/>
      <c r="C2500" s="471"/>
      <c r="D2500" s="456">
        <f>IF(Table11[[#This Row],[Current Age]]&gt;19,"Women's",IF(E2500&gt;15,"U19",IF(E2500&gt;13,"U15",IF(E2500&gt;11,"U13",IF(E2500&gt;0,"U11",0)))))</f>
        <v>0</v>
      </c>
      <c r="E2500" s="456">
        <f>IFERROR(IF(Table11[[#This Row],[Year]]&gt;0,$E$1-Table11[[#This Row],[Year]],0),"")</f>
        <v>0</v>
      </c>
      <c r="F2500" s="456"/>
      <c r="G2500" s="456"/>
      <c r="H2500" s="456"/>
    </row>
    <row r="2501" spans="1:8" ht="13.5" customHeight="1">
      <c r="A2501" s="456">
        <v>9497</v>
      </c>
      <c r="B2501" s="457"/>
      <c r="C2501" s="456"/>
      <c r="D2501" s="456">
        <f>IF(Table11[[#This Row],[Current Age]]&gt;19,"Women's",IF(E2501&gt;15,"U19",IF(E2501&gt;13,"U15",IF(E2501&gt;11,"U13",IF(E2501&gt;0,"U11",0)))))</f>
        <v>0</v>
      </c>
      <c r="E2501" s="456">
        <f>IFERROR(IF(Table11[[#This Row],[Year]]&gt;0,$E$1-Table11[[#This Row],[Year]],0),"")</f>
        <v>0</v>
      </c>
      <c r="F2501" s="456"/>
      <c r="G2501" s="456"/>
      <c r="H2501" s="456"/>
    </row>
    <row r="2502" spans="1:8" ht="13.5" customHeight="1">
      <c r="A2502" s="471">
        <v>9498</v>
      </c>
      <c r="B2502" s="540"/>
      <c r="C2502" s="471"/>
      <c r="D2502" s="456">
        <f>IF(Table11[[#This Row],[Current Age]]&gt;19,"Women's",IF(E2502&gt;15,"U19",IF(E2502&gt;13,"U15",IF(E2502&gt;11,"U13",IF(E2502&gt;0,"U11",0)))))</f>
        <v>0</v>
      </c>
      <c r="E2502" s="456">
        <f>IFERROR(IF(Table11[[#This Row],[Year]]&gt;0,$E$1-Table11[[#This Row],[Year]],0),"")</f>
        <v>0</v>
      </c>
      <c r="F2502" s="456"/>
      <c r="G2502" s="456"/>
      <c r="H2502" s="456"/>
    </row>
    <row r="2503" spans="1:8" ht="13.5" customHeight="1">
      <c r="A2503" s="456">
        <v>9499</v>
      </c>
      <c r="B2503" s="457"/>
      <c r="C2503" s="456"/>
      <c r="D2503" s="456">
        <f>IF(Table11[[#This Row],[Current Age]]&gt;19,"Women's",IF(E2503&gt;15,"U19",IF(E2503&gt;13,"U15",IF(E2503&gt;11,"U13",IF(E2503&gt;0,"U11",0)))))</f>
        <v>0</v>
      </c>
      <c r="E2503" s="456">
        <f>IFERROR(IF(Table11[[#This Row],[Year]]&gt;0,$E$1-Table11[[#This Row],[Year]],0),"")</f>
        <v>0</v>
      </c>
      <c r="F2503" s="456"/>
      <c r="G2503" s="456"/>
      <c r="H2503" s="456"/>
    </row>
    <row r="2504" spans="1:8" ht="13.5" customHeight="1">
      <c r="A2504" s="565">
        <v>9500</v>
      </c>
      <c r="B2504" s="540"/>
      <c r="C2504" s="471"/>
      <c r="D2504" s="456">
        <f>IF(Table11[[#This Row],[Current Age]]&gt;19,"Women's",IF(E2504&gt;15,"U19",IF(E2504&gt;13,"U15",IF(E2504&gt;11,"U13",IF(E2504&gt;0,"U11",0)))))</f>
        <v>0</v>
      </c>
      <c r="E2504" s="456">
        <f>IFERROR(IF(Table11[[#This Row],[Year]]&gt;0,$E$1-Table11[[#This Row],[Year]],0),"")</f>
        <v>0</v>
      </c>
      <c r="F2504" s="456"/>
      <c r="G2504" s="456"/>
      <c r="H2504" s="456"/>
    </row>
    <row r="2505" spans="1:8" ht="13.5" customHeight="1">
      <c r="A2505" s="565">
        <v>9501</v>
      </c>
      <c r="B2505" s="457"/>
      <c r="C2505" s="456"/>
      <c r="D2505" s="456">
        <f>IF(Table11[[#This Row],[Current Age]]&gt;19,"Women's",IF(E2505&gt;15,"U19",IF(E2505&gt;13,"U15",IF(E2505&gt;11,"U13",IF(E2505&gt;0,"U11",0)))))</f>
        <v>0</v>
      </c>
      <c r="E2505" s="456">
        <f>IFERROR(IF(Table11[[#This Row],[Year]]&gt;0,$E$1-Table11[[#This Row],[Year]],0),"")</f>
        <v>0</v>
      </c>
      <c r="F2505" s="456"/>
      <c r="G2505" s="456"/>
      <c r="H2505" s="456"/>
    </row>
    <row r="2506" spans="1:8" ht="13.5" customHeight="1">
      <c r="A2506" s="565">
        <v>9502</v>
      </c>
      <c r="B2506" s="540"/>
      <c r="C2506" s="471"/>
      <c r="D2506" s="456">
        <f>IF(Table11[[#This Row],[Current Age]]&gt;19,"Women's",IF(E2506&gt;15,"U19",IF(E2506&gt;13,"U15",IF(E2506&gt;11,"U13",IF(E2506&gt;0,"U11",0)))))</f>
        <v>0</v>
      </c>
      <c r="E2506" s="456">
        <f>IFERROR(IF(Table11[[#This Row],[Year]]&gt;0,$E$1-Table11[[#This Row],[Year]],0),"")</f>
        <v>0</v>
      </c>
      <c r="F2506" s="456"/>
      <c r="G2506" s="456"/>
      <c r="H2506" s="456"/>
    </row>
    <row r="2507" spans="1:8" ht="13.5" customHeight="1">
      <c r="A2507" s="565">
        <v>9503</v>
      </c>
      <c r="B2507" s="457"/>
      <c r="C2507" s="456"/>
      <c r="D2507" s="456">
        <f>IF(Table11[[#This Row],[Current Age]]&gt;19,"Women's",IF(E2507&gt;15,"U19",IF(E2507&gt;13,"U15",IF(E2507&gt;11,"U13",IF(E2507&gt;0,"U11",0)))))</f>
        <v>0</v>
      </c>
      <c r="E2507" s="456">
        <f>IFERROR(IF(Table11[[#This Row],[Year]]&gt;0,$E$1-Table11[[#This Row],[Year]],0),"")</f>
        <v>0</v>
      </c>
      <c r="F2507" s="456"/>
      <c r="G2507" s="456"/>
      <c r="H2507" s="456"/>
    </row>
    <row r="2508" spans="1:8" ht="13.5" customHeight="1">
      <c r="A2508" s="565">
        <v>9504</v>
      </c>
      <c r="B2508" s="540"/>
      <c r="C2508" s="471"/>
      <c r="D2508" s="456">
        <f>IF(Table11[[#This Row],[Current Age]]&gt;19,"Women's",IF(E2508&gt;15,"U19",IF(E2508&gt;13,"U15",IF(E2508&gt;11,"U13",IF(E2508&gt;0,"U11",0)))))</f>
        <v>0</v>
      </c>
      <c r="E2508" s="456">
        <f>IFERROR(IF(Table11[[#This Row],[Year]]&gt;0,$E$1-Table11[[#This Row],[Year]],0),"")</f>
        <v>0</v>
      </c>
      <c r="F2508" s="456"/>
      <c r="G2508" s="456"/>
      <c r="H2508" s="456"/>
    </row>
    <row r="2509" spans="1:8" ht="13.5" customHeight="1">
      <c r="A2509" s="565">
        <v>9505</v>
      </c>
      <c r="B2509" s="457"/>
      <c r="C2509" s="456"/>
      <c r="D2509" s="456">
        <f>IF(Table11[[#This Row],[Current Age]]&gt;19,"Women's",IF(E2509&gt;15,"U19",IF(E2509&gt;13,"U15",IF(E2509&gt;11,"U13",IF(E2509&gt;0,"U11",0)))))</f>
        <v>0</v>
      </c>
      <c r="E2509" s="456">
        <f>IFERROR(IF(Table11[[#This Row],[Year]]&gt;0,$E$1-Table11[[#This Row],[Year]],0),"")</f>
        <v>0</v>
      </c>
      <c r="F2509" s="456"/>
      <c r="G2509" s="456"/>
      <c r="H2509" s="456"/>
    </row>
    <row r="2510" spans="1:8" ht="13.5" customHeight="1">
      <c r="A2510" s="565">
        <v>9506</v>
      </c>
      <c r="B2510" s="540"/>
      <c r="C2510" s="471"/>
      <c r="D2510" s="456">
        <f>IF(Table11[[#This Row],[Current Age]]&gt;19,"Women's",IF(E2510&gt;15,"U19",IF(E2510&gt;13,"U15",IF(E2510&gt;11,"U13",IF(E2510&gt;0,"U11",0)))))</f>
        <v>0</v>
      </c>
      <c r="E2510" s="456">
        <f>IFERROR(IF(Table11[[#This Row],[Year]]&gt;0,$E$1-Table11[[#This Row],[Year]],0),"")</f>
        <v>0</v>
      </c>
      <c r="F2510" s="456"/>
      <c r="G2510" s="456"/>
      <c r="H2510" s="456"/>
    </row>
    <row r="2511" spans="1:8" ht="13.5" customHeight="1">
      <c r="A2511" s="565">
        <v>9507</v>
      </c>
      <c r="B2511" s="457"/>
      <c r="C2511" s="456"/>
      <c r="D2511" s="456">
        <f>IF(Table11[[#This Row],[Current Age]]&gt;19,"Women's",IF(E2511&gt;15,"U19",IF(E2511&gt;13,"U15",IF(E2511&gt;11,"U13",IF(E2511&gt;0,"U11",0)))))</f>
        <v>0</v>
      </c>
      <c r="E2511" s="456">
        <f>IFERROR(IF(Table11[[#This Row],[Year]]&gt;0,$E$1-Table11[[#This Row],[Year]],0),"")</f>
        <v>0</v>
      </c>
      <c r="F2511" s="456"/>
      <c r="G2511" s="456"/>
      <c r="H2511" s="456"/>
    </row>
    <row r="2512" spans="1:8" ht="13.5" customHeight="1">
      <c r="A2512" s="565">
        <v>9508</v>
      </c>
      <c r="B2512" s="540"/>
      <c r="C2512" s="471"/>
      <c r="D2512" s="456">
        <f>IF(Table11[[#This Row],[Current Age]]&gt;19,"Women's",IF(E2512&gt;15,"U19",IF(E2512&gt;13,"U15",IF(E2512&gt;11,"U13",IF(E2512&gt;0,"U11",0)))))</f>
        <v>0</v>
      </c>
      <c r="E2512" s="456">
        <f>IFERROR(IF(Table11[[#This Row],[Year]]&gt;0,$E$1-Table11[[#This Row],[Year]],0),"")</f>
        <v>0</v>
      </c>
      <c r="F2512" s="456"/>
      <c r="G2512" s="456"/>
      <c r="H2512" s="456"/>
    </row>
    <row r="2513" spans="1:8" ht="13.5" customHeight="1">
      <c r="A2513" s="565">
        <v>9509</v>
      </c>
      <c r="B2513" s="457"/>
      <c r="C2513" s="456"/>
      <c r="D2513" s="456">
        <f>IF(Table11[[#This Row],[Current Age]]&gt;19,"Women's",IF(E2513&gt;15,"U19",IF(E2513&gt;13,"U15",IF(E2513&gt;11,"U13",IF(E2513&gt;0,"U11",0)))))</f>
        <v>0</v>
      </c>
      <c r="E2513" s="456">
        <f>IFERROR(IF(Table11[[#This Row],[Year]]&gt;0,$E$1-Table11[[#This Row],[Year]],0),"")</f>
        <v>0</v>
      </c>
      <c r="F2513" s="456"/>
      <c r="G2513" s="456"/>
      <c r="H2513" s="456"/>
    </row>
    <row r="2514" spans="1:8" ht="13.5" customHeight="1">
      <c r="A2514" s="565">
        <v>9510</v>
      </c>
      <c r="B2514" s="540"/>
      <c r="C2514" s="471"/>
      <c r="D2514" s="456">
        <f>IF(Table11[[#This Row],[Current Age]]&gt;19,"Women's",IF(E2514&gt;15,"U19",IF(E2514&gt;13,"U15",IF(E2514&gt;11,"U13",IF(E2514&gt;0,"U11",0)))))</f>
        <v>0</v>
      </c>
      <c r="E2514" s="456">
        <f>IFERROR(IF(Table11[[#This Row],[Year]]&gt;0,$E$1-Table11[[#This Row],[Year]],0),"")</f>
        <v>0</v>
      </c>
      <c r="F2514" s="456"/>
      <c r="G2514" s="456"/>
      <c r="H2514" s="456"/>
    </row>
    <row r="2515" spans="1:8" ht="13.5" customHeight="1">
      <c r="A2515" s="565">
        <v>9511</v>
      </c>
      <c r="B2515" s="457"/>
      <c r="C2515" s="456"/>
      <c r="D2515" s="456">
        <f>IF(Table11[[#This Row],[Current Age]]&gt;19,"Women's",IF(E2515&gt;15,"U19",IF(E2515&gt;13,"U15",IF(E2515&gt;11,"U13",IF(E2515&gt;0,"U11",0)))))</f>
        <v>0</v>
      </c>
      <c r="E2515" s="456">
        <f>IFERROR(IF(Table11[[#This Row],[Year]]&gt;0,$E$1-Table11[[#This Row],[Year]],0),"")</f>
        <v>0</v>
      </c>
      <c r="F2515" s="456"/>
      <c r="G2515" s="456"/>
      <c r="H2515" s="456"/>
    </row>
    <row r="2516" spans="1:8" ht="13.5" customHeight="1">
      <c r="A2516" s="565">
        <v>9512</v>
      </c>
      <c r="B2516" s="540"/>
      <c r="C2516" s="471"/>
      <c r="D2516" s="456">
        <f>IF(Table11[[#This Row],[Current Age]]&gt;19,"Women's",IF(E2516&gt;15,"U19",IF(E2516&gt;13,"U15",IF(E2516&gt;11,"U13",IF(E2516&gt;0,"U11",0)))))</f>
        <v>0</v>
      </c>
      <c r="E2516" s="456">
        <f>IFERROR(IF(Table11[[#This Row],[Year]]&gt;0,$E$1-Table11[[#This Row],[Year]],0),"")</f>
        <v>0</v>
      </c>
      <c r="F2516" s="456"/>
      <c r="G2516" s="456"/>
      <c r="H2516" s="456"/>
    </row>
    <row r="2517" spans="1:8" ht="13.5" customHeight="1">
      <c r="A2517" s="565">
        <v>9513</v>
      </c>
      <c r="B2517" s="457"/>
      <c r="C2517" s="456"/>
      <c r="D2517" s="456">
        <f>IF(Table11[[#This Row],[Current Age]]&gt;19,"Women's",IF(E2517&gt;15,"U19",IF(E2517&gt;13,"U15",IF(E2517&gt;11,"U13",IF(E2517&gt;0,"U11",0)))))</f>
        <v>0</v>
      </c>
      <c r="E2517" s="456">
        <f>IFERROR(IF(Table11[[#This Row],[Year]]&gt;0,$E$1-Table11[[#This Row],[Year]],0),"")</f>
        <v>0</v>
      </c>
      <c r="F2517" s="456"/>
      <c r="G2517" s="456"/>
      <c r="H2517" s="456"/>
    </row>
    <row r="2518" spans="1:8" ht="13.5" customHeight="1">
      <c r="A2518" s="565">
        <v>9514</v>
      </c>
      <c r="B2518" s="540"/>
      <c r="C2518" s="471"/>
      <c r="D2518" s="456">
        <f>IF(Table11[[#This Row],[Current Age]]&gt;19,"Women's",IF(E2518&gt;15,"U19",IF(E2518&gt;13,"U15",IF(E2518&gt;11,"U13",IF(E2518&gt;0,"U11",0)))))</f>
        <v>0</v>
      </c>
      <c r="E2518" s="456">
        <f>IFERROR(IF(Table11[[#This Row],[Year]]&gt;0,$E$1-Table11[[#This Row],[Year]],0),"")</f>
        <v>0</v>
      </c>
      <c r="F2518" s="456"/>
      <c r="G2518" s="456"/>
      <c r="H2518" s="456"/>
    </row>
    <row r="2519" spans="1:8" ht="13.5" customHeight="1">
      <c r="A2519" s="565">
        <v>9515</v>
      </c>
      <c r="B2519" s="457"/>
      <c r="C2519" s="456"/>
      <c r="D2519" s="456">
        <f>IF(Table11[[#This Row],[Current Age]]&gt;19,"Women's",IF(E2519&gt;15,"U19",IF(E2519&gt;13,"U15",IF(E2519&gt;11,"U13",IF(E2519&gt;0,"U11",0)))))</f>
        <v>0</v>
      </c>
      <c r="E2519" s="456">
        <f>IFERROR(IF(Table11[[#This Row],[Year]]&gt;0,$E$1-Table11[[#This Row],[Year]],0),"")</f>
        <v>0</v>
      </c>
      <c r="F2519" s="456"/>
      <c r="G2519" s="456"/>
      <c r="H2519" s="456"/>
    </row>
    <row r="2520" spans="1:8" ht="13.5" customHeight="1">
      <c r="A2520" s="565">
        <v>9516</v>
      </c>
      <c r="B2520" s="540"/>
      <c r="C2520" s="471"/>
      <c r="D2520" s="456">
        <f>IF(Table11[[#This Row],[Current Age]]&gt;19,"Women's",IF(E2520&gt;15,"U19",IF(E2520&gt;13,"U15",IF(E2520&gt;11,"U13",IF(E2520&gt;0,"U11",0)))))</f>
        <v>0</v>
      </c>
      <c r="E2520" s="456">
        <f>IFERROR(IF(Table11[[#This Row],[Year]]&gt;0,$E$1-Table11[[#This Row],[Year]],0),"")</f>
        <v>0</v>
      </c>
      <c r="F2520" s="456"/>
      <c r="G2520" s="456"/>
      <c r="H2520" s="456"/>
    </row>
    <row r="2521" spans="1:8" ht="13.5" customHeight="1">
      <c r="A2521" s="471">
        <v>9517</v>
      </c>
      <c r="B2521" s="457"/>
      <c r="C2521" s="456"/>
      <c r="D2521" s="456">
        <f>IF(Table11[[#This Row],[Current Age]]&gt;19,"Women's",IF(E2521&gt;15,"U19",IF(E2521&gt;13,"U15",IF(E2521&gt;11,"U13",IF(E2521&gt;0,"U11",0)))))</f>
        <v>0</v>
      </c>
      <c r="E2521" s="456">
        <f>IFERROR(IF(Table11[[#This Row],[Year]]&gt;0,$E$1-Table11[[#This Row],[Year]],0),"")</f>
        <v>0</v>
      </c>
      <c r="F2521" s="456"/>
      <c r="G2521" s="456"/>
      <c r="H2521" s="456"/>
    </row>
    <row r="2522" spans="1:8" ht="13.5" customHeight="1">
      <c r="A2522" s="456">
        <v>9518</v>
      </c>
      <c r="B2522" s="540"/>
      <c r="C2522" s="471"/>
      <c r="D2522" s="456">
        <f>IF(Table11[[#This Row],[Current Age]]&gt;19,"Women's",IF(E2522&gt;15,"U19",IF(E2522&gt;13,"U15",IF(E2522&gt;11,"U13",IF(E2522&gt;0,"U11",0)))))</f>
        <v>0</v>
      </c>
      <c r="E2522" s="456">
        <f>IFERROR(IF(Table11[[#This Row],[Year]]&gt;0,$E$1-Table11[[#This Row],[Year]],0),"")</f>
        <v>0</v>
      </c>
      <c r="F2522" s="456"/>
      <c r="G2522" s="456"/>
      <c r="H2522" s="456"/>
    </row>
    <row r="2523" spans="1:8" ht="13.5" customHeight="1">
      <c r="A2523" s="471">
        <v>9519</v>
      </c>
      <c r="B2523" s="457"/>
      <c r="C2523" s="456"/>
      <c r="D2523" s="456">
        <f>IF(Table11[[#This Row],[Current Age]]&gt;19,"Women's",IF(E2523&gt;15,"U19",IF(E2523&gt;13,"U15",IF(E2523&gt;11,"U13",IF(E2523&gt;0,"U11",0)))))</f>
        <v>0</v>
      </c>
      <c r="E2523" s="456">
        <f>IFERROR(IF(Table11[[#This Row],[Year]]&gt;0,$E$1-Table11[[#This Row],[Year]],0),"")</f>
        <v>0</v>
      </c>
      <c r="F2523" s="456"/>
      <c r="G2523" s="456"/>
      <c r="H2523" s="456"/>
    </row>
    <row r="2524" spans="1:8" ht="13.5" customHeight="1">
      <c r="A2524" s="456">
        <v>9520</v>
      </c>
      <c r="B2524" s="540"/>
      <c r="C2524" s="471"/>
      <c r="D2524" s="456">
        <f>IF(Table11[[#This Row],[Current Age]]&gt;19,"Women's",IF(E2524&gt;15,"U19",IF(E2524&gt;13,"U15",IF(E2524&gt;11,"U13",IF(E2524&gt;0,"U11",0)))))</f>
        <v>0</v>
      </c>
      <c r="E2524" s="456">
        <f>IFERROR(IF(Table11[[#This Row],[Year]]&gt;0,$E$1-Table11[[#This Row],[Year]],0),"")</f>
        <v>0</v>
      </c>
      <c r="F2524" s="456"/>
      <c r="G2524" s="456"/>
      <c r="H2524" s="456"/>
    </row>
    <row r="2525" spans="1:8" ht="13.5" customHeight="1">
      <c r="A2525" s="471">
        <v>9521</v>
      </c>
      <c r="B2525" s="457"/>
      <c r="C2525" s="456"/>
      <c r="D2525" s="456">
        <f>IF(Table11[[#This Row],[Current Age]]&gt;19,"Women's",IF(E2525&gt;15,"U19",IF(E2525&gt;13,"U15",IF(E2525&gt;11,"U13",IF(E2525&gt;0,"U11",0)))))</f>
        <v>0</v>
      </c>
      <c r="E2525" s="456">
        <f>IFERROR(IF(Table11[[#This Row],[Year]]&gt;0,$E$1-Table11[[#This Row],[Year]],0),"")</f>
        <v>0</v>
      </c>
      <c r="F2525" s="456"/>
      <c r="G2525" s="456"/>
      <c r="H2525" s="456"/>
    </row>
    <row r="2526" spans="1:8" ht="13.5" customHeight="1">
      <c r="A2526" s="456">
        <v>9522</v>
      </c>
      <c r="B2526" s="540"/>
      <c r="C2526" s="471"/>
      <c r="D2526" s="456">
        <f>IF(Table11[[#This Row],[Current Age]]&gt;19,"Women's",IF(E2526&gt;15,"U19",IF(E2526&gt;13,"U15",IF(E2526&gt;11,"U13",IF(E2526&gt;0,"U11",0)))))</f>
        <v>0</v>
      </c>
      <c r="E2526" s="456">
        <f>IFERROR(IF(Table11[[#This Row],[Year]]&gt;0,$E$1-Table11[[#This Row],[Year]],0),"")</f>
        <v>0</v>
      </c>
      <c r="F2526" s="456"/>
      <c r="G2526" s="456"/>
      <c r="H2526" s="456"/>
    </row>
    <row r="2527" spans="1:8" ht="13.5" customHeight="1">
      <c r="A2527" s="471">
        <v>9523</v>
      </c>
      <c r="B2527" s="457"/>
      <c r="C2527" s="456"/>
      <c r="D2527" s="456">
        <f>IF(Table11[[#This Row],[Current Age]]&gt;19,"Women's",IF(E2527&gt;15,"U19",IF(E2527&gt;13,"U15",IF(E2527&gt;11,"U13",IF(E2527&gt;0,"U11",0)))))</f>
        <v>0</v>
      </c>
      <c r="E2527" s="456">
        <f>IFERROR(IF(Table11[[#This Row],[Year]]&gt;0,$E$1-Table11[[#This Row],[Year]],0),"")</f>
        <v>0</v>
      </c>
      <c r="F2527" s="456"/>
      <c r="G2527" s="456"/>
      <c r="H2527" s="456"/>
    </row>
    <row r="2528" spans="1:8" ht="13.5" customHeight="1">
      <c r="A2528" s="456">
        <v>9524</v>
      </c>
      <c r="B2528" s="540"/>
      <c r="C2528" s="471"/>
      <c r="D2528" s="456">
        <f>IF(Table11[[#This Row],[Current Age]]&gt;19,"Women's",IF(E2528&gt;15,"U19",IF(E2528&gt;13,"U15",IF(E2528&gt;11,"U13",IF(E2528&gt;0,"U11",0)))))</f>
        <v>0</v>
      </c>
      <c r="E2528" s="456">
        <f>IFERROR(IF(Table11[[#This Row],[Year]]&gt;0,$E$1-Table11[[#This Row],[Year]],0),"")</f>
        <v>0</v>
      </c>
      <c r="F2528" s="456"/>
      <c r="G2528" s="456"/>
      <c r="H2528" s="456"/>
    </row>
    <row r="2529" spans="1:8" ht="13.5" customHeight="1">
      <c r="A2529" s="471">
        <v>9525</v>
      </c>
      <c r="B2529" s="457"/>
      <c r="C2529" s="456"/>
      <c r="D2529" s="456">
        <f>IF(Table11[[#This Row],[Current Age]]&gt;19,"Women's",IF(E2529&gt;15,"U19",IF(E2529&gt;13,"U15",IF(E2529&gt;11,"U13",IF(E2529&gt;0,"U11",0)))))</f>
        <v>0</v>
      </c>
      <c r="E2529" s="456">
        <f>IFERROR(IF(Table11[[#This Row],[Year]]&gt;0,$E$1-Table11[[#This Row],[Year]],0),"")</f>
        <v>0</v>
      </c>
      <c r="F2529" s="456"/>
      <c r="G2529" s="456"/>
      <c r="H2529" s="456"/>
    </row>
    <row r="2530" spans="1:8" ht="13.5" customHeight="1">
      <c r="A2530" s="456">
        <v>9526</v>
      </c>
      <c r="B2530" s="540"/>
      <c r="C2530" s="471"/>
      <c r="D2530" s="456">
        <f>IF(Table11[[#This Row],[Current Age]]&gt;19,"Women's",IF(E2530&gt;15,"U19",IF(E2530&gt;13,"U15",IF(E2530&gt;11,"U13",IF(E2530&gt;0,"U11",0)))))</f>
        <v>0</v>
      </c>
      <c r="E2530" s="456">
        <f>IFERROR(IF(Table11[[#This Row],[Year]]&gt;0,$E$1-Table11[[#This Row],[Year]],0),"")</f>
        <v>0</v>
      </c>
      <c r="F2530" s="456"/>
      <c r="G2530" s="456"/>
      <c r="H2530" s="456"/>
    </row>
    <row r="2531" spans="1:8" ht="13.5" customHeight="1">
      <c r="A2531" s="471">
        <v>9527</v>
      </c>
      <c r="B2531" s="457"/>
      <c r="C2531" s="456"/>
      <c r="D2531" s="456">
        <f>IF(Table11[[#This Row],[Current Age]]&gt;19,"Women's",IF(E2531&gt;15,"U19",IF(E2531&gt;13,"U15",IF(E2531&gt;11,"U13",IF(E2531&gt;0,"U11",0)))))</f>
        <v>0</v>
      </c>
      <c r="E2531" s="456">
        <f>IFERROR(IF(Table11[[#This Row],[Year]]&gt;0,$E$1-Table11[[#This Row],[Year]],0),"")</f>
        <v>0</v>
      </c>
      <c r="F2531" s="456"/>
      <c r="G2531" s="456"/>
      <c r="H2531" s="456"/>
    </row>
    <row r="2532" spans="1:8" ht="13.5" customHeight="1">
      <c r="A2532" s="456">
        <v>9528</v>
      </c>
      <c r="B2532" s="540"/>
      <c r="C2532" s="471"/>
      <c r="D2532" s="456">
        <f>IF(Table11[[#This Row],[Current Age]]&gt;19,"Women's",IF(E2532&gt;15,"U19",IF(E2532&gt;13,"U15",IF(E2532&gt;11,"U13",IF(E2532&gt;0,"U11",0)))))</f>
        <v>0</v>
      </c>
      <c r="E2532" s="456">
        <f>IFERROR(IF(Table11[[#This Row],[Year]]&gt;0,$E$1-Table11[[#This Row],[Year]],0),"")</f>
        <v>0</v>
      </c>
      <c r="F2532" s="456"/>
      <c r="G2532" s="456"/>
      <c r="H2532" s="456"/>
    </row>
    <row r="2533" spans="1:8" ht="13.5" customHeight="1">
      <c r="A2533" s="471">
        <v>9529</v>
      </c>
      <c r="B2533" s="457"/>
      <c r="C2533" s="456"/>
      <c r="D2533" s="456">
        <f>IF(Table11[[#This Row],[Current Age]]&gt;19,"Women's",IF(E2533&gt;15,"U19",IF(E2533&gt;13,"U15",IF(E2533&gt;11,"U13",IF(E2533&gt;0,"U11",0)))))</f>
        <v>0</v>
      </c>
      <c r="E2533" s="456">
        <f>IFERROR(IF(Table11[[#This Row],[Year]]&gt;0,$E$1-Table11[[#This Row],[Year]],0),"")</f>
        <v>0</v>
      </c>
      <c r="F2533" s="456"/>
      <c r="G2533" s="456"/>
      <c r="H2533" s="456"/>
    </row>
    <row r="2534" spans="1:8" ht="13.5" customHeight="1">
      <c r="A2534" s="456">
        <v>9530</v>
      </c>
      <c r="B2534" s="540"/>
      <c r="C2534" s="471"/>
      <c r="D2534" s="456">
        <f>IF(Table11[[#This Row],[Current Age]]&gt;19,"Women's",IF(E2534&gt;15,"U19",IF(E2534&gt;13,"U15",IF(E2534&gt;11,"U13",IF(E2534&gt;0,"U11",0)))))</f>
        <v>0</v>
      </c>
      <c r="E2534" s="456">
        <f>IFERROR(IF(Table11[[#This Row],[Year]]&gt;0,$E$1-Table11[[#This Row],[Year]],0),"")</f>
        <v>0</v>
      </c>
      <c r="F2534" s="456"/>
      <c r="G2534" s="456"/>
      <c r="H2534" s="456"/>
    </row>
    <row r="2535" spans="1:8" ht="13.5" customHeight="1">
      <c r="A2535" s="471">
        <v>9531</v>
      </c>
      <c r="B2535" s="457"/>
      <c r="C2535" s="456"/>
      <c r="D2535" s="456">
        <f>IF(Table11[[#This Row],[Current Age]]&gt;19,"Women's",IF(E2535&gt;15,"U19",IF(E2535&gt;13,"U15",IF(E2535&gt;11,"U13",IF(E2535&gt;0,"U11",0)))))</f>
        <v>0</v>
      </c>
      <c r="E2535" s="456">
        <f>IFERROR(IF(Table11[[#This Row],[Year]]&gt;0,$E$1-Table11[[#This Row],[Year]],0),"")</f>
        <v>0</v>
      </c>
      <c r="F2535" s="456"/>
      <c r="G2535" s="456"/>
      <c r="H2535" s="456"/>
    </row>
    <row r="2536" spans="1:8" ht="13.5" customHeight="1">
      <c r="A2536" s="456">
        <v>9532</v>
      </c>
      <c r="B2536" s="540"/>
      <c r="C2536" s="471"/>
      <c r="D2536" s="456">
        <f>IF(Table11[[#This Row],[Current Age]]&gt;19,"Women's",IF(E2536&gt;15,"U19",IF(E2536&gt;13,"U15",IF(E2536&gt;11,"U13",IF(E2536&gt;0,"U11",0)))))</f>
        <v>0</v>
      </c>
      <c r="E2536" s="456">
        <f>IFERROR(IF(Table11[[#This Row],[Year]]&gt;0,$E$1-Table11[[#This Row],[Year]],0),"")</f>
        <v>0</v>
      </c>
      <c r="F2536" s="456"/>
      <c r="G2536" s="456"/>
      <c r="H2536" s="456"/>
    </row>
    <row r="2537" spans="1:8" ht="13.5" customHeight="1">
      <c r="A2537" s="471">
        <v>9533</v>
      </c>
      <c r="B2537" s="457"/>
      <c r="C2537" s="456"/>
      <c r="D2537" s="456">
        <f>IF(Table11[[#This Row],[Current Age]]&gt;19,"Women's",IF(E2537&gt;15,"U19",IF(E2537&gt;13,"U15",IF(E2537&gt;11,"U13",IF(E2537&gt;0,"U11",0)))))</f>
        <v>0</v>
      </c>
      <c r="E2537" s="456">
        <f>IFERROR(IF(Table11[[#This Row],[Year]]&gt;0,$E$1-Table11[[#This Row],[Year]],0),"")</f>
        <v>0</v>
      </c>
      <c r="F2537" s="456"/>
      <c r="G2537" s="456"/>
      <c r="H2537" s="456"/>
    </row>
    <row r="2538" spans="1:8" ht="13.5" customHeight="1">
      <c r="A2538" s="456">
        <v>9534</v>
      </c>
      <c r="B2538" s="540"/>
      <c r="C2538" s="471"/>
      <c r="D2538" s="456">
        <f>IF(Table11[[#This Row],[Current Age]]&gt;19,"Women's",IF(E2538&gt;15,"U19",IF(E2538&gt;13,"U15",IF(E2538&gt;11,"U13",IF(E2538&gt;0,"U11",0)))))</f>
        <v>0</v>
      </c>
      <c r="E2538" s="456">
        <f>IFERROR(IF(Table11[[#This Row],[Year]]&gt;0,$E$1-Table11[[#This Row],[Year]],0),"")</f>
        <v>0</v>
      </c>
      <c r="F2538" s="456"/>
      <c r="G2538" s="456"/>
      <c r="H2538" s="456"/>
    </row>
    <row r="2539" spans="1:8" ht="13.5" customHeight="1">
      <c r="A2539" s="471">
        <v>9535</v>
      </c>
      <c r="B2539" s="457"/>
      <c r="C2539" s="456"/>
      <c r="D2539" s="456">
        <f>IF(Table11[[#This Row],[Current Age]]&gt;19,"Women's",IF(E2539&gt;15,"U19",IF(E2539&gt;13,"U15",IF(E2539&gt;11,"U13",IF(E2539&gt;0,"U11",0)))))</f>
        <v>0</v>
      </c>
      <c r="E2539" s="456">
        <f>IFERROR(IF(Table11[[#This Row],[Year]]&gt;0,$E$1-Table11[[#This Row],[Year]],0),"")</f>
        <v>0</v>
      </c>
      <c r="F2539" s="456"/>
      <c r="G2539" s="456"/>
      <c r="H2539" s="456"/>
    </row>
    <row r="2540" spans="1:8" ht="13.5" customHeight="1">
      <c r="A2540" s="456">
        <v>9536</v>
      </c>
      <c r="B2540" s="540"/>
      <c r="C2540" s="471"/>
      <c r="D2540" s="456">
        <f>IF(Table11[[#This Row],[Current Age]]&gt;19,"Women's",IF(E2540&gt;15,"U19",IF(E2540&gt;13,"U15",IF(E2540&gt;11,"U13",IF(E2540&gt;0,"U11",0)))))</f>
        <v>0</v>
      </c>
      <c r="E2540" s="456">
        <f>IFERROR(IF(Table11[[#This Row],[Year]]&gt;0,$E$1-Table11[[#This Row],[Year]],0),"")</f>
        <v>0</v>
      </c>
      <c r="F2540" s="456"/>
      <c r="G2540" s="456"/>
      <c r="H2540" s="456"/>
    </row>
    <row r="2541" spans="1:8" ht="13.5" customHeight="1">
      <c r="A2541" s="471">
        <v>9537</v>
      </c>
      <c r="B2541" s="457"/>
      <c r="C2541" s="456"/>
      <c r="D2541" s="456">
        <f>IF(Table11[[#This Row],[Current Age]]&gt;19,"Women's",IF(E2541&gt;15,"U19",IF(E2541&gt;13,"U15",IF(E2541&gt;11,"U13",IF(E2541&gt;0,"U11",0)))))</f>
        <v>0</v>
      </c>
      <c r="E2541" s="456">
        <f>IFERROR(IF(Table11[[#This Row],[Year]]&gt;0,$E$1-Table11[[#This Row],[Year]],0),"")</f>
        <v>0</v>
      </c>
      <c r="F2541" s="456"/>
      <c r="G2541" s="456"/>
      <c r="H2541" s="456"/>
    </row>
    <row r="2542" spans="1:8" ht="13.5" customHeight="1">
      <c r="A2542" s="456">
        <v>9538</v>
      </c>
      <c r="B2542" s="540"/>
      <c r="C2542" s="471"/>
      <c r="D2542" s="456">
        <f>IF(Table11[[#This Row],[Current Age]]&gt;19,"Women's",IF(E2542&gt;15,"U19",IF(E2542&gt;13,"U15",IF(E2542&gt;11,"U13",IF(E2542&gt;0,"U11",0)))))</f>
        <v>0</v>
      </c>
      <c r="E2542" s="456">
        <f>IFERROR(IF(Table11[[#This Row],[Year]]&gt;0,$E$1-Table11[[#This Row],[Year]],0),"")</f>
        <v>0</v>
      </c>
      <c r="F2542" s="456"/>
      <c r="G2542" s="456"/>
      <c r="H2542" s="456"/>
    </row>
    <row r="2543" spans="1:8" ht="13.5" customHeight="1">
      <c r="A2543" s="471">
        <v>9539</v>
      </c>
      <c r="B2543" s="457"/>
      <c r="C2543" s="456"/>
      <c r="D2543" s="456">
        <f>IF(Table11[[#This Row],[Current Age]]&gt;19,"Women's",IF(E2543&gt;15,"U19",IF(E2543&gt;13,"U15",IF(E2543&gt;11,"U13",IF(E2543&gt;0,"U11",0)))))</f>
        <v>0</v>
      </c>
      <c r="E2543" s="456">
        <f>IFERROR(IF(Table11[[#This Row],[Year]]&gt;0,$E$1-Table11[[#This Row],[Year]],0),"")</f>
        <v>0</v>
      </c>
      <c r="F2543" s="456"/>
      <c r="G2543" s="456"/>
      <c r="H2543" s="456"/>
    </row>
    <row r="2544" spans="1:8" ht="13.5" customHeight="1">
      <c r="A2544" s="456">
        <v>9540</v>
      </c>
      <c r="B2544" s="540"/>
      <c r="C2544" s="471"/>
      <c r="D2544" s="456">
        <f>IF(Table11[[#This Row],[Current Age]]&gt;19,"Women's",IF(E2544&gt;15,"U19",IF(E2544&gt;13,"U15",IF(E2544&gt;11,"U13",IF(E2544&gt;0,"U11",0)))))</f>
        <v>0</v>
      </c>
      <c r="E2544" s="456">
        <f>IFERROR(IF(Table11[[#This Row],[Year]]&gt;0,$E$1-Table11[[#This Row],[Year]],0),"")</f>
        <v>0</v>
      </c>
      <c r="F2544" s="456"/>
      <c r="G2544" s="456"/>
      <c r="H2544" s="456"/>
    </row>
    <row r="2545" spans="1:8" ht="13.5" customHeight="1">
      <c r="A2545" s="471">
        <v>9541</v>
      </c>
      <c r="B2545" s="457"/>
      <c r="C2545" s="456"/>
      <c r="D2545" s="456">
        <f>IF(Table11[[#This Row],[Current Age]]&gt;19,"Women's",IF(E2545&gt;15,"U19",IF(E2545&gt;13,"U15",IF(E2545&gt;11,"U13",IF(E2545&gt;0,"U11",0)))))</f>
        <v>0</v>
      </c>
      <c r="E2545" s="456">
        <f>IFERROR(IF(Table11[[#This Row],[Year]]&gt;0,$E$1-Table11[[#This Row],[Year]],0),"")</f>
        <v>0</v>
      </c>
      <c r="F2545" s="456"/>
      <c r="G2545" s="456"/>
      <c r="H2545" s="456"/>
    </row>
    <row r="2546" spans="1:8" ht="13.5" customHeight="1">
      <c r="A2546" s="456">
        <v>9542</v>
      </c>
      <c r="B2546" s="540"/>
      <c r="C2546" s="471"/>
      <c r="D2546" s="456">
        <f>IF(Table11[[#This Row],[Current Age]]&gt;19,"Women's",IF(E2546&gt;15,"U19",IF(E2546&gt;13,"U15",IF(E2546&gt;11,"U13",IF(E2546&gt;0,"U11",0)))))</f>
        <v>0</v>
      </c>
      <c r="E2546" s="456">
        <f>IFERROR(IF(Table11[[#This Row],[Year]]&gt;0,$E$1-Table11[[#This Row],[Year]],0),"")</f>
        <v>0</v>
      </c>
      <c r="F2546" s="456"/>
      <c r="G2546" s="456"/>
      <c r="H2546" s="456"/>
    </row>
    <row r="2547" spans="1:8" ht="13.5" customHeight="1">
      <c r="A2547" s="471">
        <v>9543</v>
      </c>
      <c r="B2547" s="457"/>
      <c r="C2547" s="456"/>
      <c r="D2547" s="456">
        <f>IF(Table11[[#This Row],[Current Age]]&gt;19,"Women's",IF(E2547&gt;15,"U19",IF(E2547&gt;13,"U15",IF(E2547&gt;11,"U13",IF(E2547&gt;0,"U11",0)))))</f>
        <v>0</v>
      </c>
      <c r="E2547" s="456">
        <f>IFERROR(IF(Table11[[#This Row],[Year]]&gt;0,$E$1-Table11[[#This Row],[Year]],0),"")</f>
        <v>0</v>
      </c>
      <c r="F2547" s="456"/>
      <c r="G2547" s="456"/>
      <c r="H2547" s="456"/>
    </row>
    <row r="2548" spans="1:8" ht="13.5" customHeight="1">
      <c r="A2548" s="456">
        <v>9544</v>
      </c>
      <c r="B2548" s="540"/>
      <c r="C2548" s="471"/>
      <c r="D2548" s="456">
        <f>IF(Table11[[#This Row],[Current Age]]&gt;19,"Women's",IF(E2548&gt;15,"U19",IF(E2548&gt;13,"U15",IF(E2548&gt;11,"U13",IF(E2548&gt;0,"U11",0)))))</f>
        <v>0</v>
      </c>
      <c r="E2548" s="456">
        <f>IFERROR(IF(Table11[[#This Row],[Year]]&gt;0,$E$1-Table11[[#This Row],[Year]],0),"")</f>
        <v>0</v>
      </c>
      <c r="F2548" s="456"/>
      <c r="G2548" s="456"/>
      <c r="H2548" s="456"/>
    </row>
    <row r="2549" spans="1:8" ht="13.5" customHeight="1">
      <c r="A2549" s="471">
        <v>9545</v>
      </c>
      <c r="B2549" s="457"/>
      <c r="C2549" s="456"/>
      <c r="D2549" s="456">
        <f>IF(Table11[[#This Row],[Current Age]]&gt;19,"Women's",IF(E2549&gt;15,"U19",IF(E2549&gt;13,"U15",IF(E2549&gt;11,"U13",IF(E2549&gt;0,"U11",0)))))</f>
        <v>0</v>
      </c>
      <c r="E2549" s="456">
        <f>IFERROR(IF(Table11[[#This Row],[Year]]&gt;0,$E$1-Table11[[#This Row],[Year]],0),"")</f>
        <v>0</v>
      </c>
      <c r="F2549" s="456"/>
      <c r="G2549" s="456"/>
      <c r="H2549" s="456"/>
    </row>
    <row r="2550" spans="1:8" ht="13.5" customHeight="1">
      <c r="A2550" s="456">
        <v>9546</v>
      </c>
      <c r="B2550" s="540"/>
      <c r="C2550" s="471"/>
      <c r="D2550" s="456">
        <f>IF(Table11[[#This Row],[Current Age]]&gt;19,"Women's",IF(E2550&gt;15,"U19",IF(E2550&gt;13,"U15",IF(E2550&gt;11,"U13",IF(E2550&gt;0,"U11",0)))))</f>
        <v>0</v>
      </c>
      <c r="E2550" s="456">
        <f>IFERROR(IF(Table11[[#This Row],[Year]]&gt;0,$E$1-Table11[[#This Row],[Year]],0),"")</f>
        <v>0</v>
      </c>
      <c r="F2550" s="456"/>
      <c r="G2550" s="456"/>
      <c r="H2550" s="456"/>
    </row>
    <row r="2551" spans="1:8" ht="13.5" customHeight="1">
      <c r="A2551" s="471">
        <v>9547</v>
      </c>
      <c r="B2551" s="457"/>
      <c r="C2551" s="456"/>
      <c r="D2551" s="456">
        <f>IF(Table11[[#This Row],[Current Age]]&gt;19,"Women's",IF(E2551&gt;15,"U19",IF(E2551&gt;13,"U15",IF(E2551&gt;11,"U13",IF(E2551&gt;0,"U11",0)))))</f>
        <v>0</v>
      </c>
      <c r="E2551" s="456">
        <f>IFERROR(IF(Table11[[#This Row],[Year]]&gt;0,$E$1-Table11[[#This Row],[Year]],0),"")</f>
        <v>0</v>
      </c>
      <c r="F2551" s="456"/>
      <c r="G2551" s="456"/>
      <c r="H2551" s="456"/>
    </row>
    <row r="2552" spans="1:8" ht="13.5" customHeight="1">
      <c r="A2552" s="456">
        <v>9548</v>
      </c>
      <c r="B2552" s="540"/>
      <c r="C2552" s="471"/>
      <c r="D2552" s="456">
        <f>IF(Table11[[#This Row],[Current Age]]&gt;19,"Women's",IF(E2552&gt;15,"U19",IF(E2552&gt;13,"U15",IF(E2552&gt;11,"U13",IF(E2552&gt;0,"U11",0)))))</f>
        <v>0</v>
      </c>
      <c r="E2552" s="456">
        <f>IFERROR(IF(Table11[[#This Row],[Year]]&gt;0,$E$1-Table11[[#This Row],[Year]],0),"")</f>
        <v>0</v>
      </c>
      <c r="F2552" s="456"/>
      <c r="G2552" s="456"/>
      <c r="H2552" s="456"/>
    </row>
    <row r="2553" spans="1:8" ht="13.5" customHeight="1">
      <c r="A2553" s="471">
        <v>9549</v>
      </c>
      <c r="B2553" s="457"/>
      <c r="C2553" s="456"/>
      <c r="D2553" s="456">
        <f>IF(Table11[[#This Row],[Current Age]]&gt;19,"Women's",IF(E2553&gt;15,"U19",IF(E2553&gt;13,"U15",IF(E2553&gt;11,"U13",IF(E2553&gt;0,"U11",0)))))</f>
        <v>0</v>
      </c>
      <c r="E2553" s="456">
        <f>IFERROR(IF(Table11[[#This Row],[Year]]&gt;0,$E$1-Table11[[#This Row],[Year]],0),"")</f>
        <v>0</v>
      </c>
      <c r="F2553" s="456"/>
      <c r="G2553" s="456"/>
      <c r="H2553" s="456"/>
    </row>
    <row r="2554" spans="1:8" ht="13.5" customHeight="1">
      <c r="A2554" s="456">
        <v>9550</v>
      </c>
      <c r="B2554" s="540"/>
      <c r="C2554" s="471"/>
      <c r="D2554" s="456">
        <f>IF(Table11[[#This Row],[Current Age]]&gt;19,"Women's",IF(E2554&gt;15,"U19",IF(E2554&gt;13,"U15",IF(E2554&gt;11,"U13",IF(E2554&gt;0,"U11",0)))))</f>
        <v>0</v>
      </c>
      <c r="E2554" s="456">
        <f>IFERROR(IF(Table11[[#This Row],[Year]]&gt;0,$E$1-Table11[[#This Row],[Year]],0),"")</f>
        <v>0</v>
      </c>
      <c r="F2554" s="456"/>
      <c r="G2554" s="456"/>
      <c r="H2554" s="456"/>
    </row>
    <row r="2555" spans="1:8" ht="13.5" customHeight="1">
      <c r="A2555" s="471">
        <v>9551</v>
      </c>
      <c r="B2555" s="457"/>
      <c r="C2555" s="456"/>
      <c r="D2555" s="456">
        <f>IF(Table11[[#This Row],[Current Age]]&gt;19,"Women's",IF(E2555&gt;15,"U19",IF(E2555&gt;13,"U15",IF(E2555&gt;11,"U13",IF(E2555&gt;0,"U11",0)))))</f>
        <v>0</v>
      </c>
      <c r="E2555" s="456">
        <f>IFERROR(IF(Table11[[#This Row],[Year]]&gt;0,$E$1-Table11[[#This Row],[Year]],0),"")</f>
        <v>0</v>
      </c>
      <c r="F2555" s="456"/>
      <c r="G2555" s="456"/>
      <c r="H2555" s="456"/>
    </row>
    <row r="2556" spans="1:8" ht="13.5" customHeight="1">
      <c r="A2556" s="456">
        <v>9552</v>
      </c>
      <c r="B2556" s="540"/>
      <c r="C2556" s="471"/>
      <c r="D2556" s="456">
        <f>IF(Table11[[#This Row],[Current Age]]&gt;19,"Women's",IF(E2556&gt;15,"U19",IF(E2556&gt;13,"U15",IF(E2556&gt;11,"U13",IF(E2556&gt;0,"U11",0)))))</f>
        <v>0</v>
      </c>
      <c r="E2556" s="456">
        <f>IFERROR(IF(Table11[[#This Row],[Year]]&gt;0,$E$1-Table11[[#This Row],[Year]],0),"")</f>
        <v>0</v>
      </c>
      <c r="F2556" s="456"/>
      <c r="G2556" s="456"/>
      <c r="H2556" s="456"/>
    </row>
    <row r="2557" spans="1:8" ht="13.5" customHeight="1">
      <c r="A2557" s="471">
        <v>9553</v>
      </c>
      <c r="B2557" s="457"/>
      <c r="C2557" s="456"/>
      <c r="D2557" s="456">
        <f>IF(Table11[[#This Row],[Current Age]]&gt;19,"Women's",IF(E2557&gt;15,"U19",IF(E2557&gt;13,"U15",IF(E2557&gt;11,"U13",IF(E2557&gt;0,"U11",0)))))</f>
        <v>0</v>
      </c>
      <c r="E2557" s="456">
        <f>IFERROR(IF(Table11[[#This Row],[Year]]&gt;0,$E$1-Table11[[#This Row],[Year]],0),"")</f>
        <v>0</v>
      </c>
      <c r="F2557" s="456"/>
      <c r="G2557" s="456"/>
      <c r="H2557" s="456"/>
    </row>
    <row r="2558" spans="1:8" ht="13.5" customHeight="1">
      <c r="A2558" s="456">
        <v>9554</v>
      </c>
      <c r="B2558" s="540"/>
      <c r="C2558" s="471"/>
      <c r="D2558" s="456">
        <f>IF(Table11[[#This Row],[Current Age]]&gt;19,"Women's",IF(E2558&gt;15,"U19",IF(E2558&gt;13,"U15",IF(E2558&gt;11,"U13",IF(E2558&gt;0,"U11",0)))))</f>
        <v>0</v>
      </c>
      <c r="E2558" s="456">
        <f>IFERROR(IF(Table11[[#This Row],[Year]]&gt;0,$E$1-Table11[[#This Row],[Year]],0),"")</f>
        <v>0</v>
      </c>
      <c r="F2558" s="456"/>
      <c r="G2558" s="456"/>
      <c r="H2558" s="456"/>
    </row>
    <row r="2559" spans="1:8" ht="13.5" customHeight="1">
      <c r="A2559" s="471">
        <v>9555</v>
      </c>
      <c r="B2559" s="457"/>
      <c r="C2559" s="456"/>
      <c r="D2559" s="456">
        <f>IF(Table11[[#This Row],[Current Age]]&gt;19,"Women's",IF(E2559&gt;15,"U19",IF(E2559&gt;13,"U15",IF(E2559&gt;11,"U13",IF(E2559&gt;0,"U11",0)))))</f>
        <v>0</v>
      </c>
      <c r="E2559" s="456">
        <f>IFERROR(IF(Table11[[#This Row],[Year]]&gt;0,$E$1-Table11[[#This Row],[Year]],0),"")</f>
        <v>0</v>
      </c>
      <c r="F2559" s="456"/>
      <c r="G2559" s="456"/>
      <c r="H2559" s="456"/>
    </row>
    <row r="2560" spans="1:8" ht="13.5" customHeight="1">
      <c r="A2560" s="456">
        <v>9556</v>
      </c>
      <c r="B2560" s="540"/>
      <c r="C2560" s="471"/>
      <c r="D2560" s="456">
        <f>IF(Table11[[#This Row],[Current Age]]&gt;19,"Women's",IF(E2560&gt;15,"U19",IF(E2560&gt;13,"U15",IF(E2560&gt;11,"U13",IF(E2560&gt;0,"U11",0)))))</f>
        <v>0</v>
      </c>
      <c r="E2560" s="456">
        <f>IFERROR(IF(Table11[[#This Row],[Year]]&gt;0,$E$1-Table11[[#This Row],[Year]],0),"")</f>
        <v>0</v>
      </c>
      <c r="F2560" s="456"/>
      <c r="G2560" s="456"/>
      <c r="H2560" s="456"/>
    </row>
    <row r="2561" spans="1:8" ht="13.5" customHeight="1">
      <c r="A2561" s="471">
        <v>9557</v>
      </c>
      <c r="B2561" s="457"/>
      <c r="C2561" s="456"/>
      <c r="D2561" s="456">
        <f>IF(Table11[[#This Row],[Current Age]]&gt;19,"Women's",IF(E2561&gt;15,"U19",IF(E2561&gt;13,"U15",IF(E2561&gt;11,"U13",IF(E2561&gt;0,"U11",0)))))</f>
        <v>0</v>
      </c>
      <c r="E2561" s="456">
        <f>IFERROR(IF(Table11[[#This Row],[Year]]&gt;0,$E$1-Table11[[#This Row],[Year]],0),"")</f>
        <v>0</v>
      </c>
      <c r="F2561" s="456"/>
      <c r="G2561" s="456"/>
      <c r="H2561" s="456"/>
    </row>
    <row r="2562" spans="1:8" ht="13.5" customHeight="1">
      <c r="A2562" s="456">
        <v>9558</v>
      </c>
      <c r="B2562" s="540"/>
      <c r="C2562" s="471"/>
      <c r="D2562" s="456">
        <f>IF(Table11[[#This Row],[Current Age]]&gt;19,"Women's",IF(E2562&gt;15,"U19",IF(E2562&gt;13,"U15",IF(E2562&gt;11,"U13",IF(E2562&gt;0,"U11",0)))))</f>
        <v>0</v>
      </c>
      <c r="E2562" s="456">
        <f>IFERROR(IF(Table11[[#This Row],[Year]]&gt;0,$E$1-Table11[[#This Row],[Year]],0),"")</f>
        <v>0</v>
      </c>
      <c r="F2562" s="456"/>
      <c r="G2562" s="456"/>
      <c r="H2562" s="456"/>
    </row>
    <row r="2563" spans="1:8" ht="13.5" customHeight="1">
      <c r="A2563" s="471">
        <v>9559</v>
      </c>
      <c r="B2563" s="457"/>
      <c r="C2563" s="456"/>
      <c r="D2563" s="456">
        <f>IF(Table11[[#This Row],[Current Age]]&gt;19,"Women's",IF(E2563&gt;15,"U19",IF(E2563&gt;13,"U15",IF(E2563&gt;11,"U13",IF(E2563&gt;0,"U11",0)))))</f>
        <v>0</v>
      </c>
      <c r="E2563" s="456">
        <f>IFERROR(IF(Table11[[#This Row],[Year]]&gt;0,$E$1-Table11[[#This Row],[Year]],0),"")</f>
        <v>0</v>
      </c>
      <c r="F2563" s="456"/>
      <c r="G2563" s="456"/>
      <c r="H2563" s="456"/>
    </row>
    <row r="2564" spans="1:8" ht="13.5" customHeight="1">
      <c r="A2564" s="456">
        <v>9560</v>
      </c>
      <c r="B2564" s="540"/>
      <c r="C2564" s="471"/>
      <c r="D2564" s="456">
        <f>IF(Table11[[#This Row],[Current Age]]&gt;19,"Women's",IF(E2564&gt;15,"U19",IF(E2564&gt;13,"U15",IF(E2564&gt;11,"U13",IF(E2564&gt;0,"U11",0)))))</f>
        <v>0</v>
      </c>
      <c r="E2564" s="456">
        <f>IFERROR(IF(Table11[[#This Row],[Year]]&gt;0,$E$1-Table11[[#This Row],[Year]],0),"")</f>
        <v>0</v>
      </c>
      <c r="F2564" s="456"/>
      <c r="G2564" s="456"/>
      <c r="H2564" s="456"/>
    </row>
    <row r="2565" spans="1:8" ht="13.5" customHeight="1">
      <c r="A2565" s="471">
        <v>9561</v>
      </c>
      <c r="B2565" s="457"/>
      <c r="C2565" s="456"/>
      <c r="D2565" s="456">
        <f>IF(Table11[[#This Row],[Current Age]]&gt;19,"Women's",IF(E2565&gt;15,"U19",IF(E2565&gt;13,"U15",IF(E2565&gt;11,"U13",IF(E2565&gt;0,"U11",0)))))</f>
        <v>0</v>
      </c>
      <c r="E2565" s="456">
        <f>IFERROR(IF(Table11[[#This Row],[Year]]&gt;0,$E$1-Table11[[#This Row],[Year]],0),"")</f>
        <v>0</v>
      </c>
      <c r="F2565" s="456"/>
      <c r="G2565" s="456"/>
      <c r="H2565" s="456"/>
    </row>
    <row r="2566" spans="1:8" ht="13.5" customHeight="1">
      <c r="A2566" s="456">
        <v>9562</v>
      </c>
      <c r="B2566" s="540"/>
      <c r="C2566" s="471"/>
      <c r="D2566" s="456">
        <f>IF(Table11[[#This Row],[Current Age]]&gt;19,"Women's",IF(E2566&gt;15,"U19",IF(E2566&gt;13,"U15",IF(E2566&gt;11,"U13",IF(E2566&gt;0,"U11",0)))))</f>
        <v>0</v>
      </c>
      <c r="E2566" s="456">
        <f>IFERROR(IF(Table11[[#This Row],[Year]]&gt;0,$E$1-Table11[[#This Row],[Year]],0),"")</f>
        <v>0</v>
      </c>
      <c r="F2566" s="456"/>
      <c r="G2566" s="456"/>
      <c r="H2566" s="456"/>
    </row>
    <row r="2567" spans="1:8" ht="13.5" customHeight="1">
      <c r="A2567" s="471">
        <v>9563</v>
      </c>
      <c r="B2567" s="457"/>
      <c r="C2567" s="456"/>
      <c r="D2567" s="456">
        <f>IF(Table11[[#This Row],[Current Age]]&gt;19,"Women's",IF(E2567&gt;15,"U19",IF(E2567&gt;13,"U15",IF(E2567&gt;11,"U13",IF(E2567&gt;0,"U11",0)))))</f>
        <v>0</v>
      </c>
      <c r="E2567" s="456">
        <f>IFERROR(IF(Table11[[#This Row],[Year]]&gt;0,$E$1-Table11[[#This Row],[Year]],0),"")</f>
        <v>0</v>
      </c>
      <c r="F2567" s="456"/>
      <c r="G2567" s="456"/>
      <c r="H2567" s="456"/>
    </row>
    <row r="2568" spans="1:8" ht="13.5" customHeight="1">
      <c r="A2568" s="456">
        <v>9564</v>
      </c>
      <c r="B2568" s="540"/>
      <c r="C2568" s="471"/>
      <c r="D2568" s="456">
        <f>IF(Table11[[#This Row],[Current Age]]&gt;19,"Women's",IF(E2568&gt;15,"U19",IF(E2568&gt;13,"U15",IF(E2568&gt;11,"U13",IF(E2568&gt;0,"U11",0)))))</f>
        <v>0</v>
      </c>
      <c r="E2568" s="456">
        <f>IFERROR(IF(Table11[[#This Row],[Year]]&gt;0,$E$1-Table11[[#This Row],[Year]],0),"")</f>
        <v>0</v>
      </c>
      <c r="F2568" s="456"/>
      <c r="G2568" s="456"/>
      <c r="H2568" s="456"/>
    </row>
    <row r="2569" spans="1:8" ht="13.5" customHeight="1">
      <c r="A2569" s="471">
        <v>9565</v>
      </c>
      <c r="B2569" s="457"/>
      <c r="C2569" s="456"/>
      <c r="D2569" s="456">
        <f>IF(Table11[[#This Row],[Current Age]]&gt;19,"Women's",IF(E2569&gt;15,"U19",IF(E2569&gt;13,"U15",IF(E2569&gt;11,"U13",IF(E2569&gt;0,"U11",0)))))</f>
        <v>0</v>
      </c>
      <c r="E2569" s="456">
        <f>IFERROR(IF(Table11[[#This Row],[Year]]&gt;0,$E$1-Table11[[#This Row],[Year]],0),"")</f>
        <v>0</v>
      </c>
      <c r="F2569" s="456"/>
      <c r="G2569" s="456"/>
      <c r="H2569" s="456"/>
    </row>
    <row r="2570" spans="1:8" ht="13.5" customHeight="1">
      <c r="A2570" s="456">
        <v>9566</v>
      </c>
      <c r="B2570" s="540"/>
      <c r="C2570" s="471"/>
      <c r="D2570" s="456">
        <f>IF(Table11[[#This Row],[Current Age]]&gt;19,"Women's",IF(E2570&gt;15,"U19",IF(E2570&gt;13,"U15",IF(E2570&gt;11,"U13",IF(E2570&gt;0,"U11",0)))))</f>
        <v>0</v>
      </c>
      <c r="E2570" s="456">
        <f>IFERROR(IF(Table11[[#This Row],[Year]]&gt;0,$E$1-Table11[[#This Row],[Year]],0),"")</f>
        <v>0</v>
      </c>
      <c r="F2570" s="456"/>
      <c r="G2570" s="456"/>
      <c r="H2570" s="456"/>
    </row>
    <row r="2571" spans="1:8" ht="13.5" customHeight="1">
      <c r="A2571" s="471">
        <v>9567</v>
      </c>
      <c r="B2571" s="457"/>
      <c r="C2571" s="456"/>
      <c r="D2571" s="456">
        <f>IF(Table11[[#This Row],[Current Age]]&gt;19,"Women's",IF(E2571&gt;15,"U19",IF(E2571&gt;13,"U15",IF(E2571&gt;11,"U13",IF(E2571&gt;0,"U11",0)))))</f>
        <v>0</v>
      </c>
      <c r="E2571" s="456">
        <f>IFERROR(IF(Table11[[#This Row],[Year]]&gt;0,$E$1-Table11[[#This Row],[Year]],0),"")</f>
        <v>0</v>
      </c>
      <c r="F2571" s="456"/>
      <c r="G2571" s="456"/>
      <c r="H2571" s="456"/>
    </row>
    <row r="2572" spans="1:8" ht="13.5" customHeight="1">
      <c r="A2572" s="456">
        <v>9568</v>
      </c>
      <c r="B2572" s="540"/>
      <c r="C2572" s="471"/>
      <c r="D2572" s="456">
        <f>IF(Table11[[#This Row],[Current Age]]&gt;19,"Women's",IF(E2572&gt;15,"U19",IF(E2572&gt;13,"U15",IF(E2572&gt;11,"U13",IF(E2572&gt;0,"U11",0)))))</f>
        <v>0</v>
      </c>
      <c r="E2572" s="456">
        <f>IFERROR(IF(Table11[[#This Row],[Year]]&gt;0,$E$1-Table11[[#This Row],[Year]],0),"")</f>
        <v>0</v>
      </c>
      <c r="F2572" s="456"/>
      <c r="G2572" s="456"/>
      <c r="H2572" s="456"/>
    </row>
    <row r="2573" spans="1:8" ht="13.5" customHeight="1">
      <c r="A2573" s="471">
        <v>9569</v>
      </c>
      <c r="B2573" s="457"/>
      <c r="C2573" s="456"/>
      <c r="D2573" s="456">
        <f>IF(Table11[[#This Row],[Current Age]]&gt;19,"Women's",IF(E2573&gt;15,"U19",IF(E2573&gt;13,"U15",IF(E2573&gt;11,"U13",IF(E2573&gt;0,"U11",0)))))</f>
        <v>0</v>
      </c>
      <c r="E2573" s="456">
        <f>IFERROR(IF(Table11[[#This Row],[Year]]&gt;0,$E$1-Table11[[#This Row],[Year]],0),"")</f>
        <v>0</v>
      </c>
      <c r="F2573" s="456"/>
      <c r="G2573" s="456"/>
      <c r="H2573" s="456"/>
    </row>
    <row r="2574" spans="1:8" ht="13.5" customHeight="1">
      <c r="A2574" s="456">
        <v>9570</v>
      </c>
      <c r="B2574" s="540"/>
      <c r="C2574" s="471"/>
      <c r="D2574" s="456">
        <f>IF(Table11[[#This Row],[Current Age]]&gt;19,"Women's",IF(E2574&gt;15,"U19",IF(E2574&gt;13,"U15",IF(E2574&gt;11,"U13",IF(E2574&gt;0,"U11",0)))))</f>
        <v>0</v>
      </c>
      <c r="E2574" s="456">
        <f>IFERROR(IF(Table11[[#This Row],[Year]]&gt;0,$E$1-Table11[[#This Row],[Year]],0),"")</f>
        <v>0</v>
      </c>
      <c r="F2574" s="456"/>
      <c r="G2574" s="456"/>
      <c r="H2574" s="456"/>
    </row>
    <row r="2575" spans="1:8" ht="13.5" customHeight="1">
      <c r="A2575" s="471">
        <v>9571</v>
      </c>
      <c r="B2575" s="457"/>
      <c r="C2575" s="456"/>
      <c r="D2575" s="456">
        <f>IF(Table11[[#This Row],[Current Age]]&gt;19,"Women's",IF(E2575&gt;15,"U19",IF(E2575&gt;13,"U15",IF(E2575&gt;11,"U13",IF(E2575&gt;0,"U11",0)))))</f>
        <v>0</v>
      </c>
      <c r="E2575" s="456">
        <f>IFERROR(IF(Table11[[#This Row],[Year]]&gt;0,$E$1-Table11[[#This Row],[Year]],0),"")</f>
        <v>0</v>
      </c>
      <c r="F2575" s="456"/>
      <c r="G2575" s="456"/>
      <c r="H2575" s="456"/>
    </row>
    <row r="2576" spans="1:8" ht="13.5" customHeight="1">
      <c r="A2576" s="456">
        <v>9572</v>
      </c>
      <c r="B2576" s="540"/>
      <c r="C2576" s="471"/>
      <c r="D2576" s="456">
        <f>IF(Table11[[#This Row],[Current Age]]&gt;19,"Women's",IF(E2576&gt;15,"U19",IF(E2576&gt;13,"U15",IF(E2576&gt;11,"U13",IF(E2576&gt;0,"U11",0)))))</f>
        <v>0</v>
      </c>
      <c r="E2576" s="456">
        <f>IFERROR(IF(Table11[[#This Row],[Year]]&gt;0,$E$1-Table11[[#This Row],[Year]],0),"")</f>
        <v>0</v>
      </c>
      <c r="F2576" s="456"/>
      <c r="G2576" s="456"/>
      <c r="H2576" s="456"/>
    </row>
    <row r="2577" spans="1:8" ht="13.5" customHeight="1">
      <c r="A2577" s="471">
        <v>9573</v>
      </c>
      <c r="B2577" s="457"/>
      <c r="C2577" s="456"/>
      <c r="D2577" s="456">
        <f>IF(Table11[[#This Row],[Current Age]]&gt;19,"Women's",IF(E2577&gt;15,"U19",IF(E2577&gt;13,"U15",IF(E2577&gt;11,"U13",IF(E2577&gt;0,"U11",0)))))</f>
        <v>0</v>
      </c>
      <c r="E2577" s="456">
        <f>IFERROR(IF(Table11[[#This Row],[Year]]&gt;0,$E$1-Table11[[#This Row],[Year]],0),"")</f>
        <v>0</v>
      </c>
      <c r="F2577" s="456"/>
      <c r="G2577" s="456"/>
      <c r="H2577" s="456"/>
    </row>
    <row r="2578" spans="1:8" ht="13.5" customHeight="1">
      <c r="A2578" s="456">
        <v>9574</v>
      </c>
      <c r="B2578" s="540"/>
      <c r="C2578" s="471"/>
      <c r="D2578" s="456">
        <f>IF(Table11[[#This Row],[Current Age]]&gt;19,"Women's",IF(E2578&gt;15,"U19",IF(E2578&gt;13,"U15",IF(E2578&gt;11,"U13",IF(E2578&gt;0,"U11",0)))))</f>
        <v>0</v>
      </c>
      <c r="E2578" s="456">
        <f>IFERROR(IF(Table11[[#This Row],[Year]]&gt;0,$E$1-Table11[[#This Row],[Year]],0),"")</f>
        <v>0</v>
      </c>
      <c r="F2578" s="456"/>
      <c r="G2578" s="456"/>
      <c r="H2578" s="456"/>
    </row>
    <row r="2579" spans="1:8" ht="13.5" customHeight="1">
      <c r="A2579" s="471">
        <v>9575</v>
      </c>
      <c r="B2579" s="457"/>
      <c r="C2579" s="456"/>
      <c r="D2579" s="456">
        <f>IF(Table11[[#This Row],[Current Age]]&gt;19,"Women's",IF(E2579&gt;15,"U19",IF(E2579&gt;13,"U15",IF(E2579&gt;11,"U13",IF(E2579&gt;0,"U11",0)))))</f>
        <v>0</v>
      </c>
      <c r="E2579" s="456">
        <f>IFERROR(IF(Table11[[#This Row],[Year]]&gt;0,$E$1-Table11[[#This Row],[Year]],0),"")</f>
        <v>0</v>
      </c>
      <c r="F2579" s="456"/>
      <c r="G2579" s="456"/>
      <c r="H2579" s="456"/>
    </row>
    <row r="2580" spans="1:8" ht="13.5" customHeight="1">
      <c r="A2580" s="456">
        <v>9576</v>
      </c>
      <c r="B2580" s="540"/>
      <c r="C2580" s="471"/>
      <c r="D2580" s="456">
        <f>IF(Table11[[#This Row],[Current Age]]&gt;19,"Women's",IF(E2580&gt;15,"U19",IF(E2580&gt;13,"U15",IF(E2580&gt;11,"U13",IF(E2580&gt;0,"U11",0)))))</f>
        <v>0</v>
      </c>
      <c r="E2580" s="456">
        <f>IFERROR(IF(Table11[[#This Row],[Year]]&gt;0,$E$1-Table11[[#This Row],[Year]],0),"")</f>
        <v>0</v>
      </c>
      <c r="F2580" s="456"/>
      <c r="G2580" s="456"/>
      <c r="H2580" s="456"/>
    </row>
    <row r="2581" spans="1:8" ht="13.5" customHeight="1">
      <c r="A2581" s="471">
        <v>9577</v>
      </c>
      <c r="B2581" s="457"/>
      <c r="C2581" s="456"/>
      <c r="D2581" s="456">
        <f>IF(Table11[[#This Row],[Current Age]]&gt;19,"Women's",IF(E2581&gt;15,"U19",IF(E2581&gt;13,"U15",IF(E2581&gt;11,"U13",IF(E2581&gt;0,"U11",0)))))</f>
        <v>0</v>
      </c>
      <c r="E2581" s="456">
        <f>IFERROR(IF(Table11[[#This Row],[Year]]&gt;0,$E$1-Table11[[#This Row],[Year]],0),"")</f>
        <v>0</v>
      </c>
      <c r="F2581" s="456"/>
      <c r="G2581" s="456"/>
      <c r="H2581" s="456"/>
    </row>
    <row r="2582" spans="1:8" ht="13.5" customHeight="1">
      <c r="A2582" s="456">
        <v>9578</v>
      </c>
      <c r="B2582" s="540"/>
      <c r="C2582" s="471"/>
      <c r="D2582" s="456">
        <f>IF(Table11[[#This Row],[Current Age]]&gt;19,"Women's",IF(E2582&gt;15,"U19",IF(E2582&gt;13,"U15",IF(E2582&gt;11,"U13",IF(E2582&gt;0,"U11",0)))))</f>
        <v>0</v>
      </c>
      <c r="E2582" s="456">
        <f>IFERROR(IF(Table11[[#This Row],[Year]]&gt;0,$E$1-Table11[[#This Row],[Year]],0),"")</f>
        <v>0</v>
      </c>
      <c r="F2582" s="456"/>
      <c r="G2582" s="456"/>
      <c r="H2582" s="456"/>
    </row>
    <row r="2583" spans="1:8" ht="13.5" customHeight="1">
      <c r="A2583" s="471">
        <v>9579</v>
      </c>
      <c r="B2583" s="457"/>
      <c r="C2583" s="456"/>
      <c r="D2583" s="456">
        <f>IF(Table11[[#This Row],[Current Age]]&gt;19,"Women's",IF(E2583&gt;15,"U19",IF(E2583&gt;13,"U15",IF(E2583&gt;11,"U13",IF(E2583&gt;0,"U11",0)))))</f>
        <v>0</v>
      </c>
      <c r="E2583" s="456">
        <f>IFERROR(IF(Table11[[#This Row],[Year]]&gt;0,$E$1-Table11[[#This Row],[Year]],0),"")</f>
        <v>0</v>
      </c>
      <c r="F2583" s="456"/>
      <c r="G2583" s="456"/>
      <c r="H2583" s="456"/>
    </row>
    <row r="2584" spans="1:8" ht="13.5" customHeight="1">
      <c r="A2584" s="456">
        <v>9580</v>
      </c>
      <c r="B2584" s="540"/>
      <c r="C2584" s="471"/>
      <c r="D2584" s="456">
        <f>IF(Table11[[#This Row],[Current Age]]&gt;19,"Women's",IF(E2584&gt;15,"U19",IF(E2584&gt;13,"U15",IF(E2584&gt;11,"U13",IF(E2584&gt;0,"U11",0)))))</f>
        <v>0</v>
      </c>
      <c r="E2584" s="456">
        <f>IFERROR(IF(Table11[[#This Row],[Year]]&gt;0,$E$1-Table11[[#This Row],[Year]],0),"")</f>
        <v>0</v>
      </c>
      <c r="F2584" s="456"/>
      <c r="G2584" s="456"/>
      <c r="H2584" s="456"/>
    </row>
    <row r="2585" spans="1:8" ht="13.5" customHeight="1">
      <c r="A2585" s="471">
        <v>9581</v>
      </c>
      <c r="B2585" s="457"/>
      <c r="C2585" s="456"/>
      <c r="D2585" s="456">
        <f>IF(Table11[[#This Row],[Current Age]]&gt;19,"Women's",IF(E2585&gt;15,"U19",IF(E2585&gt;13,"U15",IF(E2585&gt;11,"U13",IF(E2585&gt;0,"U11",0)))))</f>
        <v>0</v>
      </c>
      <c r="E2585" s="456">
        <f>IFERROR(IF(Table11[[#This Row],[Year]]&gt;0,$E$1-Table11[[#This Row],[Year]],0),"")</f>
        <v>0</v>
      </c>
      <c r="F2585" s="456"/>
      <c r="G2585" s="456"/>
      <c r="H2585" s="456"/>
    </row>
    <row r="2586" spans="1:8" ht="13.5" customHeight="1">
      <c r="A2586" s="456">
        <v>9582</v>
      </c>
      <c r="B2586" s="540"/>
      <c r="C2586" s="471"/>
      <c r="D2586" s="456">
        <f>IF(Table11[[#This Row],[Current Age]]&gt;19,"Women's",IF(E2586&gt;15,"U19",IF(E2586&gt;13,"U15",IF(E2586&gt;11,"U13",IF(E2586&gt;0,"U11",0)))))</f>
        <v>0</v>
      </c>
      <c r="E2586" s="456">
        <f>IFERROR(IF(Table11[[#This Row],[Year]]&gt;0,$E$1-Table11[[#This Row],[Year]],0),"")</f>
        <v>0</v>
      </c>
      <c r="F2586" s="456"/>
      <c r="G2586" s="456"/>
      <c r="H2586" s="456"/>
    </row>
    <row r="2587" spans="1:8" ht="13.5" customHeight="1">
      <c r="A2587" s="471">
        <v>9583</v>
      </c>
      <c r="B2587" s="457"/>
      <c r="C2587" s="456"/>
      <c r="D2587" s="456">
        <f>IF(Table11[[#This Row],[Current Age]]&gt;19,"Women's",IF(E2587&gt;15,"U19",IF(E2587&gt;13,"U15",IF(E2587&gt;11,"U13",IF(E2587&gt;0,"U11",0)))))</f>
        <v>0</v>
      </c>
      <c r="E2587" s="456">
        <f>IFERROR(IF(Table11[[#This Row],[Year]]&gt;0,$E$1-Table11[[#This Row],[Year]],0),"")</f>
        <v>0</v>
      </c>
      <c r="F2587" s="456"/>
      <c r="G2587" s="456"/>
      <c r="H2587" s="456"/>
    </row>
    <row r="2588" spans="1:8" ht="13.5" customHeight="1">
      <c r="A2588" s="456">
        <v>9584</v>
      </c>
      <c r="B2588" s="540"/>
      <c r="C2588" s="471"/>
      <c r="D2588" s="456">
        <f>IF(Table11[[#This Row],[Current Age]]&gt;19,"Women's",IF(E2588&gt;15,"U19",IF(E2588&gt;13,"U15",IF(E2588&gt;11,"U13",IF(E2588&gt;0,"U11",0)))))</f>
        <v>0</v>
      </c>
      <c r="E2588" s="456">
        <f>IFERROR(IF(Table11[[#This Row],[Year]]&gt;0,$E$1-Table11[[#This Row],[Year]],0),"")</f>
        <v>0</v>
      </c>
      <c r="F2588" s="456"/>
      <c r="G2588" s="456"/>
      <c r="H2588" s="456"/>
    </row>
    <row r="2589" spans="1:8" ht="13.5" customHeight="1">
      <c r="A2589" s="471">
        <v>9585</v>
      </c>
      <c r="B2589" s="457"/>
      <c r="C2589" s="456"/>
      <c r="D2589" s="456">
        <f>IF(Table11[[#This Row],[Current Age]]&gt;19,"Women's",IF(E2589&gt;15,"U19",IF(E2589&gt;13,"U15",IF(E2589&gt;11,"U13",IF(E2589&gt;0,"U11",0)))))</f>
        <v>0</v>
      </c>
      <c r="E2589" s="456">
        <f>IFERROR(IF(Table11[[#This Row],[Year]]&gt;0,$E$1-Table11[[#This Row],[Year]],0),"")</f>
        <v>0</v>
      </c>
      <c r="F2589" s="456"/>
      <c r="G2589" s="456"/>
      <c r="H2589" s="456"/>
    </row>
    <row r="2590" spans="1:8" ht="13.5" customHeight="1">
      <c r="A2590" s="456">
        <v>9586</v>
      </c>
      <c r="B2590" s="540"/>
      <c r="C2590" s="471"/>
      <c r="D2590" s="456">
        <f>IF(Table11[[#This Row],[Current Age]]&gt;19,"Women's",IF(E2590&gt;15,"U19",IF(E2590&gt;13,"U15",IF(E2590&gt;11,"U13",IF(E2590&gt;0,"U11",0)))))</f>
        <v>0</v>
      </c>
      <c r="E2590" s="456">
        <f>IFERROR(IF(Table11[[#This Row],[Year]]&gt;0,$E$1-Table11[[#This Row],[Year]],0),"")</f>
        <v>0</v>
      </c>
      <c r="F2590" s="456"/>
      <c r="G2590" s="456"/>
      <c r="H2590" s="456"/>
    </row>
    <row r="2591" spans="1:8" ht="13.5" customHeight="1">
      <c r="A2591" s="471">
        <v>9587</v>
      </c>
      <c r="B2591" s="457"/>
      <c r="C2591" s="456"/>
      <c r="D2591" s="456">
        <f>IF(Table11[[#This Row],[Current Age]]&gt;19,"Women's",IF(E2591&gt;15,"U19",IF(E2591&gt;13,"U15",IF(E2591&gt;11,"U13",IF(E2591&gt;0,"U11",0)))))</f>
        <v>0</v>
      </c>
      <c r="E2591" s="456">
        <f>IFERROR(IF(Table11[[#This Row],[Year]]&gt;0,$E$1-Table11[[#This Row],[Year]],0),"")</f>
        <v>0</v>
      </c>
      <c r="F2591" s="456"/>
      <c r="G2591" s="456"/>
      <c r="H2591" s="456"/>
    </row>
    <row r="2592" spans="1:8" ht="13.5" customHeight="1">
      <c r="A2592" s="456">
        <v>9588</v>
      </c>
      <c r="B2592" s="540"/>
      <c r="C2592" s="471"/>
      <c r="D2592" s="456">
        <f>IF(Table11[[#This Row],[Current Age]]&gt;19,"Women's",IF(E2592&gt;15,"U19",IF(E2592&gt;13,"U15",IF(E2592&gt;11,"U13",IF(E2592&gt;0,"U11",0)))))</f>
        <v>0</v>
      </c>
      <c r="E2592" s="456">
        <f>IFERROR(IF(Table11[[#This Row],[Year]]&gt;0,$E$1-Table11[[#This Row],[Year]],0),"")</f>
        <v>0</v>
      </c>
      <c r="F2592" s="456"/>
      <c r="G2592" s="456"/>
      <c r="H2592" s="456"/>
    </row>
    <row r="2593" spans="1:8" ht="13.5" customHeight="1">
      <c r="A2593" s="471">
        <v>9589</v>
      </c>
      <c r="B2593" s="457"/>
      <c r="C2593" s="456"/>
      <c r="D2593" s="456">
        <f>IF(Table11[[#This Row],[Current Age]]&gt;19,"Women's",IF(E2593&gt;15,"U19",IF(E2593&gt;13,"U15",IF(E2593&gt;11,"U13",IF(E2593&gt;0,"U11",0)))))</f>
        <v>0</v>
      </c>
      <c r="E2593" s="456">
        <f>IFERROR(IF(Table11[[#This Row],[Year]]&gt;0,$E$1-Table11[[#This Row],[Year]],0),"")</f>
        <v>0</v>
      </c>
      <c r="F2593" s="456"/>
      <c r="G2593" s="456"/>
      <c r="H2593" s="456"/>
    </row>
    <row r="2594" spans="1:8" ht="13.5" customHeight="1">
      <c r="A2594" s="456">
        <v>9590</v>
      </c>
      <c r="B2594" s="540"/>
      <c r="C2594" s="471"/>
      <c r="D2594" s="456">
        <f>IF(Table11[[#This Row],[Current Age]]&gt;19,"Women's",IF(E2594&gt;15,"U19",IF(E2594&gt;13,"U15",IF(E2594&gt;11,"U13",IF(E2594&gt;0,"U11",0)))))</f>
        <v>0</v>
      </c>
      <c r="E2594" s="456">
        <f>IFERROR(IF(Table11[[#This Row],[Year]]&gt;0,$E$1-Table11[[#This Row],[Year]],0),"")</f>
        <v>0</v>
      </c>
      <c r="F2594" s="456"/>
      <c r="G2594" s="456"/>
      <c r="H2594" s="456"/>
    </row>
    <row r="2595" spans="1:8" ht="13.5" customHeight="1">
      <c r="A2595" s="471">
        <v>9591</v>
      </c>
      <c r="B2595" s="457"/>
      <c r="C2595" s="456"/>
      <c r="D2595" s="456">
        <f>IF(Table11[[#This Row],[Current Age]]&gt;19,"Women's",IF(E2595&gt;15,"U19",IF(E2595&gt;13,"U15",IF(E2595&gt;11,"U13",IF(E2595&gt;0,"U11",0)))))</f>
        <v>0</v>
      </c>
      <c r="E2595" s="456">
        <f>IFERROR(IF(Table11[[#This Row],[Year]]&gt;0,$E$1-Table11[[#This Row],[Year]],0),"")</f>
        <v>0</v>
      </c>
      <c r="F2595" s="456"/>
      <c r="G2595" s="456"/>
      <c r="H2595" s="456"/>
    </row>
    <row r="2596" spans="1:8" ht="13.5" customHeight="1">
      <c r="A2596" s="456">
        <v>9592</v>
      </c>
      <c r="B2596" s="540"/>
      <c r="C2596" s="471"/>
      <c r="D2596" s="456">
        <f>IF(Table11[[#This Row],[Current Age]]&gt;19,"Women's",IF(E2596&gt;15,"U19",IF(E2596&gt;13,"U15",IF(E2596&gt;11,"U13",IF(E2596&gt;0,"U11",0)))))</f>
        <v>0</v>
      </c>
      <c r="E2596" s="456">
        <f>IFERROR(IF(Table11[[#This Row],[Year]]&gt;0,$E$1-Table11[[#This Row],[Year]],0),"")</f>
        <v>0</v>
      </c>
      <c r="F2596" s="456"/>
      <c r="G2596" s="456"/>
      <c r="H2596" s="456"/>
    </row>
    <row r="2597" spans="1:8" ht="13.5" customHeight="1">
      <c r="A2597" s="471">
        <v>9593</v>
      </c>
      <c r="B2597" s="457"/>
      <c r="C2597" s="456"/>
      <c r="D2597" s="456">
        <f>IF(Table11[[#This Row],[Current Age]]&gt;19,"Women's",IF(E2597&gt;15,"U19",IF(E2597&gt;13,"U15",IF(E2597&gt;11,"U13",IF(E2597&gt;0,"U11",0)))))</f>
        <v>0</v>
      </c>
      <c r="E2597" s="456">
        <f>IFERROR(IF(Table11[[#This Row],[Year]]&gt;0,$E$1-Table11[[#This Row],[Year]],0),"")</f>
        <v>0</v>
      </c>
      <c r="F2597" s="456"/>
      <c r="G2597" s="456"/>
      <c r="H2597" s="456"/>
    </row>
    <row r="2598" spans="1:8" ht="13.5" customHeight="1">
      <c r="A2598" s="456">
        <v>9594</v>
      </c>
      <c r="B2598" s="540"/>
      <c r="C2598" s="471"/>
      <c r="D2598" s="456">
        <f>IF(Table11[[#This Row],[Current Age]]&gt;19,"Women's",IF(E2598&gt;15,"U19",IF(E2598&gt;13,"U15",IF(E2598&gt;11,"U13",IF(E2598&gt;0,"U11",0)))))</f>
        <v>0</v>
      </c>
      <c r="E2598" s="456">
        <f>IFERROR(IF(Table11[[#This Row],[Year]]&gt;0,$E$1-Table11[[#This Row],[Year]],0),"")</f>
        <v>0</v>
      </c>
      <c r="F2598" s="456"/>
      <c r="G2598" s="456"/>
      <c r="H2598" s="456"/>
    </row>
    <row r="2599" spans="1:8" ht="13.5" customHeight="1">
      <c r="A2599" s="471">
        <v>9595</v>
      </c>
      <c r="B2599" s="457"/>
      <c r="C2599" s="456"/>
      <c r="D2599" s="456">
        <f>IF(Table11[[#This Row],[Current Age]]&gt;19,"Women's",IF(E2599&gt;15,"U19",IF(E2599&gt;13,"U15",IF(E2599&gt;11,"U13",IF(E2599&gt;0,"U11",0)))))</f>
        <v>0</v>
      </c>
      <c r="E2599" s="456">
        <f>IFERROR(IF(Table11[[#This Row],[Year]]&gt;0,$E$1-Table11[[#This Row],[Year]],0),"")</f>
        <v>0</v>
      </c>
      <c r="F2599" s="456"/>
      <c r="G2599" s="456"/>
      <c r="H2599" s="456"/>
    </row>
    <row r="2600" spans="1:8" ht="13.5" customHeight="1">
      <c r="A2600" s="456">
        <v>9596</v>
      </c>
      <c r="B2600" s="540"/>
      <c r="C2600" s="471"/>
      <c r="D2600" s="456">
        <f>IF(Table11[[#This Row],[Current Age]]&gt;19,"Women's",IF(E2600&gt;15,"U19",IF(E2600&gt;13,"U15",IF(E2600&gt;11,"U13",IF(E2600&gt;0,"U11",0)))))</f>
        <v>0</v>
      </c>
      <c r="E2600" s="456">
        <f>IFERROR(IF(Table11[[#This Row],[Year]]&gt;0,$E$1-Table11[[#This Row],[Year]],0),"")</f>
        <v>0</v>
      </c>
      <c r="F2600" s="456"/>
      <c r="G2600" s="456"/>
      <c r="H2600" s="456"/>
    </row>
    <row r="2601" spans="1:8" ht="13.5" customHeight="1">
      <c r="A2601" s="471">
        <v>9597</v>
      </c>
      <c r="B2601" s="457"/>
      <c r="C2601" s="456"/>
      <c r="D2601" s="456">
        <f>IF(Table11[[#This Row],[Current Age]]&gt;19,"Women's",IF(E2601&gt;15,"U19",IF(E2601&gt;13,"U15",IF(E2601&gt;11,"U13",IF(E2601&gt;0,"U11",0)))))</f>
        <v>0</v>
      </c>
      <c r="E2601" s="456">
        <f>IFERROR(IF(Table11[[#This Row],[Year]]&gt;0,$E$1-Table11[[#This Row],[Year]],0),"")</f>
        <v>0</v>
      </c>
      <c r="F2601" s="456"/>
      <c r="G2601" s="456"/>
      <c r="H2601" s="456"/>
    </row>
    <row r="2602" spans="1:8" ht="13.5" customHeight="1">
      <c r="A2602" s="456">
        <v>9598</v>
      </c>
      <c r="B2602" s="540"/>
      <c r="C2602" s="471"/>
      <c r="D2602" s="456">
        <f>IF(Table11[[#This Row],[Current Age]]&gt;19,"Women's",IF(E2602&gt;15,"U19",IF(E2602&gt;13,"U15",IF(E2602&gt;11,"U13",IF(E2602&gt;0,"U11",0)))))</f>
        <v>0</v>
      </c>
      <c r="E2602" s="456">
        <f>IFERROR(IF(Table11[[#This Row],[Year]]&gt;0,$E$1-Table11[[#This Row],[Year]],0),"")</f>
        <v>0</v>
      </c>
      <c r="F2602" s="456"/>
      <c r="G2602" s="456"/>
      <c r="H2602" s="456"/>
    </row>
    <row r="2603" spans="1:8" ht="13.5" customHeight="1">
      <c r="A2603" s="471">
        <v>9599</v>
      </c>
      <c r="B2603" s="457"/>
      <c r="C2603" s="456"/>
      <c r="D2603" s="456">
        <f>IF(Table11[[#This Row],[Current Age]]&gt;19,"Women's",IF(E2603&gt;15,"U19",IF(E2603&gt;13,"U15",IF(E2603&gt;11,"U13",IF(E2603&gt;0,"U11",0)))))</f>
        <v>0</v>
      </c>
      <c r="E2603" s="456">
        <f>IFERROR(IF(Table11[[#This Row],[Year]]&gt;0,$E$1-Table11[[#This Row],[Year]],0),"")</f>
        <v>0</v>
      </c>
      <c r="F2603" s="456"/>
      <c r="G2603" s="456"/>
      <c r="H2603" s="456"/>
    </row>
    <row r="2604" spans="1:8" ht="13.5" customHeight="1">
      <c r="A2604" s="456">
        <v>9600</v>
      </c>
      <c r="B2604" s="540"/>
      <c r="C2604" s="471"/>
      <c r="D2604" s="456">
        <f>IF(Table11[[#This Row],[Current Age]]&gt;19,"Women's",IF(E2604&gt;15,"U19",IF(E2604&gt;13,"U15",IF(E2604&gt;11,"U13",IF(E2604&gt;0,"U11",0)))))</f>
        <v>0</v>
      </c>
      <c r="E2604" s="456">
        <f>IFERROR(IF(Table11[[#This Row],[Year]]&gt;0,$E$1-Table11[[#This Row],[Year]],0),"")</f>
        <v>0</v>
      </c>
      <c r="F2604" s="456"/>
      <c r="G2604" s="456"/>
      <c r="H2604" s="456"/>
    </row>
    <row r="2605" spans="1:8" ht="13.5" customHeight="1">
      <c r="A2605" s="471">
        <v>9601</v>
      </c>
      <c r="B2605" s="457"/>
      <c r="C2605" s="456"/>
      <c r="D2605" s="456">
        <f>IF(Table11[[#This Row],[Current Age]]&gt;19,"Women's",IF(E2605&gt;15,"U19",IF(E2605&gt;13,"U15",IF(E2605&gt;11,"U13",IF(E2605&gt;0,"U11",0)))))</f>
        <v>0</v>
      </c>
      <c r="E2605" s="456">
        <f>IFERROR(IF(Table11[[#This Row],[Year]]&gt;0,$E$1-Table11[[#This Row],[Year]],0),"")</f>
        <v>0</v>
      </c>
      <c r="F2605" s="456"/>
      <c r="G2605" s="456"/>
      <c r="H2605" s="456"/>
    </row>
    <row r="2606" spans="1:8" ht="13.5" customHeight="1">
      <c r="A2606" s="456">
        <v>9602</v>
      </c>
      <c r="B2606" s="540"/>
      <c r="C2606" s="471"/>
      <c r="D2606" s="456">
        <f>IF(Table11[[#This Row],[Current Age]]&gt;19,"Women's",IF(E2606&gt;15,"U19",IF(E2606&gt;13,"U15",IF(E2606&gt;11,"U13",IF(E2606&gt;0,"U11",0)))))</f>
        <v>0</v>
      </c>
      <c r="E2606" s="456">
        <f>IFERROR(IF(Table11[[#This Row],[Year]]&gt;0,$E$1-Table11[[#This Row],[Year]],0),"")</f>
        <v>0</v>
      </c>
      <c r="F2606" s="456"/>
      <c r="G2606" s="456"/>
      <c r="H2606" s="456"/>
    </row>
    <row r="2607" spans="1:8" ht="13.5" customHeight="1">
      <c r="A2607" s="471">
        <v>9603</v>
      </c>
      <c r="B2607" s="457"/>
      <c r="C2607" s="456"/>
      <c r="D2607" s="456">
        <f>IF(Table11[[#This Row],[Current Age]]&gt;19,"Women's",IF(E2607&gt;15,"U19",IF(E2607&gt;13,"U15",IF(E2607&gt;11,"U13",IF(E2607&gt;0,"U11",0)))))</f>
        <v>0</v>
      </c>
      <c r="E2607" s="456">
        <f>IFERROR(IF(Table11[[#This Row],[Year]]&gt;0,$E$1-Table11[[#This Row],[Year]],0),"")</f>
        <v>0</v>
      </c>
      <c r="F2607" s="456"/>
      <c r="G2607" s="456"/>
      <c r="H2607" s="456"/>
    </row>
    <row r="2608" spans="1:8" ht="13.5" customHeight="1">
      <c r="A2608" s="456">
        <v>9604</v>
      </c>
      <c r="B2608" s="540"/>
      <c r="C2608" s="471"/>
      <c r="D2608" s="456">
        <f>IF(Table11[[#This Row],[Current Age]]&gt;19,"Women's",IF(E2608&gt;15,"U19",IF(E2608&gt;13,"U15",IF(E2608&gt;11,"U13",IF(E2608&gt;0,"U11",0)))))</f>
        <v>0</v>
      </c>
      <c r="E2608" s="456">
        <f>IFERROR(IF(Table11[[#This Row],[Year]]&gt;0,$E$1-Table11[[#This Row],[Year]],0),"")</f>
        <v>0</v>
      </c>
      <c r="F2608" s="456"/>
      <c r="G2608" s="456"/>
      <c r="H2608" s="456"/>
    </row>
    <row r="2609" spans="1:8" ht="13.5" customHeight="1">
      <c r="A2609" s="471">
        <v>9605</v>
      </c>
      <c r="B2609" s="457"/>
      <c r="C2609" s="456"/>
      <c r="D2609" s="456">
        <f>IF(Table11[[#This Row],[Current Age]]&gt;19,"Women's",IF(E2609&gt;15,"U19",IF(E2609&gt;13,"U15",IF(E2609&gt;11,"U13",IF(E2609&gt;0,"U11",0)))))</f>
        <v>0</v>
      </c>
      <c r="E2609" s="456">
        <f>IFERROR(IF(Table11[[#This Row],[Year]]&gt;0,$E$1-Table11[[#This Row],[Year]],0),"")</f>
        <v>0</v>
      </c>
      <c r="F2609" s="456"/>
      <c r="G2609" s="456"/>
      <c r="H2609" s="456"/>
    </row>
    <row r="2610" spans="1:8" ht="13.5" customHeight="1">
      <c r="A2610" s="456">
        <v>9606</v>
      </c>
      <c r="B2610" s="540"/>
      <c r="C2610" s="471"/>
      <c r="D2610" s="456">
        <f>IF(Table11[[#This Row],[Current Age]]&gt;19,"Women's",IF(E2610&gt;15,"U19",IF(E2610&gt;13,"U15",IF(E2610&gt;11,"U13",IF(E2610&gt;0,"U11",0)))))</f>
        <v>0</v>
      </c>
      <c r="E2610" s="456">
        <f>IFERROR(IF(Table11[[#This Row],[Year]]&gt;0,$E$1-Table11[[#This Row],[Year]],0),"")</f>
        <v>0</v>
      </c>
      <c r="F2610" s="456"/>
      <c r="G2610" s="456"/>
      <c r="H2610" s="456"/>
    </row>
    <row r="2611" spans="1:8" ht="13.5" customHeight="1">
      <c r="A2611" s="471">
        <v>9607</v>
      </c>
      <c r="B2611" s="457"/>
      <c r="C2611" s="456"/>
      <c r="D2611" s="456">
        <f>IF(Table11[[#This Row],[Current Age]]&gt;19,"Women's",IF(E2611&gt;15,"U19",IF(E2611&gt;13,"U15",IF(E2611&gt;11,"U13",IF(E2611&gt;0,"U11",0)))))</f>
        <v>0</v>
      </c>
      <c r="E2611" s="456">
        <f>IFERROR(IF(Table11[[#This Row],[Year]]&gt;0,$E$1-Table11[[#This Row],[Year]],0),"")</f>
        <v>0</v>
      </c>
      <c r="F2611" s="456"/>
      <c r="G2611" s="456"/>
      <c r="H2611" s="456"/>
    </row>
    <row r="2612" spans="1:8" ht="13.5" customHeight="1">
      <c r="A2612" s="456">
        <v>9608</v>
      </c>
      <c r="B2612" s="540"/>
      <c r="C2612" s="471"/>
      <c r="D2612" s="456">
        <f>IF(Table11[[#This Row],[Current Age]]&gt;19,"Women's",IF(E2612&gt;15,"U19",IF(E2612&gt;13,"U15",IF(E2612&gt;11,"U13",IF(E2612&gt;0,"U11",0)))))</f>
        <v>0</v>
      </c>
      <c r="E2612" s="456">
        <f>IFERROR(IF(Table11[[#This Row],[Year]]&gt;0,$E$1-Table11[[#This Row],[Year]],0),"")</f>
        <v>0</v>
      </c>
      <c r="F2612" s="456"/>
      <c r="G2612" s="456"/>
      <c r="H2612" s="456"/>
    </row>
    <row r="2613" spans="1:8" ht="13.5" customHeight="1">
      <c r="A2613" s="471">
        <v>9609</v>
      </c>
      <c r="B2613" s="457"/>
      <c r="C2613" s="456"/>
      <c r="D2613" s="456">
        <f>IF(Table11[[#This Row],[Current Age]]&gt;19,"Women's",IF(E2613&gt;15,"U19",IF(E2613&gt;13,"U15",IF(E2613&gt;11,"U13",IF(E2613&gt;0,"U11",0)))))</f>
        <v>0</v>
      </c>
      <c r="E2613" s="456">
        <f>IFERROR(IF(Table11[[#This Row],[Year]]&gt;0,$E$1-Table11[[#This Row],[Year]],0),"")</f>
        <v>0</v>
      </c>
      <c r="F2613" s="456"/>
      <c r="G2613" s="456"/>
      <c r="H2613" s="456"/>
    </row>
    <row r="2614" spans="1:8" ht="13.5" customHeight="1">
      <c r="A2614" s="456">
        <v>9610</v>
      </c>
      <c r="B2614" s="540"/>
      <c r="C2614" s="471"/>
      <c r="D2614" s="456">
        <f>IF(Table11[[#This Row],[Current Age]]&gt;19,"Women's",IF(E2614&gt;15,"U19",IF(E2614&gt;13,"U15",IF(E2614&gt;11,"U13",IF(E2614&gt;0,"U11",0)))))</f>
        <v>0</v>
      </c>
      <c r="E2614" s="456">
        <f>IFERROR(IF(Table11[[#This Row],[Year]]&gt;0,$E$1-Table11[[#This Row],[Year]],0),"")</f>
        <v>0</v>
      </c>
      <c r="F2614" s="456"/>
      <c r="G2614" s="456"/>
      <c r="H2614" s="456"/>
    </row>
    <row r="2615" spans="1:8" ht="13.5" customHeight="1">
      <c r="A2615" s="471">
        <v>9611</v>
      </c>
      <c r="B2615" s="457"/>
      <c r="C2615" s="456"/>
      <c r="D2615" s="456">
        <f>IF(Table11[[#This Row],[Current Age]]&gt;19,"Women's",IF(E2615&gt;15,"U19",IF(E2615&gt;13,"U15",IF(E2615&gt;11,"U13",IF(E2615&gt;0,"U11",0)))))</f>
        <v>0</v>
      </c>
      <c r="E2615" s="456">
        <f>IFERROR(IF(Table11[[#This Row],[Year]]&gt;0,$E$1-Table11[[#This Row],[Year]],0),"")</f>
        <v>0</v>
      </c>
      <c r="F2615" s="456"/>
      <c r="G2615" s="456"/>
      <c r="H2615" s="456"/>
    </row>
    <row r="2616" spans="1:8" ht="13.5" customHeight="1">
      <c r="A2616" s="456">
        <v>9612</v>
      </c>
      <c r="B2616" s="540"/>
      <c r="C2616" s="471"/>
      <c r="D2616" s="456">
        <f>IF(Table11[[#This Row],[Current Age]]&gt;19,"Women's",IF(E2616&gt;15,"U19",IF(E2616&gt;13,"U15",IF(E2616&gt;11,"U13",IF(E2616&gt;0,"U11",0)))))</f>
        <v>0</v>
      </c>
      <c r="E2616" s="456">
        <f>IFERROR(IF(Table11[[#This Row],[Year]]&gt;0,$E$1-Table11[[#This Row],[Year]],0),"")</f>
        <v>0</v>
      </c>
      <c r="F2616" s="456"/>
      <c r="G2616" s="456"/>
      <c r="H2616" s="456"/>
    </row>
    <row r="2617" spans="1:8" ht="13.5" customHeight="1">
      <c r="A2617" s="471">
        <v>9613</v>
      </c>
      <c r="B2617" s="457"/>
      <c r="C2617" s="456"/>
      <c r="D2617" s="456">
        <f>IF(Table11[[#This Row],[Current Age]]&gt;19,"Women's",IF(E2617&gt;15,"U19",IF(E2617&gt;13,"U15",IF(E2617&gt;11,"U13",IF(E2617&gt;0,"U11",0)))))</f>
        <v>0</v>
      </c>
      <c r="E2617" s="456">
        <f>IFERROR(IF(Table11[[#This Row],[Year]]&gt;0,$E$1-Table11[[#This Row],[Year]],0),"")</f>
        <v>0</v>
      </c>
      <c r="F2617" s="456"/>
      <c r="G2617" s="456"/>
      <c r="H2617" s="456"/>
    </row>
    <row r="2618" spans="1:8" ht="13.5" customHeight="1">
      <c r="A2618" s="456">
        <v>9614</v>
      </c>
      <c r="B2618" s="540"/>
      <c r="C2618" s="471"/>
      <c r="D2618" s="456">
        <f>IF(Table11[[#This Row],[Current Age]]&gt;19,"Women's",IF(E2618&gt;15,"U19",IF(E2618&gt;13,"U15",IF(E2618&gt;11,"U13",IF(E2618&gt;0,"U11",0)))))</f>
        <v>0</v>
      </c>
      <c r="E2618" s="456">
        <f>IFERROR(IF(Table11[[#This Row],[Year]]&gt;0,$E$1-Table11[[#This Row],[Year]],0),"")</f>
        <v>0</v>
      </c>
      <c r="F2618" s="456"/>
      <c r="G2618" s="456"/>
      <c r="H2618" s="456"/>
    </row>
    <row r="2619" spans="1:8" ht="13.5" customHeight="1">
      <c r="A2619" s="471">
        <v>9615</v>
      </c>
      <c r="B2619" s="457"/>
      <c r="C2619" s="456"/>
      <c r="D2619" s="456">
        <f>IF(Table11[[#This Row],[Current Age]]&gt;19,"Women's",IF(E2619&gt;15,"U19",IF(E2619&gt;13,"U15",IF(E2619&gt;11,"U13",IF(E2619&gt;0,"U11",0)))))</f>
        <v>0</v>
      </c>
      <c r="E2619" s="456">
        <f>IFERROR(IF(Table11[[#This Row],[Year]]&gt;0,$E$1-Table11[[#This Row],[Year]],0),"")</f>
        <v>0</v>
      </c>
      <c r="F2619" s="456"/>
      <c r="G2619" s="456"/>
      <c r="H2619" s="456"/>
    </row>
    <row r="2620" spans="1:8" ht="13.5" customHeight="1">
      <c r="A2620" s="456">
        <v>9616</v>
      </c>
      <c r="B2620" s="540"/>
      <c r="C2620" s="471"/>
      <c r="D2620" s="456">
        <f>IF(Table11[[#This Row],[Current Age]]&gt;19,"Women's",IF(E2620&gt;15,"U19",IF(E2620&gt;13,"U15",IF(E2620&gt;11,"U13",IF(E2620&gt;0,"U11",0)))))</f>
        <v>0</v>
      </c>
      <c r="E2620" s="456">
        <f>IFERROR(IF(Table11[[#This Row],[Year]]&gt;0,$E$1-Table11[[#This Row],[Year]],0),"")</f>
        <v>0</v>
      </c>
      <c r="F2620" s="456"/>
      <c r="G2620" s="456"/>
      <c r="H2620" s="456"/>
    </row>
    <row r="2621" spans="1:8" ht="13.5" customHeight="1">
      <c r="A2621" s="471">
        <v>9617</v>
      </c>
      <c r="B2621" s="457"/>
      <c r="C2621" s="456"/>
      <c r="D2621" s="456">
        <f>IF(Table11[[#This Row],[Current Age]]&gt;19,"Women's",IF(E2621&gt;15,"U19",IF(E2621&gt;13,"U15",IF(E2621&gt;11,"U13",IF(E2621&gt;0,"U11",0)))))</f>
        <v>0</v>
      </c>
      <c r="E2621" s="456">
        <f>IFERROR(IF(Table11[[#This Row],[Year]]&gt;0,$E$1-Table11[[#This Row],[Year]],0),"")</f>
        <v>0</v>
      </c>
      <c r="F2621" s="456"/>
      <c r="G2621" s="456"/>
      <c r="H2621" s="456"/>
    </row>
    <row r="2622" spans="1:8" ht="13.5" customHeight="1">
      <c r="A2622" s="456">
        <v>9618</v>
      </c>
      <c r="B2622" s="540"/>
      <c r="C2622" s="471"/>
      <c r="D2622" s="456">
        <f>IF(Table11[[#This Row],[Current Age]]&gt;19,"Women's",IF(E2622&gt;15,"U19",IF(E2622&gt;13,"U15",IF(E2622&gt;11,"U13",IF(E2622&gt;0,"U11",0)))))</f>
        <v>0</v>
      </c>
      <c r="E2622" s="456">
        <f>IFERROR(IF(Table11[[#This Row],[Year]]&gt;0,$E$1-Table11[[#This Row],[Year]],0),"")</f>
        <v>0</v>
      </c>
      <c r="F2622" s="456"/>
      <c r="G2622" s="456"/>
      <c r="H2622" s="456"/>
    </row>
    <row r="2623" spans="1:8" ht="13.5" customHeight="1">
      <c r="A2623" s="471">
        <v>9619</v>
      </c>
      <c r="B2623" s="457"/>
      <c r="C2623" s="456"/>
      <c r="D2623" s="456">
        <f>IF(Table11[[#This Row],[Current Age]]&gt;19,"Women's",IF(E2623&gt;15,"U19",IF(E2623&gt;13,"U15",IF(E2623&gt;11,"U13",IF(E2623&gt;0,"U11",0)))))</f>
        <v>0</v>
      </c>
      <c r="E2623" s="456">
        <f>IFERROR(IF(Table11[[#This Row],[Year]]&gt;0,$E$1-Table11[[#This Row],[Year]],0),"")</f>
        <v>0</v>
      </c>
      <c r="F2623" s="456"/>
      <c r="G2623" s="456"/>
      <c r="H2623" s="456"/>
    </row>
    <row r="2624" spans="1:8" ht="13.5" customHeight="1">
      <c r="A2624" s="456">
        <v>9620</v>
      </c>
      <c r="B2624" s="540"/>
      <c r="C2624" s="471"/>
      <c r="D2624" s="456">
        <f>IF(Table11[[#This Row],[Current Age]]&gt;19,"Women's",IF(E2624&gt;15,"U19",IF(E2624&gt;13,"U15",IF(E2624&gt;11,"U13",IF(E2624&gt;0,"U11",0)))))</f>
        <v>0</v>
      </c>
      <c r="E2624" s="456">
        <f>IFERROR(IF(Table11[[#This Row],[Year]]&gt;0,$E$1-Table11[[#This Row],[Year]],0),"")</f>
        <v>0</v>
      </c>
      <c r="F2624" s="456"/>
      <c r="G2624" s="456"/>
      <c r="H2624" s="456"/>
    </row>
    <row r="2625" spans="1:8" ht="13.5" customHeight="1">
      <c r="A2625" s="471">
        <v>9621</v>
      </c>
      <c r="B2625" s="457"/>
      <c r="C2625" s="456"/>
      <c r="D2625" s="456">
        <f>IF(Table11[[#This Row],[Current Age]]&gt;19,"Women's",IF(E2625&gt;15,"U19",IF(E2625&gt;13,"U15",IF(E2625&gt;11,"U13",IF(E2625&gt;0,"U11",0)))))</f>
        <v>0</v>
      </c>
      <c r="E2625" s="456">
        <f>IFERROR(IF(Table11[[#This Row],[Year]]&gt;0,$E$1-Table11[[#This Row],[Year]],0),"")</f>
        <v>0</v>
      </c>
      <c r="F2625" s="456"/>
      <c r="G2625" s="456"/>
      <c r="H2625" s="456"/>
    </row>
    <row r="2626" spans="1:8" ht="13.5" customHeight="1">
      <c r="A2626" s="456">
        <v>9622</v>
      </c>
      <c r="B2626" s="540"/>
      <c r="C2626" s="471"/>
      <c r="D2626" s="456">
        <f>IF(Table11[[#This Row],[Current Age]]&gt;19,"Women's",IF(E2626&gt;15,"U19",IF(E2626&gt;13,"U15",IF(E2626&gt;11,"U13",IF(E2626&gt;0,"U11",0)))))</f>
        <v>0</v>
      </c>
      <c r="E2626" s="456">
        <f>IFERROR(IF(Table11[[#This Row],[Year]]&gt;0,$E$1-Table11[[#This Row],[Year]],0),"")</f>
        <v>0</v>
      </c>
      <c r="F2626" s="456"/>
      <c r="G2626" s="456"/>
      <c r="H2626" s="456"/>
    </row>
    <row r="2627" spans="1:8" ht="13.5" customHeight="1">
      <c r="A2627" s="471">
        <v>9623</v>
      </c>
      <c r="B2627" s="457"/>
      <c r="C2627" s="456"/>
      <c r="D2627" s="456">
        <f>IF(Table11[[#This Row],[Current Age]]&gt;19,"Women's",IF(E2627&gt;15,"U19",IF(E2627&gt;13,"U15",IF(E2627&gt;11,"U13",IF(E2627&gt;0,"U11",0)))))</f>
        <v>0</v>
      </c>
      <c r="E2627" s="456">
        <f>IFERROR(IF(Table11[[#This Row],[Year]]&gt;0,$E$1-Table11[[#This Row],[Year]],0),"")</f>
        <v>0</v>
      </c>
      <c r="F2627" s="456"/>
      <c r="G2627" s="456"/>
      <c r="H2627" s="456"/>
    </row>
    <row r="2628" spans="1:8" ht="13.5" customHeight="1">
      <c r="A2628" s="456">
        <v>9624</v>
      </c>
      <c r="B2628" s="540"/>
      <c r="C2628" s="471"/>
      <c r="D2628" s="456">
        <f>IF(Table11[[#This Row],[Current Age]]&gt;19,"Women's",IF(E2628&gt;15,"U19",IF(E2628&gt;13,"U15",IF(E2628&gt;11,"U13",IF(E2628&gt;0,"U11",0)))))</f>
        <v>0</v>
      </c>
      <c r="E2628" s="456">
        <f>IFERROR(IF(Table11[[#This Row],[Year]]&gt;0,$E$1-Table11[[#This Row],[Year]],0),"")</f>
        <v>0</v>
      </c>
      <c r="F2628" s="456"/>
      <c r="G2628" s="456"/>
      <c r="H2628" s="456"/>
    </row>
    <row r="2629" spans="1:8" ht="13.5" customHeight="1">
      <c r="A2629" s="471">
        <v>9625</v>
      </c>
      <c r="B2629" s="457"/>
      <c r="C2629" s="456"/>
      <c r="D2629" s="456">
        <f>IF(Table11[[#This Row],[Current Age]]&gt;19,"Women's",IF(E2629&gt;15,"U19",IF(E2629&gt;13,"U15",IF(E2629&gt;11,"U13",IF(E2629&gt;0,"U11",0)))))</f>
        <v>0</v>
      </c>
      <c r="E2629" s="456">
        <f>IFERROR(IF(Table11[[#This Row],[Year]]&gt;0,$E$1-Table11[[#This Row],[Year]],0),"")</f>
        <v>0</v>
      </c>
      <c r="F2629" s="456"/>
      <c r="G2629" s="456"/>
      <c r="H2629" s="456"/>
    </row>
    <row r="2630" spans="1:8" ht="13.5" customHeight="1">
      <c r="A2630" s="456">
        <v>9626</v>
      </c>
      <c r="B2630" s="540"/>
      <c r="C2630" s="471"/>
      <c r="D2630" s="456">
        <f>IF(Table11[[#This Row],[Current Age]]&gt;19,"Women's",IF(E2630&gt;15,"U19",IF(E2630&gt;13,"U15",IF(E2630&gt;11,"U13",IF(E2630&gt;0,"U11",0)))))</f>
        <v>0</v>
      </c>
      <c r="E2630" s="456">
        <f>IFERROR(IF(Table11[[#This Row],[Year]]&gt;0,$E$1-Table11[[#This Row],[Year]],0),"")</f>
        <v>0</v>
      </c>
      <c r="F2630" s="456"/>
      <c r="G2630" s="456"/>
      <c r="H2630" s="456"/>
    </row>
    <row r="2631" spans="1:8" ht="13.5" customHeight="1">
      <c r="A2631" s="471">
        <v>9627</v>
      </c>
      <c r="B2631" s="457"/>
      <c r="C2631" s="456"/>
      <c r="D2631" s="456">
        <f>IF(Table11[[#This Row],[Current Age]]&gt;19,"Women's",IF(E2631&gt;15,"U19",IF(E2631&gt;13,"U15",IF(E2631&gt;11,"U13",IF(E2631&gt;0,"U11",0)))))</f>
        <v>0</v>
      </c>
      <c r="E2631" s="456">
        <f>IFERROR(IF(Table11[[#This Row],[Year]]&gt;0,$E$1-Table11[[#This Row],[Year]],0),"")</f>
        <v>0</v>
      </c>
      <c r="F2631" s="456"/>
      <c r="G2631" s="456"/>
      <c r="H2631" s="456"/>
    </row>
    <row r="2632" spans="1:8" ht="13.5" customHeight="1">
      <c r="A2632" s="456">
        <v>9628</v>
      </c>
      <c r="B2632" s="540"/>
      <c r="C2632" s="471"/>
      <c r="D2632" s="456">
        <f>IF(Table11[[#This Row],[Current Age]]&gt;19,"Women's",IF(E2632&gt;15,"U19",IF(E2632&gt;13,"U15",IF(E2632&gt;11,"U13",IF(E2632&gt;0,"U11",0)))))</f>
        <v>0</v>
      </c>
      <c r="E2632" s="456">
        <f>IFERROR(IF(Table11[[#This Row],[Year]]&gt;0,$E$1-Table11[[#This Row],[Year]],0),"")</f>
        <v>0</v>
      </c>
      <c r="F2632" s="456"/>
      <c r="G2632" s="456"/>
      <c r="H2632" s="456"/>
    </row>
    <row r="2633" spans="1:8" ht="13.5" customHeight="1">
      <c r="A2633" s="471">
        <v>9629</v>
      </c>
      <c r="B2633" s="457"/>
      <c r="C2633" s="456"/>
      <c r="D2633" s="456">
        <f>IF(Table11[[#This Row],[Current Age]]&gt;19,"Women's",IF(E2633&gt;15,"U19",IF(E2633&gt;13,"U15",IF(E2633&gt;11,"U13",IF(E2633&gt;0,"U11",0)))))</f>
        <v>0</v>
      </c>
      <c r="E2633" s="456">
        <f>IFERROR(IF(Table11[[#This Row],[Year]]&gt;0,$E$1-Table11[[#This Row],[Year]],0),"")</f>
        <v>0</v>
      </c>
      <c r="F2633" s="456"/>
      <c r="G2633" s="456"/>
      <c r="H2633" s="456"/>
    </row>
    <row r="2634" spans="1:8" ht="13.5" customHeight="1">
      <c r="A2634" s="456">
        <v>9630</v>
      </c>
      <c r="B2634" s="540"/>
      <c r="C2634" s="471"/>
      <c r="D2634" s="456">
        <f>IF(Table11[[#This Row],[Current Age]]&gt;19,"Women's",IF(E2634&gt;15,"U19",IF(E2634&gt;13,"U15",IF(E2634&gt;11,"U13",IF(E2634&gt;0,"U11",0)))))</f>
        <v>0</v>
      </c>
      <c r="E2634" s="456">
        <f>IFERROR(IF(Table11[[#This Row],[Year]]&gt;0,$E$1-Table11[[#This Row],[Year]],0),"")</f>
        <v>0</v>
      </c>
      <c r="F2634" s="456"/>
      <c r="G2634" s="456"/>
      <c r="H2634" s="456"/>
    </row>
    <row r="2635" spans="1:8" ht="13.5" customHeight="1">
      <c r="A2635" s="471">
        <v>9631</v>
      </c>
      <c r="B2635" s="457"/>
      <c r="C2635" s="456"/>
      <c r="D2635" s="456">
        <f>IF(Table11[[#This Row],[Current Age]]&gt;19,"Women's",IF(E2635&gt;15,"U19",IF(E2635&gt;13,"U15",IF(E2635&gt;11,"U13",IF(E2635&gt;0,"U11",0)))))</f>
        <v>0</v>
      </c>
      <c r="E2635" s="456">
        <f>IFERROR(IF(Table11[[#This Row],[Year]]&gt;0,$E$1-Table11[[#This Row],[Year]],0),"")</f>
        <v>0</v>
      </c>
      <c r="F2635" s="456"/>
      <c r="G2635" s="456"/>
      <c r="H2635" s="456"/>
    </row>
    <row r="2636" spans="1:8" ht="13.5" customHeight="1">
      <c r="A2636" s="456">
        <v>9632</v>
      </c>
      <c r="B2636" s="540"/>
      <c r="C2636" s="471"/>
      <c r="D2636" s="456">
        <f>IF(Table11[[#This Row],[Current Age]]&gt;19,"Women's",IF(E2636&gt;15,"U19",IF(E2636&gt;13,"U15",IF(E2636&gt;11,"U13",IF(E2636&gt;0,"U11",0)))))</f>
        <v>0</v>
      </c>
      <c r="E2636" s="456">
        <f>IFERROR(IF(Table11[[#This Row],[Year]]&gt;0,$E$1-Table11[[#This Row],[Year]],0),"")</f>
        <v>0</v>
      </c>
      <c r="F2636" s="456"/>
      <c r="G2636" s="456"/>
      <c r="H2636" s="456"/>
    </row>
    <row r="2637" spans="1:8" ht="13.5" customHeight="1">
      <c r="A2637" s="471">
        <v>9633</v>
      </c>
      <c r="B2637" s="457"/>
      <c r="C2637" s="456"/>
      <c r="D2637" s="456">
        <f>IF(Table11[[#This Row],[Current Age]]&gt;19,"Women's",IF(E2637&gt;15,"U19",IF(E2637&gt;13,"U15",IF(E2637&gt;11,"U13",IF(E2637&gt;0,"U11",0)))))</f>
        <v>0</v>
      </c>
      <c r="E2637" s="456">
        <f>IFERROR(IF(Table11[[#This Row],[Year]]&gt;0,$E$1-Table11[[#This Row],[Year]],0),"")</f>
        <v>0</v>
      </c>
      <c r="F2637" s="456"/>
      <c r="G2637" s="456"/>
      <c r="H2637" s="456"/>
    </row>
    <row r="2638" spans="1:8" ht="13.5" customHeight="1">
      <c r="A2638" s="456">
        <v>9634</v>
      </c>
      <c r="B2638" s="540"/>
      <c r="C2638" s="471"/>
      <c r="D2638" s="456">
        <f>IF(Table11[[#This Row],[Current Age]]&gt;19,"Women's",IF(E2638&gt;15,"U19",IF(E2638&gt;13,"U15",IF(E2638&gt;11,"U13",IF(E2638&gt;0,"U11",0)))))</f>
        <v>0</v>
      </c>
      <c r="E2638" s="456">
        <f>IFERROR(IF(Table11[[#This Row],[Year]]&gt;0,$E$1-Table11[[#This Row],[Year]],0),"")</f>
        <v>0</v>
      </c>
      <c r="F2638" s="456"/>
      <c r="G2638" s="456"/>
      <c r="H2638" s="456"/>
    </row>
    <row r="2639" spans="1:8" ht="13.5" customHeight="1">
      <c r="A2639" s="471">
        <v>9635</v>
      </c>
      <c r="B2639" s="457"/>
      <c r="C2639" s="456"/>
      <c r="D2639" s="456">
        <f>IF(Table11[[#This Row],[Current Age]]&gt;19,"Women's",IF(E2639&gt;15,"U19",IF(E2639&gt;13,"U15",IF(E2639&gt;11,"U13",IF(E2639&gt;0,"U11",0)))))</f>
        <v>0</v>
      </c>
      <c r="E2639" s="456">
        <f>IFERROR(IF(Table11[[#This Row],[Year]]&gt;0,$E$1-Table11[[#This Row],[Year]],0),"")</f>
        <v>0</v>
      </c>
      <c r="F2639" s="456"/>
      <c r="G2639" s="456"/>
      <c r="H2639" s="456"/>
    </row>
    <row r="2640" spans="1:8" ht="13.5" customHeight="1">
      <c r="A2640" s="456">
        <v>9636</v>
      </c>
      <c r="B2640" s="540"/>
      <c r="C2640" s="471"/>
      <c r="D2640" s="456">
        <f>IF(Table11[[#This Row],[Current Age]]&gt;19,"Women's",IF(E2640&gt;15,"U19",IF(E2640&gt;13,"U15",IF(E2640&gt;11,"U13",IF(E2640&gt;0,"U11",0)))))</f>
        <v>0</v>
      </c>
      <c r="E2640" s="456">
        <f>IFERROR(IF(Table11[[#This Row],[Year]]&gt;0,$E$1-Table11[[#This Row],[Year]],0),"")</f>
        <v>0</v>
      </c>
      <c r="F2640" s="456"/>
      <c r="G2640" s="456"/>
      <c r="H2640" s="456"/>
    </row>
    <row r="2641" spans="1:8" ht="13.5" customHeight="1">
      <c r="A2641" s="471">
        <v>9637</v>
      </c>
      <c r="B2641" s="457"/>
      <c r="C2641" s="456"/>
      <c r="D2641" s="456">
        <f>IF(Table11[[#This Row],[Current Age]]&gt;19,"Women's",IF(E2641&gt;15,"U19",IF(E2641&gt;13,"U15",IF(E2641&gt;11,"U13",IF(E2641&gt;0,"U11",0)))))</f>
        <v>0</v>
      </c>
      <c r="E2641" s="456">
        <f>IFERROR(IF(Table11[[#This Row],[Year]]&gt;0,$E$1-Table11[[#This Row],[Year]],0),"")</f>
        <v>0</v>
      </c>
      <c r="F2641" s="456"/>
      <c r="G2641" s="456"/>
      <c r="H2641" s="456"/>
    </row>
    <row r="2642" spans="1:8" ht="13.5" customHeight="1">
      <c r="A2642" s="456">
        <v>9638</v>
      </c>
      <c r="B2642" s="540"/>
      <c r="C2642" s="471"/>
      <c r="D2642" s="456">
        <f>IF(Table11[[#This Row],[Current Age]]&gt;19,"Women's",IF(E2642&gt;15,"U19",IF(E2642&gt;13,"U15",IF(E2642&gt;11,"U13",IF(E2642&gt;0,"U11",0)))))</f>
        <v>0</v>
      </c>
      <c r="E2642" s="456">
        <f>IFERROR(IF(Table11[[#This Row],[Year]]&gt;0,$E$1-Table11[[#This Row],[Year]],0),"")</f>
        <v>0</v>
      </c>
      <c r="F2642" s="456"/>
      <c r="G2642" s="456"/>
      <c r="H2642" s="456"/>
    </row>
    <row r="2643" spans="1:8" ht="13.5" customHeight="1">
      <c r="A2643" s="471">
        <v>9639</v>
      </c>
      <c r="B2643" s="457"/>
      <c r="C2643" s="456"/>
      <c r="D2643" s="456">
        <f>IF(Table11[[#This Row],[Current Age]]&gt;19,"Women's",IF(E2643&gt;15,"U19",IF(E2643&gt;13,"U15",IF(E2643&gt;11,"U13",IF(E2643&gt;0,"U11",0)))))</f>
        <v>0</v>
      </c>
      <c r="E2643" s="456">
        <f>IFERROR(IF(Table11[[#This Row],[Year]]&gt;0,$E$1-Table11[[#This Row],[Year]],0),"")</f>
        <v>0</v>
      </c>
      <c r="F2643" s="456"/>
      <c r="G2643" s="456"/>
      <c r="H2643" s="456"/>
    </row>
    <row r="2644" spans="1:8" ht="13.5" customHeight="1">
      <c r="A2644" s="456">
        <v>9640</v>
      </c>
      <c r="B2644" s="540"/>
      <c r="C2644" s="471"/>
      <c r="D2644" s="456">
        <f>IF(Table11[[#This Row],[Current Age]]&gt;19,"Women's",IF(E2644&gt;15,"U19",IF(E2644&gt;13,"U15",IF(E2644&gt;11,"U13",IF(E2644&gt;0,"U11",0)))))</f>
        <v>0</v>
      </c>
      <c r="E2644" s="456">
        <f>IFERROR(IF(Table11[[#This Row],[Year]]&gt;0,$E$1-Table11[[#This Row],[Year]],0),"")</f>
        <v>0</v>
      </c>
      <c r="F2644" s="456"/>
      <c r="G2644" s="456"/>
      <c r="H2644" s="456"/>
    </row>
    <row r="2645" spans="1:8" ht="13.5" customHeight="1">
      <c r="A2645" s="471">
        <v>9641</v>
      </c>
      <c r="B2645" s="457"/>
      <c r="C2645" s="456"/>
      <c r="D2645" s="456">
        <f>IF(Table11[[#This Row],[Current Age]]&gt;19,"Women's",IF(E2645&gt;15,"U19",IF(E2645&gt;13,"U15",IF(E2645&gt;11,"U13",IF(E2645&gt;0,"U11",0)))))</f>
        <v>0</v>
      </c>
      <c r="E2645" s="456">
        <f>IFERROR(IF(Table11[[#This Row],[Year]]&gt;0,$E$1-Table11[[#This Row],[Year]],0),"")</f>
        <v>0</v>
      </c>
      <c r="F2645" s="456"/>
      <c r="G2645" s="456"/>
      <c r="H2645" s="456"/>
    </row>
    <row r="2646" spans="1:8" ht="13.5" customHeight="1">
      <c r="A2646" s="456">
        <v>9642</v>
      </c>
      <c r="B2646" s="540"/>
      <c r="C2646" s="471"/>
      <c r="D2646" s="456">
        <f>IF(Table11[[#This Row],[Current Age]]&gt;19,"Women's",IF(E2646&gt;15,"U19",IF(E2646&gt;13,"U15",IF(E2646&gt;11,"U13",IF(E2646&gt;0,"U11",0)))))</f>
        <v>0</v>
      </c>
      <c r="E2646" s="456">
        <f>IFERROR(IF(Table11[[#This Row],[Year]]&gt;0,$E$1-Table11[[#This Row],[Year]],0),"")</f>
        <v>0</v>
      </c>
      <c r="F2646" s="456"/>
      <c r="G2646" s="456"/>
      <c r="H2646" s="456"/>
    </row>
    <row r="2647" spans="1:8" ht="13.5" customHeight="1">
      <c r="A2647" s="471">
        <v>9643</v>
      </c>
      <c r="B2647" s="457"/>
      <c r="C2647" s="456"/>
      <c r="D2647" s="456">
        <f>IF(Table11[[#This Row],[Current Age]]&gt;19,"Women's",IF(E2647&gt;15,"U19",IF(E2647&gt;13,"U15",IF(E2647&gt;11,"U13",IF(E2647&gt;0,"U11",0)))))</f>
        <v>0</v>
      </c>
      <c r="E2647" s="456">
        <f>IFERROR(IF(Table11[[#This Row],[Year]]&gt;0,$E$1-Table11[[#This Row],[Year]],0),"")</f>
        <v>0</v>
      </c>
      <c r="F2647" s="456"/>
      <c r="G2647" s="456"/>
      <c r="H2647" s="456"/>
    </row>
    <row r="2648" spans="1:8" ht="13.5" customHeight="1">
      <c r="A2648" s="456">
        <v>9644</v>
      </c>
      <c r="B2648" s="540"/>
      <c r="C2648" s="471"/>
      <c r="D2648" s="456">
        <f>IF(Table11[[#This Row],[Current Age]]&gt;19,"Women's",IF(E2648&gt;15,"U19",IF(E2648&gt;13,"U15",IF(E2648&gt;11,"U13",IF(E2648&gt;0,"U11",0)))))</f>
        <v>0</v>
      </c>
      <c r="E2648" s="456">
        <f>IFERROR(IF(Table11[[#This Row],[Year]]&gt;0,$E$1-Table11[[#This Row],[Year]],0),"")</f>
        <v>0</v>
      </c>
      <c r="F2648" s="456"/>
      <c r="G2648" s="456"/>
      <c r="H2648" s="456"/>
    </row>
    <row r="2649" spans="1:8" ht="13.5" customHeight="1">
      <c r="A2649" s="471">
        <v>9645</v>
      </c>
      <c r="B2649" s="457"/>
      <c r="C2649" s="456"/>
      <c r="D2649" s="456">
        <f>IF(Table11[[#This Row],[Current Age]]&gt;19,"Women's",IF(E2649&gt;15,"U19",IF(E2649&gt;13,"U15",IF(E2649&gt;11,"U13",IF(E2649&gt;0,"U11",0)))))</f>
        <v>0</v>
      </c>
      <c r="E2649" s="456">
        <f>IFERROR(IF(Table11[[#This Row],[Year]]&gt;0,$E$1-Table11[[#This Row],[Year]],0),"")</f>
        <v>0</v>
      </c>
      <c r="F2649" s="456"/>
      <c r="G2649" s="456"/>
      <c r="H2649" s="456"/>
    </row>
    <row r="2650" spans="1:8" ht="13.5" customHeight="1">
      <c r="A2650" s="456">
        <v>9646</v>
      </c>
      <c r="B2650" s="540"/>
      <c r="C2650" s="471"/>
      <c r="D2650" s="456">
        <f>IF(Table11[[#This Row],[Current Age]]&gt;19,"Women's",IF(E2650&gt;15,"U19",IF(E2650&gt;13,"U15",IF(E2650&gt;11,"U13",IF(E2650&gt;0,"U11",0)))))</f>
        <v>0</v>
      </c>
      <c r="E2650" s="456">
        <f>IFERROR(IF(Table11[[#This Row],[Year]]&gt;0,$E$1-Table11[[#This Row],[Year]],0),"")</f>
        <v>0</v>
      </c>
      <c r="F2650" s="456"/>
      <c r="G2650" s="456"/>
      <c r="H2650" s="456"/>
    </row>
    <row r="2651" spans="1:8" ht="13.5" customHeight="1">
      <c r="A2651" s="471">
        <v>9647</v>
      </c>
      <c r="B2651" s="457"/>
      <c r="C2651" s="456"/>
      <c r="D2651" s="456">
        <f>IF(Table11[[#This Row],[Current Age]]&gt;19,"Women's",IF(E2651&gt;15,"U19",IF(E2651&gt;13,"U15",IF(E2651&gt;11,"U13",IF(E2651&gt;0,"U11",0)))))</f>
        <v>0</v>
      </c>
      <c r="E2651" s="456">
        <f>IFERROR(IF(Table11[[#This Row],[Year]]&gt;0,$E$1-Table11[[#This Row],[Year]],0),"")</f>
        <v>0</v>
      </c>
      <c r="F2651" s="456"/>
      <c r="G2651" s="456"/>
      <c r="H2651" s="456"/>
    </row>
    <row r="2652" spans="1:8" ht="13.5" customHeight="1">
      <c r="A2652" s="456">
        <v>9648</v>
      </c>
      <c r="B2652" s="540"/>
      <c r="C2652" s="471"/>
      <c r="D2652" s="456">
        <f>IF(Table11[[#This Row],[Current Age]]&gt;19,"Women's",IF(E2652&gt;15,"U19",IF(E2652&gt;13,"U15",IF(E2652&gt;11,"U13",IF(E2652&gt;0,"U11",0)))))</f>
        <v>0</v>
      </c>
      <c r="E2652" s="456">
        <f>IFERROR(IF(Table11[[#This Row],[Year]]&gt;0,$E$1-Table11[[#This Row],[Year]],0),"")</f>
        <v>0</v>
      </c>
      <c r="F2652" s="456"/>
      <c r="G2652" s="456"/>
      <c r="H2652" s="456"/>
    </row>
    <row r="2653" spans="1:8" ht="13.5" customHeight="1">
      <c r="A2653" s="471">
        <v>9649</v>
      </c>
      <c r="B2653" s="457"/>
      <c r="C2653" s="456"/>
      <c r="D2653" s="456">
        <f>IF(Table11[[#This Row],[Current Age]]&gt;19,"Women's",IF(E2653&gt;15,"U19",IF(E2653&gt;13,"U15",IF(E2653&gt;11,"U13",IF(E2653&gt;0,"U11",0)))))</f>
        <v>0</v>
      </c>
      <c r="E2653" s="456">
        <f>IFERROR(IF(Table11[[#This Row],[Year]]&gt;0,$E$1-Table11[[#This Row],[Year]],0),"")</f>
        <v>0</v>
      </c>
      <c r="F2653" s="456"/>
      <c r="G2653" s="456"/>
      <c r="H2653" s="456"/>
    </row>
    <row r="2654" spans="1:8" ht="13.5" customHeight="1">
      <c r="A2654" s="456">
        <v>9650</v>
      </c>
      <c r="B2654" s="540"/>
      <c r="C2654" s="471"/>
      <c r="D2654" s="456">
        <f>IF(Table11[[#This Row],[Current Age]]&gt;19,"Women's",IF(E2654&gt;15,"U19",IF(E2654&gt;13,"U15",IF(E2654&gt;11,"U13",IF(E2654&gt;0,"U11",0)))))</f>
        <v>0</v>
      </c>
      <c r="E2654" s="456">
        <f>IFERROR(IF(Table11[[#This Row],[Year]]&gt;0,$E$1-Table11[[#This Row],[Year]],0),"")</f>
        <v>0</v>
      </c>
      <c r="F2654" s="456"/>
      <c r="G2654" s="456"/>
      <c r="H2654" s="456"/>
    </row>
    <row r="2655" spans="1:8" ht="13.5" customHeight="1">
      <c r="A2655" s="471">
        <v>9651</v>
      </c>
      <c r="B2655" s="457"/>
      <c r="C2655" s="456"/>
      <c r="D2655" s="456">
        <f>IF(Table11[[#This Row],[Current Age]]&gt;19,"Women's",IF(E2655&gt;15,"U19",IF(E2655&gt;13,"U15",IF(E2655&gt;11,"U13",IF(E2655&gt;0,"U11",0)))))</f>
        <v>0</v>
      </c>
      <c r="E2655" s="456">
        <f>IFERROR(IF(Table11[[#This Row],[Year]]&gt;0,$E$1-Table11[[#This Row],[Year]],0),"")</f>
        <v>0</v>
      </c>
      <c r="F2655" s="456"/>
      <c r="G2655" s="456"/>
      <c r="H2655" s="456"/>
    </row>
    <row r="2656" spans="1:8" ht="13.5" customHeight="1">
      <c r="A2656" s="456">
        <v>9652</v>
      </c>
      <c r="B2656" s="540"/>
      <c r="C2656" s="471"/>
      <c r="D2656" s="456">
        <f>IF(Table11[[#This Row],[Current Age]]&gt;19,"Women's",IF(E2656&gt;15,"U19",IF(E2656&gt;13,"U15",IF(E2656&gt;11,"U13",IF(E2656&gt;0,"U11",0)))))</f>
        <v>0</v>
      </c>
      <c r="E2656" s="456">
        <f>IFERROR(IF(Table11[[#This Row],[Year]]&gt;0,$E$1-Table11[[#This Row],[Year]],0),"")</f>
        <v>0</v>
      </c>
      <c r="F2656" s="456"/>
      <c r="G2656" s="456"/>
      <c r="H2656" s="456"/>
    </row>
    <row r="2657" spans="1:8" ht="13.5" customHeight="1">
      <c r="A2657" s="471">
        <v>9653</v>
      </c>
      <c r="B2657" s="457"/>
      <c r="C2657" s="456"/>
      <c r="D2657" s="456">
        <f>IF(Table11[[#This Row],[Current Age]]&gt;19,"Women's",IF(E2657&gt;15,"U19",IF(E2657&gt;13,"U15",IF(E2657&gt;11,"U13",IF(E2657&gt;0,"U11",0)))))</f>
        <v>0</v>
      </c>
      <c r="E2657" s="456">
        <f>IFERROR(IF(Table11[[#This Row],[Year]]&gt;0,$E$1-Table11[[#This Row],[Year]],0),"")</f>
        <v>0</v>
      </c>
      <c r="F2657" s="456"/>
      <c r="G2657" s="456"/>
      <c r="H2657" s="456"/>
    </row>
    <row r="2658" spans="1:8" ht="13.5" customHeight="1">
      <c r="A2658" s="456">
        <v>9654</v>
      </c>
      <c r="B2658" s="540"/>
      <c r="C2658" s="471"/>
      <c r="D2658" s="456">
        <f>IF(Table11[[#This Row],[Current Age]]&gt;19,"Women's",IF(E2658&gt;15,"U19",IF(E2658&gt;13,"U15",IF(E2658&gt;11,"U13",IF(E2658&gt;0,"U11",0)))))</f>
        <v>0</v>
      </c>
      <c r="E2658" s="456">
        <f>IFERROR(IF(Table11[[#This Row],[Year]]&gt;0,$E$1-Table11[[#This Row],[Year]],0),"")</f>
        <v>0</v>
      </c>
      <c r="F2658" s="456"/>
      <c r="G2658" s="456"/>
      <c r="H2658" s="456"/>
    </row>
    <row r="2659" spans="1:8" ht="13.5" customHeight="1">
      <c r="A2659" s="471">
        <v>9655</v>
      </c>
      <c r="B2659" s="457"/>
      <c r="C2659" s="456"/>
      <c r="D2659" s="456">
        <f>IF(Table11[[#This Row],[Current Age]]&gt;19,"Women's",IF(E2659&gt;15,"U19",IF(E2659&gt;13,"U15",IF(E2659&gt;11,"U13",IF(E2659&gt;0,"U11",0)))))</f>
        <v>0</v>
      </c>
      <c r="E2659" s="456">
        <f>IFERROR(IF(Table11[[#This Row],[Year]]&gt;0,$E$1-Table11[[#This Row],[Year]],0),"")</f>
        <v>0</v>
      </c>
      <c r="F2659" s="456"/>
      <c r="G2659" s="456"/>
      <c r="H2659" s="456"/>
    </row>
    <row r="2660" spans="1:8" ht="13.5" customHeight="1">
      <c r="A2660" s="456">
        <v>9656</v>
      </c>
      <c r="B2660" s="540"/>
      <c r="C2660" s="471"/>
      <c r="D2660" s="456">
        <f>IF(Table11[[#This Row],[Current Age]]&gt;19,"Women's",IF(E2660&gt;15,"U19",IF(E2660&gt;13,"U15",IF(E2660&gt;11,"U13",IF(E2660&gt;0,"U11",0)))))</f>
        <v>0</v>
      </c>
      <c r="E2660" s="456">
        <f>IFERROR(IF(Table11[[#This Row],[Year]]&gt;0,$E$1-Table11[[#This Row],[Year]],0),"")</f>
        <v>0</v>
      </c>
      <c r="F2660" s="456"/>
      <c r="G2660" s="456"/>
      <c r="H2660" s="456"/>
    </row>
    <row r="2661" spans="1:8" ht="13.5" customHeight="1">
      <c r="A2661" s="471">
        <v>9657</v>
      </c>
      <c r="B2661" s="457"/>
      <c r="C2661" s="456"/>
      <c r="D2661" s="456">
        <f>IF(Table11[[#This Row],[Current Age]]&gt;19,"Women's",IF(E2661&gt;15,"U19",IF(E2661&gt;13,"U15",IF(E2661&gt;11,"U13",IF(E2661&gt;0,"U11",0)))))</f>
        <v>0</v>
      </c>
      <c r="E2661" s="456">
        <f>IFERROR(IF(Table11[[#This Row],[Year]]&gt;0,$E$1-Table11[[#This Row],[Year]],0),"")</f>
        <v>0</v>
      </c>
      <c r="F2661" s="456"/>
      <c r="G2661" s="456"/>
      <c r="H2661" s="456"/>
    </row>
    <row r="2662" spans="1:8" ht="13.5" customHeight="1">
      <c r="A2662" s="456">
        <v>9658</v>
      </c>
      <c r="B2662" s="540"/>
      <c r="C2662" s="471"/>
      <c r="D2662" s="456">
        <f>IF(Table11[[#This Row],[Current Age]]&gt;19,"Women's",IF(E2662&gt;15,"U19",IF(E2662&gt;13,"U15",IF(E2662&gt;11,"U13",IF(E2662&gt;0,"U11",0)))))</f>
        <v>0</v>
      </c>
      <c r="E2662" s="456">
        <f>IFERROR(IF(Table11[[#This Row],[Year]]&gt;0,$E$1-Table11[[#This Row],[Year]],0),"")</f>
        <v>0</v>
      </c>
      <c r="F2662" s="456"/>
      <c r="G2662" s="456"/>
      <c r="H2662" s="456"/>
    </row>
    <row r="2663" spans="1:8" ht="13.5" customHeight="1">
      <c r="A2663" s="471">
        <v>9659</v>
      </c>
      <c r="B2663" s="457"/>
      <c r="C2663" s="456"/>
      <c r="D2663" s="456">
        <f>IF(Table11[[#This Row],[Current Age]]&gt;19,"Women's",IF(E2663&gt;15,"U19",IF(E2663&gt;13,"U15",IF(E2663&gt;11,"U13",IF(E2663&gt;0,"U11",0)))))</f>
        <v>0</v>
      </c>
      <c r="E2663" s="456">
        <f>IFERROR(IF(Table11[[#This Row],[Year]]&gt;0,$E$1-Table11[[#This Row],[Year]],0),"")</f>
        <v>0</v>
      </c>
      <c r="F2663" s="456"/>
      <c r="G2663" s="456"/>
      <c r="H2663" s="456"/>
    </row>
    <row r="2664" spans="1:8" ht="13.5" customHeight="1">
      <c r="A2664" s="456">
        <v>9660</v>
      </c>
      <c r="B2664" s="540"/>
      <c r="C2664" s="471"/>
      <c r="D2664" s="456">
        <f>IF(Table11[[#This Row],[Current Age]]&gt;19,"Women's",IF(E2664&gt;15,"U19",IF(E2664&gt;13,"U15",IF(E2664&gt;11,"U13",IF(E2664&gt;0,"U11",0)))))</f>
        <v>0</v>
      </c>
      <c r="E2664" s="456">
        <f>IFERROR(IF(Table11[[#This Row],[Year]]&gt;0,$E$1-Table11[[#This Row],[Year]],0),"")</f>
        <v>0</v>
      </c>
      <c r="F2664" s="456"/>
      <c r="G2664" s="456"/>
      <c r="H2664" s="456"/>
    </row>
    <row r="2665" spans="1:8" ht="13.5" customHeight="1">
      <c r="A2665" s="471">
        <v>9661</v>
      </c>
      <c r="B2665" s="457"/>
      <c r="C2665" s="456"/>
      <c r="D2665" s="456">
        <f>IF(Table11[[#This Row],[Current Age]]&gt;19,"Women's",IF(E2665&gt;15,"U19",IF(E2665&gt;13,"U15",IF(E2665&gt;11,"U13",IF(E2665&gt;0,"U11",0)))))</f>
        <v>0</v>
      </c>
      <c r="E2665" s="456">
        <f>IFERROR(IF(Table11[[#This Row],[Year]]&gt;0,$E$1-Table11[[#This Row],[Year]],0),"")</f>
        <v>0</v>
      </c>
      <c r="F2665" s="456"/>
      <c r="G2665" s="456"/>
      <c r="H2665" s="456"/>
    </row>
    <row r="2666" spans="1:8" ht="13.5" customHeight="1">
      <c r="A2666" s="456">
        <v>9662</v>
      </c>
      <c r="B2666" s="540"/>
      <c r="C2666" s="471"/>
      <c r="D2666" s="456">
        <f>IF(Table11[[#This Row],[Current Age]]&gt;19,"Women's",IF(E2666&gt;15,"U19",IF(E2666&gt;13,"U15",IF(E2666&gt;11,"U13",IF(E2666&gt;0,"U11",0)))))</f>
        <v>0</v>
      </c>
      <c r="E2666" s="456">
        <f>IFERROR(IF(Table11[[#This Row],[Year]]&gt;0,$E$1-Table11[[#This Row],[Year]],0),"")</f>
        <v>0</v>
      </c>
      <c r="F2666" s="456"/>
      <c r="G2666" s="456"/>
      <c r="H2666" s="456"/>
    </row>
    <row r="2667" spans="1:8" ht="13.5" customHeight="1">
      <c r="A2667" s="471">
        <v>9663</v>
      </c>
      <c r="B2667" s="457"/>
      <c r="C2667" s="456"/>
      <c r="D2667" s="456">
        <f>IF(Table11[[#This Row],[Current Age]]&gt;19,"Women's",IF(E2667&gt;15,"U19",IF(E2667&gt;13,"U15",IF(E2667&gt;11,"U13",IF(E2667&gt;0,"U11",0)))))</f>
        <v>0</v>
      </c>
      <c r="E2667" s="456">
        <f>IFERROR(IF(Table11[[#This Row],[Year]]&gt;0,$E$1-Table11[[#This Row],[Year]],0),"")</f>
        <v>0</v>
      </c>
      <c r="F2667" s="456"/>
      <c r="G2667" s="456"/>
      <c r="H2667" s="456"/>
    </row>
    <row r="2668" spans="1:8" ht="13.5" customHeight="1">
      <c r="A2668" s="456">
        <v>9664</v>
      </c>
      <c r="B2668" s="540"/>
      <c r="C2668" s="471"/>
      <c r="D2668" s="456">
        <f>IF(Table11[[#This Row],[Current Age]]&gt;19,"Women's",IF(E2668&gt;15,"U19",IF(E2668&gt;13,"U15",IF(E2668&gt;11,"U13",IF(E2668&gt;0,"U11",0)))))</f>
        <v>0</v>
      </c>
      <c r="E2668" s="456">
        <f>IFERROR(IF(Table11[[#This Row],[Year]]&gt;0,$E$1-Table11[[#This Row],[Year]],0),"")</f>
        <v>0</v>
      </c>
      <c r="F2668" s="456"/>
      <c r="G2668" s="456"/>
      <c r="H2668" s="456"/>
    </row>
    <row r="2669" spans="1:8" ht="13.5" customHeight="1">
      <c r="A2669" s="471">
        <v>9665</v>
      </c>
      <c r="B2669" s="457"/>
      <c r="C2669" s="456"/>
      <c r="D2669" s="456">
        <f>IF(Table11[[#This Row],[Current Age]]&gt;19,"Women's",IF(E2669&gt;15,"U19",IF(E2669&gt;13,"U15",IF(E2669&gt;11,"U13",IF(E2669&gt;0,"U11",0)))))</f>
        <v>0</v>
      </c>
      <c r="E2669" s="456">
        <f>IFERROR(IF(Table11[[#This Row],[Year]]&gt;0,$E$1-Table11[[#This Row],[Year]],0),"")</f>
        <v>0</v>
      </c>
      <c r="F2669" s="456"/>
      <c r="G2669" s="456"/>
      <c r="H2669" s="456"/>
    </row>
    <row r="2670" spans="1:8" ht="13.5" customHeight="1">
      <c r="A2670" s="456">
        <v>9666</v>
      </c>
      <c r="B2670" s="540"/>
      <c r="C2670" s="471"/>
      <c r="D2670" s="456">
        <f>IF(Table11[[#This Row],[Current Age]]&gt;19,"Women's",IF(E2670&gt;15,"U19",IF(E2670&gt;13,"U15",IF(E2670&gt;11,"U13",IF(E2670&gt;0,"U11",0)))))</f>
        <v>0</v>
      </c>
      <c r="E2670" s="456">
        <f>IFERROR(IF(Table11[[#This Row],[Year]]&gt;0,$E$1-Table11[[#This Row],[Year]],0),"")</f>
        <v>0</v>
      </c>
      <c r="F2670" s="456"/>
      <c r="G2670" s="456"/>
      <c r="H2670" s="456"/>
    </row>
    <row r="2671" spans="1:8" ht="13.5" customHeight="1">
      <c r="A2671" s="471">
        <v>9667</v>
      </c>
      <c r="B2671" s="457"/>
      <c r="C2671" s="456"/>
      <c r="D2671" s="456">
        <f>IF(Table11[[#This Row],[Current Age]]&gt;19,"Women's",IF(E2671&gt;15,"U19",IF(E2671&gt;13,"U15",IF(E2671&gt;11,"U13",IF(E2671&gt;0,"U11",0)))))</f>
        <v>0</v>
      </c>
      <c r="E2671" s="456">
        <f>IFERROR(IF(Table11[[#This Row],[Year]]&gt;0,$E$1-Table11[[#This Row],[Year]],0),"")</f>
        <v>0</v>
      </c>
      <c r="F2671" s="456"/>
      <c r="G2671" s="456"/>
      <c r="H2671" s="456"/>
    </row>
    <row r="2672" spans="1:8" ht="13.5" customHeight="1">
      <c r="A2672" s="456">
        <v>9668</v>
      </c>
      <c r="B2672" s="540"/>
      <c r="C2672" s="471"/>
      <c r="D2672" s="456">
        <f>IF(Table11[[#This Row],[Current Age]]&gt;19,"Women's",IF(E2672&gt;15,"U19",IF(E2672&gt;13,"U15",IF(E2672&gt;11,"U13",IF(E2672&gt;0,"U11",0)))))</f>
        <v>0</v>
      </c>
      <c r="E2672" s="456">
        <f>IFERROR(IF(Table11[[#This Row],[Year]]&gt;0,$E$1-Table11[[#This Row],[Year]],0),"")</f>
        <v>0</v>
      </c>
      <c r="F2672" s="456"/>
      <c r="G2672" s="456"/>
      <c r="H2672" s="456"/>
    </row>
    <row r="2673" spans="1:8" ht="13.5" customHeight="1">
      <c r="A2673" s="471">
        <v>9669</v>
      </c>
      <c r="B2673" s="457"/>
      <c r="C2673" s="456"/>
      <c r="D2673" s="456">
        <f>IF(Table11[[#This Row],[Current Age]]&gt;19,"Women's",IF(E2673&gt;15,"U19",IF(E2673&gt;13,"U15",IF(E2673&gt;11,"U13",IF(E2673&gt;0,"U11",0)))))</f>
        <v>0</v>
      </c>
      <c r="E2673" s="456">
        <f>IFERROR(IF(Table11[[#This Row],[Year]]&gt;0,$E$1-Table11[[#This Row],[Year]],0),"")</f>
        <v>0</v>
      </c>
      <c r="F2673" s="456"/>
      <c r="G2673" s="456"/>
      <c r="H2673" s="456"/>
    </row>
    <row r="2674" spans="1:8" ht="13.5" customHeight="1">
      <c r="A2674" s="456">
        <v>9670</v>
      </c>
      <c r="B2674" s="540"/>
      <c r="C2674" s="471"/>
      <c r="D2674" s="456">
        <f>IF(Table11[[#This Row],[Current Age]]&gt;19,"Women's",IF(E2674&gt;15,"U19",IF(E2674&gt;13,"U15",IF(E2674&gt;11,"U13",IF(E2674&gt;0,"U11",0)))))</f>
        <v>0</v>
      </c>
      <c r="E2674" s="456">
        <f>IFERROR(IF(Table11[[#This Row],[Year]]&gt;0,$E$1-Table11[[#This Row],[Year]],0),"")</f>
        <v>0</v>
      </c>
      <c r="F2674" s="456"/>
      <c r="G2674" s="456"/>
      <c r="H2674" s="456"/>
    </row>
    <row r="2675" spans="1:8" ht="13.5" customHeight="1">
      <c r="A2675" s="471">
        <v>9671</v>
      </c>
      <c r="B2675" s="457"/>
      <c r="C2675" s="456"/>
      <c r="D2675" s="456">
        <f>IF(Table11[[#This Row],[Current Age]]&gt;19,"Women's",IF(E2675&gt;15,"U19",IF(E2675&gt;13,"U15",IF(E2675&gt;11,"U13",IF(E2675&gt;0,"U11",0)))))</f>
        <v>0</v>
      </c>
      <c r="E2675" s="456">
        <f>IFERROR(IF(Table11[[#This Row],[Year]]&gt;0,$E$1-Table11[[#This Row],[Year]],0),"")</f>
        <v>0</v>
      </c>
      <c r="F2675" s="456"/>
      <c r="G2675" s="456"/>
      <c r="H2675" s="456"/>
    </row>
    <row r="2676" spans="1:8" ht="13.5" customHeight="1">
      <c r="A2676" s="456">
        <v>9672</v>
      </c>
      <c r="B2676" s="540"/>
      <c r="C2676" s="471"/>
      <c r="D2676" s="456">
        <f>IF(Table11[[#This Row],[Current Age]]&gt;19,"Women's",IF(E2676&gt;15,"U19",IF(E2676&gt;13,"U15",IF(E2676&gt;11,"U13",IF(E2676&gt;0,"U11",0)))))</f>
        <v>0</v>
      </c>
      <c r="E2676" s="456">
        <f>IFERROR(IF(Table11[[#This Row],[Year]]&gt;0,$E$1-Table11[[#This Row],[Year]],0),"")</f>
        <v>0</v>
      </c>
      <c r="F2676" s="456"/>
      <c r="G2676" s="456"/>
      <c r="H2676" s="456"/>
    </row>
    <row r="2677" spans="1:8" ht="13.5" customHeight="1">
      <c r="A2677" s="471">
        <v>9673</v>
      </c>
      <c r="B2677" s="457"/>
      <c r="C2677" s="456"/>
      <c r="D2677" s="456">
        <f>IF(Table11[[#This Row],[Current Age]]&gt;19,"Women's",IF(E2677&gt;15,"U19",IF(E2677&gt;13,"U15",IF(E2677&gt;11,"U13",IF(E2677&gt;0,"U11",0)))))</f>
        <v>0</v>
      </c>
      <c r="E2677" s="456">
        <f>IFERROR(IF(Table11[[#This Row],[Year]]&gt;0,$E$1-Table11[[#This Row],[Year]],0),"")</f>
        <v>0</v>
      </c>
      <c r="F2677" s="456"/>
      <c r="G2677" s="456"/>
      <c r="H2677" s="456"/>
    </row>
    <row r="2678" spans="1:8" ht="13.5" customHeight="1">
      <c r="A2678" s="456">
        <v>9674</v>
      </c>
      <c r="B2678" s="540"/>
      <c r="C2678" s="471"/>
      <c r="D2678" s="456">
        <f>IF(Table11[[#This Row],[Current Age]]&gt;19,"Women's",IF(E2678&gt;15,"U19",IF(E2678&gt;13,"U15",IF(E2678&gt;11,"U13",IF(E2678&gt;0,"U11",0)))))</f>
        <v>0</v>
      </c>
      <c r="E2678" s="456">
        <f>IFERROR(IF(Table11[[#This Row],[Year]]&gt;0,$E$1-Table11[[#This Row],[Year]],0),"")</f>
        <v>0</v>
      </c>
      <c r="F2678" s="456"/>
      <c r="G2678" s="456"/>
      <c r="H2678" s="456"/>
    </row>
    <row r="2679" spans="1:8" ht="13.5" customHeight="1">
      <c r="A2679" s="471">
        <v>9675</v>
      </c>
      <c r="B2679" s="457"/>
      <c r="C2679" s="456"/>
      <c r="D2679" s="456">
        <f>IF(Table11[[#This Row],[Current Age]]&gt;19,"Women's",IF(E2679&gt;15,"U19",IF(E2679&gt;13,"U15",IF(E2679&gt;11,"U13",IF(E2679&gt;0,"U11",0)))))</f>
        <v>0</v>
      </c>
      <c r="E2679" s="456">
        <f>IFERROR(IF(Table11[[#This Row],[Year]]&gt;0,$E$1-Table11[[#This Row],[Year]],0),"")</f>
        <v>0</v>
      </c>
      <c r="F2679" s="456"/>
      <c r="G2679" s="456"/>
      <c r="H2679" s="456"/>
    </row>
    <row r="2680" spans="1:8" ht="13.5" customHeight="1">
      <c r="A2680" s="456">
        <v>9676</v>
      </c>
      <c r="B2680" s="540"/>
      <c r="C2680" s="471"/>
      <c r="D2680" s="456">
        <f>IF(Table11[[#This Row],[Current Age]]&gt;19,"Women's",IF(E2680&gt;15,"U19",IF(E2680&gt;13,"U15",IF(E2680&gt;11,"U13",IF(E2680&gt;0,"U11",0)))))</f>
        <v>0</v>
      </c>
      <c r="E2680" s="456">
        <f>IFERROR(IF(Table11[[#This Row],[Year]]&gt;0,$E$1-Table11[[#This Row],[Year]],0),"")</f>
        <v>0</v>
      </c>
      <c r="F2680" s="456"/>
      <c r="G2680" s="456"/>
      <c r="H2680" s="456"/>
    </row>
    <row r="2681" spans="1:8" ht="13.5" customHeight="1">
      <c r="A2681" s="471">
        <v>9677</v>
      </c>
      <c r="B2681" s="457"/>
      <c r="C2681" s="456"/>
      <c r="D2681" s="456">
        <f>IF(Table11[[#This Row],[Current Age]]&gt;19,"Women's",IF(E2681&gt;15,"U19",IF(E2681&gt;13,"U15",IF(E2681&gt;11,"U13",IF(E2681&gt;0,"U11",0)))))</f>
        <v>0</v>
      </c>
      <c r="E2681" s="456">
        <f>IFERROR(IF(Table11[[#This Row],[Year]]&gt;0,$E$1-Table11[[#This Row],[Year]],0),"")</f>
        <v>0</v>
      </c>
      <c r="F2681" s="456"/>
      <c r="G2681" s="456"/>
      <c r="H2681" s="456"/>
    </row>
    <row r="2682" spans="1:8" ht="13.5" customHeight="1">
      <c r="A2682" s="456">
        <v>9678</v>
      </c>
      <c r="B2682" s="540"/>
      <c r="C2682" s="471"/>
      <c r="D2682" s="456">
        <f>IF(Table11[[#This Row],[Current Age]]&gt;19,"Women's",IF(E2682&gt;15,"U19",IF(E2682&gt;13,"U15",IF(E2682&gt;11,"U13",IF(E2682&gt;0,"U11",0)))))</f>
        <v>0</v>
      </c>
      <c r="E2682" s="456">
        <f>IFERROR(IF(Table11[[#This Row],[Year]]&gt;0,$E$1-Table11[[#This Row],[Year]],0),"")</f>
        <v>0</v>
      </c>
      <c r="F2682" s="456"/>
      <c r="G2682" s="456"/>
      <c r="H2682" s="456"/>
    </row>
    <row r="2683" spans="1:8" ht="13.5" customHeight="1">
      <c r="A2683" s="471">
        <v>9679</v>
      </c>
      <c r="B2683" s="457"/>
      <c r="C2683" s="456"/>
      <c r="D2683" s="456">
        <f>IF(Table11[[#This Row],[Current Age]]&gt;19,"Women's",IF(E2683&gt;15,"U19",IF(E2683&gt;13,"U15",IF(E2683&gt;11,"U13",IF(E2683&gt;0,"U11",0)))))</f>
        <v>0</v>
      </c>
      <c r="E2683" s="456">
        <f>IFERROR(IF(Table11[[#This Row],[Year]]&gt;0,$E$1-Table11[[#This Row],[Year]],0),"")</f>
        <v>0</v>
      </c>
      <c r="F2683" s="456"/>
      <c r="G2683" s="456"/>
      <c r="H2683" s="456"/>
    </row>
    <row r="2684" spans="1:8" ht="13.5" customHeight="1">
      <c r="A2684" s="456">
        <v>9680</v>
      </c>
      <c r="B2684" s="540"/>
      <c r="C2684" s="471"/>
      <c r="D2684" s="456">
        <f>IF(Table11[[#This Row],[Current Age]]&gt;19,"Women's",IF(E2684&gt;15,"U19",IF(E2684&gt;13,"U15",IF(E2684&gt;11,"U13",IF(E2684&gt;0,"U11",0)))))</f>
        <v>0</v>
      </c>
      <c r="E2684" s="456">
        <f>IFERROR(IF(Table11[[#This Row],[Year]]&gt;0,$E$1-Table11[[#This Row],[Year]],0),"")</f>
        <v>0</v>
      </c>
      <c r="F2684" s="456"/>
      <c r="G2684" s="456"/>
      <c r="H2684" s="456"/>
    </row>
    <row r="2685" spans="1:8" ht="13.5" customHeight="1">
      <c r="A2685" s="471">
        <v>9681</v>
      </c>
      <c r="B2685" s="457"/>
      <c r="C2685" s="456"/>
      <c r="D2685" s="456">
        <f>IF(Table11[[#This Row],[Current Age]]&gt;19,"Women's",IF(E2685&gt;15,"U19",IF(E2685&gt;13,"U15",IF(E2685&gt;11,"U13",IF(E2685&gt;0,"U11",0)))))</f>
        <v>0</v>
      </c>
      <c r="E2685" s="456">
        <f>IFERROR(IF(Table11[[#This Row],[Year]]&gt;0,$E$1-Table11[[#This Row],[Year]],0),"")</f>
        <v>0</v>
      </c>
      <c r="F2685" s="456"/>
      <c r="G2685" s="456"/>
      <c r="H2685" s="456"/>
    </row>
    <row r="2686" spans="1:8" ht="13.5" customHeight="1">
      <c r="A2686" s="456">
        <v>9682</v>
      </c>
      <c r="B2686" s="540"/>
      <c r="C2686" s="471"/>
      <c r="D2686" s="456">
        <f>IF(Table11[[#This Row],[Current Age]]&gt;19,"Women's",IF(E2686&gt;15,"U19",IF(E2686&gt;13,"U15",IF(E2686&gt;11,"U13",IF(E2686&gt;0,"U11",0)))))</f>
        <v>0</v>
      </c>
      <c r="E2686" s="456">
        <f>IFERROR(IF(Table11[[#This Row],[Year]]&gt;0,$E$1-Table11[[#This Row],[Year]],0),"")</f>
        <v>0</v>
      </c>
      <c r="F2686" s="456"/>
      <c r="G2686" s="456"/>
      <c r="H2686" s="456"/>
    </row>
    <row r="2687" spans="1:8" ht="13.5" customHeight="1">
      <c r="A2687" s="471">
        <v>9683</v>
      </c>
      <c r="B2687" s="457"/>
      <c r="C2687" s="456"/>
      <c r="D2687" s="456">
        <f>IF(Table11[[#This Row],[Current Age]]&gt;19,"Women's",IF(E2687&gt;15,"U19",IF(E2687&gt;13,"U15",IF(E2687&gt;11,"U13",IF(E2687&gt;0,"U11",0)))))</f>
        <v>0</v>
      </c>
      <c r="E2687" s="456">
        <f>IFERROR(IF(Table11[[#This Row],[Year]]&gt;0,$E$1-Table11[[#This Row],[Year]],0),"")</f>
        <v>0</v>
      </c>
      <c r="F2687" s="456"/>
      <c r="G2687" s="456"/>
      <c r="H2687" s="456"/>
    </row>
    <row r="2688" spans="1:8" ht="13.5" customHeight="1">
      <c r="A2688" s="456">
        <v>9684</v>
      </c>
      <c r="B2688" s="540"/>
      <c r="C2688" s="471"/>
      <c r="D2688" s="456">
        <f>IF(Table11[[#This Row],[Current Age]]&gt;19,"Women's",IF(E2688&gt;15,"U19",IF(E2688&gt;13,"U15",IF(E2688&gt;11,"U13",IF(E2688&gt;0,"U11",0)))))</f>
        <v>0</v>
      </c>
      <c r="E2688" s="456">
        <f>IFERROR(IF(Table11[[#This Row],[Year]]&gt;0,$E$1-Table11[[#This Row],[Year]],0),"")</f>
        <v>0</v>
      </c>
      <c r="F2688" s="456"/>
      <c r="G2688" s="456"/>
      <c r="H2688" s="456"/>
    </row>
    <row r="2689" spans="1:8" ht="13.5" customHeight="1">
      <c r="A2689" s="471">
        <v>9685</v>
      </c>
      <c r="B2689" s="457"/>
      <c r="C2689" s="456"/>
      <c r="D2689" s="456">
        <f>IF(Table11[[#This Row],[Current Age]]&gt;19,"Women's",IF(E2689&gt;15,"U19",IF(E2689&gt;13,"U15",IF(E2689&gt;11,"U13",IF(E2689&gt;0,"U11",0)))))</f>
        <v>0</v>
      </c>
      <c r="E2689" s="456">
        <f>IFERROR(IF(Table11[[#This Row],[Year]]&gt;0,$E$1-Table11[[#This Row],[Year]],0),"")</f>
        <v>0</v>
      </c>
      <c r="F2689" s="456"/>
      <c r="G2689" s="456"/>
      <c r="H2689" s="456"/>
    </row>
    <row r="2690" spans="1:8" ht="13.5" customHeight="1">
      <c r="A2690" s="456">
        <v>9686</v>
      </c>
      <c r="B2690" s="540"/>
      <c r="C2690" s="471"/>
      <c r="D2690" s="456">
        <f>IF(Table11[[#This Row],[Current Age]]&gt;19,"Women's",IF(E2690&gt;15,"U19",IF(E2690&gt;13,"U15",IF(E2690&gt;11,"U13",IF(E2690&gt;0,"U11",0)))))</f>
        <v>0</v>
      </c>
      <c r="E2690" s="456">
        <f>IFERROR(IF(Table11[[#This Row],[Year]]&gt;0,$E$1-Table11[[#This Row],[Year]],0),"")</f>
        <v>0</v>
      </c>
      <c r="F2690" s="456"/>
      <c r="G2690" s="456"/>
      <c r="H2690" s="456"/>
    </row>
    <row r="2691" spans="1:8" ht="13.5" customHeight="1">
      <c r="A2691" s="471">
        <v>9687</v>
      </c>
      <c r="B2691" s="457"/>
      <c r="C2691" s="456"/>
      <c r="D2691" s="456">
        <f>IF(Table11[[#This Row],[Current Age]]&gt;19,"Women's",IF(E2691&gt;15,"U19",IF(E2691&gt;13,"U15",IF(E2691&gt;11,"U13",IF(E2691&gt;0,"U11",0)))))</f>
        <v>0</v>
      </c>
      <c r="E2691" s="456">
        <f>IFERROR(IF(Table11[[#This Row],[Year]]&gt;0,$E$1-Table11[[#This Row],[Year]],0),"")</f>
        <v>0</v>
      </c>
      <c r="F2691" s="456"/>
      <c r="G2691" s="456"/>
      <c r="H2691" s="456"/>
    </row>
    <row r="2692" spans="1:8" ht="13.5" customHeight="1">
      <c r="A2692" s="456">
        <v>9688</v>
      </c>
      <c r="B2692" s="540"/>
      <c r="C2692" s="471"/>
      <c r="D2692" s="456">
        <f>IF(Table11[[#This Row],[Current Age]]&gt;19,"Women's",IF(E2692&gt;15,"U19",IF(E2692&gt;13,"U15",IF(E2692&gt;11,"U13",IF(E2692&gt;0,"U11",0)))))</f>
        <v>0</v>
      </c>
      <c r="E2692" s="456">
        <f>IFERROR(IF(Table11[[#This Row],[Year]]&gt;0,$E$1-Table11[[#This Row],[Year]],0),"")</f>
        <v>0</v>
      </c>
      <c r="F2692" s="456"/>
      <c r="G2692" s="456"/>
      <c r="H2692" s="456"/>
    </row>
    <row r="2693" spans="1:8" ht="13.5" customHeight="1">
      <c r="A2693" s="471">
        <v>9689</v>
      </c>
      <c r="B2693" s="457"/>
      <c r="C2693" s="456"/>
      <c r="D2693" s="456">
        <f>IF(Table11[[#This Row],[Current Age]]&gt;19,"Women's",IF(E2693&gt;15,"U19",IF(E2693&gt;13,"U15",IF(E2693&gt;11,"U13",IF(E2693&gt;0,"U11",0)))))</f>
        <v>0</v>
      </c>
      <c r="E2693" s="456">
        <f>IFERROR(IF(Table11[[#This Row],[Year]]&gt;0,$E$1-Table11[[#This Row],[Year]],0),"")</f>
        <v>0</v>
      </c>
      <c r="F2693" s="456"/>
      <c r="G2693" s="456"/>
      <c r="H2693" s="456"/>
    </row>
    <row r="2694" spans="1:8" ht="13.5" customHeight="1">
      <c r="A2694" s="456">
        <v>9690</v>
      </c>
      <c r="B2694" s="540"/>
      <c r="C2694" s="471"/>
      <c r="D2694" s="456">
        <f>IF(Table11[[#This Row],[Current Age]]&gt;19,"Women's",IF(E2694&gt;15,"U19",IF(E2694&gt;13,"U15",IF(E2694&gt;11,"U13",IF(E2694&gt;0,"U11",0)))))</f>
        <v>0</v>
      </c>
      <c r="E2694" s="456">
        <f>IFERROR(IF(Table11[[#This Row],[Year]]&gt;0,$E$1-Table11[[#This Row],[Year]],0),"")</f>
        <v>0</v>
      </c>
      <c r="F2694" s="456"/>
      <c r="G2694" s="456"/>
      <c r="H2694" s="456"/>
    </row>
    <row r="2695" spans="1:8" ht="13.5" customHeight="1">
      <c r="A2695" s="471">
        <v>9691</v>
      </c>
      <c r="B2695" s="457"/>
      <c r="C2695" s="456"/>
      <c r="D2695" s="456">
        <f>IF(Table11[[#This Row],[Current Age]]&gt;19,"Women's",IF(E2695&gt;15,"U19",IF(E2695&gt;13,"U15",IF(E2695&gt;11,"U13",IF(E2695&gt;0,"U11",0)))))</f>
        <v>0</v>
      </c>
      <c r="E2695" s="456">
        <f>IFERROR(IF(Table11[[#This Row],[Year]]&gt;0,$E$1-Table11[[#This Row],[Year]],0),"")</f>
        <v>0</v>
      </c>
      <c r="F2695" s="456"/>
      <c r="G2695" s="456"/>
      <c r="H2695" s="456"/>
    </row>
    <row r="2696" spans="1:8" ht="13.5" customHeight="1">
      <c r="A2696" s="456">
        <v>9692</v>
      </c>
      <c r="B2696" s="540"/>
      <c r="C2696" s="471"/>
      <c r="D2696" s="456">
        <f>IF(Table11[[#This Row],[Current Age]]&gt;19,"Women's",IF(E2696&gt;15,"U19",IF(E2696&gt;13,"U15",IF(E2696&gt;11,"U13",IF(E2696&gt;0,"U11",0)))))</f>
        <v>0</v>
      </c>
      <c r="E2696" s="456">
        <f>IFERROR(IF(Table11[[#This Row],[Year]]&gt;0,$E$1-Table11[[#This Row],[Year]],0),"")</f>
        <v>0</v>
      </c>
      <c r="F2696" s="456"/>
      <c r="G2696" s="456"/>
      <c r="H2696" s="456"/>
    </row>
    <row r="2697" spans="1:8" ht="13.5" customHeight="1">
      <c r="A2697" s="471">
        <v>9693</v>
      </c>
      <c r="B2697" s="457"/>
      <c r="C2697" s="456"/>
      <c r="D2697" s="456">
        <f>IF(Table11[[#This Row],[Current Age]]&gt;19,"Women's",IF(E2697&gt;15,"U19",IF(E2697&gt;13,"U15",IF(E2697&gt;11,"U13",IF(E2697&gt;0,"U11",0)))))</f>
        <v>0</v>
      </c>
      <c r="E2697" s="456">
        <f>IFERROR(IF(Table11[[#This Row],[Year]]&gt;0,$E$1-Table11[[#This Row],[Year]],0),"")</f>
        <v>0</v>
      </c>
      <c r="F2697" s="456"/>
      <c r="G2697" s="456"/>
      <c r="H2697" s="456"/>
    </row>
    <row r="2698" spans="1:8" ht="13.5" customHeight="1">
      <c r="A2698" s="456">
        <v>9694</v>
      </c>
      <c r="B2698" s="540"/>
      <c r="C2698" s="471"/>
      <c r="D2698" s="456">
        <f>IF(Table11[[#This Row],[Current Age]]&gt;19,"Women's",IF(E2698&gt;15,"U19",IF(E2698&gt;13,"U15",IF(E2698&gt;11,"U13",IF(E2698&gt;0,"U11",0)))))</f>
        <v>0</v>
      </c>
      <c r="E2698" s="456">
        <f>IFERROR(IF(Table11[[#This Row],[Year]]&gt;0,$E$1-Table11[[#This Row],[Year]],0),"")</f>
        <v>0</v>
      </c>
      <c r="F2698" s="456"/>
      <c r="G2698" s="456"/>
      <c r="H2698" s="456"/>
    </row>
    <row r="2699" spans="1:8" ht="13.5" customHeight="1">
      <c r="A2699" s="471">
        <v>9695</v>
      </c>
      <c r="B2699" s="457"/>
      <c r="C2699" s="456"/>
      <c r="D2699" s="456">
        <f>IF(Table11[[#This Row],[Current Age]]&gt;19,"Women's",IF(E2699&gt;15,"U19",IF(E2699&gt;13,"U15",IF(E2699&gt;11,"U13",IF(E2699&gt;0,"U11",0)))))</f>
        <v>0</v>
      </c>
      <c r="E2699" s="456">
        <f>IFERROR(IF(Table11[[#This Row],[Year]]&gt;0,$E$1-Table11[[#This Row],[Year]],0),"")</f>
        <v>0</v>
      </c>
      <c r="F2699" s="456"/>
      <c r="G2699" s="456"/>
      <c r="H2699" s="456"/>
    </row>
    <row r="2700" spans="1:8" ht="13.5" customHeight="1">
      <c r="A2700" s="456">
        <v>9696</v>
      </c>
      <c r="B2700" s="540"/>
      <c r="C2700" s="471"/>
      <c r="D2700" s="456">
        <f>IF(Table11[[#This Row],[Current Age]]&gt;19,"Women's",IF(E2700&gt;15,"U19",IF(E2700&gt;13,"U15",IF(E2700&gt;11,"U13",IF(E2700&gt;0,"U11",0)))))</f>
        <v>0</v>
      </c>
      <c r="E2700" s="456">
        <f>IFERROR(IF(Table11[[#This Row],[Year]]&gt;0,$E$1-Table11[[#This Row],[Year]],0),"")</f>
        <v>0</v>
      </c>
      <c r="F2700" s="456"/>
      <c r="G2700" s="456"/>
      <c r="H2700" s="456"/>
    </row>
    <row r="2701" spans="1:8" ht="13.5" customHeight="1">
      <c r="A2701" s="471">
        <v>9697</v>
      </c>
      <c r="B2701" s="457"/>
      <c r="C2701" s="456"/>
      <c r="D2701" s="456">
        <f>IF(Table11[[#This Row],[Current Age]]&gt;19,"Women's",IF(E2701&gt;15,"U19",IF(E2701&gt;13,"U15",IF(E2701&gt;11,"U13",IF(E2701&gt;0,"U11",0)))))</f>
        <v>0</v>
      </c>
      <c r="E2701" s="456">
        <f>IFERROR(IF(Table11[[#This Row],[Year]]&gt;0,$E$1-Table11[[#This Row],[Year]],0),"")</f>
        <v>0</v>
      </c>
      <c r="F2701" s="456"/>
      <c r="G2701" s="456"/>
      <c r="H2701" s="456"/>
    </row>
    <row r="2702" spans="1:8" ht="13.5" customHeight="1">
      <c r="A2702" s="456">
        <v>9698</v>
      </c>
      <c r="B2702" s="540"/>
      <c r="C2702" s="471"/>
      <c r="D2702" s="456">
        <f>IF(Table11[[#This Row],[Current Age]]&gt;19,"Women's",IF(E2702&gt;15,"U19",IF(E2702&gt;13,"U15",IF(E2702&gt;11,"U13",IF(E2702&gt;0,"U11",0)))))</f>
        <v>0</v>
      </c>
      <c r="E2702" s="456">
        <f>IFERROR(IF(Table11[[#This Row],[Year]]&gt;0,$E$1-Table11[[#This Row],[Year]],0),"")</f>
        <v>0</v>
      </c>
      <c r="F2702" s="456"/>
      <c r="G2702" s="456"/>
      <c r="H2702" s="456"/>
    </row>
    <row r="2703" spans="1:8" ht="13.5" customHeight="1">
      <c r="A2703" s="471">
        <v>9699</v>
      </c>
      <c r="B2703" s="457"/>
      <c r="C2703" s="456"/>
      <c r="D2703" s="456">
        <f>IF(Table11[[#This Row],[Current Age]]&gt;19,"Women's",IF(E2703&gt;15,"U19",IF(E2703&gt;13,"U15",IF(E2703&gt;11,"U13",IF(E2703&gt;0,"U11",0)))))</f>
        <v>0</v>
      </c>
      <c r="E2703" s="456">
        <f>IFERROR(IF(Table11[[#This Row],[Year]]&gt;0,$E$1-Table11[[#This Row],[Year]],0),"")</f>
        <v>0</v>
      </c>
      <c r="F2703" s="456"/>
      <c r="G2703" s="456"/>
      <c r="H2703" s="456"/>
    </row>
    <row r="2704" spans="1:8" ht="13.5" customHeight="1">
      <c r="A2704" s="456">
        <v>9700</v>
      </c>
      <c r="B2704" s="540"/>
      <c r="C2704" s="471"/>
      <c r="D2704" s="456">
        <f>IF(Table11[[#This Row],[Current Age]]&gt;19,"Women's",IF(E2704&gt;15,"U19",IF(E2704&gt;13,"U15",IF(E2704&gt;11,"U13",IF(E2704&gt;0,"U11",0)))))</f>
        <v>0</v>
      </c>
      <c r="E2704" s="456">
        <f>IFERROR(IF(Table11[[#This Row],[Year]]&gt;0,$E$1-Table11[[#This Row],[Year]],0),"")</f>
        <v>0</v>
      </c>
      <c r="F2704" s="456"/>
      <c r="G2704" s="456"/>
      <c r="H2704" s="456"/>
    </row>
    <row r="2705" spans="1:8" ht="13.5" customHeight="1">
      <c r="A2705" s="471">
        <v>9701</v>
      </c>
      <c r="B2705" s="457"/>
      <c r="C2705" s="456"/>
      <c r="D2705" s="456">
        <f>IF(Table11[[#This Row],[Current Age]]&gt;19,"Women's",IF(E2705&gt;15,"U19",IF(E2705&gt;13,"U15",IF(E2705&gt;11,"U13",IF(E2705&gt;0,"U11",0)))))</f>
        <v>0</v>
      </c>
      <c r="E2705" s="456">
        <f>IFERROR(IF(Table11[[#This Row],[Year]]&gt;0,$E$1-Table11[[#This Row],[Year]],0),"")</f>
        <v>0</v>
      </c>
      <c r="F2705" s="456"/>
      <c r="G2705" s="456"/>
      <c r="H2705" s="456"/>
    </row>
    <row r="2706" spans="1:8" ht="13.5" customHeight="1">
      <c r="A2706" s="456">
        <v>9702</v>
      </c>
      <c r="B2706" s="540"/>
      <c r="C2706" s="471"/>
      <c r="D2706" s="456">
        <f>IF(Table11[[#This Row],[Current Age]]&gt;19,"Women's",IF(E2706&gt;15,"U19",IF(E2706&gt;13,"U15",IF(E2706&gt;11,"U13",IF(E2706&gt;0,"U11",0)))))</f>
        <v>0</v>
      </c>
      <c r="E2706" s="456">
        <f>IFERROR(IF(Table11[[#This Row],[Year]]&gt;0,$E$1-Table11[[#This Row],[Year]],0),"")</f>
        <v>0</v>
      </c>
      <c r="F2706" s="456"/>
      <c r="G2706" s="456"/>
      <c r="H2706" s="456"/>
    </row>
    <row r="2707" spans="1:8" ht="13.5" customHeight="1">
      <c r="A2707" s="471">
        <v>9703</v>
      </c>
      <c r="B2707" s="457"/>
      <c r="C2707" s="456"/>
      <c r="D2707" s="456">
        <f>IF(Table11[[#This Row],[Current Age]]&gt;19,"Women's",IF(E2707&gt;15,"U19",IF(E2707&gt;13,"U15",IF(E2707&gt;11,"U13",IF(E2707&gt;0,"U11",0)))))</f>
        <v>0</v>
      </c>
      <c r="E2707" s="456">
        <f>IFERROR(IF(Table11[[#This Row],[Year]]&gt;0,$E$1-Table11[[#This Row],[Year]],0),"")</f>
        <v>0</v>
      </c>
      <c r="F2707" s="456"/>
      <c r="G2707" s="456"/>
      <c r="H2707" s="456"/>
    </row>
    <row r="2708" spans="1:8" ht="13.5" customHeight="1">
      <c r="A2708" s="456">
        <v>9704</v>
      </c>
      <c r="B2708" s="540"/>
      <c r="C2708" s="471"/>
      <c r="D2708" s="456">
        <f>IF(Table11[[#This Row],[Current Age]]&gt;19,"Women's",IF(E2708&gt;15,"U19",IF(E2708&gt;13,"U15",IF(E2708&gt;11,"U13",IF(E2708&gt;0,"U11",0)))))</f>
        <v>0</v>
      </c>
      <c r="E2708" s="456">
        <f>IFERROR(IF(Table11[[#This Row],[Year]]&gt;0,$E$1-Table11[[#This Row],[Year]],0),"")</f>
        <v>0</v>
      </c>
      <c r="F2708" s="456"/>
      <c r="G2708" s="456"/>
      <c r="H2708" s="456"/>
    </row>
    <row r="2709" spans="1:8" ht="13.5" customHeight="1">
      <c r="A2709" s="471">
        <v>9705</v>
      </c>
      <c r="B2709" s="457"/>
      <c r="C2709" s="456"/>
      <c r="D2709" s="456">
        <f>IF(Table11[[#This Row],[Current Age]]&gt;19,"Women's",IF(E2709&gt;15,"U19",IF(E2709&gt;13,"U15",IF(E2709&gt;11,"U13",IF(E2709&gt;0,"U11",0)))))</f>
        <v>0</v>
      </c>
      <c r="E2709" s="456">
        <f>IFERROR(IF(Table11[[#This Row],[Year]]&gt;0,$E$1-Table11[[#This Row],[Year]],0),"")</f>
        <v>0</v>
      </c>
      <c r="F2709" s="456"/>
      <c r="G2709" s="456"/>
      <c r="H2709" s="456"/>
    </row>
    <row r="2710" spans="1:8" ht="13.5" customHeight="1">
      <c r="A2710" s="456">
        <v>9706</v>
      </c>
      <c r="B2710" s="540"/>
      <c r="C2710" s="471"/>
      <c r="D2710" s="456">
        <f>IF(Table11[[#This Row],[Current Age]]&gt;19,"Women's",IF(E2710&gt;15,"U19",IF(E2710&gt;13,"U15",IF(E2710&gt;11,"U13",IF(E2710&gt;0,"U11",0)))))</f>
        <v>0</v>
      </c>
      <c r="E2710" s="456">
        <f>IFERROR(IF(Table11[[#This Row],[Year]]&gt;0,$E$1-Table11[[#This Row],[Year]],0),"")</f>
        <v>0</v>
      </c>
      <c r="F2710" s="456"/>
      <c r="G2710" s="456"/>
      <c r="H2710" s="456"/>
    </row>
    <row r="2711" spans="1:8" ht="13.5" customHeight="1">
      <c r="A2711" s="471">
        <v>9707</v>
      </c>
      <c r="B2711" s="457"/>
      <c r="C2711" s="456"/>
      <c r="D2711" s="456">
        <f>IF(Table11[[#This Row],[Current Age]]&gt;19,"Women's",IF(E2711&gt;15,"U19",IF(E2711&gt;13,"U15",IF(E2711&gt;11,"U13",IF(E2711&gt;0,"U11",0)))))</f>
        <v>0</v>
      </c>
      <c r="E2711" s="456">
        <f>IFERROR(IF(Table11[[#This Row],[Year]]&gt;0,$E$1-Table11[[#This Row],[Year]],0),"")</f>
        <v>0</v>
      </c>
      <c r="F2711" s="456"/>
      <c r="G2711" s="456"/>
      <c r="H2711" s="456"/>
    </row>
    <row r="2712" spans="1:8" ht="13.5" customHeight="1">
      <c r="A2712" s="456">
        <v>9708</v>
      </c>
      <c r="B2712" s="540"/>
      <c r="C2712" s="471"/>
      <c r="D2712" s="456">
        <f>IF(Table11[[#This Row],[Current Age]]&gt;19,"Women's",IF(E2712&gt;15,"U19",IF(E2712&gt;13,"U15",IF(E2712&gt;11,"U13",IF(E2712&gt;0,"U11",0)))))</f>
        <v>0</v>
      </c>
      <c r="E2712" s="456">
        <f>IFERROR(IF(Table11[[#This Row],[Year]]&gt;0,$E$1-Table11[[#This Row],[Year]],0),"")</f>
        <v>0</v>
      </c>
      <c r="F2712" s="456"/>
      <c r="G2712" s="456"/>
      <c r="H2712" s="456"/>
    </row>
    <row r="2713" spans="1:8" ht="13.5" customHeight="1">
      <c r="A2713" s="471">
        <v>9709</v>
      </c>
      <c r="B2713" s="457"/>
      <c r="C2713" s="456"/>
      <c r="D2713" s="456">
        <f>IF(Table11[[#This Row],[Current Age]]&gt;19,"Women's",IF(E2713&gt;15,"U19",IF(E2713&gt;13,"U15",IF(E2713&gt;11,"U13",IF(E2713&gt;0,"U11",0)))))</f>
        <v>0</v>
      </c>
      <c r="E2713" s="456">
        <f>IFERROR(IF(Table11[[#This Row],[Year]]&gt;0,$E$1-Table11[[#This Row],[Year]],0),"")</f>
        <v>0</v>
      </c>
      <c r="F2713" s="456"/>
      <c r="G2713" s="456"/>
      <c r="H2713" s="456"/>
    </row>
    <row r="2714" spans="1:8" ht="13.5" customHeight="1">
      <c r="A2714" s="456">
        <v>9710</v>
      </c>
      <c r="B2714" s="540"/>
      <c r="C2714" s="471"/>
      <c r="D2714" s="456">
        <f>IF(Table11[[#This Row],[Current Age]]&gt;19,"Women's",IF(E2714&gt;15,"U19",IF(E2714&gt;13,"U15",IF(E2714&gt;11,"U13",IF(E2714&gt;0,"U11",0)))))</f>
        <v>0</v>
      </c>
      <c r="E2714" s="456">
        <f>IFERROR(IF(Table11[[#This Row],[Year]]&gt;0,$E$1-Table11[[#This Row],[Year]],0),"")</f>
        <v>0</v>
      </c>
      <c r="F2714" s="456"/>
      <c r="G2714" s="456"/>
      <c r="H2714" s="456"/>
    </row>
    <row r="2715" spans="1:8" ht="13.5" customHeight="1">
      <c r="A2715" s="471">
        <v>9711</v>
      </c>
      <c r="B2715" s="457"/>
      <c r="C2715" s="456"/>
      <c r="D2715" s="456">
        <f>IF(Table11[[#This Row],[Current Age]]&gt;19,"Women's",IF(E2715&gt;15,"U19",IF(E2715&gt;13,"U15",IF(E2715&gt;11,"U13",IF(E2715&gt;0,"U11",0)))))</f>
        <v>0</v>
      </c>
      <c r="E2715" s="456">
        <f>IFERROR(IF(Table11[[#This Row],[Year]]&gt;0,$E$1-Table11[[#This Row],[Year]],0),"")</f>
        <v>0</v>
      </c>
      <c r="F2715" s="456"/>
      <c r="G2715" s="456"/>
      <c r="H2715" s="456"/>
    </row>
    <row r="2716" spans="1:8" ht="13.5" customHeight="1">
      <c r="A2716" s="456">
        <v>9712</v>
      </c>
      <c r="B2716" s="540"/>
      <c r="C2716" s="471"/>
      <c r="D2716" s="456">
        <f>IF(Table11[[#This Row],[Current Age]]&gt;19,"Women's",IF(E2716&gt;15,"U19",IF(E2716&gt;13,"U15",IF(E2716&gt;11,"U13",IF(E2716&gt;0,"U11",0)))))</f>
        <v>0</v>
      </c>
      <c r="E2716" s="456">
        <f>IFERROR(IF(Table11[[#This Row],[Year]]&gt;0,$E$1-Table11[[#This Row],[Year]],0),"")</f>
        <v>0</v>
      </c>
      <c r="F2716" s="456"/>
      <c r="G2716" s="456"/>
      <c r="H2716" s="456"/>
    </row>
    <row r="2717" spans="1:8" ht="13.5" customHeight="1">
      <c r="A2717" s="471">
        <v>9713</v>
      </c>
      <c r="B2717" s="457"/>
      <c r="C2717" s="456"/>
      <c r="D2717" s="456">
        <f>IF(Table11[[#This Row],[Current Age]]&gt;19,"Women's",IF(E2717&gt;15,"U19",IF(E2717&gt;13,"U15",IF(E2717&gt;11,"U13",IF(E2717&gt;0,"U11",0)))))</f>
        <v>0</v>
      </c>
      <c r="E2717" s="456">
        <f>IFERROR(IF(Table11[[#This Row],[Year]]&gt;0,$E$1-Table11[[#This Row],[Year]],0),"")</f>
        <v>0</v>
      </c>
      <c r="F2717" s="456"/>
      <c r="G2717" s="456"/>
      <c r="H2717" s="456"/>
    </row>
    <row r="2718" spans="1:8" ht="13.5" customHeight="1">
      <c r="A2718" s="456">
        <v>9714</v>
      </c>
      <c r="B2718" s="540"/>
      <c r="C2718" s="471"/>
      <c r="D2718" s="456">
        <f>IF(Table11[[#This Row],[Current Age]]&gt;19,"Women's",IF(E2718&gt;15,"U19",IF(E2718&gt;13,"U15",IF(E2718&gt;11,"U13",IF(E2718&gt;0,"U11",0)))))</f>
        <v>0</v>
      </c>
      <c r="E2718" s="456">
        <f>IFERROR(IF(Table11[[#This Row],[Year]]&gt;0,$E$1-Table11[[#This Row],[Year]],0),"")</f>
        <v>0</v>
      </c>
      <c r="F2718" s="456"/>
      <c r="G2718" s="456"/>
      <c r="H2718" s="456"/>
    </row>
    <row r="2719" spans="1:8" ht="13.5" customHeight="1">
      <c r="A2719" s="471">
        <v>9715</v>
      </c>
      <c r="B2719" s="457"/>
      <c r="C2719" s="456"/>
      <c r="D2719" s="456">
        <f>IF(Table11[[#This Row],[Current Age]]&gt;19,"Women's",IF(E2719&gt;15,"U19",IF(E2719&gt;13,"U15",IF(E2719&gt;11,"U13",IF(E2719&gt;0,"U11",0)))))</f>
        <v>0</v>
      </c>
      <c r="E2719" s="456">
        <f>IFERROR(IF(Table11[[#This Row],[Year]]&gt;0,$E$1-Table11[[#This Row],[Year]],0),"")</f>
        <v>0</v>
      </c>
      <c r="F2719" s="456"/>
      <c r="G2719" s="456"/>
      <c r="H2719" s="456"/>
    </row>
    <row r="2720" spans="1:8" ht="13.5" customHeight="1">
      <c r="A2720" s="456">
        <v>9716</v>
      </c>
      <c r="B2720" s="540"/>
      <c r="C2720" s="471"/>
      <c r="D2720" s="456">
        <f>IF(Table11[[#This Row],[Current Age]]&gt;19,"Women's",IF(E2720&gt;15,"U19",IF(E2720&gt;13,"U15",IF(E2720&gt;11,"U13",IF(E2720&gt;0,"U11",0)))))</f>
        <v>0</v>
      </c>
      <c r="E2720" s="456">
        <f>IFERROR(IF(Table11[[#This Row],[Year]]&gt;0,$E$1-Table11[[#This Row],[Year]],0),"")</f>
        <v>0</v>
      </c>
      <c r="F2720" s="456"/>
      <c r="G2720" s="456"/>
      <c r="H2720" s="456"/>
    </row>
    <row r="2721" spans="1:8" ht="13.5" customHeight="1">
      <c r="A2721" s="471">
        <v>9717</v>
      </c>
      <c r="B2721" s="457"/>
      <c r="C2721" s="456"/>
      <c r="D2721" s="456">
        <f>IF(Table11[[#This Row],[Current Age]]&gt;19,"Women's",IF(E2721&gt;15,"U19",IF(E2721&gt;13,"U15",IF(E2721&gt;11,"U13",IF(E2721&gt;0,"U11",0)))))</f>
        <v>0</v>
      </c>
      <c r="E2721" s="456">
        <f>IFERROR(IF(Table11[[#This Row],[Year]]&gt;0,$E$1-Table11[[#This Row],[Year]],0),"")</f>
        <v>0</v>
      </c>
      <c r="F2721" s="456"/>
      <c r="G2721" s="456"/>
      <c r="H2721" s="456"/>
    </row>
    <row r="2722" spans="1:8" ht="13.5" customHeight="1">
      <c r="A2722" s="456">
        <v>9718</v>
      </c>
      <c r="B2722" s="540"/>
      <c r="C2722" s="471"/>
      <c r="D2722" s="456">
        <f>IF(Table11[[#This Row],[Current Age]]&gt;19,"Women's",IF(E2722&gt;15,"U19",IF(E2722&gt;13,"U15",IF(E2722&gt;11,"U13",IF(E2722&gt;0,"U11",0)))))</f>
        <v>0</v>
      </c>
      <c r="E2722" s="456">
        <f>IFERROR(IF(Table11[[#This Row],[Year]]&gt;0,$E$1-Table11[[#This Row],[Year]],0),"")</f>
        <v>0</v>
      </c>
      <c r="F2722" s="456"/>
      <c r="G2722" s="456"/>
      <c r="H2722" s="456"/>
    </row>
    <row r="2723" spans="1:8" ht="13.5" customHeight="1">
      <c r="A2723" s="471">
        <v>9719</v>
      </c>
      <c r="B2723" s="457"/>
      <c r="C2723" s="456"/>
      <c r="D2723" s="456">
        <f>IF(Table11[[#This Row],[Current Age]]&gt;19,"Women's",IF(E2723&gt;15,"U19",IF(E2723&gt;13,"U15",IF(E2723&gt;11,"U13",IF(E2723&gt;0,"U11",0)))))</f>
        <v>0</v>
      </c>
      <c r="E2723" s="456">
        <f>IFERROR(IF(Table11[[#This Row],[Year]]&gt;0,$E$1-Table11[[#This Row],[Year]],0),"")</f>
        <v>0</v>
      </c>
      <c r="F2723" s="456"/>
      <c r="G2723" s="456"/>
      <c r="H2723" s="456"/>
    </row>
    <row r="2724" spans="1:8" ht="13.5" customHeight="1">
      <c r="A2724" s="456">
        <v>9720</v>
      </c>
      <c r="B2724" s="540"/>
      <c r="C2724" s="471"/>
      <c r="D2724" s="456">
        <f>IF(Table11[[#This Row],[Current Age]]&gt;19,"Women's",IF(E2724&gt;15,"U19",IF(E2724&gt;13,"U15",IF(E2724&gt;11,"U13",IF(E2724&gt;0,"U11",0)))))</f>
        <v>0</v>
      </c>
      <c r="E2724" s="456">
        <f>IFERROR(IF(Table11[[#This Row],[Year]]&gt;0,$E$1-Table11[[#This Row],[Year]],0),"")</f>
        <v>0</v>
      </c>
      <c r="F2724" s="456"/>
      <c r="G2724" s="456"/>
      <c r="H2724" s="456"/>
    </row>
    <row r="2725" spans="1:8" ht="13.5" customHeight="1">
      <c r="A2725" s="471">
        <v>9721</v>
      </c>
      <c r="B2725" s="457"/>
      <c r="C2725" s="456"/>
      <c r="D2725" s="456">
        <f>IF(Table11[[#This Row],[Current Age]]&gt;19,"Women's",IF(E2725&gt;15,"U19",IF(E2725&gt;13,"U15",IF(E2725&gt;11,"U13",IF(E2725&gt;0,"U11",0)))))</f>
        <v>0</v>
      </c>
      <c r="E2725" s="456">
        <f>IFERROR(IF(Table11[[#This Row],[Year]]&gt;0,$E$1-Table11[[#This Row],[Year]],0),"")</f>
        <v>0</v>
      </c>
      <c r="F2725" s="456"/>
      <c r="G2725" s="456"/>
      <c r="H2725" s="456"/>
    </row>
    <row r="2726" spans="1:8" ht="13.5" customHeight="1">
      <c r="A2726" s="456">
        <v>9722</v>
      </c>
      <c r="B2726" s="540"/>
      <c r="C2726" s="471"/>
      <c r="D2726" s="456">
        <f>IF(Table11[[#This Row],[Current Age]]&gt;19,"Women's",IF(E2726&gt;15,"U19",IF(E2726&gt;13,"U15",IF(E2726&gt;11,"U13",IF(E2726&gt;0,"U11",0)))))</f>
        <v>0</v>
      </c>
      <c r="E2726" s="456">
        <f>IFERROR(IF(Table11[[#This Row],[Year]]&gt;0,$E$1-Table11[[#This Row],[Year]],0),"")</f>
        <v>0</v>
      </c>
      <c r="F2726" s="456"/>
      <c r="G2726" s="456"/>
      <c r="H2726" s="456"/>
    </row>
    <row r="2727" spans="1:8" ht="13.5" customHeight="1">
      <c r="A2727" s="471">
        <v>9723</v>
      </c>
      <c r="B2727" s="457"/>
      <c r="C2727" s="456"/>
      <c r="D2727" s="456">
        <f>IF(Table11[[#This Row],[Current Age]]&gt;19,"Women's",IF(E2727&gt;15,"U19",IF(E2727&gt;13,"U15",IF(E2727&gt;11,"U13",IF(E2727&gt;0,"U11",0)))))</f>
        <v>0</v>
      </c>
      <c r="E2727" s="456">
        <f>IFERROR(IF(Table11[[#This Row],[Year]]&gt;0,$E$1-Table11[[#This Row],[Year]],0),"")</f>
        <v>0</v>
      </c>
      <c r="F2727" s="456"/>
      <c r="G2727" s="456"/>
      <c r="H2727" s="456"/>
    </row>
    <row r="2728" spans="1:8" ht="13.5" customHeight="1">
      <c r="A2728" s="456">
        <v>9724</v>
      </c>
      <c r="B2728" s="540"/>
      <c r="C2728" s="471"/>
      <c r="D2728" s="456">
        <f>IF(Table11[[#This Row],[Current Age]]&gt;19,"Women's",IF(E2728&gt;15,"U19",IF(E2728&gt;13,"U15",IF(E2728&gt;11,"U13",IF(E2728&gt;0,"U11",0)))))</f>
        <v>0</v>
      </c>
      <c r="E2728" s="456">
        <f>IFERROR(IF(Table11[[#This Row],[Year]]&gt;0,$E$1-Table11[[#This Row],[Year]],0),"")</f>
        <v>0</v>
      </c>
      <c r="F2728" s="456"/>
      <c r="G2728" s="456"/>
      <c r="H2728" s="456"/>
    </row>
    <row r="2729" spans="1:8" ht="13.5" customHeight="1">
      <c r="A2729" s="471">
        <v>9725</v>
      </c>
      <c r="B2729" s="457"/>
      <c r="C2729" s="456"/>
      <c r="D2729" s="456">
        <f>IF(Table11[[#This Row],[Current Age]]&gt;19,"Women's",IF(E2729&gt;15,"U19",IF(E2729&gt;13,"U15",IF(E2729&gt;11,"U13",IF(E2729&gt;0,"U11",0)))))</f>
        <v>0</v>
      </c>
      <c r="E2729" s="456">
        <f>IFERROR(IF(Table11[[#This Row],[Year]]&gt;0,$E$1-Table11[[#This Row],[Year]],0),"")</f>
        <v>0</v>
      </c>
      <c r="F2729" s="456"/>
      <c r="G2729" s="456"/>
      <c r="H2729" s="456"/>
    </row>
    <row r="2730" spans="1:8" ht="13.5" customHeight="1">
      <c r="A2730" s="456">
        <v>9726</v>
      </c>
      <c r="B2730" s="540"/>
      <c r="C2730" s="471"/>
      <c r="D2730" s="456">
        <f>IF(Table11[[#This Row],[Current Age]]&gt;19,"Women's",IF(E2730&gt;15,"U19",IF(E2730&gt;13,"U15",IF(E2730&gt;11,"U13",IF(E2730&gt;0,"U11",0)))))</f>
        <v>0</v>
      </c>
      <c r="E2730" s="456">
        <f>IFERROR(IF(Table11[[#This Row],[Year]]&gt;0,$E$1-Table11[[#This Row],[Year]],0),"")</f>
        <v>0</v>
      </c>
      <c r="F2730" s="456"/>
      <c r="G2730" s="456"/>
      <c r="H2730" s="456"/>
    </row>
    <row r="2731" spans="1:8" ht="13.5" customHeight="1">
      <c r="A2731" s="471">
        <v>9727</v>
      </c>
      <c r="B2731" s="457"/>
      <c r="C2731" s="456"/>
      <c r="D2731" s="456">
        <f>IF(Table11[[#This Row],[Current Age]]&gt;19,"Women's",IF(E2731&gt;15,"U19",IF(E2731&gt;13,"U15",IF(E2731&gt;11,"U13",IF(E2731&gt;0,"U11",0)))))</f>
        <v>0</v>
      </c>
      <c r="E2731" s="456">
        <f>IFERROR(IF(Table11[[#This Row],[Year]]&gt;0,$E$1-Table11[[#This Row],[Year]],0),"")</f>
        <v>0</v>
      </c>
      <c r="F2731" s="456"/>
      <c r="G2731" s="456"/>
      <c r="H2731" s="456"/>
    </row>
    <row r="2732" spans="1:8" ht="13.5" customHeight="1">
      <c r="A2732" s="456">
        <v>9728</v>
      </c>
      <c r="B2732" s="540"/>
      <c r="C2732" s="471"/>
      <c r="D2732" s="456">
        <f>IF(Table11[[#This Row],[Current Age]]&gt;19,"Women's",IF(E2732&gt;15,"U19",IF(E2732&gt;13,"U15",IF(E2732&gt;11,"U13",IF(E2732&gt;0,"U11",0)))))</f>
        <v>0</v>
      </c>
      <c r="E2732" s="456">
        <f>IFERROR(IF(Table11[[#This Row],[Year]]&gt;0,$E$1-Table11[[#This Row],[Year]],0),"")</f>
        <v>0</v>
      </c>
      <c r="F2732" s="456"/>
      <c r="G2732" s="456"/>
      <c r="H2732" s="456"/>
    </row>
    <row r="2733" spans="1:8" ht="13.5" customHeight="1">
      <c r="A2733" s="471">
        <v>9729</v>
      </c>
      <c r="B2733" s="457"/>
      <c r="C2733" s="456"/>
      <c r="D2733" s="456">
        <f>IF(Table11[[#This Row],[Current Age]]&gt;19,"Women's",IF(E2733&gt;15,"U19",IF(E2733&gt;13,"U15",IF(E2733&gt;11,"U13",IF(E2733&gt;0,"U11",0)))))</f>
        <v>0</v>
      </c>
      <c r="E2733" s="456">
        <f>IFERROR(IF(Table11[[#This Row],[Year]]&gt;0,$E$1-Table11[[#This Row],[Year]],0),"")</f>
        <v>0</v>
      </c>
      <c r="F2733" s="456"/>
      <c r="G2733" s="456"/>
      <c r="H2733" s="456"/>
    </row>
    <row r="2734" spans="1:8" ht="13.5" customHeight="1">
      <c r="A2734" s="456">
        <v>9730</v>
      </c>
      <c r="B2734" s="540"/>
      <c r="C2734" s="471"/>
      <c r="D2734" s="456">
        <f>IF(Table11[[#This Row],[Current Age]]&gt;19,"Women's",IF(E2734&gt;15,"U19",IF(E2734&gt;13,"U15",IF(E2734&gt;11,"U13",IF(E2734&gt;0,"U11",0)))))</f>
        <v>0</v>
      </c>
      <c r="E2734" s="456">
        <f>IFERROR(IF(Table11[[#This Row],[Year]]&gt;0,$E$1-Table11[[#This Row],[Year]],0),"")</f>
        <v>0</v>
      </c>
      <c r="F2734" s="456"/>
      <c r="G2734" s="456"/>
      <c r="H2734" s="456"/>
    </row>
    <row r="2735" spans="1:8" ht="13.5" customHeight="1">
      <c r="A2735" s="471">
        <v>9731</v>
      </c>
      <c r="B2735" s="457"/>
      <c r="C2735" s="456"/>
      <c r="D2735" s="456">
        <f>IF(Table11[[#This Row],[Current Age]]&gt;19,"Women's",IF(E2735&gt;15,"U19",IF(E2735&gt;13,"U15",IF(E2735&gt;11,"U13",IF(E2735&gt;0,"U11",0)))))</f>
        <v>0</v>
      </c>
      <c r="E2735" s="456">
        <f>IFERROR(IF(Table11[[#This Row],[Year]]&gt;0,$E$1-Table11[[#This Row],[Year]],0),"")</f>
        <v>0</v>
      </c>
      <c r="F2735" s="456"/>
      <c r="G2735" s="456"/>
      <c r="H2735" s="456"/>
    </row>
    <row r="2736" spans="1:8" ht="13.5" customHeight="1">
      <c r="A2736" s="456">
        <v>9732</v>
      </c>
      <c r="B2736" s="540"/>
      <c r="C2736" s="471"/>
      <c r="D2736" s="456">
        <f>IF(Table11[[#This Row],[Current Age]]&gt;19,"Women's",IF(E2736&gt;15,"U19",IF(E2736&gt;13,"U15",IF(E2736&gt;11,"U13",IF(E2736&gt;0,"U11",0)))))</f>
        <v>0</v>
      </c>
      <c r="E2736" s="456">
        <f>IFERROR(IF(Table11[[#This Row],[Year]]&gt;0,$E$1-Table11[[#This Row],[Year]],0),"")</f>
        <v>0</v>
      </c>
      <c r="F2736" s="456"/>
      <c r="G2736" s="456"/>
      <c r="H2736" s="456"/>
    </row>
    <row r="2737" spans="1:8" ht="13.5" customHeight="1">
      <c r="A2737" s="471">
        <v>9733</v>
      </c>
      <c r="B2737" s="457"/>
      <c r="C2737" s="456"/>
      <c r="D2737" s="456">
        <f>IF(Table11[[#This Row],[Current Age]]&gt;19,"Women's",IF(E2737&gt;15,"U19",IF(E2737&gt;13,"U15",IF(E2737&gt;11,"U13",IF(E2737&gt;0,"U11",0)))))</f>
        <v>0</v>
      </c>
      <c r="E2737" s="456">
        <f>IFERROR(IF(Table11[[#This Row],[Year]]&gt;0,$E$1-Table11[[#This Row],[Year]],0),"")</f>
        <v>0</v>
      </c>
      <c r="F2737" s="456"/>
      <c r="G2737" s="456"/>
      <c r="H2737" s="456"/>
    </row>
    <row r="2738" spans="1:8" ht="13.5" customHeight="1">
      <c r="A2738" s="456">
        <v>9734</v>
      </c>
      <c r="B2738" s="540"/>
      <c r="C2738" s="471"/>
      <c r="D2738" s="456">
        <f>IF(Table11[[#This Row],[Current Age]]&gt;19,"Women's",IF(E2738&gt;15,"U19",IF(E2738&gt;13,"U15",IF(E2738&gt;11,"U13",IF(E2738&gt;0,"U11",0)))))</f>
        <v>0</v>
      </c>
      <c r="E2738" s="456">
        <f>IFERROR(IF(Table11[[#This Row],[Year]]&gt;0,$E$1-Table11[[#This Row],[Year]],0),"")</f>
        <v>0</v>
      </c>
      <c r="F2738" s="456"/>
      <c r="G2738" s="456"/>
      <c r="H2738" s="456"/>
    </row>
    <row r="2739" spans="1:8" ht="13.5" customHeight="1">
      <c r="A2739" s="471">
        <v>9735</v>
      </c>
      <c r="B2739" s="457"/>
      <c r="C2739" s="456"/>
      <c r="D2739" s="456">
        <f>IF(Table11[[#This Row],[Current Age]]&gt;19,"Women's",IF(E2739&gt;15,"U19",IF(E2739&gt;13,"U15",IF(E2739&gt;11,"U13",IF(E2739&gt;0,"U11",0)))))</f>
        <v>0</v>
      </c>
      <c r="E2739" s="456">
        <f>IFERROR(IF(Table11[[#This Row],[Year]]&gt;0,$E$1-Table11[[#This Row],[Year]],0),"")</f>
        <v>0</v>
      </c>
      <c r="F2739" s="456"/>
      <c r="G2739" s="456"/>
      <c r="H2739" s="456"/>
    </row>
    <row r="2740" spans="1:8" ht="13.5" customHeight="1">
      <c r="A2740" s="456">
        <v>9736</v>
      </c>
      <c r="B2740" s="540"/>
      <c r="C2740" s="471"/>
      <c r="D2740" s="456">
        <f>IF(Table11[[#This Row],[Current Age]]&gt;19,"Women's",IF(E2740&gt;15,"U19",IF(E2740&gt;13,"U15",IF(E2740&gt;11,"U13",IF(E2740&gt;0,"U11",0)))))</f>
        <v>0</v>
      </c>
      <c r="E2740" s="456">
        <f>IFERROR(IF(Table11[[#This Row],[Year]]&gt;0,$E$1-Table11[[#This Row],[Year]],0),"")</f>
        <v>0</v>
      </c>
      <c r="F2740" s="456"/>
      <c r="G2740" s="456"/>
      <c r="H2740" s="456"/>
    </row>
    <row r="2741" spans="1:8" ht="13.5" customHeight="1">
      <c r="A2741" s="471">
        <v>9737</v>
      </c>
      <c r="B2741" s="457"/>
      <c r="C2741" s="456"/>
      <c r="D2741" s="456">
        <f>IF(Table11[[#This Row],[Current Age]]&gt;19,"Women's",IF(E2741&gt;15,"U19",IF(E2741&gt;13,"U15",IF(E2741&gt;11,"U13",IF(E2741&gt;0,"U11",0)))))</f>
        <v>0</v>
      </c>
      <c r="E2741" s="456">
        <f>IFERROR(IF(Table11[[#This Row],[Year]]&gt;0,$E$1-Table11[[#This Row],[Year]],0),"")</f>
        <v>0</v>
      </c>
      <c r="F2741" s="456"/>
      <c r="G2741" s="456"/>
      <c r="H2741" s="456"/>
    </row>
    <row r="2742" spans="1:8" ht="13.5" customHeight="1">
      <c r="A2742" s="456">
        <v>9738</v>
      </c>
      <c r="B2742" s="540"/>
      <c r="C2742" s="471"/>
      <c r="D2742" s="456">
        <f>IF(Table11[[#This Row],[Current Age]]&gt;19,"Women's",IF(E2742&gt;15,"U19",IF(E2742&gt;13,"U15",IF(E2742&gt;11,"U13",IF(E2742&gt;0,"U11",0)))))</f>
        <v>0</v>
      </c>
      <c r="E2742" s="456">
        <f>IFERROR(IF(Table11[[#This Row],[Year]]&gt;0,$E$1-Table11[[#This Row],[Year]],0),"")</f>
        <v>0</v>
      </c>
      <c r="F2742" s="456"/>
      <c r="G2742" s="456"/>
      <c r="H2742" s="456"/>
    </row>
    <row r="2743" spans="1:8" ht="13.5" customHeight="1">
      <c r="A2743" s="471">
        <v>9739</v>
      </c>
      <c r="B2743" s="457"/>
      <c r="C2743" s="456"/>
      <c r="D2743" s="456">
        <f>IF(Table11[[#This Row],[Current Age]]&gt;19,"Women's",IF(E2743&gt;15,"U19",IF(E2743&gt;13,"U15",IF(E2743&gt;11,"U13",IF(E2743&gt;0,"U11",0)))))</f>
        <v>0</v>
      </c>
      <c r="E2743" s="456">
        <f>IFERROR(IF(Table11[[#This Row],[Year]]&gt;0,$E$1-Table11[[#This Row],[Year]],0),"")</f>
        <v>0</v>
      </c>
      <c r="F2743" s="456"/>
      <c r="G2743" s="456"/>
      <c r="H2743" s="456"/>
    </row>
    <row r="2744" spans="1:8" ht="13.5" customHeight="1">
      <c r="A2744" s="456">
        <v>9740</v>
      </c>
      <c r="B2744" s="540"/>
      <c r="C2744" s="471"/>
      <c r="D2744" s="456">
        <f>IF(Table11[[#This Row],[Current Age]]&gt;19,"Women's",IF(E2744&gt;15,"U19",IF(E2744&gt;13,"U15",IF(E2744&gt;11,"U13",IF(E2744&gt;0,"U11",0)))))</f>
        <v>0</v>
      </c>
      <c r="E2744" s="456">
        <f>IFERROR(IF(Table11[[#This Row],[Year]]&gt;0,$E$1-Table11[[#This Row],[Year]],0),"")</f>
        <v>0</v>
      </c>
      <c r="F2744" s="456"/>
      <c r="G2744" s="456"/>
      <c r="H2744" s="456"/>
    </row>
    <row r="2745" spans="1:8" ht="13.5" customHeight="1">
      <c r="A2745" s="471">
        <v>9741</v>
      </c>
      <c r="B2745" s="457"/>
      <c r="C2745" s="456"/>
      <c r="D2745" s="456">
        <f>IF(Table11[[#This Row],[Current Age]]&gt;19,"Women's",IF(E2745&gt;15,"U19",IF(E2745&gt;13,"U15",IF(E2745&gt;11,"U13",IF(E2745&gt;0,"U11",0)))))</f>
        <v>0</v>
      </c>
      <c r="E2745" s="456">
        <f>IFERROR(IF(Table11[[#This Row],[Year]]&gt;0,$E$1-Table11[[#This Row],[Year]],0),"")</f>
        <v>0</v>
      </c>
      <c r="F2745" s="456"/>
      <c r="G2745" s="456"/>
      <c r="H2745" s="456"/>
    </row>
    <row r="2746" spans="1:8" ht="13.5" customHeight="1">
      <c r="A2746" s="456">
        <v>9742</v>
      </c>
      <c r="B2746" s="540"/>
      <c r="C2746" s="471"/>
      <c r="D2746" s="456">
        <f>IF(Table11[[#This Row],[Current Age]]&gt;19,"Women's",IF(E2746&gt;15,"U19",IF(E2746&gt;13,"U15",IF(E2746&gt;11,"U13",IF(E2746&gt;0,"U11",0)))))</f>
        <v>0</v>
      </c>
      <c r="E2746" s="456">
        <f>IFERROR(IF(Table11[[#This Row],[Year]]&gt;0,$E$1-Table11[[#This Row],[Year]],0),"")</f>
        <v>0</v>
      </c>
      <c r="F2746" s="456"/>
      <c r="G2746" s="456"/>
      <c r="H2746" s="456"/>
    </row>
    <row r="2747" spans="1:8" ht="13.5" customHeight="1">
      <c r="A2747" s="471">
        <v>9743</v>
      </c>
      <c r="B2747" s="457"/>
      <c r="C2747" s="456"/>
      <c r="D2747" s="456">
        <f>IF(Table11[[#This Row],[Current Age]]&gt;19,"Women's",IF(E2747&gt;15,"U19",IF(E2747&gt;13,"U15",IF(E2747&gt;11,"U13",IF(E2747&gt;0,"U11",0)))))</f>
        <v>0</v>
      </c>
      <c r="E2747" s="456">
        <f>IFERROR(IF(Table11[[#This Row],[Year]]&gt;0,$E$1-Table11[[#This Row],[Year]],0),"")</f>
        <v>0</v>
      </c>
      <c r="F2747" s="456"/>
      <c r="G2747" s="456"/>
      <c r="H2747" s="456"/>
    </row>
    <row r="2748" spans="1:8" ht="13.5" customHeight="1">
      <c r="A2748" s="456">
        <v>9744</v>
      </c>
      <c r="B2748" s="540"/>
      <c r="C2748" s="471"/>
      <c r="D2748" s="456">
        <f>IF(Table11[[#This Row],[Current Age]]&gt;19,"Women's",IF(E2748&gt;15,"U19",IF(E2748&gt;13,"U15",IF(E2748&gt;11,"U13",IF(E2748&gt;0,"U11",0)))))</f>
        <v>0</v>
      </c>
      <c r="E2748" s="456">
        <f>IFERROR(IF(Table11[[#This Row],[Year]]&gt;0,$E$1-Table11[[#This Row],[Year]],0),"")</f>
        <v>0</v>
      </c>
      <c r="F2748" s="456"/>
      <c r="G2748" s="456"/>
      <c r="H2748" s="456"/>
    </row>
    <row r="2749" spans="1:8" ht="13.5" customHeight="1">
      <c r="A2749" s="471">
        <v>9745</v>
      </c>
      <c r="B2749" s="457"/>
      <c r="C2749" s="456"/>
      <c r="D2749" s="456">
        <f>IF(Table11[[#This Row],[Current Age]]&gt;19,"Women's",IF(E2749&gt;15,"U19",IF(E2749&gt;13,"U15",IF(E2749&gt;11,"U13",IF(E2749&gt;0,"U11",0)))))</f>
        <v>0</v>
      </c>
      <c r="E2749" s="456">
        <f>IFERROR(IF(Table11[[#This Row],[Year]]&gt;0,$E$1-Table11[[#This Row],[Year]],0),"")</f>
        <v>0</v>
      </c>
      <c r="F2749" s="456"/>
      <c r="G2749" s="456"/>
      <c r="H2749" s="456"/>
    </row>
    <row r="2750" spans="1:8" ht="13.5" customHeight="1">
      <c r="A2750" s="456">
        <v>9746</v>
      </c>
      <c r="B2750" s="540"/>
      <c r="C2750" s="471"/>
      <c r="D2750" s="456">
        <f>IF(Table11[[#This Row],[Current Age]]&gt;19,"Women's",IF(E2750&gt;15,"U19",IF(E2750&gt;13,"U15",IF(E2750&gt;11,"U13",IF(E2750&gt;0,"U11",0)))))</f>
        <v>0</v>
      </c>
      <c r="E2750" s="456">
        <f>IFERROR(IF(Table11[[#This Row],[Year]]&gt;0,$E$1-Table11[[#This Row],[Year]],0),"")</f>
        <v>0</v>
      </c>
      <c r="F2750" s="456"/>
      <c r="G2750" s="456"/>
      <c r="H2750" s="456"/>
    </row>
    <row r="2751" spans="1:8" ht="13.5" customHeight="1">
      <c r="A2751" s="471">
        <v>9747</v>
      </c>
      <c r="B2751" s="457"/>
      <c r="C2751" s="456"/>
      <c r="D2751" s="456">
        <f>IF(Table11[[#This Row],[Current Age]]&gt;19,"Women's",IF(E2751&gt;15,"U19",IF(E2751&gt;13,"U15",IF(E2751&gt;11,"U13",IF(E2751&gt;0,"U11",0)))))</f>
        <v>0</v>
      </c>
      <c r="E2751" s="456">
        <f>IFERROR(IF(Table11[[#This Row],[Year]]&gt;0,$E$1-Table11[[#This Row],[Year]],0),"")</f>
        <v>0</v>
      </c>
      <c r="F2751" s="456"/>
      <c r="G2751" s="456"/>
      <c r="H2751" s="456"/>
    </row>
    <row r="2752" spans="1:8" ht="13.5" customHeight="1">
      <c r="A2752" s="456">
        <v>9748</v>
      </c>
      <c r="B2752" s="540"/>
      <c r="C2752" s="471"/>
      <c r="D2752" s="456">
        <f>IF(Table11[[#This Row],[Current Age]]&gt;19,"Women's",IF(E2752&gt;15,"U19",IF(E2752&gt;13,"U15",IF(E2752&gt;11,"U13",IF(E2752&gt;0,"U11",0)))))</f>
        <v>0</v>
      </c>
      <c r="E2752" s="456">
        <f>IFERROR(IF(Table11[[#This Row],[Year]]&gt;0,$E$1-Table11[[#This Row],[Year]],0),"")</f>
        <v>0</v>
      </c>
      <c r="F2752" s="456"/>
      <c r="G2752" s="456"/>
      <c r="H2752" s="456"/>
    </row>
    <row r="2753" spans="1:8" ht="13.5" customHeight="1">
      <c r="A2753" s="471">
        <v>9749</v>
      </c>
      <c r="B2753" s="457"/>
      <c r="C2753" s="456"/>
      <c r="D2753" s="456">
        <f>IF(Table11[[#This Row],[Current Age]]&gt;19,"Women's",IF(E2753&gt;15,"U19",IF(E2753&gt;13,"U15",IF(E2753&gt;11,"U13",IF(E2753&gt;0,"U11",0)))))</f>
        <v>0</v>
      </c>
      <c r="E2753" s="456">
        <f>IFERROR(IF(Table11[[#This Row],[Year]]&gt;0,$E$1-Table11[[#This Row],[Year]],0),"")</f>
        <v>0</v>
      </c>
      <c r="F2753" s="456"/>
      <c r="G2753" s="456"/>
      <c r="H2753" s="456"/>
    </row>
    <row r="2754" spans="1:8" ht="13.5" customHeight="1">
      <c r="A2754" s="456">
        <v>9750</v>
      </c>
      <c r="B2754" s="540"/>
      <c r="C2754" s="471"/>
      <c r="D2754" s="456">
        <f>IF(Table11[[#This Row],[Current Age]]&gt;19,"Women's",IF(E2754&gt;15,"U19",IF(E2754&gt;13,"U15",IF(E2754&gt;11,"U13",IF(E2754&gt;0,"U11",0)))))</f>
        <v>0</v>
      </c>
      <c r="E2754" s="456">
        <f>IFERROR(IF(Table11[[#This Row],[Year]]&gt;0,$E$1-Table11[[#This Row],[Year]],0),"")</f>
        <v>0</v>
      </c>
      <c r="F2754" s="456"/>
      <c r="G2754" s="456"/>
      <c r="H2754" s="456"/>
    </row>
    <row r="2755" spans="1:8" ht="13.5" customHeight="1">
      <c r="A2755" s="471">
        <v>9751</v>
      </c>
      <c r="B2755" s="457"/>
      <c r="C2755" s="456"/>
      <c r="D2755" s="456">
        <f>IF(Table11[[#This Row],[Current Age]]&gt;19,"Women's",IF(E2755&gt;15,"U19",IF(E2755&gt;13,"U15",IF(E2755&gt;11,"U13",IF(E2755&gt;0,"U11",0)))))</f>
        <v>0</v>
      </c>
      <c r="E2755" s="456">
        <f>IFERROR(IF(Table11[[#This Row],[Year]]&gt;0,$E$1-Table11[[#This Row],[Year]],0),"")</f>
        <v>0</v>
      </c>
      <c r="F2755" s="456"/>
      <c r="G2755" s="456"/>
      <c r="H2755" s="456"/>
    </row>
    <row r="2756" spans="1:8" ht="13.5" customHeight="1">
      <c r="A2756" s="456">
        <v>9752</v>
      </c>
      <c r="B2756" s="540"/>
      <c r="C2756" s="471"/>
      <c r="D2756" s="456">
        <f>IF(Table11[[#This Row],[Current Age]]&gt;19,"Women's",IF(E2756&gt;15,"U19",IF(E2756&gt;13,"U15",IF(E2756&gt;11,"U13",IF(E2756&gt;0,"U11",0)))))</f>
        <v>0</v>
      </c>
      <c r="E2756" s="456">
        <f>IFERROR(IF(Table11[[#This Row],[Year]]&gt;0,$E$1-Table11[[#This Row],[Year]],0),"")</f>
        <v>0</v>
      </c>
      <c r="F2756" s="456"/>
      <c r="G2756" s="456"/>
      <c r="H2756" s="456"/>
    </row>
    <row r="2757" spans="1:8" ht="13.5" customHeight="1">
      <c r="A2757" s="471">
        <v>9753</v>
      </c>
      <c r="B2757" s="457"/>
      <c r="C2757" s="456"/>
      <c r="D2757" s="456">
        <f>IF(Table11[[#This Row],[Current Age]]&gt;19,"Women's",IF(E2757&gt;15,"U19",IF(E2757&gt;13,"U15",IF(E2757&gt;11,"U13",IF(E2757&gt;0,"U11",0)))))</f>
        <v>0</v>
      </c>
      <c r="E2757" s="456">
        <f>IFERROR(IF(Table11[[#This Row],[Year]]&gt;0,$E$1-Table11[[#This Row],[Year]],0),"")</f>
        <v>0</v>
      </c>
      <c r="F2757" s="456"/>
      <c r="G2757" s="456"/>
      <c r="H2757" s="456"/>
    </row>
    <row r="2758" spans="1:8" ht="13.5" customHeight="1">
      <c r="A2758" s="456">
        <v>9754</v>
      </c>
      <c r="B2758" s="540"/>
      <c r="C2758" s="471"/>
      <c r="D2758" s="456">
        <f>IF(Table11[[#This Row],[Current Age]]&gt;19,"Women's",IF(E2758&gt;15,"U19",IF(E2758&gt;13,"U15",IF(E2758&gt;11,"U13",IF(E2758&gt;0,"U11",0)))))</f>
        <v>0</v>
      </c>
      <c r="E2758" s="456">
        <f>IFERROR(IF(Table11[[#This Row],[Year]]&gt;0,$E$1-Table11[[#This Row],[Year]],0),"")</f>
        <v>0</v>
      </c>
      <c r="F2758" s="456"/>
      <c r="G2758" s="456"/>
      <c r="H2758" s="456"/>
    </row>
    <row r="2759" spans="1:8" ht="13.5" customHeight="1">
      <c r="A2759" s="471">
        <v>9755</v>
      </c>
      <c r="B2759" s="457"/>
      <c r="C2759" s="456"/>
      <c r="D2759" s="456">
        <f>IF(Table11[[#This Row],[Current Age]]&gt;19,"Women's",IF(E2759&gt;15,"U19",IF(E2759&gt;13,"U15",IF(E2759&gt;11,"U13",IF(E2759&gt;0,"U11",0)))))</f>
        <v>0</v>
      </c>
      <c r="E2759" s="456">
        <f>IFERROR(IF(Table11[[#This Row],[Year]]&gt;0,$E$1-Table11[[#This Row],[Year]],0),"")</f>
        <v>0</v>
      </c>
      <c r="F2759" s="456"/>
      <c r="G2759" s="456"/>
      <c r="H2759" s="456"/>
    </row>
    <row r="2760" spans="1:8" ht="13.5" customHeight="1">
      <c r="A2760" s="456">
        <v>9756</v>
      </c>
      <c r="B2760" s="540"/>
      <c r="C2760" s="471"/>
      <c r="D2760" s="456">
        <f>IF(Table11[[#This Row],[Current Age]]&gt;19,"Women's",IF(E2760&gt;15,"U19",IF(E2760&gt;13,"U15",IF(E2760&gt;11,"U13",IF(E2760&gt;0,"U11",0)))))</f>
        <v>0</v>
      </c>
      <c r="E2760" s="456">
        <f>IFERROR(IF(Table11[[#This Row],[Year]]&gt;0,$E$1-Table11[[#This Row],[Year]],0),"")</f>
        <v>0</v>
      </c>
      <c r="F2760" s="456"/>
      <c r="G2760" s="456"/>
      <c r="H2760" s="456"/>
    </row>
    <row r="2761" spans="1:8" ht="13.5" customHeight="1">
      <c r="A2761" s="471">
        <v>9757</v>
      </c>
      <c r="B2761" s="457"/>
      <c r="C2761" s="456"/>
      <c r="D2761" s="456">
        <f>IF(Table11[[#This Row],[Current Age]]&gt;19,"Women's",IF(E2761&gt;15,"U19",IF(E2761&gt;13,"U15",IF(E2761&gt;11,"U13",IF(E2761&gt;0,"U11",0)))))</f>
        <v>0</v>
      </c>
      <c r="E2761" s="456">
        <f>IFERROR(IF(Table11[[#This Row],[Year]]&gt;0,$E$1-Table11[[#This Row],[Year]],0),"")</f>
        <v>0</v>
      </c>
      <c r="F2761" s="456"/>
      <c r="G2761" s="456"/>
      <c r="H2761" s="456"/>
    </row>
    <row r="2762" spans="1:8" ht="13.5" customHeight="1">
      <c r="A2762" s="456">
        <v>9758</v>
      </c>
      <c r="B2762" s="540"/>
      <c r="C2762" s="471"/>
      <c r="D2762" s="456">
        <f>IF(Table11[[#This Row],[Current Age]]&gt;19,"Women's",IF(E2762&gt;15,"U19",IF(E2762&gt;13,"U15",IF(E2762&gt;11,"U13",IF(E2762&gt;0,"U11",0)))))</f>
        <v>0</v>
      </c>
      <c r="E2762" s="456">
        <f>IFERROR(IF(Table11[[#This Row],[Year]]&gt;0,$E$1-Table11[[#This Row],[Year]],0),"")</f>
        <v>0</v>
      </c>
      <c r="F2762" s="456"/>
      <c r="G2762" s="456"/>
      <c r="H2762" s="456"/>
    </row>
    <row r="2763" spans="1:8" ht="13.5" customHeight="1">
      <c r="A2763" s="471">
        <v>9759</v>
      </c>
      <c r="B2763" s="457"/>
      <c r="C2763" s="456"/>
      <c r="D2763" s="456">
        <f>IF(Table11[[#This Row],[Current Age]]&gt;19,"Women's",IF(E2763&gt;15,"U19",IF(E2763&gt;13,"U15",IF(E2763&gt;11,"U13",IF(E2763&gt;0,"U11",0)))))</f>
        <v>0</v>
      </c>
      <c r="E2763" s="456">
        <f>IFERROR(IF(Table11[[#This Row],[Year]]&gt;0,$E$1-Table11[[#This Row],[Year]],0),"")</f>
        <v>0</v>
      </c>
      <c r="F2763" s="456"/>
      <c r="G2763" s="456"/>
      <c r="H2763" s="456"/>
    </row>
    <row r="2764" spans="1:8" ht="13.5" customHeight="1">
      <c r="A2764" s="456">
        <v>9760</v>
      </c>
      <c r="B2764" s="540"/>
      <c r="C2764" s="471"/>
      <c r="D2764" s="456">
        <f>IF(Table11[[#This Row],[Current Age]]&gt;19,"Women's",IF(E2764&gt;15,"U19",IF(E2764&gt;13,"U15",IF(E2764&gt;11,"U13",IF(E2764&gt;0,"U11",0)))))</f>
        <v>0</v>
      </c>
      <c r="E2764" s="456">
        <f>IFERROR(IF(Table11[[#This Row],[Year]]&gt;0,$E$1-Table11[[#This Row],[Year]],0),"")</f>
        <v>0</v>
      </c>
      <c r="F2764" s="456"/>
      <c r="G2764" s="456"/>
      <c r="H2764" s="456"/>
    </row>
    <row r="2765" spans="1:8" ht="13.5" customHeight="1">
      <c r="A2765" s="471">
        <v>9761</v>
      </c>
      <c r="B2765" s="457"/>
      <c r="C2765" s="456"/>
      <c r="D2765" s="456">
        <f>IF(Table11[[#This Row],[Current Age]]&gt;19,"Women's",IF(E2765&gt;15,"U19",IF(E2765&gt;13,"U15",IF(E2765&gt;11,"U13",IF(E2765&gt;0,"U11",0)))))</f>
        <v>0</v>
      </c>
      <c r="E2765" s="456">
        <f>IFERROR(IF(Table11[[#This Row],[Year]]&gt;0,$E$1-Table11[[#This Row],[Year]],0),"")</f>
        <v>0</v>
      </c>
      <c r="F2765" s="456"/>
      <c r="G2765" s="456"/>
      <c r="H2765" s="456"/>
    </row>
    <row r="2766" spans="1:8" ht="13.5" customHeight="1">
      <c r="A2766" s="456">
        <v>9762</v>
      </c>
      <c r="B2766" s="540"/>
      <c r="C2766" s="471"/>
      <c r="D2766" s="456">
        <f>IF(Table11[[#This Row],[Current Age]]&gt;19,"Women's",IF(E2766&gt;15,"U19",IF(E2766&gt;13,"U15",IF(E2766&gt;11,"U13",IF(E2766&gt;0,"U11",0)))))</f>
        <v>0</v>
      </c>
      <c r="E2766" s="456">
        <f>IFERROR(IF(Table11[[#This Row],[Year]]&gt;0,$E$1-Table11[[#This Row],[Year]],0),"")</f>
        <v>0</v>
      </c>
      <c r="F2766" s="456"/>
      <c r="G2766" s="456"/>
      <c r="H2766" s="456"/>
    </row>
    <row r="2767" spans="1:8" ht="13.5" customHeight="1">
      <c r="A2767" s="471">
        <v>9763</v>
      </c>
      <c r="B2767" s="457"/>
      <c r="C2767" s="456"/>
      <c r="D2767" s="456">
        <f>IF(Table11[[#This Row],[Current Age]]&gt;19,"Women's",IF(E2767&gt;15,"U19",IF(E2767&gt;13,"U15",IF(E2767&gt;11,"U13",IF(E2767&gt;0,"U11",0)))))</f>
        <v>0</v>
      </c>
      <c r="E2767" s="456">
        <f>IFERROR(IF(Table11[[#This Row],[Year]]&gt;0,$E$1-Table11[[#This Row],[Year]],0),"")</f>
        <v>0</v>
      </c>
      <c r="F2767" s="456"/>
      <c r="G2767" s="456"/>
      <c r="H2767" s="456"/>
    </row>
    <row r="2768" spans="1:8" ht="13.5" customHeight="1">
      <c r="A2768" s="456">
        <v>9764</v>
      </c>
      <c r="B2768" s="540"/>
      <c r="C2768" s="471"/>
      <c r="D2768" s="456">
        <f>IF(Table11[[#This Row],[Current Age]]&gt;19,"Women's",IF(E2768&gt;15,"U19",IF(E2768&gt;13,"U15",IF(E2768&gt;11,"U13",IF(E2768&gt;0,"U11",0)))))</f>
        <v>0</v>
      </c>
      <c r="E2768" s="456">
        <f>IFERROR(IF(Table11[[#This Row],[Year]]&gt;0,$E$1-Table11[[#This Row],[Year]],0),"")</f>
        <v>0</v>
      </c>
      <c r="F2768" s="456"/>
      <c r="G2768" s="456"/>
      <c r="H2768" s="456"/>
    </row>
    <row r="2769" spans="1:8" ht="13.5" customHeight="1">
      <c r="A2769" s="471">
        <v>9765</v>
      </c>
      <c r="B2769" s="457"/>
      <c r="C2769" s="456"/>
      <c r="D2769" s="456">
        <f>IF(Table11[[#This Row],[Current Age]]&gt;19,"Women's",IF(E2769&gt;15,"U19",IF(E2769&gt;13,"U15",IF(E2769&gt;11,"U13",IF(E2769&gt;0,"U11",0)))))</f>
        <v>0</v>
      </c>
      <c r="E2769" s="456">
        <f>IFERROR(IF(Table11[[#This Row],[Year]]&gt;0,$E$1-Table11[[#This Row],[Year]],0),"")</f>
        <v>0</v>
      </c>
      <c r="F2769" s="456"/>
      <c r="G2769" s="456"/>
      <c r="H2769" s="456"/>
    </row>
    <row r="2770" spans="1:8" ht="13.5" customHeight="1">
      <c r="A2770" s="456">
        <v>9766</v>
      </c>
      <c r="B2770" s="540"/>
      <c r="C2770" s="471"/>
      <c r="D2770" s="456">
        <f>IF(Table11[[#This Row],[Current Age]]&gt;19,"Women's",IF(E2770&gt;15,"U19",IF(E2770&gt;13,"U15",IF(E2770&gt;11,"U13",IF(E2770&gt;0,"U11",0)))))</f>
        <v>0</v>
      </c>
      <c r="E2770" s="456">
        <f>IFERROR(IF(Table11[[#This Row],[Year]]&gt;0,$E$1-Table11[[#This Row],[Year]],0),"")</f>
        <v>0</v>
      </c>
      <c r="F2770" s="456"/>
      <c r="G2770" s="456"/>
      <c r="H2770" s="456"/>
    </row>
    <row r="2771" spans="1:8" ht="13.5" customHeight="1">
      <c r="A2771" s="471">
        <v>9767</v>
      </c>
      <c r="B2771" s="457"/>
      <c r="C2771" s="456"/>
      <c r="D2771" s="456">
        <f>IF(Table11[[#This Row],[Current Age]]&gt;19,"Women's",IF(E2771&gt;15,"U19",IF(E2771&gt;13,"U15",IF(E2771&gt;11,"U13",IF(E2771&gt;0,"U11",0)))))</f>
        <v>0</v>
      </c>
      <c r="E2771" s="456">
        <f>IFERROR(IF(Table11[[#This Row],[Year]]&gt;0,$E$1-Table11[[#This Row],[Year]],0),"")</f>
        <v>0</v>
      </c>
      <c r="F2771" s="456"/>
      <c r="G2771" s="456"/>
      <c r="H2771" s="456"/>
    </row>
    <row r="2772" spans="1:8" ht="13.5" customHeight="1">
      <c r="A2772" s="456">
        <v>9768</v>
      </c>
      <c r="B2772" s="540"/>
      <c r="C2772" s="471"/>
      <c r="D2772" s="456">
        <f>IF(Table11[[#This Row],[Current Age]]&gt;19,"Women's",IF(E2772&gt;15,"U19",IF(E2772&gt;13,"U15",IF(E2772&gt;11,"U13",IF(E2772&gt;0,"U11",0)))))</f>
        <v>0</v>
      </c>
      <c r="E2772" s="456">
        <f>IFERROR(IF(Table11[[#This Row],[Year]]&gt;0,$E$1-Table11[[#This Row],[Year]],0),"")</f>
        <v>0</v>
      </c>
      <c r="F2772" s="456"/>
      <c r="G2772" s="456"/>
      <c r="H2772" s="456"/>
    </row>
    <row r="2773" spans="1:8" ht="13.5" customHeight="1">
      <c r="A2773" s="471">
        <v>9769</v>
      </c>
      <c r="B2773" s="457"/>
      <c r="C2773" s="456"/>
      <c r="D2773" s="456">
        <f>IF(Table11[[#This Row],[Current Age]]&gt;19,"Women's",IF(E2773&gt;15,"U19",IF(E2773&gt;13,"U15",IF(E2773&gt;11,"U13",IF(E2773&gt;0,"U11",0)))))</f>
        <v>0</v>
      </c>
      <c r="E2773" s="456">
        <f>IFERROR(IF(Table11[[#This Row],[Year]]&gt;0,$E$1-Table11[[#This Row],[Year]],0),"")</f>
        <v>0</v>
      </c>
      <c r="F2773" s="456"/>
      <c r="G2773" s="456"/>
      <c r="H2773" s="456"/>
    </row>
    <row r="2774" spans="1:8" ht="13.5" customHeight="1">
      <c r="A2774" s="456">
        <v>9770</v>
      </c>
      <c r="B2774" s="540"/>
      <c r="C2774" s="471"/>
      <c r="D2774" s="456">
        <f>IF(Table11[[#This Row],[Current Age]]&gt;19,"Women's",IF(E2774&gt;15,"U19",IF(E2774&gt;13,"U15",IF(E2774&gt;11,"U13",IF(E2774&gt;0,"U11",0)))))</f>
        <v>0</v>
      </c>
      <c r="E2774" s="456">
        <f>IFERROR(IF(Table11[[#This Row],[Year]]&gt;0,$E$1-Table11[[#This Row],[Year]],0),"")</f>
        <v>0</v>
      </c>
      <c r="F2774" s="456"/>
      <c r="G2774" s="456"/>
      <c r="H2774" s="456"/>
    </row>
    <row r="2775" spans="1:8" ht="13.5" customHeight="1">
      <c r="A2775" s="471">
        <v>9771</v>
      </c>
      <c r="B2775" s="457"/>
      <c r="C2775" s="456"/>
      <c r="D2775" s="456">
        <f>IF(Table11[[#This Row],[Current Age]]&gt;19,"Women's",IF(E2775&gt;15,"U19",IF(E2775&gt;13,"U15",IF(E2775&gt;11,"U13",IF(E2775&gt;0,"U11",0)))))</f>
        <v>0</v>
      </c>
      <c r="E2775" s="456">
        <f>IFERROR(IF(Table11[[#This Row],[Year]]&gt;0,$E$1-Table11[[#This Row],[Year]],0),"")</f>
        <v>0</v>
      </c>
      <c r="F2775" s="456"/>
      <c r="G2775" s="456"/>
      <c r="H2775" s="456"/>
    </row>
    <row r="2776" spans="1:8" ht="13.5" customHeight="1">
      <c r="A2776" s="456">
        <v>9772</v>
      </c>
      <c r="B2776" s="540"/>
      <c r="C2776" s="471"/>
      <c r="D2776" s="456">
        <f>IF(Table11[[#This Row],[Current Age]]&gt;19,"Women's",IF(E2776&gt;15,"U19",IF(E2776&gt;13,"U15",IF(E2776&gt;11,"U13",IF(E2776&gt;0,"U11",0)))))</f>
        <v>0</v>
      </c>
      <c r="E2776" s="456">
        <f>IFERROR(IF(Table11[[#This Row],[Year]]&gt;0,$E$1-Table11[[#This Row],[Year]],0),"")</f>
        <v>0</v>
      </c>
      <c r="F2776" s="456"/>
      <c r="G2776" s="456"/>
      <c r="H2776" s="456"/>
    </row>
    <row r="2777" spans="1:8" ht="13.5" customHeight="1">
      <c r="A2777" s="471">
        <v>9773</v>
      </c>
      <c r="B2777" s="457"/>
      <c r="C2777" s="456"/>
      <c r="D2777" s="456">
        <f>IF(Table11[[#This Row],[Current Age]]&gt;19,"Women's",IF(E2777&gt;15,"U19",IF(E2777&gt;13,"U15",IF(E2777&gt;11,"U13",IF(E2777&gt;0,"U11",0)))))</f>
        <v>0</v>
      </c>
      <c r="E2777" s="456">
        <f>IFERROR(IF(Table11[[#This Row],[Year]]&gt;0,$E$1-Table11[[#This Row],[Year]],0),"")</f>
        <v>0</v>
      </c>
      <c r="F2777" s="456"/>
      <c r="G2777" s="456"/>
      <c r="H2777" s="456"/>
    </row>
    <row r="2778" spans="1:8" ht="13.5" customHeight="1">
      <c r="A2778" s="456">
        <v>9774</v>
      </c>
      <c r="B2778" s="540"/>
      <c r="C2778" s="471"/>
      <c r="D2778" s="456">
        <f>IF(Table11[[#This Row],[Current Age]]&gt;19,"Women's",IF(E2778&gt;15,"U19",IF(E2778&gt;13,"U15",IF(E2778&gt;11,"U13",IF(E2778&gt;0,"U11",0)))))</f>
        <v>0</v>
      </c>
      <c r="E2778" s="456">
        <f>IFERROR(IF(Table11[[#This Row],[Year]]&gt;0,$E$1-Table11[[#This Row],[Year]],0),"")</f>
        <v>0</v>
      </c>
      <c r="F2778" s="456"/>
      <c r="G2778" s="456"/>
      <c r="H2778" s="456"/>
    </row>
    <row r="2779" spans="1:8" ht="13.5" customHeight="1">
      <c r="A2779" s="471">
        <v>9775</v>
      </c>
      <c r="B2779" s="457"/>
      <c r="C2779" s="456"/>
      <c r="D2779" s="456">
        <f>IF(Table11[[#This Row],[Current Age]]&gt;19,"Women's",IF(E2779&gt;15,"U19",IF(E2779&gt;13,"U15",IF(E2779&gt;11,"U13",IF(E2779&gt;0,"U11",0)))))</f>
        <v>0</v>
      </c>
      <c r="E2779" s="456">
        <f>IFERROR(IF(Table11[[#This Row],[Year]]&gt;0,$E$1-Table11[[#This Row],[Year]],0),"")</f>
        <v>0</v>
      </c>
      <c r="F2779" s="456"/>
      <c r="G2779" s="456"/>
      <c r="H2779" s="456"/>
    </row>
    <row r="2780" spans="1:8" ht="13.5" customHeight="1">
      <c r="A2780" s="456">
        <v>9776</v>
      </c>
      <c r="B2780" s="540"/>
      <c r="C2780" s="471"/>
      <c r="D2780" s="456">
        <f>IF(Table11[[#This Row],[Current Age]]&gt;19,"Women's",IF(E2780&gt;15,"U19",IF(E2780&gt;13,"U15",IF(E2780&gt;11,"U13",IF(E2780&gt;0,"U11",0)))))</f>
        <v>0</v>
      </c>
      <c r="E2780" s="456">
        <f>IFERROR(IF(Table11[[#This Row],[Year]]&gt;0,$E$1-Table11[[#This Row],[Year]],0),"")</f>
        <v>0</v>
      </c>
      <c r="F2780" s="456"/>
      <c r="G2780" s="456"/>
      <c r="H2780" s="456"/>
    </row>
    <row r="2781" spans="1:8" ht="13.5" customHeight="1">
      <c r="A2781" s="471">
        <v>9777</v>
      </c>
      <c r="B2781" s="457"/>
      <c r="C2781" s="456"/>
      <c r="D2781" s="456">
        <f>IF(Table11[[#This Row],[Current Age]]&gt;19,"Women's",IF(E2781&gt;15,"U19",IF(E2781&gt;13,"U15",IF(E2781&gt;11,"U13",IF(E2781&gt;0,"U11",0)))))</f>
        <v>0</v>
      </c>
      <c r="E2781" s="456">
        <f>IFERROR(IF(Table11[[#This Row],[Year]]&gt;0,$E$1-Table11[[#This Row],[Year]],0),"")</f>
        <v>0</v>
      </c>
      <c r="F2781" s="456"/>
      <c r="G2781" s="456"/>
      <c r="H2781" s="456"/>
    </row>
    <row r="2782" spans="1:8" ht="13.5" customHeight="1">
      <c r="A2782" s="456">
        <v>9778</v>
      </c>
      <c r="B2782" s="540"/>
      <c r="C2782" s="471"/>
      <c r="D2782" s="456">
        <f>IF(Table11[[#This Row],[Current Age]]&gt;19,"Women's",IF(E2782&gt;15,"U19",IF(E2782&gt;13,"U15",IF(E2782&gt;11,"U13",IF(E2782&gt;0,"U11",0)))))</f>
        <v>0</v>
      </c>
      <c r="E2782" s="456">
        <f>IFERROR(IF(Table11[[#This Row],[Year]]&gt;0,$E$1-Table11[[#This Row],[Year]],0),"")</f>
        <v>0</v>
      </c>
      <c r="F2782" s="456"/>
      <c r="G2782" s="456"/>
      <c r="H2782" s="456"/>
    </row>
    <row r="2783" spans="1:8" ht="13.5" customHeight="1">
      <c r="A2783" s="471">
        <v>9779</v>
      </c>
      <c r="B2783" s="457"/>
      <c r="C2783" s="456"/>
      <c r="D2783" s="456">
        <f>IF(Table11[[#This Row],[Current Age]]&gt;19,"Women's",IF(E2783&gt;15,"U19",IF(E2783&gt;13,"U15",IF(E2783&gt;11,"U13",IF(E2783&gt;0,"U11",0)))))</f>
        <v>0</v>
      </c>
      <c r="E2783" s="456">
        <f>IFERROR(IF(Table11[[#This Row],[Year]]&gt;0,$E$1-Table11[[#This Row],[Year]],0),"")</f>
        <v>0</v>
      </c>
      <c r="F2783" s="456"/>
      <c r="G2783" s="456"/>
      <c r="H2783" s="456"/>
    </row>
    <row r="2784" spans="1:8" ht="13.5" customHeight="1">
      <c r="A2784" s="456">
        <v>9780</v>
      </c>
      <c r="B2784" s="540"/>
      <c r="C2784" s="471"/>
      <c r="D2784" s="456">
        <f>IF(Table11[[#This Row],[Current Age]]&gt;19,"Women's",IF(E2784&gt;15,"U19",IF(E2784&gt;13,"U15",IF(E2784&gt;11,"U13",IF(E2784&gt;0,"U11",0)))))</f>
        <v>0</v>
      </c>
      <c r="E2784" s="456">
        <f>IFERROR(IF(Table11[[#This Row],[Year]]&gt;0,$E$1-Table11[[#This Row],[Year]],0),"")</f>
        <v>0</v>
      </c>
      <c r="F2784" s="456"/>
      <c r="G2784" s="456"/>
      <c r="H2784" s="456"/>
    </row>
    <row r="2785" spans="1:8" ht="13.5" customHeight="1">
      <c r="A2785" s="471">
        <v>9781</v>
      </c>
      <c r="B2785" s="457"/>
      <c r="C2785" s="456"/>
      <c r="D2785" s="456">
        <f>IF(Table11[[#This Row],[Current Age]]&gt;19,"Women's",IF(E2785&gt;15,"U19",IF(E2785&gt;13,"U15",IF(E2785&gt;11,"U13",IF(E2785&gt;0,"U11",0)))))</f>
        <v>0</v>
      </c>
      <c r="E2785" s="456">
        <f>IFERROR(IF(Table11[[#This Row],[Year]]&gt;0,$E$1-Table11[[#This Row],[Year]],0),"")</f>
        <v>0</v>
      </c>
      <c r="F2785" s="456"/>
      <c r="G2785" s="456"/>
      <c r="H2785" s="456"/>
    </row>
    <row r="2786" spans="1:8" ht="13.5" customHeight="1">
      <c r="A2786" s="456">
        <v>9782</v>
      </c>
      <c r="B2786" s="540"/>
      <c r="C2786" s="471"/>
      <c r="D2786" s="456">
        <f>IF(Table11[[#This Row],[Current Age]]&gt;19,"Women's",IF(E2786&gt;15,"U19",IF(E2786&gt;13,"U15",IF(E2786&gt;11,"U13",IF(E2786&gt;0,"U11",0)))))</f>
        <v>0</v>
      </c>
      <c r="E2786" s="456">
        <f>IFERROR(IF(Table11[[#This Row],[Year]]&gt;0,$E$1-Table11[[#This Row],[Year]],0),"")</f>
        <v>0</v>
      </c>
      <c r="F2786" s="456"/>
      <c r="G2786" s="456"/>
      <c r="H2786" s="456"/>
    </row>
    <row r="2787" spans="1:8" ht="13.5" customHeight="1">
      <c r="A2787" s="471">
        <v>9783</v>
      </c>
      <c r="B2787" s="457"/>
      <c r="C2787" s="456"/>
      <c r="D2787" s="456">
        <f>IF(Table11[[#This Row],[Current Age]]&gt;19,"Women's",IF(E2787&gt;15,"U19",IF(E2787&gt;13,"U15",IF(E2787&gt;11,"U13",IF(E2787&gt;0,"U11",0)))))</f>
        <v>0</v>
      </c>
      <c r="E2787" s="456">
        <f>IFERROR(IF(Table11[[#This Row],[Year]]&gt;0,$E$1-Table11[[#This Row],[Year]],0),"")</f>
        <v>0</v>
      </c>
      <c r="F2787" s="456"/>
      <c r="G2787" s="456"/>
      <c r="H2787" s="456"/>
    </row>
    <row r="2788" spans="1:8" ht="13.5" customHeight="1">
      <c r="A2788" s="456">
        <v>9784</v>
      </c>
      <c r="B2788" s="540"/>
      <c r="C2788" s="471"/>
      <c r="D2788" s="456">
        <f>IF(Table11[[#This Row],[Current Age]]&gt;19,"Women's",IF(E2788&gt;15,"U19",IF(E2788&gt;13,"U15",IF(E2788&gt;11,"U13",IF(E2788&gt;0,"U11",0)))))</f>
        <v>0</v>
      </c>
      <c r="E2788" s="456">
        <f>IFERROR(IF(Table11[[#This Row],[Year]]&gt;0,$E$1-Table11[[#This Row],[Year]],0),"")</f>
        <v>0</v>
      </c>
      <c r="F2788" s="456"/>
      <c r="G2788" s="456"/>
      <c r="H2788" s="456"/>
    </row>
    <row r="2789" spans="1:8" ht="13.5" customHeight="1">
      <c r="A2789" s="471">
        <v>9785</v>
      </c>
      <c r="B2789" s="457"/>
      <c r="C2789" s="456"/>
      <c r="D2789" s="456">
        <f>IF(Table11[[#This Row],[Current Age]]&gt;19,"Women's",IF(E2789&gt;15,"U19",IF(E2789&gt;13,"U15",IF(E2789&gt;11,"U13",IF(E2789&gt;0,"U11",0)))))</f>
        <v>0</v>
      </c>
      <c r="E2789" s="456">
        <f>IFERROR(IF(Table11[[#This Row],[Year]]&gt;0,$E$1-Table11[[#This Row],[Year]],0),"")</f>
        <v>0</v>
      </c>
      <c r="F2789" s="456"/>
      <c r="G2789" s="456"/>
      <c r="H2789" s="456"/>
    </row>
    <row r="2790" spans="1:8" ht="13.5" customHeight="1">
      <c r="A2790" s="456">
        <v>9786</v>
      </c>
      <c r="B2790" s="540"/>
      <c r="C2790" s="471"/>
      <c r="D2790" s="456">
        <f>IF(Table11[[#This Row],[Current Age]]&gt;19,"Women's",IF(E2790&gt;15,"U19",IF(E2790&gt;13,"U15",IF(E2790&gt;11,"U13",IF(E2790&gt;0,"U11",0)))))</f>
        <v>0</v>
      </c>
      <c r="E2790" s="456">
        <f>IFERROR(IF(Table11[[#This Row],[Year]]&gt;0,$E$1-Table11[[#This Row],[Year]],0),"")</f>
        <v>0</v>
      </c>
      <c r="F2790" s="456"/>
      <c r="G2790" s="456"/>
      <c r="H2790" s="456"/>
    </row>
    <row r="2791" spans="1:8" ht="13.5" customHeight="1">
      <c r="A2791" s="471">
        <v>9787</v>
      </c>
      <c r="B2791" s="457"/>
      <c r="C2791" s="456"/>
      <c r="D2791" s="456">
        <f>IF(Table11[[#This Row],[Current Age]]&gt;19,"Women's",IF(E2791&gt;15,"U19",IF(E2791&gt;13,"U15",IF(E2791&gt;11,"U13",IF(E2791&gt;0,"U11",0)))))</f>
        <v>0</v>
      </c>
      <c r="E2791" s="456">
        <f>IFERROR(IF(Table11[[#This Row],[Year]]&gt;0,$E$1-Table11[[#This Row],[Year]],0),"")</f>
        <v>0</v>
      </c>
      <c r="F2791" s="456"/>
      <c r="G2791" s="456"/>
      <c r="H2791" s="456"/>
    </row>
    <row r="2792" spans="1:8" ht="13.5" customHeight="1">
      <c r="A2792" s="456">
        <v>9788</v>
      </c>
      <c r="B2792" s="540"/>
      <c r="C2792" s="471"/>
      <c r="D2792" s="456">
        <f>IF(Table11[[#This Row],[Current Age]]&gt;19,"Women's",IF(E2792&gt;15,"U19",IF(E2792&gt;13,"U15",IF(E2792&gt;11,"U13",IF(E2792&gt;0,"U11",0)))))</f>
        <v>0</v>
      </c>
      <c r="E2792" s="456">
        <f>IFERROR(IF(Table11[[#This Row],[Year]]&gt;0,$E$1-Table11[[#This Row],[Year]],0),"")</f>
        <v>0</v>
      </c>
      <c r="F2792" s="456"/>
      <c r="G2792" s="456"/>
      <c r="H2792" s="456"/>
    </row>
    <row r="2793" spans="1:8" ht="13.5" customHeight="1">
      <c r="A2793" s="471">
        <v>9789</v>
      </c>
      <c r="B2793" s="457"/>
      <c r="C2793" s="456"/>
      <c r="D2793" s="456">
        <f>IF(Table11[[#This Row],[Current Age]]&gt;19,"Women's",IF(E2793&gt;15,"U19",IF(E2793&gt;13,"U15",IF(E2793&gt;11,"U13",IF(E2793&gt;0,"U11",0)))))</f>
        <v>0</v>
      </c>
      <c r="E2793" s="456">
        <f>IFERROR(IF(Table11[[#This Row],[Year]]&gt;0,$E$1-Table11[[#This Row],[Year]],0),"")</f>
        <v>0</v>
      </c>
      <c r="F2793" s="456"/>
      <c r="G2793" s="456"/>
      <c r="H2793" s="456"/>
    </row>
    <row r="2794" spans="1:8" ht="13.5" customHeight="1">
      <c r="A2794" s="456">
        <v>9790</v>
      </c>
      <c r="B2794" s="540"/>
      <c r="C2794" s="471"/>
      <c r="D2794" s="456">
        <f>IF(Table11[[#This Row],[Current Age]]&gt;19,"Women's",IF(E2794&gt;15,"U19",IF(E2794&gt;13,"U15",IF(E2794&gt;11,"U13",IF(E2794&gt;0,"U11",0)))))</f>
        <v>0</v>
      </c>
      <c r="E2794" s="456">
        <f>IFERROR(IF(Table11[[#This Row],[Year]]&gt;0,$E$1-Table11[[#This Row],[Year]],0),"")</f>
        <v>0</v>
      </c>
      <c r="F2794" s="456"/>
      <c r="G2794" s="456"/>
      <c r="H2794" s="456"/>
    </row>
    <row r="2795" spans="1:8" ht="13.5" customHeight="1">
      <c r="A2795" s="471">
        <v>9791</v>
      </c>
      <c r="B2795" s="457"/>
      <c r="C2795" s="456"/>
      <c r="D2795" s="456">
        <f>IF(Table11[[#This Row],[Current Age]]&gt;19,"Women's",IF(E2795&gt;15,"U19",IF(E2795&gt;13,"U15",IF(E2795&gt;11,"U13",IF(E2795&gt;0,"U11",0)))))</f>
        <v>0</v>
      </c>
      <c r="E2795" s="456">
        <f>IFERROR(IF(Table11[[#This Row],[Year]]&gt;0,$E$1-Table11[[#This Row],[Year]],0),"")</f>
        <v>0</v>
      </c>
      <c r="F2795" s="456"/>
      <c r="G2795" s="456"/>
      <c r="H2795" s="456"/>
    </row>
    <row r="2796" spans="1:8" ht="13.5" customHeight="1">
      <c r="A2796" s="456">
        <v>9792</v>
      </c>
      <c r="B2796" s="540"/>
      <c r="C2796" s="471"/>
      <c r="D2796" s="456">
        <f>IF(Table11[[#This Row],[Current Age]]&gt;19,"Women's",IF(E2796&gt;15,"U19",IF(E2796&gt;13,"U15",IF(E2796&gt;11,"U13",IF(E2796&gt;0,"U11",0)))))</f>
        <v>0</v>
      </c>
      <c r="E2796" s="456">
        <f>IFERROR(IF(Table11[[#This Row],[Year]]&gt;0,$E$1-Table11[[#This Row],[Year]],0),"")</f>
        <v>0</v>
      </c>
      <c r="F2796" s="456"/>
      <c r="G2796" s="456"/>
      <c r="H2796" s="456"/>
    </row>
    <row r="2797" spans="1:8" ht="13.5" customHeight="1">
      <c r="A2797" s="471">
        <v>9793</v>
      </c>
      <c r="B2797" s="457"/>
      <c r="C2797" s="456"/>
      <c r="D2797" s="456">
        <f>IF(Table11[[#This Row],[Current Age]]&gt;19,"Women's",IF(E2797&gt;15,"U19",IF(E2797&gt;13,"U15",IF(E2797&gt;11,"U13",IF(E2797&gt;0,"U11",0)))))</f>
        <v>0</v>
      </c>
      <c r="E2797" s="456">
        <f>IFERROR(IF(Table11[[#This Row],[Year]]&gt;0,$E$1-Table11[[#This Row],[Year]],0),"")</f>
        <v>0</v>
      </c>
      <c r="F2797" s="456"/>
      <c r="G2797" s="456"/>
      <c r="H2797" s="456"/>
    </row>
    <row r="2798" spans="1:8" ht="13.5" customHeight="1">
      <c r="A2798" s="456">
        <v>9794</v>
      </c>
      <c r="B2798" s="540"/>
      <c r="C2798" s="471"/>
      <c r="D2798" s="456">
        <f>IF(Table11[[#This Row],[Current Age]]&gt;19,"Women's",IF(E2798&gt;15,"U19",IF(E2798&gt;13,"U15",IF(E2798&gt;11,"U13",IF(E2798&gt;0,"U11",0)))))</f>
        <v>0</v>
      </c>
      <c r="E2798" s="456">
        <f>IFERROR(IF(Table11[[#This Row],[Year]]&gt;0,$E$1-Table11[[#This Row],[Year]],0),"")</f>
        <v>0</v>
      </c>
      <c r="F2798" s="456"/>
      <c r="G2798" s="456"/>
      <c r="H2798" s="456"/>
    </row>
    <row r="2799" spans="1:8" ht="13.5" customHeight="1">
      <c r="A2799" s="471">
        <v>9795</v>
      </c>
      <c r="B2799" s="457"/>
      <c r="C2799" s="456"/>
      <c r="D2799" s="456">
        <f>IF(Table11[[#This Row],[Current Age]]&gt;19,"Women's",IF(E2799&gt;15,"U19",IF(E2799&gt;13,"U15",IF(E2799&gt;11,"U13",IF(E2799&gt;0,"U11",0)))))</f>
        <v>0</v>
      </c>
      <c r="E2799" s="456">
        <f>IFERROR(IF(Table11[[#This Row],[Year]]&gt;0,$E$1-Table11[[#This Row],[Year]],0),"")</f>
        <v>0</v>
      </c>
      <c r="F2799" s="456"/>
      <c r="G2799" s="456"/>
      <c r="H2799" s="456"/>
    </row>
    <row r="2800" spans="1:8" ht="13.5" customHeight="1">
      <c r="A2800" s="456">
        <v>9796</v>
      </c>
      <c r="B2800" s="540"/>
      <c r="C2800" s="471"/>
      <c r="D2800" s="456">
        <f>IF(Table11[[#This Row],[Current Age]]&gt;19,"Women's",IF(E2800&gt;15,"U19",IF(E2800&gt;13,"U15",IF(E2800&gt;11,"U13",IF(E2800&gt;0,"U11",0)))))</f>
        <v>0</v>
      </c>
      <c r="E2800" s="456">
        <f>IFERROR(IF(Table11[[#This Row],[Year]]&gt;0,$E$1-Table11[[#This Row],[Year]],0),"")</f>
        <v>0</v>
      </c>
      <c r="F2800" s="456"/>
      <c r="G2800" s="456"/>
      <c r="H2800" s="456"/>
    </row>
    <row r="2801" spans="1:8" ht="13.5" customHeight="1">
      <c r="A2801" s="471">
        <v>9797</v>
      </c>
      <c r="B2801" s="457"/>
      <c r="C2801" s="456"/>
      <c r="D2801" s="456">
        <f>IF(Table11[[#This Row],[Current Age]]&gt;19,"Women's",IF(E2801&gt;15,"U19",IF(E2801&gt;13,"U15",IF(E2801&gt;11,"U13",IF(E2801&gt;0,"U11",0)))))</f>
        <v>0</v>
      </c>
      <c r="E2801" s="456">
        <f>IFERROR(IF(Table11[[#This Row],[Year]]&gt;0,$E$1-Table11[[#This Row],[Year]],0),"")</f>
        <v>0</v>
      </c>
      <c r="F2801" s="456"/>
      <c r="G2801" s="456"/>
      <c r="H2801" s="456"/>
    </row>
    <row r="2802" spans="1:8" ht="13.5" customHeight="1">
      <c r="A2802" s="456">
        <v>9798</v>
      </c>
      <c r="B2802" s="540"/>
      <c r="C2802" s="471"/>
      <c r="D2802" s="456">
        <f>IF(Table11[[#This Row],[Current Age]]&gt;19,"Women's",IF(E2802&gt;15,"U19",IF(E2802&gt;13,"U15",IF(E2802&gt;11,"U13",IF(E2802&gt;0,"U11",0)))))</f>
        <v>0</v>
      </c>
      <c r="E2802" s="456">
        <f>IFERROR(IF(Table11[[#This Row],[Year]]&gt;0,$E$1-Table11[[#This Row],[Year]],0),"")</f>
        <v>0</v>
      </c>
      <c r="F2802" s="456"/>
      <c r="G2802" s="456"/>
      <c r="H2802" s="456"/>
    </row>
    <row r="2803" spans="1:8" ht="13.5" customHeight="1">
      <c r="A2803" s="471">
        <v>9799</v>
      </c>
      <c r="B2803" s="457"/>
      <c r="C2803" s="456"/>
      <c r="D2803" s="456">
        <f>IF(Table11[[#This Row],[Current Age]]&gt;19,"Women's",IF(E2803&gt;15,"U19",IF(E2803&gt;13,"U15",IF(E2803&gt;11,"U13",IF(E2803&gt;0,"U11",0)))))</f>
        <v>0</v>
      </c>
      <c r="E2803" s="456">
        <f>IFERROR(IF(Table11[[#This Row],[Year]]&gt;0,$E$1-Table11[[#This Row],[Year]],0),"")</f>
        <v>0</v>
      </c>
      <c r="F2803" s="456"/>
      <c r="G2803" s="456"/>
      <c r="H2803" s="456"/>
    </row>
    <row r="2804" spans="1:8" ht="13.5" customHeight="1">
      <c r="A2804" s="456">
        <v>9800</v>
      </c>
      <c r="B2804" s="540"/>
      <c r="C2804" s="471"/>
      <c r="D2804" s="456">
        <f>IF(Table11[[#This Row],[Current Age]]&gt;19,"Women's",IF(E2804&gt;15,"U19",IF(E2804&gt;13,"U15",IF(E2804&gt;11,"U13",IF(E2804&gt;0,"U11",0)))))</f>
        <v>0</v>
      </c>
      <c r="E2804" s="456">
        <f>IFERROR(IF(Table11[[#This Row],[Year]]&gt;0,$E$1-Table11[[#This Row],[Year]],0),"")</f>
        <v>0</v>
      </c>
      <c r="F2804" s="456"/>
      <c r="G2804" s="456"/>
      <c r="H2804" s="456"/>
    </row>
    <row r="2805" spans="1:8" ht="13.5" customHeight="1">
      <c r="A2805" s="471">
        <v>9801</v>
      </c>
      <c r="B2805" s="457"/>
      <c r="C2805" s="456"/>
      <c r="D2805" s="456">
        <f>IF(Table11[[#This Row],[Current Age]]&gt;19,"Women's",IF(E2805&gt;15,"U19",IF(E2805&gt;13,"U15",IF(E2805&gt;11,"U13",IF(E2805&gt;0,"U11",0)))))</f>
        <v>0</v>
      </c>
      <c r="E2805" s="456">
        <f>IFERROR(IF(Table11[[#This Row],[Year]]&gt;0,$E$1-Table11[[#This Row],[Year]],0),"")</f>
        <v>0</v>
      </c>
      <c r="F2805" s="456"/>
      <c r="G2805" s="456"/>
      <c r="H2805" s="456"/>
    </row>
    <row r="2806" spans="1:8" ht="13.5" customHeight="1">
      <c r="A2806" s="456">
        <v>9802</v>
      </c>
      <c r="B2806" s="540"/>
      <c r="C2806" s="471"/>
      <c r="D2806" s="456">
        <f>IF(Table11[[#This Row],[Current Age]]&gt;19,"Women's",IF(E2806&gt;15,"U19",IF(E2806&gt;13,"U15",IF(E2806&gt;11,"U13",IF(E2806&gt;0,"U11",0)))))</f>
        <v>0</v>
      </c>
      <c r="E2806" s="456">
        <f>IFERROR(IF(Table11[[#This Row],[Year]]&gt;0,$E$1-Table11[[#This Row],[Year]],0),"")</f>
        <v>0</v>
      </c>
      <c r="F2806" s="456"/>
      <c r="G2806" s="456"/>
      <c r="H2806" s="456"/>
    </row>
    <row r="2807" spans="1:8" ht="13.5" customHeight="1">
      <c r="A2807" s="471">
        <v>9803</v>
      </c>
      <c r="B2807" s="457"/>
      <c r="C2807" s="456"/>
      <c r="D2807" s="456">
        <f>IF(Table11[[#This Row],[Current Age]]&gt;19,"Women's",IF(E2807&gt;15,"U19",IF(E2807&gt;13,"U15",IF(E2807&gt;11,"U13",IF(E2807&gt;0,"U11",0)))))</f>
        <v>0</v>
      </c>
      <c r="E2807" s="456">
        <f>IFERROR(IF(Table11[[#This Row],[Year]]&gt;0,$E$1-Table11[[#This Row],[Year]],0),"")</f>
        <v>0</v>
      </c>
      <c r="F2807" s="456"/>
      <c r="G2807" s="456"/>
      <c r="H2807" s="456"/>
    </row>
    <row r="2808" spans="1:8" ht="13.5" customHeight="1">
      <c r="A2808" s="456">
        <v>9804</v>
      </c>
      <c r="B2808" s="540"/>
      <c r="C2808" s="471"/>
      <c r="D2808" s="456">
        <f>IF(Table11[[#This Row],[Current Age]]&gt;19,"Women's",IF(E2808&gt;15,"U19",IF(E2808&gt;13,"U15",IF(E2808&gt;11,"U13",IF(E2808&gt;0,"U11",0)))))</f>
        <v>0</v>
      </c>
      <c r="E2808" s="456">
        <f>IFERROR(IF(Table11[[#This Row],[Year]]&gt;0,$E$1-Table11[[#This Row],[Year]],0),"")</f>
        <v>0</v>
      </c>
      <c r="F2808" s="456"/>
      <c r="G2808" s="456"/>
      <c r="H2808" s="456"/>
    </row>
    <row r="2809" spans="1:8" ht="13.5" customHeight="1">
      <c r="A2809" s="471">
        <v>9805</v>
      </c>
      <c r="B2809" s="457"/>
      <c r="C2809" s="456"/>
      <c r="D2809" s="456">
        <f>IF(Table11[[#This Row],[Current Age]]&gt;19,"Women's",IF(E2809&gt;15,"U19",IF(E2809&gt;13,"U15",IF(E2809&gt;11,"U13",IF(E2809&gt;0,"U11",0)))))</f>
        <v>0</v>
      </c>
      <c r="E2809" s="456">
        <f>IFERROR(IF(Table11[[#This Row],[Year]]&gt;0,$E$1-Table11[[#This Row],[Year]],0),"")</f>
        <v>0</v>
      </c>
      <c r="F2809" s="456"/>
      <c r="G2809" s="456"/>
      <c r="H2809" s="456"/>
    </row>
    <row r="2810" spans="1:8" ht="13.5" customHeight="1">
      <c r="A2810" s="456">
        <v>9806</v>
      </c>
      <c r="B2810" s="540"/>
      <c r="C2810" s="471"/>
      <c r="D2810" s="456">
        <f>IF(Table11[[#This Row],[Current Age]]&gt;19,"Women's",IF(E2810&gt;15,"U19",IF(E2810&gt;13,"U15",IF(E2810&gt;11,"U13",IF(E2810&gt;0,"U11",0)))))</f>
        <v>0</v>
      </c>
      <c r="E2810" s="456">
        <f>IFERROR(IF(Table11[[#This Row],[Year]]&gt;0,$E$1-Table11[[#This Row],[Year]],0),"")</f>
        <v>0</v>
      </c>
      <c r="F2810" s="456"/>
      <c r="G2810" s="456"/>
      <c r="H2810" s="456"/>
    </row>
    <row r="2811" spans="1:8" ht="13.5" customHeight="1">
      <c r="A2811" s="471">
        <v>9807</v>
      </c>
      <c r="B2811" s="457"/>
      <c r="C2811" s="456"/>
      <c r="D2811" s="456">
        <f>IF(Table11[[#This Row],[Current Age]]&gt;19,"Women's",IF(E2811&gt;15,"U19",IF(E2811&gt;13,"U15",IF(E2811&gt;11,"U13",IF(E2811&gt;0,"U11",0)))))</f>
        <v>0</v>
      </c>
      <c r="E2811" s="456">
        <f>IFERROR(IF(Table11[[#This Row],[Year]]&gt;0,$E$1-Table11[[#This Row],[Year]],0),"")</f>
        <v>0</v>
      </c>
      <c r="F2811" s="456"/>
      <c r="G2811" s="456"/>
      <c r="H2811" s="456"/>
    </row>
    <row r="2812" spans="1:8" ht="13.5" customHeight="1">
      <c r="A2812" s="456">
        <v>9808</v>
      </c>
      <c r="B2812" s="540"/>
      <c r="C2812" s="471"/>
      <c r="D2812" s="456">
        <f>IF(Table11[[#This Row],[Current Age]]&gt;19,"Women's",IF(E2812&gt;15,"U19",IF(E2812&gt;13,"U15",IF(E2812&gt;11,"U13",IF(E2812&gt;0,"U11",0)))))</f>
        <v>0</v>
      </c>
      <c r="E2812" s="456">
        <f>IFERROR(IF(Table11[[#This Row],[Year]]&gt;0,$E$1-Table11[[#This Row],[Year]],0),"")</f>
        <v>0</v>
      </c>
      <c r="F2812" s="456"/>
      <c r="G2812" s="456"/>
      <c r="H2812" s="456"/>
    </row>
    <row r="2813" spans="1:8" ht="13.5" customHeight="1">
      <c r="A2813" s="471">
        <v>9809</v>
      </c>
      <c r="B2813" s="457"/>
      <c r="C2813" s="456"/>
      <c r="D2813" s="456">
        <f>IF(Table11[[#This Row],[Current Age]]&gt;19,"Women's",IF(E2813&gt;15,"U19",IF(E2813&gt;13,"U15",IF(E2813&gt;11,"U13",IF(E2813&gt;0,"U11",0)))))</f>
        <v>0</v>
      </c>
      <c r="E2813" s="456">
        <f>IFERROR(IF(Table11[[#This Row],[Year]]&gt;0,$E$1-Table11[[#This Row],[Year]],0),"")</f>
        <v>0</v>
      </c>
      <c r="F2813" s="456"/>
      <c r="G2813" s="456"/>
      <c r="H2813" s="456"/>
    </row>
    <row r="2814" spans="1:8" ht="13.5" customHeight="1">
      <c r="A2814" s="456">
        <v>9810</v>
      </c>
      <c r="B2814" s="540"/>
      <c r="C2814" s="471"/>
      <c r="D2814" s="456">
        <f>IF(Table11[[#This Row],[Current Age]]&gt;19,"Women's",IF(E2814&gt;15,"U19",IF(E2814&gt;13,"U15",IF(E2814&gt;11,"U13",IF(E2814&gt;0,"U11",0)))))</f>
        <v>0</v>
      </c>
      <c r="E2814" s="456">
        <f>IFERROR(IF(Table11[[#This Row],[Year]]&gt;0,$E$1-Table11[[#This Row],[Year]],0),"")</f>
        <v>0</v>
      </c>
      <c r="F2814" s="456"/>
      <c r="G2814" s="456"/>
      <c r="H2814" s="456"/>
    </row>
    <row r="2815" spans="1:8" ht="13.5" customHeight="1">
      <c r="A2815" s="471">
        <v>9811</v>
      </c>
      <c r="B2815" s="457"/>
      <c r="C2815" s="456"/>
      <c r="D2815" s="456">
        <f>IF(Table11[[#This Row],[Current Age]]&gt;19,"Women's",IF(E2815&gt;15,"U19",IF(E2815&gt;13,"U15",IF(E2815&gt;11,"U13",IF(E2815&gt;0,"U11",0)))))</f>
        <v>0</v>
      </c>
      <c r="E2815" s="456">
        <f>IFERROR(IF(Table11[[#This Row],[Year]]&gt;0,$E$1-Table11[[#This Row],[Year]],0),"")</f>
        <v>0</v>
      </c>
      <c r="F2815" s="456"/>
      <c r="G2815" s="456"/>
      <c r="H2815" s="456"/>
    </row>
    <row r="2816" spans="1:8" ht="13.5" customHeight="1">
      <c r="A2816" s="456">
        <v>9812</v>
      </c>
      <c r="B2816" s="540"/>
      <c r="C2816" s="471"/>
      <c r="D2816" s="456">
        <f>IF(Table11[[#This Row],[Current Age]]&gt;19,"Women's",IF(E2816&gt;15,"U19",IF(E2816&gt;13,"U15",IF(E2816&gt;11,"U13",IF(E2816&gt;0,"U11",0)))))</f>
        <v>0</v>
      </c>
      <c r="E2816" s="456">
        <f>IFERROR(IF(Table11[[#This Row],[Year]]&gt;0,$E$1-Table11[[#This Row],[Year]],0),"")</f>
        <v>0</v>
      </c>
      <c r="F2816" s="456"/>
      <c r="G2816" s="456"/>
      <c r="H2816" s="456"/>
    </row>
    <row r="2817" spans="1:8" ht="13.5" customHeight="1">
      <c r="A2817" s="471">
        <v>9813</v>
      </c>
      <c r="B2817" s="457"/>
      <c r="C2817" s="456"/>
      <c r="D2817" s="456">
        <f>IF(Table11[[#This Row],[Current Age]]&gt;19,"Women's",IF(E2817&gt;15,"U19",IF(E2817&gt;13,"U15",IF(E2817&gt;11,"U13",IF(E2817&gt;0,"U11",0)))))</f>
        <v>0</v>
      </c>
      <c r="E2817" s="456">
        <f>IFERROR(IF(Table11[[#This Row],[Year]]&gt;0,$E$1-Table11[[#This Row],[Year]],0),"")</f>
        <v>0</v>
      </c>
      <c r="F2817" s="456"/>
      <c r="G2817" s="456"/>
      <c r="H2817" s="456"/>
    </row>
    <row r="2818" spans="1:8" ht="13.5" customHeight="1">
      <c r="A2818" s="456">
        <v>9814</v>
      </c>
      <c r="B2818" s="540"/>
      <c r="C2818" s="471"/>
      <c r="D2818" s="456">
        <f>IF(Table11[[#This Row],[Current Age]]&gt;19,"Women's",IF(E2818&gt;15,"U19",IF(E2818&gt;13,"U15",IF(E2818&gt;11,"U13",IF(E2818&gt;0,"U11",0)))))</f>
        <v>0</v>
      </c>
      <c r="E2818" s="456">
        <f>IFERROR(IF(Table11[[#This Row],[Year]]&gt;0,$E$1-Table11[[#This Row],[Year]],0),"")</f>
        <v>0</v>
      </c>
      <c r="F2818" s="456"/>
      <c r="G2818" s="456"/>
      <c r="H2818" s="456"/>
    </row>
    <row r="2819" spans="1:8" ht="13.5" customHeight="1">
      <c r="A2819" s="471">
        <v>9815</v>
      </c>
      <c r="B2819" s="457"/>
      <c r="C2819" s="456"/>
      <c r="D2819" s="456">
        <f>IF(Table11[[#This Row],[Current Age]]&gt;19,"Women's",IF(E2819&gt;15,"U19",IF(E2819&gt;13,"U15",IF(E2819&gt;11,"U13",IF(E2819&gt;0,"U11",0)))))</f>
        <v>0</v>
      </c>
      <c r="E2819" s="456">
        <f>IFERROR(IF(Table11[[#This Row],[Year]]&gt;0,$E$1-Table11[[#This Row],[Year]],0),"")</f>
        <v>0</v>
      </c>
      <c r="F2819" s="456"/>
      <c r="G2819" s="456"/>
      <c r="H2819" s="456"/>
    </row>
    <row r="2820" spans="1:8" ht="13.5" customHeight="1">
      <c r="A2820" s="456">
        <v>9816</v>
      </c>
      <c r="B2820" s="540"/>
      <c r="C2820" s="471"/>
      <c r="D2820" s="456">
        <f>IF(Table11[[#This Row],[Current Age]]&gt;19,"Women's",IF(E2820&gt;15,"U19",IF(E2820&gt;13,"U15",IF(E2820&gt;11,"U13",IF(E2820&gt;0,"U11",0)))))</f>
        <v>0</v>
      </c>
      <c r="E2820" s="456">
        <f>IFERROR(IF(Table11[[#This Row],[Year]]&gt;0,$E$1-Table11[[#This Row],[Year]],0),"")</f>
        <v>0</v>
      </c>
      <c r="F2820" s="456"/>
      <c r="G2820" s="456"/>
      <c r="H2820" s="456"/>
    </row>
    <row r="2821" spans="1:8" ht="13.5" customHeight="1">
      <c r="A2821" s="471">
        <v>9817</v>
      </c>
      <c r="B2821" s="457"/>
      <c r="C2821" s="456"/>
      <c r="D2821" s="456">
        <f>IF(Table11[[#This Row],[Current Age]]&gt;19,"Women's",IF(E2821&gt;15,"U19",IF(E2821&gt;13,"U15",IF(E2821&gt;11,"U13",IF(E2821&gt;0,"U11",0)))))</f>
        <v>0</v>
      </c>
      <c r="E2821" s="456">
        <f>IFERROR(IF(Table11[[#This Row],[Year]]&gt;0,$E$1-Table11[[#This Row],[Year]],0),"")</f>
        <v>0</v>
      </c>
      <c r="F2821" s="456"/>
      <c r="G2821" s="456"/>
      <c r="H2821" s="456"/>
    </row>
    <row r="2822" spans="1:8" ht="13.5" customHeight="1">
      <c r="A2822" s="456">
        <v>9818</v>
      </c>
      <c r="B2822" s="540"/>
      <c r="C2822" s="471"/>
      <c r="D2822" s="456">
        <f>IF(Table11[[#This Row],[Current Age]]&gt;19,"Women's",IF(E2822&gt;15,"U19",IF(E2822&gt;13,"U15",IF(E2822&gt;11,"U13",IF(E2822&gt;0,"U11",0)))))</f>
        <v>0</v>
      </c>
      <c r="E2822" s="456">
        <f>IFERROR(IF(Table11[[#This Row],[Year]]&gt;0,$E$1-Table11[[#This Row],[Year]],0),"")</f>
        <v>0</v>
      </c>
      <c r="F2822" s="456"/>
      <c r="G2822" s="456"/>
      <c r="H2822" s="456"/>
    </row>
    <row r="2823" spans="1:8" ht="13.5" customHeight="1">
      <c r="A2823" s="471">
        <v>9819</v>
      </c>
      <c r="B2823" s="457"/>
      <c r="C2823" s="456"/>
      <c r="D2823" s="456">
        <f>IF(Table11[[#This Row],[Current Age]]&gt;19,"Women's",IF(E2823&gt;15,"U19",IF(E2823&gt;13,"U15",IF(E2823&gt;11,"U13",IF(E2823&gt;0,"U11",0)))))</f>
        <v>0</v>
      </c>
      <c r="E2823" s="456">
        <f>IFERROR(IF(Table11[[#This Row],[Year]]&gt;0,$E$1-Table11[[#This Row],[Year]],0),"")</f>
        <v>0</v>
      </c>
      <c r="F2823" s="456"/>
      <c r="G2823" s="456"/>
      <c r="H2823" s="456"/>
    </row>
    <row r="2824" spans="1:8" ht="13.5" customHeight="1">
      <c r="A2824" s="456">
        <v>9820</v>
      </c>
      <c r="B2824" s="540"/>
      <c r="C2824" s="471"/>
      <c r="D2824" s="456">
        <f>IF(Table11[[#This Row],[Current Age]]&gt;19,"Women's",IF(E2824&gt;15,"U19",IF(E2824&gt;13,"U15",IF(E2824&gt;11,"U13",IF(E2824&gt;0,"U11",0)))))</f>
        <v>0</v>
      </c>
      <c r="E2824" s="456">
        <f>IFERROR(IF(Table11[[#This Row],[Year]]&gt;0,$E$1-Table11[[#This Row],[Year]],0),"")</f>
        <v>0</v>
      </c>
      <c r="F2824" s="456"/>
      <c r="G2824" s="456"/>
      <c r="H2824" s="456"/>
    </row>
    <row r="2825" spans="1:8" ht="13.5" customHeight="1">
      <c r="A2825" s="471">
        <v>9821</v>
      </c>
      <c r="B2825" s="457"/>
      <c r="C2825" s="456"/>
      <c r="D2825" s="456">
        <f>IF(Table11[[#This Row],[Current Age]]&gt;19,"Women's",IF(E2825&gt;15,"U19",IF(E2825&gt;13,"U15",IF(E2825&gt;11,"U13",IF(E2825&gt;0,"U11",0)))))</f>
        <v>0</v>
      </c>
      <c r="E2825" s="456">
        <f>IFERROR(IF(Table11[[#This Row],[Year]]&gt;0,$E$1-Table11[[#This Row],[Year]],0),"")</f>
        <v>0</v>
      </c>
      <c r="F2825" s="456"/>
      <c r="G2825" s="456"/>
      <c r="H2825" s="456"/>
    </row>
    <row r="2826" spans="1:8" ht="13.5" customHeight="1">
      <c r="A2826" s="456">
        <v>9822</v>
      </c>
      <c r="B2826" s="540"/>
      <c r="C2826" s="471"/>
      <c r="D2826" s="456">
        <f>IF(Table11[[#This Row],[Current Age]]&gt;19,"Women's",IF(E2826&gt;15,"U19",IF(E2826&gt;13,"U15",IF(E2826&gt;11,"U13",IF(E2826&gt;0,"U11",0)))))</f>
        <v>0</v>
      </c>
      <c r="E2826" s="456">
        <f>IFERROR(IF(Table11[[#This Row],[Year]]&gt;0,$E$1-Table11[[#This Row],[Year]],0),"")</f>
        <v>0</v>
      </c>
      <c r="F2826" s="456"/>
      <c r="G2826" s="456"/>
      <c r="H2826" s="456"/>
    </row>
    <row r="2827" spans="1:8" ht="13.5" customHeight="1">
      <c r="A2827" s="471">
        <v>9823</v>
      </c>
      <c r="B2827" s="457"/>
      <c r="C2827" s="456"/>
      <c r="D2827" s="456">
        <f>IF(Table11[[#This Row],[Current Age]]&gt;19,"Women's",IF(E2827&gt;15,"U19",IF(E2827&gt;13,"U15",IF(E2827&gt;11,"U13",IF(E2827&gt;0,"U11",0)))))</f>
        <v>0</v>
      </c>
      <c r="E2827" s="456">
        <f>IFERROR(IF(Table11[[#This Row],[Year]]&gt;0,$E$1-Table11[[#This Row],[Year]],0),"")</f>
        <v>0</v>
      </c>
      <c r="F2827" s="456"/>
      <c r="G2827" s="456"/>
      <c r="H2827" s="456"/>
    </row>
    <row r="2828" spans="1:8" ht="13.5" customHeight="1">
      <c r="A2828" s="456">
        <v>9824</v>
      </c>
      <c r="B2828" s="540"/>
      <c r="C2828" s="471"/>
      <c r="D2828" s="456">
        <f>IF(Table11[[#This Row],[Current Age]]&gt;19,"Women's",IF(E2828&gt;15,"U19",IF(E2828&gt;13,"U15",IF(E2828&gt;11,"U13",IF(E2828&gt;0,"U11",0)))))</f>
        <v>0</v>
      </c>
      <c r="E2828" s="456">
        <f>IFERROR(IF(Table11[[#This Row],[Year]]&gt;0,$E$1-Table11[[#This Row],[Year]],0),"")</f>
        <v>0</v>
      </c>
      <c r="F2828" s="456"/>
      <c r="G2828" s="456"/>
      <c r="H2828" s="456"/>
    </row>
    <row r="2829" spans="1:8" ht="13.5" customHeight="1">
      <c r="A2829" s="471">
        <v>9825</v>
      </c>
      <c r="B2829" s="457"/>
      <c r="C2829" s="456"/>
      <c r="D2829" s="456">
        <f>IF(Table11[[#This Row],[Current Age]]&gt;19,"Women's",IF(E2829&gt;15,"U19",IF(E2829&gt;13,"U15",IF(E2829&gt;11,"U13",IF(E2829&gt;0,"U11",0)))))</f>
        <v>0</v>
      </c>
      <c r="E2829" s="456">
        <f>IFERROR(IF(Table11[[#This Row],[Year]]&gt;0,$E$1-Table11[[#This Row],[Year]],0),"")</f>
        <v>0</v>
      </c>
      <c r="F2829" s="456"/>
      <c r="G2829" s="456"/>
      <c r="H2829" s="456"/>
    </row>
    <row r="2830" spans="1:8" ht="13.5" customHeight="1">
      <c r="A2830" s="456">
        <v>9826</v>
      </c>
      <c r="B2830" s="540"/>
      <c r="C2830" s="471"/>
      <c r="D2830" s="456">
        <f>IF(Table11[[#This Row],[Current Age]]&gt;19,"Women's",IF(E2830&gt;15,"U19",IF(E2830&gt;13,"U15",IF(E2830&gt;11,"U13",IF(E2830&gt;0,"U11",0)))))</f>
        <v>0</v>
      </c>
      <c r="E2830" s="456">
        <f>IFERROR(IF(Table11[[#This Row],[Year]]&gt;0,$E$1-Table11[[#This Row],[Year]],0),"")</f>
        <v>0</v>
      </c>
      <c r="F2830" s="456"/>
      <c r="G2830" s="456"/>
      <c r="H2830" s="456"/>
    </row>
    <row r="2831" spans="1:8" ht="13.5" customHeight="1">
      <c r="A2831" s="471">
        <v>9827</v>
      </c>
      <c r="B2831" s="457"/>
      <c r="C2831" s="456"/>
      <c r="D2831" s="456">
        <f>IF(Table11[[#This Row],[Current Age]]&gt;19,"Women's",IF(E2831&gt;15,"U19",IF(E2831&gt;13,"U15",IF(E2831&gt;11,"U13",IF(E2831&gt;0,"U11",0)))))</f>
        <v>0</v>
      </c>
      <c r="E2831" s="456">
        <f>IFERROR(IF(Table11[[#This Row],[Year]]&gt;0,$E$1-Table11[[#This Row],[Year]],0),"")</f>
        <v>0</v>
      </c>
      <c r="F2831" s="456"/>
      <c r="G2831" s="456"/>
      <c r="H2831" s="456"/>
    </row>
    <row r="2832" spans="1:8" ht="13.5" customHeight="1">
      <c r="A2832" s="456">
        <v>9828</v>
      </c>
      <c r="B2832" s="540"/>
      <c r="C2832" s="471"/>
      <c r="D2832" s="456">
        <f>IF(Table11[[#This Row],[Current Age]]&gt;19,"Women's",IF(E2832&gt;15,"U19",IF(E2832&gt;13,"U15",IF(E2832&gt;11,"U13",IF(E2832&gt;0,"U11",0)))))</f>
        <v>0</v>
      </c>
      <c r="E2832" s="456">
        <f>IFERROR(IF(Table11[[#This Row],[Year]]&gt;0,$E$1-Table11[[#This Row],[Year]],0),"")</f>
        <v>0</v>
      </c>
      <c r="F2832" s="456"/>
      <c r="G2832" s="456"/>
      <c r="H2832" s="456"/>
    </row>
    <row r="2833" spans="1:8" ht="13.5" customHeight="1">
      <c r="A2833" s="471">
        <v>9829</v>
      </c>
      <c r="B2833" s="457"/>
      <c r="C2833" s="456"/>
      <c r="D2833" s="456">
        <f>IF(Table11[[#This Row],[Current Age]]&gt;19,"Women's",IF(E2833&gt;15,"U19",IF(E2833&gt;13,"U15",IF(E2833&gt;11,"U13",IF(E2833&gt;0,"U11",0)))))</f>
        <v>0</v>
      </c>
      <c r="E2833" s="456">
        <f>IFERROR(IF(Table11[[#This Row],[Year]]&gt;0,$E$1-Table11[[#This Row],[Year]],0),"")</f>
        <v>0</v>
      </c>
      <c r="F2833" s="456"/>
      <c r="G2833" s="456"/>
      <c r="H2833" s="456"/>
    </row>
    <row r="2834" spans="1:8" ht="13.5" customHeight="1">
      <c r="A2834" s="456">
        <v>9830</v>
      </c>
      <c r="B2834" s="540"/>
      <c r="C2834" s="471"/>
      <c r="D2834" s="456">
        <f>IF(Table11[[#This Row],[Current Age]]&gt;19,"Women's",IF(E2834&gt;15,"U19",IF(E2834&gt;13,"U15",IF(E2834&gt;11,"U13",IF(E2834&gt;0,"U11",0)))))</f>
        <v>0</v>
      </c>
      <c r="E2834" s="456">
        <f>IFERROR(IF(Table11[[#This Row],[Year]]&gt;0,$E$1-Table11[[#This Row],[Year]],0),"")</f>
        <v>0</v>
      </c>
      <c r="F2834" s="456"/>
      <c r="G2834" s="456"/>
      <c r="H2834" s="456"/>
    </row>
    <row r="2835" spans="1:8" ht="13.5" customHeight="1">
      <c r="A2835" s="471">
        <v>9831</v>
      </c>
      <c r="B2835" s="457"/>
      <c r="C2835" s="456"/>
      <c r="D2835" s="456">
        <f>IF(Table11[[#This Row],[Current Age]]&gt;19,"Women's",IF(E2835&gt;15,"U19",IF(E2835&gt;13,"U15",IF(E2835&gt;11,"U13",IF(E2835&gt;0,"U11",0)))))</f>
        <v>0</v>
      </c>
      <c r="E2835" s="456">
        <f>IFERROR(IF(Table11[[#This Row],[Year]]&gt;0,$E$1-Table11[[#This Row],[Year]],0),"")</f>
        <v>0</v>
      </c>
      <c r="F2835" s="456"/>
      <c r="G2835" s="456"/>
      <c r="H2835" s="456"/>
    </row>
    <row r="2836" spans="1:8" ht="13.5" customHeight="1">
      <c r="A2836" s="456">
        <v>9832</v>
      </c>
      <c r="B2836" s="540"/>
      <c r="C2836" s="471"/>
      <c r="D2836" s="456">
        <f>IF(Table11[[#This Row],[Current Age]]&gt;19,"Women's",IF(E2836&gt;15,"U19",IF(E2836&gt;13,"U15",IF(E2836&gt;11,"U13",IF(E2836&gt;0,"U11",0)))))</f>
        <v>0</v>
      </c>
      <c r="E2836" s="456">
        <f>IFERROR(IF(Table11[[#This Row],[Year]]&gt;0,$E$1-Table11[[#This Row],[Year]],0),"")</f>
        <v>0</v>
      </c>
      <c r="F2836" s="456"/>
      <c r="G2836" s="456"/>
      <c r="H2836" s="456"/>
    </row>
    <row r="2837" spans="1:8" ht="13.5" customHeight="1">
      <c r="A2837" s="471">
        <v>9833</v>
      </c>
      <c r="B2837" s="457"/>
      <c r="C2837" s="456"/>
      <c r="D2837" s="456">
        <f>IF(Table11[[#This Row],[Current Age]]&gt;19,"Women's",IF(E2837&gt;15,"U19",IF(E2837&gt;13,"U15",IF(E2837&gt;11,"U13",IF(E2837&gt;0,"U11",0)))))</f>
        <v>0</v>
      </c>
      <c r="E2837" s="456">
        <f>IFERROR(IF(Table11[[#This Row],[Year]]&gt;0,$E$1-Table11[[#This Row],[Year]],0),"")</f>
        <v>0</v>
      </c>
      <c r="F2837" s="456"/>
      <c r="G2837" s="456"/>
      <c r="H2837" s="456"/>
    </row>
    <row r="2838" spans="1:8" ht="13.5" customHeight="1">
      <c r="A2838" s="456">
        <v>9834</v>
      </c>
      <c r="B2838" s="540"/>
      <c r="C2838" s="471"/>
      <c r="D2838" s="456">
        <f>IF(Table11[[#This Row],[Current Age]]&gt;19,"Women's",IF(E2838&gt;15,"U19",IF(E2838&gt;13,"U15",IF(E2838&gt;11,"U13",IF(E2838&gt;0,"U11",0)))))</f>
        <v>0</v>
      </c>
      <c r="E2838" s="456">
        <f>IFERROR(IF(Table11[[#This Row],[Year]]&gt;0,$E$1-Table11[[#This Row],[Year]],0),"")</f>
        <v>0</v>
      </c>
      <c r="F2838" s="456"/>
      <c r="G2838" s="456"/>
      <c r="H2838" s="456"/>
    </row>
    <row r="2839" spans="1:8" ht="13.5" customHeight="1">
      <c r="A2839" s="471">
        <v>9835</v>
      </c>
      <c r="B2839" s="457"/>
      <c r="C2839" s="456"/>
      <c r="D2839" s="456">
        <f>IF(Table11[[#This Row],[Current Age]]&gt;19,"Women's",IF(E2839&gt;15,"U19",IF(E2839&gt;13,"U15",IF(E2839&gt;11,"U13",IF(E2839&gt;0,"U11",0)))))</f>
        <v>0</v>
      </c>
      <c r="E2839" s="456">
        <f>IFERROR(IF(Table11[[#This Row],[Year]]&gt;0,$E$1-Table11[[#This Row],[Year]],0),"")</f>
        <v>0</v>
      </c>
      <c r="F2839" s="456"/>
      <c r="G2839" s="456"/>
      <c r="H2839" s="456"/>
    </row>
    <row r="2840" spans="1:8" ht="13.5" customHeight="1">
      <c r="A2840" s="456">
        <v>9836</v>
      </c>
      <c r="B2840" s="540"/>
      <c r="C2840" s="471"/>
      <c r="D2840" s="456">
        <f>IF(Table11[[#This Row],[Current Age]]&gt;19,"Women's",IF(E2840&gt;15,"U19",IF(E2840&gt;13,"U15",IF(E2840&gt;11,"U13",IF(E2840&gt;0,"U11",0)))))</f>
        <v>0</v>
      </c>
      <c r="E2840" s="456">
        <f>IFERROR(IF(Table11[[#This Row],[Year]]&gt;0,$E$1-Table11[[#This Row],[Year]],0),"")</f>
        <v>0</v>
      </c>
      <c r="F2840" s="456"/>
      <c r="G2840" s="456"/>
      <c r="H2840" s="456"/>
    </row>
    <row r="2841" spans="1:8" ht="13.5" customHeight="1">
      <c r="A2841" s="471">
        <v>9837</v>
      </c>
      <c r="B2841" s="457"/>
      <c r="C2841" s="456"/>
      <c r="D2841" s="456">
        <f>IF(Table11[[#This Row],[Current Age]]&gt;19,"Women's",IF(E2841&gt;15,"U19",IF(E2841&gt;13,"U15",IF(E2841&gt;11,"U13",IF(E2841&gt;0,"U11",0)))))</f>
        <v>0</v>
      </c>
      <c r="E2841" s="456">
        <f>IFERROR(IF(Table11[[#This Row],[Year]]&gt;0,$E$1-Table11[[#This Row],[Year]],0),"")</f>
        <v>0</v>
      </c>
      <c r="F2841" s="456"/>
      <c r="G2841" s="456"/>
      <c r="H2841" s="456"/>
    </row>
    <row r="2842" spans="1:8" ht="13.5" customHeight="1">
      <c r="A2842" s="456">
        <v>9838</v>
      </c>
      <c r="B2842" s="540"/>
      <c r="C2842" s="471"/>
      <c r="D2842" s="456">
        <f>IF(Table11[[#This Row],[Current Age]]&gt;19,"Women's",IF(E2842&gt;15,"U19",IF(E2842&gt;13,"U15",IF(E2842&gt;11,"U13",IF(E2842&gt;0,"U11",0)))))</f>
        <v>0</v>
      </c>
      <c r="E2842" s="456">
        <f>IFERROR(IF(Table11[[#This Row],[Year]]&gt;0,$E$1-Table11[[#This Row],[Year]],0),"")</f>
        <v>0</v>
      </c>
      <c r="F2842" s="456"/>
      <c r="G2842" s="456"/>
      <c r="H2842" s="456"/>
    </row>
    <row r="2843" spans="1:8" ht="13.5" customHeight="1">
      <c r="A2843" s="471">
        <v>9839</v>
      </c>
      <c r="B2843" s="457"/>
      <c r="C2843" s="456"/>
      <c r="D2843" s="456">
        <f>IF(Table11[[#This Row],[Current Age]]&gt;19,"Women's",IF(E2843&gt;15,"U19",IF(E2843&gt;13,"U15",IF(E2843&gt;11,"U13",IF(E2843&gt;0,"U11",0)))))</f>
        <v>0</v>
      </c>
      <c r="E2843" s="456">
        <f>IFERROR(IF(Table11[[#This Row],[Year]]&gt;0,$E$1-Table11[[#This Row],[Year]],0),"")</f>
        <v>0</v>
      </c>
      <c r="F2843" s="456"/>
      <c r="G2843" s="456"/>
      <c r="H2843" s="456"/>
    </row>
    <row r="2844" spans="1:8" ht="13.5" customHeight="1">
      <c r="A2844" s="456">
        <v>9840</v>
      </c>
      <c r="B2844" s="540"/>
      <c r="C2844" s="471"/>
      <c r="D2844" s="456">
        <f>IF(Table11[[#This Row],[Current Age]]&gt;19,"Women's",IF(E2844&gt;15,"U19",IF(E2844&gt;13,"U15",IF(E2844&gt;11,"U13",IF(E2844&gt;0,"U11",0)))))</f>
        <v>0</v>
      </c>
      <c r="E2844" s="456">
        <f>IFERROR(IF(Table11[[#This Row],[Year]]&gt;0,$E$1-Table11[[#This Row],[Year]],0),"")</f>
        <v>0</v>
      </c>
      <c r="F2844" s="456"/>
      <c r="G2844" s="456"/>
      <c r="H2844" s="456"/>
    </row>
    <row r="2845" spans="1:8" ht="13.5" customHeight="1">
      <c r="A2845" s="471">
        <v>9841</v>
      </c>
      <c r="B2845" s="457"/>
      <c r="C2845" s="456"/>
      <c r="D2845" s="456">
        <f>IF(Table11[[#This Row],[Current Age]]&gt;19,"Women's",IF(E2845&gt;15,"U19",IF(E2845&gt;13,"U15",IF(E2845&gt;11,"U13",IF(E2845&gt;0,"U11",0)))))</f>
        <v>0</v>
      </c>
      <c r="E2845" s="456">
        <f>IFERROR(IF(Table11[[#This Row],[Year]]&gt;0,$E$1-Table11[[#This Row],[Year]],0),"")</f>
        <v>0</v>
      </c>
      <c r="F2845" s="456"/>
      <c r="G2845" s="456"/>
      <c r="H2845" s="456"/>
    </row>
    <row r="2846" spans="1:8" ht="13.5" customHeight="1">
      <c r="A2846" s="456">
        <v>9842</v>
      </c>
      <c r="B2846" s="540"/>
      <c r="C2846" s="471"/>
      <c r="D2846" s="456">
        <f>IF(Table11[[#This Row],[Current Age]]&gt;19,"Women's",IF(E2846&gt;15,"U19",IF(E2846&gt;13,"U15",IF(E2846&gt;11,"U13",IF(E2846&gt;0,"U11",0)))))</f>
        <v>0</v>
      </c>
      <c r="E2846" s="456">
        <f>IFERROR(IF(Table11[[#This Row],[Year]]&gt;0,$E$1-Table11[[#This Row],[Year]],0),"")</f>
        <v>0</v>
      </c>
      <c r="F2846" s="456"/>
      <c r="G2846" s="456"/>
      <c r="H2846" s="456"/>
    </row>
    <row r="2847" spans="1:8" ht="13.5" customHeight="1">
      <c r="A2847" s="471">
        <v>9843</v>
      </c>
      <c r="B2847" s="457"/>
      <c r="C2847" s="456"/>
      <c r="D2847" s="456">
        <f>IF(Table11[[#This Row],[Current Age]]&gt;19,"Women's",IF(E2847&gt;15,"U19",IF(E2847&gt;13,"U15",IF(E2847&gt;11,"U13",IF(E2847&gt;0,"U11",0)))))</f>
        <v>0</v>
      </c>
      <c r="E2847" s="456">
        <f>IFERROR(IF(Table11[[#This Row],[Year]]&gt;0,$E$1-Table11[[#This Row],[Year]],0),"")</f>
        <v>0</v>
      </c>
      <c r="F2847" s="456"/>
      <c r="G2847" s="456"/>
      <c r="H2847" s="456"/>
    </row>
    <row r="2848" spans="1:8" ht="13.5" customHeight="1">
      <c r="A2848" s="456">
        <v>9844</v>
      </c>
      <c r="B2848" s="540"/>
      <c r="C2848" s="471"/>
      <c r="D2848" s="456">
        <f>IF(Table11[[#This Row],[Current Age]]&gt;19,"Women's",IF(E2848&gt;15,"U19",IF(E2848&gt;13,"U15",IF(E2848&gt;11,"U13",IF(E2848&gt;0,"U11",0)))))</f>
        <v>0</v>
      </c>
      <c r="E2848" s="456">
        <f>IFERROR(IF(Table11[[#This Row],[Year]]&gt;0,$E$1-Table11[[#This Row],[Year]],0),"")</f>
        <v>0</v>
      </c>
      <c r="F2848" s="456"/>
      <c r="G2848" s="456"/>
      <c r="H2848" s="456"/>
    </row>
    <row r="2849" spans="1:8" ht="13.5" customHeight="1">
      <c r="A2849" s="471">
        <v>9845</v>
      </c>
      <c r="B2849" s="457"/>
      <c r="C2849" s="456"/>
      <c r="D2849" s="456">
        <f>IF(Table11[[#This Row],[Current Age]]&gt;19,"Women's",IF(E2849&gt;15,"U19",IF(E2849&gt;13,"U15",IF(E2849&gt;11,"U13",IF(E2849&gt;0,"U11",0)))))</f>
        <v>0</v>
      </c>
      <c r="E2849" s="456">
        <f>IFERROR(IF(Table11[[#This Row],[Year]]&gt;0,$E$1-Table11[[#This Row],[Year]],0),"")</f>
        <v>0</v>
      </c>
      <c r="F2849" s="456"/>
      <c r="G2849" s="456"/>
      <c r="H2849" s="456"/>
    </row>
    <row r="2850" spans="1:8" ht="13.5" customHeight="1">
      <c r="A2850" s="456">
        <v>9846</v>
      </c>
      <c r="B2850" s="540"/>
      <c r="C2850" s="471"/>
      <c r="D2850" s="456">
        <f>IF(Table11[[#This Row],[Current Age]]&gt;19,"Women's",IF(E2850&gt;15,"U19",IF(E2850&gt;13,"U15",IF(E2850&gt;11,"U13",IF(E2850&gt;0,"U11",0)))))</f>
        <v>0</v>
      </c>
      <c r="E2850" s="456">
        <f>IFERROR(IF(Table11[[#This Row],[Year]]&gt;0,$E$1-Table11[[#This Row],[Year]],0),"")</f>
        <v>0</v>
      </c>
      <c r="F2850" s="456"/>
      <c r="G2850" s="456"/>
      <c r="H2850" s="456"/>
    </row>
    <row r="2851" spans="1:8" ht="13.5" customHeight="1">
      <c r="A2851" s="471">
        <v>9847</v>
      </c>
      <c r="B2851" s="457"/>
      <c r="C2851" s="456"/>
      <c r="D2851" s="456">
        <f>IF(Table11[[#This Row],[Current Age]]&gt;19,"Women's",IF(E2851&gt;15,"U19",IF(E2851&gt;13,"U15",IF(E2851&gt;11,"U13",IF(E2851&gt;0,"U11",0)))))</f>
        <v>0</v>
      </c>
      <c r="E2851" s="456">
        <f>IFERROR(IF(Table11[[#This Row],[Year]]&gt;0,$E$1-Table11[[#This Row],[Year]],0),"")</f>
        <v>0</v>
      </c>
      <c r="F2851" s="456"/>
      <c r="G2851" s="456"/>
      <c r="H2851" s="456"/>
    </row>
    <row r="2852" spans="1:8" ht="13.5" customHeight="1">
      <c r="A2852" s="456">
        <v>9848</v>
      </c>
      <c r="B2852" s="540"/>
      <c r="C2852" s="471"/>
      <c r="D2852" s="456">
        <f>IF(Table11[[#This Row],[Current Age]]&gt;19,"Women's",IF(E2852&gt;15,"U19",IF(E2852&gt;13,"U15",IF(E2852&gt;11,"U13",IF(E2852&gt;0,"U11",0)))))</f>
        <v>0</v>
      </c>
      <c r="E2852" s="456">
        <f>IFERROR(IF(Table11[[#This Row],[Year]]&gt;0,$E$1-Table11[[#This Row],[Year]],0),"")</f>
        <v>0</v>
      </c>
      <c r="F2852" s="456"/>
      <c r="G2852" s="456"/>
      <c r="H2852" s="456"/>
    </row>
    <row r="2853" spans="1:8" ht="13.5" customHeight="1">
      <c r="A2853" s="471">
        <v>9849</v>
      </c>
      <c r="B2853" s="457"/>
      <c r="C2853" s="456"/>
      <c r="D2853" s="456">
        <f>IF(Table11[[#This Row],[Current Age]]&gt;19,"Women's",IF(E2853&gt;15,"U19",IF(E2853&gt;13,"U15",IF(E2853&gt;11,"U13",IF(E2853&gt;0,"U11",0)))))</f>
        <v>0</v>
      </c>
      <c r="E2853" s="456">
        <f>IFERROR(IF(Table11[[#This Row],[Year]]&gt;0,$E$1-Table11[[#This Row],[Year]],0),"")</f>
        <v>0</v>
      </c>
      <c r="F2853" s="456"/>
      <c r="G2853" s="456"/>
      <c r="H2853" s="456"/>
    </row>
    <row r="2854" spans="1:8" ht="13.5" customHeight="1">
      <c r="A2854" s="456">
        <v>9850</v>
      </c>
      <c r="B2854" s="540"/>
      <c r="C2854" s="471"/>
      <c r="D2854" s="456">
        <f>IF(Table11[[#This Row],[Current Age]]&gt;19,"Women's",IF(E2854&gt;15,"U19",IF(E2854&gt;13,"U15",IF(E2854&gt;11,"U13",IF(E2854&gt;0,"U11",0)))))</f>
        <v>0</v>
      </c>
      <c r="E2854" s="456">
        <f>IFERROR(IF(Table11[[#This Row],[Year]]&gt;0,$E$1-Table11[[#This Row],[Year]],0),"")</f>
        <v>0</v>
      </c>
      <c r="F2854" s="456"/>
      <c r="G2854" s="456"/>
      <c r="H2854" s="456"/>
    </row>
    <row r="2855" spans="1:8" ht="13.5" customHeight="1">
      <c r="A2855" s="471">
        <v>9851</v>
      </c>
      <c r="B2855" s="457"/>
      <c r="C2855" s="456"/>
      <c r="D2855" s="456">
        <f>IF(Table11[[#This Row],[Current Age]]&gt;19,"Women's",IF(E2855&gt;15,"U19",IF(E2855&gt;13,"U15",IF(E2855&gt;11,"U13",IF(E2855&gt;0,"U11",0)))))</f>
        <v>0</v>
      </c>
      <c r="E2855" s="456">
        <f>IFERROR(IF(Table11[[#This Row],[Year]]&gt;0,$E$1-Table11[[#This Row],[Year]],0),"")</f>
        <v>0</v>
      </c>
      <c r="F2855" s="456"/>
      <c r="G2855" s="456"/>
      <c r="H2855" s="456"/>
    </row>
    <row r="2856" spans="1:8" ht="13.5" customHeight="1">
      <c r="A2856" s="456">
        <v>9852</v>
      </c>
      <c r="B2856" s="540"/>
      <c r="C2856" s="471"/>
      <c r="D2856" s="456">
        <f>IF(Table11[[#This Row],[Current Age]]&gt;19,"Women's",IF(E2856&gt;15,"U19",IF(E2856&gt;13,"U15",IF(E2856&gt;11,"U13",IF(E2856&gt;0,"U11",0)))))</f>
        <v>0</v>
      </c>
      <c r="E2856" s="456">
        <f>IFERROR(IF(Table11[[#This Row],[Year]]&gt;0,$E$1-Table11[[#This Row],[Year]],0),"")</f>
        <v>0</v>
      </c>
      <c r="F2856" s="456"/>
      <c r="G2856" s="456"/>
      <c r="H2856" s="456"/>
    </row>
    <row r="2857" spans="1:8" ht="13.5" customHeight="1">
      <c r="A2857" s="471">
        <v>9853</v>
      </c>
      <c r="B2857" s="457"/>
      <c r="C2857" s="456"/>
      <c r="D2857" s="456">
        <f>IF(Table11[[#This Row],[Current Age]]&gt;19,"Women's",IF(E2857&gt;15,"U19",IF(E2857&gt;13,"U15",IF(E2857&gt;11,"U13",IF(E2857&gt;0,"U11",0)))))</f>
        <v>0</v>
      </c>
      <c r="E2857" s="456">
        <f>IFERROR(IF(Table11[[#This Row],[Year]]&gt;0,$E$1-Table11[[#This Row],[Year]],0),"")</f>
        <v>0</v>
      </c>
      <c r="F2857" s="456"/>
      <c r="G2857" s="456"/>
      <c r="H2857" s="456"/>
    </row>
    <row r="2858" spans="1:8" ht="13.5" customHeight="1">
      <c r="A2858" s="456">
        <v>9854</v>
      </c>
      <c r="B2858" s="540"/>
      <c r="C2858" s="471"/>
      <c r="D2858" s="456">
        <f>IF(Table11[[#This Row],[Current Age]]&gt;19,"Women's",IF(E2858&gt;15,"U19",IF(E2858&gt;13,"U15",IF(E2858&gt;11,"U13",IF(E2858&gt;0,"U11",0)))))</f>
        <v>0</v>
      </c>
      <c r="E2858" s="456">
        <f>IFERROR(IF(Table11[[#This Row],[Year]]&gt;0,$E$1-Table11[[#This Row],[Year]],0),"")</f>
        <v>0</v>
      </c>
      <c r="F2858" s="456"/>
      <c r="G2858" s="456"/>
      <c r="H2858" s="456"/>
    </row>
    <row r="2859" spans="1:8" ht="13.5" customHeight="1">
      <c r="A2859" s="471">
        <v>9855</v>
      </c>
      <c r="B2859" s="457"/>
      <c r="C2859" s="456"/>
      <c r="D2859" s="456">
        <f>IF(Table11[[#This Row],[Current Age]]&gt;19,"Women's",IF(E2859&gt;15,"U19",IF(E2859&gt;13,"U15",IF(E2859&gt;11,"U13",IF(E2859&gt;0,"U11",0)))))</f>
        <v>0</v>
      </c>
      <c r="E2859" s="456">
        <f>IFERROR(IF(Table11[[#This Row],[Year]]&gt;0,$E$1-Table11[[#This Row],[Year]],0),"")</f>
        <v>0</v>
      </c>
      <c r="F2859" s="456"/>
      <c r="G2859" s="456"/>
      <c r="H2859" s="456"/>
    </row>
    <row r="2860" spans="1:8" ht="13.5" customHeight="1">
      <c r="A2860" s="456">
        <v>9856</v>
      </c>
      <c r="B2860" s="540"/>
      <c r="C2860" s="471"/>
      <c r="D2860" s="456">
        <f>IF(Table11[[#This Row],[Current Age]]&gt;19,"Women's",IF(E2860&gt;15,"U19",IF(E2860&gt;13,"U15",IF(E2860&gt;11,"U13",IF(E2860&gt;0,"U11",0)))))</f>
        <v>0</v>
      </c>
      <c r="E2860" s="456">
        <f>IFERROR(IF(Table11[[#This Row],[Year]]&gt;0,$E$1-Table11[[#This Row],[Year]],0),"")</f>
        <v>0</v>
      </c>
      <c r="F2860" s="456"/>
      <c r="G2860" s="456"/>
      <c r="H2860" s="456"/>
    </row>
    <row r="2861" spans="1:8" ht="13.5" customHeight="1">
      <c r="A2861" s="471">
        <v>9857</v>
      </c>
      <c r="B2861" s="457"/>
      <c r="C2861" s="456"/>
      <c r="D2861" s="456">
        <f>IF(Table11[[#This Row],[Current Age]]&gt;19,"Women's",IF(E2861&gt;15,"U19",IF(E2861&gt;13,"U15",IF(E2861&gt;11,"U13",IF(E2861&gt;0,"U11",0)))))</f>
        <v>0</v>
      </c>
      <c r="E2861" s="456">
        <f>IFERROR(IF(Table11[[#This Row],[Year]]&gt;0,$E$1-Table11[[#This Row],[Year]],0),"")</f>
        <v>0</v>
      </c>
      <c r="F2861" s="456"/>
      <c r="G2861" s="456"/>
      <c r="H2861" s="456"/>
    </row>
    <row r="2862" spans="1:8" ht="13.5" customHeight="1">
      <c r="A2862" s="456">
        <v>9858</v>
      </c>
      <c r="B2862" s="540"/>
      <c r="C2862" s="471"/>
      <c r="D2862" s="456">
        <f>IF(Table11[[#This Row],[Current Age]]&gt;19,"Women's",IF(E2862&gt;15,"U19",IF(E2862&gt;13,"U15",IF(E2862&gt;11,"U13",IF(E2862&gt;0,"U11",0)))))</f>
        <v>0</v>
      </c>
      <c r="E2862" s="456">
        <f>IFERROR(IF(Table11[[#This Row],[Year]]&gt;0,$E$1-Table11[[#This Row],[Year]],0),"")</f>
        <v>0</v>
      </c>
      <c r="F2862" s="456"/>
      <c r="G2862" s="456"/>
      <c r="H2862" s="456"/>
    </row>
    <row r="2863" spans="1:8" ht="13.5" customHeight="1">
      <c r="A2863" s="471">
        <v>9859</v>
      </c>
      <c r="B2863" s="457"/>
      <c r="C2863" s="456"/>
      <c r="D2863" s="456">
        <f>IF(Table11[[#This Row],[Current Age]]&gt;19,"Women's",IF(E2863&gt;15,"U19",IF(E2863&gt;13,"U15",IF(E2863&gt;11,"U13",IF(E2863&gt;0,"U11",0)))))</f>
        <v>0</v>
      </c>
      <c r="E2863" s="456">
        <f>IFERROR(IF(Table11[[#This Row],[Year]]&gt;0,$E$1-Table11[[#This Row],[Year]],0),"")</f>
        <v>0</v>
      </c>
      <c r="F2863" s="456"/>
      <c r="G2863" s="456"/>
      <c r="H2863" s="456"/>
    </row>
    <row r="2864" spans="1:8" ht="13.5" customHeight="1">
      <c r="A2864" s="456">
        <v>9860</v>
      </c>
      <c r="B2864" s="540"/>
      <c r="C2864" s="471"/>
      <c r="D2864" s="456">
        <f>IF(Table11[[#This Row],[Current Age]]&gt;19,"Women's",IF(E2864&gt;15,"U19",IF(E2864&gt;13,"U15",IF(E2864&gt;11,"U13",IF(E2864&gt;0,"U11",0)))))</f>
        <v>0</v>
      </c>
      <c r="E2864" s="456">
        <f>IFERROR(IF(Table11[[#This Row],[Year]]&gt;0,$E$1-Table11[[#This Row],[Year]],0),"")</f>
        <v>0</v>
      </c>
      <c r="F2864" s="456"/>
      <c r="G2864" s="456"/>
      <c r="H2864" s="456"/>
    </row>
    <row r="2865" spans="1:8" ht="13.5" customHeight="1">
      <c r="A2865" s="471">
        <v>9861</v>
      </c>
      <c r="B2865" s="457"/>
      <c r="C2865" s="456"/>
      <c r="D2865" s="456">
        <f>IF(Table11[[#This Row],[Current Age]]&gt;19,"Women's",IF(E2865&gt;15,"U19",IF(E2865&gt;13,"U15",IF(E2865&gt;11,"U13",IF(E2865&gt;0,"U11",0)))))</f>
        <v>0</v>
      </c>
      <c r="E2865" s="456">
        <f>IFERROR(IF(Table11[[#This Row],[Year]]&gt;0,$E$1-Table11[[#This Row],[Year]],0),"")</f>
        <v>0</v>
      </c>
      <c r="F2865" s="456"/>
      <c r="G2865" s="456"/>
      <c r="H2865" s="456"/>
    </row>
    <row r="2866" spans="1:8" ht="13.5" customHeight="1">
      <c r="A2866" s="456">
        <v>9862</v>
      </c>
      <c r="B2866" s="540"/>
      <c r="C2866" s="471"/>
      <c r="D2866" s="456">
        <f>IF(Table11[[#This Row],[Current Age]]&gt;19,"Women's",IF(E2866&gt;15,"U19",IF(E2866&gt;13,"U15",IF(E2866&gt;11,"U13",IF(E2866&gt;0,"U11",0)))))</f>
        <v>0</v>
      </c>
      <c r="E2866" s="456">
        <f>IFERROR(IF(Table11[[#This Row],[Year]]&gt;0,$E$1-Table11[[#This Row],[Year]],0),"")</f>
        <v>0</v>
      </c>
      <c r="F2866" s="456"/>
      <c r="G2866" s="456"/>
      <c r="H2866" s="456"/>
    </row>
    <row r="2867" spans="1:8" ht="13.5" customHeight="1">
      <c r="A2867" s="471">
        <v>9863</v>
      </c>
      <c r="B2867" s="457"/>
      <c r="C2867" s="456"/>
      <c r="D2867" s="456">
        <f>IF(Table11[[#This Row],[Current Age]]&gt;19,"Women's",IF(E2867&gt;15,"U19",IF(E2867&gt;13,"U15",IF(E2867&gt;11,"U13",IF(E2867&gt;0,"U11",0)))))</f>
        <v>0</v>
      </c>
      <c r="E2867" s="456">
        <f>IFERROR(IF(Table11[[#This Row],[Year]]&gt;0,$E$1-Table11[[#This Row],[Year]],0),"")</f>
        <v>0</v>
      </c>
      <c r="F2867" s="456"/>
      <c r="G2867" s="456"/>
      <c r="H2867" s="456"/>
    </row>
    <row r="2868" spans="1:8" ht="13.5" customHeight="1">
      <c r="A2868" s="456">
        <v>9864</v>
      </c>
      <c r="B2868" s="540"/>
      <c r="C2868" s="471"/>
      <c r="D2868" s="456">
        <f>IF(Table11[[#This Row],[Current Age]]&gt;19,"Women's",IF(E2868&gt;15,"U19",IF(E2868&gt;13,"U15",IF(E2868&gt;11,"U13",IF(E2868&gt;0,"U11",0)))))</f>
        <v>0</v>
      </c>
      <c r="E2868" s="456">
        <f>IFERROR(IF(Table11[[#This Row],[Year]]&gt;0,$E$1-Table11[[#This Row],[Year]],0),"")</f>
        <v>0</v>
      </c>
      <c r="F2868" s="456"/>
      <c r="G2868" s="456"/>
      <c r="H2868" s="456"/>
    </row>
    <row r="2869" spans="1:8" ht="13.5" customHeight="1">
      <c r="A2869" s="471">
        <v>9865</v>
      </c>
      <c r="B2869" s="457"/>
      <c r="C2869" s="456"/>
      <c r="D2869" s="456">
        <f>IF(Table11[[#This Row],[Current Age]]&gt;19,"Women's",IF(E2869&gt;15,"U19",IF(E2869&gt;13,"U15",IF(E2869&gt;11,"U13",IF(E2869&gt;0,"U11",0)))))</f>
        <v>0</v>
      </c>
      <c r="E2869" s="456">
        <f>IFERROR(IF(Table11[[#This Row],[Year]]&gt;0,$E$1-Table11[[#This Row],[Year]],0),"")</f>
        <v>0</v>
      </c>
      <c r="F2869" s="456"/>
      <c r="G2869" s="456"/>
      <c r="H2869" s="456"/>
    </row>
    <row r="2870" spans="1:8" ht="13.5" customHeight="1">
      <c r="A2870" s="456">
        <v>9866</v>
      </c>
      <c r="B2870" s="540"/>
      <c r="C2870" s="471"/>
      <c r="D2870" s="456">
        <f>IF(Table11[[#This Row],[Current Age]]&gt;19,"Women's",IF(E2870&gt;15,"U19",IF(E2870&gt;13,"U15",IF(E2870&gt;11,"U13",IF(E2870&gt;0,"U11",0)))))</f>
        <v>0</v>
      </c>
      <c r="E2870" s="456">
        <f>IFERROR(IF(Table11[[#This Row],[Year]]&gt;0,$E$1-Table11[[#This Row],[Year]],0),"")</f>
        <v>0</v>
      </c>
      <c r="F2870" s="456"/>
      <c r="G2870" s="456"/>
      <c r="H2870" s="456"/>
    </row>
    <row r="2871" spans="1:8" ht="13.5" customHeight="1">
      <c r="A2871" s="471">
        <v>9867</v>
      </c>
      <c r="B2871" s="457"/>
      <c r="C2871" s="456"/>
      <c r="D2871" s="456">
        <f>IF(Table11[[#This Row],[Current Age]]&gt;19,"Women's",IF(E2871&gt;15,"U19",IF(E2871&gt;13,"U15",IF(E2871&gt;11,"U13",IF(E2871&gt;0,"U11",0)))))</f>
        <v>0</v>
      </c>
      <c r="E2871" s="456">
        <f>IFERROR(IF(Table11[[#This Row],[Year]]&gt;0,$E$1-Table11[[#This Row],[Year]],0),"")</f>
        <v>0</v>
      </c>
      <c r="F2871" s="456"/>
      <c r="G2871" s="456"/>
      <c r="H2871" s="456"/>
    </row>
    <row r="2872" spans="1:8" ht="13.5" customHeight="1">
      <c r="A2872" s="456">
        <v>9868</v>
      </c>
      <c r="B2872" s="540"/>
      <c r="C2872" s="471"/>
      <c r="D2872" s="456">
        <f>IF(Table11[[#This Row],[Current Age]]&gt;19,"Women's",IF(E2872&gt;15,"U19",IF(E2872&gt;13,"U15",IF(E2872&gt;11,"U13",IF(E2872&gt;0,"U11",0)))))</f>
        <v>0</v>
      </c>
      <c r="E2872" s="456">
        <f>IFERROR(IF(Table11[[#This Row],[Year]]&gt;0,$E$1-Table11[[#This Row],[Year]],0),"")</f>
        <v>0</v>
      </c>
      <c r="F2872" s="456"/>
      <c r="G2872" s="456"/>
      <c r="H2872" s="456"/>
    </row>
    <row r="2873" spans="1:8" ht="13.5" customHeight="1">
      <c r="A2873" s="471">
        <v>9869</v>
      </c>
      <c r="B2873" s="457"/>
      <c r="C2873" s="456"/>
      <c r="D2873" s="456">
        <f>IF(Table11[[#This Row],[Current Age]]&gt;19,"Women's",IF(E2873&gt;15,"U19",IF(E2873&gt;13,"U15",IF(E2873&gt;11,"U13",IF(E2873&gt;0,"U11",0)))))</f>
        <v>0</v>
      </c>
      <c r="E2873" s="456">
        <f>IFERROR(IF(Table11[[#This Row],[Year]]&gt;0,$E$1-Table11[[#This Row],[Year]],0),"")</f>
        <v>0</v>
      </c>
      <c r="F2873" s="456"/>
      <c r="G2873" s="456"/>
      <c r="H2873" s="456"/>
    </row>
    <row r="2874" spans="1:8" ht="13.5" customHeight="1">
      <c r="A2874" s="456">
        <v>9870</v>
      </c>
      <c r="B2874" s="540"/>
      <c r="C2874" s="471"/>
      <c r="D2874" s="456">
        <f>IF(Table11[[#This Row],[Current Age]]&gt;19,"Women's",IF(E2874&gt;15,"U19",IF(E2874&gt;13,"U15",IF(E2874&gt;11,"U13",IF(E2874&gt;0,"U11",0)))))</f>
        <v>0</v>
      </c>
      <c r="E2874" s="456">
        <f>IFERROR(IF(Table11[[#This Row],[Year]]&gt;0,$E$1-Table11[[#This Row],[Year]],0),"")</f>
        <v>0</v>
      </c>
      <c r="F2874" s="456"/>
      <c r="G2874" s="456"/>
      <c r="H2874" s="456"/>
    </row>
    <row r="2875" spans="1:8" ht="13.5" customHeight="1">
      <c r="A2875" s="471">
        <v>9871</v>
      </c>
      <c r="B2875" s="457"/>
      <c r="C2875" s="456"/>
      <c r="D2875" s="456">
        <f>IF(Table11[[#This Row],[Current Age]]&gt;19,"Women's",IF(E2875&gt;15,"U19",IF(E2875&gt;13,"U15",IF(E2875&gt;11,"U13",IF(E2875&gt;0,"U11",0)))))</f>
        <v>0</v>
      </c>
      <c r="E2875" s="456">
        <f>IFERROR(IF(Table11[[#This Row],[Year]]&gt;0,$E$1-Table11[[#This Row],[Year]],0),"")</f>
        <v>0</v>
      </c>
      <c r="F2875" s="456"/>
      <c r="G2875" s="456"/>
      <c r="H2875" s="456"/>
    </row>
    <row r="2876" spans="1:8" ht="13.5" customHeight="1">
      <c r="A2876" s="456">
        <v>9872</v>
      </c>
      <c r="B2876" s="540"/>
      <c r="C2876" s="471"/>
      <c r="D2876" s="456">
        <f>IF(Table11[[#This Row],[Current Age]]&gt;19,"Women's",IF(E2876&gt;15,"U19",IF(E2876&gt;13,"U15",IF(E2876&gt;11,"U13",IF(E2876&gt;0,"U11",0)))))</f>
        <v>0</v>
      </c>
      <c r="E2876" s="456">
        <f>IFERROR(IF(Table11[[#This Row],[Year]]&gt;0,$E$1-Table11[[#This Row],[Year]],0),"")</f>
        <v>0</v>
      </c>
      <c r="F2876" s="456"/>
      <c r="G2876" s="456"/>
      <c r="H2876" s="456"/>
    </row>
    <row r="2877" spans="1:8" ht="13.5" customHeight="1">
      <c r="A2877" s="471">
        <v>9873</v>
      </c>
      <c r="B2877" s="457"/>
      <c r="C2877" s="456"/>
      <c r="D2877" s="456">
        <f>IF(Table11[[#This Row],[Current Age]]&gt;19,"Women's",IF(E2877&gt;15,"U19",IF(E2877&gt;13,"U15",IF(E2877&gt;11,"U13",IF(E2877&gt;0,"U11",0)))))</f>
        <v>0</v>
      </c>
      <c r="E2877" s="456">
        <f>IFERROR(IF(Table11[[#This Row],[Year]]&gt;0,$E$1-Table11[[#This Row],[Year]],0),"")</f>
        <v>0</v>
      </c>
      <c r="F2877" s="456"/>
      <c r="G2877" s="456"/>
      <c r="H2877" s="456"/>
    </row>
    <row r="2878" spans="1:8" ht="13.5" customHeight="1">
      <c r="A2878" s="456">
        <v>9874</v>
      </c>
      <c r="B2878" s="540"/>
      <c r="C2878" s="471"/>
      <c r="D2878" s="456">
        <f>IF(Table11[[#This Row],[Current Age]]&gt;19,"Women's",IF(E2878&gt;15,"U19",IF(E2878&gt;13,"U15",IF(E2878&gt;11,"U13",IF(E2878&gt;0,"U11",0)))))</f>
        <v>0</v>
      </c>
      <c r="E2878" s="456">
        <f>IFERROR(IF(Table11[[#This Row],[Year]]&gt;0,$E$1-Table11[[#This Row],[Year]],0),"")</f>
        <v>0</v>
      </c>
      <c r="F2878" s="456"/>
      <c r="G2878" s="456"/>
      <c r="H2878" s="456"/>
    </row>
    <row r="2879" spans="1:8" ht="13.5" customHeight="1">
      <c r="A2879" s="471">
        <v>9875</v>
      </c>
      <c r="B2879" s="457"/>
      <c r="C2879" s="456"/>
      <c r="D2879" s="456">
        <f>IF(Table11[[#This Row],[Current Age]]&gt;19,"Women's",IF(E2879&gt;15,"U19",IF(E2879&gt;13,"U15",IF(E2879&gt;11,"U13",IF(E2879&gt;0,"U11",0)))))</f>
        <v>0</v>
      </c>
      <c r="E2879" s="456">
        <f>IFERROR(IF(Table11[[#This Row],[Year]]&gt;0,$E$1-Table11[[#This Row],[Year]],0),"")</f>
        <v>0</v>
      </c>
      <c r="F2879" s="456"/>
      <c r="G2879" s="456"/>
      <c r="H2879" s="456"/>
    </row>
    <row r="2880" spans="1:8" ht="13.5" customHeight="1">
      <c r="A2880" s="456">
        <v>9876</v>
      </c>
      <c r="B2880" s="540"/>
      <c r="C2880" s="471"/>
      <c r="D2880" s="456">
        <f>IF(Table11[[#This Row],[Current Age]]&gt;19,"Women's",IF(E2880&gt;15,"U19",IF(E2880&gt;13,"U15",IF(E2880&gt;11,"U13",IF(E2880&gt;0,"U11",0)))))</f>
        <v>0</v>
      </c>
      <c r="E2880" s="456">
        <f>IFERROR(IF(Table11[[#This Row],[Year]]&gt;0,$E$1-Table11[[#This Row],[Year]],0),"")</f>
        <v>0</v>
      </c>
      <c r="F2880" s="456"/>
      <c r="G2880" s="456"/>
      <c r="H2880" s="456"/>
    </row>
    <row r="2881" spans="1:8" ht="13.5" customHeight="1">
      <c r="A2881" s="471">
        <v>9877</v>
      </c>
      <c r="B2881" s="457"/>
      <c r="C2881" s="456"/>
      <c r="D2881" s="456">
        <f>IF(Table11[[#This Row],[Current Age]]&gt;19,"Women's",IF(E2881&gt;15,"U19",IF(E2881&gt;13,"U15",IF(E2881&gt;11,"U13",IF(E2881&gt;0,"U11",0)))))</f>
        <v>0</v>
      </c>
      <c r="E2881" s="456">
        <f>IFERROR(IF(Table11[[#This Row],[Year]]&gt;0,$E$1-Table11[[#This Row],[Year]],0),"")</f>
        <v>0</v>
      </c>
      <c r="F2881" s="456"/>
      <c r="G2881" s="456"/>
      <c r="H2881" s="456"/>
    </row>
    <row r="2882" spans="1:8" ht="13.5" customHeight="1">
      <c r="A2882" s="456">
        <v>9878</v>
      </c>
      <c r="B2882" s="540"/>
      <c r="C2882" s="471"/>
      <c r="D2882" s="456">
        <f>IF(Table11[[#This Row],[Current Age]]&gt;19,"Women's",IF(E2882&gt;15,"U19",IF(E2882&gt;13,"U15",IF(E2882&gt;11,"U13",IF(E2882&gt;0,"U11",0)))))</f>
        <v>0</v>
      </c>
      <c r="E2882" s="456">
        <f>IFERROR(IF(Table11[[#This Row],[Year]]&gt;0,$E$1-Table11[[#This Row],[Year]],0),"")</f>
        <v>0</v>
      </c>
      <c r="F2882" s="456"/>
      <c r="G2882" s="456"/>
      <c r="H2882" s="456"/>
    </row>
    <row r="2883" spans="1:8" ht="13.5" customHeight="1">
      <c r="A2883" s="471">
        <v>9879</v>
      </c>
      <c r="B2883" s="457"/>
      <c r="C2883" s="456"/>
      <c r="D2883" s="456">
        <f>IF(Table11[[#This Row],[Current Age]]&gt;19,"Women's",IF(E2883&gt;15,"U19",IF(E2883&gt;13,"U15",IF(E2883&gt;11,"U13",IF(E2883&gt;0,"U11",0)))))</f>
        <v>0</v>
      </c>
      <c r="E2883" s="456">
        <f>IFERROR(IF(Table11[[#This Row],[Year]]&gt;0,$E$1-Table11[[#This Row],[Year]],0),"")</f>
        <v>0</v>
      </c>
      <c r="F2883" s="456"/>
      <c r="G2883" s="456"/>
      <c r="H2883" s="456"/>
    </row>
    <row r="2884" spans="1:8" ht="13.5" customHeight="1">
      <c r="A2884" s="456">
        <v>9880</v>
      </c>
      <c r="B2884" s="540"/>
      <c r="C2884" s="471"/>
      <c r="D2884" s="456">
        <f>IF(Table11[[#This Row],[Current Age]]&gt;19,"Women's",IF(E2884&gt;15,"U19",IF(E2884&gt;13,"U15",IF(E2884&gt;11,"U13",IF(E2884&gt;0,"U11",0)))))</f>
        <v>0</v>
      </c>
      <c r="E2884" s="456">
        <f>IFERROR(IF(Table11[[#This Row],[Year]]&gt;0,$E$1-Table11[[#This Row],[Year]],0),"")</f>
        <v>0</v>
      </c>
      <c r="F2884" s="456"/>
      <c r="G2884" s="456"/>
      <c r="H2884" s="456"/>
    </row>
    <row r="2885" spans="1:8" ht="13.5" customHeight="1">
      <c r="A2885" s="471">
        <v>9881</v>
      </c>
      <c r="B2885" s="457"/>
      <c r="C2885" s="456"/>
      <c r="D2885" s="456">
        <f>IF(Table11[[#This Row],[Current Age]]&gt;19,"Women's",IF(E2885&gt;15,"U19",IF(E2885&gt;13,"U15",IF(E2885&gt;11,"U13",IF(E2885&gt;0,"U11",0)))))</f>
        <v>0</v>
      </c>
      <c r="E2885" s="456">
        <f>IFERROR(IF(Table11[[#This Row],[Year]]&gt;0,$E$1-Table11[[#This Row],[Year]],0),"")</f>
        <v>0</v>
      </c>
      <c r="F2885" s="456"/>
      <c r="G2885" s="456"/>
      <c r="H2885" s="456"/>
    </row>
    <row r="2886" spans="1:8" ht="13.5" customHeight="1">
      <c r="A2886" s="456">
        <v>9882</v>
      </c>
      <c r="B2886" s="540"/>
      <c r="C2886" s="471"/>
      <c r="D2886" s="456">
        <f>IF(Table11[[#This Row],[Current Age]]&gt;19,"Women's",IF(E2886&gt;15,"U19",IF(E2886&gt;13,"U15",IF(E2886&gt;11,"U13",IF(E2886&gt;0,"U11",0)))))</f>
        <v>0</v>
      </c>
      <c r="E2886" s="456">
        <f>IFERROR(IF(Table11[[#This Row],[Year]]&gt;0,$E$1-Table11[[#This Row],[Year]],0),"")</f>
        <v>0</v>
      </c>
      <c r="F2886" s="456"/>
      <c r="G2886" s="456"/>
      <c r="H2886" s="456"/>
    </row>
    <row r="2887" spans="1:8" ht="13.5" customHeight="1">
      <c r="A2887" s="471">
        <v>9883</v>
      </c>
      <c r="B2887" s="457"/>
      <c r="C2887" s="456"/>
      <c r="D2887" s="456">
        <f>IF(Table11[[#This Row],[Current Age]]&gt;19,"Women's",IF(E2887&gt;15,"U19",IF(E2887&gt;13,"U15",IF(E2887&gt;11,"U13",IF(E2887&gt;0,"U11",0)))))</f>
        <v>0</v>
      </c>
      <c r="E2887" s="456">
        <f>IFERROR(IF(Table11[[#This Row],[Year]]&gt;0,$E$1-Table11[[#This Row],[Year]],0),"")</f>
        <v>0</v>
      </c>
      <c r="F2887" s="456"/>
      <c r="G2887" s="456"/>
      <c r="H2887" s="456"/>
    </row>
    <row r="2888" spans="1:8" ht="13.5" customHeight="1">
      <c r="A2888" s="456">
        <v>9884</v>
      </c>
      <c r="B2888" s="540"/>
      <c r="C2888" s="471"/>
      <c r="D2888" s="456">
        <f>IF(Table11[[#This Row],[Current Age]]&gt;19,"Women's",IF(E2888&gt;15,"U19",IF(E2888&gt;13,"U15",IF(E2888&gt;11,"U13",IF(E2888&gt;0,"U11",0)))))</f>
        <v>0</v>
      </c>
      <c r="E2888" s="456">
        <f>IFERROR(IF(Table11[[#This Row],[Year]]&gt;0,$E$1-Table11[[#This Row],[Year]],0),"")</f>
        <v>0</v>
      </c>
      <c r="F2888" s="456"/>
      <c r="G2888" s="456"/>
      <c r="H2888" s="456"/>
    </row>
    <row r="2889" spans="1:8" ht="13.5" customHeight="1">
      <c r="A2889" s="471">
        <v>9885</v>
      </c>
      <c r="B2889" s="457"/>
      <c r="C2889" s="456"/>
      <c r="D2889" s="456">
        <f>IF(Table11[[#This Row],[Current Age]]&gt;19,"Women's",IF(E2889&gt;15,"U19",IF(E2889&gt;13,"U15",IF(E2889&gt;11,"U13",IF(E2889&gt;0,"U11",0)))))</f>
        <v>0</v>
      </c>
      <c r="E2889" s="456">
        <f>IFERROR(IF(Table11[[#This Row],[Year]]&gt;0,$E$1-Table11[[#This Row],[Year]],0),"")</f>
        <v>0</v>
      </c>
      <c r="F2889" s="456"/>
      <c r="G2889" s="456"/>
      <c r="H2889" s="456"/>
    </row>
    <row r="2890" spans="1:8" ht="13.5" customHeight="1">
      <c r="A2890" s="456">
        <v>9886</v>
      </c>
      <c r="B2890" s="540"/>
      <c r="C2890" s="471"/>
      <c r="D2890" s="456">
        <f>IF(Table11[[#This Row],[Current Age]]&gt;19,"Women's",IF(E2890&gt;15,"U19",IF(E2890&gt;13,"U15",IF(E2890&gt;11,"U13",IF(E2890&gt;0,"U11",0)))))</f>
        <v>0</v>
      </c>
      <c r="E2890" s="456">
        <f>IFERROR(IF(Table11[[#This Row],[Year]]&gt;0,$E$1-Table11[[#This Row],[Year]],0),"")</f>
        <v>0</v>
      </c>
      <c r="F2890" s="456"/>
      <c r="G2890" s="456"/>
      <c r="H2890" s="456"/>
    </row>
    <row r="2891" spans="1:8" ht="13.5" customHeight="1">
      <c r="A2891" s="471">
        <v>9887</v>
      </c>
      <c r="B2891" s="457"/>
      <c r="C2891" s="456"/>
      <c r="D2891" s="456">
        <f>IF(Table11[[#This Row],[Current Age]]&gt;19,"Women's",IF(E2891&gt;15,"U19",IF(E2891&gt;13,"U15",IF(E2891&gt;11,"U13",IF(E2891&gt;0,"U11",0)))))</f>
        <v>0</v>
      </c>
      <c r="E2891" s="456">
        <f>IFERROR(IF(Table11[[#This Row],[Year]]&gt;0,$E$1-Table11[[#This Row],[Year]],0),"")</f>
        <v>0</v>
      </c>
      <c r="F2891" s="456"/>
      <c r="G2891" s="456"/>
      <c r="H2891" s="456"/>
    </row>
    <row r="2892" spans="1:8" ht="13.5" customHeight="1">
      <c r="A2892" s="456">
        <v>9888</v>
      </c>
      <c r="B2892" s="540"/>
      <c r="C2892" s="471"/>
      <c r="D2892" s="456">
        <f>IF(Table11[[#This Row],[Current Age]]&gt;19,"Women's",IF(E2892&gt;15,"U19",IF(E2892&gt;13,"U15",IF(E2892&gt;11,"U13",IF(E2892&gt;0,"U11",0)))))</f>
        <v>0</v>
      </c>
      <c r="E2892" s="456">
        <f>IFERROR(IF(Table11[[#This Row],[Year]]&gt;0,$E$1-Table11[[#This Row],[Year]],0),"")</f>
        <v>0</v>
      </c>
      <c r="F2892" s="456"/>
      <c r="G2892" s="456"/>
      <c r="H2892" s="456"/>
    </row>
    <row r="2893" spans="1:8" ht="13.5" customHeight="1">
      <c r="A2893" s="471">
        <v>9889</v>
      </c>
      <c r="B2893" s="457"/>
      <c r="C2893" s="456"/>
      <c r="D2893" s="456">
        <f>IF(Table11[[#This Row],[Current Age]]&gt;19,"Women's",IF(E2893&gt;15,"U19",IF(E2893&gt;13,"U15",IF(E2893&gt;11,"U13",IF(E2893&gt;0,"U11",0)))))</f>
        <v>0</v>
      </c>
      <c r="E2893" s="456">
        <f>IFERROR(IF(Table11[[#This Row],[Year]]&gt;0,$E$1-Table11[[#This Row],[Year]],0),"")</f>
        <v>0</v>
      </c>
      <c r="F2893" s="456"/>
      <c r="G2893" s="456"/>
      <c r="H2893" s="456"/>
    </row>
    <row r="2894" spans="1:8" ht="13.5" customHeight="1">
      <c r="A2894" s="456">
        <v>9890</v>
      </c>
      <c r="B2894" s="540"/>
      <c r="C2894" s="471"/>
      <c r="D2894" s="456">
        <f>IF(Table11[[#This Row],[Current Age]]&gt;19,"Women's",IF(E2894&gt;15,"U19",IF(E2894&gt;13,"U15",IF(E2894&gt;11,"U13",IF(E2894&gt;0,"U11",0)))))</f>
        <v>0</v>
      </c>
      <c r="E2894" s="456">
        <f>IFERROR(IF(Table11[[#This Row],[Year]]&gt;0,$E$1-Table11[[#This Row],[Year]],0),"")</f>
        <v>0</v>
      </c>
      <c r="F2894" s="456"/>
      <c r="G2894" s="456"/>
      <c r="H2894" s="456"/>
    </row>
    <row r="2895" spans="1:8" ht="13.5" customHeight="1">
      <c r="A2895" s="471">
        <v>9891</v>
      </c>
      <c r="B2895" s="457"/>
      <c r="C2895" s="456"/>
      <c r="D2895" s="456">
        <f>IF(Table11[[#This Row],[Current Age]]&gt;19,"Women's",IF(E2895&gt;15,"U19",IF(E2895&gt;13,"U15",IF(E2895&gt;11,"U13",IF(E2895&gt;0,"U11",0)))))</f>
        <v>0</v>
      </c>
      <c r="E2895" s="456">
        <f>IFERROR(IF(Table11[[#This Row],[Year]]&gt;0,$E$1-Table11[[#This Row],[Year]],0),"")</f>
        <v>0</v>
      </c>
      <c r="F2895" s="456"/>
      <c r="G2895" s="456"/>
      <c r="H2895" s="456"/>
    </row>
    <row r="2896" spans="1:8" ht="13.5" customHeight="1">
      <c r="A2896" s="456">
        <v>9892</v>
      </c>
      <c r="B2896" s="540"/>
      <c r="C2896" s="471"/>
      <c r="D2896" s="456">
        <f>IF(Table11[[#This Row],[Current Age]]&gt;19,"Women's",IF(E2896&gt;15,"U19",IF(E2896&gt;13,"U15",IF(E2896&gt;11,"U13",IF(E2896&gt;0,"U11",0)))))</f>
        <v>0</v>
      </c>
      <c r="E2896" s="456">
        <f>IFERROR(IF(Table11[[#This Row],[Year]]&gt;0,$E$1-Table11[[#This Row],[Year]],0),"")</f>
        <v>0</v>
      </c>
      <c r="F2896" s="456"/>
      <c r="G2896" s="456"/>
      <c r="H2896" s="456"/>
    </row>
    <row r="2897" spans="1:8" ht="13.5" customHeight="1">
      <c r="A2897" s="471">
        <v>9893</v>
      </c>
      <c r="B2897" s="457"/>
      <c r="C2897" s="456"/>
      <c r="D2897" s="456">
        <f>IF(Table11[[#This Row],[Current Age]]&gt;19,"Women's",IF(E2897&gt;15,"U19",IF(E2897&gt;13,"U15",IF(E2897&gt;11,"U13",IF(E2897&gt;0,"U11",0)))))</f>
        <v>0</v>
      </c>
      <c r="E2897" s="456">
        <f>IFERROR(IF(Table11[[#This Row],[Year]]&gt;0,$E$1-Table11[[#This Row],[Year]],0),"")</f>
        <v>0</v>
      </c>
      <c r="F2897" s="456"/>
      <c r="G2897" s="456"/>
      <c r="H2897" s="456"/>
    </row>
    <row r="2898" spans="1:8" ht="13.5" customHeight="1">
      <c r="A2898" s="456">
        <v>9894</v>
      </c>
      <c r="B2898" s="540"/>
      <c r="C2898" s="471"/>
      <c r="D2898" s="456">
        <f>IF(Table11[[#This Row],[Current Age]]&gt;19,"Women's",IF(E2898&gt;15,"U19",IF(E2898&gt;13,"U15",IF(E2898&gt;11,"U13",IF(E2898&gt;0,"U11",0)))))</f>
        <v>0</v>
      </c>
      <c r="E2898" s="456">
        <f>IFERROR(IF(Table11[[#This Row],[Year]]&gt;0,$E$1-Table11[[#This Row],[Year]],0),"")</f>
        <v>0</v>
      </c>
      <c r="F2898" s="456"/>
      <c r="G2898" s="456"/>
      <c r="H2898" s="456"/>
    </row>
    <row r="2899" spans="1:8" ht="13.5" customHeight="1">
      <c r="A2899" s="471">
        <v>9895</v>
      </c>
      <c r="B2899" s="457"/>
      <c r="C2899" s="456"/>
      <c r="D2899" s="456">
        <f>IF(Table11[[#This Row],[Current Age]]&gt;19,"Women's",IF(E2899&gt;15,"U19",IF(E2899&gt;13,"U15",IF(E2899&gt;11,"U13",IF(E2899&gt;0,"U11",0)))))</f>
        <v>0</v>
      </c>
      <c r="E2899" s="456">
        <f>IFERROR(IF(Table11[[#This Row],[Year]]&gt;0,$E$1-Table11[[#This Row],[Year]],0),"")</f>
        <v>0</v>
      </c>
      <c r="F2899" s="456"/>
      <c r="G2899" s="456"/>
      <c r="H2899" s="456"/>
    </row>
    <row r="2900" spans="1:8" ht="13.5" customHeight="1">
      <c r="A2900" s="456">
        <v>9896</v>
      </c>
      <c r="B2900" s="540"/>
      <c r="C2900" s="471"/>
      <c r="D2900" s="456">
        <f>IF(Table11[[#This Row],[Current Age]]&gt;19,"Women's",IF(E2900&gt;15,"U19",IF(E2900&gt;13,"U15",IF(E2900&gt;11,"U13",IF(E2900&gt;0,"U11",0)))))</f>
        <v>0</v>
      </c>
      <c r="E2900" s="456">
        <f>IFERROR(IF(Table11[[#This Row],[Year]]&gt;0,$E$1-Table11[[#This Row],[Year]],0),"")</f>
        <v>0</v>
      </c>
      <c r="F2900" s="456"/>
      <c r="G2900" s="456"/>
      <c r="H2900" s="456"/>
    </row>
    <row r="2901" spans="1:8" ht="13.5" customHeight="1">
      <c r="A2901" s="471">
        <v>9897</v>
      </c>
      <c r="B2901" s="457"/>
      <c r="C2901" s="456"/>
      <c r="D2901" s="456">
        <f>IF(Table11[[#This Row],[Current Age]]&gt;19,"Women's",IF(E2901&gt;15,"U19",IF(E2901&gt;13,"U15",IF(E2901&gt;11,"U13",IF(E2901&gt;0,"U11",0)))))</f>
        <v>0</v>
      </c>
      <c r="E2901" s="456">
        <f>IFERROR(IF(Table11[[#This Row],[Year]]&gt;0,$E$1-Table11[[#This Row],[Year]],0),"")</f>
        <v>0</v>
      </c>
      <c r="F2901" s="456"/>
      <c r="G2901" s="456"/>
      <c r="H2901" s="456"/>
    </row>
    <row r="2902" spans="1:8" ht="13.5" customHeight="1">
      <c r="A2902" s="456">
        <v>9898</v>
      </c>
      <c r="B2902" s="540"/>
      <c r="C2902" s="471"/>
      <c r="D2902" s="456">
        <f>IF(Table11[[#This Row],[Current Age]]&gt;19,"Women's",IF(E2902&gt;15,"U19",IF(E2902&gt;13,"U15",IF(E2902&gt;11,"U13",IF(E2902&gt;0,"U11",0)))))</f>
        <v>0</v>
      </c>
      <c r="E2902" s="456">
        <f>IFERROR(IF(Table11[[#This Row],[Year]]&gt;0,$E$1-Table11[[#This Row],[Year]],0),"")</f>
        <v>0</v>
      </c>
      <c r="F2902" s="456"/>
      <c r="G2902" s="456"/>
      <c r="H2902" s="456"/>
    </row>
    <row r="2903" spans="1:8" ht="13.5" customHeight="1">
      <c r="A2903" s="471">
        <v>9899</v>
      </c>
      <c r="B2903" s="457"/>
      <c r="C2903" s="456"/>
      <c r="D2903" s="456">
        <f>IF(Table11[[#This Row],[Current Age]]&gt;19,"Women's",IF(E2903&gt;15,"U19",IF(E2903&gt;13,"U15",IF(E2903&gt;11,"U13",IF(E2903&gt;0,"U11",0)))))</f>
        <v>0</v>
      </c>
      <c r="E2903" s="456">
        <f>IFERROR(IF(Table11[[#This Row],[Year]]&gt;0,$E$1-Table11[[#This Row],[Year]],0),"")</f>
        <v>0</v>
      </c>
      <c r="F2903" s="456"/>
      <c r="G2903" s="456"/>
      <c r="H2903" s="456"/>
    </row>
    <row r="2904" spans="1:8" ht="13.5" customHeight="1">
      <c r="A2904" s="456">
        <v>9900</v>
      </c>
      <c r="B2904" s="540"/>
      <c r="C2904" s="471"/>
      <c r="D2904" s="456">
        <f>IF(Table11[[#This Row],[Current Age]]&gt;19,"Women's",IF(E2904&gt;15,"U19",IF(E2904&gt;13,"U15",IF(E2904&gt;11,"U13",IF(E2904&gt;0,"U11",0)))))</f>
        <v>0</v>
      </c>
      <c r="E2904" s="456">
        <f>IFERROR(IF(Table11[[#This Row],[Year]]&gt;0,$E$1-Table11[[#This Row],[Year]],0),"")</f>
        <v>0</v>
      </c>
      <c r="F2904" s="456"/>
      <c r="G2904" s="456"/>
      <c r="H2904" s="456"/>
    </row>
    <row r="2905" spans="1:8" ht="13.5" customHeight="1">
      <c r="A2905" s="471">
        <v>9901</v>
      </c>
      <c r="B2905" s="457"/>
      <c r="C2905" s="456"/>
      <c r="D2905" s="456">
        <f>IF(Table11[[#This Row],[Current Age]]&gt;19,"Women's",IF(E2905&gt;15,"U19",IF(E2905&gt;13,"U15",IF(E2905&gt;11,"U13",IF(E2905&gt;0,"U11",0)))))</f>
        <v>0</v>
      </c>
      <c r="E2905" s="456">
        <f>IFERROR(IF(Table11[[#This Row],[Year]]&gt;0,$E$1-Table11[[#This Row],[Year]],0),"")</f>
        <v>0</v>
      </c>
      <c r="F2905" s="456"/>
      <c r="G2905" s="456"/>
      <c r="H2905" s="456"/>
    </row>
    <row r="2906" spans="1:8" ht="13.5" customHeight="1">
      <c r="A2906" s="456">
        <v>9902</v>
      </c>
      <c r="B2906" s="540"/>
      <c r="C2906" s="471"/>
      <c r="D2906" s="456">
        <f>IF(Table11[[#This Row],[Current Age]]&gt;19,"Women's",IF(E2906&gt;15,"U19",IF(E2906&gt;13,"U15",IF(E2906&gt;11,"U13",IF(E2906&gt;0,"U11",0)))))</f>
        <v>0</v>
      </c>
      <c r="E2906" s="456">
        <f>IFERROR(IF(Table11[[#This Row],[Year]]&gt;0,$E$1-Table11[[#This Row],[Year]],0),"")</f>
        <v>0</v>
      </c>
      <c r="F2906" s="456"/>
      <c r="G2906" s="456"/>
      <c r="H2906" s="456"/>
    </row>
    <row r="2907" spans="1:8" ht="13.5" customHeight="1">
      <c r="A2907" s="471">
        <v>9903</v>
      </c>
      <c r="B2907" s="457"/>
      <c r="C2907" s="456"/>
      <c r="D2907" s="456">
        <f>IF(Table11[[#This Row],[Current Age]]&gt;19,"Women's",IF(E2907&gt;15,"U19",IF(E2907&gt;13,"U15",IF(E2907&gt;11,"U13",IF(E2907&gt;0,"U11",0)))))</f>
        <v>0</v>
      </c>
      <c r="E2907" s="456">
        <f>IFERROR(IF(Table11[[#This Row],[Year]]&gt;0,$E$1-Table11[[#This Row],[Year]],0),"")</f>
        <v>0</v>
      </c>
      <c r="F2907" s="456"/>
      <c r="G2907" s="456"/>
      <c r="H2907" s="456"/>
    </row>
    <row r="2908" spans="1:8" ht="13.5" customHeight="1">
      <c r="A2908" s="456">
        <v>9904</v>
      </c>
      <c r="B2908" s="540"/>
      <c r="C2908" s="471"/>
      <c r="D2908" s="456">
        <f>IF(Table11[[#This Row],[Current Age]]&gt;19,"Women's",IF(E2908&gt;15,"U19",IF(E2908&gt;13,"U15",IF(E2908&gt;11,"U13",IF(E2908&gt;0,"U11",0)))))</f>
        <v>0</v>
      </c>
      <c r="E2908" s="456">
        <f>IFERROR(IF(Table11[[#This Row],[Year]]&gt;0,$E$1-Table11[[#This Row],[Year]],0),"")</f>
        <v>0</v>
      </c>
      <c r="F2908" s="456"/>
      <c r="G2908" s="456"/>
      <c r="H2908" s="456"/>
    </row>
    <row r="2909" spans="1:8" ht="13.5" customHeight="1">
      <c r="A2909" s="471">
        <v>9905</v>
      </c>
      <c r="B2909" s="457"/>
      <c r="C2909" s="456"/>
      <c r="D2909" s="456">
        <f>IF(Table11[[#This Row],[Current Age]]&gt;19,"Women's",IF(E2909&gt;15,"U19",IF(E2909&gt;13,"U15",IF(E2909&gt;11,"U13",IF(E2909&gt;0,"U11",0)))))</f>
        <v>0</v>
      </c>
      <c r="E2909" s="456">
        <f>IFERROR(IF(Table11[[#This Row],[Year]]&gt;0,$E$1-Table11[[#This Row],[Year]],0),"")</f>
        <v>0</v>
      </c>
      <c r="F2909" s="456"/>
      <c r="G2909" s="456"/>
      <c r="H2909" s="456"/>
    </row>
    <row r="2910" spans="1:8" ht="13.5" customHeight="1">
      <c r="A2910" s="456">
        <v>9906</v>
      </c>
      <c r="B2910" s="540"/>
      <c r="C2910" s="471"/>
      <c r="D2910" s="456">
        <f>IF(Table11[[#This Row],[Current Age]]&gt;19,"Women's",IF(E2910&gt;15,"U19",IF(E2910&gt;13,"U15",IF(E2910&gt;11,"U13",IF(E2910&gt;0,"U11",0)))))</f>
        <v>0</v>
      </c>
      <c r="E2910" s="456">
        <f>IFERROR(IF(Table11[[#This Row],[Year]]&gt;0,$E$1-Table11[[#This Row],[Year]],0),"")</f>
        <v>0</v>
      </c>
      <c r="F2910" s="456"/>
      <c r="G2910" s="456"/>
      <c r="H2910" s="456"/>
    </row>
    <row r="2911" spans="1:8" ht="13.5" customHeight="1">
      <c r="A2911" s="471">
        <v>9907</v>
      </c>
      <c r="B2911" s="457"/>
      <c r="C2911" s="456"/>
      <c r="D2911" s="456">
        <f>IF(Table11[[#This Row],[Current Age]]&gt;19,"Women's",IF(E2911&gt;15,"U19",IF(E2911&gt;13,"U15",IF(E2911&gt;11,"U13",IF(E2911&gt;0,"U11",0)))))</f>
        <v>0</v>
      </c>
      <c r="E2911" s="456">
        <f>IFERROR(IF(Table11[[#This Row],[Year]]&gt;0,$E$1-Table11[[#This Row],[Year]],0),"")</f>
        <v>0</v>
      </c>
      <c r="F2911" s="456"/>
      <c r="G2911" s="456"/>
      <c r="H2911" s="456"/>
    </row>
    <row r="2912" spans="1:8" ht="13.5" customHeight="1">
      <c r="A2912" s="456">
        <v>9908</v>
      </c>
      <c r="B2912" s="540"/>
      <c r="C2912" s="471"/>
      <c r="D2912" s="456">
        <f>IF(Table11[[#This Row],[Current Age]]&gt;19,"Women's",IF(E2912&gt;15,"U19",IF(E2912&gt;13,"U15",IF(E2912&gt;11,"U13",IF(E2912&gt;0,"U11",0)))))</f>
        <v>0</v>
      </c>
      <c r="E2912" s="456">
        <f>IFERROR(IF(Table11[[#This Row],[Year]]&gt;0,$E$1-Table11[[#This Row],[Year]],0),"")</f>
        <v>0</v>
      </c>
      <c r="F2912" s="456"/>
      <c r="G2912" s="456"/>
      <c r="H2912" s="456"/>
    </row>
    <row r="2913" spans="1:8" ht="13.5" customHeight="1">
      <c r="A2913" s="471">
        <v>9909</v>
      </c>
      <c r="B2913" s="457"/>
      <c r="C2913" s="456"/>
      <c r="D2913" s="456">
        <f>IF(Table11[[#This Row],[Current Age]]&gt;19,"Women's",IF(E2913&gt;15,"U19",IF(E2913&gt;13,"U15",IF(E2913&gt;11,"U13",IF(E2913&gt;0,"U11",0)))))</f>
        <v>0</v>
      </c>
      <c r="E2913" s="456">
        <f>IFERROR(IF(Table11[[#This Row],[Year]]&gt;0,$E$1-Table11[[#This Row],[Year]],0),"")</f>
        <v>0</v>
      </c>
      <c r="F2913" s="456"/>
      <c r="G2913" s="456"/>
      <c r="H2913" s="456"/>
    </row>
    <row r="2914" spans="1:8" ht="13.5" customHeight="1">
      <c r="A2914" s="456">
        <v>9910</v>
      </c>
      <c r="B2914" s="540"/>
      <c r="C2914" s="471"/>
      <c r="D2914" s="456">
        <f>IF(Table11[[#This Row],[Current Age]]&gt;19,"Women's",IF(E2914&gt;15,"U19",IF(E2914&gt;13,"U15",IF(E2914&gt;11,"U13",IF(E2914&gt;0,"U11",0)))))</f>
        <v>0</v>
      </c>
      <c r="E2914" s="456">
        <f>IFERROR(IF(Table11[[#This Row],[Year]]&gt;0,$E$1-Table11[[#This Row],[Year]],0),"")</f>
        <v>0</v>
      </c>
      <c r="F2914" s="456"/>
      <c r="G2914" s="456"/>
      <c r="H2914" s="456"/>
    </row>
    <row r="2915" spans="1:8" ht="13.5" customHeight="1">
      <c r="A2915" s="471">
        <v>9911</v>
      </c>
      <c r="B2915" s="457"/>
      <c r="C2915" s="456"/>
      <c r="D2915" s="456">
        <f>IF(Table11[[#This Row],[Current Age]]&gt;19,"Women's",IF(E2915&gt;15,"U19",IF(E2915&gt;13,"U15",IF(E2915&gt;11,"U13",IF(E2915&gt;0,"U11",0)))))</f>
        <v>0</v>
      </c>
      <c r="E2915" s="456">
        <f>IFERROR(IF(Table11[[#This Row],[Year]]&gt;0,$E$1-Table11[[#This Row],[Year]],0),"")</f>
        <v>0</v>
      </c>
      <c r="F2915" s="456"/>
      <c r="G2915" s="456"/>
      <c r="H2915" s="456"/>
    </row>
    <row r="2916" spans="1:8" ht="13.5" customHeight="1">
      <c r="A2916" s="456">
        <v>9912</v>
      </c>
      <c r="B2916" s="540"/>
      <c r="C2916" s="471"/>
      <c r="D2916" s="456">
        <f>IF(Table11[[#This Row],[Current Age]]&gt;19,"Women's",IF(E2916&gt;15,"U19",IF(E2916&gt;13,"U15",IF(E2916&gt;11,"U13",IF(E2916&gt;0,"U11",0)))))</f>
        <v>0</v>
      </c>
      <c r="E2916" s="456">
        <f>IFERROR(IF(Table11[[#This Row],[Year]]&gt;0,$E$1-Table11[[#This Row],[Year]],0),"")</f>
        <v>0</v>
      </c>
      <c r="F2916" s="456"/>
      <c r="G2916" s="456"/>
      <c r="H2916" s="456"/>
    </row>
    <row r="2917" spans="1:8" ht="13.5" customHeight="1">
      <c r="A2917" s="471">
        <v>9913</v>
      </c>
      <c r="B2917" s="457"/>
      <c r="C2917" s="456"/>
      <c r="D2917" s="456">
        <f>IF(Table11[[#This Row],[Current Age]]&gt;19,"Women's",IF(E2917&gt;15,"U19",IF(E2917&gt;13,"U15",IF(E2917&gt;11,"U13",IF(E2917&gt;0,"U11",0)))))</f>
        <v>0</v>
      </c>
      <c r="E2917" s="456">
        <f>IFERROR(IF(Table11[[#This Row],[Year]]&gt;0,$E$1-Table11[[#This Row],[Year]],0),"")</f>
        <v>0</v>
      </c>
      <c r="F2917" s="456"/>
      <c r="G2917" s="456"/>
      <c r="H2917" s="456"/>
    </row>
    <row r="2918" spans="1:8" ht="13.5" customHeight="1">
      <c r="A2918" s="456">
        <v>9914</v>
      </c>
      <c r="B2918" s="540"/>
      <c r="C2918" s="471"/>
      <c r="D2918" s="456">
        <f>IF(Table11[[#This Row],[Current Age]]&gt;19,"Women's",IF(E2918&gt;15,"U19",IF(E2918&gt;13,"U15",IF(E2918&gt;11,"U13",IF(E2918&gt;0,"U11",0)))))</f>
        <v>0</v>
      </c>
      <c r="E2918" s="456">
        <f>IFERROR(IF(Table11[[#This Row],[Year]]&gt;0,$E$1-Table11[[#This Row],[Year]],0),"")</f>
        <v>0</v>
      </c>
      <c r="F2918" s="456"/>
      <c r="G2918" s="456"/>
      <c r="H2918" s="456"/>
    </row>
    <row r="2919" spans="1:8" ht="13.5" customHeight="1">
      <c r="A2919" s="471">
        <v>9915</v>
      </c>
      <c r="B2919" s="457"/>
      <c r="C2919" s="456"/>
      <c r="D2919" s="456">
        <f>IF(Table11[[#This Row],[Current Age]]&gt;19,"Women's",IF(E2919&gt;15,"U19",IF(E2919&gt;13,"U15",IF(E2919&gt;11,"U13",IF(E2919&gt;0,"U11",0)))))</f>
        <v>0</v>
      </c>
      <c r="E2919" s="456">
        <f>IFERROR(IF(Table11[[#This Row],[Year]]&gt;0,$E$1-Table11[[#This Row],[Year]],0),"")</f>
        <v>0</v>
      </c>
      <c r="F2919" s="456"/>
      <c r="G2919" s="456"/>
      <c r="H2919" s="456"/>
    </row>
    <row r="2920" spans="1:8" ht="13.5" customHeight="1">
      <c r="A2920" s="456">
        <v>9916</v>
      </c>
      <c r="B2920" s="540"/>
      <c r="C2920" s="471"/>
      <c r="D2920" s="456">
        <f>IF(Table11[[#This Row],[Current Age]]&gt;19,"Women's",IF(E2920&gt;15,"U19",IF(E2920&gt;13,"U15",IF(E2920&gt;11,"U13",IF(E2920&gt;0,"U11",0)))))</f>
        <v>0</v>
      </c>
      <c r="E2920" s="456">
        <f>IFERROR(IF(Table11[[#This Row],[Year]]&gt;0,$E$1-Table11[[#This Row],[Year]],0),"")</f>
        <v>0</v>
      </c>
      <c r="F2920" s="456"/>
      <c r="G2920" s="456"/>
      <c r="H2920" s="456"/>
    </row>
    <row r="2921" spans="1:8" ht="13.5" customHeight="1">
      <c r="A2921" s="471">
        <v>9917</v>
      </c>
      <c r="B2921" s="457"/>
      <c r="C2921" s="456"/>
      <c r="D2921" s="456">
        <f>IF(Table11[[#This Row],[Current Age]]&gt;19,"Women's",IF(E2921&gt;15,"U19",IF(E2921&gt;13,"U15",IF(E2921&gt;11,"U13",IF(E2921&gt;0,"U11",0)))))</f>
        <v>0</v>
      </c>
      <c r="E2921" s="456">
        <f>IFERROR(IF(Table11[[#This Row],[Year]]&gt;0,$E$1-Table11[[#This Row],[Year]],0),"")</f>
        <v>0</v>
      </c>
      <c r="F2921" s="456"/>
      <c r="G2921" s="456"/>
      <c r="H2921" s="456"/>
    </row>
    <row r="2922" spans="1:8" ht="13.5" customHeight="1">
      <c r="A2922" s="456">
        <v>9918</v>
      </c>
      <c r="B2922" s="540"/>
      <c r="C2922" s="471"/>
      <c r="D2922" s="456">
        <f>IF(Table11[[#This Row],[Current Age]]&gt;19,"Women's",IF(E2922&gt;15,"U19",IF(E2922&gt;13,"U15",IF(E2922&gt;11,"U13",IF(E2922&gt;0,"U11",0)))))</f>
        <v>0</v>
      </c>
      <c r="E2922" s="456">
        <f>IFERROR(IF(Table11[[#This Row],[Year]]&gt;0,$E$1-Table11[[#This Row],[Year]],0),"")</f>
        <v>0</v>
      </c>
      <c r="F2922" s="456"/>
      <c r="G2922" s="456"/>
      <c r="H2922" s="456"/>
    </row>
    <row r="2923" spans="1:8" ht="13.5" customHeight="1">
      <c r="A2923" s="471">
        <v>9919</v>
      </c>
      <c r="B2923" s="457"/>
      <c r="C2923" s="456"/>
      <c r="D2923" s="456">
        <f>IF(Table11[[#This Row],[Current Age]]&gt;19,"Women's",IF(E2923&gt;15,"U19",IF(E2923&gt;13,"U15",IF(E2923&gt;11,"U13",IF(E2923&gt;0,"U11",0)))))</f>
        <v>0</v>
      </c>
      <c r="E2923" s="456">
        <f>IFERROR(IF(Table11[[#This Row],[Year]]&gt;0,$E$1-Table11[[#This Row],[Year]],0),"")</f>
        <v>0</v>
      </c>
      <c r="F2923" s="456"/>
      <c r="G2923" s="456"/>
      <c r="H2923" s="456"/>
    </row>
    <row r="2924" spans="1:8" ht="13.5" customHeight="1">
      <c r="A2924" s="456">
        <v>9920</v>
      </c>
      <c r="B2924" s="540"/>
      <c r="C2924" s="471"/>
      <c r="D2924" s="456">
        <f>IF(Table11[[#This Row],[Current Age]]&gt;19,"Women's",IF(E2924&gt;15,"U19",IF(E2924&gt;13,"U15",IF(E2924&gt;11,"U13",IF(E2924&gt;0,"U11",0)))))</f>
        <v>0</v>
      </c>
      <c r="E2924" s="456">
        <f>IFERROR(IF(Table11[[#This Row],[Year]]&gt;0,$E$1-Table11[[#This Row],[Year]],0),"")</f>
        <v>0</v>
      </c>
      <c r="F2924" s="456"/>
      <c r="G2924" s="456"/>
      <c r="H2924" s="456"/>
    </row>
    <row r="2925" spans="1:8" ht="13.5" customHeight="1">
      <c r="A2925" s="471">
        <v>9921</v>
      </c>
      <c r="B2925" s="457"/>
      <c r="C2925" s="456"/>
      <c r="D2925" s="456">
        <f>IF(Table11[[#This Row],[Current Age]]&gt;19,"Women's",IF(E2925&gt;15,"U19",IF(E2925&gt;13,"U15",IF(E2925&gt;11,"U13",IF(E2925&gt;0,"U11",0)))))</f>
        <v>0</v>
      </c>
      <c r="E2925" s="456">
        <f>IFERROR(IF(Table11[[#This Row],[Year]]&gt;0,$E$1-Table11[[#This Row],[Year]],0),"")</f>
        <v>0</v>
      </c>
      <c r="F2925" s="456"/>
      <c r="G2925" s="456"/>
      <c r="H2925" s="456"/>
    </row>
    <row r="2926" spans="1:8" ht="13.5" customHeight="1">
      <c r="A2926" s="456">
        <v>9922</v>
      </c>
      <c r="B2926" s="540"/>
      <c r="C2926" s="471"/>
      <c r="D2926" s="456">
        <f>IF(Table11[[#This Row],[Current Age]]&gt;19,"Women's",IF(E2926&gt;15,"U19",IF(E2926&gt;13,"U15",IF(E2926&gt;11,"U13",IF(E2926&gt;0,"U11",0)))))</f>
        <v>0</v>
      </c>
      <c r="E2926" s="456">
        <f>IFERROR(IF(Table11[[#This Row],[Year]]&gt;0,$E$1-Table11[[#This Row],[Year]],0),"")</f>
        <v>0</v>
      </c>
      <c r="F2926" s="456"/>
      <c r="G2926" s="456"/>
      <c r="H2926" s="456"/>
    </row>
    <row r="2927" spans="1:8" ht="13.5" customHeight="1">
      <c r="A2927" s="471">
        <v>9923</v>
      </c>
      <c r="B2927" s="457"/>
      <c r="C2927" s="456"/>
      <c r="D2927" s="456">
        <f>IF(Table11[[#This Row],[Current Age]]&gt;19,"Women's",IF(E2927&gt;15,"U19",IF(E2927&gt;13,"U15",IF(E2927&gt;11,"U13",IF(E2927&gt;0,"U11",0)))))</f>
        <v>0</v>
      </c>
      <c r="E2927" s="456">
        <f>IFERROR(IF(Table11[[#This Row],[Year]]&gt;0,$E$1-Table11[[#This Row],[Year]],0),"")</f>
        <v>0</v>
      </c>
      <c r="F2927" s="456"/>
      <c r="G2927" s="456"/>
      <c r="H2927" s="456"/>
    </row>
    <row r="2928" spans="1:8" ht="13.5" customHeight="1">
      <c r="A2928" s="456">
        <v>9924</v>
      </c>
      <c r="B2928" s="540"/>
      <c r="C2928" s="471"/>
      <c r="D2928" s="456">
        <f>IF(Table11[[#This Row],[Current Age]]&gt;19,"Women's",IF(E2928&gt;15,"U19",IF(E2928&gt;13,"U15",IF(E2928&gt;11,"U13",IF(E2928&gt;0,"U11",0)))))</f>
        <v>0</v>
      </c>
      <c r="E2928" s="456">
        <f>IFERROR(IF(Table11[[#This Row],[Year]]&gt;0,$E$1-Table11[[#This Row],[Year]],0),"")</f>
        <v>0</v>
      </c>
      <c r="F2928" s="456"/>
      <c r="G2928" s="456"/>
      <c r="H2928" s="456"/>
    </row>
    <row r="2929" spans="1:8" ht="13.5" customHeight="1">
      <c r="A2929" s="471">
        <v>9925</v>
      </c>
      <c r="B2929" s="457"/>
      <c r="C2929" s="456"/>
      <c r="D2929" s="456">
        <f>IF(Table11[[#This Row],[Current Age]]&gt;19,"Women's",IF(E2929&gt;15,"U19",IF(E2929&gt;13,"U15",IF(E2929&gt;11,"U13",IF(E2929&gt;0,"U11",0)))))</f>
        <v>0</v>
      </c>
      <c r="E2929" s="456">
        <f>IFERROR(IF(Table11[[#This Row],[Year]]&gt;0,$E$1-Table11[[#This Row],[Year]],0),"")</f>
        <v>0</v>
      </c>
      <c r="F2929" s="456"/>
      <c r="G2929" s="456"/>
      <c r="H2929" s="456"/>
    </row>
    <row r="2930" spans="1:8" ht="13.5" customHeight="1">
      <c r="A2930" s="456">
        <v>9926</v>
      </c>
      <c r="B2930" s="540"/>
      <c r="C2930" s="471"/>
      <c r="D2930" s="456">
        <f>IF(Table11[[#This Row],[Current Age]]&gt;19,"Women's",IF(E2930&gt;15,"U19",IF(E2930&gt;13,"U15",IF(E2930&gt;11,"U13",IF(E2930&gt;0,"U11",0)))))</f>
        <v>0</v>
      </c>
      <c r="E2930" s="456">
        <f>IFERROR(IF(Table11[[#This Row],[Year]]&gt;0,$E$1-Table11[[#This Row],[Year]],0),"")</f>
        <v>0</v>
      </c>
      <c r="F2930" s="456"/>
      <c r="G2930" s="456"/>
      <c r="H2930" s="456"/>
    </row>
    <row r="2931" spans="1:8" ht="13.5" customHeight="1">
      <c r="A2931" s="471">
        <v>9927</v>
      </c>
      <c r="B2931" s="457"/>
      <c r="C2931" s="456"/>
      <c r="D2931" s="456">
        <f>IF(Table11[[#This Row],[Current Age]]&gt;19,"Women's",IF(E2931&gt;15,"U19",IF(E2931&gt;13,"U15",IF(E2931&gt;11,"U13",IF(E2931&gt;0,"U11",0)))))</f>
        <v>0</v>
      </c>
      <c r="E2931" s="456">
        <f>IFERROR(IF(Table11[[#This Row],[Year]]&gt;0,$E$1-Table11[[#This Row],[Year]],0),"")</f>
        <v>0</v>
      </c>
      <c r="F2931" s="456"/>
      <c r="G2931" s="456"/>
      <c r="H2931" s="456"/>
    </row>
    <row r="2932" spans="1:8" ht="13.5" customHeight="1">
      <c r="A2932" s="456">
        <v>9928</v>
      </c>
      <c r="B2932" s="540"/>
      <c r="C2932" s="471"/>
      <c r="D2932" s="456">
        <f>IF(Table11[[#This Row],[Current Age]]&gt;19,"Women's",IF(E2932&gt;15,"U19",IF(E2932&gt;13,"U15",IF(E2932&gt;11,"U13",IF(E2932&gt;0,"U11",0)))))</f>
        <v>0</v>
      </c>
      <c r="E2932" s="456">
        <f>IFERROR(IF(Table11[[#This Row],[Year]]&gt;0,$E$1-Table11[[#This Row],[Year]],0),"")</f>
        <v>0</v>
      </c>
      <c r="F2932" s="456"/>
      <c r="G2932" s="456"/>
      <c r="H2932" s="456"/>
    </row>
    <row r="2933" spans="1:8" ht="13.5" customHeight="1">
      <c r="A2933" s="471">
        <v>9929</v>
      </c>
      <c r="B2933" s="457"/>
      <c r="C2933" s="456"/>
      <c r="D2933" s="456">
        <f>IF(Table11[[#This Row],[Current Age]]&gt;19,"Women's",IF(E2933&gt;15,"U19",IF(E2933&gt;13,"U15",IF(E2933&gt;11,"U13",IF(E2933&gt;0,"U11",0)))))</f>
        <v>0</v>
      </c>
      <c r="E2933" s="456">
        <f>IFERROR(IF(Table11[[#This Row],[Year]]&gt;0,$E$1-Table11[[#This Row],[Year]],0),"")</f>
        <v>0</v>
      </c>
      <c r="F2933" s="456"/>
      <c r="G2933" s="456"/>
      <c r="H2933" s="456"/>
    </row>
    <row r="2934" spans="1:8" ht="13.5" customHeight="1">
      <c r="A2934" s="456">
        <v>9930</v>
      </c>
      <c r="B2934" s="540"/>
      <c r="C2934" s="471"/>
      <c r="D2934" s="456">
        <f>IF(Table11[[#This Row],[Current Age]]&gt;19,"Women's",IF(E2934&gt;15,"U19",IF(E2934&gt;13,"U15",IF(E2934&gt;11,"U13",IF(E2934&gt;0,"U11",0)))))</f>
        <v>0</v>
      </c>
      <c r="E2934" s="456">
        <f>IFERROR(IF(Table11[[#This Row],[Year]]&gt;0,$E$1-Table11[[#This Row],[Year]],0),"")</f>
        <v>0</v>
      </c>
      <c r="F2934" s="456"/>
      <c r="G2934" s="456"/>
      <c r="H2934" s="456"/>
    </row>
    <row r="2935" spans="1:8" ht="13.5" customHeight="1">
      <c r="A2935" s="471">
        <v>9931</v>
      </c>
      <c r="B2935" s="457"/>
      <c r="C2935" s="456"/>
      <c r="D2935" s="456">
        <f>IF(Table11[[#This Row],[Current Age]]&gt;19,"Women's",IF(E2935&gt;15,"U19",IF(E2935&gt;13,"U15",IF(E2935&gt;11,"U13",IF(E2935&gt;0,"U11",0)))))</f>
        <v>0</v>
      </c>
      <c r="E2935" s="456">
        <f>IFERROR(IF(Table11[[#This Row],[Year]]&gt;0,$E$1-Table11[[#This Row],[Year]],0),"")</f>
        <v>0</v>
      </c>
      <c r="F2935" s="456"/>
      <c r="G2935" s="456"/>
      <c r="H2935" s="456"/>
    </row>
    <row r="2936" spans="1:8" ht="13.5" customHeight="1">
      <c r="A2936" s="456">
        <v>9932</v>
      </c>
      <c r="B2936" s="540"/>
      <c r="C2936" s="471"/>
      <c r="D2936" s="456">
        <f>IF(Table11[[#This Row],[Current Age]]&gt;19,"Women's",IF(E2936&gt;15,"U19",IF(E2936&gt;13,"U15",IF(E2936&gt;11,"U13",IF(E2936&gt;0,"U11",0)))))</f>
        <v>0</v>
      </c>
      <c r="E2936" s="456">
        <f>IFERROR(IF(Table11[[#This Row],[Year]]&gt;0,$E$1-Table11[[#This Row],[Year]],0),"")</f>
        <v>0</v>
      </c>
      <c r="F2936" s="456"/>
      <c r="G2936" s="456"/>
      <c r="H2936" s="456"/>
    </row>
    <row r="2937" spans="1:8" ht="13.5" customHeight="1">
      <c r="A2937" s="471">
        <v>9933</v>
      </c>
      <c r="B2937" s="457"/>
      <c r="C2937" s="456"/>
      <c r="D2937" s="456">
        <f>IF(Table11[[#This Row],[Current Age]]&gt;19,"Women's",IF(E2937&gt;15,"U19",IF(E2937&gt;13,"U15",IF(E2937&gt;11,"U13",IF(E2937&gt;0,"U11",0)))))</f>
        <v>0</v>
      </c>
      <c r="E2937" s="456">
        <f>IFERROR(IF(Table11[[#This Row],[Year]]&gt;0,$E$1-Table11[[#This Row],[Year]],0),"")</f>
        <v>0</v>
      </c>
      <c r="F2937" s="456"/>
      <c r="G2937" s="456"/>
      <c r="H2937" s="456"/>
    </row>
    <row r="2938" spans="1:8" ht="13.5" customHeight="1">
      <c r="A2938" s="456">
        <v>9934</v>
      </c>
      <c r="B2938" s="540"/>
      <c r="C2938" s="471"/>
      <c r="D2938" s="456">
        <f>IF(Table11[[#This Row],[Current Age]]&gt;19,"Women's",IF(E2938&gt;15,"U19",IF(E2938&gt;13,"U15",IF(E2938&gt;11,"U13",IF(E2938&gt;0,"U11",0)))))</f>
        <v>0</v>
      </c>
      <c r="E2938" s="456">
        <f>IFERROR(IF(Table11[[#This Row],[Year]]&gt;0,$E$1-Table11[[#This Row],[Year]],0),"")</f>
        <v>0</v>
      </c>
      <c r="F2938" s="456"/>
      <c r="G2938" s="456"/>
      <c r="H2938" s="456"/>
    </row>
    <row r="2939" spans="1:8" ht="13.5" customHeight="1">
      <c r="A2939" s="471">
        <v>9935</v>
      </c>
      <c r="B2939" s="457"/>
      <c r="C2939" s="456"/>
      <c r="D2939" s="456">
        <f>IF(Table11[[#This Row],[Current Age]]&gt;19,"Women's",IF(E2939&gt;15,"U19",IF(E2939&gt;13,"U15",IF(E2939&gt;11,"U13",IF(E2939&gt;0,"U11",0)))))</f>
        <v>0</v>
      </c>
      <c r="E2939" s="456">
        <f>IFERROR(IF(Table11[[#This Row],[Year]]&gt;0,$E$1-Table11[[#This Row],[Year]],0),"")</f>
        <v>0</v>
      </c>
      <c r="F2939" s="456"/>
      <c r="G2939" s="456"/>
      <c r="H2939" s="456"/>
    </row>
    <row r="2940" spans="1:8" ht="13.5" customHeight="1">
      <c r="A2940" s="456">
        <v>9936</v>
      </c>
      <c r="B2940" s="540"/>
      <c r="C2940" s="471"/>
      <c r="D2940" s="456">
        <f>IF(Table11[[#This Row],[Current Age]]&gt;19,"Women's",IF(E2940&gt;15,"U19",IF(E2940&gt;13,"U15",IF(E2940&gt;11,"U13",IF(E2940&gt;0,"U11",0)))))</f>
        <v>0</v>
      </c>
      <c r="E2940" s="456">
        <f>IFERROR(IF(Table11[[#This Row],[Year]]&gt;0,$E$1-Table11[[#This Row],[Year]],0),"")</f>
        <v>0</v>
      </c>
      <c r="F2940" s="456"/>
      <c r="G2940" s="456"/>
      <c r="H2940" s="456"/>
    </row>
    <row r="2941" spans="1:8" ht="13.5" customHeight="1">
      <c r="A2941" s="471">
        <v>9937</v>
      </c>
      <c r="B2941" s="457"/>
      <c r="C2941" s="456"/>
      <c r="D2941" s="456">
        <f>IF(Table11[[#This Row],[Current Age]]&gt;19,"Women's",IF(E2941&gt;15,"U19",IF(E2941&gt;13,"U15",IF(E2941&gt;11,"U13",IF(E2941&gt;0,"U11",0)))))</f>
        <v>0</v>
      </c>
      <c r="E2941" s="456">
        <f>IFERROR(IF(Table11[[#This Row],[Year]]&gt;0,$E$1-Table11[[#This Row],[Year]],0),"")</f>
        <v>0</v>
      </c>
      <c r="F2941" s="456"/>
      <c r="G2941" s="456"/>
      <c r="H2941" s="456"/>
    </row>
    <row r="2942" spans="1:8" ht="13.5" customHeight="1">
      <c r="A2942" s="456">
        <v>9938</v>
      </c>
      <c r="B2942" s="540"/>
      <c r="C2942" s="471"/>
      <c r="D2942" s="456">
        <f>IF(Table11[[#This Row],[Current Age]]&gt;19,"Women's",IF(E2942&gt;15,"U19",IF(E2942&gt;13,"U15",IF(E2942&gt;11,"U13",IF(E2942&gt;0,"U11",0)))))</f>
        <v>0</v>
      </c>
      <c r="E2942" s="456">
        <f>IFERROR(IF(Table11[[#This Row],[Year]]&gt;0,$E$1-Table11[[#This Row],[Year]],0),"")</f>
        <v>0</v>
      </c>
      <c r="F2942" s="456"/>
      <c r="G2942" s="456"/>
      <c r="H2942" s="456"/>
    </row>
    <row r="2943" spans="1:8" ht="13.5" customHeight="1">
      <c r="A2943" s="471">
        <v>9939</v>
      </c>
      <c r="B2943" s="457"/>
      <c r="C2943" s="456"/>
      <c r="D2943" s="456">
        <f>IF(Table11[[#This Row],[Current Age]]&gt;19,"Women's",IF(E2943&gt;15,"U19",IF(E2943&gt;13,"U15",IF(E2943&gt;11,"U13",IF(E2943&gt;0,"U11",0)))))</f>
        <v>0</v>
      </c>
      <c r="E2943" s="456">
        <f>IFERROR(IF(Table11[[#This Row],[Year]]&gt;0,$E$1-Table11[[#This Row],[Year]],0),"")</f>
        <v>0</v>
      </c>
      <c r="F2943" s="456"/>
      <c r="G2943" s="456"/>
      <c r="H2943" s="456"/>
    </row>
    <row r="2944" spans="1:8" ht="13.5" customHeight="1">
      <c r="A2944" s="456">
        <v>9940</v>
      </c>
      <c r="B2944" s="540"/>
      <c r="C2944" s="471"/>
      <c r="D2944" s="456">
        <f>IF(Table11[[#This Row],[Current Age]]&gt;19,"Women's",IF(E2944&gt;15,"U19",IF(E2944&gt;13,"U15",IF(E2944&gt;11,"U13",IF(E2944&gt;0,"U11",0)))))</f>
        <v>0</v>
      </c>
      <c r="E2944" s="456">
        <f>IFERROR(IF(Table11[[#This Row],[Year]]&gt;0,$E$1-Table11[[#This Row],[Year]],0),"")</f>
        <v>0</v>
      </c>
      <c r="F2944" s="456"/>
      <c r="G2944" s="456"/>
      <c r="H2944" s="456"/>
    </row>
    <row r="2945" spans="1:8" ht="13.5" customHeight="1">
      <c r="A2945" s="471">
        <v>9941</v>
      </c>
      <c r="B2945" s="457"/>
      <c r="C2945" s="456"/>
      <c r="D2945" s="456">
        <f>IF(Table11[[#This Row],[Current Age]]&gt;19,"Women's",IF(E2945&gt;15,"U19",IF(E2945&gt;13,"U15",IF(E2945&gt;11,"U13",IF(E2945&gt;0,"U11",0)))))</f>
        <v>0</v>
      </c>
      <c r="E2945" s="456">
        <f>IFERROR(IF(Table11[[#This Row],[Year]]&gt;0,$E$1-Table11[[#This Row],[Year]],0),"")</f>
        <v>0</v>
      </c>
      <c r="F2945" s="456"/>
      <c r="G2945" s="456"/>
      <c r="H2945" s="456"/>
    </row>
    <row r="2946" spans="1:8" ht="13.5" customHeight="1">
      <c r="A2946" s="456">
        <v>9942</v>
      </c>
      <c r="B2946" s="540"/>
      <c r="C2946" s="471"/>
      <c r="D2946" s="456">
        <f>IF(Table11[[#This Row],[Current Age]]&gt;19,"Women's",IF(E2946&gt;15,"U19",IF(E2946&gt;13,"U15",IF(E2946&gt;11,"U13",IF(E2946&gt;0,"U11",0)))))</f>
        <v>0</v>
      </c>
      <c r="E2946" s="456">
        <f>IFERROR(IF(Table11[[#This Row],[Year]]&gt;0,$E$1-Table11[[#This Row],[Year]],0),"")</f>
        <v>0</v>
      </c>
      <c r="F2946" s="456"/>
      <c r="G2946" s="456"/>
      <c r="H2946" s="456"/>
    </row>
    <row r="2947" spans="1:8" ht="13.5" customHeight="1">
      <c r="A2947" s="471">
        <v>9943</v>
      </c>
      <c r="B2947" s="457"/>
      <c r="C2947" s="456"/>
      <c r="D2947" s="456">
        <f>IF(Table11[[#This Row],[Current Age]]&gt;19,"Women's",IF(E2947&gt;15,"U19",IF(E2947&gt;13,"U15",IF(E2947&gt;11,"U13",IF(E2947&gt;0,"U11",0)))))</f>
        <v>0</v>
      </c>
      <c r="E2947" s="456">
        <f>IFERROR(IF(Table11[[#This Row],[Year]]&gt;0,$E$1-Table11[[#This Row],[Year]],0),"")</f>
        <v>0</v>
      </c>
      <c r="F2947" s="456"/>
      <c r="G2947" s="456"/>
      <c r="H2947" s="456"/>
    </row>
    <row r="2948" spans="1:8" ht="13.5" customHeight="1">
      <c r="A2948" s="456">
        <v>9944</v>
      </c>
      <c r="B2948" s="540"/>
      <c r="C2948" s="471"/>
      <c r="D2948" s="456">
        <f>IF(Table11[[#This Row],[Current Age]]&gt;19,"Women's",IF(E2948&gt;15,"U19",IF(E2948&gt;13,"U15",IF(E2948&gt;11,"U13",IF(E2948&gt;0,"U11",0)))))</f>
        <v>0</v>
      </c>
      <c r="E2948" s="456">
        <f>IFERROR(IF(Table11[[#This Row],[Year]]&gt;0,$E$1-Table11[[#This Row],[Year]],0),"")</f>
        <v>0</v>
      </c>
      <c r="F2948" s="456"/>
      <c r="G2948" s="456"/>
      <c r="H2948" s="456"/>
    </row>
    <row r="2949" spans="1:8" ht="13.5" customHeight="1">
      <c r="A2949" s="471">
        <v>9945</v>
      </c>
      <c r="B2949" s="457"/>
      <c r="C2949" s="456"/>
      <c r="D2949" s="456">
        <f>IF(Table11[[#This Row],[Current Age]]&gt;19,"Women's",IF(E2949&gt;15,"U19",IF(E2949&gt;13,"U15",IF(E2949&gt;11,"U13",IF(E2949&gt;0,"U11",0)))))</f>
        <v>0</v>
      </c>
      <c r="E2949" s="456">
        <f>IFERROR(IF(Table11[[#This Row],[Year]]&gt;0,$E$1-Table11[[#This Row],[Year]],0),"")</f>
        <v>0</v>
      </c>
      <c r="F2949" s="456"/>
      <c r="G2949" s="456"/>
      <c r="H2949" s="456"/>
    </row>
    <row r="2950" spans="1:8" ht="13.5" customHeight="1">
      <c r="A2950" s="456">
        <v>9946</v>
      </c>
      <c r="B2950" s="540"/>
      <c r="C2950" s="471"/>
      <c r="D2950" s="456">
        <f>IF(Table11[[#This Row],[Current Age]]&gt;19,"Women's",IF(E2950&gt;15,"U19",IF(E2950&gt;13,"U15",IF(E2950&gt;11,"U13",IF(E2950&gt;0,"U11",0)))))</f>
        <v>0</v>
      </c>
      <c r="E2950" s="456">
        <f>IFERROR(IF(Table11[[#This Row],[Year]]&gt;0,$E$1-Table11[[#This Row],[Year]],0),"")</f>
        <v>0</v>
      </c>
      <c r="F2950" s="456"/>
      <c r="G2950" s="456"/>
      <c r="H2950" s="456"/>
    </row>
    <row r="2951" spans="1:8" ht="13.5" customHeight="1">
      <c r="A2951" s="471">
        <v>9947</v>
      </c>
      <c r="B2951" s="457"/>
      <c r="C2951" s="456"/>
      <c r="D2951" s="456">
        <f>IF(Table11[[#This Row],[Current Age]]&gt;19,"Women's",IF(E2951&gt;15,"U19",IF(E2951&gt;13,"U15",IF(E2951&gt;11,"U13",IF(E2951&gt;0,"U11",0)))))</f>
        <v>0</v>
      </c>
      <c r="E2951" s="456">
        <f>IFERROR(IF(Table11[[#This Row],[Year]]&gt;0,$E$1-Table11[[#This Row],[Year]],0),"")</f>
        <v>0</v>
      </c>
      <c r="F2951" s="456"/>
      <c r="G2951" s="456"/>
      <c r="H2951" s="456"/>
    </row>
    <row r="2952" spans="1:8" ht="13.5" customHeight="1">
      <c r="A2952" s="456">
        <v>9948</v>
      </c>
      <c r="B2952" s="540"/>
      <c r="C2952" s="471"/>
      <c r="D2952" s="456">
        <f>IF(Table11[[#This Row],[Current Age]]&gt;19,"Women's",IF(E2952&gt;15,"U19",IF(E2952&gt;13,"U15",IF(E2952&gt;11,"U13",IF(E2952&gt;0,"U11",0)))))</f>
        <v>0</v>
      </c>
      <c r="E2952" s="456">
        <f>IFERROR(IF(Table11[[#This Row],[Year]]&gt;0,$E$1-Table11[[#This Row],[Year]],0),"")</f>
        <v>0</v>
      </c>
      <c r="F2952" s="456"/>
      <c r="G2952" s="456"/>
      <c r="H2952" s="456"/>
    </row>
    <row r="2953" spans="1:8" ht="13.5" customHeight="1">
      <c r="A2953" s="471">
        <v>9949</v>
      </c>
      <c r="B2953" s="457"/>
      <c r="C2953" s="456"/>
      <c r="D2953" s="456">
        <f>IF(Table11[[#This Row],[Current Age]]&gt;19,"Women's",IF(E2953&gt;15,"U19",IF(E2953&gt;13,"U15",IF(E2953&gt;11,"U13",IF(E2953&gt;0,"U11",0)))))</f>
        <v>0</v>
      </c>
      <c r="E2953" s="456">
        <f>IFERROR(IF(Table11[[#This Row],[Year]]&gt;0,$E$1-Table11[[#This Row],[Year]],0),"")</f>
        <v>0</v>
      </c>
      <c r="F2953" s="456"/>
      <c r="G2953" s="456"/>
      <c r="H2953" s="456"/>
    </row>
    <row r="2954" spans="1:8" ht="13.5" customHeight="1">
      <c r="A2954" s="456">
        <v>9950</v>
      </c>
      <c r="B2954" s="540"/>
      <c r="C2954" s="471"/>
      <c r="D2954" s="456">
        <f>IF(Table11[[#This Row],[Current Age]]&gt;19,"Women's",IF(E2954&gt;15,"U19",IF(E2954&gt;13,"U15",IF(E2954&gt;11,"U13",IF(E2954&gt;0,"U11",0)))))</f>
        <v>0</v>
      </c>
      <c r="E2954" s="456">
        <f>IFERROR(IF(Table11[[#This Row],[Year]]&gt;0,$E$1-Table11[[#This Row],[Year]],0),"")</f>
        <v>0</v>
      </c>
      <c r="F2954" s="456"/>
      <c r="G2954" s="456"/>
      <c r="H2954" s="456"/>
    </row>
    <row r="2955" spans="1:8" ht="13.5" customHeight="1">
      <c r="A2955" s="471">
        <v>9951</v>
      </c>
      <c r="B2955" s="457"/>
      <c r="C2955" s="456"/>
      <c r="D2955" s="456">
        <f>IF(Table11[[#This Row],[Current Age]]&gt;19,"Women's",IF(E2955&gt;15,"U19",IF(E2955&gt;13,"U15",IF(E2955&gt;11,"U13",IF(E2955&gt;0,"U11",0)))))</f>
        <v>0</v>
      </c>
      <c r="E2955" s="456">
        <f>IFERROR(IF(Table11[[#This Row],[Year]]&gt;0,$E$1-Table11[[#This Row],[Year]],0),"")</f>
        <v>0</v>
      </c>
      <c r="F2955" s="456"/>
      <c r="G2955" s="456"/>
      <c r="H2955" s="456"/>
    </row>
    <row r="2956" spans="1:8" ht="13.5" customHeight="1">
      <c r="A2956" s="456">
        <v>9952</v>
      </c>
      <c r="B2956" s="540"/>
      <c r="C2956" s="471"/>
      <c r="D2956" s="456">
        <f>IF(Table11[[#This Row],[Current Age]]&gt;19,"Women's",IF(E2956&gt;15,"U19",IF(E2956&gt;13,"U15",IF(E2956&gt;11,"U13",IF(E2956&gt;0,"U11",0)))))</f>
        <v>0</v>
      </c>
      <c r="E2956" s="456">
        <f>IFERROR(IF(Table11[[#This Row],[Year]]&gt;0,$E$1-Table11[[#This Row],[Year]],0),"")</f>
        <v>0</v>
      </c>
      <c r="F2956" s="456"/>
      <c r="G2956" s="456"/>
      <c r="H2956" s="456"/>
    </row>
    <row r="2957" spans="1:8" ht="13.5" customHeight="1">
      <c r="A2957" s="471">
        <v>9953</v>
      </c>
      <c r="B2957" s="457"/>
      <c r="C2957" s="456"/>
      <c r="D2957" s="456">
        <f>IF(Table11[[#This Row],[Current Age]]&gt;19,"Women's",IF(E2957&gt;15,"U19",IF(E2957&gt;13,"U15",IF(E2957&gt;11,"U13",IF(E2957&gt;0,"U11",0)))))</f>
        <v>0</v>
      </c>
      <c r="E2957" s="456">
        <f>IFERROR(IF(Table11[[#This Row],[Year]]&gt;0,$E$1-Table11[[#This Row],[Year]],0),"")</f>
        <v>0</v>
      </c>
      <c r="F2957" s="456"/>
      <c r="G2957" s="456"/>
      <c r="H2957" s="456"/>
    </row>
    <row r="2958" spans="1:8" ht="13.5" customHeight="1">
      <c r="A2958" s="456">
        <v>9954</v>
      </c>
      <c r="B2958" s="540"/>
      <c r="C2958" s="471"/>
      <c r="D2958" s="456">
        <f>IF(Table11[[#This Row],[Current Age]]&gt;19,"Women's",IF(E2958&gt;15,"U19",IF(E2958&gt;13,"U15",IF(E2958&gt;11,"U13",IF(E2958&gt;0,"U11",0)))))</f>
        <v>0</v>
      </c>
      <c r="E2958" s="456">
        <f>IFERROR(IF(Table11[[#This Row],[Year]]&gt;0,$E$1-Table11[[#This Row],[Year]],0),"")</f>
        <v>0</v>
      </c>
      <c r="F2958" s="456"/>
      <c r="G2958" s="456"/>
      <c r="H2958" s="456"/>
    </row>
    <row r="2959" spans="1:8" ht="13.5" customHeight="1">
      <c r="A2959" s="471">
        <v>9955</v>
      </c>
      <c r="B2959" s="457"/>
      <c r="C2959" s="456"/>
      <c r="D2959" s="456">
        <f>IF(Table11[[#This Row],[Current Age]]&gt;19,"Women's",IF(E2959&gt;15,"U19",IF(E2959&gt;13,"U15",IF(E2959&gt;11,"U13",IF(E2959&gt;0,"U11",0)))))</f>
        <v>0</v>
      </c>
      <c r="E2959" s="456">
        <f>IFERROR(IF(Table11[[#This Row],[Year]]&gt;0,$E$1-Table11[[#This Row],[Year]],0),"")</f>
        <v>0</v>
      </c>
      <c r="F2959" s="456"/>
      <c r="G2959" s="456"/>
      <c r="H2959" s="456"/>
    </row>
    <row r="2960" spans="1:8" ht="13.5" customHeight="1">
      <c r="A2960" s="456">
        <v>9956</v>
      </c>
      <c r="B2960" s="540"/>
      <c r="C2960" s="471"/>
      <c r="D2960" s="456">
        <f>IF(Table11[[#This Row],[Current Age]]&gt;19,"Women's",IF(E2960&gt;15,"U19",IF(E2960&gt;13,"U15",IF(E2960&gt;11,"U13",IF(E2960&gt;0,"U11",0)))))</f>
        <v>0</v>
      </c>
      <c r="E2960" s="456">
        <f>IFERROR(IF(Table11[[#This Row],[Year]]&gt;0,$E$1-Table11[[#This Row],[Year]],0),"")</f>
        <v>0</v>
      </c>
      <c r="F2960" s="456"/>
      <c r="G2960" s="456"/>
      <c r="H2960" s="456"/>
    </row>
    <row r="2961" spans="1:8" ht="13.5" customHeight="1">
      <c r="A2961" s="471">
        <v>9957</v>
      </c>
      <c r="B2961" s="457"/>
      <c r="C2961" s="456"/>
      <c r="D2961" s="456">
        <f>IF(Table11[[#This Row],[Current Age]]&gt;19,"Women's",IF(E2961&gt;15,"U19",IF(E2961&gt;13,"U15",IF(E2961&gt;11,"U13",IF(E2961&gt;0,"U11",0)))))</f>
        <v>0</v>
      </c>
      <c r="E2961" s="456">
        <f>IFERROR(IF(Table11[[#This Row],[Year]]&gt;0,$E$1-Table11[[#This Row],[Year]],0),"")</f>
        <v>0</v>
      </c>
      <c r="F2961" s="456"/>
      <c r="G2961" s="456"/>
      <c r="H2961" s="456"/>
    </row>
    <row r="2962" spans="1:8" ht="13.5" customHeight="1">
      <c r="A2962" s="456">
        <v>9958</v>
      </c>
      <c r="B2962" s="540"/>
      <c r="C2962" s="471"/>
      <c r="D2962" s="456">
        <f>IF(Table11[[#This Row],[Current Age]]&gt;19,"Women's",IF(E2962&gt;15,"U19",IF(E2962&gt;13,"U15",IF(E2962&gt;11,"U13",IF(E2962&gt;0,"U11",0)))))</f>
        <v>0</v>
      </c>
      <c r="E2962" s="456">
        <f>IFERROR(IF(Table11[[#This Row],[Year]]&gt;0,$E$1-Table11[[#This Row],[Year]],0),"")</f>
        <v>0</v>
      </c>
      <c r="F2962" s="456"/>
      <c r="G2962" s="456"/>
      <c r="H2962" s="456"/>
    </row>
    <row r="2963" spans="1:8" ht="13.5" customHeight="1">
      <c r="A2963" s="471">
        <v>9959</v>
      </c>
      <c r="B2963" s="457"/>
      <c r="C2963" s="456"/>
      <c r="D2963" s="456">
        <f>IF(Table11[[#This Row],[Current Age]]&gt;19,"Women's",IF(E2963&gt;15,"U19",IF(E2963&gt;13,"U15",IF(E2963&gt;11,"U13",IF(E2963&gt;0,"U11",0)))))</f>
        <v>0</v>
      </c>
      <c r="E2963" s="456">
        <f>IFERROR(IF(Table11[[#This Row],[Year]]&gt;0,$E$1-Table11[[#This Row],[Year]],0),"")</f>
        <v>0</v>
      </c>
      <c r="F2963" s="456"/>
      <c r="G2963" s="456"/>
      <c r="H2963" s="456"/>
    </row>
    <row r="2964" spans="1:8" ht="13.5" customHeight="1">
      <c r="A2964" s="456">
        <v>9960</v>
      </c>
      <c r="B2964" s="540"/>
      <c r="C2964" s="471"/>
      <c r="D2964" s="456">
        <f>IF(Table11[[#This Row],[Current Age]]&gt;19,"Women's",IF(E2964&gt;15,"U19",IF(E2964&gt;13,"U15",IF(E2964&gt;11,"U13",IF(E2964&gt;0,"U11",0)))))</f>
        <v>0</v>
      </c>
      <c r="E2964" s="456">
        <f>IFERROR(IF(Table11[[#This Row],[Year]]&gt;0,$E$1-Table11[[#This Row],[Year]],0),"")</f>
        <v>0</v>
      </c>
      <c r="F2964" s="456"/>
      <c r="G2964" s="456"/>
      <c r="H2964" s="456"/>
    </row>
    <row r="2965" spans="1:8" ht="13.5" customHeight="1">
      <c r="A2965" s="471">
        <v>9961</v>
      </c>
      <c r="B2965" s="457"/>
      <c r="C2965" s="456"/>
      <c r="D2965" s="456">
        <f>IF(Table11[[#This Row],[Current Age]]&gt;19,"Women's",IF(E2965&gt;15,"U19",IF(E2965&gt;13,"U15",IF(E2965&gt;11,"U13",IF(E2965&gt;0,"U11",0)))))</f>
        <v>0</v>
      </c>
      <c r="E2965" s="456">
        <f>IFERROR(IF(Table11[[#This Row],[Year]]&gt;0,$E$1-Table11[[#This Row],[Year]],0),"")</f>
        <v>0</v>
      </c>
      <c r="F2965" s="456"/>
      <c r="G2965" s="456"/>
      <c r="H2965" s="456"/>
    </row>
    <row r="2966" spans="1:8" ht="13.5" customHeight="1">
      <c r="A2966" s="456">
        <v>9962</v>
      </c>
      <c r="B2966" s="540"/>
      <c r="C2966" s="471"/>
      <c r="D2966" s="456">
        <f>IF(Table11[[#This Row],[Current Age]]&gt;19,"Women's",IF(E2966&gt;15,"U19",IF(E2966&gt;13,"U15",IF(E2966&gt;11,"U13",IF(E2966&gt;0,"U11",0)))))</f>
        <v>0</v>
      </c>
      <c r="E2966" s="456">
        <f>IFERROR(IF(Table11[[#This Row],[Year]]&gt;0,$E$1-Table11[[#This Row],[Year]],0),"")</f>
        <v>0</v>
      </c>
      <c r="F2966" s="456"/>
      <c r="G2966" s="456"/>
      <c r="H2966" s="456"/>
    </row>
    <row r="2967" spans="1:8" ht="13.5" customHeight="1">
      <c r="A2967" s="471">
        <v>9963</v>
      </c>
      <c r="B2967" s="457"/>
      <c r="C2967" s="456"/>
      <c r="D2967" s="456">
        <f>IF(Table11[[#This Row],[Current Age]]&gt;19,"Women's",IF(E2967&gt;15,"U19",IF(E2967&gt;13,"U15",IF(E2967&gt;11,"U13",IF(E2967&gt;0,"U11",0)))))</f>
        <v>0</v>
      </c>
      <c r="E2967" s="456">
        <f>IFERROR(IF(Table11[[#This Row],[Year]]&gt;0,$E$1-Table11[[#This Row],[Year]],0),"")</f>
        <v>0</v>
      </c>
      <c r="F2967" s="456"/>
      <c r="G2967" s="456"/>
      <c r="H2967" s="456"/>
    </row>
    <row r="2968" spans="1:8" ht="13.5" customHeight="1">
      <c r="A2968" s="456">
        <v>9964</v>
      </c>
      <c r="B2968" s="540"/>
      <c r="C2968" s="471"/>
      <c r="D2968" s="456">
        <f>IF(Table11[[#This Row],[Current Age]]&gt;19,"Women's",IF(E2968&gt;15,"U19",IF(E2968&gt;13,"U15",IF(E2968&gt;11,"U13",IF(E2968&gt;0,"U11",0)))))</f>
        <v>0</v>
      </c>
      <c r="E2968" s="456">
        <f>IFERROR(IF(Table11[[#This Row],[Year]]&gt;0,$E$1-Table11[[#This Row],[Year]],0),"")</f>
        <v>0</v>
      </c>
      <c r="F2968" s="456"/>
      <c r="G2968" s="456"/>
      <c r="H2968" s="456"/>
    </row>
    <row r="2969" spans="1:8" ht="13.5" customHeight="1">
      <c r="A2969" s="471">
        <v>9965</v>
      </c>
      <c r="B2969" s="457"/>
      <c r="C2969" s="456"/>
      <c r="D2969" s="456">
        <f>IF(Table11[[#This Row],[Current Age]]&gt;19,"Women's",IF(E2969&gt;15,"U19",IF(E2969&gt;13,"U15",IF(E2969&gt;11,"U13",IF(E2969&gt;0,"U11",0)))))</f>
        <v>0</v>
      </c>
      <c r="E2969" s="456">
        <f>IFERROR(IF(Table11[[#This Row],[Year]]&gt;0,$E$1-Table11[[#This Row],[Year]],0),"")</f>
        <v>0</v>
      </c>
      <c r="F2969" s="456"/>
      <c r="G2969" s="456"/>
      <c r="H2969" s="456"/>
    </row>
    <row r="2970" spans="1:8" ht="13.5" customHeight="1">
      <c r="A2970" s="456">
        <v>9966</v>
      </c>
      <c r="B2970" s="540"/>
      <c r="C2970" s="471"/>
      <c r="D2970" s="456">
        <f>IF(Table11[[#This Row],[Current Age]]&gt;19,"Women's",IF(E2970&gt;15,"U19",IF(E2970&gt;13,"U15",IF(E2970&gt;11,"U13",IF(E2970&gt;0,"U11",0)))))</f>
        <v>0</v>
      </c>
      <c r="E2970" s="456">
        <f>IFERROR(IF(Table11[[#This Row],[Year]]&gt;0,$E$1-Table11[[#This Row],[Year]],0),"")</f>
        <v>0</v>
      </c>
      <c r="F2970" s="456"/>
      <c r="G2970" s="456"/>
      <c r="H2970" s="456"/>
    </row>
    <row r="2971" spans="1:8" ht="13.5" customHeight="1">
      <c r="A2971" s="471">
        <v>9967</v>
      </c>
      <c r="B2971" s="457"/>
      <c r="C2971" s="456"/>
      <c r="D2971" s="456">
        <f>IF(Table11[[#This Row],[Current Age]]&gt;19,"Women's",IF(E2971&gt;15,"U19",IF(E2971&gt;13,"U15",IF(E2971&gt;11,"U13",IF(E2971&gt;0,"U11",0)))))</f>
        <v>0</v>
      </c>
      <c r="E2971" s="456">
        <f>IFERROR(IF(Table11[[#This Row],[Year]]&gt;0,$E$1-Table11[[#This Row],[Year]],0),"")</f>
        <v>0</v>
      </c>
      <c r="F2971" s="456"/>
      <c r="G2971" s="456"/>
      <c r="H2971" s="456"/>
    </row>
    <row r="2972" spans="1:8" ht="13.5" customHeight="1">
      <c r="A2972" s="456">
        <v>9968</v>
      </c>
      <c r="B2972" s="540"/>
      <c r="C2972" s="471"/>
      <c r="D2972" s="456">
        <f>IF(Table11[[#This Row],[Current Age]]&gt;19,"Women's",IF(E2972&gt;15,"U19",IF(E2972&gt;13,"U15",IF(E2972&gt;11,"U13",IF(E2972&gt;0,"U11",0)))))</f>
        <v>0</v>
      </c>
      <c r="E2972" s="456">
        <f>IFERROR(IF(Table11[[#This Row],[Year]]&gt;0,$E$1-Table11[[#This Row],[Year]],0),"")</f>
        <v>0</v>
      </c>
      <c r="F2972" s="456"/>
      <c r="G2972" s="456"/>
      <c r="H2972" s="456"/>
    </row>
    <row r="2973" spans="1:8" ht="13.5" customHeight="1">
      <c r="A2973" s="471">
        <v>9969</v>
      </c>
      <c r="B2973" s="457"/>
      <c r="C2973" s="456"/>
      <c r="D2973" s="456">
        <f>IF(Table11[[#This Row],[Current Age]]&gt;19,"Women's",IF(E2973&gt;15,"U19",IF(E2973&gt;13,"U15",IF(E2973&gt;11,"U13",IF(E2973&gt;0,"U11",0)))))</f>
        <v>0</v>
      </c>
      <c r="E2973" s="456">
        <f>IFERROR(IF(Table11[[#This Row],[Year]]&gt;0,$E$1-Table11[[#This Row],[Year]],0),"")</f>
        <v>0</v>
      </c>
      <c r="F2973" s="456"/>
      <c r="G2973" s="456"/>
      <c r="H2973" s="456"/>
    </row>
    <row r="2974" spans="1:8" ht="13.5" customHeight="1">
      <c r="A2974" s="456">
        <v>9970</v>
      </c>
      <c r="B2974" s="540"/>
      <c r="C2974" s="471"/>
      <c r="D2974" s="456">
        <f>IF(Table11[[#This Row],[Current Age]]&gt;19,"Women's",IF(E2974&gt;15,"U19",IF(E2974&gt;13,"U15",IF(E2974&gt;11,"U13",IF(E2974&gt;0,"U11",0)))))</f>
        <v>0</v>
      </c>
      <c r="E2974" s="456">
        <f>IFERROR(IF(Table11[[#This Row],[Year]]&gt;0,$E$1-Table11[[#This Row],[Year]],0),"")</f>
        <v>0</v>
      </c>
      <c r="F2974" s="456"/>
      <c r="G2974" s="456"/>
      <c r="H2974" s="456"/>
    </row>
    <row r="2975" spans="1:8" ht="13.5" customHeight="1">
      <c r="A2975" s="471">
        <v>9971</v>
      </c>
      <c r="B2975" s="457"/>
      <c r="C2975" s="456"/>
      <c r="D2975" s="456">
        <f>IF(Table11[[#This Row],[Current Age]]&gt;19,"Women's",IF(E2975&gt;15,"U19",IF(E2975&gt;13,"U15",IF(E2975&gt;11,"U13",IF(E2975&gt;0,"U11",0)))))</f>
        <v>0</v>
      </c>
      <c r="E2975" s="456">
        <f>IFERROR(IF(Table11[[#This Row],[Year]]&gt;0,$E$1-Table11[[#This Row],[Year]],0),"")</f>
        <v>0</v>
      </c>
      <c r="F2975" s="456"/>
      <c r="G2975" s="456"/>
      <c r="H2975" s="456"/>
    </row>
    <row r="2976" spans="1:8" ht="13.5" customHeight="1">
      <c r="A2976" s="456">
        <v>9972</v>
      </c>
      <c r="B2976" s="540"/>
      <c r="C2976" s="471"/>
      <c r="D2976" s="456">
        <f>IF(Table11[[#This Row],[Current Age]]&gt;19,"Women's",IF(E2976&gt;15,"U19",IF(E2976&gt;13,"U15",IF(E2976&gt;11,"U13",IF(E2976&gt;0,"U11",0)))))</f>
        <v>0</v>
      </c>
      <c r="E2976" s="456">
        <f>IFERROR(IF(Table11[[#This Row],[Year]]&gt;0,$E$1-Table11[[#This Row],[Year]],0),"")</f>
        <v>0</v>
      </c>
      <c r="F2976" s="456"/>
      <c r="G2976" s="456"/>
      <c r="H2976" s="456"/>
    </row>
    <row r="2977" spans="1:8" ht="13.5" customHeight="1">
      <c r="A2977" s="471">
        <v>9973</v>
      </c>
      <c r="B2977" s="457"/>
      <c r="C2977" s="456"/>
      <c r="D2977" s="456">
        <f>IF(Table11[[#This Row],[Current Age]]&gt;19,"Women's",IF(E2977&gt;15,"U19",IF(E2977&gt;13,"U15",IF(E2977&gt;11,"U13",IF(E2977&gt;0,"U11",0)))))</f>
        <v>0</v>
      </c>
      <c r="E2977" s="456">
        <f>IFERROR(IF(Table11[[#This Row],[Year]]&gt;0,$E$1-Table11[[#This Row],[Year]],0),"")</f>
        <v>0</v>
      </c>
      <c r="F2977" s="456"/>
      <c r="G2977" s="456"/>
      <c r="H2977" s="456"/>
    </row>
    <row r="2978" spans="1:8" ht="13.5" customHeight="1">
      <c r="A2978" s="456">
        <v>9974</v>
      </c>
      <c r="B2978" s="540"/>
      <c r="C2978" s="471"/>
      <c r="D2978" s="456">
        <f>IF(Table11[[#This Row],[Current Age]]&gt;19,"Women's",IF(E2978&gt;15,"U19",IF(E2978&gt;13,"U15",IF(E2978&gt;11,"U13",IF(E2978&gt;0,"U11",0)))))</f>
        <v>0</v>
      </c>
      <c r="E2978" s="456">
        <f>IFERROR(IF(Table11[[#This Row],[Year]]&gt;0,$E$1-Table11[[#This Row],[Year]],0),"")</f>
        <v>0</v>
      </c>
      <c r="F2978" s="456"/>
      <c r="G2978" s="456"/>
      <c r="H2978" s="456"/>
    </row>
    <row r="2979" spans="1:8" ht="13.5" customHeight="1">
      <c r="A2979" s="471">
        <v>9975</v>
      </c>
      <c r="B2979" s="457"/>
      <c r="C2979" s="456"/>
      <c r="D2979" s="456">
        <f>IF(Table11[[#This Row],[Current Age]]&gt;19,"Women's",IF(E2979&gt;15,"U19",IF(E2979&gt;13,"U15",IF(E2979&gt;11,"U13",IF(E2979&gt;0,"U11",0)))))</f>
        <v>0</v>
      </c>
      <c r="E2979" s="456">
        <f>IFERROR(IF(Table11[[#This Row],[Year]]&gt;0,$E$1-Table11[[#This Row],[Year]],0),"")</f>
        <v>0</v>
      </c>
      <c r="F2979" s="456"/>
      <c r="G2979" s="456"/>
      <c r="H2979" s="456"/>
    </row>
    <row r="2980" spans="1:8" ht="13.5" customHeight="1">
      <c r="A2980" s="456">
        <v>9976</v>
      </c>
      <c r="B2980" s="540"/>
      <c r="C2980" s="471"/>
      <c r="D2980" s="456">
        <f>IF(Table11[[#This Row],[Current Age]]&gt;19,"Women's",IF(E2980&gt;15,"U19",IF(E2980&gt;13,"U15",IF(E2980&gt;11,"U13",IF(E2980&gt;0,"U11",0)))))</f>
        <v>0</v>
      </c>
      <c r="E2980" s="456">
        <f>IFERROR(IF(Table11[[#This Row],[Year]]&gt;0,$E$1-Table11[[#This Row],[Year]],0),"")</f>
        <v>0</v>
      </c>
      <c r="F2980" s="456"/>
      <c r="G2980" s="456"/>
      <c r="H2980" s="456"/>
    </row>
    <row r="2981" spans="1:8" ht="13.5" customHeight="1">
      <c r="A2981" s="471">
        <v>9977</v>
      </c>
      <c r="B2981" s="457"/>
      <c r="C2981" s="456"/>
      <c r="D2981" s="456">
        <f>IF(Table11[[#This Row],[Current Age]]&gt;19,"Women's",IF(E2981&gt;15,"U19",IF(E2981&gt;13,"U15",IF(E2981&gt;11,"U13",IF(E2981&gt;0,"U11",0)))))</f>
        <v>0</v>
      </c>
      <c r="E2981" s="456">
        <f>IFERROR(IF(Table11[[#This Row],[Year]]&gt;0,$E$1-Table11[[#This Row],[Year]],0),"")</f>
        <v>0</v>
      </c>
      <c r="F2981" s="456"/>
      <c r="G2981" s="456"/>
      <c r="H2981" s="456"/>
    </row>
    <row r="2982" spans="1:8" ht="13.5" customHeight="1">
      <c r="A2982" s="456">
        <v>9978</v>
      </c>
      <c r="B2982" s="540"/>
      <c r="C2982" s="471"/>
      <c r="D2982" s="456">
        <f>IF(Table11[[#This Row],[Current Age]]&gt;19,"Women's",IF(E2982&gt;15,"U19",IF(E2982&gt;13,"U15",IF(E2982&gt;11,"U13",IF(E2982&gt;0,"U11",0)))))</f>
        <v>0</v>
      </c>
      <c r="E2982" s="456">
        <f>IFERROR(IF(Table11[[#This Row],[Year]]&gt;0,$E$1-Table11[[#This Row],[Year]],0),"")</f>
        <v>0</v>
      </c>
      <c r="F2982" s="456"/>
      <c r="G2982" s="456"/>
      <c r="H2982" s="456"/>
    </row>
    <row r="2983" spans="1:8" ht="13.5" customHeight="1">
      <c r="A2983" s="471">
        <v>9979</v>
      </c>
      <c r="B2983" s="457"/>
      <c r="C2983" s="456"/>
      <c r="D2983" s="456">
        <f>IF(Table11[[#This Row],[Current Age]]&gt;19,"Women's",IF(E2983&gt;15,"U19",IF(E2983&gt;13,"U15",IF(E2983&gt;11,"U13",IF(E2983&gt;0,"U11",0)))))</f>
        <v>0</v>
      </c>
      <c r="E2983" s="456">
        <f>IFERROR(IF(Table11[[#This Row],[Year]]&gt;0,$E$1-Table11[[#This Row],[Year]],0),"")</f>
        <v>0</v>
      </c>
      <c r="F2983" s="456"/>
      <c r="G2983" s="456"/>
      <c r="H2983" s="456"/>
    </row>
    <row r="2984" spans="1:8" ht="13.5" customHeight="1">
      <c r="A2984" s="456">
        <v>9980</v>
      </c>
      <c r="B2984" s="540"/>
      <c r="C2984" s="471"/>
      <c r="D2984" s="456">
        <f>IF(Table11[[#This Row],[Current Age]]&gt;19,"Women's",IF(E2984&gt;15,"U19",IF(E2984&gt;13,"U15",IF(E2984&gt;11,"U13",IF(E2984&gt;0,"U11",0)))))</f>
        <v>0</v>
      </c>
      <c r="E2984" s="456">
        <f>IFERROR(IF(Table11[[#This Row],[Year]]&gt;0,$E$1-Table11[[#This Row],[Year]],0),"")</f>
        <v>0</v>
      </c>
      <c r="F2984" s="456"/>
      <c r="G2984" s="456"/>
      <c r="H2984" s="456"/>
    </row>
    <row r="2985" spans="1:8" ht="13.5" customHeight="1">
      <c r="A2985" s="471">
        <v>9981</v>
      </c>
      <c r="B2985" s="457"/>
      <c r="C2985" s="456"/>
      <c r="D2985" s="456">
        <f>IF(Table11[[#This Row],[Current Age]]&gt;19,"Women's",IF(E2985&gt;15,"U19",IF(E2985&gt;13,"U15",IF(E2985&gt;11,"U13",IF(E2985&gt;0,"U11",0)))))</f>
        <v>0</v>
      </c>
      <c r="E2985" s="456">
        <f>IFERROR(IF(Table11[[#This Row],[Year]]&gt;0,$E$1-Table11[[#This Row],[Year]],0),"")</f>
        <v>0</v>
      </c>
      <c r="F2985" s="456"/>
      <c r="G2985" s="456"/>
      <c r="H2985" s="456"/>
    </row>
    <row r="2986" spans="1:8" ht="13.5" customHeight="1">
      <c r="A2986" s="456">
        <v>9982</v>
      </c>
      <c r="B2986" s="540"/>
      <c r="C2986" s="471"/>
      <c r="D2986" s="456" t="str">
        <f>IF(Table11[[#This Row],[Current Age]]&gt;19,"Women's",IF(E2986&gt;15,"U19",IF(E2986&gt;13,"U15",IF(E2986&gt;11,"U13",IF(E2986&gt;0,"U11",0)))))</f>
        <v>Women's</v>
      </c>
      <c r="E2986" s="456" t="str">
        <f>IFERROR(IF(Table11[[#This Row],[Year]]&gt;0,$E$1-Table11[[#This Row],[Year]],0),"")</f>
        <v/>
      </c>
      <c r="F2986" s="456" t="s">
        <v>4722</v>
      </c>
      <c r="G2986" s="456" t="s">
        <v>4722</v>
      </c>
      <c r="H2986" s="457" t="s">
        <v>4722</v>
      </c>
    </row>
    <row r="2987" spans="1:8" ht="13.5" customHeight="1">
      <c r="A2987" s="471">
        <v>9983</v>
      </c>
      <c r="B2987" s="495"/>
      <c r="C2987" s="470"/>
      <c r="D2987" s="579" t="str">
        <f>IF(Table11[[#This Row],[Current Age]]&gt;19,"Women's",IF(E2987&gt;15,"U19",IF(E2987&gt;13,"U15",IF(E2987&gt;11,"U13",IF(E2987&gt;0,"U11",0)))))</f>
        <v>Women's</v>
      </c>
      <c r="E2987" s="456" t="str">
        <f>IFERROR(IF(Table11[[#This Row],[Year]]&gt;0,$E$1-Table11[[#This Row],[Year]],0),"")</f>
        <v/>
      </c>
      <c r="F2987" s="456" t="s">
        <v>4722</v>
      </c>
      <c r="G2987" s="456" t="s">
        <v>4722</v>
      </c>
      <c r="H2987" s="457" t="s">
        <v>4722</v>
      </c>
    </row>
    <row r="2988" spans="1:8" ht="13.5" customHeight="1">
      <c r="A2988" s="456">
        <v>9984</v>
      </c>
      <c r="B2988" s="495"/>
      <c r="C2988" s="470"/>
      <c r="D2988" s="580">
        <f>IF(Table11[[#This Row],[Current Age]]&gt;19,"Women's",IF(E2988&gt;15,"U19",IF(E2988&gt;13,"U15",IF(E2988&gt;11,"U13",IF(E2988&gt;0,"U11",0)))))</f>
        <v>0</v>
      </c>
      <c r="E2988" s="456">
        <f>IFERROR(IF(Table11[[#This Row],[Year]]&gt;0,$E$1-Table11[[#This Row],[Year]],0),"")</f>
        <v>0</v>
      </c>
      <c r="F2988" s="580"/>
      <c r="G2988" s="580"/>
      <c r="H2988" s="586"/>
    </row>
    <row r="2989" spans="1:8" ht="13.5" customHeight="1">
      <c r="A2989" s="471">
        <v>9985</v>
      </c>
      <c r="B2989" s="495"/>
      <c r="C2989" s="470"/>
      <c r="D2989" s="579">
        <f>IF(Table11[[#This Row],[Current Age]]&gt;19,"Women's",IF(E2989&gt;15,"U19",IF(E2989&gt;13,"U15",IF(E2989&gt;11,"U13",IF(E2989&gt;0,"U11",0)))))</f>
        <v>0</v>
      </c>
      <c r="E2989" s="456">
        <f>IFERROR(IF(Table11[[#This Row],[Year]]&gt;0,$E$1-Table11[[#This Row],[Year]],0),"")</f>
        <v>0</v>
      </c>
      <c r="F2989" s="579"/>
      <c r="G2989" s="579"/>
      <c r="H2989" s="587"/>
    </row>
    <row r="2990" spans="1:8" ht="13.5" customHeight="1">
      <c r="A2990" s="456">
        <v>9986</v>
      </c>
      <c r="B2990" s="495"/>
      <c r="C2990" s="470"/>
      <c r="D2990" s="580">
        <f>IF(Table11[[#This Row],[Current Age]]&gt;19,"Women's",IF(E2990&gt;15,"U19",IF(E2990&gt;13,"U15",IF(E2990&gt;11,"U13",IF(E2990&gt;0,"U11",0)))))</f>
        <v>0</v>
      </c>
      <c r="E2990" s="456">
        <f>IFERROR(IF(Table11[[#This Row],[Year]]&gt;0,$E$1-Table11[[#This Row],[Year]],0),"")</f>
        <v>0</v>
      </c>
      <c r="F2990" s="580"/>
      <c r="G2990" s="580"/>
      <c r="H2990" s="586"/>
    </row>
    <row r="2991" spans="1:8" ht="13.5" customHeight="1">
      <c r="A2991" s="471">
        <v>9987</v>
      </c>
      <c r="B2991" s="495"/>
      <c r="C2991" s="470"/>
      <c r="D2991" s="580">
        <f>IF(Table11[[#This Row],[Current Age]]&gt;19,"Women's",IF(E2991&gt;15,"U19",IF(E2991&gt;13,"U15",IF(E2991&gt;11,"U13",IF(E2991&gt;0,"U11",0)))))</f>
        <v>0</v>
      </c>
      <c r="E2991" s="456">
        <f>IFERROR(IF(Table11[[#This Row],[Year]]&gt;0,$E$1-Table11[[#This Row],[Year]],0),"")</f>
        <v>0</v>
      </c>
      <c r="F2991" s="580"/>
      <c r="G2991" s="580"/>
      <c r="H2991" s="586"/>
    </row>
    <row r="2992" spans="1:8" ht="13.5" customHeight="1">
      <c r="A2992" s="456">
        <v>9988</v>
      </c>
      <c r="B2992" s="495"/>
      <c r="C2992" s="470"/>
      <c r="D2992" s="580">
        <f>IF(Table11[[#This Row],[Current Age]]&gt;19,"Women's",IF(E2992&gt;15,"U19",IF(E2992&gt;13,"U15",IF(E2992&gt;11,"U13",IF(E2992&gt;0,"U11",0)))))</f>
        <v>0</v>
      </c>
      <c r="E2992" s="456">
        <f>IFERROR(IF(Table11[[#This Row],[Year]]&gt;0,$E$1-Table11[[#This Row],[Year]],0),"")</f>
        <v>0</v>
      </c>
      <c r="F2992" s="580"/>
      <c r="G2992" s="580"/>
      <c r="H2992" s="586"/>
    </row>
    <row r="2993" spans="1:8" ht="13.5" customHeight="1">
      <c r="A2993" s="471">
        <v>9989</v>
      </c>
      <c r="B2993" s="495"/>
      <c r="C2993" s="470"/>
      <c r="D2993" s="580">
        <f>IF(Table11[[#This Row],[Current Age]]&gt;19,"Women's",IF(E2993&gt;15,"U19",IF(E2993&gt;13,"U15",IF(E2993&gt;11,"U13",IF(E2993&gt;0,"U11",0)))))</f>
        <v>0</v>
      </c>
      <c r="E2993" s="456">
        <f>IFERROR(IF(Table11[[#This Row],[Year]]&gt;0,$E$1-Table11[[#This Row],[Year]],0),"")</f>
        <v>0</v>
      </c>
      <c r="F2993" s="580"/>
      <c r="G2993" s="580"/>
      <c r="H2993" s="586"/>
    </row>
    <row r="2994" spans="1:8" ht="13.5" customHeight="1">
      <c r="A2994" s="456">
        <v>9990</v>
      </c>
      <c r="B2994" s="495"/>
      <c r="C2994" s="470"/>
      <c r="D2994" s="580">
        <f>IF(Table11[[#This Row],[Current Age]]&gt;19,"Women's",IF(E2994&gt;15,"U19",IF(E2994&gt;13,"U15",IF(E2994&gt;11,"U13",IF(E2994&gt;0,"U11",0)))))</f>
        <v>0</v>
      </c>
      <c r="E2994" s="456">
        <f>IFERROR(IF(Table11[[#This Row],[Year]]&gt;0,$E$1-Table11[[#This Row],[Year]],0),"")</f>
        <v>0</v>
      </c>
      <c r="F2994" s="580"/>
      <c r="G2994" s="580"/>
      <c r="H2994" s="586"/>
    </row>
    <row r="2995" spans="1:8" ht="13.5" customHeight="1">
      <c r="A2995" s="471">
        <v>9991</v>
      </c>
      <c r="B2995" s="495"/>
      <c r="C2995" s="470"/>
      <c r="D2995" s="580">
        <f>IF(Table11[[#This Row],[Current Age]]&gt;19,"Women's",IF(E2995&gt;15,"U19",IF(E2995&gt;13,"U15",IF(E2995&gt;11,"U13",IF(E2995&gt;0,"U11",0)))))</f>
        <v>0</v>
      </c>
      <c r="E2995" s="456">
        <f>IFERROR(IF(Table11[[#This Row],[Year]]&gt;0,$E$1-Table11[[#This Row],[Year]],0),"")</f>
        <v>0</v>
      </c>
      <c r="F2995" s="580"/>
      <c r="G2995" s="580"/>
      <c r="H2995" s="586"/>
    </row>
    <row r="2996" spans="1:8" ht="13.5" customHeight="1">
      <c r="A2996" s="456">
        <v>9992</v>
      </c>
      <c r="B2996" s="495"/>
      <c r="C2996" s="470"/>
      <c r="D2996" s="580">
        <f>IF(Table11[[#This Row],[Current Age]]&gt;19,"Women's",IF(E2996&gt;15,"U19",IF(E2996&gt;13,"U15",IF(E2996&gt;11,"U13",IF(E2996&gt;0,"U11",0)))))</f>
        <v>0</v>
      </c>
      <c r="E2996" s="456">
        <f>IFERROR(IF(Table11[[#This Row],[Year]]&gt;0,$E$1-Table11[[#This Row],[Year]],0),"")</f>
        <v>0</v>
      </c>
      <c r="F2996" s="580"/>
      <c r="G2996" s="580"/>
      <c r="H2996" s="586"/>
    </row>
    <row r="2997" spans="1:8" ht="13.5" customHeight="1">
      <c r="A2997" s="471">
        <v>9993</v>
      </c>
      <c r="B2997" s="495"/>
      <c r="C2997" s="470"/>
      <c r="D2997" s="580">
        <f>IF(Table11[[#This Row],[Current Age]]&gt;19,"Women's",IF(E2997&gt;15,"U19",IF(E2997&gt;13,"U15",IF(E2997&gt;11,"U13",IF(E2997&gt;0,"U11",0)))))</f>
        <v>0</v>
      </c>
      <c r="E2997" s="456">
        <f>IFERROR(IF(Table11[[#This Row],[Year]]&gt;0,$E$1-Table11[[#This Row],[Year]],0),"")</f>
        <v>0</v>
      </c>
      <c r="F2997" s="580"/>
      <c r="G2997" s="580"/>
      <c r="H2997" s="586"/>
    </row>
    <row r="2998" spans="1:8" ht="13.5" customHeight="1">
      <c r="A2998" s="456">
        <v>9994</v>
      </c>
      <c r="B2998" s="495"/>
      <c r="C2998" s="470"/>
      <c r="D2998" s="580">
        <f>IF(Table11[[#This Row],[Current Age]]&gt;19,"Women's",IF(E2998&gt;15,"U19",IF(E2998&gt;13,"U15",IF(E2998&gt;11,"U13",IF(E2998&gt;0,"U11",0)))))</f>
        <v>0</v>
      </c>
      <c r="E2998" s="456">
        <f>IFERROR(IF(Table11[[#This Row],[Year]]&gt;0,$E$1-Table11[[#This Row],[Year]],0),"")</f>
        <v>0</v>
      </c>
      <c r="F2998" s="580"/>
      <c r="G2998" s="580"/>
      <c r="H2998" s="586"/>
    </row>
    <row r="2999" spans="1:8" ht="13.5" customHeight="1">
      <c r="A2999" s="471">
        <v>9995</v>
      </c>
      <c r="B2999" s="495"/>
      <c r="C2999" s="470"/>
      <c r="D2999" s="580" t="str">
        <f>IF(Table11[[#This Row],[Current Age]]&gt;19,"Women's",IF(E2999&gt;15,"U19",IF(E2999&gt;13,"U15",IF(E2999&gt;11,"U13",IF(E2999&gt;0,"U11",0)))))</f>
        <v>Women's</v>
      </c>
      <c r="E2999" s="456" t="str">
        <f>IFERROR(IF(Table11[[#This Row],[Year]]&gt;0,$E$1-Table11[[#This Row],[Year]],0),"")</f>
        <v/>
      </c>
      <c r="F2999" s="456" t="s">
        <v>4722</v>
      </c>
      <c r="G2999" s="456" t="s">
        <v>4722</v>
      </c>
      <c r="H2999" s="457" t="s">
        <v>4722</v>
      </c>
    </row>
    <row r="3000" spans="1:8" ht="13.5" customHeight="1">
      <c r="A3000" s="456">
        <v>9996</v>
      </c>
      <c r="B3000" s="495"/>
      <c r="C3000" s="470"/>
      <c r="D3000" s="456"/>
      <c r="E3000" s="456"/>
      <c r="F3000" s="456"/>
      <c r="G3000" s="456"/>
      <c r="H3000" s="456"/>
    </row>
    <row r="3001" spans="1:8" ht="13.5" customHeight="1">
      <c r="A3001" s="471">
        <v>9997</v>
      </c>
      <c r="B3001" s="495"/>
      <c r="C3001" s="470"/>
      <c r="D3001" s="456"/>
      <c r="E3001" s="456"/>
      <c r="F3001" s="456"/>
      <c r="G3001" s="456"/>
      <c r="H3001" s="457"/>
    </row>
    <row r="3002" spans="1:8" ht="13.5" customHeight="1">
      <c r="A3002" s="456">
        <v>9998</v>
      </c>
      <c r="B3002" s="495"/>
      <c r="C3002" s="470"/>
      <c r="D3002" s="456"/>
      <c r="E3002" s="456"/>
      <c r="F3002" s="456"/>
      <c r="G3002" s="456"/>
      <c r="H3002" s="457"/>
    </row>
    <row r="3003" spans="1:8" ht="13.5" customHeight="1">
      <c r="A3003" s="471">
        <v>9999</v>
      </c>
      <c r="B3003" s="495"/>
      <c r="C3003" s="470"/>
      <c r="D3003" s="456"/>
      <c r="E3003" s="456"/>
      <c r="F3003" s="456"/>
      <c r="G3003" s="456"/>
      <c r="H3003" s="457"/>
    </row>
    <row r="3004" spans="1:8" ht="13.5" customHeight="1">
      <c r="A3004" s="456" t="s">
        <v>5922</v>
      </c>
      <c r="B3004" s="497" t="s">
        <v>5923</v>
      </c>
      <c r="C3004" s="458" t="s">
        <v>5916</v>
      </c>
      <c r="D3004" s="456"/>
      <c r="E3004" s="456"/>
      <c r="F3004" s="456"/>
      <c r="G3004" s="456"/>
      <c r="H3004" s="457"/>
    </row>
    <row r="3005" spans="1:8" ht="13.5" customHeight="1">
      <c r="A3005" s="471" t="s">
        <v>5946</v>
      </c>
      <c r="B3005" s="540" t="s">
        <v>5944</v>
      </c>
      <c r="C3005" s="471" t="s">
        <v>243</v>
      </c>
      <c r="D3005" s="456"/>
      <c r="E3005" s="456"/>
      <c r="F3005" s="456"/>
      <c r="G3005" s="456"/>
      <c r="H3005" s="457"/>
    </row>
    <row r="3006" spans="1:8" ht="13.5" customHeight="1">
      <c r="A3006" s="456" t="s">
        <v>5988</v>
      </c>
      <c r="B3006" s="457"/>
      <c r="C3006" s="456"/>
      <c r="D3006" s="456"/>
      <c r="E3006" s="456"/>
      <c r="F3006" s="456"/>
      <c r="G3006" s="456"/>
      <c r="H3006" s="457"/>
    </row>
    <row r="3007" spans="1:8" ht="13.5" customHeight="1">
      <c r="A3007" s="471" t="s">
        <v>5947</v>
      </c>
      <c r="B3007" s="540" t="s">
        <v>5945</v>
      </c>
      <c r="C3007" s="471" t="s">
        <v>243</v>
      </c>
      <c r="D3007" s="456"/>
      <c r="E3007" s="456"/>
      <c r="F3007" s="456"/>
      <c r="G3007" s="456"/>
      <c r="H3007" s="457"/>
    </row>
    <row r="3008" spans="1:8" ht="13.5" customHeight="1">
      <c r="A3008" s="456" t="s">
        <v>5989</v>
      </c>
      <c r="B3008" s="457"/>
      <c r="C3008" s="456"/>
      <c r="D3008" s="456"/>
      <c r="E3008" s="456"/>
      <c r="F3008" s="456"/>
      <c r="G3008" s="456"/>
      <c r="H3008" s="457"/>
    </row>
    <row r="3009" spans="1:8" ht="13.5" customHeight="1">
      <c r="A3009" s="471" t="s">
        <v>5990</v>
      </c>
      <c r="B3009" s="540"/>
      <c r="C3009" s="471"/>
      <c r="D3009" s="456"/>
      <c r="E3009" s="456"/>
      <c r="F3009" s="456"/>
      <c r="G3009" s="456"/>
      <c r="H3009" s="457"/>
    </row>
    <row r="3010" spans="1:8" ht="13.5" customHeight="1">
      <c r="A3010" s="456" t="s">
        <v>5991</v>
      </c>
      <c r="B3010" s="588" t="s">
        <v>6025</v>
      </c>
      <c r="C3010" s="456" t="s">
        <v>4658</v>
      </c>
      <c r="D3010" s="456"/>
      <c r="E3010" s="456"/>
      <c r="F3010" s="456"/>
      <c r="G3010" s="456"/>
      <c r="H3010" s="457"/>
    </row>
    <row r="3011" spans="1:8" ht="13.5" customHeight="1">
      <c r="A3011" s="471" t="s">
        <v>5992</v>
      </c>
      <c r="B3011" s="563" t="s">
        <v>5963</v>
      </c>
      <c r="C3011" s="488" t="s">
        <v>4658</v>
      </c>
      <c r="D3011" s="456"/>
      <c r="E3011" s="456"/>
      <c r="F3011" s="456"/>
      <c r="G3011" s="456"/>
      <c r="H3011" s="457"/>
    </row>
    <row r="3012" spans="1:8" ht="13.5" customHeight="1">
      <c r="A3012" s="456" t="s">
        <v>5969</v>
      </c>
      <c r="B3012" s="457" t="s">
        <v>5964</v>
      </c>
      <c r="C3012" s="456" t="s">
        <v>4658</v>
      </c>
      <c r="D3012" s="456"/>
      <c r="E3012" s="456"/>
      <c r="F3012" s="456"/>
      <c r="G3012" s="456"/>
      <c r="H3012" s="457"/>
    </row>
    <row r="3013" spans="1:8" ht="13.5" customHeight="1">
      <c r="A3013" s="471" t="s">
        <v>5993</v>
      </c>
      <c r="B3013" s="540" t="s">
        <v>5965</v>
      </c>
      <c r="C3013" s="471" t="s">
        <v>4658</v>
      </c>
      <c r="D3013" s="456"/>
      <c r="E3013" s="456"/>
      <c r="F3013" s="456"/>
      <c r="G3013" s="456"/>
      <c r="H3013" s="457"/>
    </row>
    <row r="3014" spans="1:8" ht="13.5" customHeight="1">
      <c r="A3014" s="456" t="s">
        <v>5994</v>
      </c>
      <c r="B3014" s="457" t="s">
        <v>5966</v>
      </c>
      <c r="C3014" s="456" t="s">
        <v>4658</v>
      </c>
      <c r="D3014" s="456"/>
      <c r="E3014" s="456"/>
      <c r="F3014" s="456"/>
      <c r="G3014" s="456"/>
      <c r="H3014" s="457"/>
    </row>
    <row r="3015" spans="1:8" ht="13.5" customHeight="1">
      <c r="A3015" s="471" t="s">
        <v>5995</v>
      </c>
      <c r="B3015" s="540" t="s">
        <v>5967</v>
      </c>
      <c r="C3015" s="471" t="s">
        <v>4658</v>
      </c>
      <c r="D3015" s="456"/>
      <c r="E3015" s="456"/>
      <c r="F3015" s="456"/>
      <c r="G3015" s="456"/>
      <c r="H3015" s="457"/>
    </row>
    <row r="3016" spans="1:8" ht="13.5" customHeight="1">
      <c r="A3016" s="456" t="s">
        <v>5996</v>
      </c>
      <c r="B3016" s="457" t="s">
        <v>5968</v>
      </c>
      <c r="C3016" s="456" t="s">
        <v>4658</v>
      </c>
      <c r="D3016" s="456"/>
      <c r="E3016" s="456"/>
      <c r="F3016" s="456"/>
      <c r="G3016" s="456"/>
      <c r="H3016" s="457"/>
    </row>
    <row r="3017" spans="1:8" ht="13.5" customHeight="1">
      <c r="A3017" s="471" t="s">
        <v>5997</v>
      </c>
      <c r="B3017" s="540" t="s">
        <v>5981</v>
      </c>
      <c r="C3017" s="471" t="s">
        <v>361</v>
      </c>
      <c r="D3017" s="456"/>
      <c r="E3017" s="456"/>
      <c r="F3017" s="456"/>
      <c r="G3017" s="456"/>
      <c r="H3017" s="457"/>
    </row>
    <row r="3018" spans="1:8" ht="13.5" customHeight="1">
      <c r="A3018" s="565"/>
      <c r="B3018" s="561"/>
      <c r="C3018" s="470"/>
      <c r="D3018" s="470"/>
      <c r="E3018" s="470"/>
      <c r="F3018" s="470"/>
      <c r="G3018" s="470"/>
      <c r="H3018" s="561"/>
    </row>
    <row r="3019" spans="1:8" ht="13.5" customHeight="1">
      <c r="A3019" s="201"/>
    </row>
    <row r="3020" spans="1:8" ht="13.5" customHeight="1">
      <c r="A3020" s="201"/>
    </row>
    <row r="3021" spans="1:8" ht="13.5" customHeight="1">
      <c r="A3021" s="201"/>
    </row>
    <row r="3022" spans="1:8" ht="13.5" customHeight="1">
      <c r="A3022" s="201"/>
    </row>
    <row r="3023" spans="1:8" ht="13.5" customHeight="1">
      <c r="A3023" s="201"/>
    </row>
    <row r="3024" spans="1:8" ht="13.5" customHeight="1">
      <c r="A3024" s="201"/>
    </row>
    <row r="3025" spans="1:1" ht="13.5" customHeight="1">
      <c r="A3025" s="201"/>
    </row>
    <row r="3026" spans="1:1" ht="13.5" customHeight="1">
      <c r="A3026" s="201"/>
    </row>
    <row r="3027" spans="1:1" ht="13.5" customHeight="1">
      <c r="A3027" s="201"/>
    </row>
    <row r="3028" spans="1:1" ht="13.5" customHeight="1">
      <c r="A3028" s="201"/>
    </row>
    <row r="3029" spans="1:1" ht="13.5" customHeight="1">
      <c r="A3029" s="201"/>
    </row>
    <row r="3030" spans="1:1" ht="13.5" customHeight="1">
      <c r="A3030" s="201"/>
    </row>
    <row r="3031" spans="1:1" ht="13.5" customHeight="1">
      <c r="A3031" s="201"/>
    </row>
    <row r="3032" spans="1:1" ht="13.5" customHeight="1">
      <c r="A3032" s="201"/>
    </row>
    <row r="3033" spans="1:1" ht="13.5" customHeight="1">
      <c r="A3033" s="201"/>
    </row>
    <row r="3034" spans="1:1" ht="13.5" customHeight="1">
      <c r="A3034" s="201"/>
    </row>
    <row r="3035" spans="1:1" ht="13.5" customHeight="1">
      <c r="A3035" s="201"/>
    </row>
    <row r="3036" spans="1:1" ht="13.5" customHeight="1">
      <c r="A3036" s="201"/>
    </row>
    <row r="3037" spans="1:1" ht="13.5" customHeight="1">
      <c r="A3037" s="201"/>
    </row>
    <row r="3038" spans="1:1" ht="13.5" customHeight="1">
      <c r="A3038" s="201"/>
    </row>
    <row r="3039" spans="1:1" ht="13.5" customHeight="1">
      <c r="A3039" s="201"/>
    </row>
    <row r="3040" spans="1:1" ht="13.5" customHeight="1">
      <c r="A3040" s="201"/>
    </row>
    <row r="3041" spans="1:1" ht="13.5" customHeight="1">
      <c r="A3041" s="201"/>
    </row>
    <row r="3042" spans="1:1" ht="13.5" customHeight="1">
      <c r="A3042" s="201"/>
    </row>
    <row r="3043" spans="1:1" ht="13.5" customHeight="1">
      <c r="A3043" s="201"/>
    </row>
    <row r="3044" spans="1:1" ht="13.5" customHeight="1">
      <c r="A3044" s="201"/>
    </row>
    <row r="3045" spans="1:1" ht="13.5" customHeight="1">
      <c r="A3045" s="201"/>
    </row>
    <row r="3046" spans="1:1" ht="13.5" customHeight="1">
      <c r="A3046" s="201"/>
    </row>
    <row r="3047" spans="1:1" ht="13.5" customHeight="1">
      <c r="A3047" s="201"/>
    </row>
    <row r="3048" spans="1:1" ht="13.5" customHeight="1">
      <c r="A3048" s="201"/>
    </row>
    <row r="3049" spans="1:1" ht="13.5" customHeight="1">
      <c r="A3049" s="201"/>
    </row>
    <row r="3050" spans="1:1" ht="13.5" customHeight="1">
      <c r="A3050" s="201"/>
    </row>
    <row r="3051" spans="1:1" ht="13.5" customHeight="1">
      <c r="A3051" s="201"/>
    </row>
    <row r="3052" spans="1:1" ht="13.5" customHeight="1">
      <c r="A3052" s="201"/>
    </row>
    <row r="3053" spans="1:1" ht="13.5" customHeight="1">
      <c r="A3053" s="201"/>
    </row>
    <row r="3054" spans="1:1" ht="13.5" customHeight="1">
      <c r="A3054" s="201"/>
    </row>
    <row r="3055" spans="1:1" ht="13.5" customHeight="1">
      <c r="A3055" s="201"/>
    </row>
    <row r="3056" spans="1:1" ht="13.5" customHeight="1">
      <c r="A3056" s="201"/>
    </row>
    <row r="3057" spans="1:1" ht="13.5" customHeight="1">
      <c r="A3057" s="201"/>
    </row>
    <row r="3058" spans="1:1" ht="13.5" customHeight="1">
      <c r="A3058" s="201"/>
    </row>
    <row r="3059" spans="1:1" ht="13.5" customHeight="1">
      <c r="A3059" s="201"/>
    </row>
    <row r="3060" spans="1:1" ht="13.5" customHeight="1">
      <c r="A3060" s="201"/>
    </row>
    <row r="3061" spans="1:1" ht="13.5" customHeight="1">
      <c r="A3061" s="201"/>
    </row>
    <row r="3062" spans="1:1" ht="13.5" customHeight="1">
      <c r="A3062" s="201"/>
    </row>
    <row r="3063" spans="1:1" ht="13.5" customHeight="1">
      <c r="A3063" s="201"/>
    </row>
    <row r="3064" spans="1:1" ht="13.5" customHeight="1">
      <c r="A3064" s="201"/>
    </row>
    <row r="3065" spans="1:1" ht="13.5" customHeight="1">
      <c r="A3065" s="201"/>
    </row>
    <row r="3066" spans="1:1" ht="13.5" customHeight="1">
      <c r="A3066" s="201"/>
    </row>
    <row r="3067" spans="1:1" ht="13.5" customHeight="1">
      <c r="A3067" s="201"/>
    </row>
    <row r="3068" spans="1:1" ht="13.5" customHeight="1">
      <c r="A3068" s="201"/>
    </row>
    <row r="3069" spans="1:1" ht="13.5" customHeight="1">
      <c r="A3069" s="201"/>
    </row>
    <row r="3070" spans="1:1" ht="13.5" customHeight="1">
      <c r="A3070" s="201"/>
    </row>
    <row r="3071" spans="1:1" ht="13.5" customHeight="1">
      <c r="A3071" s="201"/>
    </row>
    <row r="3072" spans="1:1" ht="13.5" customHeight="1">
      <c r="A3072" s="201"/>
    </row>
    <row r="3073" spans="1:1" ht="13.5" customHeight="1">
      <c r="A3073" s="201"/>
    </row>
    <row r="3074" spans="1:1" ht="13.5" customHeight="1">
      <c r="A3074" s="201"/>
    </row>
    <row r="3075" spans="1:1" ht="13.5" customHeight="1">
      <c r="A3075" s="201"/>
    </row>
    <row r="3076" spans="1:1" ht="13.5" customHeight="1">
      <c r="A3076" s="201"/>
    </row>
    <row r="3077" spans="1:1" ht="13.5" customHeight="1">
      <c r="A3077" s="201"/>
    </row>
    <row r="3078" spans="1:1" ht="13.5" customHeight="1">
      <c r="A3078" s="201"/>
    </row>
    <row r="3079" spans="1:1" ht="13.5" customHeight="1">
      <c r="A3079" s="201"/>
    </row>
    <row r="3080" spans="1:1" ht="13.5" customHeight="1">
      <c r="A3080" s="201"/>
    </row>
    <row r="3081" spans="1:1" ht="13.5" customHeight="1">
      <c r="A3081" s="201"/>
    </row>
    <row r="3082" spans="1:1" ht="13.5" customHeight="1">
      <c r="A3082" s="201"/>
    </row>
    <row r="3083" spans="1:1" ht="13.5" customHeight="1">
      <c r="A3083" s="201"/>
    </row>
    <row r="3084" spans="1:1" ht="13.5" customHeight="1">
      <c r="A3084" s="201"/>
    </row>
    <row r="3085" spans="1:1" ht="13.5" customHeight="1">
      <c r="A3085" s="201"/>
    </row>
    <row r="3086" spans="1:1" ht="13.5" customHeight="1">
      <c r="A3086" s="201"/>
    </row>
    <row r="3087" spans="1:1" ht="13.5" customHeight="1">
      <c r="A3087" s="201"/>
    </row>
    <row r="3088" spans="1:1" ht="13.5" customHeight="1">
      <c r="A3088" s="201"/>
    </row>
    <row r="3089" spans="1:1" ht="13.5" customHeight="1">
      <c r="A3089" s="201"/>
    </row>
    <row r="3090" spans="1:1" ht="13.5" customHeight="1">
      <c r="A3090" s="201"/>
    </row>
    <row r="3091" spans="1:1" ht="13.5" customHeight="1">
      <c r="A3091" s="201"/>
    </row>
    <row r="3092" spans="1:1" ht="13.5" customHeight="1">
      <c r="A3092" s="201"/>
    </row>
    <row r="3093" spans="1:1" ht="13.5" customHeight="1">
      <c r="A3093" s="201"/>
    </row>
    <row r="3094" spans="1:1" ht="13.5" customHeight="1">
      <c r="A3094" s="201"/>
    </row>
    <row r="3095" spans="1:1" ht="13.5" customHeight="1">
      <c r="A3095" s="201"/>
    </row>
    <row r="3096" spans="1:1" ht="13.5" customHeight="1">
      <c r="A3096" s="201"/>
    </row>
    <row r="3097" spans="1:1" ht="13.5" customHeight="1">
      <c r="A3097" s="201"/>
    </row>
    <row r="3098" spans="1:1" ht="13.5" customHeight="1">
      <c r="A3098" s="201"/>
    </row>
    <row r="3099" spans="1:1" ht="13.5" customHeight="1">
      <c r="A3099" s="201"/>
    </row>
    <row r="3100" spans="1:1" ht="13.5" customHeight="1">
      <c r="A3100" s="201"/>
    </row>
    <row r="3101" spans="1:1" ht="13.5" customHeight="1">
      <c r="A3101" s="201"/>
    </row>
    <row r="3102" spans="1:1" ht="13.5" customHeight="1">
      <c r="A3102" s="201"/>
    </row>
    <row r="3103" spans="1:1" ht="13.5" customHeight="1">
      <c r="A3103" s="201"/>
    </row>
    <row r="3104" spans="1:1" ht="13.5" customHeight="1">
      <c r="A3104" s="201"/>
    </row>
    <row r="3105" spans="1:1" ht="13.5" customHeight="1">
      <c r="A3105" s="201"/>
    </row>
    <row r="3106" spans="1:1" ht="13.5" customHeight="1">
      <c r="A3106" s="201"/>
    </row>
    <row r="3107" spans="1:1" ht="13.5" customHeight="1">
      <c r="A3107" s="201"/>
    </row>
    <row r="3108" spans="1:1" ht="13.5" customHeight="1">
      <c r="A3108" s="201"/>
    </row>
    <row r="3109" spans="1:1" ht="13.5" customHeight="1">
      <c r="A3109" s="201"/>
    </row>
    <row r="3110" spans="1:1" ht="13.5" customHeight="1">
      <c r="A3110" s="201"/>
    </row>
    <row r="3111" spans="1:1" ht="13.5" customHeight="1">
      <c r="A3111" s="201"/>
    </row>
    <row r="3112" spans="1:1" ht="13.5" customHeight="1">
      <c r="A3112" s="201"/>
    </row>
    <row r="3113" spans="1:1" ht="13.5" customHeight="1">
      <c r="A3113" s="201"/>
    </row>
    <row r="3114" spans="1:1" ht="13.5" customHeight="1">
      <c r="A3114" s="201"/>
    </row>
    <row r="3115" spans="1:1" ht="13.5" customHeight="1">
      <c r="A3115" s="201"/>
    </row>
    <row r="3116" spans="1:1" ht="13.5" customHeight="1">
      <c r="A3116" s="201"/>
    </row>
    <row r="3117" spans="1:1" ht="13.5" customHeight="1">
      <c r="A3117" s="201"/>
    </row>
    <row r="3118" spans="1:1" ht="13.5" customHeight="1">
      <c r="A3118" s="201"/>
    </row>
    <row r="3119" spans="1:1" ht="13.5" customHeight="1">
      <c r="A3119" s="201"/>
    </row>
    <row r="3120" spans="1:1" ht="13.5" customHeight="1">
      <c r="A3120" s="201"/>
    </row>
    <row r="3121" spans="1:1" ht="13.5" customHeight="1">
      <c r="A3121" s="201"/>
    </row>
    <row r="3122" spans="1:1" ht="13.5" customHeight="1">
      <c r="A3122" s="201"/>
    </row>
    <row r="3123" spans="1:1" ht="13.5" customHeight="1">
      <c r="A3123" s="201"/>
    </row>
    <row r="3124" spans="1:1" ht="13.5" customHeight="1">
      <c r="A3124" s="201"/>
    </row>
    <row r="3125" spans="1:1" ht="13.5" customHeight="1">
      <c r="A3125" s="201"/>
    </row>
    <row r="3126" spans="1:1" ht="13.5" customHeight="1">
      <c r="A3126" s="201"/>
    </row>
    <row r="3127" spans="1:1" ht="13.5" customHeight="1">
      <c r="A3127" s="201"/>
    </row>
    <row r="3128" spans="1:1" ht="13.5" customHeight="1">
      <c r="A3128" s="201"/>
    </row>
    <row r="3129" spans="1:1" ht="13.5" customHeight="1">
      <c r="A3129" s="201"/>
    </row>
    <row r="3130" spans="1:1" ht="13.5" customHeight="1">
      <c r="A3130" s="201"/>
    </row>
    <row r="3131" spans="1:1" ht="13.5" customHeight="1">
      <c r="A3131" s="201"/>
    </row>
    <row r="3132" spans="1:1" ht="13.5" customHeight="1">
      <c r="A3132" s="201"/>
    </row>
    <row r="3133" spans="1:1" ht="13.5" customHeight="1">
      <c r="A3133" s="201"/>
    </row>
    <row r="3134" spans="1:1" ht="13.5" customHeight="1">
      <c r="A3134" s="201"/>
    </row>
    <row r="3135" spans="1:1" ht="13.5" customHeight="1">
      <c r="A3135" s="201"/>
    </row>
    <row r="3136" spans="1:1" ht="13.5" customHeight="1">
      <c r="A3136" s="201"/>
    </row>
    <row r="3137" spans="1:1" ht="13.5" customHeight="1">
      <c r="A3137" s="201"/>
    </row>
    <row r="3138" spans="1:1" ht="13.5" customHeight="1">
      <c r="A3138" s="201"/>
    </row>
    <row r="3139" spans="1:1" ht="13.5" customHeight="1">
      <c r="A3139" s="201"/>
    </row>
    <row r="3140" spans="1:1" ht="13.5" customHeight="1">
      <c r="A3140" s="201"/>
    </row>
    <row r="3141" spans="1:1" ht="13.5" customHeight="1">
      <c r="A3141" s="201"/>
    </row>
    <row r="3142" spans="1:1" ht="13.5" customHeight="1">
      <c r="A3142" s="201"/>
    </row>
    <row r="3143" spans="1:1" ht="13.5" customHeight="1">
      <c r="A3143" s="201"/>
    </row>
    <row r="3144" spans="1:1" ht="13.5" customHeight="1">
      <c r="A3144" s="201"/>
    </row>
    <row r="3145" spans="1:1" ht="13.5" customHeight="1">
      <c r="A3145" s="201"/>
    </row>
    <row r="3146" spans="1:1" ht="13.5" customHeight="1">
      <c r="A3146" s="201"/>
    </row>
    <row r="3147" spans="1:1" ht="13.5" customHeight="1">
      <c r="A3147" s="201"/>
    </row>
    <row r="3148" spans="1:1" ht="13.5" customHeight="1">
      <c r="A3148" s="201"/>
    </row>
    <row r="3149" spans="1:1" ht="13.5" customHeight="1">
      <c r="A3149" s="201"/>
    </row>
    <row r="3150" spans="1:1" ht="13.5" customHeight="1">
      <c r="A3150" s="201"/>
    </row>
    <row r="3151" spans="1:1" ht="13.5" customHeight="1">
      <c r="A3151" s="201"/>
    </row>
    <row r="3152" spans="1:1" ht="13.5" customHeight="1">
      <c r="A3152" s="201"/>
    </row>
    <row r="3153" spans="1:1" ht="13.5" customHeight="1">
      <c r="A3153" s="201"/>
    </row>
    <row r="3154" spans="1:1" ht="13.5" customHeight="1">
      <c r="A3154" s="201"/>
    </row>
    <row r="3155" spans="1:1" ht="13.5" customHeight="1">
      <c r="A3155" s="201"/>
    </row>
    <row r="3156" spans="1:1" ht="13.5" customHeight="1">
      <c r="A3156" s="201"/>
    </row>
    <row r="3157" spans="1:1" ht="13.5" customHeight="1">
      <c r="A3157" s="201"/>
    </row>
    <row r="3158" spans="1:1" ht="13.5" customHeight="1">
      <c r="A3158" s="201"/>
    </row>
    <row r="3159" spans="1:1" ht="13.5" customHeight="1">
      <c r="A3159" s="201"/>
    </row>
    <row r="3160" spans="1:1" ht="13.5" customHeight="1">
      <c r="A3160" s="201"/>
    </row>
    <row r="3161" spans="1:1" ht="13.5" customHeight="1">
      <c r="A3161" s="201"/>
    </row>
    <row r="3162" spans="1:1" ht="13.5" customHeight="1">
      <c r="A3162" s="201"/>
    </row>
    <row r="3163" spans="1:1" ht="13.5" customHeight="1">
      <c r="A3163" s="201"/>
    </row>
    <row r="3164" spans="1:1" ht="13.5" customHeight="1">
      <c r="A3164" s="201"/>
    </row>
    <row r="3165" spans="1:1" ht="13.5" customHeight="1">
      <c r="A3165" s="201"/>
    </row>
    <row r="3166" spans="1:1" ht="13.5" customHeight="1">
      <c r="A3166" s="201"/>
    </row>
    <row r="3167" spans="1:1" ht="13.5" customHeight="1">
      <c r="A3167" s="201"/>
    </row>
    <row r="3168" spans="1:1" ht="13.5" customHeight="1">
      <c r="A3168" s="201"/>
    </row>
    <row r="3169" spans="1:1" ht="13.5" customHeight="1">
      <c r="A3169" s="201"/>
    </row>
    <row r="3170" spans="1:1" ht="13.5" customHeight="1">
      <c r="A3170" s="201"/>
    </row>
    <row r="3171" spans="1:1" ht="13.5" customHeight="1">
      <c r="A3171" s="201"/>
    </row>
    <row r="3172" spans="1:1" ht="13.5" customHeight="1">
      <c r="A3172" s="201"/>
    </row>
    <row r="3173" spans="1:1" ht="13.5" customHeight="1">
      <c r="A3173" s="201"/>
    </row>
    <row r="3174" spans="1:1" ht="13.5" customHeight="1">
      <c r="A3174" s="201"/>
    </row>
    <row r="3175" spans="1:1" ht="13.5" customHeight="1">
      <c r="A3175" s="201"/>
    </row>
    <row r="3176" spans="1:1" ht="13.5" customHeight="1">
      <c r="A3176" s="201"/>
    </row>
    <row r="3177" spans="1:1" ht="13.5" customHeight="1">
      <c r="A3177" s="201"/>
    </row>
    <row r="3178" spans="1:1" ht="13.5" customHeight="1">
      <c r="A3178" s="201"/>
    </row>
    <row r="3179" spans="1:1" ht="13.5" customHeight="1">
      <c r="A3179" s="201"/>
    </row>
    <row r="3180" spans="1:1" ht="13.5" customHeight="1">
      <c r="A3180" s="201"/>
    </row>
    <row r="3181" spans="1:1" ht="13.5" customHeight="1">
      <c r="A3181" s="201"/>
    </row>
    <row r="3182" spans="1:1" ht="13.5" customHeight="1">
      <c r="A3182" s="201"/>
    </row>
    <row r="3183" spans="1:1" ht="13.5" customHeight="1">
      <c r="A3183" s="201"/>
    </row>
    <row r="3184" spans="1:1" ht="13.5" customHeight="1">
      <c r="A3184" s="201"/>
    </row>
    <row r="3185" spans="1:1" ht="13.5" customHeight="1">
      <c r="A3185" s="201"/>
    </row>
    <row r="3186" spans="1:1" ht="13.5" customHeight="1">
      <c r="A3186" s="201"/>
    </row>
    <row r="3187" spans="1:1" ht="13.5" customHeight="1">
      <c r="A3187" s="201"/>
    </row>
    <row r="3188" spans="1:1" ht="13.5" customHeight="1">
      <c r="A3188" s="201"/>
    </row>
    <row r="3189" spans="1:1" ht="13.5" customHeight="1">
      <c r="A3189" s="201"/>
    </row>
    <row r="3190" spans="1:1" ht="13.5" customHeight="1">
      <c r="A3190" s="201"/>
    </row>
    <row r="3191" spans="1:1" ht="13.5" customHeight="1">
      <c r="A3191" s="201"/>
    </row>
    <row r="3192" spans="1:1" ht="13.5" customHeight="1">
      <c r="A3192" s="201"/>
    </row>
    <row r="3193" spans="1:1" ht="13.5" customHeight="1">
      <c r="A3193" s="201"/>
    </row>
    <row r="3194" spans="1:1" ht="13.5" customHeight="1">
      <c r="A3194" s="201"/>
    </row>
    <row r="3195" spans="1:1" ht="13.5" customHeight="1">
      <c r="A3195" s="201"/>
    </row>
    <row r="3196" spans="1:1" ht="13.5" customHeight="1">
      <c r="A3196" s="201"/>
    </row>
    <row r="3197" spans="1:1" ht="13.5" customHeight="1">
      <c r="A3197" s="201"/>
    </row>
    <row r="3198" spans="1:1" ht="13.5" customHeight="1">
      <c r="A3198" s="201"/>
    </row>
    <row r="3199" spans="1:1" ht="13.5" customHeight="1">
      <c r="A3199" s="201"/>
    </row>
    <row r="3200" spans="1:1" ht="13.5" customHeight="1">
      <c r="A3200" s="201"/>
    </row>
    <row r="3201" spans="1:1" ht="13.5" customHeight="1">
      <c r="A3201" s="201"/>
    </row>
    <row r="3202" spans="1:1" ht="13.5" customHeight="1">
      <c r="A3202" s="201"/>
    </row>
    <row r="3203" spans="1:1" ht="13.5" customHeight="1">
      <c r="A3203" s="201"/>
    </row>
    <row r="3204" spans="1:1" ht="13.5" customHeight="1">
      <c r="A3204" s="201"/>
    </row>
    <row r="3205" spans="1:1" ht="13.5" customHeight="1">
      <c r="A3205" s="201"/>
    </row>
    <row r="3206" spans="1:1" ht="13.5" customHeight="1">
      <c r="A3206" s="201"/>
    </row>
    <row r="3207" spans="1:1" ht="13.5" customHeight="1">
      <c r="A3207" s="201"/>
    </row>
    <row r="3208" spans="1:1" ht="13.5" customHeight="1">
      <c r="A3208" s="201"/>
    </row>
    <row r="3209" spans="1:1" ht="13.5" customHeight="1">
      <c r="A3209" s="201"/>
    </row>
    <row r="3210" spans="1:1" ht="13.5" customHeight="1">
      <c r="A3210" s="201"/>
    </row>
    <row r="3211" spans="1:1" ht="13.5" customHeight="1">
      <c r="A3211" s="201"/>
    </row>
    <row r="3212" spans="1:1" ht="13.5" customHeight="1">
      <c r="A3212" s="201"/>
    </row>
    <row r="3213" spans="1:1" ht="13.5" customHeight="1">
      <c r="A3213" s="201"/>
    </row>
    <row r="3214" spans="1:1" ht="13.5" customHeight="1">
      <c r="A3214" s="201"/>
    </row>
    <row r="3215" spans="1:1" ht="13.5" customHeight="1">
      <c r="A3215" s="201"/>
    </row>
    <row r="3216" spans="1:1" ht="13.5" customHeight="1">
      <c r="A3216" s="201"/>
    </row>
    <row r="3217" spans="1:1" ht="13.5" customHeight="1">
      <c r="A3217" s="201"/>
    </row>
    <row r="3218" spans="1:1" ht="13.5" customHeight="1">
      <c r="A3218" s="201"/>
    </row>
    <row r="3219" spans="1:1" ht="13.5" customHeight="1">
      <c r="A3219" s="201"/>
    </row>
    <row r="3220" spans="1:1" ht="13.5" customHeight="1">
      <c r="A3220" s="201"/>
    </row>
    <row r="3221" spans="1:1" ht="13.5" customHeight="1">
      <c r="A3221" s="201"/>
    </row>
    <row r="3222" spans="1:1" ht="13.5" customHeight="1">
      <c r="A3222" s="201"/>
    </row>
    <row r="3223" spans="1:1" ht="13.5" customHeight="1">
      <c r="A3223" s="201"/>
    </row>
    <row r="3224" spans="1:1" ht="13.5" customHeight="1">
      <c r="A3224" s="201"/>
    </row>
    <row r="3225" spans="1:1" ht="13.5" customHeight="1">
      <c r="A3225" s="201"/>
    </row>
    <row r="3226" spans="1:1" ht="13.5" customHeight="1">
      <c r="A3226" s="201"/>
    </row>
    <row r="3227" spans="1:1" ht="13.5" customHeight="1">
      <c r="A3227" s="201"/>
    </row>
    <row r="3228" spans="1:1" ht="13.5" customHeight="1">
      <c r="A3228" s="201"/>
    </row>
    <row r="3229" spans="1:1" ht="13.5" customHeight="1">
      <c r="A3229" s="201"/>
    </row>
    <row r="3230" spans="1:1" ht="13.5" customHeight="1">
      <c r="A3230" s="201"/>
    </row>
    <row r="3231" spans="1:1" ht="13.5" customHeight="1">
      <c r="A3231" s="201"/>
    </row>
    <row r="3232" spans="1:1" ht="13.5" customHeight="1">
      <c r="A3232" s="201"/>
    </row>
    <row r="3233" spans="1:1" ht="13.5" customHeight="1">
      <c r="A3233" s="201"/>
    </row>
    <row r="3234" spans="1:1" ht="13.5" customHeight="1">
      <c r="A3234" s="201"/>
    </row>
    <row r="3235" spans="1:1" ht="13.5" customHeight="1">
      <c r="A3235" s="201"/>
    </row>
    <row r="3236" spans="1:1" ht="13.5" customHeight="1">
      <c r="A3236" s="201"/>
    </row>
    <row r="3237" spans="1:1" ht="13.5" customHeight="1">
      <c r="A3237" s="201"/>
    </row>
    <row r="3238" spans="1:1" ht="13.5" customHeight="1">
      <c r="A3238" s="201"/>
    </row>
    <row r="3239" spans="1:1" ht="13.5" customHeight="1">
      <c r="A3239" s="201"/>
    </row>
    <row r="3240" spans="1:1" ht="13.5" customHeight="1">
      <c r="A3240" s="201"/>
    </row>
    <row r="3241" spans="1:1" ht="13.5" customHeight="1">
      <c r="A3241" s="201"/>
    </row>
    <row r="3242" spans="1:1" ht="13.5" customHeight="1">
      <c r="A3242" s="201"/>
    </row>
    <row r="3243" spans="1:1" ht="13.5" customHeight="1">
      <c r="A3243" s="201"/>
    </row>
    <row r="3244" spans="1:1" ht="13.5" customHeight="1">
      <c r="A3244" s="201"/>
    </row>
    <row r="3245" spans="1:1" ht="13.5" customHeight="1">
      <c r="A3245" s="201"/>
    </row>
    <row r="3246" spans="1:1" ht="13.5" customHeight="1">
      <c r="A3246" s="201"/>
    </row>
    <row r="3247" spans="1:1" ht="13.5" customHeight="1">
      <c r="A3247" s="201"/>
    </row>
    <row r="3248" spans="1:1" ht="13.5" customHeight="1">
      <c r="A3248" s="201"/>
    </row>
    <row r="3249" spans="1:1" ht="13.5" customHeight="1">
      <c r="A3249" s="201"/>
    </row>
    <row r="3250" spans="1:1" ht="13.5" customHeight="1">
      <c r="A3250" s="201"/>
    </row>
    <row r="3251" spans="1:1" ht="13.5" customHeight="1">
      <c r="A3251" s="201"/>
    </row>
    <row r="3252" spans="1:1" ht="13.5" customHeight="1">
      <c r="A3252" s="201"/>
    </row>
    <row r="3253" spans="1:1" ht="13.5" customHeight="1">
      <c r="A3253" s="201"/>
    </row>
    <row r="3254" spans="1:1" ht="13.5" customHeight="1">
      <c r="A3254" s="201"/>
    </row>
    <row r="3255" spans="1:1" ht="13.5" customHeight="1">
      <c r="A3255" s="201"/>
    </row>
    <row r="3256" spans="1:1" ht="13.5" customHeight="1">
      <c r="A3256" s="201"/>
    </row>
    <row r="3257" spans="1:1" ht="13.5" customHeight="1">
      <c r="A3257" s="201"/>
    </row>
    <row r="3258" spans="1:1" ht="13.5" customHeight="1">
      <c r="A3258" s="201"/>
    </row>
    <row r="3259" spans="1:1" ht="13.5" customHeight="1">
      <c r="A3259" s="201"/>
    </row>
    <row r="3260" spans="1:1" ht="13.5" customHeight="1">
      <c r="A3260" s="201"/>
    </row>
    <row r="3261" spans="1:1" ht="13.5" customHeight="1">
      <c r="A3261" s="201"/>
    </row>
    <row r="3262" spans="1:1" ht="13.5" customHeight="1">
      <c r="A3262" s="201"/>
    </row>
    <row r="3263" spans="1:1" ht="13.5" customHeight="1">
      <c r="A3263" s="201"/>
    </row>
    <row r="3264" spans="1:1" ht="13.5" customHeight="1">
      <c r="A3264" s="201"/>
    </row>
    <row r="3265" spans="1:1" ht="13.5" customHeight="1">
      <c r="A3265" s="201"/>
    </row>
    <row r="3266" spans="1:1" ht="13.5" customHeight="1">
      <c r="A3266" s="201"/>
    </row>
    <row r="3267" spans="1:1" ht="13.5" customHeight="1">
      <c r="A3267" s="201"/>
    </row>
    <row r="3268" spans="1:1" ht="13.5" customHeight="1">
      <c r="A3268" s="201"/>
    </row>
    <row r="3269" spans="1:1" ht="13.5" customHeight="1">
      <c r="A3269" s="201"/>
    </row>
    <row r="3270" spans="1:1" ht="13.5" customHeight="1">
      <c r="A3270" s="201"/>
    </row>
    <row r="3271" spans="1:1" ht="13.5" customHeight="1">
      <c r="A3271" s="201"/>
    </row>
    <row r="3272" spans="1:1" ht="13.5" customHeight="1">
      <c r="A3272" s="201"/>
    </row>
    <row r="3273" spans="1:1" ht="13.5" customHeight="1">
      <c r="A3273" s="201"/>
    </row>
    <row r="3274" spans="1:1" ht="13.5" customHeight="1">
      <c r="A3274" s="201"/>
    </row>
    <row r="3275" spans="1:1" ht="13.5" customHeight="1">
      <c r="A3275" s="201"/>
    </row>
    <row r="3276" spans="1:1" ht="13.5" customHeight="1">
      <c r="A3276" s="201"/>
    </row>
    <row r="3277" spans="1:1" ht="13.5" customHeight="1">
      <c r="A3277" s="201"/>
    </row>
    <row r="3278" spans="1:1" ht="13.5" customHeight="1">
      <c r="A3278" s="201"/>
    </row>
    <row r="3279" spans="1:1" ht="13.5" customHeight="1">
      <c r="A3279" s="201"/>
    </row>
    <row r="3280" spans="1:1" ht="13.5" customHeight="1">
      <c r="A3280" s="201"/>
    </row>
    <row r="3281" spans="1:1" ht="13.5" customHeight="1">
      <c r="A3281" s="201"/>
    </row>
    <row r="3282" spans="1:1" ht="13.5" customHeight="1">
      <c r="A3282" s="201"/>
    </row>
    <row r="3283" spans="1:1" ht="13.5" customHeight="1">
      <c r="A3283" s="201"/>
    </row>
    <row r="3284" spans="1:1" ht="13.5" customHeight="1">
      <c r="A3284" s="201"/>
    </row>
    <row r="3285" spans="1:1" ht="13.5" customHeight="1">
      <c r="A3285" s="201"/>
    </row>
    <row r="3286" spans="1:1" ht="13.5" customHeight="1">
      <c r="A3286" s="201"/>
    </row>
    <row r="3287" spans="1:1" ht="13.5" customHeight="1">
      <c r="A3287" s="201"/>
    </row>
    <row r="3288" spans="1:1" ht="13.5" customHeight="1">
      <c r="A3288" s="201"/>
    </row>
    <row r="3289" spans="1:1" ht="13.5" customHeight="1">
      <c r="A3289" s="201"/>
    </row>
    <row r="3290" spans="1:1" ht="13.5" customHeight="1">
      <c r="A3290" s="201"/>
    </row>
    <row r="3291" spans="1:1" ht="13.5" customHeight="1">
      <c r="A3291" s="201"/>
    </row>
    <row r="3292" spans="1:1" ht="13.5" customHeight="1">
      <c r="A3292" s="201"/>
    </row>
    <row r="3293" spans="1:1" ht="13.5" customHeight="1">
      <c r="A3293" s="201"/>
    </row>
    <row r="3294" spans="1:1" ht="13.5" customHeight="1">
      <c r="A3294" s="201"/>
    </row>
    <row r="3295" spans="1:1" ht="13.5" customHeight="1">
      <c r="A3295" s="201"/>
    </row>
    <row r="3296" spans="1:1" ht="13.5" customHeight="1">
      <c r="A3296" s="201"/>
    </row>
    <row r="3297" spans="1:1" ht="13.5" customHeight="1">
      <c r="A3297" s="201"/>
    </row>
    <row r="3298" spans="1:1" ht="13.5" customHeight="1">
      <c r="A3298" s="201"/>
    </row>
    <row r="3299" spans="1:1" ht="13.5" customHeight="1">
      <c r="A3299" s="201"/>
    </row>
    <row r="3300" spans="1:1" ht="13.5" customHeight="1">
      <c r="A3300" s="201"/>
    </row>
    <row r="3301" spans="1:1" ht="13.5" customHeight="1">
      <c r="A3301" s="201"/>
    </row>
    <row r="3302" spans="1:1" ht="13.5" customHeight="1">
      <c r="A3302" s="201"/>
    </row>
    <row r="3303" spans="1:1" ht="13.5" customHeight="1">
      <c r="A3303" s="201"/>
    </row>
    <row r="3304" spans="1:1" ht="13.5" customHeight="1">
      <c r="A3304" s="201"/>
    </row>
    <row r="3305" spans="1:1" ht="13.5" customHeight="1">
      <c r="A3305" s="201"/>
    </row>
    <row r="3306" spans="1:1" ht="13.5" customHeight="1">
      <c r="A3306" s="201"/>
    </row>
    <row r="3307" spans="1:1" ht="13.5" customHeight="1">
      <c r="A3307" s="201"/>
    </row>
    <row r="3308" spans="1:1" ht="13.5" customHeight="1">
      <c r="A3308" s="201"/>
    </row>
    <row r="3309" spans="1:1" ht="13.5" customHeight="1">
      <c r="A3309" s="201"/>
    </row>
    <row r="3310" spans="1:1" ht="13.5" customHeight="1">
      <c r="A3310" s="201"/>
    </row>
    <row r="3311" spans="1:1" ht="13.5" customHeight="1">
      <c r="A3311" s="201"/>
    </row>
    <row r="3312" spans="1:1" ht="13.5" customHeight="1">
      <c r="A3312" s="201"/>
    </row>
    <row r="3313" spans="1:1" ht="13.5" customHeight="1">
      <c r="A3313" s="201"/>
    </row>
    <row r="3314" spans="1:1" ht="13.5" customHeight="1">
      <c r="A3314" s="201"/>
    </row>
    <row r="3315" spans="1:1" ht="13.5" customHeight="1">
      <c r="A3315" s="201"/>
    </row>
    <row r="3316" spans="1:1" ht="13.5" customHeight="1">
      <c r="A3316" s="201"/>
    </row>
    <row r="3317" spans="1:1" ht="13.5" customHeight="1">
      <c r="A3317" s="201"/>
    </row>
    <row r="3318" spans="1:1" ht="13.5" customHeight="1">
      <c r="A3318" s="201"/>
    </row>
    <row r="3319" spans="1:1" ht="13.5" customHeight="1">
      <c r="A3319" s="201"/>
    </row>
    <row r="3320" spans="1:1" ht="13.5" customHeight="1">
      <c r="A3320" s="201"/>
    </row>
    <row r="3321" spans="1:1" ht="13.5" customHeight="1">
      <c r="A3321" s="201"/>
    </row>
    <row r="3322" spans="1:1" ht="13.5" customHeight="1">
      <c r="A3322" s="201"/>
    </row>
    <row r="3323" spans="1:1" ht="13.5" customHeight="1">
      <c r="A3323" s="201"/>
    </row>
    <row r="3324" spans="1:1" ht="13.5" customHeight="1">
      <c r="A3324" s="201"/>
    </row>
    <row r="3325" spans="1:1" ht="13.5" customHeight="1">
      <c r="A3325" s="201"/>
    </row>
    <row r="3326" spans="1:1" ht="13.5" customHeight="1">
      <c r="A3326" s="201"/>
    </row>
    <row r="3327" spans="1:1" ht="13.5" customHeight="1">
      <c r="A3327" s="201"/>
    </row>
    <row r="3328" spans="1:1" ht="13.5" customHeight="1">
      <c r="A3328" s="201"/>
    </row>
    <row r="3329" spans="1:1" ht="13.5" customHeight="1">
      <c r="A3329" s="201"/>
    </row>
    <row r="3330" spans="1:1" ht="13.5" customHeight="1">
      <c r="A3330" s="201"/>
    </row>
    <row r="3331" spans="1:1" ht="13.5" customHeight="1">
      <c r="A3331" s="201"/>
    </row>
    <row r="3332" spans="1:1" ht="13.5" customHeight="1">
      <c r="A3332" s="201"/>
    </row>
    <row r="3333" spans="1:1" ht="13.5" customHeight="1">
      <c r="A3333" s="201"/>
    </row>
    <row r="3334" spans="1:1" ht="13.5" customHeight="1">
      <c r="A3334" s="201"/>
    </row>
    <row r="3335" spans="1:1" ht="13.5" customHeight="1">
      <c r="A3335" s="201"/>
    </row>
    <row r="3336" spans="1:1" ht="13.5" customHeight="1">
      <c r="A3336" s="201"/>
    </row>
    <row r="3337" spans="1:1" ht="13.5" customHeight="1">
      <c r="A3337" s="201"/>
    </row>
    <row r="3338" spans="1:1" ht="13.5" customHeight="1">
      <c r="A3338" s="201"/>
    </row>
    <row r="3339" spans="1:1" ht="13.5" customHeight="1">
      <c r="A3339" s="201"/>
    </row>
    <row r="3340" spans="1:1" ht="13.5" customHeight="1">
      <c r="A3340" s="201"/>
    </row>
    <row r="3341" spans="1:1" ht="13.5" customHeight="1">
      <c r="A3341" s="201"/>
    </row>
    <row r="3342" spans="1:1" ht="13.5" customHeight="1">
      <c r="A3342" s="201"/>
    </row>
    <row r="3343" spans="1:1" ht="13.5" customHeight="1">
      <c r="A3343" s="201"/>
    </row>
    <row r="3344" spans="1:1" ht="13.5" customHeight="1">
      <c r="A3344" s="201"/>
    </row>
    <row r="3345" spans="1:1" ht="13.5" customHeight="1">
      <c r="A3345" s="201"/>
    </row>
    <row r="3346" spans="1:1" ht="13.5" customHeight="1">
      <c r="A3346" s="201"/>
    </row>
    <row r="3347" spans="1:1" ht="13.5" customHeight="1">
      <c r="A3347" s="201"/>
    </row>
    <row r="3348" spans="1:1" ht="13.5" customHeight="1">
      <c r="A3348" s="201"/>
    </row>
    <row r="3349" spans="1:1" ht="13.5" customHeight="1">
      <c r="A3349" s="201"/>
    </row>
    <row r="3350" spans="1:1" ht="13.5" customHeight="1">
      <c r="A3350" s="201"/>
    </row>
    <row r="3351" spans="1:1" ht="13.5" customHeight="1">
      <c r="A3351" s="201"/>
    </row>
    <row r="3352" spans="1:1" ht="13.5" customHeight="1">
      <c r="A3352" s="201"/>
    </row>
    <row r="3353" spans="1:1" ht="13.5" customHeight="1">
      <c r="A3353" s="201"/>
    </row>
    <row r="3354" spans="1:1" ht="13.5" customHeight="1">
      <c r="A3354" s="201"/>
    </row>
    <row r="3355" spans="1:1" ht="13.5" customHeight="1">
      <c r="A3355" s="201"/>
    </row>
    <row r="3356" spans="1:1" ht="13.5" customHeight="1">
      <c r="A3356" s="201"/>
    </row>
    <row r="3357" spans="1:1" ht="13.5" customHeight="1">
      <c r="A3357" s="201"/>
    </row>
    <row r="3358" spans="1:1" ht="13.5" customHeight="1">
      <c r="A3358" s="201"/>
    </row>
    <row r="3359" spans="1:1" ht="13.5" customHeight="1">
      <c r="A3359" s="201"/>
    </row>
    <row r="3360" spans="1:1" ht="13.5" customHeight="1">
      <c r="A3360" s="201"/>
    </row>
    <row r="3361" spans="1:1" ht="13.5" customHeight="1">
      <c r="A3361" s="201"/>
    </row>
    <row r="3362" spans="1:1" ht="13.5" customHeight="1">
      <c r="A3362" s="201"/>
    </row>
    <row r="3363" spans="1:1" ht="13.5" customHeight="1">
      <c r="A3363" s="201"/>
    </row>
    <row r="3364" spans="1:1" ht="13.5" customHeight="1">
      <c r="A3364" s="201"/>
    </row>
    <row r="3365" spans="1:1" ht="13.5" customHeight="1">
      <c r="A3365" s="201"/>
    </row>
    <row r="3366" spans="1:1" ht="13.5" customHeight="1">
      <c r="A3366" s="201"/>
    </row>
    <row r="3367" spans="1:1" ht="13.5" customHeight="1">
      <c r="A3367" s="201"/>
    </row>
    <row r="3368" spans="1:1" ht="13.5" customHeight="1">
      <c r="A3368" s="201"/>
    </row>
    <row r="3369" spans="1:1" ht="13.5" customHeight="1">
      <c r="A3369" s="201"/>
    </row>
    <row r="3370" spans="1:1" ht="13.5" customHeight="1">
      <c r="A3370" s="201"/>
    </row>
    <row r="3371" spans="1:1" ht="13.5" customHeight="1">
      <c r="A3371" s="201"/>
    </row>
    <row r="3372" spans="1:1" ht="13.5" customHeight="1">
      <c r="A3372" s="201"/>
    </row>
    <row r="3373" spans="1:1" ht="13.5" customHeight="1">
      <c r="A3373" s="201"/>
    </row>
    <row r="3374" spans="1:1" ht="13.5" customHeight="1">
      <c r="A3374" s="201"/>
    </row>
    <row r="3375" spans="1:1" ht="13.5" customHeight="1">
      <c r="A3375" s="201"/>
    </row>
    <row r="3376" spans="1:1" ht="13.5" customHeight="1">
      <c r="A3376" s="201"/>
    </row>
    <row r="3377" spans="1:1" ht="13.5" customHeight="1">
      <c r="A3377" s="201"/>
    </row>
    <row r="3378" spans="1:1" ht="13.5" customHeight="1">
      <c r="A3378" s="201"/>
    </row>
    <row r="3379" spans="1:1" ht="13.5" customHeight="1">
      <c r="A3379" s="201"/>
    </row>
    <row r="3380" spans="1:1" ht="13.5" customHeight="1">
      <c r="A3380" s="201"/>
    </row>
    <row r="3381" spans="1:1" ht="13.5" customHeight="1">
      <c r="A3381" s="201"/>
    </row>
    <row r="3382" spans="1:1" ht="13.5" customHeight="1">
      <c r="A3382" s="201"/>
    </row>
    <row r="3383" spans="1:1" ht="13.5" customHeight="1">
      <c r="A3383" s="201"/>
    </row>
    <row r="3384" spans="1:1" ht="13.5" customHeight="1">
      <c r="A3384" s="201"/>
    </row>
    <row r="3385" spans="1:1" ht="13.5" customHeight="1">
      <c r="A3385" s="201"/>
    </row>
    <row r="3386" spans="1:1" ht="13.5" customHeight="1">
      <c r="A3386" s="201"/>
    </row>
    <row r="3387" spans="1:1" ht="13.5" customHeight="1">
      <c r="A3387" s="201"/>
    </row>
    <row r="3388" spans="1:1" ht="13.5" customHeight="1">
      <c r="A3388" s="201"/>
    </row>
    <row r="3389" spans="1:1" ht="13.5" customHeight="1">
      <c r="A3389" s="201"/>
    </row>
    <row r="3390" spans="1:1" ht="13.5" customHeight="1">
      <c r="A3390" s="201"/>
    </row>
    <row r="3391" spans="1:1" ht="13.5" customHeight="1">
      <c r="A3391" s="201"/>
    </row>
    <row r="3392" spans="1:1" ht="13.5" customHeight="1">
      <c r="A3392" s="201"/>
    </row>
    <row r="3393" spans="1:1" ht="13.5" customHeight="1">
      <c r="A3393" s="201"/>
    </row>
    <row r="3394" spans="1:1" ht="13.5" customHeight="1">
      <c r="A3394" s="201"/>
    </row>
    <row r="3395" spans="1:1" ht="13.5" customHeight="1">
      <c r="A3395" s="201"/>
    </row>
    <row r="3396" spans="1:1" ht="13.5" customHeight="1">
      <c r="A3396" s="201"/>
    </row>
    <row r="3397" spans="1:1" ht="13.5" customHeight="1">
      <c r="A3397" s="201"/>
    </row>
    <row r="3398" spans="1:1" ht="13.5" customHeight="1">
      <c r="A3398" s="201"/>
    </row>
    <row r="3399" spans="1:1" ht="13.5" customHeight="1">
      <c r="A3399" s="201"/>
    </row>
    <row r="3400" spans="1:1" ht="13.5" customHeight="1">
      <c r="A3400" s="201"/>
    </row>
    <row r="3401" spans="1:1" ht="13.5" customHeight="1">
      <c r="A3401" s="201"/>
    </row>
    <row r="3402" spans="1:1" ht="13.5" customHeight="1">
      <c r="A3402" s="201"/>
    </row>
    <row r="3403" spans="1:1" ht="13.5" customHeight="1">
      <c r="A3403" s="201"/>
    </row>
    <row r="3404" spans="1:1" ht="13.5" customHeight="1">
      <c r="A3404" s="201"/>
    </row>
    <row r="3405" spans="1:1" ht="13.5" customHeight="1">
      <c r="A3405" s="201"/>
    </row>
    <row r="3406" spans="1:1" ht="13.5" customHeight="1">
      <c r="A3406" s="201"/>
    </row>
    <row r="3407" spans="1:1" ht="13.5" customHeight="1">
      <c r="A3407" s="201"/>
    </row>
    <row r="3408" spans="1:1" ht="13.5" customHeight="1">
      <c r="A3408" s="201"/>
    </row>
    <row r="3409" spans="1:1" ht="13.5" customHeight="1">
      <c r="A3409" s="201"/>
    </row>
    <row r="3410" spans="1:1" ht="13.5" customHeight="1">
      <c r="A3410" s="201"/>
    </row>
    <row r="3411" spans="1:1" ht="13.5" customHeight="1">
      <c r="A3411" s="201"/>
    </row>
    <row r="3412" spans="1:1" ht="13.5" customHeight="1">
      <c r="A3412" s="201"/>
    </row>
    <row r="3413" spans="1:1" ht="13.5" customHeight="1">
      <c r="A3413" s="201"/>
    </row>
    <row r="3414" spans="1:1" ht="13.5" customHeight="1">
      <c r="A3414" s="201"/>
    </row>
    <row r="3415" spans="1:1" ht="13.5" customHeight="1">
      <c r="A3415" s="201"/>
    </row>
    <row r="3416" spans="1:1" ht="13.5" customHeight="1">
      <c r="A3416" s="201"/>
    </row>
    <row r="3417" spans="1:1" ht="13.5" customHeight="1">
      <c r="A3417" s="201"/>
    </row>
    <row r="3418" spans="1:1" ht="13.5" customHeight="1">
      <c r="A3418" s="201"/>
    </row>
  </sheetData>
  <sheetProtection algorithmName="SHA-512" hashValue="Kmy0M6irRUIUg6jXQMrqhSM0pFhItHn/eHXv7t7IZEm7cXquryDMJ/jbjB6a3izOf7j/hpVHDOUx/NQRA3N3kw==" saltValue="4LD2ULmlREMQfQNW/j9gcQ==" spinCount="100000" sheet="1" selectLockedCells="1" sort="0" autoFilter="0" selectUnlockedCells="1"/>
  <protectedRanges>
    <protectedRange sqref="B1189" name="Allowsearch_2_24"/>
    <protectedRange sqref="B1190" name="Allowsearch_2_1_2"/>
    <protectedRange sqref="B1191" name="Allowsearch_2_2_2"/>
    <protectedRange sqref="B1193" name="Allowsearch_2_3_2"/>
    <protectedRange sqref="B1194" name="Allowsearch_2_4_2"/>
    <protectedRange sqref="B1195" name="Allowsearch_2_5_2"/>
    <protectedRange sqref="B1196" name="Allowsearch_2_6_2"/>
    <protectedRange sqref="B1197" name="Allowsearch_2_7_2"/>
    <protectedRange sqref="B1198" name="Allowsearch_2_8_2"/>
    <protectedRange sqref="B1199" name="Allowsearch_2_9_2"/>
    <protectedRange sqref="B1200" name="Allowsearch_2_10_2"/>
    <protectedRange sqref="B1201" name="Allowsearch_2_11_2"/>
    <protectedRange sqref="B1202" name="Allowsearch_2_12_2"/>
    <protectedRange sqref="B1203" name="Allowsearch_2_13_2"/>
    <protectedRange sqref="B1206" name="Allowsearch_2_14_2"/>
  </protectedRanges>
  <mergeCells count="10">
    <mergeCell ref="F2:H2"/>
    <mergeCell ref="A2:C2"/>
    <mergeCell ref="A3:H3"/>
    <mergeCell ref="I1817:L1817"/>
    <mergeCell ref="M1818:N1818"/>
    <mergeCell ref="M1823:N1823"/>
    <mergeCell ref="M1819:N1819"/>
    <mergeCell ref="M1820:N1820"/>
    <mergeCell ref="M1821:N1821"/>
    <mergeCell ref="M1822:N1822"/>
  </mergeCells>
  <phoneticPr fontId="33" type="noConversion"/>
  <conditionalFormatting sqref="A1:A4 A3018:A1048576">
    <cfRule type="duplicateValues" dxfId="19" priority="5"/>
    <cfRule type="duplicateValues" dxfId="18" priority="7"/>
  </conditionalFormatting>
  <conditionalFormatting sqref="B1:B1048576">
    <cfRule type="duplicateValues" dxfId="17" priority="2"/>
    <cfRule type="duplicateValues" dxfId="16" priority="1"/>
  </conditionalFormatting>
  <conditionalFormatting sqref="B5:B1851 B1854:B3017">
    <cfRule type="duplicateValues" dxfId="15" priority="4"/>
  </conditionalFormatting>
  <conditionalFormatting sqref="B1852:B1853">
    <cfRule type="duplicateValues" dxfId="14" priority="3"/>
  </conditionalFormatting>
  <conditionalFormatting sqref="B3018:B1048576 B1:B4">
    <cfRule type="duplicateValues" dxfId="13" priority="9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U105"/>
  <sheetViews>
    <sheetView topLeftCell="I76" workbookViewId="0">
      <selection activeCell="L107" sqref="L107"/>
    </sheetView>
  </sheetViews>
  <sheetFormatPr defaultRowHeight="14.5"/>
  <cols>
    <col min="1" max="1" width="11.81640625" hidden="1" customWidth="1"/>
    <col min="2" max="2" width="19.7265625" hidden="1" customWidth="1"/>
    <col min="3" max="3" width="8.26953125" hidden="1" customWidth="1"/>
    <col min="4" max="4" width="15.1796875" hidden="1" customWidth="1"/>
    <col min="5" max="5" width="11.54296875" hidden="1" customWidth="1"/>
    <col min="6" max="8" width="11" hidden="1" customWidth="1"/>
    <col min="9" max="9" width="18.54296875" customWidth="1"/>
    <col min="10" max="10" width="12.54296875" bestFit="1" customWidth="1"/>
    <col min="20" max="20" width="12.1796875" customWidth="1"/>
    <col min="21" max="21" width="69.1796875" customWidth="1"/>
  </cols>
  <sheetData>
    <row r="1" spans="1:21" ht="14.25" customHeight="1"/>
    <row r="2" spans="1:21" ht="15" thickBot="1"/>
    <row r="3" spans="1:21" ht="29.5" thickBot="1">
      <c r="A3" s="18" t="s">
        <v>34</v>
      </c>
      <c r="B3" s="1330" t="s">
        <v>11</v>
      </c>
      <c r="C3" s="1331"/>
      <c r="D3" s="13">
        <v>2022</v>
      </c>
      <c r="E3" s="13">
        <v>2023</v>
      </c>
      <c r="F3" s="14">
        <v>2024</v>
      </c>
      <c r="G3" s="13">
        <v>2025</v>
      </c>
      <c r="H3" s="13">
        <v>2026</v>
      </c>
      <c r="I3" s="14">
        <v>2027</v>
      </c>
      <c r="J3" s="1305" t="s">
        <v>22</v>
      </c>
      <c r="K3" s="1305"/>
      <c r="L3" s="1305"/>
      <c r="M3" s="1305"/>
      <c r="N3" s="1305"/>
      <c r="O3" s="1305"/>
      <c r="P3" s="1305"/>
      <c r="Q3" s="1305"/>
      <c r="R3" s="1305"/>
      <c r="S3" s="1305"/>
      <c r="T3" s="1305"/>
      <c r="U3" s="1306"/>
    </row>
    <row r="4" spans="1:21">
      <c r="A4" s="19">
        <v>1</v>
      </c>
      <c r="B4" s="1267" t="s">
        <v>5404</v>
      </c>
      <c r="C4" s="1267"/>
      <c r="D4" s="188" t="s">
        <v>5405</v>
      </c>
      <c r="F4" s="181" t="s">
        <v>266</v>
      </c>
      <c r="G4" s="183" t="s">
        <v>2400</v>
      </c>
      <c r="H4" s="186" t="s">
        <v>5403</v>
      </c>
      <c r="I4" s="3"/>
      <c r="J4" s="1315" t="s">
        <v>48</v>
      </c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5"/>
    </row>
    <row r="5" spans="1:21">
      <c r="A5" s="20"/>
      <c r="B5" s="1286" t="s">
        <v>6</v>
      </c>
      <c r="C5" s="1286"/>
      <c r="D5" s="10"/>
      <c r="E5" s="1" t="s">
        <v>266</v>
      </c>
      <c r="F5" s="182" t="s">
        <v>2400</v>
      </c>
      <c r="G5" s="184" t="s">
        <v>5403</v>
      </c>
      <c r="H5" s="187" t="s">
        <v>266</v>
      </c>
      <c r="I5" s="5"/>
      <c r="J5" s="1314" t="s">
        <v>49</v>
      </c>
      <c r="K5" s="1283"/>
      <c r="L5" s="1283"/>
      <c r="M5" s="1283"/>
      <c r="N5" s="1283"/>
      <c r="O5" s="1283"/>
      <c r="P5" s="1283"/>
      <c r="Q5" s="1283"/>
      <c r="R5" s="1283"/>
      <c r="S5" s="1283"/>
      <c r="T5" s="1283"/>
      <c r="U5" s="1284"/>
    </row>
    <row r="6" spans="1:21">
      <c r="A6" s="20"/>
      <c r="B6" s="1286" t="s">
        <v>3458</v>
      </c>
      <c r="C6" s="1286"/>
      <c r="D6" s="10"/>
      <c r="E6" s="1"/>
      <c r="F6" s="5"/>
      <c r="G6" s="10"/>
      <c r="H6" s="1"/>
      <c r="I6" s="5"/>
      <c r="J6" s="1314" t="s">
        <v>50</v>
      </c>
      <c r="K6" s="1283"/>
      <c r="L6" s="1283"/>
      <c r="M6" s="1283"/>
      <c r="N6" s="1283"/>
      <c r="O6" s="1283"/>
      <c r="P6" s="1283"/>
      <c r="Q6" s="1283"/>
      <c r="R6" s="1283"/>
      <c r="S6" s="1283"/>
      <c r="T6" s="1283"/>
      <c r="U6" s="1284"/>
    </row>
    <row r="7" spans="1:21">
      <c r="A7" s="20"/>
      <c r="B7" s="1286"/>
      <c r="C7" s="1286"/>
      <c r="D7" s="10"/>
      <c r="E7" s="1"/>
      <c r="F7" s="5"/>
      <c r="G7" s="10"/>
      <c r="H7" s="1"/>
      <c r="I7" s="5"/>
      <c r="J7" s="1314" t="s">
        <v>51</v>
      </c>
      <c r="K7" s="1283"/>
      <c r="L7" s="1283"/>
      <c r="M7" s="1283"/>
      <c r="N7" s="1283"/>
      <c r="O7" s="1283"/>
      <c r="P7" s="1283"/>
      <c r="Q7" s="1283"/>
      <c r="R7" s="1283"/>
      <c r="S7" s="1283"/>
      <c r="T7" s="1283"/>
      <c r="U7" s="1284"/>
    </row>
    <row r="8" spans="1:21" ht="15" thickBot="1">
      <c r="A8" s="21"/>
      <c r="B8" s="1322"/>
      <c r="C8" s="1322"/>
      <c r="D8" s="16"/>
      <c r="E8" s="6"/>
      <c r="F8" s="7"/>
      <c r="G8" s="16"/>
      <c r="H8" s="6"/>
      <c r="I8" s="7"/>
      <c r="J8" s="1314" t="s">
        <v>52</v>
      </c>
      <c r="K8" s="1283"/>
      <c r="L8" s="1283"/>
      <c r="M8" s="1283"/>
      <c r="N8" s="1283"/>
      <c r="O8" s="1283"/>
      <c r="P8" s="1283"/>
      <c r="Q8" s="1283"/>
      <c r="R8" s="1283"/>
      <c r="S8" s="1283"/>
      <c r="T8" s="1283"/>
      <c r="U8" s="1284"/>
    </row>
    <row r="9" spans="1:21">
      <c r="A9" s="19">
        <v>2</v>
      </c>
      <c r="B9" s="1323" t="s">
        <v>17</v>
      </c>
      <c r="C9" s="1323"/>
      <c r="D9" s="15"/>
      <c r="E9" s="2" t="s">
        <v>266</v>
      </c>
      <c r="F9" s="3"/>
      <c r="G9" s="15"/>
      <c r="H9" s="2"/>
      <c r="I9" s="3"/>
      <c r="J9" s="1314" t="s">
        <v>53</v>
      </c>
      <c r="K9" s="1283"/>
      <c r="L9" s="1283"/>
      <c r="M9" s="1283"/>
      <c r="N9" s="1283"/>
      <c r="O9" s="1283"/>
      <c r="P9" s="1283"/>
      <c r="Q9" s="1283"/>
      <c r="R9" s="1283"/>
      <c r="S9" s="1283"/>
      <c r="T9" s="1283"/>
      <c r="U9" s="1284"/>
    </row>
    <row r="10" spans="1:21">
      <c r="A10" s="20"/>
      <c r="B10" s="1283"/>
      <c r="C10" s="1283"/>
      <c r="D10" s="10"/>
      <c r="E10" s="1"/>
      <c r="F10" s="5"/>
      <c r="G10" s="10"/>
      <c r="H10" s="1"/>
      <c r="I10" s="5"/>
      <c r="J10" s="1314" t="s">
        <v>54</v>
      </c>
      <c r="K10" s="1283"/>
      <c r="L10" s="1283"/>
      <c r="M10" s="1283"/>
      <c r="N10" s="1283"/>
      <c r="O10" s="1283"/>
      <c r="P10" s="1283"/>
      <c r="Q10" s="1283"/>
      <c r="R10" s="1283"/>
      <c r="S10" s="1283"/>
      <c r="T10" s="1283"/>
      <c r="U10" s="1284"/>
    </row>
    <row r="11" spans="1:21">
      <c r="A11" s="20"/>
      <c r="B11" s="1283"/>
      <c r="C11" s="1283"/>
      <c r="D11" s="10"/>
      <c r="E11" s="1"/>
      <c r="F11" s="5"/>
      <c r="G11" s="10"/>
      <c r="H11" s="1"/>
      <c r="I11" s="5"/>
      <c r="J11" s="1314" t="s">
        <v>46</v>
      </c>
      <c r="K11" s="1283"/>
      <c r="L11" s="1283"/>
      <c r="M11" s="1283"/>
      <c r="N11" s="1283"/>
      <c r="O11" s="1283"/>
      <c r="P11" s="1283"/>
      <c r="Q11" s="1283"/>
      <c r="R11" s="1283"/>
      <c r="S11" s="1283"/>
      <c r="T11" s="1283"/>
      <c r="U11" s="1284"/>
    </row>
    <row r="12" spans="1:21">
      <c r="A12" s="20"/>
      <c r="B12" s="1283"/>
      <c r="C12" s="1283"/>
      <c r="D12" s="10"/>
      <c r="E12" s="1"/>
      <c r="F12" s="5"/>
      <c r="G12" s="10"/>
      <c r="H12" s="1"/>
      <c r="I12" s="5"/>
      <c r="J12" s="1307" t="s">
        <v>193</v>
      </c>
      <c r="K12" s="1308"/>
      <c r="L12" s="1308"/>
      <c r="M12" s="1308"/>
      <c r="N12" s="1308"/>
      <c r="O12" s="1308"/>
      <c r="P12" s="1308"/>
      <c r="Q12" s="1308"/>
      <c r="R12" s="1308"/>
      <c r="S12" s="1308"/>
      <c r="T12" s="1308"/>
      <c r="U12" s="1309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1327" t="s">
        <v>192</v>
      </c>
      <c r="K13" s="1328"/>
      <c r="L13" s="1328"/>
      <c r="M13" s="1328"/>
      <c r="N13" s="1328"/>
      <c r="O13" s="1328"/>
      <c r="P13" s="1328"/>
      <c r="Q13" s="1328"/>
      <c r="R13" s="1328"/>
      <c r="S13" s="1328"/>
      <c r="T13" s="1328"/>
      <c r="U13" s="1329"/>
    </row>
    <row r="14" spans="1:21" ht="15" thickBot="1">
      <c r="A14" s="19">
        <v>3</v>
      </c>
      <c r="B14" s="1323" t="s">
        <v>3025</v>
      </c>
      <c r="C14" s="1323"/>
      <c r="D14" s="15"/>
      <c r="E14" s="2" t="s">
        <v>2400</v>
      </c>
      <c r="F14" s="181" t="s">
        <v>2400</v>
      </c>
      <c r="G14" s="15" t="s">
        <v>266</v>
      </c>
      <c r="H14" s="2"/>
      <c r="I14" s="3" t="s">
        <v>4722</v>
      </c>
    </row>
    <row r="15" spans="1:21" ht="19" thickBot="1">
      <c r="A15" s="20"/>
      <c r="B15" s="1283" t="s">
        <v>3026</v>
      </c>
      <c r="C15" s="1283"/>
      <c r="D15" s="10"/>
      <c r="E15" s="1"/>
      <c r="F15" s="5"/>
      <c r="G15" s="10"/>
      <c r="H15" s="1"/>
      <c r="I15" s="5"/>
      <c r="J15" s="1305" t="s">
        <v>23</v>
      </c>
      <c r="K15" s="1305"/>
      <c r="L15" s="1305"/>
      <c r="M15" s="1305"/>
      <c r="N15" s="1305"/>
      <c r="O15" s="1305"/>
      <c r="P15" s="1305"/>
      <c r="Q15" s="1305"/>
      <c r="R15" s="1305"/>
      <c r="S15" s="1305"/>
      <c r="T15" s="1305"/>
      <c r="U15" s="1306"/>
    </row>
    <row r="16" spans="1:21" ht="15.5">
      <c r="A16" s="20"/>
      <c r="B16" s="1283" t="s">
        <v>3027</v>
      </c>
      <c r="C16" s="1283"/>
      <c r="D16" s="10"/>
      <c r="E16" s="1"/>
      <c r="F16" s="185" t="s">
        <v>266</v>
      </c>
      <c r="G16" s="10"/>
      <c r="H16" s="1"/>
      <c r="I16" s="5" t="s">
        <v>4722</v>
      </c>
      <c r="J16" s="1310" t="s">
        <v>36</v>
      </c>
      <c r="K16" s="1311"/>
      <c r="L16" s="1311"/>
      <c r="M16" s="1311"/>
      <c r="N16" s="1311"/>
      <c r="O16" s="1311"/>
      <c r="P16" s="1311"/>
      <c r="Q16" s="1311"/>
      <c r="R16" s="1311"/>
      <c r="S16" s="1311"/>
      <c r="T16" s="1311"/>
      <c r="U16" s="1312"/>
    </row>
    <row r="17" spans="1:21">
      <c r="A17" s="20"/>
      <c r="B17" s="1283" t="s">
        <v>3028</v>
      </c>
      <c r="C17" s="1283"/>
      <c r="D17" s="10"/>
      <c r="E17" s="1"/>
      <c r="F17" s="5"/>
      <c r="G17" s="10"/>
      <c r="H17" s="1"/>
      <c r="I17" s="5"/>
      <c r="J17" s="1320" t="s">
        <v>13</v>
      </c>
      <c r="K17" s="1289"/>
      <c r="L17" s="1289"/>
      <c r="M17" s="1289"/>
      <c r="N17" s="1289"/>
      <c r="O17" s="1289"/>
      <c r="P17" s="1289"/>
      <c r="Q17" s="1289"/>
      <c r="R17" s="1289"/>
      <c r="S17" s="1289"/>
      <c r="T17" s="1289"/>
      <c r="U17" s="1321"/>
    </row>
    <row r="18" spans="1:21" ht="15.75" customHeight="1" thickBot="1">
      <c r="A18" s="21"/>
      <c r="B18" s="1322"/>
      <c r="C18" s="1322"/>
      <c r="D18" s="16"/>
      <c r="E18" s="6"/>
      <c r="F18" s="7"/>
      <c r="G18" s="16"/>
      <c r="H18" s="6"/>
      <c r="I18" s="7"/>
      <c r="J18" s="1320" t="s">
        <v>14</v>
      </c>
      <c r="K18" s="1289"/>
      <c r="L18" s="1289"/>
      <c r="M18" s="1289"/>
      <c r="N18" s="1289"/>
      <c r="O18" s="1289"/>
      <c r="P18" s="1289"/>
      <c r="Q18" s="1289"/>
      <c r="R18" s="1289"/>
      <c r="S18" s="1289"/>
      <c r="T18" s="1289"/>
      <c r="U18" s="1321"/>
    </row>
    <row r="19" spans="1:21" ht="15" customHeight="1" thickBot="1">
      <c r="A19" s="19">
        <v>4</v>
      </c>
      <c r="B19" s="1323" t="s">
        <v>21</v>
      </c>
      <c r="C19" s="1323"/>
      <c r="D19" s="15"/>
      <c r="E19" s="2"/>
      <c r="F19" s="3" t="s">
        <v>266</v>
      </c>
      <c r="G19" s="15"/>
      <c r="H19" s="2"/>
      <c r="I19" s="3"/>
      <c r="J19" s="1317" t="s">
        <v>15</v>
      </c>
      <c r="K19" s="1318"/>
      <c r="L19" s="1318"/>
      <c r="M19" s="1318"/>
      <c r="N19" s="1318"/>
      <c r="O19" s="1318"/>
      <c r="P19" s="1318"/>
      <c r="Q19" s="1318"/>
      <c r="R19" s="1318"/>
      <c r="S19" s="1318"/>
      <c r="T19" s="1318"/>
      <c r="U19" s="1319"/>
    </row>
    <row r="20" spans="1:21" ht="15" customHeight="1">
      <c r="A20" s="20"/>
      <c r="B20" s="1283" t="s">
        <v>18</v>
      </c>
      <c r="C20" s="1283"/>
      <c r="D20" s="10"/>
      <c r="E20" s="1"/>
      <c r="F20" s="5"/>
      <c r="G20" s="184" t="s">
        <v>266</v>
      </c>
      <c r="H20" s="1"/>
      <c r="I20" s="5"/>
      <c r="J20" s="1324"/>
      <c r="K20" s="1325"/>
      <c r="L20" s="1325"/>
      <c r="M20" s="1325"/>
      <c r="N20" s="1325"/>
      <c r="O20" s="1325"/>
      <c r="P20" s="1325"/>
      <c r="Q20" s="1325"/>
      <c r="R20" s="1325"/>
      <c r="S20" s="1325"/>
      <c r="T20" s="1325"/>
      <c r="U20" s="1326"/>
    </row>
    <row r="21" spans="1:21" ht="15" customHeight="1" thickBot="1">
      <c r="A21" s="20"/>
      <c r="B21" s="1283" t="s">
        <v>19</v>
      </c>
      <c r="C21" s="1283"/>
      <c r="D21" s="10"/>
      <c r="E21" s="1"/>
      <c r="F21" s="5"/>
      <c r="G21" s="10"/>
      <c r="H21" s="1"/>
      <c r="I21" s="5"/>
      <c r="J21" s="1332"/>
      <c r="K21" s="1332"/>
      <c r="L21" s="1332"/>
      <c r="M21" s="1332"/>
      <c r="N21" s="1332"/>
      <c r="O21" s="1332"/>
      <c r="P21" s="1332"/>
      <c r="Q21" s="1332"/>
      <c r="R21" s="1332"/>
      <c r="S21" s="1332"/>
      <c r="T21" s="1332"/>
      <c r="U21" s="1332"/>
    </row>
    <row r="22" spans="1:21" ht="15.75" customHeight="1" thickBot="1">
      <c r="A22" s="20"/>
      <c r="B22" s="1283"/>
      <c r="C22" s="1283"/>
      <c r="D22" s="10"/>
      <c r="E22" s="1"/>
      <c r="F22" s="5"/>
      <c r="G22" s="10"/>
      <c r="H22" s="1"/>
      <c r="I22" s="5"/>
      <c r="J22" s="1305" t="s">
        <v>24</v>
      </c>
      <c r="K22" s="1313"/>
      <c r="L22" s="1313"/>
      <c r="M22" s="1313"/>
      <c r="N22" s="1313"/>
      <c r="O22" s="1313"/>
      <c r="P22" s="1313"/>
      <c r="Q22" s="1313"/>
      <c r="R22" s="1313"/>
      <c r="S22" s="1313"/>
      <c r="T22" s="1313"/>
      <c r="U22" s="1306"/>
    </row>
    <row r="23" spans="1:21" ht="15.75" customHeight="1" thickBot="1">
      <c r="A23" s="21"/>
      <c r="B23" s="1322"/>
      <c r="C23" s="1322"/>
      <c r="D23" s="16"/>
      <c r="E23" s="6"/>
      <c r="F23" s="7"/>
      <c r="G23" s="16"/>
      <c r="H23" s="6"/>
      <c r="I23" s="7"/>
      <c r="J23" s="1266" t="s">
        <v>47</v>
      </c>
      <c r="K23" s="1267"/>
      <c r="L23" s="1267"/>
      <c r="M23" s="1267"/>
      <c r="N23" s="1267"/>
      <c r="O23" s="1267"/>
      <c r="P23" s="1267"/>
      <c r="Q23" s="1267"/>
      <c r="R23" s="1267"/>
      <c r="S23" s="1267"/>
      <c r="T23" s="1267"/>
      <c r="U23" s="1268"/>
    </row>
    <row r="24" spans="1:21">
      <c r="A24" s="19">
        <v>5</v>
      </c>
      <c r="B24" s="1323" t="s">
        <v>7</v>
      </c>
      <c r="C24" s="1323"/>
      <c r="D24" s="15"/>
      <c r="E24" s="2"/>
      <c r="F24" s="3"/>
      <c r="G24" s="15"/>
      <c r="H24" s="2"/>
      <c r="I24" s="3"/>
      <c r="J24" s="1316" t="s">
        <v>39</v>
      </c>
      <c r="K24" s="1286"/>
      <c r="L24" s="1286"/>
      <c r="M24" s="1286"/>
      <c r="N24" s="1286"/>
      <c r="O24" s="1286"/>
      <c r="P24" s="1286"/>
      <c r="Q24" s="1286"/>
      <c r="R24" s="1286"/>
      <c r="S24" s="1286"/>
      <c r="T24" s="1286"/>
      <c r="U24" s="1287"/>
    </row>
    <row r="25" spans="1:21">
      <c r="A25" s="20"/>
      <c r="B25" s="1283"/>
      <c r="C25" s="1283"/>
      <c r="D25" s="10"/>
      <c r="E25" s="1"/>
      <c r="F25" s="5"/>
      <c r="G25" s="10"/>
      <c r="H25" s="1"/>
      <c r="I25" s="5"/>
      <c r="J25" s="1316" t="s">
        <v>40</v>
      </c>
      <c r="K25" s="1286"/>
      <c r="L25" s="1286"/>
      <c r="M25" s="1286"/>
      <c r="N25" s="1286"/>
      <c r="O25" s="1286"/>
      <c r="P25" s="1286"/>
      <c r="Q25" s="1286"/>
      <c r="R25" s="1286"/>
      <c r="S25" s="1286"/>
      <c r="T25" s="1286"/>
      <c r="U25" s="1287"/>
    </row>
    <row r="26" spans="1:21" ht="18.75" customHeight="1">
      <c r="A26" s="20"/>
      <c r="B26" s="1283"/>
      <c r="C26" s="1283"/>
      <c r="D26" s="10"/>
      <c r="E26" s="1"/>
      <c r="F26" s="5"/>
      <c r="G26" s="10"/>
      <c r="H26" s="1"/>
      <c r="I26" s="5"/>
      <c r="J26" s="1314" t="s">
        <v>41</v>
      </c>
      <c r="K26" s="1283"/>
      <c r="L26" s="1283"/>
      <c r="M26" s="1283"/>
      <c r="N26" s="1283"/>
      <c r="O26" s="1283"/>
      <c r="P26" s="1283"/>
      <c r="Q26" s="1283"/>
      <c r="R26" s="1283"/>
      <c r="S26" s="1283"/>
      <c r="T26" s="1283"/>
      <c r="U26" s="1284"/>
    </row>
    <row r="27" spans="1:21" ht="15.75" customHeight="1">
      <c r="A27" s="20"/>
      <c r="B27" s="1283"/>
      <c r="C27" s="1283"/>
      <c r="D27" s="10"/>
      <c r="E27" s="1"/>
      <c r="F27" s="5"/>
      <c r="G27" s="10"/>
      <c r="H27" s="1"/>
      <c r="I27" s="5"/>
      <c r="J27" s="1314" t="s">
        <v>42</v>
      </c>
      <c r="K27" s="1283"/>
      <c r="L27" s="1283"/>
      <c r="M27" s="1283"/>
      <c r="N27" s="1283"/>
      <c r="O27" s="1283"/>
      <c r="P27" s="1283"/>
      <c r="Q27" s="1283"/>
      <c r="R27" s="1283"/>
      <c r="S27" s="1283"/>
      <c r="T27" s="1283"/>
      <c r="U27" s="1284"/>
    </row>
    <row r="28" spans="1:21" ht="15.75" customHeight="1" thickBot="1">
      <c r="A28" s="21"/>
      <c r="B28" s="1322"/>
      <c r="C28" s="1322"/>
      <c r="D28" s="16"/>
      <c r="E28" s="6"/>
      <c r="F28" s="7"/>
      <c r="G28" s="16"/>
      <c r="H28" s="6"/>
      <c r="I28" s="7"/>
      <c r="J28" s="1314" t="s">
        <v>43</v>
      </c>
      <c r="K28" s="1283"/>
      <c r="L28" s="1283"/>
      <c r="M28" s="1283"/>
      <c r="N28" s="1283"/>
      <c r="O28" s="1283"/>
      <c r="P28" s="1283"/>
      <c r="Q28" s="1283"/>
      <c r="R28" s="1283"/>
      <c r="S28" s="1283"/>
      <c r="T28" s="1283"/>
      <c r="U28" s="1284"/>
    </row>
    <row r="29" spans="1:21" ht="15" customHeight="1">
      <c r="A29" s="19">
        <v>6</v>
      </c>
      <c r="B29" s="1323" t="s">
        <v>9</v>
      </c>
      <c r="C29" s="1323"/>
      <c r="D29" s="15"/>
      <c r="E29" s="2"/>
      <c r="F29" s="3"/>
      <c r="G29" s="15"/>
      <c r="H29" s="2"/>
      <c r="I29" s="3"/>
      <c r="J29" s="1314" t="s">
        <v>44</v>
      </c>
      <c r="K29" s="1283"/>
      <c r="L29" s="1283"/>
      <c r="M29" s="1283"/>
      <c r="N29" s="1283"/>
      <c r="O29" s="1283"/>
      <c r="P29" s="1283"/>
      <c r="Q29" s="1283"/>
      <c r="R29" s="1283"/>
      <c r="S29" s="1283"/>
      <c r="T29" s="1283"/>
      <c r="U29" s="1284"/>
    </row>
    <row r="30" spans="1:21" ht="15" customHeight="1">
      <c r="A30" s="20"/>
      <c r="B30" s="1283"/>
      <c r="C30" s="1283"/>
      <c r="D30" s="10"/>
      <c r="E30" s="1"/>
      <c r="F30" s="5"/>
      <c r="G30" s="10"/>
      <c r="H30" s="1"/>
      <c r="I30" s="5"/>
      <c r="J30" s="1314" t="s">
        <v>45</v>
      </c>
      <c r="K30" s="1283"/>
      <c r="L30" s="1283"/>
      <c r="M30" s="1283"/>
      <c r="N30" s="1283"/>
      <c r="O30" s="1283"/>
      <c r="P30" s="1283"/>
      <c r="Q30" s="1283"/>
      <c r="R30" s="1283"/>
      <c r="S30" s="1283"/>
      <c r="T30" s="1283"/>
      <c r="U30" s="1284"/>
    </row>
    <row r="31" spans="1:21">
      <c r="A31" s="20"/>
      <c r="B31" s="1283"/>
      <c r="C31" s="1283"/>
      <c r="D31" s="10"/>
      <c r="E31" s="1"/>
      <c r="F31" s="5"/>
      <c r="G31" s="10"/>
      <c r="H31" s="1"/>
      <c r="I31" s="5"/>
      <c r="J31" s="1307" t="s">
        <v>269</v>
      </c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9"/>
    </row>
    <row r="32" spans="1:21" ht="16.5" customHeight="1" thickBot="1">
      <c r="A32" s="20"/>
      <c r="B32" s="1283"/>
      <c r="C32" s="1283"/>
      <c r="D32" s="10"/>
      <c r="E32" s="1"/>
      <c r="F32" s="5"/>
      <c r="G32" s="10"/>
      <c r="H32" s="1"/>
      <c r="I32" s="5"/>
      <c r="J32" s="1327" t="s">
        <v>194</v>
      </c>
      <c r="K32" s="1328"/>
      <c r="L32" s="1328"/>
      <c r="M32" s="1328"/>
      <c r="N32" s="1328"/>
      <c r="O32" s="1328"/>
      <c r="P32" s="1328"/>
      <c r="Q32" s="1328"/>
      <c r="R32" s="1328"/>
      <c r="S32" s="1328"/>
      <c r="T32" s="1328"/>
      <c r="U32" s="1329"/>
    </row>
    <row r="33" spans="1:21" ht="15" thickBot="1">
      <c r="A33" s="21"/>
      <c r="B33" s="1322"/>
      <c r="C33" s="1322"/>
      <c r="D33" s="16"/>
      <c r="E33" s="6"/>
      <c r="F33" s="7"/>
      <c r="G33" s="16"/>
      <c r="H33" s="6"/>
      <c r="I33" s="7"/>
    </row>
    <row r="34" spans="1:21" ht="16" thickBot="1">
      <c r="A34" s="19">
        <v>7</v>
      </c>
      <c r="B34" s="1323" t="s">
        <v>10</v>
      </c>
      <c r="C34" s="1323"/>
      <c r="D34" s="15"/>
      <c r="E34" s="2"/>
      <c r="F34" s="3"/>
      <c r="G34" s="15"/>
      <c r="H34" s="2"/>
      <c r="I34" s="3"/>
      <c r="J34" s="1305" t="s">
        <v>25</v>
      </c>
      <c r="K34" s="1313"/>
      <c r="L34" s="1313"/>
      <c r="M34" s="1313"/>
      <c r="N34" s="1313"/>
      <c r="O34" s="1313"/>
      <c r="P34" s="1313"/>
      <c r="Q34" s="1313"/>
      <c r="R34" s="1313"/>
      <c r="S34" s="1313"/>
      <c r="T34" s="1313"/>
      <c r="U34" s="1306"/>
    </row>
    <row r="35" spans="1:21">
      <c r="A35" s="20"/>
      <c r="B35" s="1283"/>
      <c r="C35" s="1283"/>
      <c r="D35" s="10"/>
      <c r="E35" s="1"/>
      <c r="F35" s="5"/>
      <c r="G35" s="10"/>
      <c r="H35" s="1"/>
      <c r="I35" s="5"/>
      <c r="J35" s="1266" t="s">
        <v>56</v>
      </c>
      <c r="K35" s="1267"/>
      <c r="L35" s="1267"/>
      <c r="M35" s="1267"/>
      <c r="N35" s="1267"/>
      <c r="O35" s="1267"/>
      <c r="P35" s="1267"/>
      <c r="Q35" s="1267"/>
      <c r="R35" s="1267"/>
      <c r="S35" s="1267"/>
      <c r="T35" s="1267"/>
      <c r="U35" s="1268"/>
    </row>
    <row r="36" spans="1:21">
      <c r="A36" s="20"/>
      <c r="B36" s="1283"/>
      <c r="C36" s="1283"/>
      <c r="D36" s="10"/>
      <c r="E36" s="1"/>
      <c r="F36" s="5"/>
      <c r="G36" s="10"/>
      <c r="H36" s="1"/>
      <c r="I36" s="5"/>
      <c r="J36" s="1316" t="s">
        <v>57</v>
      </c>
      <c r="K36" s="1286"/>
      <c r="L36" s="1286"/>
      <c r="M36" s="1286"/>
      <c r="N36" s="1286"/>
      <c r="O36" s="1286"/>
      <c r="P36" s="1286"/>
      <c r="Q36" s="1286"/>
      <c r="R36" s="1286"/>
      <c r="S36" s="1286"/>
      <c r="T36" s="1286"/>
      <c r="U36" s="1287"/>
    </row>
    <row r="37" spans="1:21">
      <c r="A37" s="20"/>
      <c r="B37" s="1283"/>
      <c r="C37" s="1283"/>
      <c r="D37" s="10"/>
      <c r="E37" s="1"/>
      <c r="F37" s="5"/>
      <c r="G37" s="10"/>
      <c r="H37" s="1"/>
      <c r="I37" s="5"/>
      <c r="J37" s="1316" t="s">
        <v>58</v>
      </c>
      <c r="K37" s="1286"/>
      <c r="L37" s="1286"/>
      <c r="M37" s="1286"/>
      <c r="N37" s="1286"/>
      <c r="O37" s="1286"/>
      <c r="P37" s="1286"/>
      <c r="Q37" s="1286"/>
      <c r="R37" s="1286"/>
      <c r="S37" s="1286"/>
      <c r="T37" s="1286"/>
      <c r="U37" s="1287"/>
    </row>
    <row r="38" spans="1:21" ht="15" thickBot="1">
      <c r="A38" s="21"/>
      <c r="B38" s="1322"/>
      <c r="C38" s="1322"/>
      <c r="D38" s="16"/>
      <c r="E38" s="6"/>
      <c r="F38" s="7"/>
      <c r="G38" s="16"/>
      <c r="H38" s="6"/>
      <c r="I38" s="7"/>
      <c r="J38" s="1314" t="s">
        <v>59</v>
      </c>
      <c r="K38" s="1283"/>
      <c r="L38" s="1283"/>
      <c r="M38" s="1283"/>
      <c r="N38" s="1283"/>
      <c r="O38" s="1283"/>
      <c r="P38" s="1283"/>
      <c r="Q38" s="1283"/>
      <c r="R38" s="1283"/>
      <c r="S38" s="1283"/>
      <c r="T38" s="1283"/>
      <c r="U38" s="1284"/>
    </row>
    <row r="39" spans="1:21">
      <c r="A39" s="19">
        <v>8</v>
      </c>
      <c r="B39" s="1323" t="s">
        <v>8</v>
      </c>
      <c r="C39" s="1323"/>
      <c r="D39" s="15"/>
      <c r="E39" s="2"/>
      <c r="F39" s="3"/>
      <c r="G39" s="15"/>
      <c r="H39" s="2"/>
      <c r="I39" s="3"/>
      <c r="J39" s="1314" t="s">
        <v>60</v>
      </c>
      <c r="K39" s="1283"/>
      <c r="L39" s="1283"/>
      <c r="M39" s="1283"/>
      <c r="N39" s="1283"/>
      <c r="O39" s="1283"/>
      <c r="P39" s="1283"/>
      <c r="Q39" s="1283"/>
      <c r="R39" s="1283"/>
      <c r="S39" s="1283"/>
      <c r="T39" s="1283"/>
      <c r="U39" s="1284"/>
    </row>
    <row r="40" spans="1:21">
      <c r="A40" s="20"/>
      <c r="B40" s="1283"/>
      <c r="C40" s="1283"/>
      <c r="D40" s="10"/>
      <c r="E40" s="1"/>
      <c r="F40" s="5"/>
      <c r="G40" s="10"/>
      <c r="H40" s="1"/>
      <c r="I40" s="5"/>
      <c r="J40" s="1314" t="s">
        <v>61</v>
      </c>
      <c r="K40" s="1283"/>
      <c r="L40" s="1283"/>
      <c r="M40" s="1283"/>
      <c r="N40" s="1283"/>
      <c r="O40" s="1283"/>
      <c r="P40" s="1283"/>
      <c r="Q40" s="1283"/>
      <c r="R40" s="1283"/>
      <c r="S40" s="1283"/>
      <c r="T40" s="1283"/>
      <c r="U40" s="1284"/>
    </row>
    <row r="41" spans="1:21">
      <c r="A41" s="20"/>
      <c r="B41" s="1283"/>
      <c r="C41" s="1283"/>
      <c r="D41" s="10"/>
      <c r="E41" s="1"/>
      <c r="F41" s="5"/>
      <c r="G41" s="10"/>
      <c r="H41" s="1"/>
      <c r="I41" s="5"/>
      <c r="J41" s="1314" t="s">
        <v>62</v>
      </c>
      <c r="K41" s="1283"/>
      <c r="L41" s="1283"/>
      <c r="M41" s="1283"/>
      <c r="N41" s="1283"/>
      <c r="O41" s="1283"/>
      <c r="P41" s="1283"/>
      <c r="Q41" s="1283"/>
      <c r="R41" s="1283"/>
      <c r="S41" s="1283"/>
      <c r="T41" s="1283"/>
      <c r="U41" s="1284"/>
    </row>
    <row r="42" spans="1:21">
      <c r="A42" s="20"/>
      <c r="B42" s="1283"/>
      <c r="C42" s="1283"/>
      <c r="D42" s="10"/>
      <c r="E42" s="1"/>
      <c r="F42" s="5"/>
      <c r="G42" s="10"/>
      <c r="H42" s="1"/>
      <c r="I42" s="5"/>
      <c r="J42" s="1314" t="s">
        <v>55</v>
      </c>
      <c r="K42" s="1283"/>
      <c r="L42" s="1283"/>
      <c r="M42" s="1283"/>
      <c r="N42" s="1283"/>
      <c r="O42" s="1283"/>
      <c r="P42" s="1283"/>
      <c r="Q42" s="1283"/>
      <c r="R42" s="1283"/>
      <c r="S42" s="1283"/>
      <c r="T42" s="1283"/>
      <c r="U42" s="1284"/>
    </row>
    <row r="43" spans="1:21" ht="15" thickBot="1">
      <c r="A43" s="21"/>
      <c r="B43" s="1322"/>
      <c r="C43" s="1322"/>
      <c r="D43" s="16"/>
      <c r="E43" s="6"/>
      <c r="F43" s="7"/>
      <c r="G43" s="16"/>
      <c r="H43" s="6"/>
      <c r="I43" s="7"/>
      <c r="J43" s="1307" t="s">
        <v>260</v>
      </c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9"/>
    </row>
    <row r="44" spans="1:21" ht="15" thickBot="1">
      <c r="A44" s="22">
        <v>9</v>
      </c>
      <c r="B44" s="1333" t="s">
        <v>20</v>
      </c>
      <c r="C44" s="1333"/>
      <c r="D44" s="11"/>
      <c r="E44" s="8"/>
      <c r="F44" s="12"/>
      <c r="G44" s="11"/>
      <c r="H44" s="8"/>
      <c r="I44" s="12"/>
      <c r="J44" s="1327"/>
      <c r="K44" s="1328"/>
      <c r="L44" s="1328"/>
      <c r="M44" s="1328"/>
      <c r="N44" s="1328"/>
      <c r="O44" s="1328"/>
      <c r="P44" s="1328"/>
      <c r="Q44" s="1328"/>
      <c r="R44" s="1328"/>
      <c r="S44" s="1328"/>
      <c r="T44" s="1328"/>
      <c r="U44" s="1329"/>
    </row>
    <row r="45" spans="1:21" ht="15" thickBot="1">
      <c r="A45" s="20"/>
      <c r="B45" s="1283"/>
      <c r="C45" s="1283"/>
      <c r="D45" s="10"/>
      <c r="E45" s="1"/>
      <c r="F45" s="5"/>
      <c r="G45" s="10"/>
      <c r="H45" s="1"/>
      <c r="I45" s="5"/>
      <c r="J45" s="1337"/>
      <c r="K45" s="1337"/>
      <c r="L45" s="1337"/>
      <c r="M45" s="1337"/>
      <c r="N45" s="1337"/>
      <c r="O45" s="1337"/>
      <c r="P45" s="1337"/>
      <c r="Q45" s="1337"/>
      <c r="R45" s="1337"/>
      <c r="S45" s="1337"/>
      <c r="T45" s="1337"/>
      <c r="U45" s="1337"/>
    </row>
    <row r="46" spans="1:21" ht="16" thickBot="1">
      <c r="A46" s="20"/>
      <c r="B46" s="1283"/>
      <c r="C46" s="1283"/>
      <c r="D46" s="10"/>
      <c r="E46" s="1"/>
      <c r="F46" s="5"/>
      <c r="G46" s="10"/>
      <c r="H46" s="1"/>
      <c r="I46" s="5"/>
      <c r="J46" s="1305" t="s">
        <v>26</v>
      </c>
      <c r="K46" s="1313"/>
      <c r="L46" s="1313"/>
      <c r="M46" s="1313"/>
      <c r="N46" s="1313"/>
      <c r="O46" s="1313"/>
      <c r="P46" s="1313"/>
      <c r="Q46" s="1313"/>
      <c r="R46" s="1313"/>
      <c r="S46" s="1313"/>
      <c r="T46" s="1313"/>
      <c r="U46" s="1306"/>
    </row>
    <row r="47" spans="1:21">
      <c r="A47" s="20"/>
      <c r="B47" s="1283"/>
      <c r="C47" s="1283"/>
      <c r="D47" s="10"/>
      <c r="E47" s="1"/>
      <c r="F47" s="5"/>
      <c r="G47" s="10"/>
      <c r="H47" s="1"/>
      <c r="I47" s="5"/>
      <c r="J47" s="1266" t="s">
        <v>65</v>
      </c>
      <c r="K47" s="1267"/>
      <c r="L47" s="1267"/>
      <c r="M47" s="1267"/>
      <c r="N47" s="1267"/>
      <c r="O47" s="1267"/>
      <c r="P47" s="1267"/>
      <c r="Q47" s="1267"/>
      <c r="R47" s="1267"/>
      <c r="S47" s="1267"/>
      <c r="T47" s="1267"/>
      <c r="U47" s="1268"/>
    </row>
    <row r="48" spans="1:21" ht="15" thickBot="1">
      <c r="A48" s="21"/>
      <c r="B48" s="1322"/>
      <c r="C48" s="1322"/>
      <c r="D48" s="6"/>
      <c r="E48" s="6"/>
      <c r="F48" s="7"/>
      <c r="G48" s="6"/>
      <c r="H48" s="6"/>
      <c r="I48" s="7"/>
      <c r="J48" s="1316" t="s">
        <v>66</v>
      </c>
      <c r="K48" s="1286"/>
      <c r="L48" s="1286"/>
      <c r="M48" s="1286"/>
      <c r="N48" s="1286"/>
      <c r="O48" s="1286"/>
      <c r="P48" s="1286"/>
      <c r="Q48" s="1286"/>
      <c r="R48" s="1286"/>
      <c r="S48" s="1286"/>
      <c r="T48" s="1286"/>
      <c r="U48" s="1287"/>
    </row>
    <row r="49" spans="10:21">
      <c r="J49" s="1285" t="s">
        <v>67</v>
      </c>
      <c r="K49" s="1286"/>
      <c r="L49" s="1286"/>
      <c r="M49" s="1286"/>
      <c r="N49" s="1286"/>
      <c r="O49" s="1286"/>
      <c r="P49" s="1286"/>
      <c r="Q49" s="1286"/>
      <c r="R49" s="1286"/>
      <c r="S49" s="1286"/>
      <c r="T49" s="1286"/>
      <c r="U49" s="1287"/>
    </row>
    <row r="50" spans="10:21">
      <c r="J50" s="1282" t="s">
        <v>68</v>
      </c>
      <c r="K50" s="1283"/>
      <c r="L50" s="1283"/>
      <c r="M50" s="1283"/>
      <c r="N50" s="1283"/>
      <c r="O50" s="1283"/>
      <c r="P50" s="1283"/>
      <c r="Q50" s="1283"/>
      <c r="R50" s="1283"/>
      <c r="S50" s="1283"/>
      <c r="T50" s="1283"/>
      <c r="U50" s="1284"/>
    </row>
    <row r="51" spans="10:21">
      <c r="J51" s="1282" t="s">
        <v>69</v>
      </c>
      <c r="K51" s="1283"/>
      <c r="L51" s="1283"/>
      <c r="M51" s="1283"/>
      <c r="N51" s="1283"/>
      <c r="O51" s="1283"/>
      <c r="P51" s="1283"/>
      <c r="Q51" s="1283"/>
      <c r="R51" s="1283"/>
      <c r="S51" s="1283"/>
      <c r="T51" s="1283"/>
      <c r="U51" s="1284"/>
    </row>
    <row r="52" spans="10:21">
      <c r="J52" s="1282" t="s">
        <v>70</v>
      </c>
      <c r="K52" s="1283"/>
      <c r="L52" s="1283"/>
      <c r="M52" s="1283"/>
      <c r="N52" s="1283"/>
      <c r="O52" s="1283"/>
      <c r="P52" s="1283"/>
      <c r="Q52" s="1283"/>
      <c r="R52" s="1283"/>
      <c r="S52" s="1283"/>
      <c r="T52" s="1283"/>
      <c r="U52" s="1284"/>
    </row>
    <row r="53" spans="10:21">
      <c r="J53" s="1282" t="s">
        <v>71</v>
      </c>
      <c r="K53" s="1283"/>
      <c r="L53" s="1283"/>
      <c r="M53" s="1283"/>
      <c r="N53" s="1283"/>
      <c r="O53" s="1283"/>
      <c r="P53" s="1283"/>
      <c r="Q53" s="1283"/>
      <c r="R53" s="1283"/>
      <c r="S53" s="1283"/>
      <c r="T53" s="1283"/>
      <c r="U53" s="1284"/>
    </row>
    <row r="54" spans="10:21">
      <c r="J54" s="1282" t="s">
        <v>63</v>
      </c>
      <c r="K54" s="1283"/>
      <c r="L54" s="1283"/>
      <c r="M54" s="1283"/>
      <c r="N54" s="1283"/>
      <c r="O54" s="1283"/>
      <c r="P54" s="1283"/>
      <c r="Q54" s="1283"/>
      <c r="R54" s="1283"/>
      <c r="S54" s="1283"/>
      <c r="T54" s="1283"/>
      <c r="U54" s="1284"/>
    </row>
    <row r="55" spans="10:21">
      <c r="J55" s="1334" t="s">
        <v>239</v>
      </c>
      <c r="K55" s="1308"/>
      <c r="L55" s="1308"/>
      <c r="M55" s="1308"/>
      <c r="N55" s="1308"/>
      <c r="O55" s="1308"/>
      <c r="P55" s="1308"/>
      <c r="Q55" s="1308"/>
      <c r="R55" s="1308"/>
      <c r="S55" s="1308"/>
      <c r="T55" s="1308"/>
      <c r="U55" s="1309"/>
    </row>
    <row r="56" spans="10:21" ht="15" thickBot="1">
      <c r="J56" s="1335"/>
      <c r="K56" s="1328"/>
      <c r="L56" s="1328"/>
      <c r="M56" s="1328"/>
      <c r="N56" s="1328"/>
      <c r="O56" s="1328"/>
      <c r="P56" s="1328"/>
      <c r="Q56" s="1328"/>
      <c r="R56" s="1328"/>
      <c r="S56" s="1328"/>
      <c r="T56" s="1328"/>
      <c r="U56" s="1329"/>
    </row>
    <row r="57" spans="10:21" ht="15" thickBot="1"/>
    <row r="58" spans="10:21" ht="15" thickBot="1">
      <c r="J58" s="1336" t="s">
        <v>64</v>
      </c>
      <c r="K58" s="1313"/>
      <c r="L58" s="1313"/>
      <c r="M58" s="1313"/>
      <c r="N58" s="1313"/>
      <c r="O58" s="1313"/>
      <c r="P58" s="1313"/>
      <c r="Q58" s="1313"/>
      <c r="R58" s="1313"/>
      <c r="S58" s="1313"/>
      <c r="T58" s="1313"/>
      <c r="U58" s="1306"/>
    </row>
    <row r="59" spans="10:21">
      <c r="J59" s="1272" t="s">
        <v>272</v>
      </c>
      <c r="K59" s="1267"/>
      <c r="L59" s="1267"/>
      <c r="M59" s="1267"/>
      <c r="N59" s="1267"/>
      <c r="O59" s="1267"/>
      <c r="P59" s="1267"/>
      <c r="Q59" s="1267"/>
      <c r="R59" s="1267"/>
      <c r="S59" s="1267"/>
      <c r="T59" s="1267"/>
      <c r="U59" s="1268"/>
    </row>
    <row r="60" spans="10:21">
      <c r="J60" s="1285" t="s">
        <v>273</v>
      </c>
      <c r="K60" s="1286"/>
      <c r="L60" s="1286"/>
      <c r="M60" s="1286"/>
      <c r="N60" s="1286"/>
      <c r="O60" s="1286"/>
      <c r="P60" s="1286"/>
      <c r="Q60" s="1286"/>
      <c r="R60" s="1286"/>
      <c r="S60" s="1286"/>
      <c r="T60" s="1286"/>
      <c r="U60" s="1287"/>
    </row>
    <row r="61" spans="10:21">
      <c r="J61" s="1285" t="s">
        <v>274</v>
      </c>
      <c r="K61" s="1286"/>
      <c r="L61" s="1286"/>
      <c r="M61" s="1286"/>
      <c r="N61" s="1286"/>
      <c r="O61" s="1286"/>
      <c r="P61" s="1286"/>
      <c r="Q61" s="1286"/>
      <c r="R61" s="1286"/>
      <c r="S61" s="1286"/>
      <c r="T61" s="1286"/>
      <c r="U61" s="1287"/>
    </row>
    <row r="62" spans="10:21">
      <c r="J62" s="1282" t="s">
        <v>275</v>
      </c>
      <c r="K62" s="1283"/>
      <c r="L62" s="1283"/>
      <c r="M62" s="1283"/>
      <c r="N62" s="1283"/>
      <c r="O62" s="1283"/>
      <c r="P62" s="1283"/>
      <c r="Q62" s="1283"/>
      <c r="R62" s="1283"/>
      <c r="S62" s="1283"/>
      <c r="T62" s="1283"/>
      <c r="U62" s="1284"/>
    </row>
    <row r="63" spans="10:21">
      <c r="J63" s="1282" t="s">
        <v>276</v>
      </c>
      <c r="K63" s="1283"/>
      <c r="L63" s="1283"/>
      <c r="M63" s="1283"/>
      <c r="N63" s="1283"/>
      <c r="O63" s="1283"/>
      <c r="P63" s="1283"/>
      <c r="Q63" s="1283"/>
      <c r="R63" s="1283"/>
      <c r="S63" s="1283"/>
      <c r="T63" s="1283"/>
      <c r="U63" s="1284"/>
    </row>
    <row r="64" spans="10:21">
      <c r="J64" s="1282" t="s">
        <v>277</v>
      </c>
      <c r="K64" s="1283"/>
      <c r="L64" s="1283"/>
      <c r="M64" s="1283"/>
      <c r="N64" s="1283"/>
      <c r="O64" s="1283"/>
      <c r="P64" s="1283"/>
      <c r="Q64" s="1283"/>
      <c r="R64" s="1283"/>
      <c r="S64" s="1283"/>
      <c r="T64" s="1283"/>
      <c r="U64" s="1284"/>
    </row>
    <row r="65" spans="10:21">
      <c r="J65" s="1282" t="s">
        <v>278</v>
      </c>
      <c r="K65" s="1283"/>
      <c r="L65" s="1283"/>
      <c r="M65" s="1283"/>
      <c r="N65" s="1283"/>
      <c r="O65" s="1283"/>
      <c r="P65" s="1283"/>
      <c r="Q65" s="1283"/>
      <c r="R65" s="1283"/>
      <c r="S65" s="1283"/>
      <c r="T65" s="1283"/>
      <c r="U65" s="1284"/>
    </row>
    <row r="66" spans="10:21">
      <c r="J66" s="1282" t="s">
        <v>72</v>
      </c>
      <c r="K66" s="1283"/>
      <c r="L66" s="1283"/>
      <c r="M66" s="1283"/>
      <c r="N66" s="1283"/>
      <c r="O66" s="1283"/>
      <c r="P66" s="1283"/>
      <c r="Q66" s="1283"/>
      <c r="R66" s="1283"/>
      <c r="S66" s="1283"/>
      <c r="T66" s="1283"/>
      <c r="U66" s="1284"/>
    </row>
    <row r="67" spans="10:21">
      <c r="J67" s="1334" t="s">
        <v>240</v>
      </c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9"/>
    </row>
    <row r="68" spans="10:21" ht="15" thickBot="1">
      <c r="J68" s="1335"/>
      <c r="K68" s="1328"/>
      <c r="L68" s="1328"/>
      <c r="M68" s="1328"/>
      <c r="N68" s="1328"/>
      <c r="O68" s="1328"/>
      <c r="P68" s="1328"/>
      <c r="Q68" s="1328"/>
      <c r="R68" s="1328"/>
      <c r="S68" s="1328"/>
      <c r="T68" s="1328"/>
      <c r="U68" s="1329"/>
    </row>
    <row r="69" spans="10:21" ht="15" thickBot="1"/>
    <row r="70" spans="10:21" ht="15" thickBot="1">
      <c r="J70" s="1336" t="s">
        <v>2397</v>
      </c>
      <c r="K70" s="1313"/>
      <c r="L70" s="1313"/>
      <c r="M70" s="1313"/>
      <c r="N70" s="1313"/>
      <c r="O70" s="1313"/>
      <c r="P70" s="1313"/>
      <c r="Q70" s="1313"/>
      <c r="R70" s="1313"/>
      <c r="S70" s="1313"/>
      <c r="T70" s="1313"/>
      <c r="U70" s="1306"/>
    </row>
    <row r="71" spans="10:21">
      <c r="J71" s="1272" t="s">
        <v>271</v>
      </c>
      <c r="K71" s="1267"/>
      <c r="L71" s="1267"/>
      <c r="M71" s="1267"/>
      <c r="N71" s="1267"/>
      <c r="O71" s="1267"/>
      <c r="P71" s="1267"/>
      <c r="Q71" s="1267"/>
      <c r="R71" s="1267"/>
      <c r="S71" s="1267"/>
      <c r="T71" s="1267"/>
      <c r="U71" s="1268"/>
    </row>
    <row r="72" spans="10:21">
      <c r="J72" s="1285" t="s">
        <v>73</v>
      </c>
      <c r="K72" s="1286"/>
      <c r="L72" s="1286"/>
      <c r="M72" s="1286"/>
      <c r="N72" s="1286"/>
      <c r="O72" s="1286"/>
      <c r="P72" s="1286"/>
      <c r="Q72" s="1286"/>
      <c r="R72" s="1286"/>
      <c r="S72" s="1286"/>
      <c r="T72" s="1286"/>
      <c r="U72" s="1287"/>
    </row>
    <row r="73" spans="10:21">
      <c r="J73" s="1285" t="s">
        <v>74</v>
      </c>
      <c r="K73" s="1286"/>
      <c r="L73" s="1286"/>
      <c r="M73" s="1286"/>
      <c r="N73" s="1286"/>
      <c r="O73" s="1286"/>
      <c r="P73" s="1286"/>
      <c r="Q73" s="1286"/>
      <c r="R73" s="1286"/>
      <c r="S73" s="1286"/>
      <c r="T73" s="1286"/>
      <c r="U73" s="1287"/>
    </row>
    <row r="74" spans="10:21">
      <c r="J74" s="1282" t="s">
        <v>75</v>
      </c>
      <c r="K74" s="1283"/>
      <c r="L74" s="1283"/>
      <c r="M74" s="1283"/>
      <c r="N74" s="1283"/>
      <c r="O74" s="1283"/>
      <c r="P74" s="1283"/>
      <c r="Q74" s="1283"/>
      <c r="R74" s="1283"/>
      <c r="S74" s="1283"/>
      <c r="T74" s="1283"/>
      <c r="U74" s="1284"/>
    </row>
    <row r="75" spans="10:21">
      <c r="J75" s="1282" t="s">
        <v>76</v>
      </c>
      <c r="K75" s="1283"/>
      <c r="L75" s="1283"/>
      <c r="M75" s="1283"/>
      <c r="N75" s="1283"/>
      <c r="O75" s="1283"/>
      <c r="P75" s="1283"/>
      <c r="Q75" s="1283"/>
      <c r="R75" s="1283"/>
      <c r="S75" s="1283"/>
      <c r="T75" s="1283"/>
      <c r="U75" s="1284"/>
    </row>
    <row r="76" spans="10:21">
      <c r="J76" s="1282" t="s">
        <v>77</v>
      </c>
      <c r="K76" s="1283"/>
      <c r="L76" s="1283"/>
      <c r="M76" s="1283"/>
      <c r="N76" s="1283"/>
      <c r="O76" s="1283"/>
      <c r="P76" s="1283"/>
      <c r="Q76" s="1283"/>
      <c r="R76" s="1283"/>
      <c r="S76" s="1283"/>
      <c r="T76" s="1283"/>
      <c r="U76" s="1284"/>
    </row>
    <row r="77" spans="10:21">
      <c r="J77" s="1282" t="s">
        <v>78</v>
      </c>
      <c r="K77" s="1283"/>
      <c r="L77" s="1283"/>
      <c r="M77" s="1283"/>
      <c r="N77" s="1283"/>
      <c r="O77" s="1283"/>
      <c r="P77" s="1283"/>
      <c r="Q77" s="1283"/>
      <c r="R77" s="1283"/>
      <c r="S77" s="1283"/>
      <c r="T77" s="1283"/>
      <c r="U77" s="1284"/>
    </row>
    <row r="78" spans="10:21">
      <c r="J78" s="1282" t="s">
        <v>79</v>
      </c>
      <c r="K78" s="1283"/>
      <c r="L78" s="1283"/>
      <c r="M78" s="1283"/>
      <c r="N78" s="1283"/>
      <c r="O78" s="1283"/>
      <c r="P78" s="1283"/>
      <c r="Q78" s="1283"/>
      <c r="R78" s="1283"/>
      <c r="S78" s="1283"/>
      <c r="T78" s="1283"/>
      <c r="U78" s="1284"/>
    </row>
    <row r="79" spans="10:21">
      <c r="J79" s="1334" t="s">
        <v>270</v>
      </c>
      <c r="K79" s="1308"/>
      <c r="L79" s="1308"/>
      <c r="M79" s="1308"/>
      <c r="N79" s="1308"/>
      <c r="O79" s="1308"/>
      <c r="P79" s="1308"/>
      <c r="Q79" s="1308"/>
      <c r="R79" s="1308"/>
      <c r="S79" s="1308"/>
      <c r="T79" s="1308"/>
      <c r="U79" s="1309"/>
    </row>
    <row r="80" spans="10:21" ht="15" thickBot="1">
      <c r="J80" s="1335"/>
      <c r="K80" s="1328"/>
      <c r="L80" s="1328"/>
      <c r="M80" s="1328"/>
      <c r="N80" s="1328"/>
      <c r="O80" s="1328"/>
      <c r="P80" s="1328"/>
      <c r="Q80" s="1328"/>
      <c r="R80" s="1328"/>
      <c r="S80" s="1328"/>
      <c r="T80" s="1328"/>
      <c r="U80" s="1329"/>
    </row>
    <row r="81" spans="9:21" ht="15" thickBot="1"/>
    <row r="82" spans="9:21" ht="16" thickBot="1">
      <c r="J82" s="1276" t="s">
        <v>29</v>
      </c>
      <c r="K82" s="1277"/>
      <c r="L82" s="1277"/>
      <c r="M82" s="1277"/>
      <c r="N82" s="1277"/>
      <c r="O82" s="1277"/>
      <c r="P82" s="1277"/>
      <c r="Q82" s="1277"/>
      <c r="R82" s="1277"/>
      <c r="S82" s="1277"/>
      <c r="T82" s="1277"/>
      <c r="U82" s="1278"/>
    </row>
    <row r="83" spans="9:21">
      <c r="J83" s="1293" t="s">
        <v>241</v>
      </c>
      <c r="K83" s="1294"/>
      <c r="L83" s="1294"/>
      <c r="M83" s="1294"/>
      <c r="N83" s="1294"/>
      <c r="O83" s="1294"/>
      <c r="P83" s="1294"/>
      <c r="Q83" s="1294"/>
      <c r="R83" s="1294"/>
      <c r="S83" s="1294"/>
      <c r="T83" s="1294"/>
      <c r="U83" s="1295"/>
    </row>
    <row r="84" spans="9:21">
      <c r="J84" s="1279" t="s">
        <v>5810</v>
      </c>
      <c r="K84" s="1280"/>
      <c r="L84" s="1280"/>
      <c r="M84" s="1280"/>
      <c r="N84" s="1280"/>
      <c r="O84" s="1280"/>
      <c r="P84" s="1280"/>
      <c r="Q84" s="1280"/>
      <c r="R84" s="1280"/>
      <c r="S84" s="1280"/>
      <c r="T84" s="1280"/>
      <c r="U84" s="1281"/>
    </row>
    <row r="85" spans="9:21">
      <c r="J85" s="1288" t="s">
        <v>30</v>
      </c>
      <c r="K85" s="1289"/>
      <c r="L85" s="1289"/>
      <c r="M85" s="1289"/>
      <c r="N85" s="1289"/>
      <c r="O85" s="1289"/>
      <c r="P85" s="1289"/>
      <c r="Q85" s="1289"/>
      <c r="R85" s="1289"/>
      <c r="S85" s="1289"/>
      <c r="T85" s="1289"/>
      <c r="U85" s="1290"/>
    </row>
    <row r="86" spans="9:21">
      <c r="J86" s="1288" t="s">
        <v>31</v>
      </c>
      <c r="K86" s="1289"/>
      <c r="L86" s="1289"/>
      <c r="M86" s="1289"/>
      <c r="N86" s="1289"/>
      <c r="O86" s="1289"/>
      <c r="P86" s="1289"/>
      <c r="Q86" s="1289"/>
      <c r="R86" s="1289"/>
      <c r="S86" s="1289"/>
      <c r="T86" s="1289"/>
      <c r="U86" s="1290"/>
    </row>
    <row r="87" spans="9:21">
      <c r="J87" s="1288" t="s">
        <v>5410</v>
      </c>
      <c r="K87" s="1289"/>
      <c r="L87" s="1289"/>
      <c r="M87" s="1289"/>
      <c r="N87" s="1289"/>
      <c r="O87" s="1289"/>
      <c r="P87" s="1289"/>
      <c r="Q87" s="1289"/>
      <c r="R87" s="1289"/>
      <c r="S87" s="1289"/>
      <c r="T87" s="1289"/>
      <c r="U87" s="1290"/>
    </row>
    <row r="88" spans="9:21">
      <c r="I88" s="225"/>
      <c r="J88" s="1288" t="s">
        <v>5811</v>
      </c>
      <c r="K88" s="1289"/>
      <c r="L88" s="1289"/>
      <c r="M88" s="1289"/>
      <c r="N88" s="1289"/>
      <c r="O88" s="1289"/>
      <c r="P88" s="1289"/>
      <c r="Q88" s="1289"/>
      <c r="R88" s="1289"/>
      <c r="S88" s="1289"/>
      <c r="T88" s="1289"/>
      <c r="U88" s="1290"/>
    </row>
    <row r="89" spans="9:21">
      <c r="I89" s="225"/>
      <c r="J89" s="1288" t="s">
        <v>35</v>
      </c>
      <c r="K89" s="1289"/>
      <c r="L89" s="1289"/>
      <c r="M89" s="1289"/>
      <c r="N89" s="1289"/>
      <c r="O89" s="1289"/>
      <c r="P89" s="1289"/>
      <c r="Q89" s="1289"/>
      <c r="R89" s="1289"/>
      <c r="S89" s="1289"/>
      <c r="T89" s="1289"/>
      <c r="U89" s="1290"/>
    </row>
    <row r="90" spans="9:21">
      <c r="I90" s="225"/>
      <c r="J90" s="1291" t="s">
        <v>5812</v>
      </c>
      <c r="K90" s="1283"/>
      <c r="L90" s="1283"/>
      <c r="M90" s="1283"/>
      <c r="N90" s="1283"/>
      <c r="O90" s="1283"/>
      <c r="P90" s="1283"/>
      <c r="Q90" s="1283"/>
      <c r="R90" s="1283"/>
      <c r="S90" s="1283"/>
      <c r="T90" s="1283"/>
      <c r="U90" s="1292"/>
    </row>
    <row r="91" spans="9:21">
      <c r="I91" s="225"/>
      <c r="J91" s="1291" t="s">
        <v>195</v>
      </c>
      <c r="K91" s="1283"/>
      <c r="L91" s="1283"/>
      <c r="M91" s="1283"/>
      <c r="N91" s="1283"/>
      <c r="O91" s="1283"/>
      <c r="P91" s="1283"/>
      <c r="Q91" s="1283"/>
      <c r="R91" s="1283"/>
      <c r="S91" s="1283"/>
      <c r="T91" s="1283"/>
      <c r="U91" s="1292"/>
    </row>
    <row r="92" spans="9:21">
      <c r="I92" s="225"/>
      <c r="J92" s="1296" t="s">
        <v>281</v>
      </c>
      <c r="K92" s="1297"/>
      <c r="L92" s="1297"/>
      <c r="M92" s="1297"/>
      <c r="N92" s="1297"/>
      <c r="O92" s="1297"/>
      <c r="P92" s="1297"/>
      <c r="Q92" s="1297"/>
      <c r="R92" s="1297"/>
      <c r="S92" s="1297"/>
      <c r="T92" s="1297"/>
      <c r="U92" s="1298"/>
    </row>
    <row r="93" spans="9:21">
      <c r="J93" s="1302" t="s">
        <v>5813</v>
      </c>
      <c r="K93" s="1303"/>
      <c r="L93" s="1303"/>
      <c r="M93" s="1303"/>
      <c r="N93" s="1303"/>
      <c r="O93" s="1303"/>
      <c r="P93" s="1303"/>
      <c r="Q93" s="1303"/>
      <c r="R93" s="1303"/>
      <c r="S93" s="1303"/>
      <c r="T93" s="1303"/>
      <c r="U93" s="1304"/>
    </row>
    <row r="94" spans="9:21">
      <c r="I94" s="225"/>
      <c r="J94" s="1273" t="s">
        <v>5411</v>
      </c>
      <c r="K94" s="1274"/>
      <c r="L94" s="1274"/>
      <c r="M94" s="1274"/>
      <c r="N94" s="1274"/>
      <c r="O94" s="1274"/>
      <c r="P94" s="1274"/>
      <c r="Q94" s="1274"/>
      <c r="R94" s="1274"/>
      <c r="S94" s="1274"/>
      <c r="T94" s="1274"/>
      <c r="U94" s="1275"/>
    </row>
    <row r="95" spans="9:21">
      <c r="J95" s="1302" t="s">
        <v>5814</v>
      </c>
      <c r="K95" s="1303"/>
      <c r="L95" s="1303"/>
      <c r="M95" s="1303"/>
      <c r="N95" s="1303"/>
      <c r="O95" s="1303"/>
      <c r="P95" s="1303"/>
      <c r="Q95" s="1303"/>
      <c r="R95" s="1303"/>
      <c r="S95" s="1303"/>
      <c r="T95" s="1303"/>
      <c r="U95" s="1304"/>
    </row>
    <row r="96" spans="9:21">
      <c r="J96" s="1269" t="s">
        <v>5412</v>
      </c>
      <c r="K96" s="1270"/>
      <c r="L96" s="1270"/>
      <c r="M96" s="1270"/>
      <c r="N96" s="1270"/>
      <c r="O96" s="1270"/>
      <c r="P96" s="1270"/>
      <c r="Q96" s="1270"/>
      <c r="R96" s="1270"/>
      <c r="S96" s="1270"/>
      <c r="T96" s="1270"/>
      <c r="U96" s="1271"/>
    </row>
    <row r="97" spans="10:21">
      <c r="J97" s="1299" t="s">
        <v>5413</v>
      </c>
      <c r="K97" s="1300"/>
      <c r="L97" s="1300"/>
      <c r="M97" s="1300"/>
      <c r="N97" s="1300"/>
      <c r="O97" s="1300"/>
      <c r="P97" s="1300"/>
      <c r="Q97" s="1300"/>
      <c r="R97" s="1300"/>
      <c r="S97" s="1300"/>
      <c r="T97" s="1300"/>
      <c r="U97" s="1301"/>
    </row>
    <row r="98" spans="10:21">
      <c r="J98" s="1269" t="s">
        <v>5815</v>
      </c>
      <c r="K98" s="1270"/>
      <c r="L98" s="1270"/>
      <c r="M98" s="1270"/>
      <c r="N98" s="1270"/>
      <c r="O98" s="1270"/>
      <c r="P98" s="1270"/>
      <c r="Q98" s="1270"/>
      <c r="R98" s="1270"/>
      <c r="S98" s="1270"/>
      <c r="T98" s="1270"/>
      <c r="U98" s="1271"/>
    </row>
    <row r="99" spans="10:21">
      <c r="J99" s="1299" t="s">
        <v>5816</v>
      </c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</row>
    <row r="100" spans="10:21">
      <c r="J100" s="1299" t="s">
        <v>5414</v>
      </c>
      <c r="K100" s="1300"/>
      <c r="L100" s="1300"/>
      <c r="M100" s="1300"/>
      <c r="N100" s="1300"/>
      <c r="O100" s="1300"/>
      <c r="P100" s="1300"/>
      <c r="Q100" s="1300"/>
      <c r="R100" s="1300"/>
      <c r="S100" s="1300"/>
      <c r="T100" s="1300"/>
      <c r="U100" s="1301"/>
    </row>
    <row r="101" spans="10:21">
      <c r="J101" s="1273" t="s">
        <v>5416</v>
      </c>
      <c r="K101" s="1274"/>
      <c r="L101" s="1274"/>
      <c r="M101" s="1274"/>
      <c r="N101" s="1274"/>
      <c r="O101" s="1274"/>
      <c r="P101" s="1274"/>
      <c r="Q101" s="1274"/>
      <c r="R101" s="1274"/>
      <c r="S101" s="1274"/>
      <c r="T101" s="1274"/>
      <c r="U101" s="1275"/>
    </row>
    <row r="102" spans="10:21">
      <c r="J102" s="1299" t="s">
        <v>5415</v>
      </c>
      <c r="K102" s="1300"/>
      <c r="L102" s="1300"/>
      <c r="M102" s="1300"/>
      <c r="N102" s="1300"/>
      <c r="O102" s="1300"/>
      <c r="P102" s="1300"/>
      <c r="Q102" s="1300"/>
      <c r="R102" s="1300"/>
      <c r="S102" s="1300"/>
      <c r="T102" s="1300"/>
      <c r="U102" s="1301"/>
    </row>
    <row r="103" spans="10:21">
      <c r="J103" s="1273" t="s">
        <v>5417</v>
      </c>
      <c r="K103" s="1274"/>
      <c r="L103" s="1274"/>
      <c r="M103" s="1274"/>
      <c r="N103" s="1274"/>
      <c r="O103" s="1274"/>
      <c r="P103" s="1274"/>
      <c r="Q103" s="1274"/>
      <c r="R103" s="1274"/>
      <c r="S103" s="1274"/>
      <c r="T103" s="1274"/>
      <c r="U103" s="1275"/>
    </row>
    <row r="104" spans="10:21">
      <c r="J104" s="1338"/>
      <c r="K104" s="1339"/>
      <c r="L104" s="1339"/>
      <c r="M104" s="1339"/>
      <c r="N104" s="1339"/>
      <c r="O104" s="1339"/>
      <c r="P104" s="1339"/>
      <c r="Q104" s="1339"/>
      <c r="R104" s="1339"/>
      <c r="S104" s="1339"/>
      <c r="T104" s="1339"/>
      <c r="U104" s="1340"/>
    </row>
    <row r="105" spans="10:21">
      <c r="J105" s="1341"/>
      <c r="K105" s="1342"/>
      <c r="L105" s="1342"/>
      <c r="M105" s="1342"/>
      <c r="N105" s="1342"/>
      <c r="O105" s="1342"/>
      <c r="P105" s="1342"/>
      <c r="Q105" s="1342"/>
      <c r="R105" s="1342"/>
      <c r="S105" s="1342"/>
      <c r="T105" s="1342"/>
      <c r="U105" s="1343"/>
    </row>
  </sheetData>
  <sheetProtection algorithmName="SHA-512" hashValue="Jr12+yBLA2WSNl4l71KVUhOWuxHy5B8C6yfeAQA2saar265pvlg5LvBQYPNccUjtKBCesV+3bwNgpwW3pjEpiA==" saltValue="yyTVyxqj/5PUSMHC64GP6A==" spinCount="100000" sheet="1" objects="1" scenarios="1" sort="0" autoFilter="0"/>
  <mergeCells count="143">
    <mergeCell ref="J104:U104"/>
    <mergeCell ref="J105:U105"/>
    <mergeCell ref="J70:U70"/>
    <mergeCell ref="J62:U62"/>
    <mergeCell ref="J64:U64"/>
    <mergeCell ref="J99:U99"/>
    <mergeCell ref="J100:U100"/>
    <mergeCell ref="J101:U101"/>
    <mergeCell ref="B48:C48"/>
    <mergeCell ref="J68:U68"/>
    <mergeCell ref="J79:U79"/>
    <mergeCell ref="J80:U80"/>
    <mergeCell ref="J60:U60"/>
    <mergeCell ref="J97:U97"/>
    <mergeCell ref="J87:U87"/>
    <mergeCell ref="J96:U96"/>
    <mergeCell ref="B40:C40"/>
    <mergeCell ref="B41:C41"/>
    <mergeCell ref="B42:C42"/>
    <mergeCell ref="B43:C43"/>
    <mergeCell ref="B44:C44"/>
    <mergeCell ref="B45:C45"/>
    <mergeCell ref="J65:U65"/>
    <mergeCell ref="J66:U66"/>
    <mergeCell ref="J67:U67"/>
    <mergeCell ref="J63:U63"/>
    <mergeCell ref="J52:U52"/>
    <mergeCell ref="J54:U54"/>
    <mergeCell ref="J55:U55"/>
    <mergeCell ref="J56:U56"/>
    <mergeCell ref="J61:U61"/>
    <mergeCell ref="J53:U53"/>
    <mergeCell ref="J58:U58"/>
    <mergeCell ref="J48:U48"/>
    <mergeCell ref="J43:U43"/>
    <mergeCell ref="J44:U44"/>
    <mergeCell ref="J45:U45"/>
    <mergeCell ref="J46:U46"/>
    <mergeCell ref="J47:U47"/>
    <mergeCell ref="J59:U59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B46:C46"/>
    <mergeCell ref="B47:C47"/>
    <mergeCell ref="B18:C18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J18:U18"/>
    <mergeCell ref="J35:U35"/>
    <mergeCell ref="J98:U98"/>
    <mergeCell ref="J71:U71"/>
    <mergeCell ref="J103:U103"/>
    <mergeCell ref="J82:U82"/>
    <mergeCell ref="J84:U84"/>
    <mergeCell ref="J74:U74"/>
    <mergeCell ref="J75:U75"/>
    <mergeCell ref="J76:U76"/>
    <mergeCell ref="J77:U77"/>
    <mergeCell ref="J78:U78"/>
    <mergeCell ref="J72:U72"/>
    <mergeCell ref="J73:U73"/>
    <mergeCell ref="J89:U89"/>
    <mergeCell ref="J90:U90"/>
    <mergeCell ref="J91:U91"/>
    <mergeCell ref="J83:U83"/>
    <mergeCell ref="J85:U85"/>
    <mergeCell ref="J92:U92"/>
    <mergeCell ref="J88:U88"/>
    <mergeCell ref="J102:U102"/>
    <mergeCell ref="J93:U93"/>
    <mergeCell ref="J94:U94"/>
    <mergeCell ref="J95:U95"/>
  </mergeCells>
  <pageMargins left="0.7" right="0.7" top="0.75" bottom="0.75" header="0.3" footer="0.3"/>
  <pageSetup paperSize="9"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N38"/>
  <sheetViews>
    <sheetView topLeftCell="A13" workbookViewId="0">
      <selection activeCell="Q43" sqref="Q43"/>
    </sheetView>
  </sheetViews>
  <sheetFormatPr defaultRowHeight="14.5"/>
  <cols>
    <col min="1" max="1" width="25.54296875" customWidth="1"/>
    <col min="5" max="5" width="9.81640625" customWidth="1"/>
    <col min="6" max="6" width="9.54296875" customWidth="1"/>
    <col min="7" max="8" width="6.81640625" bestFit="1" customWidth="1"/>
    <col min="9" max="9" width="7.54296875" customWidth="1"/>
    <col min="10" max="10" width="6.54296875" customWidth="1"/>
    <col min="12" max="12" width="7.7265625" bestFit="1" customWidth="1"/>
    <col min="13" max="13" width="5.7265625" bestFit="1" customWidth="1"/>
    <col min="14" max="14" width="9.1796875" customWidth="1"/>
  </cols>
  <sheetData>
    <row r="1" spans="1:14">
      <c r="A1" s="1344" t="s">
        <v>81</v>
      </c>
      <c r="B1" s="1344"/>
      <c r="C1" s="1344"/>
      <c r="D1" s="1344"/>
      <c r="E1" s="1344"/>
      <c r="F1" s="1344"/>
      <c r="G1" s="1344"/>
      <c r="H1" s="1344"/>
      <c r="I1" s="1344"/>
      <c r="J1" s="1344"/>
      <c r="K1" s="1344"/>
      <c r="L1" s="1344"/>
      <c r="M1" s="1344"/>
      <c r="N1" s="1344"/>
    </row>
    <row r="2" spans="1:14">
      <c r="A2" s="1345"/>
      <c r="B2" s="1345"/>
      <c r="C2" s="1345"/>
      <c r="D2" s="1345"/>
      <c r="E2" s="1345"/>
      <c r="F2" s="1345"/>
      <c r="G2" s="1345"/>
      <c r="H2" s="1345"/>
      <c r="I2" s="1345"/>
      <c r="J2" s="1345"/>
      <c r="K2" s="1345"/>
      <c r="L2" s="1345"/>
      <c r="M2" s="1345"/>
      <c r="N2" s="1345"/>
    </row>
    <row r="3" spans="1:14" s="25" customFormat="1" ht="29">
      <c r="A3" s="24"/>
      <c r="B3" s="37" t="s">
        <v>16</v>
      </c>
      <c r="C3" s="29" t="s">
        <v>0</v>
      </c>
      <c r="D3" s="29" t="s">
        <v>191</v>
      </c>
      <c r="E3" s="29" t="s">
        <v>1</v>
      </c>
      <c r="F3" s="29" t="s">
        <v>2</v>
      </c>
      <c r="G3" s="29" t="s">
        <v>3</v>
      </c>
      <c r="H3" s="29" t="s">
        <v>4</v>
      </c>
      <c r="I3" s="29">
        <v>64</v>
      </c>
      <c r="J3" s="29">
        <v>128</v>
      </c>
      <c r="K3" s="29" t="s">
        <v>12</v>
      </c>
      <c r="L3" s="29" t="s">
        <v>0</v>
      </c>
      <c r="M3" s="38" t="s">
        <v>5</v>
      </c>
      <c r="N3" s="39" t="s">
        <v>37</v>
      </c>
    </row>
    <row r="4" spans="1:14" ht="37.5" customHeight="1">
      <c r="A4" s="4" t="s">
        <v>38</v>
      </c>
      <c r="B4" s="30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1"/>
      <c r="N4" s="32"/>
    </row>
    <row r="5" spans="1:14" ht="29.25" customHeight="1">
      <c r="A5" s="197" t="s">
        <v>5428</v>
      </c>
      <c r="B5" s="198"/>
      <c r="C5" s="199"/>
      <c r="D5" s="199"/>
      <c r="E5" s="199"/>
      <c r="F5" s="199"/>
      <c r="G5" s="199"/>
      <c r="H5" s="199"/>
      <c r="I5" s="199"/>
      <c r="J5" s="199"/>
      <c r="K5" s="199"/>
      <c r="L5" s="352">
        <v>5</v>
      </c>
      <c r="M5" s="377">
        <v>2</v>
      </c>
      <c r="N5" s="378">
        <v>1</v>
      </c>
    </row>
    <row r="6" spans="1:14" ht="29.25" customHeight="1">
      <c r="A6" s="4" t="s">
        <v>2401</v>
      </c>
      <c r="B6" s="30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43"/>
      <c r="N6" s="32"/>
    </row>
    <row r="7" spans="1:14" ht="56.25" customHeight="1">
      <c r="A7" s="9" t="s">
        <v>27</v>
      </c>
      <c r="B7" s="30">
        <v>5</v>
      </c>
      <c r="C7" s="702">
        <v>150</v>
      </c>
      <c r="D7" s="702">
        <v>100</v>
      </c>
      <c r="E7" s="702">
        <v>75</v>
      </c>
      <c r="F7" s="702">
        <v>50</v>
      </c>
      <c r="G7" s="702">
        <v>25</v>
      </c>
      <c r="H7" s="702">
        <v>15</v>
      </c>
      <c r="I7" s="702">
        <v>5</v>
      </c>
      <c r="J7" s="702">
        <v>2</v>
      </c>
      <c r="K7" s="702">
        <v>2</v>
      </c>
      <c r="L7" s="27"/>
      <c r="M7" s="31"/>
      <c r="N7" s="32"/>
    </row>
    <row r="8" spans="1:14" ht="47.25" customHeight="1">
      <c r="A8" s="9" t="s">
        <v>32</v>
      </c>
      <c r="B8" s="30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1"/>
      <c r="N8" s="32"/>
    </row>
    <row r="9" spans="1:14" ht="43.5" customHeight="1">
      <c r="A9" s="9" t="s">
        <v>33</v>
      </c>
      <c r="B9" s="30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1"/>
      <c r="N9" s="32"/>
    </row>
    <row r="10" spans="1:14" ht="44" thickBot="1">
      <c r="A10" s="9" t="s">
        <v>28</v>
      </c>
      <c r="B10" s="33">
        <v>1</v>
      </c>
      <c r="C10" s="34">
        <v>50</v>
      </c>
      <c r="D10" s="34">
        <v>35</v>
      </c>
      <c r="E10" s="34">
        <v>25</v>
      </c>
      <c r="F10" s="34">
        <v>15</v>
      </c>
      <c r="G10" s="34">
        <v>10</v>
      </c>
      <c r="H10" s="34">
        <v>2</v>
      </c>
      <c r="I10" s="34">
        <v>1</v>
      </c>
      <c r="J10" s="34"/>
      <c r="K10" s="34">
        <v>1</v>
      </c>
      <c r="L10" s="34"/>
      <c r="M10" s="35"/>
      <c r="N10" s="32"/>
    </row>
    <row r="11" spans="1:14" ht="44" thickBot="1">
      <c r="A11" s="23" t="s">
        <v>2914</v>
      </c>
      <c r="B11" s="33">
        <v>1</v>
      </c>
      <c r="C11" s="34">
        <v>80</v>
      </c>
      <c r="D11" s="34">
        <v>55</v>
      </c>
      <c r="E11" s="34">
        <v>45</v>
      </c>
      <c r="F11" s="34">
        <v>35</v>
      </c>
      <c r="G11" s="34">
        <v>20</v>
      </c>
      <c r="H11" s="452">
        <v>10</v>
      </c>
      <c r="I11" s="452">
        <v>4</v>
      </c>
      <c r="J11" s="452">
        <v>2</v>
      </c>
      <c r="K11" s="452">
        <v>1</v>
      </c>
      <c r="L11" s="34"/>
      <c r="M11" s="35"/>
      <c r="N11" s="36"/>
    </row>
    <row r="13" spans="1:14">
      <c r="A13" s="1346"/>
      <c r="B13" s="1346"/>
      <c r="C13" s="1346"/>
      <c r="D13" s="1346"/>
      <c r="E13" s="1346"/>
      <c r="F13" s="1346"/>
      <c r="G13" s="1346"/>
      <c r="H13" s="1346"/>
      <c r="I13" s="1346"/>
    </row>
    <row r="14" spans="1:14">
      <c r="A14" s="1346"/>
      <c r="B14" s="1346"/>
      <c r="C14" s="1346"/>
      <c r="D14" s="1346"/>
      <c r="E14" s="1346"/>
      <c r="F14" s="1346"/>
      <c r="G14" s="1346"/>
      <c r="H14" s="1346"/>
      <c r="I14" s="1346"/>
    </row>
    <row r="15" spans="1:14">
      <c r="A15" s="1346"/>
      <c r="B15" s="1346"/>
      <c r="C15" s="1346"/>
      <c r="D15" s="1346"/>
      <c r="E15" s="1346"/>
      <c r="F15" s="1346"/>
      <c r="G15" s="1346"/>
      <c r="H15" s="1346"/>
      <c r="I15" s="1346"/>
    </row>
    <row r="16" spans="1:14">
      <c r="A16" s="1346"/>
      <c r="B16" s="1346"/>
      <c r="C16" s="1346"/>
      <c r="D16" s="1346"/>
      <c r="E16" s="1346"/>
      <c r="F16" s="1346"/>
      <c r="G16" s="1346"/>
      <c r="H16" s="1346"/>
      <c r="I16" s="1346"/>
    </row>
    <row r="17" spans="1:9">
      <c r="A17" s="1346"/>
      <c r="B17" s="1346"/>
      <c r="C17" s="1346"/>
      <c r="D17" s="1346"/>
      <c r="E17" s="1346"/>
      <c r="F17" s="1346"/>
      <c r="G17" s="1346"/>
      <c r="H17" s="1346"/>
      <c r="I17" s="1346"/>
    </row>
    <row r="18" spans="1:9">
      <c r="A18" s="1346"/>
      <c r="B18" s="1346"/>
      <c r="C18" s="1346"/>
      <c r="D18" s="1346"/>
      <c r="E18" s="1346"/>
      <c r="F18" s="1346"/>
      <c r="G18" s="1346"/>
      <c r="H18" s="1346"/>
      <c r="I18" s="1346"/>
    </row>
    <row r="19" spans="1:9">
      <c r="A19" s="1346"/>
      <c r="B19" s="1346"/>
      <c r="C19" s="1346"/>
      <c r="D19" s="1346"/>
      <c r="E19" s="1346"/>
      <c r="F19" s="1346"/>
      <c r="G19" s="1346"/>
      <c r="H19" s="1346"/>
      <c r="I19" s="1346"/>
    </row>
    <row r="20" spans="1:9">
      <c r="A20" s="1346"/>
      <c r="B20" s="1346"/>
      <c r="C20" s="1346"/>
      <c r="D20" s="1346"/>
      <c r="E20" s="1346"/>
      <c r="F20" s="1346"/>
      <c r="G20" s="1346"/>
      <c r="H20" s="1346"/>
      <c r="I20" s="1346"/>
    </row>
    <row r="21" spans="1:9">
      <c r="A21" s="1346"/>
      <c r="B21" s="1346"/>
      <c r="C21" s="1346"/>
      <c r="D21" s="1346"/>
      <c r="E21" s="1346"/>
      <c r="F21" s="1346"/>
      <c r="G21" s="1346"/>
      <c r="H21" s="1346"/>
      <c r="I21" s="1346"/>
    </row>
    <row r="22" spans="1:9">
      <c r="A22" s="1346"/>
      <c r="B22" s="1346"/>
      <c r="C22" s="1346"/>
      <c r="D22" s="1346"/>
      <c r="E22" s="1346"/>
      <c r="F22" s="1346"/>
      <c r="G22" s="1346"/>
      <c r="H22" s="1346"/>
      <c r="I22" s="1346"/>
    </row>
    <row r="23" spans="1:9">
      <c r="A23" s="1346"/>
      <c r="B23" s="1346"/>
      <c r="C23" s="1346"/>
      <c r="D23" s="1346"/>
      <c r="E23" s="1346"/>
      <c r="F23" s="1346"/>
      <c r="G23" s="1346"/>
      <c r="H23" s="1346"/>
      <c r="I23" s="1346"/>
    </row>
    <row r="24" spans="1:9">
      <c r="A24" s="1346"/>
      <c r="B24" s="1346"/>
      <c r="C24" s="1346"/>
      <c r="D24" s="1346"/>
      <c r="E24" s="1346"/>
      <c r="F24" s="1346"/>
      <c r="G24" s="1346"/>
      <c r="H24" s="1346"/>
      <c r="I24" s="1346"/>
    </row>
    <row r="25" spans="1:9">
      <c r="A25" s="1346"/>
      <c r="B25" s="1346"/>
      <c r="C25" s="1346"/>
      <c r="D25" s="1346"/>
      <c r="E25" s="1346"/>
      <c r="F25" s="1346"/>
      <c r="G25" s="1346"/>
      <c r="H25" s="1346"/>
      <c r="I25" s="1346"/>
    </row>
    <row r="26" spans="1:9">
      <c r="A26" s="1346"/>
      <c r="B26" s="1346"/>
      <c r="C26" s="1346"/>
      <c r="D26" s="1346"/>
      <c r="E26" s="1346"/>
      <c r="F26" s="1346"/>
      <c r="G26" s="1346"/>
      <c r="H26" s="1346"/>
      <c r="I26" s="1346"/>
    </row>
    <row r="27" spans="1:9">
      <c r="A27" s="1346"/>
      <c r="B27" s="1346"/>
      <c r="C27" s="1346"/>
      <c r="D27" s="1346"/>
      <c r="E27" s="1346"/>
      <c r="F27" s="1346"/>
      <c r="G27" s="1346"/>
      <c r="H27" s="1346"/>
      <c r="I27" s="1346"/>
    </row>
    <row r="28" spans="1:9">
      <c r="A28" s="1346"/>
      <c r="B28" s="1346"/>
      <c r="C28" s="1346"/>
      <c r="D28" s="1346"/>
      <c r="E28" s="1346"/>
      <c r="F28" s="1346"/>
      <c r="G28" s="1346"/>
      <c r="H28" s="1346"/>
      <c r="I28" s="1346"/>
    </row>
    <row r="29" spans="1:9">
      <c r="A29" s="1346"/>
      <c r="B29" s="1346"/>
      <c r="C29" s="1346"/>
      <c r="D29" s="1346"/>
      <c r="E29" s="1346"/>
      <c r="F29" s="1346"/>
      <c r="G29" s="1346"/>
      <c r="H29" s="1346"/>
      <c r="I29" s="1346"/>
    </row>
    <row r="30" spans="1:9">
      <c r="A30" s="1346"/>
      <c r="B30" s="1346"/>
      <c r="C30" s="1346"/>
      <c r="D30" s="1346"/>
      <c r="E30" s="1346"/>
      <c r="F30" s="1346"/>
      <c r="G30" s="1346"/>
      <c r="H30" s="1346"/>
      <c r="I30" s="1346"/>
    </row>
    <row r="31" spans="1:9">
      <c r="A31" s="701" t="s">
        <v>6117</v>
      </c>
      <c r="B31" s="28">
        <v>2025</v>
      </c>
    </row>
    <row r="32" spans="1:9">
      <c r="A32" s="28" t="s">
        <v>3750</v>
      </c>
      <c r="B32" s="28" t="s">
        <v>266</v>
      </c>
    </row>
    <row r="33" spans="1:2">
      <c r="A33" s="28" t="s">
        <v>6118</v>
      </c>
      <c r="B33" s="28"/>
    </row>
    <row r="34" spans="1:2">
      <c r="A34" s="28" t="s">
        <v>6119</v>
      </c>
      <c r="B34" s="28"/>
    </row>
    <row r="35" spans="1:2">
      <c r="A35" s="28" t="s">
        <v>6120</v>
      </c>
      <c r="B35" s="28"/>
    </row>
    <row r="36" spans="1:2">
      <c r="A36" s="28" t="s">
        <v>6121</v>
      </c>
      <c r="B36" s="28"/>
    </row>
    <row r="37" spans="1:2">
      <c r="A37" s="28" t="s">
        <v>6122</v>
      </c>
      <c r="B37" s="28"/>
    </row>
    <row r="38" spans="1:2">
      <c r="A38" s="28" t="s">
        <v>6123</v>
      </c>
      <c r="B38" s="28"/>
    </row>
  </sheetData>
  <sheetProtection algorithmName="SHA-512" hashValue="AqXgww9eoz00Sy5l7RksCZldJ02nxtL8+W5bHXrtRlPwmPFB7aW9yXhOyte8k5P8hRFTKURZM7FRcewdbdiCeg==" saltValue="TG3WBNPNen7i6bED4YJAkA==" spinCount="100000" sheet="1" objects="1" scenarios="1" sort="0" autoFilter="0"/>
  <mergeCells count="2">
    <mergeCell ref="A1:N2"/>
    <mergeCell ref="A13:I30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70"/>
  <sheetViews>
    <sheetView topLeftCell="A12" workbookViewId="0">
      <selection activeCell="K27" sqref="K27"/>
    </sheetView>
  </sheetViews>
  <sheetFormatPr defaultRowHeight="14.5"/>
  <cols>
    <col min="1" max="1" width="7.54296875" customWidth="1"/>
    <col min="2" max="2" width="32" bestFit="1" customWidth="1"/>
    <col min="3" max="3" width="9.453125" customWidth="1"/>
    <col min="4" max="4" width="11.1796875" bestFit="1" customWidth="1"/>
    <col min="5" max="5" width="16.453125" bestFit="1" customWidth="1"/>
    <col min="6" max="6" width="18" bestFit="1" customWidth="1"/>
  </cols>
  <sheetData>
    <row r="1" spans="1:14" ht="37.5" customHeight="1">
      <c r="A1" s="1121"/>
      <c r="B1" s="1122"/>
      <c r="C1" s="1122"/>
      <c r="D1" s="1122"/>
      <c r="E1" s="1122"/>
      <c r="F1" s="1122"/>
      <c r="G1" s="1123"/>
    </row>
    <row r="2" spans="1:14" ht="73.5" customHeight="1" thickBot="1">
      <c r="A2" s="1124"/>
      <c r="B2" s="1125"/>
      <c r="C2" s="1125"/>
      <c r="D2" s="1125"/>
      <c r="E2" s="1125"/>
      <c r="F2" s="1125"/>
      <c r="G2" s="1126"/>
    </row>
    <row r="3" spans="1:14" ht="21">
      <c r="A3" s="26" t="s">
        <v>261</v>
      </c>
      <c r="E3" t="s">
        <v>3891</v>
      </c>
      <c r="F3" s="1130">
        <v>46113</v>
      </c>
      <c r="G3" s="1130"/>
      <c r="H3" s="48"/>
      <c r="I3" s="48"/>
      <c r="J3" s="48"/>
      <c r="K3" s="48"/>
      <c r="L3" s="48"/>
      <c r="M3" s="48"/>
      <c r="N3" s="48"/>
    </row>
    <row r="5" spans="1:14" ht="18.5">
      <c r="A5" s="46" t="s">
        <v>189</v>
      </c>
      <c r="B5" s="47" t="s">
        <v>262</v>
      </c>
      <c r="C5" s="46" t="s">
        <v>263</v>
      </c>
      <c r="D5" s="46" t="s">
        <v>3455</v>
      </c>
      <c r="E5" s="46" t="s">
        <v>264</v>
      </c>
      <c r="F5" s="46" t="s">
        <v>267</v>
      </c>
    </row>
    <row r="6" spans="1:14">
      <c r="A6" s="50">
        <v>1</v>
      </c>
      <c r="B6" s="49" t="s">
        <v>2399</v>
      </c>
      <c r="C6" s="55">
        <v>45954</v>
      </c>
      <c r="D6" s="50" t="s">
        <v>361</v>
      </c>
      <c r="E6" s="50" t="s">
        <v>2400</v>
      </c>
      <c r="F6" s="44">
        <v>45680</v>
      </c>
    </row>
    <row r="7" spans="1:14">
      <c r="A7" s="50">
        <v>2</v>
      </c>
      <c r="B7" s="49" t="s">
        <v>4765</v>
      </c>
      <c r="C7" s="44">
        <v>45536</v>
      </c>
      <c r="D7" s="50" t="s">
        <v>190</v>
      </c>
      <c r="E7" s="50" t="s">
        <v>265</v>
      </c>
      <c r="F7" s="44">
        <v>45536</v>
      </c>
    </row>
    <row r="8" spans="1:14">
      <c r="A8" s="50">
        <v>3</v>
      </c>
      <c r="B8" s="49" t="s">
        <v>4764</v>
      </c>
      <c r="C8" s="44">
        <v>45536</v>
      </c>
      <c r="D8" s="50" t="s">
        <v>4720</v>
      </c>
      <c r="E8" s="41" t="s">
        <v>268</v>
      </c>
      <c r="F8" s="44">
        <v>45536</v>
      </c>
    </row>
    <row r="9" spans="1:14">
      <c r="A9" s="50">
        <v>4</v>
      </c>
      <c r="B9" s="49" t="s">
        <v>4723</v>
      </c>
      <c r="C9" s="44">
        <v>45505</v>
      </c>
      <c r="D9" s="50" t="s">
        <v>4720</v>
      </c>
      <c r="E9" s="50" t="s">
        <v>266</v>
      </c>
      <c r="F9" s="44">
        <v>45505</v>
      </c>
    </row>
    <row r="10" spans="1:14">
      <c r="A10" s="50">
        <v>5</v>
      </c>
      <c r="B10" s="1" t="s">
        <v>3454</v>
      </c>
      <c r="C10" s="44">
        <v>45505</v>
      </c>
      <c r="D10" s="27" t="s">
        <v>249</v>
      </c>
      <c r="E10" s="41" t="s">
        <v>266</v>
      </c>
      <c r="F10" s="44">
        <v>45505</v>
      </c>
    </row>
    <row r="11" spans="1:14">
      <c r="A11" s="50">
        <v>6</v>
      </c>
      <c r="B11" s="52" t="s">
        <v>4386</v>
      </c>
      <c r="C11" s="53">
        <v>45483</v>
      </c>
      <c r="D11" s="51" t="s">
        <v>245</v>
      </c>
      <c r="E11" s="54" t="s">
        <v>268</v>
      </c>
      <c r="F11" s="53">
        <v>45505</v>
      </c>
      <c r="G11" t="s">
        <v>4722</v>
      </c>
    </row>
    <row r="12" spans="1:14">
      <c r="A12" s="50">
        <v>7</v>
      </c>
      <c r="B12" s="1" t="s">
        <v>4492</v>
      </c>
      <c r="C12" s="44">
        <v>45453</v>
      </c>
      <c r="D12" s="27" t="s">
        <v>2406</v>
      </c>
      <c r="E12" s="41" t="s">
        <v>266</v>
      </c>
      <c r="F12" s="44">
        <v>45505</v>
      </c>
    </row>
    <row r="13" spans="1:14">
      <c r="A13" s="50">
        <v>8</v>
      </c>
      <c r="B13" s="1" t="s">
        <v>3774</v>
      </c>
      <c r="C13" s="44">
        <v>45453</v>
      </c>
      <c r="D13" s="27" t="s">
        <v>2406</v>
      </c>
      <c r="E13" s="41" t="s">
        <v>268</v>
      </c>
      <c r="F13" s="44">
        <v>45474</v>
      </c>
    </row>
    <row r="14" spans="1:14">
      <c r="A14" s="50">
        <v>9</v>
      </c>
      <c r="B14" s="1" t="s">
        <v>4386</v>
      </c>
      <c r="C14" s="44">
        <v>45453</v>
      </c>
      <c r="D14" s="27" t="s">
        <v>245</v>
      </c>
      <c r="E14" s="41" t="s">
        <v>268</v>
      </c>
      <c r="F14" s="44">
        <v>45474</v>
      </c>
    </row>
    <row r="15" spans="1:14">
      <c r="A15" s="50">
        <v>10</v>
      </c>
      <c r="B15" s="1" t="s">
        <v>3669</v>
      </c>
      <c r="C15" s="44">
        <v>45361</v>
      </c>
      <c r="D15" s="27" t="s">
        <v>244</v>
      </c>
      <c r="E15" s="41" t="s">
        <v>2400</v>
      </c>
      <c r="F15" s="44">
        <v>45474</v>
      </c>
    </row>
    <row r="16" spans="1:14">
      <c r="A16" s="51">
        <v>11</v>
      </c>
      <c r="B16" s="52" t="s">
        <v>4996</v>
      </c>
      <c r="C16" s="53">
        <v>45697</v>
      </c>
      <c r="D16" s="51" t="s">
        <v>243</v>
      </c>
      <c r="E16" s="54" t="s">
        <v>268</v>
      </c>
      <c r="F16" s="53">
        <v>45726</v>
      </c>
    </row>
    <row r="17" spans="1:6">
      <c r="A17" s="51">
        <v>12</v>
      </c>
      <c r="B17" s="52" t="s">
        <v>5161</v>
      </c>
      <c r="C17" s="53">
        <v>45731</v>
      </c>
      <c r="D17" s="51" t="s">
        <v>251</v>
      </c>
      <c r="E17" s="1103" t="s">
        <v>268</v>
      </c>
      <c r="F17" s="53">
        <v>45731</v>
      </c>
    </row>
    <row r="18" spans="1:6">
      <c r="A18" s="51">
        <v>13</v>
      </c>
      <c r="B18" s="52" t="s">
        <v>5392</v>
      </c>
      <c r="C18" s="53">
        <v>45753</v>
      </c>
      <c r="D18" s="51" t="s">
        <v>243</v>
      </c>
      <c r="E18" s="1103" t="s">
        <v>268</v>
      </c>
      <c r="F18" s="53">
        <v>45785</v>
      </c>
    </row>
    <row r="19" spans="1:6">
      <c r="A19" s="51">
        <v>14</v>
      </c>
      <c r="B19" s="52" t="s">
        <v>4723</v>
      </c>
      <c r="C19" s="53">
        <v>45773</v>
      </c>
      <c r="D19" s="51" t="s">
        <v>4720</v>
      </c>
      <c r="E19" s="54" t="s">
        <v>2400</v>
      </c>
      <c r="F19" s="53">
        <v>45795</v>
      </c>
    </row>
    <row r="20" spans="1:6">
      <c r="A20" s="51">
        <v>15</v>
      </c>
      <c r="B20" s="52" t="s">
        <v>5393</v>
      </c>
      <c r="C20" s="53">
        <v>45739</v>
      </c>
      <c r="D20" s="51" t="s">
        <v>4720</v>
      </c>
      <c r="E20" s="1103" t="s">
        <v>268</v>
      </c>
      <c r="F20" s="53">
        <v>45805</v>
      </c>
    </row>
    <row r="21" spans="1:6">
      <c r="A21" s="51">
        <v>16</v>
      </c>
      <c r="B21" s="52" t="s">
        <v>5450</v>
      </c>
      <c r="C21" s="53">
        <v>45780</v>
      </c>
      <c r="D21" s="51" t="s">
        <v>243</v>
      </c>
      <c r="E21" s="54" t="s">
        <v>266</v>
      </c>
      <c r="F21" s="53">
        <v>45829</v>
      </c>
    </row>
    <row r="22" spans="1:6">
      <c r="A22" s="51">
        <v>17</v>
      </c>
      <c r="B22" s="52" t="s">
        <v>5516</v>
      </c>
      <c r="C22" s="53">
        <v>45786</v>
      </c>
      <c r="D22" s="51" t="s">
        <v>361</v>
      </c>
      <c r="E22" s="1103" t="s">
        <v>4280</v>
      </c>
      <c r="F22" s="53">
        <v>45839</v>
      </c>
    </row>
    <row r="23" spans="1:6">
      <c r="A23" s="51">
        <v>18</v>
      </c>
      <c r="B23" s="52" t="s">
        <v>5627</v>
      </c>
      <c r="C23" s="53">
        <v>45860</v>
      </c>
      <c r="D23" s="51" t="s">
        <v>251</v>
      </c>
      <c r="E23" s="54" t="s">
        <v>2400</v>
      </c>
      <c r="F23" s="53">
        <v>45876</v>
      </c>
    </row>
    <row r="24" spans="1:6">
      <c r="A24" s="51">
        <v>19</v>
      </c>
      <c r="B24" s="52" t="s">
        <v>5661</v>
      </c>
      <c r="C24" s="53">
        <v>45858</v>
      </c>
      <c r="D24" s="51" t="s">
        <v>243</v>
      </c>
      <c r="E24" s="54" t="s">
        <v>268</v>
      </c>
      <c r="F24" s="53">
        <v>45882</v>
      </c>
    </row>
    <row r="25" spans="1:6">
      <c r="A25" s="51">
        <v>20</v>
      </c>
      <c r="B25" s="52" t="s">
        <v>5681</v>
      </c>
      <c r="C25" s="53">
        <v>45865</v>
      </c>
      <c r="D25" s="51" t="s">
        <v>5682</v>
      </c>
      <c r="E25" s="54" t="s">
        <v>2400</v>
      </c>
      <c r="F25" s="53">
        <v>45882</v>
      </c>
    </row>
    <row r="26" spans="1:6">
      <c r="A26" s="51">
        <v>21</v>
      </c>
      <c r="B26" s="52" t="s">
        <v>2399</v>
      </c>
      <c r="C26" s="53">
        <v>45890</v>
      </c>
      <c r="D26" s="51" t="s">
        <v>361</v>
      </c>
      <c r="E26" s="54" t="s">
        <v>266</v>
      </c>
      <c r="F26" s="53">
        <v>45894</v>
      </c>
    </row>
    <row r="27" spans="1:6">
      <c r="A27" s="51">
        <v>22</v>
      </c>
      <c r="B27" s="52" t="s">
        <v>5806</v>
      </c>
      <c r="C27" s="53">
        <v>45880</v>
      </c>
      <c r="D27" s="51" t="s">
        <v>244</v>
      </c>
      <c r="E27" s="54" t="s">
        <v>5403</v>
      </c>
      <c r="F27" s="53">
        <v>45898</v>
      </c>
    </row>
    <row r="28" spans="1:6">
      <c r="A28" s="1104">
        <v>23</v>
      </c>
      <c r="B28" s="1127" t="s">
        <v>5818</v>
      </c>
      <c r="C28" s="1128"/>
      <c r="D28" s="1128"/>
      <c r="E28" s="1128"/>
      <c r="F28" s="1129"/>
    </row>
    <row r="29" spans="1:6">
      <c r="A29" s="1104">
        <v>24</v>
      </c>
      <c r="B29" s="1105" t="s">
        <v>5819</v>
      </c>
      <c r="C29" s="1106"/>
      <c r="D29" s="1106"/>
      <c r="E29" s="1106"/>
      <c r="F29" s="1107"/>
    </row>
    <row r="30" spans="1:6" ht="15" customHeight="1">
      <c r="A30" s="51"/>
      <c r="B30" s="1131" t="s">
        <v>6050</v>
      </c>
      <c r="C30" s="1128"/>
      <c r="D30" s="1128"/>
      <c r="E30" s="1128"/>
      <c r="F30" s="1129"/>
    </row>
    <row r="31" spans="1:6" ht="15" customHeight="1">
      <c r="A31" s="51">
        <v>25</v>
      </c>
      <c r="B31" s="52" t="s">
        <v>4765</v>
      </c>
      <c r="C31" s="53">
        <v>45991</v>
      </c>
      <c r="D31" s="51" t="s">
        <v>190</v>
      </c>
      <c r="E31" s="54" t="s">
        <v>265</v>
      </c>
      <c r="F31" s="53">
        <v>45987</v>
      </c>
    </row>
    <row r="32" spans="1:6" ht="15" customHeight="1">
      <c r="A32" s="51">
        <v>26</v>
      </c>
      <c r="B32" s="52" t="s">
        <v>6130</v>
      </c>
      <c r="C32" s="53">
        <v>45914</v>
      </c>
      <c r="D32" s="51" t="s">
        <v>3750</v>
      </c>
      <c r="E32" s="54" t="s">
        <v>266</v>
      </c>
      <c r="F32" s="53">
        <v>45995</v>
      </c>
    </row>
    <row r="33" spans="1:6" ht="15" customHeight="1">
      <c r="A33" s="965">
        <v>26</v>
      </c>
      <c r="B33" s="966" t="s">
        <v>6186</v>
      </c>
      <c r="C33" s="967">
        <v>46078</v>
      </c>
      <c r="D33" s="965" t="s">
        <v>243</v>
      </c>
      <c r="E33" s="968" t="s">
        <v>268</v>
      </c>
      <c r="F33" s="967">
        <v>46092</v>
      </c>
    </row>
    <row r="34" spans="1:6" ht="15" customHeight="1">
      <c r="A34" s="965">
        <v>27</v>
      </c>
      <c r="B34" s="966" t="s">
        <v>5661</v>
      </c>
      <c r="C34" s="967">
        <v>46088</v>
      </c>
      <c r="D34" s="965" t="s">
        <v>243</v>
      </c>
      <c r="E34" s="968" t="s">
        <v>268</v>
      </c>
      <c r="F34" s="967">
        <v>46092</v>
      </c>
    </row>
    <row r="35" spans="1:6" ht="15" customHeight="1">
      <c r="A35" s="965">
        <v>28</v>
      </c>
      <c r="B35" s="966" t="s">
        <v>6191</v>
      </c>
      <c r="C35" s="967">
        <v>46088</v>
      </c>
      <c r="D35" s="965" t="s">
        <v>244</v>
      </c>
      <c r="E35" s="968" t="s">
        <v>268</v>
      </c>
      <c r="F35" s="967">
        <v>46092</v>
      </c>
    </row>
    <row r="36" spans="1:6" ht="15" customHeight="1">
      <c r="A36" s="27"/>
      <c r="B36" s="1"/>
      <c r="C36" s="44"/>
      <c r="D36" s="27"/>
      <c r="E36" s="41"/>
      <c r="F36" s="44"/>
    </row>
    <row r="37" spans="1:6" ht="15" customHeight="1">
      <c r="A37" s="27"/>
      <c r="B37" s="1"/>
      <c r="C37" s="44"/>
      <c r="D37" s="27"/>
      <c r="E37" s="41"/>
      <c r="F37" s="44"/>
    </row>
    <row r="38" spans="1:6" ht="15" customHeight="1">
      <c r="A38" s="27"/>
      <c r="B38" s="1"/>
      <c r="C38" s="44"/>
      <c r="D38" s="27"/>
      <c r="E38" s="41"/>
      <c r="F38" s="44"/>
    </row>
    <row r="39" spans="1:6" ht="15" customHeight="1">
      <c r="A39" s="27"/>
      <c r="B39" s="1"/>
      <c r="C39" s="44"/>
      <c r="D39" s="27"/>
      <c r="E39" s="41"/>
      <c r="F39" s="44"/>
    </row>
    <row r="40" spans="1:6" ht="15" customHeight="1">
      <c r="A40" s="27"/>
      <c r="B40" s="1"/>
      <c r="C40" s="44"/>
      <c r="D40" s="27"/>
      <c r="E40" s="41"/>
      <c r="F40" s="44"/>
    </row>
    <row r="41" spans="1:6" ht="15" customHeight="1">
      <c r="A41" s="27"/>
      <c r="B41" s="1"/>
      <c r="C41" s="44"/>
      <c r="D41" s="27"/>
      <c r="E41" s="41"/>
      <c r="F41" s="44"/>
    </row>
    <row r="42" spans="1:6" ht="15" customHeight="1">
      <c r="A42" s="27"/>
      <c r="B42" s="1"/>
      <c r="C42" s="44"/>
      <c r="D42" s="27"/>
      <c r="E42" s="41"/>
      <c r="F42" s="44"/>
    </row>
    <row r="43" spans="1:6" ht="15" customHeight="1">
      <c r="A43" s="27"/>
      <c r="B43" s="1"/>
      <c r="C43" s="44"/>
      <c r="D43" s="27"/>
      <c r="E43" s="41"/>
      <c r="F43" s="44"/>
    </row>
    <row r="44" spans="1:6" ht="15" customHeight="1">
      <c r="A44" s="27"/>
      <c r="B44" s="1"/>
      <c r="C44" s="44"/>
      <c r="D44" s="27"/>
      <c r="E44" s="41"/>
      <c r="F44" s="44"/>
    </row>
    <row r="45" spans="1:6" ht="15" customHeight="1">
      <c r="A45" s="27"/>
      <c r="B45" s="1"/>
      <c r="C45" s="44"/>
      <c r="D45" s="27"/>
      <c r="E45" s="41"/>
      <c r="F45" s="44"/>
    </row>
    <row r="46" spans="1:6" ht="15" customHeight="1">
      <c r="A46" s="27"/>
      <c r="B46" s="1"/>
      <c r="C46" s="44"/>
      <c r="D46" s="27"/>
      <c r="E46" s="41"/>
      <c r="F46" s="44"/>
    </row>
    <row r="47" spans="1:6" ht="15" customHeight="1">
      <c r="A47" s="27"/>
      <c r="B47" s="1"/>
      <c r="C47" s="44"/>
      <c r="D47" s="27"/>
      <c r="E47" s="41"/>
      <c r="F47" s="44"/>
    </row>
    <row r="48" spans="1:6" ht="15" customHeight="1">
      <c r="A48" s="27"/>
      <c r="B48" s="1"/>
      <c r="C48" s="44"/>
      <c r="D48" s="27"/>
      <c r="E48" s="41"/>
      <c r="F48" s="44"/>
    </row>
    <row r="49" spans="1:6" ht="15" customHeight="1">
      <c r="A49" s="27"/>
      <c r="B49" s="1"/>
      <c r="C49" s="44"/>
      <c r="D49" s="27"/>
      <c r="E49" s="41"/>
      <c r="F49" s="44"/>
    </row>
    <row r="50" spans="1:6" ht="15" customHeight="1">
      <c r="A50" s="27"/>
      <c r="B50" s="1"/>
      <c r="C50" s="44"/>
      <c r="D50" s="27"/>
      <c r="E50" s="41"/>
      <c r="F50" s="44"/>
    </row>
    <row r="51" spans="1:6" ht="15" customHeight="1">
      <c r="A51" s="27"/>
      <c r="B51" s="1"/>
      <c r="C51" s="44"/>
      <c r="D51" s="27"/>
      <c r="E51" s="41"/>
      <c r="F51" s="44"/>
    </row>
    <row r="52" spans="1:6" ht="15" customHeight="1">
      <c r="A52" s="27"/>
      <c r="B52" s="1"/>
      <c r="C52" s="44"/>
      <c r="D52" s="27"/>
      <c r="E52" s="41"/>
      <c r="F52" s="44"/>
    </row>
    <row r="53" spans="1:6" ht="15" customHeight="1">
      <c r="A53" s="27"/>
      <c r="B53" s="1"/>
      <c r="C53" s="44"/>
      <c r="D53" s="27"/>
      <c r="E53" s="41"/>
      <c r="F53" s="44"/>
    </row>
    <row r="54" spans="1:6" ht="15" customHeight="1">
      <c r="A54" s="27"/>
      <c r="B54" s="1"/>
      <c r="C54" s="44"/>
      <c r="D54" s="27"/>
      <c r="E54" s="41"/>
      <c r="F54" s="44"/>
    </row>
    <row r="55" spans="1:6" ht="15" customHeight="1">
      <c r="A55" s="27"/>
      <c r="B55" s="1"/>
      <c r="C55" s="44"/>
      <c r="D55" s="27"/>
      <c r="E55" s="41"/>
      <c r="F55" s="44"/>
    </row>
    <row r="56" spans="1:6" ht="15" customHeight="1">
      <c r="A56" s="27"/>
      <c r="B56" s="1"/>
      <c r="C56" s="44"/>
      <c r="D56" s="27"/>
      <c r="E56" s="41"/>
      <c r="F56" s="44"/>
    </row>
    <row r="57" spans="1:6" ht="15" customHeight="1">
      <c r="A57" s="27"/>
      <c r="B57" s="1"/>
      <c r="C57" s="44"/>
      <c r="D57" s="27"/>
      <c r="E57" s="41"/>
      <c r="F57" s="44"/>
    </row>
    <row r="58" spans="1:6" ht="15" customHeight="1">
      <c r="A58" s="27"/>
      <c r="B58" s="1"/>
      <c r="C58" s="44"/>
      <c r="D58" s="27"/>
      <c r="E58" s="41"/>
      <c r="F58" s="44"/>
    </row>
    <row r="59" spans="1:6" ht="15" customHeight="1">
      <c r="A59" s="27"/>
      <c r="B59" s="1"/>
      <c r="C59" s="44"/>
      <c r="D59" s="27"/>
      <c r="E59" s="41"/>
      <c r="F59" s="44"/>
    </row>
    <row r="60" spans="1:6" ht="15" customHeight="1">
      <c r="A60" s="27"/>
      <c r="B60" s="1"/>
      <c r="C60" s="44"/>
      <c r="D60" s="27"/>
      <c r="E60" s="41"/>
      <c r="F60" s="44"/>
    </row>
    <row r="61" spans="1:6" ht="15" customHeight="1">
      <c r="A61" s="27"/>
      <c r="B61" s="1"/>
      <c r="C61" s="44"/>
      <c r="D61" s="27"/>
      <c r="E61" s="41"/>
      <c r="F61" s="44"/>
    </row>
    <row r="62" spans="1:6" ht="15" customHeight="1">
      <c r="A62" s="27"/>
      <c r="B62" s="1"/>
      <c r="C62" s="44"/>
      <c r="D62" s="27"/>
      <c r="E62" s="41"/>
      <c r="F62" s="44"/>
    </row>
    <row r="63" spans="1:6" ht="15" customHeight="1">
      <c r="A63" s="27"/>
      <c r="B63" s="1"/>
      <c r="C63" s="44"/>
      <c r="D63" s="27"/>
      <c r="E63" s="41"/>
      <c r="F63" s="44"/>
    </row>
    <row r="64" spans="1:6" ht="15" customHeight="1">
      <c r="A64" s="27"/>
      <c r="B64" s="1"/>
      <c r="C64" s="44"/>
      <c r="D64" s="27"/>
      <c r="E64" s="41"/>
      <c r="F64" s="44"/>
    </row>
    <row r="65" spans="1:6">
      <c r="A65" s="27"/>
      <c r="B65" s="1"/>
      <c r="C65" s="44"/>
      <c r="D65" s="27"/>
      <c r="E65" s="41"/>
      <c r="F65" s="44"/>
    </row>
    <row r="66" spans="1:6">
      <c r="A66" s="28"/>
    </row>
    <row r="67" spans="1:6">
      <c r="A67" s="28"/>
    </row>
    <row r="68" spans="1:6">
      <c r="A68" s="28"/>
    </row>
    <row r="69" spans="1:6">
      <c r="A69" s="28"/>
    </row>
    <row r="70" spans="1:6">
      <c r="A70" s="28"/>
    </row>
  </sheetData>
  <sheetProtection algorithmName="SHA-512" hashValue="1N7G/SMy8PSgCPyMCfisTOs0btdZEA4YEua/omvaeygGVPqlE2ZscDRnn6cy38XHWc+UC52D6mUnc66kVIDO4w==" saltValue="b4VjXR6nAV9B+rAeQaNKIQ==" spinCount="100000" sheet="1" objects="1" scenarios="1" sort="0" autoFilter="0"/>
  <mergeCells count="4">
    <mergeCell ref="A1:G2"/>
    <mergeCell ref="B28:F28"/>
    <mergeCell ref="F3:G3"/>
    <mergeCell ref="B30:F30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M1012"/>
  <sheetViews>
    <sheetView zoomScaleNormal="100" workbookViewId="0">
      <pane ySplit="4" topLeftCell="A5" activePane="bottomLeft" state="frozen"/>
      <selection activeCell="C4" sqref="C4"/>
      <selection pane="bottomLeft" activeCell="K7" sqref="K7:N7"/>
    </sheetView>
  </sheetViews>
  <sheetFormatPr defaultColWidth="8.81640625" defaultRowHeight="15.5" outlineLevelRow="1" outlineLevelCol="1"/>
  <cols>
    <col min="1" max="1" width="11.26953125" style="912" hidden="1" customWidth="1" outlineLevel="1"/>
    <col min="2" max="2" width="13.1796875" style="912" hidden="1" customWidth="1" collapsed="1"/>
    <col min="3" max="3" width="9.26953125" style="912" bestFit="1" customWidth="1"/>
    <col min="4" max="4" width="13.1796875" style="864" bestFit="1" customWidth="1"/>
    <col min="5" max="5" width="28.7265625" style="865" bestFit="1" customWidth="1"/>
    <col min="6" max="6" width="8.54296875" style="865" bestFit="1" customWidth="1"/>
    <col min="7" max="8" width="10.453125" style="864" bestFit="1" customWidth="1"/>
    <col min="9" max="9" width="16" style="864" customWidth="1" outlineLevel="1"/>
    <col min="10" max="10" width="10.54296875" style="864" customWidth="1" outlineLevel="1"/>
    <col min="11" max="11" width="11.1796875" style="864" customWidth="1" outlineLevel="1"/>
    <col min="12" max="12" width="11.81640625" style="864" customWidth="1" outlineLevel="1"/>
    <col min="13" max="13" width="10.1796875" style="864" customWidth="1" outlineLevel="1"/>
    <col min="14" max="14" width="10.7265625" style="864" customWidth="1" outlineLevel="1"/>
    <col min="15" max="15" width="10" style="864" customWidth="1" outlineLevel="1"/>
    <col min="16" max="16" width="11.26953125" style="864" customWidth="1" outlineLevel="1"/>
    <col min="17" max="17" width="11.81640625" style="864" customWidth="1" outlineLevel="1"/>
    <col min="18" max="18" width="10" style="864" customWidth="1" outlineLevel="1"/>
    <col min="19" max="19" width="10.1796875" style="864" customWidth="1" outlineLevel="1"/>
    <col min="20" max="20" width="10" style="864" customWidth="1" outlineLevel="1"/>
    <col min="21" max="21" width="11.81640625" style="864" customWidth="1" outlineLevel="1"/>
    <col min="22" max="23" width="10" style="864" customWidth="1" outlineLevel="1"/>
    <col min="24" max="24" width="10" style="913" bestFit="1" customWidth="1"/>
    <col min="25" max="25" width="10.7265625" style="913" bestFit="1" customWidth="1"/>
    <col min="26" max="27" width="10" style="864" hidden="1" customWidth="1" outlineLevel="1"/>
    <col min="28" max="28" width="10.7265625" style="864" hidden="1" customWidth="1" outlineLevel="1"/>
    <col min="29" max="29" width="10.453125" style="864" hidden="1" customWidth="1" outlineLevel="1"/>
    <col min="30" max="30" width="11.453125" style="864" hidden="1" customWidth="1" outlineLevel="1"/>
    <col min="31" max="33" width="10.453125" style="864" hidden="1" customWidth="1" outlineLevel="1"/>
    <col min="34" max="34" width="12.1796875" style="864" hidden="1" customWidth="1" outlineLevel="1"/>
    <col min="35" max="35" width="10.453125" style="864" hidden="1" customWidth="1" outlineLevel="1"/>
    <col min="36" max="36" width="10.7265625" style="864" hidden="1" customWidth="1" outlineLevel="1"/>
    <col min="37" max="37" width="10.54296875" style="864" hidden="1" customWidth="1" outlineLevel="1"/>
    <col min="38" max="38" width="6.26953125" style="864" hidden="1" customWidth="1" outlineLevel="1"/>
    <col min="39" max="39" width="6.26953125" style="865" customWidth="1" collapsed="1"/>
    <col min="40" max="40" width="6.26953125" style="865" customWidth="1"/>
    <col min="41" max="43" width="10.7265625" style="865" customWidth="1"/>
    <col min="44" max="16384" width="8.81640625" style="865"/>
  </cols>
  <sheetData>
    <row r="1" spans="1:38" ht="125.25" customHeight="1" thickBot="1">
      <c r="A1" s="1138"/>
      <c r="B1" s="1138"/>
      <c r="C1" s="862"/>
      <c r="D1" s="1138"/>
      <c r="E1" s="1138"/>
      <c r="F1" s="1138"/>
      <c r="G1" s="862"/>
      <c r="H1" s="862"/>
      <c r="I1" s="863"/>
      <c r="X1" s="864"/>
      <c r="Y1" s="864"/>
      <c r="AL1" s="865"/>
    </row>
    <row r="2" spans="1:38" ht="25" thickBot="1">
      <c r="A2" s="1138"/>
      <c r="B2" s="1138"/>
      <c r="C2" s="1132">
        <f>Tournaments!F3</f>
        <v>46113</v>
      </c>
      <c r="D2" s="1133"/>
      <c r="E2" s="1133"/>
      <c r="F2" s="1134"/>
      <c r="G2" s="996"/>
      <c r="H2" s="997"/>
      <c r="I2" s="998"/>
      <c r="J2" s="999"/>
      <c r="K2" s="1153">
        <v>2026</v>
      </c>
      <c r="L2" s="1154"/>
      <c r="M2" s="1154"/>
      <c r="N2" s="1155"/>
      <c r="O2" s="1149">
        <v>2025</v>
      </c>
      <c r="P2" s="1150"/>
      <c r="Q2" s="1150"/>
      <c r="R2" s="1150"/>
      <c r="S2" s="1150"/>
      <c r="T2" s="1150"/>
      <c r="U2" s="1150"/>
      <c r="V2" s="1150"/>
      <c r="W2" s="1150"/>
      <c r="X2" s="1150"/>
      <c r="Y2" s="1150"/>
      <c r="Z2" s="1150"/>
      <c r="AA2" s="1150"/>
      <c r="AB2" s="1151"/>
      <c r="AC2" s="1141">
        <v>2024</v>
      </c>
      <c r="AD2" s="1142"/>
      <c r="AE2" s="1142"/>
      <c r="AF2" s="1142"/>
      <c r="AG2" s="1142"/>
      <c r="AH2" s="1142"/>
      <c r="AI2" s="1142"/>
      <c r="AJ2" s="1142"/>
      <c r="AK2" s="1143"/>
      <c r="AL2" s="865"/>
    </row>
    <row r="3" spans="1:38" ht="25" thickBot="1">
      <c r="A3" s="867" t="s">
        <v>4722</v>
      </c>
      <c r="B3" s="867"/>
      <c r="C3" s="1135" t="s">
        <v>5494</v>
      </c>
      <c r="D3" s="1136"/>
      <c r="E3" s="1136"/>
      <c r="F3" s="1137"/>
      <c r="G3" s="1000"/>
      <c r="H3" s="1001"/>
      <c r="I3" s="1001"/>
      <c r="J3" s="1002"/>
      <c r="K3" s="980" t="s">
        <v>3453</v>
      </c>
      <c r="L3" s="952" t="s">
        <v>2406</v>
      </c>
      <c r="M3" s="868"/>
      <c r="N3" s="868" t="s">
        <v>1914</v>
      </c>
      <c r="O3" s="1147" t="s">
        <v>2406</v>
      </c>
      <c r="P3" s="1147"/>
      <c r="Q3" s="1147"/>
      <c r="R3" s="1147"/>
      <c r="S3" s="1148"/>
      <c r="T3" s="1152" t="s">
        <v>251</v>
      </c>
      <c r="U3" s="1148"/>
      <c r="V3" s="870" t="s">
        <v>248</v>
      </c>
      <c r="W3" s="869" t="s">
        <v>3452</v>
      </c>
      <c r="X3" s="1149" t="s">
        <v>3453</v>
      </c>
      <c r="Y3" s="1150"/>
      <c r="Z3" s="1151"/>
      <c r="AA3" s="866" t="s">
        <v>4658</v>
      </c>
      <c r="AB3" s="871" t="s">
        <v>1914</v>
      </c>
      <c r="AC3" s="1139" t="s">
        <v>2406</v>
      </c>
      <c r="AD3" s="1140"/>
      <c r="AE3" s="1139" t="s">
        <v>1914</v>
      </c>
      <c r="AF3" s="1140"/>
      <c r="AG3" s="872" t="s">
        <v>3452</v>
      </c>
      <c r="AH3" s="1144" t="s">
        <v>3453</v>
      </c>
      <c r="AI3" s="1145"/>
      <c r="AJ3" s="1145"/>
      <c r="AK3" s="1146"/>
      <c r="AL3" s="865"/>
    </row>
    <row r="4" spans="1:38" ht="73" outlineLevel="1" thickBot="1">
      <c r="A4" s="873" t="s">
        <v>3751</v>
      </c>
      <c r="B4" s="874" t="s">
        <v>3874</v>
      </c>
      <c r="C4" s="875" t="s">
        <v>80</v>
      </c>
      <c r="D4" s="875" t="s">
        <v>113</v>
      </c>
      <c r="E4" s="861" t="s">
        <v>3076</v>
      </c>
      <c r="F4" s="876" t="s">
        <v>3455</v>
      </c>
      <c r="G4" s="995" t="s">
        <v>4930</v>
      </c>
      <c r="H4" s="995" t="s">
        <v>6139</v>
      </c>
      <c r="I4" s="995" t="s">
        <v>219</v>
      </c>
      <c r="J4" s="877" t="s">
        <v>220</v>
      </c>
      <c r="K4" s="924" t="s">
        <v>6209</v>
      </c>
      <c r="L4" s="875" t="s">
        <v>6155</v>
      </c>
      <c r="M4" s="875" t="s">
        <v>6154</v>
      </c>
      <c r="N4" s="875" t="s">
        <v>6140</v>
      </c>
      <c r="O4" s="875" t="s">
        <v>4932</v>
      </c>
      <c r="P4" s="875" t="s">
        <v>5348</v>
      </c>
      <c r="Q4" s="875" t="s">
        <v>5656</v>
      </c>
      <c r="R4" s="875" t="s">
        <v>5699</v>
      </c>
      <c r="S4" s="875" t="s">
        <v>4995</v>
      </c>
      <c r="T4" s="875" t="s">
        <v>5628</v>
      </c>
      <c r="U4" s="875" t="s">
        <v>5214</v>
      </c>
      <c r="V4" s="875" t="s">
        <v>6129</v>
      </c>
      <c r="W4" s="875" t="s">
        <v>6075</v>
      </c>
      <c r="X4" s="875" t="s">
        <v>5493</v>
      </c>
      <c r="Y4" s="875" t="s">
        <v>5795</v>
      </c>
      <c r="Z4" s="875" t="s">
        <v>5167</v>
      </c>
      <c r="AA4" s="875" t="s">
        <v>5508</v>
      </c>
      <c r="AB4" s="875" t="s">
        <v>5764</v>
      </c>
      <c r="AC4" s="878" t="s">
        <v>4931</v>
      </c>
      <c r="AD4" s="878" t="s">
        <v>4397</v>
      </c>
      <c r="AE4" s="878" t="s">
        <v>4327</v>
      </c>
      <c r="AF4" s="878" t="s">
        <v>4329</v>
      </c>
      <c r="AG4" s="878" t="s">
        <v>4763</v>
      </c>
      <c r="AH4" s="878" t="s">
        <v>4847</v>
      </c>
      <c r="AI4" s="878" t="s">
        <v>4721</v>
      </c>
      <c r="AJ4" s="878" t="s">
        <v>4326</v>
      </c>
      <c r="AK4" s="878" t="s">
        <v>4328</v>
      </c>
      <c r="AL4" s="879"/>
    </row>
    <row r="5" spans="1:38" s="890" customFormat="1">
      <c r="A5" s="880">
        <v>1</v>
      </c>
      <c r="B5" s="881">
        <f t="shared" ref="B5:B52" si="0">+A5-C5</f>
        <v>0</v>
      </c>
      <c r="C5" s="882">
        <v>1</v>
      </c>
      <c r="D5" s="883">
        <v>1382</v>
      </c>
      <c r="E5" s="884" t="str">
        <f>IFERROR(VLOOKUP(Table2[[#This Row],[Player No]],Table10[[No]:[Province]],2,0),"")</f>
        <v>ABRAHAMS Luke</v>
      </c>
      <c r="F5" s="885" t="str">
        <f>IFERROR(VLOOKUP(Table2[[#This Row],[Player No]],Table10[[No]:[Province]],3,0),"")</f>
        <v>JTTA</v>
      </c>
      <c r="G5" s="886">
        <v>986.953125</v>
      </c>
      <c r="H5" s="886">
        <f>(Table2[[#This Row],[Points 2025]]/2)+SUM(Table2[[#This Row],[O1  ADMIN 2026]:[P2    CAPE TOWN OPEN 2026 ]])</f>
        <v>493.4765625</v>
      </c>
      <c r="I5" s="880">
        <f t="shared" ref="I5:I68" si="1">COUNTIF(K5:N5,"&gt;0")</f>
        <v>0</v>
      </c>
      <c r="J5" s="882">
        <f>COUNTIF(L5:N5,"&lt;0")</f>
        <v>0</v>
      </c>
      <c r="K5" s="887" t="s">
        <v>6083</v>
      </c>
      <c r="L5" s="887" t="s">
        <v>6083</v>
      </c>
      <c r="M5" s="887" t="s">
        <v>6083</v>
      </c>
      <c r="N5" s="887"/>
      <c r="O5" s="882">
        <v>150</v>
      </c>
      <c r="P5" s="882"/>
      <c r="Q5" s="888"/>
      <c r="R5" s="888"/>
      <c r="S5" s="882"/>
      <c r="T5" s="888">
        <v>100</v>
      </c>
      <c r="U5" s="882"/>
      <c r="V5" s="887"/>
      <c r="W5" s="888">
        <v>250</v>
      </c>
      <c r="X5" s="882">
        <v>17.5</v>
      </c>
      <c r="Y5" s="888">
        <v>50</v>
      </c>
      <c r="Z5" s="882">
        <v>100</v>
      </c>
      <c r="AA5" s="882"/>
      <c r="AB5" s="882"/>
      <c r="AC5" s="882"/>
      <c r="AD5" s="882"/>
      <c r="AE5" s="882"/>
      <c r="AF5" s="882"/>
      <c r="AG5" s="882">
        <v>125</v>
      </c>
      <c r="AH5" s="882"/>
      <c r="AI5" s="882">
        <v>150</v>
      </c>
      <c r="AJ5" s="882"/>
      <c r="AK5" s="882">
        <v>25</v>
      </c>
      <c r="AL5" s="889"/>
    </row>
    <row r="6" spans="1:38" s="890" customFormat="1">
      <c r="A6" s="882">
        <v>2</v>
      </c>
      <c r="B6" s="891">
        <f t="shared" si="0"/>
        <v>0</v>
      </c>
      <c r="C6" s="882">
        <f t="shared" ref="C6:C69" si="2">C5+1</f>
        <v>2</v>
      </c>
      <c r="D6" s="883">
        <v>1010</v>
      </c>
      <c r="E6" s="884" t="str">
        <f>IFERROR(VLOOKUP(Table2[[#This Row],[Player No]],Table10[[No]:[Province]],2,0),"")</f>
        <v xml:space="preserve">NATHOO Chetan </v>
      </c>
      <c r="F6" s="885" t="str">
        <f>IFERROR(VLOOKUP(Table2[[#This Row],[Player No]],Table10[[No]:[Province]],3,0),"")</f>
        <v>JTTA</v>
      </c>
      <c r="G6" s="892">
        <v>649.70703125</v>
      </c>
      <c r="H6" s="886">
        <f>(Table2[[#This Row],[Points 2025]]/2)+SUM(Table2[[#This Row],[O1  ADMIN 2026]:[P2    CAPE TOWN OPEN 2026 ]])</f>
        <v>349.853515625</v>
      </c>
      <c r="I6" s="880">
        <f t="shared" si="1"/>
        <v>1</v>
      </c>
      <c r="J6" s="882">
        <f>COUNTIF(O6:AK6,"&lt;0")</f>
        <v>0</v>
      </c>
      <c r="K6" s="887">
        <v>25</v>
      </c>
      <c r="L6" s="887" t="s">
        <v>6083</v>
      </c>
      <c r="M6" s="887" t="s">
        <v>6083</v>
      </c>
      <c r="N6" s="887"/>
      <c r="O6" s="882">
        <v>75</v>
      </c>
      <c r="P6" s="882"/>
      <c r="Q6" s="888"/>
      <c r="R6" s="888"/>
      <c r="S6" s="882"/>
      <c r="T6" s="888">
        <v>50</v>
      </c>
      <c r="U6" s="882"/>
      <c r="V6" s="887"/>
      <c r="W6" s="888">
        <v>75</v>
      </c>
      <c r="X6" s="882"/>
      <c r="Y6" s="888">
        <v>35</v>
      </c>
      <c r="Z6" s="882">
        <v>75</v>
      </c>
      <c r="AA6" s="882">
        <v>25</v>
      </c>
      <c r="AB6" s="882"/>
      <c r="AC6" s="882"/>
      <c r="AD6" s="882"/>
      <c r="AE6" s="882"/>
      <c r="AF6" s="882"/>
      <c r="AG6" s="882">
        <v>250</v>
      </c>
      <c r="AH6" s="882">
        <v>35</v>
      </c>
      <c r="AI6" s="882">
        <v>50</v>
      </c>
      <c r="AJ6" s="882">
        <v>75</v>
      </c>
      <c r="AK6" s="882">
        <v>35</v>
      </c>
      <c r="AL6" s="889"/>
    </row>
    <row r="7" spans="1:38" s="890" customFormat="1">
      <c r="A7" s="882">
        <v>6</v>
      </c>
      <c r="B7" s="891">
        <f t="shared" si="0"/>
        <v>3</v>
      </c>
      <c r="C7" s="882">
        <f t="shared" si="2"/>
        <v>3</v>
      </c>
      <c r="D7" s="883">
        <v>1004</v>
      </c>
      <c r="E7" s="884" t="str">
        <f>IFERROR(VLOOKUP(Table2[[#This Row],[Player No]],Table10[[No]:[Province]],2,0),"")</f>
        <v xml:space="preserve">MATHOLE Terrance </v>
      </c>
      <c r="F7" s="885" t="str">
        <f>IFERROR(VLOOKUP(Table2[[#This Row],[Player No]],Table10[[No]:[Province]],3,0),"")</f>
        <v>JTTA</v>
      </c>
      <c r="G7" s="892">
        <v>556.201171875</v>
      </c>
      <c r="H7" s="886">
        <f>(Table2[[#This Row],[Points 2025]]/2)+SUM(Table2[[#This Row],[O1  ADMIN 2026]:[P2    CAPE TOWN OPEN 2026 ]])</f>
        <v>328.1005859375</v>
      </c>
      <c r="I7" s="880">
        <f>COUNTIF(K7:N7,"&gt;0")</f>
        <v>1</v>
      </c>
      <c r="J7" s="882">
        <f>COUNTIF(O7:AK7,"&lt;0")</f>
        <v>0</v>
      </c>
      <c r="K7" s="887">
        <v>50</v>
      </c>
      <c r="L7" s="887" t="s">
        <v>6083</v>
      </c>
      <c r="M7" s="887" t="s">
        <v>6083</v>
      </c>
      <c r="N7" s="887"/>
      <c r="O7" s="882"/>
      <c r="P7" s="882"/>
      <c r="Q7" s="888"/>
      <c r="R7" s="888"/>
      <c r="S7" s="882"/>
      <c r="T7" s="888">
        <v>75</v>
      </c>
      <c r="U7" s="882"/>
      <c r="V7" s="887"/>
      <c r="W7" s="888">
        <v>125</v>
      </c>
      <c r="X7" s="882">
        <f>15/2</f>
        <v>7.5</v>
      </c>
      <c r="Y7" s="888">
        <v>75</v>
      </c>
      <c r="Z7" s="882">
        <v>25</v>
      </c>
      <c r="AA7" s="882"/>
      <c r="AB7" s="882"/>
      <c r="AC7" s="882"/>
      <c r="AD7" s="882"/>
      <c r="AE7" s="882"/>
      <c r="AF7" s="882"/>
      <c r="AG7" s="882">
        <v>175</v>
      </c>
      <c r="AH7" s="882">
        <v>50</v>
      </c>
      <c r="AI7" s="882">
        <v>100</v>
      </c>
      <c r="AJ7" s="882">
        <v>100</v>
      </c>
      <c r="AK7" s="882">
        <v>50</v>
      </c>
      <c r="AL7" s="889"/>
    </row>
    <row r="8" spans="1:38" s="890" customFormat="1">
      <c r="A8" s="882">
        <v>38</v>
      </c>
      <c r="B8" s="891">
        <f t="shared" si="0"/>
        <v>34</v>
      </c>
      <c r="C8" s="882">
        <f t="shared" si="2"/>
        <v>4</v>
      </c>
      <c r="D8" s="883">
        <v>1621</v>
      </c>
      <c r="E8" s="884" t="str">
        <f>IFERROR(VLOOKUP(Table2[[#This Row],[Player No]],Table10[[No]:[Province]],2,0),"")</f>
        <v xml:space="preserve">BEUKES Liam </v>
      </c>
      <c r="F8" s="885" t="str">
        <f>IFERROR(VLOOKUP(Table2[[#This Row],[Player No]],Table10[[No]:[Province]],3,0),"")</f>
        <v>JTTA</v>
      </c>
      <c r="G8" s="892">
        <v>573</v>
      </c>
      <c r="H8" s="886">
        <f>(Table2[[#This Row],[Points 2025]]/2)+SUM(Table2[[#This Row],[O1  ADMIN 2026]:[P2    CAPE TOWN OPEN 2026 ]])</f>
        <v>286.5</v>
      </c>
      <c r="I8" s="880">
        <f t="shared" si="1"/>
        <v>0</v>
      </c>
      <c r="J8" s="882">
        <f>COUNTIF(O8:AK8,"&lt;0")</f>
        <v>0</v>
      </c>
      <c r="K8" s="887" t="s">
        <v>6083</v>
      </c>
      <c r="L8" s="887" t="s">
        <v>6083</v>
      </c>
      <c r="M8" s="887" t="s">
        <v>6083</v>
      </c>
      <c r="N8" s="887"/>
      <c r="O8" s="882">
        <v>100</v>
      </c>
      <c r="P8" s="882"/>
      <c r="Q8" s="888"/>
      <c r="R8" s="888"/>
      <c r="S8" s="882"/>
      <c r="T8" s="888">
        <v>50</v>
      </c>
      <c r="U8" s="882"/>
      <c r="V8" s="887">
        <v>100</v>
      </c>
      <c r="W8" s="888">
        <v>75</v>
      </c>
      <c r="X8" s="882">
        <v>25</v>
      </c>
      <c r="Y8" s="888">
        <v>35</v>
      </c>
      <c r="Z8" s="882">
        <v>50</v>
      </c>
      <c r="AA8" s="882"/>
      <c r="AB8" s="882"/>
      <c r="AC8" s="882"/>
      <c r="AD8" s="882"/>
      <c r="AE8" s="882">
        <v>25</v>
      </c>
      <c r="AF8" s="882">
        <f>50-50</f>
        <v>0</v>
      </c>
      <c r="AG8" s="882">
        <v>125</v>
      </c>
      <c r="AH8" s="882"/>
      <c r="AI8" s="882">
        <v>75</v>
      </c>
      <c r="AJ8" s="882"/>
      <c r="AK8" s="882"/>
      <c r="AL8" s="889"/>
    </row>
    <row r="9" spans="1:38" s="890" customFormat="1">
      <c r="A9" s="882">
        <v>13</v>
      </c>
      <c r="B9" s="891">
        <f t="shared" si="0"/>
        <v>8</v>
      </c>
      <c r="C9" s="882">
        <f t="shared" si="2"/>
        <v>5</v>
      </c>
      <c r="D9" s="883">
        <v>1005</v>
      </c>
      <c r="E9" s="884" t="str">
        <f>IFERROR(VLOOKUP(Table2[[#This Row],[Player No]],Table10[[No]:[Province]],2,0),"")</f>
        <v xml:space="preserve">COGILL Theo </v>
      </c>
      <c r="F9" s="885" t="str">
        <f>IFERROR(VLOOKUP(Table2[[#This Row],[Player No]],Table10[[No]:[Province]],3,0),"")</f>
        <v>CT</v>
      </c>
      <c r="G9" s="892">
        <v>377.919921875</v>
      </c>
      <c r="H9" s="886">
        <f>(Table2[[#This Row],[Points 2025]]/2)+SUM(Table2[[#This Row],[O1  ADMIN 2026]:[P2    CAPE TOWN OPEN 2026 ]])</f>
        <v>248.9599609375</v>
      </c>
      <c r="I9" s="880">
        <f t="shared" si="1"/>
        <v>2</v>
      </c>
      <c r="J9" s="882">
        <f>COUNTIF(O9:AK9,"&lt;0")</f>
        <v>1</v>
      </c>
      <c r="K9" s="887" t="s">
        <v>6083</v>
      </c>
      <c r="L9" s="887">
        <v>50</v>
      </c>
      <c r="M9" s="887">
        <v>10</v>
      </c>
      <c r="N9" s="887"/>
      <c r="O9" s="882"/>
      <c r="P9" s="882"/>
      <c r="Q9" s="888"/>
      <c r="R9" s="888"/>
      <c r="S9" s="882"/>
      <c r="T9" s="888"/>
      <c r="U9" s="882"/>
      <c r="V9" s="887"/>
      <c r="W9" s="888">
        <v>125</v>
      </c>
      <c r="X9" s="882"/>
      <c r="Y9" s="888"/>
      <c r="Z9" s="882"/>
      <c r="AA9" s="882"/>
      <c r="AB9" s="882">
        <v>150</v>
      </c>
      <c r="AC9" s="882"/>
      <c r="AD9" s="882"/>
      <c r="AE9" s="882">
        <v>75</v>
      </c>
      <c r="AF9" s="882"/>
      <c r="AG9" s="882">
        <v>-50</v>
      </c>
      <c r="AH9" s="882"/>
      <c r="AI9" s="882">
        <v>75</v>
      </c>
      <c r="AJ9" s="882"/>
      <c r="AK9" s="882"/>
      <c r="AL9" s="889"/>
    </row>
    <row r="10" spans="1:38" s="890" customFormat="1">
      <c r="A10" s="882">
        <v>4</v>
      </c>
      <c r="B10" s="891">
        <f t="shared" si="0"/>
        <v>-2</v>
      </c>
      <c r="C10" s="882">
        <f t="shared" si="2"/>
        <v>6</v>
      </c>
      <c r="D10" s="883">
        <v>1001</v>
      </c>
      <c r="E10" s="884" t="str">
        <f>IFERROR(VLOOKUP(Table2[[#This Row],[Player No]],Table10[[No]:[Province]],2,0),"")</f>
        <v xml:space="preserve">OVERMEYER Shane </v>
      </c>
      <c r="F10" s="885" t="str">
        <f>IFERROR(VLOOKUP(Table2[[#This Row],[Player No]],Table10[[No]:[Province]],3,0),"")</f>
        <v>CT</v>
      </c>
      <c r="G10" s="892">
        <v>435.109375</v>
      </c>
      <c r="H10" s="886">
        <f>(Table2[[#This Row],[Points 2025]]/2)+SUM(Table2[[#This Row],[O1  ADMIN 2026]:[P2    CAPE TOWN OPEN 2026 ]])</f>
        <v>217.5546875</v>
      </c>
      <c r="I10" s="880">
        <f t="shared" si="1"/>
        <v>0</v>
      </c>
      <c r="J10" s="882">
        <f>COUNTIF(O10:AB10,"&lt;0")</f>
        <v>0</v>
      </c>
      <c r="K10" s="887" t="s">
        <v>6083</v>
      </c>
      <c r="L10" s="887" t="s">
        <v>6083</v>
      </c>
      <c r="M10" s="887" t="s">
        <v>6083</v>
      </c>
      <c r="N10" s="887"/>
      <c r="O10" s="882"/>
      <c r="P10" s="882"/>
      <c r="Q10" s="888"/>
      <c r="R10" s="888"/>
      <c r="S10" s="882"/>
      <c r="T10" s="888"/>
      <c r="U10" s="882"/>
      <c r="V10" s="887"/>
      <c r="W10" s="888">
        <v>175</v>
      </c>
      <c r="X10" s="882"/>
      <c r="Y10" s="888"/>
      <c r="Z10" s="882">
        <v>50</v>
      </c>
      <c r="AA10" s="882"/>
      <c r="AB10" s="882"/>
      <c r="AC10" s="882"/>
      <c r="AD10" s="882"/>
      <c r="AE10" s="882">
        <v>100</v>
      </c>
      <c r="AF10" s="882">
        <v>150</v>
      </c>
      <c r="AG10" s="882">
        <v>-50</v>
      </c>
      <c r="AH10" s="882"/>
      <c r="AI10" s="882">
        <f>15-15</f>
        <v>0</v>
      </c>
      <c r="AJ10" s="882"/>
      <c r="AK10" s="882"/>
      <c r="AL10" s="889"/>
    </row>
    <row r="11" spans="1:38" s="890" customFormat="1">
      <c r="A11" s="882">
        <v>7</v>
      </c>
      <c r="B11" s="891">
        <f t="shared" si="0"/>
        <v>0</v>
      </c>
      <c r="C11" s="882">
        <f t="shared" si="2"/>
        <v>7</v>
      </c>
      <c r="D11" s="883">
        <v>1129</v>
      </c>
      <c r="E11" s="884" t="str">
        <f>IFERROR(VLOOKUP(Table2[[#This Row],[Player No]],Table10[[No]:[Province]],2,0),"")</f>
        <v xml:space="preserve">JAIMANGAL Yashil </v>
      </c>
      <c r="F11" s="885" t="str">
        <f>IFERROR(VLOOKUP(Table2[[#This Row],[Player No]],Table10[[No]:[Province]],3,0),"")</f>
        <v>ETTA</v>
      </c>
      <c r="G11" s="892">
        <v>268.1640625</v>
      </c>
      <c r="H11" s="886">
        <f>(Table2[[#This Row],[Points 2025]]/2)+SUM(Table2[[#This Row],[O1  ADMIN 2026]:[P2    CAPE TOWN OPEN 2026 ]])</f>
        <v>184.08203125</v>
      </c>
      <c r="I11" s="880">
        <f t="shared" si="1"/>
        <v>2</v>
      </c>
      <c r="J11" s="882">
        <f>COUNTIF(O11:AB11,"&lt;0")</f>
        <v>0</v>
      </c>
      <c r="K11" s="887" t="s">
        <v>6083</v>
      </c>
      <c r="L11" s="887">
        <v>35</v>
      </c>
      <c r="M11" s="887">
        <v>15</v>
      </c>
      <c r="N11" s="887"/>
      <c r="O11" s="882">
        <v>75</v>
      </c>
      <c r="P11" s="882">
        <v>15</v>
      </c>
      <c r="Q11" s="888">
        <v>25</v>
      </c>
      <c r="R11" s="888">
        <v>15</v>
      </c>
      <c r="S11" s="882"/>
      <c r="T11" s="888"/>
      <c r="U11" s="882"/>
      <c r="V11" s="887"/>
      <c r="W11" s="888">
        <v>25</v>
      </c>
      <c r="X11" s="882"/>
      <c r="Y11" s="888"/>
      <c r="Z11" s="882">
        <v>5</v>
      </c>
      <c r="AA11" s="882"/>
      <c r="AB11" s="882"/>
      <c r="AC11" s="882">
        <v>75</v>
      </c>
      <c r="AD11" s="882">
        <v>35</v>
      </c>
      <c r="AE11" s="882"/>
      <c r="AF11" s="882"/>
      <c r="AG11" s="882">
        <v>50</v>
      </c>
      <c r="AH11" s="882"/>
      <c r="AI11" s="882"/>
      <c r="AJ11" s="882"/>
      <c r="AK11" s="882"/>
      <c r="AL11" s="889"/>
    </row>
    <row r="12" spans="1:38" s="890" customFormat="1">
      <c r="A12" s="882">
        <v>30</v>
      </c>
      <c r="B12" s="891">
        <f t="shared" si="0"/>
        <v>22</v>
      </c>
      <c r="C12" s="882">
        <f t="shared" si="2"/>
        <v>8</v>
      </c>
      <c r="D12" s="883">
        <v>1604</v>
      </c>
      <c r="E12" s="884" t="str">
        <f>IFERROR(VLOOKUP(Table2[[#This Row],[Player No]],Table10[[No]:[Province]],2,0),"")</f>
        <v xml:space="preserve">LODEWYK Cowen </v>
      </c>
      <c r="F12" s="885" t="str">
        <f>IFERROR(VLOOKUP(Table2[[#This Row],[Player No]],Table10[[No]:[Province]],3,0),"")</f>
        <v>JTTA</v>
      </c>
      <c r="G12" s="892">
        <v>357.046875</v>
      </c>
      <c r="H12" s="886">
        <f>(Table2[[#This Row],[Points 2025]]/2)+SUM(Table2[[#This Row],[O1  ADMIN 2026]:[P2    CAPE TOWN OPEN 2026 ]])</f>
        <v>178.5234375</v>
      </c>
      <c r="I12" s="880">
        <f t="shared" si="1"/>
        <v>0</v>
      </c>
      <c r="J12" s="882">
        <f t="shared" ref="J12:J75" si="3">COUNTIF(O12:AK12,"&lt;0")</f>
        <v>0</v>
      </c>
      <c r="K12" s="887" t="s">
        <v>6083</v>
      </c>
      <c r="L12" s="887" t="s">
        <v>6083</v>
      </c>
      <c r="M12" s="887" t="s">
        <v>6083</v>
      </c>
      <c r="N12" s="887"/>
      <c r="O12" s="882">
        <v>50</v>
      </c>
      <c r="P12" s="882"/>
      <c r="Q12" s="888"/>
      <c r="R12" s="888"/>
      <c r="S12" s="882"/>
      <c r="T12" s="888">
        <v>15</v>
      </c>
      <c r="U12" s="882"/>
      <c r="V12" s="887">
        <v>150</v>
      </c>
      <c r="W12" s="888">
        <v>25</v>
      </c>
      <c r="X12" s="882">
        <v>12.5</v>
      </c>
      <c r="Y12" s="888"/>
      <c r="Z12" s="882">
        <v>15</v>
      </c>
      <c r="AA12" s="882"/>
      <c r="AB12" s="882"/>
      <c r="AC12" s="882"/>
      <c r="AD12" s="882"/>
      <c r="AE12" s="882">
        <v>15</v>
      </c>
      <c r="AF12" s="882">
        <v>75</v>
      </c>
      <c r="AG12" s="882">
        <v>25</v>
      </c>
      <c r="AH12" s="882"/>
      <c r="AI12" s="882">
        <f>25-25</f>
        <v>0</v>
      </c>
      <c r="AJ12" s="882"/>
      <c r="AK12" s="882"/>
      <c r="AL12" s="889"/>
    </row>
    <row r="13" spans="1:38" s="890" customFormat="1">
      <c r="A13" s="882">
        <v>5</v>
      </c>
      <c r="B13" s="891">
        <f t="shared" si="0"/>
        <v>-4</v>
      </c>
      <c r="C13" s="882">
        <f t="shared" si="2"/>
        <v>9</v>
      </c>
      <c r="D13" s="883">
        <v>2561</v>
      </c>
      <c r="E13" s="884" t="str">
        <f>IFERROR(VLOOKUP(Table2[[#This Row],[Player No]],Table10[[No]:[Province]],2,0),"")</f>
        <v>SCHOLTZ Ruan</v>
      </c>
      <c r="F13" s="885" t="str">
        <f>IFERROR(VLOOKUP(Table2[[#This Row],[Player No]],Table10[[No]:[Province]],3,0),"")</f>
        <v>GN</v>
      </c>
      <c r="G13" s="892">
        <v>304</v>
      </c>
      <c r="H13" s="886">
        <f>(Table2[[#This Row],[Points 2025]]/2)+SUM(Table2[[#This Row],[O1  ADMIN 2026]:[P2    CAPE TOWN OPEN 2026 ]])</f>
        <v>177</v>
      </c>
      <c r="I13" s="880">
        <f t="shared" si="1"/>
        <v>1</v>
      </c>
      <c r="J13" s="882">
        <f t="shared" si="3"/>
        <v>0</v>
      </c>
      <c r="K13" s="887">
        <v>25</v>
      </c>
      <c r="L13" s="887" t="s">
        <v>6083</v>
      </c>
      <c r="M13" s="887" t="s">
        <v>6083</v>
      </c>
      <c r="N13" s="887"/>
      <c r="O13" s="882">
        <v>25</v>
      </c>
      <c r="P13" s="882"/>
      <c r="Q13" s="888"/>
      <c r="R13" s="888"/>
      <c r="S13" s="882"/>
      <c r="T13" s="888">
        <v>25</v>
      </c>
      <c r="U13" s="882"/>
      <c r="V13" s="887">
        <v>75</v>
      </c>
      <c r="W13" s="888">
        <v>50</v>
      </c>
      <c r="X13" s="882">
        <v>12.5</v>
      </c>
      <c r="Y13" s="888">
        <v>0</v>
      </c>
      <c r="Z13" s="882">
        <v>15</v>
      </c>
      <c r="AA13" s="882"/>
      <c r="AB13" s="882"/>
      <c r="AC13" s="882">
        <v>150</v>
      </c>
      <c r="AD13" s="882">
        <v>10</v>
      </c>
      <c r="AE13" s="882"/>
      <c r="AF13" s="882"/>
      <c r="AG13" s="882"/>
      <c r="AH13" s="882">
        <v>25</v>
      </c>
      <c r="AI13" s="882">
        <f>5-5</f>
        <v>0</v>
      </c>
      <c r="AJ13" s="882">
        <v>5</v>
      </c>
      <c r="AK13" s="882"/>
      <c r="AL13" s="889"/>
    </row>
    <row r="14" spans="1:38" s="890" customFormat="1">
      <c r="A14" s="882">
        <v>10</v>
      </c>
      <c r="B14" s="891">
        <f t="shared" si="0"/>
        <v>0</v>
      </c>
      <c r="C14" s="882">
        <f t="shared" si="2"/>
        <v>10</v>
      </c>
      <c r="D14" s="883">
        <v>1065</v>
      </c>
      <c r="E14" s="884" t="str">
        <f>IFERROR(VLOOKUP(Table2[[#This Row],[Player No]],Table10[[No]:[Province]],2,0),"")</f>
        <v xml:space="preserve">NAIDOO Preshen </v>
      </c>
      <c r="F14" s="885" t="str">
        <f>IFERROR(VLOOKUP(Table2[[#This Row],[Player No]],Table10[[No]:[Province]],3,0),"")</f>
        <v>UMG</v>
      </c>
      <c r="G14" s="892">
        <v>236.291015625</v>
      </c>
      <c r="H14" s="886">
        <f>(Table2[[#This Row],[Points 2025]]/2)+SUM(Table2[[#This Row],[O1  ADMIN 2026]:[P2    CAPE TOWN OPEN 2026 ]])</f>
        <v>158.1455078125</v>
      </c>
      <c r="I14" s="880">
        <f t="shared" si="1"/>
        <v>2</v>
      </c>
      <c r="J14" s="882">
        <f t="shared" si="3"/>
        <v>0</v>
      </c>
      <c r="K14" s="887" t="s">
        <v>6083</v>
      </c>
      <c r="L14" s="887">
        <v>25</v>
      </c>
      <c r="M14" s="887">
        <v>15</v>
      </c>
      <c r="N14" s="887"/>
      <c r="O14" s="882">
        <v>50</v>
      </c>
      <c r="P14" s="882">
        <v>15</v>
      </c>
      <c r="Q14" s="888">
        <v>15</v>
      </c>
      <c r="R14" s="888">
        <v>25</v>
      </c>
      <c r="S14" s="882">
        <v>35</v>
      </c>
      <c r="T14" s="888"/>
      <c r="U14" s="882"/>
      <c r="V14" s="887"/>
      <c r="W14" s="888">
        <v>25</v>
      </c>
      <c r="X14" s="882"/>
      <c r="Y14" s="888"/>
      <c r="Z14" s="882"/>
      <c r="AA14" s="882"/>
      <c r="AB14" s="882"/>
      <c r="AC14" s="882">
        <v>75</v>
      </c>
      <c r="AD14" s="882">
        <v>25</v>
      </c>
      <c r="AE14" s="882"/>
      <c r="AF14" s="882"/>
      <c r="AG14" s="882">
        <v>10</v>
      </c>
      <c r="AH14" s="882"/>
      <c r="AI14" s="882">
        <f>5-5</f>
        <v>0</v>
      </c>
      <c r="AJ14" s="882"/>
      <c r="AK14" s="882"/>
      <c r="AL14" s="889"/>
    </row>
    <row r="15" spans="1:38" s="890" customFormat="1">
      <c r="A15" s="882">
        <v>28</v>
      </c>
      <c r="B15" s="891">
        <f t="shared" si="0"/>
        <v>17</v>
      </c>
      <c r="C15" s="882">
        <f t="shared" si="2"/>
        <v>11</v>
      </c>
      <c r="D15" s="883">
        <v>1353</v>
      </c>
      <c r="E15" s="884" t="str">
        <f>IFERROR(VLOOKUP(Table2[[#This Row],[Player No]],Table10[[No]:[Province]],2,0),"")</f>
        <v xml:space="preserve">NAIDOO Brady </v>
      </c>
      <c r="F15" s="885" t="str">
        <f>IFERROR(VLOOKUP(Table2[[#This Row],[Player No]],Table10[[No]:[Province]],3,0),"")</f>
        <v>ETTA</v>
      </c>
      <c r="G15" s="892">
        <v>249.90625</v>
      </c>
      <c r="H15" s="886">
        <f>(Table2[[#This Row],[Points 2025]]/2)+SUM(Table2[[#This Row],[O1  ADMIN 2026]:[P2    CAPE TOWN OPEN 2026 ]])</f>
        <v>151.953125</v>
      </c>
      <c r="I15" s="880">
        <f t="shared" si="1"/>
        <v>2</v>
      </c>
      <c r="J15" s="882">
        <f t="shared" si="3"/>
        <v>0</v>
      </c>
      <c r="K15" s="887" t="s">
        <v>6083</v>
      </c>
      <c r="L15" s="887">
        <v>25</v>
      </c>
      <c r="M15" s="887">
        <v>2</v>
      </c>
      <c r="N15" s="887"/>
      <c r="O15" s="882">
        <v>50</v>
      </c>
      <c r="P15" s="882">
        <v>10</v>
      </c>
      <c r="Q15" s="888">
        <v>25</v>
      </c>
      <c r="R15" s="888">
        <v>75</v>
      </c>
      <c r="S15" s="882">
        <v>1</v>
      </c>
      <c r="T15" s="888"/>
      <c r="U15" s="882"/>
      <c r="V15" s="887"/>
      <c r="W15" s="888">
        <v>50</v>
      </c>
      <c r="X15" s="882"/>
      <c r="Y15" s="888"/>
      <c r="Z15" s="882"/>
      <c r="AA15" s="882"/>
      <c r="AB15" s="882"/>
      <c r="AC15" s="882">
        <v>50</v>
      </c>
      <c r="AD15" s="882">
        <v>10</v>
      </c>
      <c r="AE15" s="882"/>
      <c r="AF15" s="882"/>
      <c r="AG15" s="882">
        <v>10</v>
      </c>
      <c r="AH15" s="882"/>
      <c r="AI15" s="882"/>
      <c r="AJ15" s="882"/>
      <c r="AK15" s="882"/>
      <c r="AL15" s="889"/>
    </row>
    <row r="16" spans="1:38" s="890" customFormat="1">
      <c r="A16" s="882">
        <v>113</v>
      </c>
      <c r="B16" s="891">
        <f t="shared" si="0"/>
        <v>101</v>
      </c>
      <c r="C16" s="882">
        <f t="shared" si="2"/>
        <v>12</v>
      </c>
      <c r="D16" s="883">
        <v>1435</v>
      </c>
      <c r="E16" s="884" t="str">
        <f>IFERROR(VLOOKUP(Table2[[#This Row],[Player No]],Table10[[No]:[Province]],2,0),"")</f>
        <v xml:space="preserve">NGCOBO Luyanda </v>
      </c>
      <c r="F16" s="885" t="str">
        <f>IFERROR(VLOOKUP(Table2[[#This Row],[Player No]],Table10[[No]:[Province]],3,0),"")</f>
        <v>UMG</v>
      </c>
      <c r="G16" s="892">
        <v>182.5</v>
      </c>
      <c r="H16" s="886">
        <f>(Table2[[#This Row],[Points 2025]]/2)+SUM(Table2[[#This Row],[O1  ADMIN 2026]:[P2    CAPE TOWN OPEN 2026 ]])</f>
        <v>146.25</v>
      </c>
      <c r="I16" s="880">
        <f t="shared" si="1"/>
        <v>3</v>
      </c>
      <c r="J16" s="882">
        <f t="shared" si="3"/>
        <v>0</v>
      </c>
      <c r="K16" s="887">
        <v>15</v>
      </c>
      <c r="L16" s="887">
        <v>15</v>
      </c>
      <c r="M16" s="887">
        <v>25</v>
      </c>
      <c r="N16" s="887"/>
      <c r="O16" s="882">
        <v>25</v>
      </c>
      <c r="P16" s="882">
        <v>15</v>
      </c>
      <c r="Q16" s="888">
        <v>15</v>
      </c>
      <c r="R16" s="888">
        <v>5</v>
      </c>
      <c r="S16" s="882">
        <v>25</v>
      </c>
      <c r="T16" s="888"/>
      <c r="U16" s="882"/>
      <c r="V16" s="887">
        <v>25</v>
      </c>
      <c r="W16" s="888">
        <v>25</v>
      </c>
      <c r="X16" s="882"/>
      <c r="Y16" s="888"/>
      <c r="Z16" s="882">
        <v>15</v>
      </c>
      <c r="AA16" s="882">
        <v>0</v>
      </c>
      <c r="AB16" s="882"/>
      <c r="AC16" s="882"/>
      <c r="AD16" s="882">
        <v>10</v>
      </c>
      <c r="AE16" s="882"/>
      <c r="AF16" s="882"/>
      <c r="AG16" s="882">
        <v>50</v>
      </c>
      <c r="AH16" s="882"/>
      <c r="AI16" s="882"/>
      <c r="AJ16" s="882"/>
      <c r="AK16" s="882"/>
      <c r="AL16" s="889"/>
    </row>
    <row r="17" spans="1:38" s="890" customFormat="1">
      <c r="A17" s="882">
        <v>11</v>
      </c>
      <c r="B17" s="891">
        <f t="shared" si="0"/>
        <v>-2</v>
      </c>
      <c r="C17" s="882">
        <f t="shared" si="2"/>
        <v>13</v>
      </c>
      <c r="D17" s="883">
        <v>1002</v>
      </c>
      <c r="E17" s="884" t="str">
        <f>IFERROR(VLOOKUP(Table2[[#This Row],[Player No]],Table10[[No]:[Province]],2,0),"")</f>
        <v xml:space="preserve">LINGEVELDT Kurt </v>
      </c>
      <c r="F17" s="885" t="str">
        <f>IFERROR(VLOOKUP(Table2[[#This Row],[Player No]],Table10[[No]:[Province]],3,0),"")</f>
        <v>UMG</v>
      </c>
      <c r="G17" s="892">
        <v>251.021484375</v>
      </c>
      <c r="H17" s="886">
        <f>(Table2[[#This Row],[Points 2025]]/2)+SUM(Table2[[#This Row],[O1  ADMIN 2026]:[P2    CAPE TOWN OPEN 2026 ]])</f>
        <v>127.5107421875</v>
      </c>
      <c r="I17" s="880">
        <f t="shared" si="1"/>
        <v>1</v>
      </c>
      <c r="J17" s="882">
        <f t="shared" si="3"/>
        <v>1</v>
      </c>
      <c r="K17" s="887" t="s">
        <v>6083</v>
      </c>
      <c r="L17" s="887" t="s">
        <v>6083</v>
      </c>
      <c r="M17" s="887">
        <v>2</v>
      </c>
      <c r="N17" s="887"/>
      <c r="O17" s="882">
        <v>50</v>
      </c>
      <c r="P17" s="882">
        <v>35</v>
      </c>
      <c r="Q17" s="888"/>
      <c r="R17" s="888"/>
      <c r="S17" s="882">
        <v>50</v>
      </c>
      <c r="T17" s="888"/>
      <c r="U17" s="882"/>
      <c r="V17" s="887"/>
      <c r="W17" s="888">
        <v>75</v>
      </c>
      <c r="X17" s="882"/>
      <c r="Y17" s="888"/>
      <c r="Z17" s="882"/>
      <c r="AA17" s="882"/>
      <c r="AB17" s="882"/>
      <c r="AC17" s="882"/>
      <c r="AD17" s="882">
        <v>50</v>
      </c>
      <c r="AE17" s="882"/>
      <c r="AF17" s="882"/>
      <c r="AG17" s="882">
        <v>-50</v>
      </c>
      <c r="AH17" s="882"/>
      <c r="AI17" s="882"/>
      <c r="AJ17" s="882"/>
      <c r="AK17" s="882"/>
      <c r="AL17" s="889"/>
    </row>
    <row r="18" spans="1:38" s="890" customFormat="1">
      <c r="A18" s="882">
        <v>178</v>
      </c>
      <c r="B18" s="891">
        <f t="shared" si="0"/>
        <v>164</v>
      </c>
      <c r="C18" s="882">
        <f t="shared" si="2"/>
        <v>14</v>
      </c>
      <c r="D18" s="883">
        <v>1221</v>
      </c>
      <c r="E18" s="884" t="str">
        <f>IFERROR(VLOOKUP(Table2[[#This Row],[Player No]],Table10[[No]:[Province]],2,0),"")</f>
        <v xml:space="preserve">NAIDOO Yukail </v>
      </c>
      <c r="F18" s="885" t="str">
        <f>IFERROR(VLOOKUP(Table2[[#This Row],[Player No]],Table10[[No]:[Province]],3,0),"")</f>
        <v>ETTA</v>
      </c>
      <c r="G18" s="892">
        <v>223.26171875</v>
      </c>
      <c r="H18" s="886">
        <f>(Table2[[#This Row],[Points 2025]]/2)+SUM(Table2[[#This Row],[O1  ADMIN 2026]:[P2    CAPE TOWN OPEN 2026 ]])</f>
        <v>126.630859375</v>
      </c>
      <c r="I18" s="880">
        <f t="shared" si="1"/>
        <v>1</v>
      </c>
      <c r="J18" s="882">
        <f t="shared" si="3"/>
        <v>0</v>
      </c>
      <c r="K18" s="887" t="s">
        <v>6083</v>
      </c>
      <c r="L18" s="887">
        <v>15</v>
      </c>
      <c r="M18" s="887" t="s">
        <v>6083</v>
      </c>
      <c r="N18" s="887"/>
      <c r="O18" s="882"/>
      <c r="P18" s="882"/>
      <c r="Q18" s="888">
        <v>50</v>
      </c>
      <c r="R18" s="888">
        <v>100</v>
      </c>
      <c r="S18" s="882"/>
      <c r="T18" s="888"/>
      <c r="U18" s="882"/>
      <c r="V18" s="887"/>
      <c r="W18" s="888">
        <v>50</v>
      </c>
      <c r="X18" s="882"/>
      <c r="Y18" s="888">
        <v>20</v>
      </c>
      <c r="Z18" s="882"/>
      <c r="AA18" s="882"/>
      <c r="AB18" s="882"/>
      <c r="AC18" s="882"/>
      <c r="AD18" s="882"/>
      <c r="AE18" s="882"/>
      <c r="AF18" s="882"/>
      <c r="AG18" s="882"/>
      <c r="AH18" s="882"/>
      <c r="AI18" s="882"/>
      <c r="AJ18" s="882"/>
      <c r="AK18" s="882"/>
      <c r="AL18" s="889"/>
    </row>
    <row r="19" spans="1:38" s="890" customFormat="1">
      <c r="A19" s="882">
        <v>9</v>
      </c>
      <c r="B19" s="891">
        <f t="shared" si="0"/>
        <v>-6</v>
      </c>
      <c r="C19" s="882">
        <f t="shared" si="2"/>
        <v>15</v>
      </c>
      <c r="D19" s="883">
        <v>2531</v>
      </c>
      <c r="E19" s="884" t="str">
        <f>IFERROR(VLOOKUP(Table2[[#This Row],[Player No]],Table10[[No]:[Province]],2,0),"")</f>
        <v>SAPIRE Tevia</v>
      </c>
      <c r="F19" s="885" t="str">
        <f>IFERROR(VLOOKUP(Table2[[#This Row],[Player No]],Table10[[No]:[Province]],3,0),"")</f>
        <v>JTTA</v>
      </c>
      <c r="G19" s="892">
        <v>240.625</v>
      </c>
      <c r="H19" s="886">
        <f>(Table2[[#This Row],[Points 2025]]/2)+SUM(Table2[[#This Row],[O1  ADMIN 2026]:[P2    CAPE TOWN OPEN 2026 ]])</f>
        <v>120.3125</v>
      </c>
      <c r="I19" s="880">
        <f t="shared" si="1"/>
        <v>0</v>
      </c>
      <c r="J19" s="882">
        <f t="shared" si="3"/>
        <v>0</v>
      </c>
      <c r="K19" s="887" t="s">
        <v>6083</v>
      </c>
      <c r="L19" s="887" t="s">
        <v>6083</v>
      </c>
      <c r="M19" s="887"/>
      <c r="N19" s="887"/>
      <c r="O19" s="882"/>
      <c r="P19" s="882"/>
      <c r="Q19" s="888"/>
      <c r="R19" s="888"/>
      <c r="S19" s="882"/>
      <c r="T19" s="888"/>
      <c r="U19" s="882"/>
      <c r="V19" s="887"/>
      <c r="W19" s="888">
        <v>50</v>
      </c>
      <c r="X19" s="882"/>
      <c r="Y19" s="888">
        <v>20</v>
      </c>
      <c r="Z19" s="882">
        <v>15</v>
      </c>
      <c r="AA19" s="882"/>
      <c r="AB19" s="882"/>
      <c r="AC19" s="882"/>
      <c r="AD19" s="882"/>
      <c r="AE19" s="882"/>
      <c r="AF19" s="882"/>
      <c r="AG19" s="882">
        <v>75</v>
      </c>
      <c r="AH19" s="882"/>
      <c r="AI19" s="882">
        <v>50</v>
      </c>
      <c r="AJ19" s="882">
        <v>50</v>
      </c>
      <c r="AK19" s="882"/>
      <c r="AL19" s="889"/>
    </row>
    <row r="20" spans="1:38" s="890" customFormat="1">
      <c r="A20" s="882">
        <v>22</v>
      </c>
      <c r="B20" s="891">
        <f t="shared" si="0"/>
        <v>6</v>
      </c>
      <c r="C20" s="882">
        <f t="shared" si="2"/>
        <v>16</v>
      </c>
      <c r="D20" s="883">
        <v>1615</v>
      </c>
      <c r="E20" s="884" t="str">
        <f>IFERROR(VLOOKUP(Table2[[#This Row],[Player No]],Table10[[No]:[Province]],2,0),"")</f>
        <v>GALANT Jodie</v>
      </c>
      <c r="F20" s="885" t="str">
        <f>IFERROR(VLOOKUP(Table2[[#This Row],[Player No]],Table10[[No]:[Province]],3,0),"")</f>
        <v>CT</v>
      </c>
      <c r="G20" s="892">
        <v>225.796875</v>
      </c>
      <c r="H20" s="886">
        <f>(Table2[[#This Row],[Points 2025]]/2)+SUM(Table2[[#This Row],[O1  ADMIN 2026]:[P2    CAPE TOWN OPEN 2026 ]])</f>
        <v>112.8984375</v>
      </c>
      <c r="I20" s="880">
        <f t="shared" si="1"/>
        <v>0</v>
      </c>
      <c r="J20" s="882">
        <f t="shared" si="3"/>
        <v>0</v>
      </c>
      <c r="K20" s="887" t="s">
        <v>6083</v>
      </c>
      <c r="L20" s="887" t="s">
        <v>6083</v>
      </c>
      <c r="M20" s="887" t="s">
        <v>6083</v>
      </c>
      <c r="N20" s="887"/>
      <c r="O20" s="882"/>
      <c r="P20" s="882"/>
      <c r="Q20" s="888"/>
      <c r="R20" s="888"/>
      <c r="S20" s="882"/>
      <c r="T20" s="888">
        <v>25</v>
      </c>
      <c r="U20" s="882"/>
      <c r="V20" s="887"/>
      <c r="W20" s="888">
        <v>50</v>
      </c>
      <c r="X20" s="882"/>
      <c r="Y20" s="888"/>
      <c r="Z20" s="882"/>
      <c r="AA20" s="882"/>
      <c r="AB20" s="882">
        <v>75</v>
      </c>
      <c r="AC20" s="882"/>
      <c r="AD20" s="882"/>
      <c r="AE20" s="882">
        <v>15</v>
      </c>
      <c r="AF20" s="882">
        <v>50</v>
      </c>
      <c r="AG20" s="882">
        <v>10</v>
      </c>
      <c r="AH20" s="882"/>
      <c r="AI20" s="882"/>
      <c r="AJ20" s="882"/>
      <c r="AK20" s="882"/>
      <c r="AL20" s="889"/>
    </row>
    <row r="21" spans="1:38" s="890" customFormat="1">
      <c r="A21" s="882">
        <v>82</v>
      </c>
      <c r="B21" s="891">
        <f t="shared" si="0"/>
        <v>65</v>
      </c>
      <c r="C21" s="882">
        <f t="shared" si="2"/>
        <v>17</v>
      </c>
      <c r="D21" s="883">
        <v>1629</v>
      </c>
      <c r="E21" s="884" t="str">
        <f>IFERROR(VLOOKUP(Table2[[#This Row],[Player No]],Table10[[No]:[Province]],2,0),"")</f>
        <v xml:space="preserve">LODEWYK Cuten </v>
      </c>
      <c r="F21" s="885" t="str">
        <f>IFERROR(VLOOKUP(Table2[[#This Row],[Player No]],Table10[[No]:[Province]],3,0),"")</f>
        <v>CT</v>
      </c>
      <c r="G21" s="892">
        <v>225.03125</v>
      </c>
      <c r="H21" s="886">
        <f>(Table2[[#This Row],[Points 2025]]/2)+SUM(Table2[[#This Row],[O1  ADMIN 2026]:[P2    CAPE TOWN OPEN 2026 ]])</f>
        <v>112.515625</v>
      </c>
      <c r="I21" s="880">
        <f t="shared" si="1"/>
        <v>0</v>
      </c>
      <c r="J21" s="882">
        <f t="shared" si="3"/>
        <v>0</v>
      </c>
      <c r="K21" s="887" t="s">
        <v>6083</v>
      </c>
      <c r="L21" s="887" t="s">
        <v>6083</v>
      </c>
      <c r="M21" s="887" t="s">
        <v>6083</v>
      </c>
      <c r="N21" s="887"/>
      <c r="O21" s="882"/>
      <c r="P21" s="882"/>
      <c r="Q21" s="888"/>
      <c r="R21" s="888"/>
      <c r="S21" s="882"/>
      <c r="T21" s="888"/>
      <c r="U21" s="882"/>
      <c r="V21" s="887"/>
      <c r="W21" s="888">
        <v>75</v>
      </c>
      <c r="X21" s="882"/>
      <c r="Y21" s="888"/>
      <c r="Z21" s="882">
        <v>15</v>
      </c>
      <c r="AA21" s="882"/>
      <c r="AB21" s="882">
        <v>75</v>
      </c>
      <c r="AC21" s="882"/>
      <c r="AD21" s="882"/>
      <c r="AE21" s="882">
        <v>25</v>
      </c>
      <c r="AF21" s="882"/>
      <c r="AG21" s="882">
        <v>25</v>
      </c>
      <c r="AH21" s="882"/>
      <c r="AI21" s="882">
        <v>50</v>
      </c>
      <c r="AJ21" s="882"/>
      <c r="AK21" s="882"/>
      <c r="AL21" s="889"/>
    </row>
    <row r="22" spans="1:38" s="890" customFormat="1">
      <c r="A22" s="882">
        <v>67</v>
      </c>
      <c r="B22" s="891">
        <f t="shared" si="0"/>
        <v>49</v>
      </c>
      <c r="C22" s="882">
        <f t="shared" si="2"/>
        <v>18</v>
      </c>
      <c r="D22" s="883">
        <v>3384</v>
      </c>
      <c r="E22" s="884" t="str">
        <f>IFERROR(VLOOKUP(Table2[[#This Row],[Player No]],Table10[[No]:[Province]],2,0),"")</f>
        <v>SITHOLE Siphelele</v>
      </c>
      <c r="F22" s="885" t="str">
        <f>IFERROR(VLOOKUP(Table2[[#This Row],[Player No]],Table10[[No]:[Province]],3,0),"")</f>
        <v>ETTA</v>
      </c>
      <c r="G22" s="892">
        <v>120</v>
      </c>
      <c r="H22" s="886">
        <f>(Table2[[#This Row],[Points 2025]]/2)+SUM(Table2[[#This Row],[O1  ADMIN 2026]:[P2    CAPE TOWN OPEN 2026 ]])</f>
        <v>110</v>
      </c>
      <c r="I22" s="880">
        <f t="shared" si="1"/>
        <v>1</v>
      </c>
      <c r="J22" s="882">
        <f t="shared" si="3"/>
        <v>0</v>
      </c>
      <c r="K22" s="887" t="s">
        <v>6083</v>
      </c>
      <c r="L22" s="887" t="s">
        <v>6083</v>
      </c>
      <c r="M22" s="887">
        <v>50</v>
      </c>
      <c r="N22" s="887"/>
      <c r="O22" s="882">
        <v>15</v>
      </c>
      <c r="P22" s="882"/>
      <c r="Q22" s="888">
        <v>10</v>
      </c>
      <c r="R22" s="888">
        <v>50</v>
      </c>
      <c r="S22" s="882">
        <v>25</v>
      </c>
      <c r="T22" s="888"/>
      <c r="U22" s="882"/>
      <c r="V22" s="887"/>
      <c r="W22" s="888">
        <v>25</v>
      </c>
      <c r="X22" s="882"/>
      <c r="Y22" s="888"/>
      <c r="Z22" s="882"/>
      <c r="AA22" s="882"/>
      <c r="AB22" s="882"/>
      <c r="AC22" s="882">
        <v>25</v>
      </c>
      <c r="AD22" s="882"/>
      <c r="AE22" s="882"/>
      <c r="AF22" s="882"/>
      <c r="AG22" s="882"/>
      <c r="AH22" s="882"/>
      <c r="AI22" s="882"/>
      <c r="AJ22" s="882"/>
      <c r="AK22" s="882"/>
      <c r="AL22" s="889"/>
    </row>
    <row r="23" spans="1:38" s="890" customFormat="1">
      <c r="A23" s="882">
        <v>8</v>
      </c>
      <c r="B23" s="891">
        <f t="shared" si="0"/>
        <v>-11</v>
      </c>
      <c r="C23" s="882">
        <f t="shared" si="2"/>
        <v>19</v>
      </c>
      <c r="D23" s="883">
        <v>1006</v>
      </c>
      <c r="E23" s="884" t="str">
        <f>IFERROR(VLOOKUP(Table2[[#This Row],[Player No]],Table10[[No]:[Province]],2,0),"")</f>
        <v xml:space="preserve">LINGEVELDT Theo </v>
      </c>
      <c r="F23" s="885" t="str">
        <f>IFERROR(VLOOKUP(Table2[[#This Row],[Player No]],Table10[[No]:[Province]],3,0),"")</f>
        <v>CT</v>
      </c>
      <c r="G23" s="892">
        <v>209.62890625</v>
      </c>
      <c r="H23" s="886">
        <f>(Table2[[#This Row],[Points 2025]]/2)+SUM(Table2[[#This Row],[O1  ADMIN 2026]:[P2    CAPE TOWN OPEN 2026 ]])</f>
        <v>104.814453125</v>
      </c>
      <c r="I23" s="880">
        <f t="shared" si="1"/>
        <v>0</v>
      </c>
      <c r="J23" s="882">
        <f t="shared" si="3"/>
        <v>1</v>
      </c>
      <c r="K23" s="887" t="s">
        <v>6083</v>
      </c>
      <c r="L23" s="887" t="s">
        <v>6083</v>
      </c>
      <c r="M23" s="887" t="s">
        <v>6083</v>
      </c>
      <c r="N23" s="887"/>
      <c r="O23" s="882"/>
      <c r="P23" s="882"/>
      <c r="Q23" s="888"/>
      <c r="R23" s="888"/>
      <c r="S23" s="882"/>
      <c r="T23" s="888"/>
      <c r="U23" s="882"/>
      <c r="V23" s="887"/>
      <c r="W23" s="888"/>
      <c r="X23" s="882"/>
      <c r="Y23" s="888"/>
      <c r="Z23" s="882"/>
      <c r="AA23" s="882"/>
      <c r="AB23" s="882">
        <v>100</v>
      </c>
      <c r="AC23" s="882"/>
      <c r="AD23" s="882"/>
      <c r="AE23" s="882">
        <v>50</v>
      </c>
      <c r="AF23" s="882">
        <v>75</v>
      </c>
      <c r="AG23" s="882">
        <v>-50</v>
      </c>
      <c r="AH23" s="882"/>
      <c r="AI23" s="882"/>
      <c r="AJ23" s="882"/>
      <c r="AK23" s="882"/>
      <c r="AL23" s="889"/>
    </row>
    <row r="24" spans="1:38" s="890" customFormat="1">
      <c r="A24" s="882">
        <v>75</v>
      </c>
      <c r="B24" s="891">
        <f t="shared" si="0"/>
        <v>55</v>
      </c>
      <c r="C24" s="882">
        <f t="shared" si="2"/>
        <v>20</v>
      </c>
      <c r="D24" s="883">
        <v>1372</v>
      </c>
      <c r="E24" s="884" t="str">
        <f>IFERROR(VLOOKUP(Table2[[#This Row],[Player No]],Table10[[No]:[Province]],2,0),"")</f>
        <v xml:space="preserve">MNGADI Sphamandla </v>
      </c>
      <c r="F24" s="885" t="str">
        <f>IFERROR(VLOOKUP(Table2[[#This Row],[Player No]],Table10[[No]:[Province]],3,0),"")</f>
        <v>UMG</v>
      </c>
      <c r="G24" s="892">
        <v>181.25</v>
      </c>
      <c r="H24" s="886">
        <f>(Table2[[#This Row],[Points 2025]]/2)+SUM(Table2[[#This Row],[O1  ADMIN 2026]:[P2    CAPE TOWN OPEN 2026 ]])</f>
        <v>100.625</v>
      </c>
      <c r="I24" s="880">
        <f t="shared" si="1"/>
        <v>1</v>
      </c>
      <c r="J24" s="882">
        <f t="shared" si="3"/>
        <v>0</v>
      </c>
      <c r="K24" s="887" t="s">
        <v>6083</v>
      </c>
      <c r="L24" s="887">
        <v>10</v>
      </c>
      <c r="M24" s="887" t="s">
        <v>6083</v>
      </c>
      <c r="N24" s="887"/>
      <c r="O24" s="882">
        <v>15</v>
      </c>
      <c r="P24" s="882">
        <v>25</v>
      </c>
      <c r="Q24" s="888">
        <v>10</v>
      </c>
      <c r="R24" s="888">
        <v>25</v>
      </c>
      <c r="S24" s="882">
        <v>10</v>
      </c>
      <c r="T24" s="888"/>
      <c r="U24" s="882"/>
      <c r="V24" s="887">
        <v>75</v>
      </c>
      <c r="W24" s="888">
        <v>10</v>
      </c>
      <c r="X24" s="882"/>
      <c r="Y24" s="888"/>
      <c r="Z24" s="882"/>
      <c r="AA24" s="882"/>
      <c r="AB24" s="882"/>
      <c r="AC24" s="882"/>
      <c r="AD24" s="882">
        <v>10</v>
      </c>
      <c r="AE24" s="882"/>
      <c r="AF24" s="882"/>
      <c r="AG24" s="882"/>
      <c r="AH24" s="882"/>
      <c r="AI24" s="882"/>
      <c r="AJ24" s="882"/>
      <c r="AK24" s="882"/>
      <c r="AL24" s="889"/>
    </row>
    <row r="25" spans="1:38" s="890" customFormat="1">
      <c r="A25" s="882">
        <v>25</v>
      </c>
      <c r="B25" s="891">
        <f t="shared" si="0"/>
        <v>4</v>
      </c>
      <c r="C25" s="882">
        <f t="shared" si="2"/>
        <v>21</v>
      </c>
      <c r="D25" s="883">
        <v>1350</v>
      </c>
      <c r="E25" s="884" t="str">
        <f>IFERROR(VLOOKUP(Table2[[#This Row],[Player No]],Table10[[No]:[Province]],2,0),"")</f>
        <v xml:space="preserve">VANDAYAR Leneshan </v>
      </c>
      <c r="F25" s="885" t="str">
        <f>IFERROR(VLOOKUP(Table2[[#This Row],[Player No]],Table10[[No]:[Province]],3,0),"")</f>
        <v>ETTA</v>
      </c>
      <c r="G25" s="892">
        <v>166</v>
      </c>
      <c r="H25" s="886">
        <f>(Table2[[#This Row],[Points 2025]]/2)+SUM(Table2[[#This Row],[O1  ADMIN 2026]:[P2    CAPE TOWN OPEN 2026 ]])</f>
        <v>100</v>
      </c>
      <c r="I25" s="880">
        <f t="shared" si="1"/>
        <v>2</v>
      </c>
      <c r="J25" s="882">
        <f t="shared" si="3"/>
        <v>0</v>
      </c>
      <c r="K25" s="887" t="s">
        <v>6083</v>
      </c>
      <c r="L25" s="887">
        <v>15</v>
      </c>
      <c r="M25" s="887">
        <v>2</v>
      </c>
      <c r="N25" s="887"/>
      <c r="O25" s="882">
        <v>25</v>
      </c>
      <c r="P25" s="882">
        <v>25</v>
      </c>
      <c r="Q25" s="888">
        <v>10</v>
      </c>
      <c r="R25" s="888">
        <v>50</v>
      </c>
      <c r="S25" s="882"/>
      <c r="T25" s="888"/>
      <c r="U25" s="882"/>
      <c r="V25" s="887"/>
      <c r="W25" s="888">
        <v>10</v>
      </c>
      <c r="X25" s="882"/>
      <c r="Y25" s="888"/>
      <c r="Z25" s="882"/>
      <c r="AA25" s="882"/>
      <c r="AB25" s="882"/>
      <c r="AC25" s="882">
        <v>50</v>
      </c>
      <c r="AD25" s="882">
        <v>25</v>
      </c>
      <c r="AE25" s="882"/>
      <c r="AF25" s="882"/>
      <c r="AG25" s="882">
        <v>10</v>
      </c>
      <c r="AH25" s="882"/>
      <c r="AI25" s="882"/>
      <c r="AJ25" s="882"/>
      <c r="AK25" s="882"/>
      <c r="AL25" s="889"/>
    </row>
    <row r="26" spans="1:38" s="890" customFormat="1">
      <c r="A26" s="882">
        <v>33</v>
      </c>
      <c r="B26" s="891">
        <f t="shared" si="0"/>
        <v>11</v>
      </c>
      <c r="C26" s="882">
        <f t="shared" si="2"/>
        <v>22</v>
      </c>
      <c r="D26" s="883">
        <v>1035</v>
      </c>
      <c r="E26" s="884" t="str">
        <f>IFERROR(VLOOKUP(Table2[[#This Row],[Player No]],Table10[[No]:[Province]],2,0),"")</f>
        <v xml:space="preserve">RODGERS Darren </v>
      </c>
      <c r="F26" s="885" t="str">
        <f>IFERROR(VLOOKUP(Table2[[#This Row],[Player No]],Table10[[No]:[Province]],3,0),"")</f>
        <v>CT</v>
      </c>
      <c r="G26" s="892">
        <v>179.7421875</v>
      </c>
      <c r="H26" s="886">
        <f>(Table2[[#This Row],[Points 2025]]/2)+SUM(Table2[[#This Row],[O1  ADMIN 2026]:[P2    CAPE TOWN OPEN 2026 ]])</f>
        <v>89.87109375</v>
      </c>
      <c r="I26" s="880">
        <f t="shared" si="1"/>
        <v>0</v>
      </c>
      <c r="J26" s="882">
        <f t="shared" si="3"/>
        <v>0</v>
      </c>
      <c r="K26" s="887" t="s">
        <v>6083</v>
      </c>
      <c r="L26" s="887" t="s">
        <v>6083</v>
      </c>
      <c r="M26" s="887" t="s">
        <v>6083</v>
      </c>
      <c r="N26" s="887"/>
      <c r="O26" s="882"/>
      <c r="P26" s="882"/>
      <c r="Q26" s="888"/>
      <c r="R26" s="888"/>
      <c r="S26" s="882"/>
      <c r="T26" s="888"/>
      <c r="U26" s="882"/>
      <c r="V26" s="887"/>
      <c r="W26" s="888">
        <v>50</v>
      </c>
      <c r="X26" s="882"/>
      <c r="Y26" s="888"/>
      <c r="Z26" s="882"/>
      <c r="AA26" s="882"/>
      <c r="AB26" s="882">
        <v>50</v>
      </c>
      <c r="AC26" s="882"/>
      <c r="AD26" s="882"/>
      <c r="AE26" s="882">
        <v>1</v>
      </c>
      <c r="AF26" s="882">
        <v>50</v>
      </c>
      <c r="AG26" s="882">
        <v>50</v>
      </c>
      <c r="AH26" s="882"/>
      <c r="AI26" s="882"/>
      <c r="AJ26" s="882"/>
      <c r="AK26" s="882"/>
      <c r="AL26" s="889"/>
    </row>
    <row r="27" spans="1:38" s="890" customFormat="1">
      <c r="A27" s="882">
        <v>36</v>
      </c>
      <c r="B27" s="891">
        <f t="shared" si="0"/>
        <v>13</v>
      </c>
      <c r="C27" s="882">
        <f t="shared" si="2"/>
        <v>23</v>
      </c>
      <c r="D27" s="883">
        <v>1215</v>
      </c>
      <c r="E27" s="884" t="str">
        <f>IFERROR(VLOOKUP(Table2[[#This Row],[Player No]],Table10[[No]:[Province]],2,0),"")</f>
        <v xml:space="preserve">JOOSTE Keenen </v>
      </c>
      <c r="F27" s="885" t="str">
        <f>IFERROR(VLOOKUP(Table2[[#This Row],[Player No]],Table10[[No]:[Province]],3,0),"")</f>
        <v>CT</v>
      </c>
      <c r="G27" s="892">
        <v>176.921875</v>
      </c>
      <c r="H27" s="886">
        <f>(Table2[[#This Row],[Points 2025]]/2)+SUM(Table2[[#This Row],[O1  ADMIN 2026]:[P2    CAPE TOWN OPEN 2026 ]])</f>
        <v>88.4609375</v>
      </c>
      <c r="I27" s="880">
        <f t="shared" si="1"/>
        <v>0</v>
      </c>
      <c r="J27" s="882">
        <f t="shared" si="3"/>
        <v>0</v>
      </c>
      <c r="K27" s="887" t="s">
        <v>6083</v>
      </c>
      <c r="L27" s="887" t="s">
        <v>6083</v>
      </c>
      <c r="M27" s="887" t="s">
        <v>6083</v>
      </c>
      <c r="N27" s="887"/>
      <c r="O27" s="882"/>
      <c r="P27" s="882"/>
      <c r="Q27" s="888"/>
      <c r="R27" s="888"/>
      <c r="S27" s="882"/>
      <c r="T27" s="888">
        <v>25</v>
      </c>
      <c r="U27" s="882"/>
      <c r="V27" s="887"/>
      <c r="W27" s="888">
        <v>25</v>
      </c>
      <c r="X27" s="882"/>
      <c r="Y27" s="888"/>
      <c r="Z27" s="882"/>
      <c r="AA27" s="882"/>
      <c r="AB27" s="882">
        <v>50</v>
      </c>
      <c r="AC27" s="882"/>
      <c r="AD27" s="882"/>
      <c r="AE27" s="882">
        <v>25</v>
      </c>
      <c r="AF27" s="882">
        <v>25</v>
      </c>
      <c r="AG27" s="882">
        <v>50</v>
      </c>
      <c r="AH27" s="882"/>
      <c r="AI27" s="882">
        <f>25-25</f>
        <v>0</v>
      </c>
      <c r="AJ27" s="882"/>
      <c r="AK27" s="882"/>
      <c r="AL27" s="889"/>
    </row>
    <row r="28" spans="1:38" s="890" customFormat="1">
      <c r="A28" s="882">
        <v>18</v>
      </c>
      <c r="B28" s="891">
        <f t="shared" si="0"/>
        <v>-6</v>
      </c>
      <c r="C28" s="882">
        <f t="shared" si="2"/>
        <v>24</v>
      </c>
      <c r="D28" s="883">
        <v>1024</v>
      </c>
      <c r="E28" s="884" t="str">
        <f>IFERROR(VLOOKUP(Table2[[#This Row],[Player No]],Table10[[No]:[Province]],2,0),"")</f>
        <v xml:space="preserve">STEYN Kirshwin </v>
      </c>
      <c r="F28" s="885" t="str">
        <f>IFERROR(VLOOKUP(Table2[[#This Row],[Player No]],Table10[[No]:[Province]],3,0),"")</f>
        <v>CT</v>
      </c>
      <c r="G28" s="892">
        <v>174.759765625</v>
      </c>
      <c r="H28" s="886">
        <f>(Table2[[#This Row],[Points 2025]]/2)+SUM(Table2[[#This Row],[O1  ADMIN 2026]:[P2    CAPE TOWN OPEN 2026 ]])</f>
        <v>87.3798828125</v>
      </c>
      <c r="I28" s="880">
        <f t="shared" si="1"/>
        <v>0</v>
      </c>
      <c r="J28" s="882">
        <f t="shared" si="3"/>
        <v>0</v>
      </c>
      <c r="K28" s="887" t="s">
        <v>6083</v>
      </c>
      <c r="L28" s="887" t="s">
        <v>6083</v>
      </c>
      <c r="M28" s="887" t="s">
        <v>6083</v>
      </c>
      <c r="N28" s="887"/>
      <c r="O28" s="882"/>
      <c r="P28" s="882"/>
      <c r="Q28" s="888"/>
      <c r="R28" s="888"/>
      <c r="S28" s="882"/>
      <c r="T28" s="888"/>
      <c r="U28" s="882"/>
      <c r="V28" s="887"/>
      <c r="W28" s="888">
        <v>50</v>
      </c>
      <c r="X28" s="882"/>
      <c r="Y28" s="888"/>
      <c r="Z28" s="882"/>
      <c r="AA28" s="882"/>
      <c r="AB28" s="882">
        <v>50</v>
      </c>
      <c r="AC28" s="882"/>
      <c r="AD28" s="882"/>
      <c r="AE28" s="882">
        <v>15</v>
      </c>
      <c r="AF28" s="882">
        <v>50</v>
      </c>
      <c r="AG28" s="882"/>
      <c r="AH28" s="882"/>
      <c r="AI28" s="882"/>
      <c r="AJ28" s="882"/>
      <c r="AK28" s="882"/>
      <c r="AL28" s="889"/>
    </row>
    <row r="29" spans="1:38" s="890" customFormat="1">
      <c r="A29" s="882">
        <v>12</v>
      </c>
      <c r="B29" s="891">
        <f t="shared" si="0"/>
        <v>-13</v>
      </c>
      <c r="C29" s="882">
        <f t="shared" si="2"/>
        <v>25</v>
      </c>
      <c r="D29" s="883">
        <v>1022</v>
      </c>
      <c r="E29" s="884" t="str">
        <f>IFERROR(VLOOKUP(Table2[[#This Row],[Player No]],Table10[[No]:[Province]],2,0),"")</f>
        <v xml:space="preserve">PANDAY Navish </v>
      </c>
      <c r="F29" s="885" t="str">
        <f>IFERROR(VLOOKUP(Table2[[#This Row],[Player No]],Table10[[No]:[Province]],3,0),"")</f>
        <v>ETTA</v>
      </c>
      <c r="G29" s="892">
        <v>173.201171875</v>
      </c>
      <c r="H29" s="886">
        <f>(Table2[[#This Row],[Points 2025]]/2)+SUM(Table2[[#This Row],[O1  ADMIN 2026]:[P2    CAPE TOWN OPEN 2026 ]])</f>
        <v>86.6005859375</v>
      </c>
      <c r="I29" s="880">
        <f t="shared" si="1"/>
        <v>0</v>
      </c>
      <c r="J29" s="882">
        <f t="shared" si="3"/>
        <v>0</v>
      </c>
      <c r="K29" s="887" t="s">
        <v>6083</v>
      </c>
      <c r="L29" s="887" t="s">
        <v>6083</v>
      </c>
      <c r="M29" s="887" t="s">
        <v>6083</v>
      </c>
      <c r="N29" s="887"/>
      <c r="O29" s="882">
        <v>2</v>
      </c>
      <c r="P29" s="882">
        <v>50</v>
      </c>
      <c r="Q29" s="888">
        <v>35</v>
      </c>
      <c r="R29" s="888">
        <v>0</v>
      </c>
      <c r="S29" s="882"/>
      <c r="T29" s="888"/>
      <c r="U29" s="882"/>
      <c r="V29" s="887"/>
      <c r="W29" s="888">
        <v>25</v>
      </c>
      <c r="X29" s="882"/>
      <c r="Y29" s="888"/>
      <c r="Z29" s="882"/>
      <c r="AA29" s="882"/>
      <c r="AB29" s="882"/>
      <c r="AC29" s="882">
        <v>100</v>
      </c>
      <c r="AD29" s="882"/>
      <c r="AE29" s="882"/>
      <c r="AF29" s="882"/>
      <c r="AG29" s="882"/>
      <c r="AH29" s="882"/>
      <c r="AI29" s="882"/>
      <c r="AJ29" s="882"/>
      <c r="AK29" s="882"/>
      <c r="AL29" s="889"/>
    </row>
    <row r="30" spans="1:38" s="890" customFormat="1">
      <c r="A30" s="882">
        <v>86</v>
      </c>
      <c r="B30" s="891">
        <f t="shared" si="0"/>
        <v>60</v>
      </c>
      <c r="C30" s="882">
        <f t="shared" si="2"/>
        <v>26</v>
      </c>
      <c r="D30" s="883">
        <v>3448</v>
      </c>
      <c r="E30" s="884" t="str">
        <f>IFERROR(VLOOKUP(Table2[[#This Row],[Player No]],Table10[[No]:[Province]],2,0),"")</f>
        <v>ROYAPPEN Tayden</v>
      </c>
      <c r="F30" s="885" t="str">
        <f>IFERROR(VLOOKUP(Table2[[#This Row],[Player No]],Table10[[No]:[Province]],3,0),"")</f>
        <v>UMG</v>
      </c>
      <c r="G30" s="892">
        <v>101.75</v>
      </c>
      <c r="H30" s="886">
        <f>(Table2[[#This Row],[Points 2025]]/2)+SUM(Table2[[#This Row],[O1  ADMIN 2026]:[P2    CAPE TOWN OPEN 2026 ]])</f>
        <v>85.875</v>
      </c>
      <c r="I30" s="880">
        <f t="shared" si="1"/>
        <v>2</v>
      </c>
      <c r="J30" s="882">
        <f t="shared" si="3"/>
        <v>0</v>
      </c>
      <c r="K30" s="887" t="s">
        <v>6083</v>
      </c>
      <c r="L30" s="887">
        <v>10</v>
      </c>
      <c r="M30" s="887">
        <v>25</v>
      </c>
      <c r="N30" s="887"/>
      <c r="O30" s="882">
        <v>25</v>
      </c>
      <c r="P30" s="882">
        <v>10</v>
      </c>
      <c r="Q30" s="888">
        <v>10</v>
      </c>
      <c r="R30" s="888">
        <v>25</v>
      </c>
      <c r="S30" s="882">
        <v>10</v>
      </c>
      <c r="T30" s="888"/>
      <c r="U30" s="882"/>
      <c r="V30" s="887"/>
      <c r="W30" s="888">
        <v>10</v>
      </c>
      <c r="X30" s="882"/>
      <c r="Y30" s="888"/>
      <c r="Z30" s="882"/>
      <c r="AA30" s="882"/>
      <c r="AB30" s="882"/>
      <c r="AC30" s="882">
        <v>15</v>
      </c>
      <c r="AD30" s="882">
        <v>2</v>
      </c>
      <c r="AE30" s="882"/>
      <c r="AF30" s="882"/>
      <c r="AG30" s="882">
        <v>5</v>
      </c>
      <c r="AH30" s="882"/>
      <c r="AI30" s="882"/>
      <c r="AJ30" s="882">
        <v>1</v>
      </c>
      <c r="AK30" s="882"/>
      <c r="AL30" s="889"/>
    </row>
    <row r="31" spans="1:38" s="890" customFormat="1">
      <c r="A31" s="882">
        <v>3</v>
      </c>
      <c r="B31" s="891">
        <f t="shared" si="0"/>
        <v>-24</v>
      </c>
      <c r="C31" s="882">
        <f t="shared" si="2"/>
        <v>27</v>
      </c>
      <c r="D31" s="883">
        <v>1020</v>
      </c>
      <c r="E31" s="884" t="str">
        <f>IFERROR(VLOOKUP(Table2[[#This Row],[Player No]],Table10[[No]:[Province]],2,0),"")</f>
        <v xml:space="preserve">JONES Shaun </v>
      </c>
      <c r="F31" s="885" t="str">
        <f>IFERROR(VLOOKUP(Table2[[#This Row],[Player No]],Table10[[No]:[Province]],3,0),"")</f>
        <v>CT</v>
      </c>
      <c r="G31" s="892">
        <v>163.646484375</v>
      </c>
      <c r="H31" s="886">
        <f>(Table2[[#This Row],[Points 2025]]/2)+SUM(Table2[[#This Row],[O1  ADMIN 2026]:[P2    CAPE TOWN OPEN 2026 ]])</f>
        <v>81.8232421875</v>
      </c>
      <c r="I31" s="880">
        <f t="shared" si="1"/>
        <v>0</v>
      </c>
      <c r="J31" s="882">
        <f t="shared" si="3"/>
        <v>1</v>
      </c>
      <c r="K31" s="887" t="s">
        <v>6083</v>
      </c>
      <c r="L31" s="887" t="s">
        <v>6083</v>
      </c>
      <c r="M31" s="887" t="s">
        <v>6083</v>
      </c>
      <c r="N31" s="887"/>
      <c r="O31" s="882"/>
      <c r="P31" s="882"/>
      <c r="Q31" s="888"/>
      <c r="R31" s="888"/>
      <c r="S31" s="882"/>
      <c r="T31" s="888"/>
      <c r="U31" s="882"/>
      <c r="V31" s="887"/>
      <c r="W31" s="888">
        <v>25</v>
      </c>
      <c r="X31" s="882"/>
      <c r="Y31" s="888"/>
      <c r="Z31" s="882"/>
      <c r="AA31" s="882"/>
      <c r="AB31" s="882"/>
      <c r="AC31" s="882"/>
      <c r="AD31" s="882"/>
      <c r="AE31" s="882">
        <v>50</v>
      </c>
      <c r="AF31" s="882"/>
      <c r="AG31" s="882">
        <v>-50</v>
      </c>
      <c r="AH31" s="882"/>
      <c r="AI31" s="882"/>
      <c r="AJ31" s="882"/>
      <c r="AK31" s="882"/>
      <c r="AL31" s="889"/>
    </row>
    <row r="32" spans="1:38" s="890" customFormat="1">
      <c r="A32" s="882">
        <v>43</v>
      </c>
      <c r="B32" s="891">
        <f t="shared" si="0"/>
        <v>15</v>
      </c>
      <c r="C32" s="882">
        <f t="shared" si="2"/>
        <v>28</v>
      </c>
      <c r="D32" s="883">
        <v>3264</v>
      </c>
      <c r="E32" s="884" t="str">
        <f>IFERROR(VLOOKUP(Table2[[#This Row],[Player No]],Table10[[No]:[Province]],2,0),"")</f>
        <v>GAYANDA Kavir</v>
      </c>
      <c r="F32" s="885" t="str">
        <f>IFERROR(VLOOKUP(Table2[[#This Row],[Player No]],Table10[[No]:[Province]],3,0),"")</f>
        <v>JTTA</v>
      </c>
      <c r="G32" s="892">
        <v>104.3125</v>
      </c>
      <c r="H32" s="886">
        <f>(Table2[[#This Row],[Points 2025]]/2)+SUM(Table2[[#This Row],[O1  ADMIN 2026]:[P2    CAPE TOWN OPEN 2026 ]])</f>
        <v>77.15625</v>
      </c>
      <c r="I32" s="880">
        <f t="shared" si="1"/>
        <v>2</v>
      </c>
      <c r="J32" s="882">
        <f t="shared" si="3"/>
        <v>0</v>
      </c>
      <c r="K32" s="887" t="s">
        <v>6083</v>
      </c>
      <c r="L32" s="887">
        <v>10</v>
      </c>
      <c r="M32" s="887">
        <v>15</v>
      </c>
      <c r="N32" s="887"/>
      <c r="O32" s="882">
        <v>15</v>
      </c>
      <c r="P32" s="882">
        <v>15</v>
      </c>
      <c r="Q32" s="888">
        <v>10</v>
      </c>
      <c r="R32" s="888">
        <v>25</v>
      </c>
      <c r="S32" s="882"/>
      <c r="T32" s="888"/>
      <c r="U32" s="882"/>
      <c r="V32" s="887"/>
      <c r="W32" s="888">
        <v>5</v>
      </c>
      <c r="X32" s="882"/>
      <c r="Y32" s="888"/>
      <c r="Z32" s="882"/>
      <c r="AA32" s="882"/>
      <c r="AB32" s="882"/>
      <c r="AC32" s="882">
        <v>25</v>
      </c>
      <c r="AD32" s="882">
        <v>15</v>
      </c>
      <c r="AE32" s="882"/>
      <c r="AF32" s="882"/>
      <c r="AG32" s="882">
        <v>25</v>
      </c>
      <c r="AH32" s="882"/>
      <c r="AI32" s="882"/>
      <c r="AJ32" s="882"/>
      <c r="AK32" s="882"/>
      <c r="AL32" s="889"/>
    </row>
    <row r="33" spans="1:38" s="890" customFormat="1">
      <c r="A33" s="882">
        <v>15</v>
      </c>
      <c r="B33" s="891">
        <f t="shared" si="0"/>
        <v>-14</v>
      </c>
      <c r="C33" s="882">
        <f t="shared" si="2"/>
        <v>29</v>
      </c>
      <c r="D33" s="883">
        <v>1569</v>
      </c>
      <c r="E33" s="884" t="str">
        <f>IFERROR(VLOOKUP(Table2[[#This Row],[Player No]],Table10[[No]:[Province]],2,0),"")</f>
        <v xml:space="preserve">OCTOBER Lindsay </v>
      </c>
      <c r="F33" s="885" t="str">
        <f>IFERROR(VLOOKUP(Table2[[#This Row],[Player No]],Table10[[No]:[Province]],3,0),"")</f>
        <v>CT</v>
      </c>
      <c r="G33" s="892">
        <v>151.95703125</v>
      </c>
      <c r="H33" s="886">
        <f>(Table2[[#This Row],[Points 2025]]/2)+SUM(Table2[[#This Row],[O1  ADMIN 2026]:[P2    CAPE TOWN OPEN 2026 ]])</f>
        <v>75.978515625</v>
      </c>
      <c r="I33" s="880">
        <f t="shared" si="1"/>
        <v>0</v>
      </c>
      <c r="J33" s="882">
        <f t="shared" si="3"/>
        <v>0</v>
      </c>
      <c r="K33" s="887" t="s">
        <v>6083</v>
      </c>
      <c r="L33" s="887" t="s">
        <v>6083</v>
      </c>
      <c r="M33" s="887" t="s">
        <v>6083</v>
      </c>
      <c r="N33" s="887"/>
      <c r="O33" s="882"/>
      <c r="P33" s="882"/>
      <c r="Q33" s="888"/>
      <c r="R33" s="888"/>
      <c r="S33" s="882"/>
      <c r="T33" s="888"/>
      <c r="U33" s="882"/>
      <c r="V33" s="887"/>
      <c r="W33" s="888">
        <v>25</v>
      </c>
      <c r="X33" s="882"/>
      <c r="Y33" s="888"/>
      <c r="Z33" s="882"/>
      <c r="AA33" s="882"/>
      <c r="AB33" s="882">
        <v>50</v>
      </c>
      <c r="AC33" s="882"/>
      <c r="AD33" s="882"/>
      <c r="AE33" s="882">
        <v>15</v>
      </c>
      <c r="AF33" s="882"/>
      <c r="AG33" s="882">
        <v>10</v>
      </c>
      <c r="AH33" s="882"/>
      <c r="AI33" s="882">
        <v>25</v>
      </c>
      <c r="AJ33" s="882"/>
      <c r="AK33" s="882"/>
      <c r="AL33" s="889"/>
    </row>
    <row r="34" spans="1:38" s="890" customFormat="1">
      <c r="A34" s="882">
        <v>25</v>
      </c>
      <c r="B34" s="891">
        <f t="shared" si="0"/>
        <v>-5</v>
      </c>
      <c r="C34" s="882">
        <f t="shared" si="2"/>
        <v>30</v>
      </c>
      <c r="D34" s="883">
        <v>1108</v>
      </c>
      <c r="E34" s="884" t="str">
        <f>IFERROR(VLOOKUP(Table2[[#This Row],[Player No]],Table10[[No]:[Province]],2,0),"")</f>
        <v xml:space="preserve">SINGH Nilesh </v>
      </c>
      <c r="F34" s="885" t="str">
        <f>IFERROR(VLOOKUP(Table2[[#This Row],[Player No]],Table10[[No]:[Province]],3,0),"")</f>
        <v>JTTA</v>
      </c>
      <c r="G34" s="892">
        <v>147.5625</v>
      </c>
      <c r="H34" s="886">
        <f>(Table2[[#This Row],[Points 2025]]/2)+SUM(Table2[[#This Row],[O1  ADMIN 2026]:[P2    CAPE TOWN OPEN 2026 ]])</f>
        <v>75.78125</v>
      </c>
      <c r="I34" s="880">
        <f t="shared" si="1"/>
        <v>1</v>
      </c>
      <c r="J34" s="882">
        <f t="shared" si="3"/>
        <v>0</v>
      </c>
      <c r="K34" s="887">
        <v>2</v>
      </c>
      <c r="L34" s="887" t="s">
        <v>6083</v>
      </c>
      <c r="M34" s="887" t="s">
        <v>6083</v>
      </c>
      <c r="N34" s="887"/>
      <c r="O34" s="882"/>
      <c r="P34" s="882"/>
      <c r="Q34" s="888"/>
      <c r="R34" s="888"/>
      <c r="S34" s="882"/>
      <c r="T34" s="888"/>
      <c r="U34" s="882"/>
      <c r="V34" s="887"/>
      <c r="W34" s="888">
        <v>25</v>
      </c>
      <c r="X34" s="882"/>
      <c r="Y34" s="888">
        <v>12</v>
      </c>
      <c r="Z34" s="882">
        <v>25</v>
      </c>
      <c r="AA34" s="882"/>
      <c r="AB34" s="882"/>
      <c r="AC34" s="882"/>
      <c r="AD34" s="882"/>
      <c r="AE34" s="882"/>
      <c r="AF34" s="882"/>
      <c r="AG34" s="882">
        <v>75</v>
      </c>
      <c r="AH34" s="882"/>
      <c r="AI34" s="882">
        <v>25</v>
      </c>
      <c r="AJ34" s="882">
        <v>25</v>
      </c>
      <c r="AK34" s="882">
        <v>15</v>
      </c>
      <c r="AL34" s="889"/>
    </row>
    <row r="35" spans="1:38" s="890" customFormat="1">
      <c r="A35" s="882">
        <v>235</v>
      </c>
      <c r="B35" s="891">
        <f t="shared" si="0"/>
        <v>204</v>
      </c>
      <c r="C35" s="882">
        <f t="shared" si="2"/>
        <v>31</v>
      </c>
      <c r="D35" s="883">
        <v>3427</v>
      </c>
      <c r="E35" s="884" t="str">
        <f>IFERROR(VLOOKUP(Table2[[#This Row],[Player No]],Table10[[No]:[Province]],2,0),"")</f>
        <v>REDLINGHUYS Seth</v>
      </c>
      <c r="F35" s="885" t="str">
        <f>IFERROR(VLOOKUP(Table2[[#This Row],[Player No]],Table10[[No]:[Province]],3,0),"")</f>
        <v>UMG</v>
      </c>
      <c r="G35" s="892">
        <v>44</v>
      </c>
      <c r="H35" s="886">
        <f>(Table2[[#This Row],[Points 2025]]/2)+SUM(Table2[[#This Row],[O1  ADMIN 2026]:[P2    CAPE TOWN OPEN 2026 ]])</f>
        <v>67</v>
      </c>
      <c r="I35" s="880">
        <f t="shared" si="1"/>
        <v>2</v>
      </c>
      <c r="J35" s="882">
        <f t="shared" si="3"/>
        <v>0</v>
      </c>
      <c r="K35" s="887" t="s">
        <v>6083</v>
      </c>
      <c r="L35" s="887">
        <v>10</v>
      </c>
      <c r="M35" s="887">
        <v>35</v>
      </c>
      <c r="N35" s="887"/>
      <c r="O35" s="882">
        <v>15</v>
      </c>
      <c r="P35" s="882">
        <v>10</v>
      </c>
      <c r="Q35" s="888">
        <v>2</v>
      </c>
      <c r="R35" s="888"/>
      <c r="S35" s="882">
        <v>15</v>
      </c>
      <c r="T35" s="888"/>
      <c r="U35" s="882"/>
      <c r="V35" s="887"/>
      <c r="W35" s="888"/>
      <c r="X35" s="882"/>
      <c r="Y35" s="888"/>
      <c r="Z35" s="882"/>
      <c r="AA35" s="882"/>
      <c r="AB35" s="882"/>
      <c r="AC35" s="882">
        <v>2</v>
      </c>
      <c r="AD35" s="882">
        <v>1</v>
      </c>
      <c r="AE35" s="882"/>
      <c r="AF35" s="882"/>
      <c r="AG35" s="882"/>
      <c r="AH35" s="882"/>
      <c r="AI35" s="882"/>
      <c r="AJ35" s="882"/>
      <c r="AK35" s="882"/>
      <c r="AL35" s="889"/>
    </row>
    <row r="36" spans="1:38" s="890" customFormat="1">
      <c r="A36" s="882">
        <v>80</v>
      </c>
      <c r="B36" s="891">
        <f t="shared" si="0"/>
        <v>48</v>
      </c>
      <c r="C36" s="882">
        <f t="shared" si="2"/>
        <v>32</v>
      </c>
      <c r="D36" s="883">
        <v>2648</v>
      </c>
      <c r="E36" s="884" t="str">
        <f>IFERROR(VLOOKUP(Table2[[#This Row],[Player No]],Table10[[No]:[Province]],2,0),"")</f>
        <v>ENGELBRECHT Ettienne</v>
      </c>
      <c r="F36" s="885" t="str">
        <f>IFERROR(VLOOKUP(Table2[[#This Row],[Player No]],Table10[[No]:[Province]],3,0),"")</f>
        <v>FS</v>
      </c>
      <c r="G36" s="892">
        <v>120.140625</v>
      </c>
      <c r="H36" s="886">
        <f>(Table2[[#This Row],[Points 2025]]/2)+SUM(Table2[[#This Row],[O1  ADMIN 2026]:[P2    CAPE TOWN OPEN 2026 ]])</f>
        <v>60.0703125</v>
      </c>
      <c r="I36" s="880">
        <f t="shared" si="1"/>
        <v>0</v>
      </c>
      <c r="J36" s="882">
        <f t="shared" si="3"/>
        <v>0</v>
      </c>
      <c r="K36" s="887" t="s">
        <v>6083</v>
      </c>
      <c r="L36" s="887" t="s">
        <v>6083</v>
      </c>
      <c r="M36" s="887" t="s">
        <v>6083</v>
      </c>
      <c r="N36" s="887"/>
      <c r="O36" s="882">
        <v>25</v>
      </c>
      <c r="P36" s="882"/>
      <c r="Q36" s="888"/>
      <c r="R36" s="888"/>
      <c r="S36" s="882"/>
      <c r="T36" s="888">
        <v>15</v>
      </c>
      <c r="U36" s="882">
        <v>25</v>
      </c>
      <c r="V36" s="887"/>
      <c r="W36" s="888">
        <v>25</v>
      </c>
      <c r="X36" s="882"/>
      <c r="Y36" s="888"/>
      <c r="Z36" s="882">
        <v>5</v>
      </c>
      <c r="AA36" s="882"/>
      <c r="AB36" s="882"/>
      <c r="AC36" s="882"/>
      <c r="AD36" s="882"/>
      <c r="AE36" s="882"/>
      <c r="AF36" s="882"/>
      <c r="AG36" s="882">
        <v>25</v>
      </c>
      <c r="AH36" s="882"/>
      <c r="AI36" s="882">
        <v>5</v>
      </c>
      <c r="AJ36" s="882">
        <v>15</v>
      </c>
      <c r="AK36" s="882"/>
      <c r="AL36" s="889"/>
    </row>
    <row r="37" spans="1:38" s="890" customFormat="1">
      <c r="A37" s="882">
        <v>24</v>
      </c>
      <c r="B37" s="891">
        <f t="shared" si="0"/>
        <v>-9</v>
      </c>
      <c r="C37" s="882">
        <f t="shared" si="2"/>
        <v>33</v>
      </c>
      <c r="D37" s="883">
        <v>2103</v>
      </c>
      <c r="E37" s="884" t="str">
        <f>IFERROR(VLOOKUP(Table2[[#This Row],[Player No]],Table10[[No]:[Province]],2,0),"")</f>
        <v>PILLAY Himesh</v>
      </c>
      <c r="F37" s="885" t="str">
        <f>IFERROR(VLOOKUP(Table2[[#This Row],[Player No]],Table10[[No]:[Province]],3,0),"")</f>
        <v>UMG</v>
      </c>
      <c r="G37" s="892">
        <v>93.75</v>
      </c>
      <c r="H37" s="886">
        <f>(Table2[[#This Row],[Points 2025]]/2)+SUM(Table2[[#This Row],[O1  ADMIN 2026]:[P2    CAPE TOWN OPEN 2026 ]])</f>
        <v>58.875</v>
      </c>
      <c r="I37" s="880">
        <f t="shared" si="1"/>
        <v>2</v>
      </c>
      <c r="J37" s="882">
        <f t="shared" si="3"/>
        <v>0</v>
      </c>
      <c r="K37" s="887" t="s">
        <v>6083</v>
      </c>
      <c r="L37" s="887">
        <v>2</v>
      </c>
      <c r="M37" s="887">
        <v>10</v>
      </c>
      <c r="N37" s="887"/>
      <c r="O37" s="882">
        <v>2</v>
      </c>
      <c r="P37" s="882">
        <v>10</v>
      </c>
      <c r="Q37" s="888">
        <v>15</v>
      </c>
      <c r="R37" s="888">
        <v>15</v>
      </c>
      <c r="S37" s="882">
        <v>15</v>
      </c>
      <c r="T37" s="888"/>
      <c r="U37" s="882"/>
      <c r="V37" s="887"/>
      <c r="W37" s="888"/>
      <c r="X37" s="882"/>
      <c r="Y37" s="888"/>
      <c r="Z37" s="882"/>
      <c r="AA37" s="882"/>
      <c r="AB37" s="882"/>
      <c r="AC37" s="882">
        <v>50</v>
      </c>
      <c r="AD37" s="882">
        <v>15</v>
      </c>
      <c r="AE37" s="882"/>
      <c r="AF37" s="882"/>
      <c r="AG37" s="882"/>
      <c r="AH37" s="882"/>
      <c r="AI37" s="882"/>
      <c r="AJ37" s="882"/>
      <c r="AK37" s="882"/>
      <c r="AL37" s="889"/>
    </row>
    <row r="38" spans="1:38" s="890" customFormat="1">
      <c r="A38" s="882">
        <v>29</v>
      </c>
      <c r="B38" s="891">
        <f t="shared" si="0"/>
        <v>-5</v>
      </c>
      <c r="C38" s="882">
        <f t="shared" si="2"/>
        <v>34</v>
      </c>
      <c r="D38" s="883">
        <v>1555</v>
      </c>
      <c r="E38" s="884" t="str">
        <f>IFERROR(VLOOKUP(Table2[[#This Row],[Player No]],Table10[[No]:[Province]],2,0),"")</f>
        <v xml:space="preserve">DOMINGO Wafeeq </v>
      </c>
      <c r="F38" s="885" t="str">
        <f>IFERROR(VLOOKUP(Table2[[#This Row],[Player No]],Table10[[No]:[Province]],3,0),"")</f>
        <v>CT</v>
      </c>
      <c r="G38" s="892">
        <v>109.9375</v>
      </c>
      <c r="H38" s="886">
        <f>(Table2[[#This Row],[Points 2025]]/2)+SUM(Table2[[#This Row],[O1  ADMIN 2026]:[P2    CAPE TOWN OPEN 2026 ]])</f>
        <v>54.96875</v>
      </c>
      <c r="I38" s="880">
        <f t="shared" si="1"/>
        <v>0</v>
      </c>
      <c r="J38" s="882">
        <f t="shared" si="3"/>
        <v>0</v>
      </c>
      <c r="K38" s="887" t="s">
        <v>6083</v>
      </c>
      <c r="L38" s="887" t="s">
        <v>6083</v>
      </c>
      <c r="M38" s="887" t="s">
        <v>6083</v>
      </c>
      <c r="N38" s="887"/>
      <c r="O38" s="882"/>
      <c r="P38" s="882"/>
      <c r="Q38" s="888"/>
      <c r="R38" s="888"/>
      <c r="S38" s="882"/>
      <c r="T38" s="888"/>
      <c r="U38" s="882"/>
      <c r="V38" s="887"/>
      <c r="W38" s="888"/>
      <c r="X38" s="882"/>
      <c r="Y38" s="888"/>
      <c r="Z38" s="882"/>
      <c r="AA38" s="882"/>
      <c r="AB38" s="882"/>
      <c r="AC38" s="882"/>
      <c r="AD38" s="882"/>
      <c r="AE38" s="882">
        <v>3</v>
      </c>
      <c r="AF38" s="882">
        <v>100</v>
      </c>
      <c r="AG38" s="882">
        <v>50</v>
      </c>
      <c r="AH38" s="882"/>
      <c r="AI38" s="882"/>
      <c r="AJ38" s="882"/>
      <c r="AK38" s="882"/>
      <c r="AL38" s="889"/>
    </row>
    <row r="39" spans="1:38" s="890" customFormat="1">
      <c r="A39" s="882">
        <v>62</v>
      </c>
      <c r="B39" s="891">
        <f t="shared" si="0"/>
        <v>27</v>
      </c>
      <c r="C39" s="882">
        <f t="shared" si="2"/>
        <v>35</v>
      </c>
      <c r="D39" s="883">
        <v>1063</v>
      </c>
      <c r="E39" s="884" t="str">
        <f>IFERROR(VLOOKUP(Table2[[#This Row],[Player No]],Table10[[No]:[Province]],2,0),"")</f>
        <v xml:space="preserve">VAKELE Lunga </v>
      </c>
      <c r="F39" s="885" t="str">
        <f>IFERROR(VLOOKUP(Table2[[#This Row],[Player No]],Table10[[No]:[Province]],3,0),"")</f>
        <v>GN</v>
      </c>
      <c r="G39" s="892">
        <v>107.951171875</v>
      </c>
      <c r="H39" s="886">
        <f>(Table2[[#This Row],[Points 2025]]/2)+SUM(Table2[[#This Row],[O1  ADMIN 2026]:[P2    CAPE TOWN OPEN 2026 ]])</f>
        <v>53.9755859375</v>
      </c>
      <c r="I39" s="880">
        <f t="shared" si="1"/>
        <v>0</v>
      </c>
      <c r="J39" s="882">
        <f t="shared" si="3"/>
        <v>0</v>
      </c>
      <c r="K39" s="887" t="s">
        <v>6083</v>
      </c>
      <c r="L39" s="887" t="s">
        <v>6083</v>
      </c>
      <c r="M39" s="887" t="s">
        <v>6083</v>
      </c>
      <c r="N39" s="887"/>
      <c r="O39" s="882"/>
      <c r="P39" s="882"/>
      <c r="Q39" s="888"/>
      <c r="R39" s="888"/>
      <c r="S39" s="882"/>
      <c r="T39" s="888"/>
      <c r="U39" s="882"/>
      <c r="V39" s="887"/>
      <c r="W39" s="888">
        <v>25</v>
      </c>
      <c r="X39" s="882">
        <v>7.5</v>
      </c>
      <c r="Y39" s="888">
        <v>12</v>
      </c>
      <c r="Z39" s="882">
        <v>25</v>
      </c>
      <c r="AA39" s="882"/>
      <c r="AB39" s="882"/>
      <c r="AC39" s="882"/>
      <c r="AD39" s="882"/>
      <c r="AE39" s="882"/>
      <c r="AF39" s="882"/>
      <c r="AG39" s="882">
        <v>25</v>
      </c>
      <c r="AH39" s="882"/>
      <c r="AI39" s="882">
        <v>25</v>
      </c>
      <c r="AJ39" s="882"/>
      <c r="AK39" s="882"/>
      <c r="AL39" s="889"/>
    </row>
    <row r="40" spans="1:38" s="890" customFormat="1">
      <c r="A40" s="882">
        <v>69</v>
      </c>
      <c r="B40" s="891">
        <f t="shared" si="0"/>
        <v>33</v>
      </c>
      <c r="C40" s="882">
        <f t="shared" si="2"/>
        <v>36</v>
      </c>
      <c r="D40" s="883">
        <v>1046</v>
      </c>
      <c r="E40" s="884" t="str">
        <f>IFERROR(VLOOKUP(Table2[[#This Row],[Player No]],Table10[[No]:[Province]],2,0),"")</f>
        <v xml:space="preserve">WILLIAMS Gershwin </v>
      </c>
      <c r="F40" s="885" t="str">
        <f>IFERROR(VLOOKUP(Table2[[#This Row],[Player No]],Table10[[No]:[Province]],3,0),"")</f>
        <v>EDEN</v>
      </c>
      <c r="G40" s="892">
        <v>102.173828125</v>
      </c>
      <c r="H40" s="886">
        <f>(Table2[[#This Row],[Points 2025]]/2)+SUM(Table2[[#This Row],[O1  ADMIN 2026]:[P2    CAPE TOWN OPEN 2026 ]])</f>
        <v>51.0869140625</v>
      </c>
      <c r="I40" s="880">
        <f t="shared" si="1"/>
        <v>0</v>
      </c>
      <c r="J40" s="882">
        <f t="shared" si="3"/>
        <v>0</v>
      </c>
      <c r="K40" s="887" t="s">
        <v>6083</v>
      </c>
      <c r="L40" s="887" t="s">
        <v>6083</v>
      </c>
      <c r="M40" s="887" t="s">
        <v>6083</v>
      </c>
      <c r="N40" s="887"/>
      <c r="O40" s="882"/>
      <c r="P40" s="882"/>
      <c r="Q40" s="888"/>
      <c r="R40" s="888"/>
      <c r="S40" s="882"/>
      <c r="T40" s="888"/>
      <c r="U40" s="882"/>
      <c r="V40" s="887">
        <v>25</v>
      </c>
      <c r="W40" s="888">
        <v>25</v>
      </c>
      <c r="X40" s="882"/>
      <c r="Y40" s="888"/>
      <c r="Z40" s="882"/>
      <c r="AA40" s="882"/>
      <c r="AB40" s="882">
        <v>25</v>
      </c>
      <c r="AC40" s="882"/>
      <c r="AD40" s="882"/>
      <c r="AE40" s="882">
        <v>5</v>
      </c>
      <c r="AF40" s="882">
        <v>15</v>
      </c>
      <c r="AG40" s="882">
        <v>10</v>
      </c>
      <c r="AH40" s="882"/>
      <c r="AI40" s="882"/>
      <c r="AJ40" s="882"/>
      <c r="AK40" s="882"/>
      <c r="AL40" s="889"/>
    </row>
    <row r="41" spans="1:38" s="890" customFormat="1">
      <c r="A41" s="882">
        <v>56</v>
      </c>
      <c r="B41" s="891">
        <f t="shared" si="0"/>
        <v>19</v>
      </c>
      <c r="C41" s="882">
        <f t="shared" si="2"/>
        <v>37</v>
      </c>
      <c r="D41" s="883">
        <v>3375</v>
      </c>
      <c r="E41" s="884" t="str">
        <f>IFERROR(VLOOKUP(Table2[[#This Row],[Player No]],Table10[[No]:[Province]],2,0),"")</f>
        <v>MAKHAYE Mlungisi</v>
      </c>
      <c r="F41" s="885" t="str">
        <f>IFERROR(VLOOKUP(Table2[[#This Row],[Player No]],Table10[[No]:[Province]],3,0),"")</f>
        <v>UMG</v>
      </c>
      <c r="G41" s="892">
        <v>50</v>
      </c>
      <c r="H41" s="886">
        <f>(Table2[[#This Row],[Points 2025]]/2)+SUM(Table2[[#This Row],[O1  ADMIN 2026]:[P2    CAPE TOWN OPEN 2026 ]])</f>
        <v>50</v>
      </c>
      <c r="I41" s="880">
        <f t="shared" si="1"/>
        <v>2</v>
      </c>
      <c r="J41" s="882">
        <f t="shared" si="3"/>
        <v>0</v>
      </c>
      <c r="K41" s="887" t="s">
        <v>6083</v>
      </c>
      <c r="L41" s="887">
        <v>10</v>
      </c>
      <c r="M41" s="887">
        <v>15</v>
      </c>
      <c r="N41" s="887"/>
      <c r="O41" s="882">
        <v>3</v>
      </c>
      <c r="P41" s="882">
        <v>1</v>
      </c>
      <c r="Q41" s="888">
        <v>15</v>
      </c>
      <c r="R41" s="888">
        <v>5</v>
      </c>
      <c r="S41" s="882">
        <v>10</v>
      </c>
      <c r="T41" s="888"/>
      <c r="U41" s="882"/>
      <c r="V41" s="887"/>
      <c r="W41" s="888"/>
      <c r="X41" s="882"/>
      <c r="Y41" s="888"/>
      <c r="Z41" s="882"/>
      <c r="AA41" s="882"/>
      <c r="AB41" s="882"/>
      <c r="AC41" s="882">
        <v>25</v>
      </c>
      <c r="AD41" s="882">
        <v>2</v>
      </c>
      <c r="AE41" s="882"/>
      <c r="AF41" s="882"/>
      <c r="AG41" s="882"/>
      <c r="AH41" s="882"/>
      <c r="AI41" s="882"/>
      <c r="AJ41" s="882"/>
      <c r="AK41" s="882"/>
      <c r="AL41" s="889"/>
    </row>
    <row r="42" spans="1:38" s="890" customFormat="1">
      <c r="A42" s="882">
        <v>118</v>
      </c>
      <c r="B42" s="891">
        <f t="shared" si="0"/>
        <v>80</v>
      </c>
      <c r="C42" s="882">
        <f t="shared" si="2"/>
        <v>38</v>
      </c>
      <c r="D42" s="883">
        <v>1292</v>
      </c>
      <c r="E42" s="884" t="str">
        <f>IFERROR(VLOOKUP(Table2[[#This Row],[Player No]],Table10[[No]:[Province]],2,0),"")</f>
        <v xml:space="preserve">MAKHUNGA Ndlelanhle </v>
      </c>
      <c r="F42" s="885" t="str">
        <f>IFERROR(VLOOKUP(Table2[[#This Row],[Player No]],Table10[[No]:[Province]],3,0),"")</f>
        <v>UMG</v>
      </c>
      <c r="G42" s="892">
        <v>79.1953125</v>
      </c>
      <c r="H42" s="886">
        <f>(Table2[[#This Row],[Points 2025]]/2)+SUM(Table2[[#This Row],[O1  ADMIN 2026]:[P2    CAPE TOWN OPEN 2026 ]])</f>
        <v>49.59765625</v>
      </c>
      <c r="I42" s="880">
        <f t="shared" si="1"/>
        <v>1</v>
      </c>
      <c r="J42" s="882">
        <f t="shared" si="3"/>
        <v>0</v>
      </c>
      <c r="K42" s="887">
        <v>0</v>
      </c>
      <c r="L42" s="887" t="s">
        <v>6083</v>
      </c>
      <c r="M42" s="887">
        <v>10</v>
      </c>
      <c r="N42" s="887"/>
      <c r="O42" s="882">
        <v>2</v>
      </c>
      <c r="P42" s="882">
        <v>2</v>
      </c>
      <c r="Q42" s="888">
        <v>10</v>
      </c>
      <c r="R42" s="888">
        <v>15</v>
      </c>
      <c r="S42" s="882">
        <v>15</v>
      </c>
      <c r="T42" s="888"/>
      <c r="U42" s="882"/>
      <c r="V42" s="887">
        <v>25</v>
      </c>
      <c r="W42" s="888">
        <v>0</v>
      </c>
      <c r="X42" s="882">
        <v>0.5</v>
      </c>
      <c r="Y42" s="888"/>
      <c r="Z42" s="882"/>
      <c r="AA42" s="882"/>
      <c r="AB42" s="882"/>
      <c r="AC42" s="882"/>
      <c r="AD42" s="882">
        <v>10</v>
      </c>
      <c r="AE42" s="882"/>
      <c r="AF42" s="882"/>
      <c r="AG42" s="882">
        <v>5</v>
      </c>
      <c r="AH42" s="882"/>
      <c r="AI42" s="882"/>
      <c r="AJ42" s="882"/>
      <c r="AK42" s="882"/>
      <c r="AL42" s="889"/>
    </row>
    <row r="43" spans="1:38" s="890" customFormat="1">
      <c r="A43" s="882">
        <v>72</v>
      </c>
      <c r="B43" s="891">
        <f t="shared" si="0"/>
        <v>33</v>
      </c>
      <c r="C43" s="882">
        <f t="shared" si="2"/>
        <v>39</v>
      </c>
      <c r="D43" s="883">
        <v>2652</v>
      </c>
      <c r="E43" s="884" t="str">
        <f>IFERROR(VLOOKUP(Table2[[#This Row],[Player No]],Table10[[No]:[Province]],2,0),"")</f>
        <v>ARGAMAN Alon</v>
      </c>
      <c r="F43" s="885" t="str">
        <f>IFERROR(VLOOKUP(Table2[[#This Row],[Player No]],Table10[[No]:[Province]],3,0),"")</f>
        <v>JTTA</v>
      </c>
      <c r="G43" s="892">
        <v>26</v>
      </c>
      <c r="H43" s="886">
        <f>(Table2[[#This Row],[Points 2025]]/2)+SUM(Table2[[#This Row],[O1  ADMIN 2026]:[P2    CAPE TOWN OPEN 2026 ]])</f>
        <v>48</v>
      </c>
      <c r="I43" s="880">
        <f t="shared" si="1"/>
        <v>1</v>
      </c>
      <c r="J43" s="882">
        <f t="shared" si="3"/>
        <v>0</v>
      </c>
      <c r="K43" s="887">
        <v>35</v>
      </c>
      <c r="L43" s="887" t="s">
        <v>6083</v>
      </c>
      <c r="M43" s="887" t="s">
        <v>6083</v>
      </c>
      <c r="N43" s="887"/>
      <c r="O43" s="882"/>
      <c r="P43" s="882"/>
      <c r="Q43" s="888"/>
      <c r="R43" s="888"/>
      <c r="S43" s="882"/>
      <c r="T43" s="888"/>
      <c r="U43" s="882"/>
      <c r="V43" s="887"/>
      <c r="W43" s="888"/>
      <c r="X43" s="882">
        <v>5</v>
      </c>
      <c r="Y43" s="888">
        <v>4</v>
      </c>
      <c r="Z43" s="882">
        <v>5</v>
      </c>
      <c r="AA43" s="882"/>
      <c r="AB43" s="882"/>
      <c r="AC43" s="882"/>
      <c r="AD43" s="882"/>
      <c r="AE43" s="882"/>
      <c r="AF43" s="882"/>
      <c r="AG43" s="882"/>
      <c r="AH43" s="882"/>
      <c r="AI43" s="882"/>
      <c r="AJ43" s="882"/>
      <c r="AK43" s="882">
        <v>10</v>
      </c>
      <c r="AL43" s="889"/>
    </row>
    <row r="44" spans="1:38" s="890" customFormat="1">
      <c r="A44" s="882">
        <v>47</v>
      </c>
      <c r="B44" s="891">
        <f t="shared" si="0"/>
        <v>7</v>
      </c>
      <c r="C44" s="882">
        <f t="shared" si="2"/>
        <v>40</v>
      </c>
      <c r="D44" s="883">
        <v>1084</v>
      </c>
      <c r="E44" s="884" t="str">
        <f>IFERROR(VLOOKUP(Table2[[#This Row],[Player No]],Table10[[No]:[Province]],2,0),"")</f>
        <v xml:space="preserve">JAWITZ Ridhaa </v>
      </c>
      <c r="F44" s="885" t="str">
        <f>IFERROR(VLOOKUP(Table2[[#This Row],[Player No]],Table10[[No]:[Province]],3,0),"")</f>
        <v>NMB</v>
      </c>
      <c r="G44" s="892">
        <v>92.50390625</v>
      </c>
      <c r="H44" s="886">
        <f>(Table2[[#This Row],[Points 2025]]/2)+SUM(Table2[[#This Row],[O1  ADMIN 2026]:[P2    CAPE TOWN OPEN 2026 ]])</f>
        <v>46.251953125</v>
      </c>
      <c r="I44" s="880">
        <f t="shared" si="1"/>
        <v>0</v>
      </c>
      <c r="J44" s="882">
        <f t="shared" si="3"/>
        <v>0</v>
      </c>
      <c r="K44" s="887" t="s">
        <v>6083</v>
      </c>
      <c r="L44" s="887" t="s">
        <v>6083</v>
      </c>
      <c r="M44" s="887" t="s">
        <v>6083</v>
      </c>
      <c r="N44" s="887"/>
      <c r="O44" s="882"/>
      <c r="P44" s="882"/>
      <c r="Q44" s="888"/>
      <c r="R44" s="888"/>
      <c r="S44" s="882"/>
      <c r="T44" s="888"/>
      <c r="U44" s="882"/>
      <c r="V44" s="887">
        <v>50</v>
      </c>
      <c r="W44" s="888">
        <v>10</v>
      </c>
      <c r="X44" s="882"/>
      <c r="Y44" s="888"/>
      <c r="Z44" s="882"/>
      <c r="AA44" s="882"/>
      <c r="AB44" s="882"/>
      <c r="AC44" s="882"/>
      <c r="AD44" s="882"/>
      <c r="AE44" s="882"/>
      <c r="AF44" s="882"/>
      <c r="AG44" s="882">
        <v>25</v>
      </c>
      <c r="AH44" s="882"/>
      <c r="AI44" s="882"/>
      <c r="AJ44" s="882"/>
      <c r="AK44" s="882"/>
      <c r="AL44" s="889"/>
    </row>
    <row r="45" spans="1:38" s="890" customFormat="1">
      <c r="A45" s="882">
        <v>25</v>
      </c>
      <c r="B45" s="891">
        <f t="shared" si="0"/>
        <v>-16</v>
      </c>
      <c r="C45" s="882">
        <f t="shared" si="2"/>
        <v>41</v>
      </c>
      <c r="D45" s="883">
        <v>1208</v>
      </c>
      <c r="E45" s="884" t="str">
        <f>IFERROR(VLOOKUP(Table2[[#This Row],[Player No]],Table10[[No]:[Province]],2,0),"")</f>
        <v>OLOKWOKERE James</v>
      </c>
      <c r="F45" s="885" t="str">
        <f>IFERROR(VLOOKUP(Table2[[#This Row],[Player No]],Table10[[No]:[Province]],3,0),"")</f>
        <v>JTTA</v>
      </c>
      <c r="G45" s="892">
        <v>62.01953125</v>
      </c>
      <c r="H45" s="886">
        <f>(Table2[[#This Row],[Points 2025]]/2)+SUM(Table2[[#This Row],[O1  ADMIN 2026]:[P2    CAPE TOWN OPEN 2026 ]])</f>
        <v>46.009765625</v>
      </c>
      <c r="I45" s="880">
        <f t="shared" si="1"/>
        <v>1</v>
      </c>
      <c r="J45" s="882">
        <f t="shared" si="3"/>
        <v>0</v>
      </c>
      <c r="K45" s="887">
        <v>15</v>
      </c>
      <c r="L45" s="887" t="s">
        <v>6083</v>
      </c>
      <c r="M45" s="887" t="s">
        <v>6083</v>
      </c>
      <c r="N45" s="887"/>
      <c r="O45" s="882"/>
      <c r="P45" s="882"/>
      <c r="Q45" s="888"/>
      <c r="R45" s="888"/>
      <c r="S45" s="882"/>
      <c r="T45" s="888"/>
      <c r="U45" s="882"/>
      <c r="V45" s="887"/>
      <c r="W45" s="888"/>
      <c r="X45" s="882"/>
      <c r="Y45" s="888"/>
      <c r="Z45" s="882">
        <v>15</v>
      </c>
      <c r="AA45" s="882"/>
      <c r="AB45" s="882"/>
      <c r="AC45" s="882"/>
      <c r="AD45" s="882"/>
      <c r="AE45" s="882"/>
      <c r="AF45" s="882"/>
      <c r="AG45" s="882"/>
      <c r="AH45" s="882"/>
      <c r="AI45" s="882">
        <v>15</v>
      </c>
      <c r="AJ45" s="882">
        <v>1</v>
      </c>
      <c r="AK45" s="882"/>
      <c r="AL45" s="889"/>
    </row>
    <row r="46" spans="1:38" s="890" customFormat="1">
      <c r="A46" s="882">
        <v>328</v>
      </c>
      <c r="B46" s="891">
        <f t="shared" si="0"/>
        <v>286</v>
      </c>
      <c r="C46" s="882">
        <f t="shared" si="2"/>
        <v>42</v>
      </c>
      <c r="D46" s="883">
        <v>2654</v>
      </c>
      <c r="E46" s="884" t="str">
        <f>IFERROR(VLOOKUP(Table2[[#This Row],[Player No]],Table10[[No]:[Province]],2,0),"")</f>
        <v>JIVRAJ Bimal</v>
      </c>
      <c r="F46" s="885" t="str">
        <f>IFERROR(VLOOKUP(Table2[[#This Row],[Player No]],Table10[[No]:[Province]],3,0),"")</f>
        <v>JTTA</v>
      </c>
      <c r="G46" s="892">
        <v>71.5</v>
      </c>
      <c r="H46" s="886">
        <f>(Table2[[#This Row],[Points 2025]]/2)+SUM(Table2[[#This Row],[O1  ADMIN 2026]:[P2    CAPE TOWN OPEN 2026 ]])</f>
        <v>45.75</v>
      </c>
      <c r="I46" s="880">
        <f t="shared" si="1"/>
        <v>1</v>
      </c>
      <c r="J46" s="882">
        <f t="shared" si="3"/>
        <v>0</v>
      </c>
      <c r="K46" s="887">
        <v>10</v>
      </c>
      <c r="L46" s="887" t="s">
        <v>6083</v>
      </c>
      <c r="M46" s="887" t="s">
        <v>6083</v>
      </c>
      <c r="N46" s="887"/>
      <c r="O46" s="882">
        <v>15</v>
      </c>
      <c r="P46" s="882"/>
      <c r="Q46" s="888"/>
      <c r="R46" s="888"/>
      <c r="S46" s="882"/>
      <c r="T46" s="888">
        <v>15</v>
      </c>
      <c r="U46" s="882"/>
      <c r="V46" s="887"/>
      <c r="W46" s="888">
        <v>10</v>
      </c>
      <c r="X46" s="882">
        <v>1</v>
      </c>
      <c r="Y46" s="888">
        <v>4</v>
      </c>
      <c r="Z46" s="882">
        <v>3</v>
      </c>
      <c r="AA46" s="882">
        <v>12.5</v>
      </c>
      <c r="AB46" s="882"/>
      <c r="AC46" s="882"/>
      <c r="AD46" s="882"/>
      <c r="AE46" s="882"/>
      <c r="AF46" s="882"/>
      <c r="AG46" s="882">
        <v>5</v>
      </c>
      <c r="AH46" s="882">
        <v>10</v>
      </c>
      <c r="AI46" s="882">
        <v>5</v>
      </c>
      <c r="AJ46" s="882"/>
      <c r="AK46" s="882">
        <v>2</v>
      </c>
      <c r="AL46" s="889"/>
    </row>
    <row r="47" spans="1:38" s="890" customFormat="1">
      <c r="A47" s="882">
        <v>25</v>
      </c>
      <c r="B47" s="891">
        <f t="shared" si="0"/>
        <v>-18</v>
      </c>
      <c r="C47" s="882">
        <f t="shared" si="2"/>
        <v>43</v>
      </c>
      <c r="D47" s="883">
        <v>3268</v>
      </c>
      <c r="E47" s="884" t="str">
        <f>IFERROR(VLOOKUP(Table2[[#This Row],[Player No]],Table10[[No]:[Province]],2,0),"")</f>
        <v>WILLIAMS Mark</v>
      </c>
      <c r="F47" s="885" t="str">
        <f>IFERROR(VLOOKUP(Table2[[#This Row],[Player No]],Table10[[No]:[Province]],3,0),"")</f>
        <v>JTTA</v>
      </c>
      <c r="G47" s="892">
        <v>90.8125</v>
      </c>
      <c r="H47" s="886">
        <f>(Table2[[#This Row],[Points 2025]]/2)+SUM(Table2[[#This Row],[O1  ADMIN 2026]:[P2    CAPE TOWN OPEN 2026 ]])</f>
        <v>45.40625</v>
      </c>
      <c r="I47" s="880">
        <f t="shared" si="1"/>
        <v>0</v>
      </c>
      <c r="J47" s="882">
        <f t="shared" si="3"/>
        <v>0</v>
      </c>
      <c r="K47" s="887" t="s">
        <v>6083</v>
      </c>
      <c r="L47" s="887" t="s">
        <v>6083</v>
      </c>
      <c r="M47" s="887" t="s">
        <v>6083</v>
      </c>
      <c r="N47" s="887"/>
      <c r="O47" s="882"/>
      <c r="P47" s="882"/>
      <c r="Q47" s="888"/>
      <c r="R47" s="888"/>
      <c r="S47" s="882"/>
      <c r="T47" s="888"/>
      <c r="U47" s="882"/>
      <c r="V47" s="887"/>
      <c r="W47" s="888">
        <v>10</v>
      </c>
      <c r="X47" s="882"/>
      <c r="Y47" s="888">
        <v>20</v>
      </c>
      <c r="Z47" s="882">
        <v>3</v>
      </c>
      <c r="AA47" s="882"/>
      <c r="AB47" s="882"/>
      <c r="AC47" s="882"/>
      <c r="AD47" s="882"/>
      <c r="AE47" s="882"/>
      <c r="AF47" s="882"/>
      <c r="AG47" s="882">
        <v>25</v>
      </c>
      <c r="AH47" s="882"/>
      <c r="AI47" s="882">
        <v>15</v>
      </c>
      <c r="AJ47" s="882"/>
      <c r="AK47" s="882">
        <v>25</v>
      </c>
      <c r="AL47" s="889"/>
    </row>
    <row r="48" spans="1:38" s="890" customFormat="1">
      <c r="A48" s="882">
        <v>905</v>
      </c>
      <c r="B48" s="891">
        <f t="shared" si="0"/>
        <v>861</v>
      </c>
      <c r="C48" s="882">
        <f t="shared" si="2"/>
        <v>44</v>
      </c>
      <c r="D48" s="883">
        <v>2175</v>
      </c>
      <c r="E48" s="884" t="str">
        <f>IFERROR(VLOOKUP(Table2[[#This Row],[Player No]],Table10[[No]:[Province]],2,0),"")</f>
        <v>Williams Xhaiden</v>
      </c>
      <c r="F48" s="885" t="str">
        <f>IFERROR(VLOOKUP(Table2[[#This Row],[Player No]],Table10[[No]:[Province]],3,0),"")</f>
        <v>EDEN</v>
      </c>
      <c r="G48" s="892">
        <v>85</v>
      </c>
      <c r="H48" s="886">
        <f>(Table2[[#This Row],[Points 2025]]/2)+SUM(Table2[[#This Row],[O1  ADMIN 2026]:[P2    CAPE TOWN OPEN 2026 ]])</f>
        <v>42.5</v>
      </c>
      <c r="I48" s="880">
        <f t="shared" si="1"/>
        <v>0</v>
      </c>
      <c r="J48" s="882">
        <f t="shared" si="3"/>
        <v>0</v>
      </c>
      <c r="K48" s="887" t="s">
        <v>6083</v>
      </c>
      <c r="L48" s="887" t="s">
        <v>6083</v>
      </c>
      <c r="M48" s="887" t="s">
        <v>6083</v>
      </c>
      <c r="N48" s="887"/>
      <c r="O48" s="882"/>
      <c r="P48" s="882"/>
      <c r="Q48" s="888"/>
      <c r="R48" s="888"/>
      <c r="S48" s="882"/>
      <c r="T48" s="888"/>
      <c r="U48" s="882"/>
      <c r="V48" s="887">
        <v>50</v>
      </c>
      <c r="W48" s="888">
        <v>10</v>
      </c>
      <c r="X48" s="882"/>
      <c r="Y48" s="888"/>
      <c r="Z48" s="882"/>
      <c r="AA48" s="882"/>
      <c r="AB48" s="882">
        <v>15</v>
      </c>
      <c r="AC48" s="882"/>
      <c r="AD48" s="882"/>
      <c r="AE48" s="882">
        <v>5</v>
      </c>
      <c r="AF48" s="882">
        <v>15</v>
      </c>
      <c r="AG48" s="882"/>
      <c r="AH48" s="882"/>
      <c r="AI48" s="882"/>
      <c r="AJ48" s="882"/>
      <c r="AK48" s="882"/>
      <c r="AL48" s="889"/>
    </row>
    <row r="49" spans="1:38" s="890" customFormat="1">
      <c r="A49" s="882">
        <v>77</v>
      </c>
      <c r="B49" s="891">
        <f t="shared" si="0"/>
        <v>32</v>
      </c>
      <c r="C49" s="882">
        <f t="shared" si="2"/>
        <v>45</v>
      </c>
      <c r="D49" s="883">
        <v>1038</v>
      </c>
      <c r="E49" s="884" t="str">
        <f>IFERROR(VLOOKUP(Table2[[#This Row],[Player No]],Table10[[No]:[Province]],2,0),"")</f>
        <v xml:space="preserve">WERNICH Johnathan </v>
      </c>
      <c r="F49" s="885" t="str">
        <f>IFERROR(VLOOKUP(Table2[[#This Row],[Player No]],Table10[[No]:[Province]],3,0),"")</f>
        <v>EKU</v>
      </c>
      <c r="G49" s="892">
        <v>81.01953125</v>
      </c>
      <c r="H49" s="886">
        <f>(Table2[[#This Row],[Points 2025]]/2)+SUM(Table2[[#This Row],[O1  ADMIN 2026]:[P2    CAPE TOWN OPEN 2026 ]])</f>
        <v>40.509765625</v>
      </c>
      <c r="I49" s="880">
        <f t="shared" si="1"/>
        <v>0</v>
      </c>
      <c r="J49" s="882">
        <f t="shared" si="3"/>
        <v>0</v>
      </c>
      <c r="K49" s="887" t="s">
        <v>6083</v>
      </c>
      <c r="L49" s="887" t="s">
        <v>6083</v>
      </c>
      <c r="M49" s="887" t="s">
        <v>6083</v>
      </c>
      <c r="N49" s="887"/>
      <c r="O49" s="882">
        <v>25</v>
      </c>
      <c r="P49" s="882"/>
      <c r="Q49" s="888"/>
      <c r="R49" s="888"/>
      <c r="S49" s="882"/>
      <c r="T49" s="888"/>
      <c r="U49" s="882"/>
      <c r="V49" s="887"/>
      <c r="W49" s="888">
        <v>10</v>
      </c>
      <c r="X49" s="882"/>
      <c r="Y49" s="888">
        <v>12</v>
      </c>
      <c r="Z49" s="882">
        <v>3</v>
      </c>
      <c r="AA49" s="882">
        <v>7.5</v>
      </c>
      <c r="AB49" s="882"/>
      <c r="AC49" s="882"/>
      <c r="AD49" s="882"/>
      <c r="AE49" s="882"/>
      <c r="AF49" s="882"/>
      <c r="AG49" s="882">
        <v>10</v>
      </c>
      <c r="AH49" s="882"/>
      <c r="AI49" s="882">
        <v>15</v>
      </c>
      <c r="AJ49" s="882">
        <v>5</v>
      </c>
      <c r="AK49" s="882"/>
      <c r="AL49" s="889"/>
    </row>
    <row r="50" spans="1:38" s="890" customFormat="1">
      <c r="A50" s="882">
        <v>103</v>
      </c>
      <c r="B50" s="891">
        <f t="shared" si="0"/>
        <v>57</v>
      </c>
      <c r="C50" s="882">
        <f t="shared" si="2"/>
        <v>46</v>
      </c>
      <c r="D50" s="883">
        <v>2611</v>
      </c>
      <c r="E50" s="884" t="str">
        <f>IFERROR(VLOOKUP(Table2[[#This Row],[Player No]],Table10[[No]:[Province]],2,0),"")</f>
        <v>NWAFOR David</v>
      </c>
      <c r="F50" s="885" t="str">
        <f>IFERROR(VLOOKUP(Table2[[#This Row],[Player No]],Table10[[No]:[Province]],3,0),"")</f>
        <v>CT</v>
      </c>
      <c r="G50" s="892">
        <v>80.1875</v>
      </c>
      <c r="H50" s="886">
        <f>(Table2[[#This Row],[Points 2025]]/2)+SUM(Table2[[#This Row],[O1  ADMIN 2026]:[P2    CAPE TOWN OPEN 2026 ]])</f>
        <v>40.09375</v>
      </c>
      <c r="I50" s="880">
        <f t="shared" si="1"/>
        <v>0</v>
      </c>
      <c r="J50" s="882">
        <f t="shared" si="3"/>
        <v>0</v>
      </c>
      <c r="K50" s="887" t="s">
        <v>6083</v>
      </c>
      <c r="L50" s="887" t="s">
        <v>6083</v>
      </c>
      <c r="M50" s="887" t="s">
        <v>6083</v>
      </c>
      <c r="N50" s="887"/>
      <c r="O50" s="882"/>
      <c r="P50" s="882"/>
      <c r="Q50" s="888"/>
      <c r="R50" s="888"/>
      <c r="S50" s="882"/>
      <c r="T50" s="888">
        <v>15</v>
      </c>
      <c r="U50" s="882"/>
      <c r="V50" s="887"/>
      <c r="W50" s="888">
        <v>0</v>
      </c>
      <c r="X50" s="882"/>
      <c r="Y50" s="888"/>
      <c r="Z50" s="882"/>
      <c r="AA50" s="882"/>
      <c r="AB50" s="882">
        <v>25</v>
      </c>
      <c r="AC50" s="882"/>
      <c r="AD50" s="882"/>
      <c r="AE50" s="882">
        <v>15</v>
      </c>
      <c r="AF50" s="882">
        <v>25</v>
      </c>
      <c r="AG50" s="882">
        <v>25</v>
      </c>
      <c r="AH50" s="882"/>
      <c r="AI50" s="882">
        <f>5-5</f>
        <v>0</v>
      </c>
      <c r="AJ50" s="882"/>
      <c r="AK50" s="882"/>
      <c r="AL50" s="889"/>
    </row>
    <row r="51" spans="1:38" s="890" customFormat="1">
      <c r="A51" s="882">
        <v>53</v>
      </c>
      <c r="B51" s="891">
        <f t="shared" si="0"/>
        <v>6</v>
      </c>
      <c r="C51" s="882">
        <f t="shared" si="2"/>
        <v>47</v>
      </c>
      <c r="D51" s="883">
        <v>1505</v>
      </c>
      <c r="E51" s="884" t="str">
        <f>IFERROR(VLOOKUP(Table2[[#This Row],[Player No]],Table10[[No]:[Province]],2,0),"")</f>
        <v>HAY Abdul</v>
      </c>
      <c r="F51" s="885" t="str">
        <f>IFERROR(VLOOKUP(Table2[[#This Row],[Player No]],Table10[[No]:[Province]],3,0),"")</f>
        <v>JTTA</v>
      </c>
      <c r="G51" s="892">
        <v>79.04296875</v>
      </c>
      <c r="H51" s="886">
        <f>(Table2[[#This Row],[Points 2025]]/2)+SUM(Table2[[#This Row],[O1  ADMIN 2026]:[P2    CAPE TOWN OPEN 2026 ]])</f>
        <v>39.521484375</v>
      </c>
      <c r="I51" s="880">
        <f t="shared" si="1"/>
        <v>0</v>
      </c>
      <c r="J51" s="882">
        <f t="shared" si="3"/>
        <v>0</v>
      </c>
      <c r="K51" s="887" t="s">
        <v>6083</v>
      </c>
      <c r="L51" s="887" t="s">
        <v>6083</v>
      </c>
      <c r="M51" s="887" t="s">
        <v>6083</v>
      </c>
      <c r="N51" s="887"/>
      <c r="O51" s="882"/>
      <c r="P51" s="882"/>
      <c r="Q51" s="888"/>
      <c r="R51" s="888"/>
      <c r="S51" s="882"/>
      <c r="T51" s="888"/>
      <c r="U51" s="882"/>
      <c r="V51" s="887"/>
      <c r="W51" s="888">
        <v>25</v>
      </c>
      <c r="X51" s="882"/>
      <c r="Y51" s="888"/>
      <c r="Z51" s="882">
        <v>5</v>
      </c>
      <c r="AA51" s="882"/>
      <c r="AB51" s="882"/>
      <c r="AC51" s="882"/>
      <c r="AD51" s="882"/>
      <c r="AE51" s="882"/>
      <c r="AF51" s="882"/>
      <c r="AG51" s="882">
        <v>50</v>
      </c>
      <c r="AH51" s="882"/>
      <c r="AI51" s="882">
        <v>15</v>
      </c>
      <c r="AJ51" s="882"/>
      <c r="AK51" s="882"/>
      <c r="AL51" s="889"/>
    </row>
    <row r="52" spans="1:38" s="890" customFormat="1">
      <c r="A52" s="882">
        <v>49</v>
      </c>
      <c r="B52" s="891">
        <f t="shared" si="0"/>
        <v>1</v>
      </c>
      <c r="C52" s="882">
        <f t="shared" si="2"/>
        <v>48</v>
      </c>
      <c r="D52" s="883">
        <v>1119</v>
      </c>
      <c r="E52" s="884" t="str">
        <f>IFERROR(VLOOKUP(Table2[[#This Row],[Player No]],Table10[[No]:[Province]],2,0),"")</f>
        <v>BARTLETT Brandon</v>
      </c>
      <c r="F52" s="885" t="str">
        <f>IFERROR(VLOOKUP(Table2[[#This Row],[Player No]],Table10[[No]:[Province]],3,0),"")</f>
        <v>JTTA</v>
      </c>
      <c r="G52" s="892">
        <v>51.533203125</v>
      </c>
      <c r="H52" s="886">
        <f>(Table2[[#This Row],[Points 2025]]/2)+SUM(Table2[[#This Row],[O1  ADMIN 2026]:[P2    CAPE TOWN OPEN 2026 ]])</f>
        <v>37.7666015625</v>
      </c>
      <c r="I52" s="880">
        <f t="shared" si="1"/>
        <v>2</v>
      </c>
      <c r="J52" s="882">
        <f t="shared" si="3"/>
        <v>0</v>
      </c>
      <c r="K52" s="887">
        <v>10</v>
      </c>
      <c r="L52" s="887" t="s">
        <v>6083</v>
      </c>
      <c r="M52" s="887">
        <v>2</v>
      </c>
      <c r="N52" s="887"/>
      <c r="O52" s="882"/>
      <c r="P52" s="882"/>
      <c r="Q52" s="888"/>
      <c r="R52" s="888"/>
      <c r="S52" s="882"/>
      <c r="T52" s="888"/>
      <c r="U52" s="882"/>
      <c r="V52" s="887"/>
      <c r="W52" s="888"/>
      <c r="X52" s="882"/>
      <c r="Y52" s="888"/>
      <c r="Z52" s="882"/>
      <c r="AA52" s="882"/>
      <c r="AB52" s="882"/>
      <c r="AC52" s="882"/>
      <c r="AD52" s="882"/>
      <c r="AE52" s="882"/>
      <c r="AF52" s="882"/>
      <c r="AG52" s="882">
        <v>25</v>
      </c>
      <c r="AH52" s="882">
        <v>25</v>
      </c>
      <c r="AI52" s="882">
        <v>15</v>
      </c>
      <c r="AJ52" s="882">
        <v>5</v>
      </c>
      <c r="AK52" s="882"/>
      <c r="AL52" s="889"/>
    </row>
    <row r="53" spans="1:38" s="890" customFormat="1">
      <c r="A53" s="882"/>
      <c r="B53" s="891"/>
      <c r="C53" s="882">
        <f t="shared" si="2"/>
        <v>49</v>
      </c>
      <c r="D53" s="883">
        <v>3119</v>
      </c>
      <c r="E53" s="884" t="str">
        <f>IFERROR(VLOOKUP(Table2[[#This Row],[Player No]],Table10[[No]:[Province]],2,0),"")</f>
        <v>KENNEDY Damien</v>
      </c>
      <c r="F53" s="885" t="str">
        <f>IFERROR(VLOOKUP(Table2[[#This Row],[Player No]],Table10[[No]:[Province]],3,0),"")</f>
        <v>EDEN</v>
      </c>
      <c r="G53" s="892">
        <v>75</v>
      </c>
      <c r="H53" s="886">
        <f>(Table2[[#This Row],[Points 2025]]/2)+SUM(Table2[[#This Row],[O1  ADMIN 2026]:[P2    CAPE TOWN OPEN 2026 ]])</f>
        <v>37.5</v>
      </c>
      <c r="I53" s="880">
        <f t="shared" si="1"/>
        <v>0</v>
      </c>
      <c r="J53" s="882">
        <f t="shared" si="3"/>
        <v>0</v>
      </c>
      <c r="K53" s="887" t="s">
        <v>6083</v>
      </c>
      <c r="L53" s="887" t="s">
        <v>6083</v>
      </c>
      <c r="M53" s="887" t="s">
        <v>6083</v>
      </c>
      <c r="N53" s="887"/>
      <c r="O53" s="882"/>
      <c r="P53" s="882"/>
      <c r="Q53" s="888"/>
      <c r="R53" s="888"/>
      <c r="S53" s="882"/>
      <c r="T53" s="888"/>
      <c r="U53" s="882"/>
      <c r="V53" s="887">
        <v>25</v>
      </c>
      <c r="W53" s="888">
        <v>50</v>
      </c>
      <c r="X53" s="882"/>
      <c r="Y53" s="888"/>
      <c r="Z53" s="882"/>
      <c r="AA53" s="882"/>
      <c r="AB53" s="882"/>
      <c r="AC53" s="882"/>
      <c r="AD53" s="882"/>
      <c r="AE53" s="882"/>
      <c r="AF53" s="882"/>
      <c r="AG53" s="882"/>
      <c r="AH53" s="882"/>
      <c r="AI53" s="882"/>
      <c r="AJ53" s="882"/>
      <c r="AK53" s="882"/>
      <c r="AL53" s="889"/>
    </row>
    <row r="54" spans="1:38" s="890" customFormat="1">
      <c r="A54" s="882">
        <v>35</v>
      </c>
      <c r="B54" s="891">
        <f t="shared" ref="B54:B59" si="4">+A54-C54</f>
        <v>-15</v>
      </c>
      <c r="C54" s="882">
        <f t="shared" si="2"/>
        <v>50</v>
      </c>
      <c r="D54" s="883">
        <v>1011</v>
      </c>
      <c r="E54" s="884" t="str">
        <f>IFERROR(VLOOKUP(Table2[[#This Row],[Player No]],Table10[[No]:[Province]],2,0),"")</f>
        <v xml:space="preserve">MOLAHLOE Itumeleng </v>
      </c>
      <c r="F54" s="885" t="str">
        <f>IFERROR(VLOOKUP(Table2[[#This Row],[Player No]],Table10[[No]:[Province]],3,0),"")</f>
        <v>GN</v>
      </c>
      <c r="G54" s="892">
        <v>73</v>
      </c>
      <c r="H54" s="886">
        <f>(Table2[[#This Row],[Points 2025]]/2)+SUM(Table2[[#This Row],[O1  ADMIN 2026]:[P2    CAPE TOWN OPEN 2026 ]])</f>
        <v>36.5</v>
      </c>
      <c r="I54" s="880">
        <f t="shared" si="1"/>
        <v>0</v>
      </c>
      <c r="J54" s="882">
        <f t="shared" si="3"/>
        <v>0</v>
      </c>
      <c r="K54" s="887">
        <v>0</v>
      </c>
      <c r="L54" s="887" t="s">
        <v>6083</v>
      </c>
      <c r="M54" s="887" t="s">
        <v>6083</v>
      </c>
      <c r="N54" s="887"/>
      <c r="O54" s="882"/>
      <c r="P54" s="882"/>
      <c r="Q54" s="888"/>
      <c r="R54" s="888"/>
      <c r="S54" s="882"/>
      <c r="T54" s="888"/>
      <c r="U54" s="882"/>
      <c r="V54" s="887"/>
      <c r="W54" s="888"/>
      <c r="X54" s="882">
        <v>1</v>
      </c>
      <c r="Y54" s="888"/>
      <c r="Z54" s="882">
        <v>0</v>
      </c>
      <c r="AA54" s="882"/>
      <c r="AB54" s="882"/>
      <c r="AC54" s="882"/>
      <c r="AD54" s="882"/>
      <c r="AE54" s="882"/>
      <c r="AF54" s="882"/>
      <c r="AG54" s="882">
        <v>75</v>
      </c>
      <c r="AH54" s="882">
        <v>15</v>
      </c>
      <c r="AI54" s="882"/>
      <c r="AJ54" s="882">
        <v>50</v>
      </c>
      <c r="AK54" s="882"/>
      <c r="AL54" s="889"/>
    </row>
    <row r="55" spans="1:38" s="890" customFormat="1">
      <c r="A55" s="882">
        <v>150</v>
      </c>
      <c r="B55" s="891">
        <f t="shared" si="4"/>
        <v>99</v>
      </c>
      <c r="C55" s="882">
        <f t="shared" si="2"/>
        <v>51</v>
      </c>
      <c r="D55" s="883">
        <v>1097</v>
      </c>
      <c r="E55" s="884" t="str">
        <f>IFERROR(VLOOKUP(Table2[[#This Row],[Player No]],Table10[[No]:[Province]],2,0),"")</f>
        <v xml:space="preserve">MOLETE Godfrey </v>
      </c>
      <c r="F55" s="885" t="str">
        <f>IFERROR(VLOOKUP(Table2[[#This Row],[Player No]],Table10[[No]:[Province]],3,0),"")</f>
        <v>FS</v>
      </c>
      <c r="G55" s="892">
        <v>51.83984375</v>
      </c>
      <c r="H55" s="886">
        <f>(Table2[[#This Row],[Points 2025]]/2)+SUM(Table2[[#This Row],[O1  ADMIN 2026]:[P2    CAPE TOWN OPEN 2026 ]])</f>
        <v>35.919921875</v>
      </c>
      <c r="I55" s="880">
        <f t="shared" si="1"/>
        <v>1</v>
      </c>
      <c r="J55" s="882">
        <f t="shared" si="3"/>
        <v>0</v>
      </c>
      <c r="K55" s="887">
        <v>10</v>
      </c>
      <c r="L55" s="887" t="s">
        <v>6083</v>
      </c>
      <c r="M55" s="887" t="s">
        <v>6083</v>
      </c>
      <c r="N55" s="887"/>
      <c r="O55" s="882"/>
      <c r="P55" s="882"/>
      <c r="Q55" s="888"/>
      <c r="R55" s="888"/>
      <c r="S55" s="882"/>
      <c r="T55" s="888">
        <v>5</v>
      </c>
      <c r="U55" s="882">
        <v>7.5</v>
      </c>
      <c r="V55" s="887"/>
      <c r="W55" s="888">
        <v>10</v>
      </c>
      <c r="X55" s="882">
        <v>7.5</v>
      </c>
      <c r="Y55" s="888"/>
      <c r="Z55" s="882">
        <v>5</v>
      </c>
      <c r="AA55" s="882"/>
      <c r="AB55" s="882"/>
      <c r="AC55" s="882"/>
      <c r="AD55" s="882"/>
      <c r="AE55" s="882"/>
      <c r="AF55" s="882"/>
      <c r="AG55" s="882">
        <v>25</v>
      </c>
      <c r="AH55" s="882"/>
      <c r="AI55" s="882"/>
      <c r="AJ55" s="882"/>
      <c r="AK55" s="882"/>
      <c r="AL55" s="889"/>
    </row>
    <row r="56" spans="1:38" s="890" customFormat="1">
      <c r="A56" s="882">
        <v>117</v>
      </c>
      <c r="B56" s="891">
        <f t="shared" si="4"/>
        <v>65</v>
      </c>
      <c r="C56" s="882">
        <f t="shared" si="2"/>
        <v>52</v>
      </c>
      <c r="D56" s="883">
        <v>3484</v>
      </c>
      <c r="E56" s="884" t="str">
        <f>IFERROR(VLOOKUP(Table2[[#This Row],[Player No]],Table10[[No]:[Province]],2,0),"")</f>
        <v xml:space="preserve">NXUMALO Luyanda </v>
      </c>
      <c r="F56" s="885" t="str">
        <f>IFERROR(VLOOKUP(Table2[[#This Row],[Player No]],Table10[[No]:[Province]],3,0),"")</f>
        <v>UMG</v>
      </c>
      <c r="G56" s="892">
        <v>51.25</v>
      </c>
      <c r="H56" s="886">
        <f>(Table2[[#This Row],[Points 2025]]/2)+SUM(Table2[[#This Row],[O1  ADMIN 2026]:[P2    CAPE TOWN OPEN 2026 ]])</f>
        <v>35.625</v>
      </c>
      <c r="I56" s="880">
        <f t="shared" si="1"/>
        <v>1</v>
      </c>
      <c r="J56" s="882">
        <f t="shared" si="3"/>
        <v>0</v>
      </c>
      <c r="K56" s="887" t="s">
        <v>6083</v>
      </c>
      <c r="L56" s="887" t="s">
        <v>6083</v>
      </c>
      <c r="M56" s="887">
        <v>10</v>
      </c>
      <c r="N56" s="887"/>
      <c r="O56" s="882">
        <v>15</v>
      </c>
      <c r="P56" s="882">
        <v>2</v>
      </c>
      <c r="Q56" s="888">
        <v>2</v>
      </c>
      <c r="R56" s="888">
        <v>1</v>
      </c>
      <c r="S56" s="882">
        <v>10</v>
      </c>
      <c r="T56" s="888"/>
      <c r="U56" s="882"/>
      <c r="V56" s="887"/>
      <c r="W56" s="888">
        <v>10</v>
      </c>
      <c r="X56" s="882">
        <v>1</v>
      </c>
      <c r="Y56" s="888"/>
      <c r="Z56" s="882"/>
      <c r="AA56" s="882"/>
      <c r="AB56" s="882"/>
      <c r="AC56" s="882"/>
      <c r="AD56" s="882">
        <v>2</v>
      </c>
      <c r="AE56" s="882"/>
      <c r="AF56" s="882"/>
      <c r="AG56" s="882"/>
      <c r="AH56" s="882"/>
      <c r="AI56" s="882"/>
      <c r="AJ56" s="882"/>
      <c r="AK56" s="882"/>
      <c r="AL56" s="889"/>
    </row>
    <row r="57" spans="1:38" s="890" customFormat="1">
      <c r="A57" s="882">
        <v>101</v>
      </c>
      <c r="B57" s="891">
        <f t="shared" si="4"/>
        <v>48</v>
      </c>
      <c r="C57" s="882">
        <f t="shared" si="2"/>
        <v>53</v>
      </c>
      <c r="D57" s="883">
        <v>3496</v>
      </c>
      <c r="E57" s="884" t="str">
        <f>IFERROR(VLOOKUP(Table2[[#This Row],[Player No]],Table10[[No]:[Province]],2,0),"")</f>
        <v>CHETTY Zachariah</v>
      </c>
      <c r="F57" s="885" t="str">
        <f>IFERROR(VLOOKUP(Table2[[#This Row],[Player No]],Table10[[No]:[Province]],3,0),"")</f>
        <v>ETTA</v>
      </c>
      <c r="G57" s="892">
        <v>47</v>
      </c>
      <c r="H57" s="886">
        <f>(Table2[[#This Row],[Points 2025]]/2)+SUM(Table2[[#This Row],[O1  ADMIN 2026]:[P2    CAPE TOWN OPEN 2026 ]])</f>
        <v>35.5</v>
      </c>
      <c r="I57" s="880">
        <f t="shared" si="1"/>
        <v>2</v>
      </c>
      <c r="J57" s="882">
        <f t="shared" si="3"/>
        <v>0</v>
      </c>
      <c r="K57" s="887" t="s">
        <v>6083</v>
      </c>
      <c r="L57" s="887">
        <v>10</v>
      </c>
      <c r="M57" s="887">
        <v>2</v>
      </c>
      <c r="N57" s="887"/>
      <c r="O57" s="882">
        <v>25</v>
      </c>
      <c r="P57" s="882">
        <v>1</v>
      </c>
      <c r="Q57" s="888">
        <v>2</v>
      </c>
      <c r="R57" s="888">
        <v>5</v>
      </c>
      <c r="S57" s="882">
        <v>1</v>
      </c>
      <c r="T57" s="888"/>
      <c r="U57" s="882"/>
      <c r="V57" s="887"/>
      <c r="W57" s="888">
        <v>5</v>
      </c>
      <c r="X57" s="882"/>
      <c r="Y57" s="888"/>
      <c r="Z57" s="882"/>
      <c r="AA57" s="882"/>
      <c r="AB57" s="882"/>
      <c r="AC57" s="882">
        <v>15</v>
      </c>
      <c r="AD57" s="882">
        <v>1</v>
      </c>
      <c r="AE57" s="882"/>
      <c r="AF57" s="882"/>
      <c r="AG57" s="882"/>
      <c r="AH57" s="882"/>
      <c r="AI57" s="882"/>
      <c r="AJ57" s="882"/>
      <c r="AK57" s="882"/>
      <c r="AL57" s="889"/>
    </row>
    <row r="58" spans="1:38" s="890" customFormat="1">
      <c r="A58" s="882">
        <v>14</v>
      </c>
      <c r="B58" s="891">
        <f t="shared" si="4"/>
        <v>-40</v>
      </c>
      <c r="C58" s="882">
        <f t="shared" si="2"/>
        <v>54</v>
      </c>
      <c r="D58" s="883">
        <v>1036</v>
      </c>
      <c r="E58" s="884" t="str">
        <f>IFERROR(VLOOKUP(Table2[[#This Row],[Player No]],Table10[[No]:[Province]],2,0),"")</f>
        <v xml:space="preserve">SWEATZ Denver </v>
      </c>
      <c r="F58" s="885" t="str">
        <f>IFERROR(VLOOKUP(Table2[[#This Row],[Player No]],Table10[[No]:[Province]],3,0),"")</f>
        <v>CT</v>
      </c>
      <c r="G58" s="892">
        <v>69.56640625</v>
      </c>
      <c r="H58" s="886">
        <f>(Table2[[#This Row],[Points 2025]]/2)+SUM(Table2[[#This Row],[O1  ADMIN 2026]:[P2    CAPE TOWN OPEN 2026 ]])</f>
        <v>34.783203125</v>
      </c>
      <c r="I58" s="880">
        <f t="shared" si="1"/>
        <v>0</v>
      </c>
      <c r="J58" s="882">
        <f t="shared" si="3"/>
        <v>0</v>
      </c>
      <c r="K58" s="887" t="s">
        <v>6083</v>
      </c>
      <c r="L58" s="887" t="s">
        <v>6083</v>
      </c>
      <c r="M58" s="887" t="s">
        <v>6083</v>
      </c>
      <c r="N58" s="887"/>
      <c r="O58" s="882"/>
      <c r="P58" s="882"/>
      <c r="Q58" s="888"/>
      <c r="R58" s="888"/>
      <c r="S58" s="882"/>
      <c r="T58" s="888"/>
      <c r="U58" s="882"/>
      <c r="V58" s="887"/>
      <c r="W58" s="888"/>
      <c r="X58" s="882"/>
      <c r="Y58" s="888"/>
      <c r="Z58" s="882"/>
      <c r="AA58" s="882"/>
      <c r="AB58" s="882">
        <v>15</v>
      </c>
      <c r="AC58" s="882"/>
      <c r="AD58" s="882"/>
      <c r="AE58" s="882">
        <v>5</v>
      </c>
      <c r="AF58" s="882"/>
      <c r="AG58" s="882"/>
      <c r="AH58" s="882"/>
      <c r="AI58" s="882"/>
      <c r="AJ58" s="882"/>
      <c r="AK58" s="882"/>
      <c r="AL58" s="889"/>
    </row>
    <row r="59" spans="1:38" s="890" customFormat="1">
      <c r="A59" s="882">
        <v>99</v>
      </c>
      <c r="B59" s="891">
        <f t="shared" si="4"/>
        <v>44</v>
      </c>
      <c r="C59" s="882">
        <f t="shared" si="2"/>
        <v>55</v>
      </c>
      <c r="D59" s="883">
        <v>1217</v>
      </c>
      <c r="E59" s="884" t="str">
        <f>IFERROR(VLOOKUP(Table2[[#This Row],[Player No]],Table10[[No]:[Province]],2,0),"")</f>
        <v xml:space="preserve">NDWABASII Ezile </v>
      </c>
      <c r="F59" s="885" t="str">
        <f>IFERROR(VLOOKUP(Table2[[#This Row],[Player No]],Table10[[No]:[Province]],3,0),"")</f>
        <v>EKU</v>
      </c>
      <c r="G59" s="892">
        <v>68.0859375</v>
      </c>
      <c r="H59" s="886">
        <f>(Table2[[#This Row],[Points 2025]]/2)+SUM(Table2[[#This Row],[O1  ADMIN 2026]:[P2    CAPE TOWN OPEN 2026 ]])</f>
        <v>34.04296875</v>
      </c>
      <c r="I59" s="880">
        <f t="shared" si="1"/>
        <v>0</v>
      </c>
      <c r="J59" s="882">
        <f t="shared" si="3"/>
        <v>0</v>
      </c>
      <c r="K59" s="887" t="s">
        <v>6083</v>
      </c>
      <c r="L59" s="887" t="s">
        <v>6083</v>
      </c>
      <c r="M59" s="887" t="s">
        <v>6083</v>
      </c>
      <c r="N59" s="887"/>
      <c r="O59" s="882"/>
      <c r="P59" s="882"/>
      <c r="Q59" s="888"/>
      <c r="R59" s="888"/>
      <c r="S59" s="882"/>
      <c r="T59" s="888"/>
      <c r="U59" s="882"/>
      <c r="V59" s="887"/>
      <c r="W59" s="888"/>
      <c r="X59" s="882"/>
      <c r="Y59" s="888">
        <v>20</v>
      </c>
      <c r="Z59" s="882">
        <v>25</v>
      </c>
      <c r="AA59" s="882"/>
      <c r="AB59" s="882"/>
      <c r="AC59" s="882"/>
      <c r="AD59" s="882"/>
      <c r="AE59" s="882"/>
      <c r="AF59" s="882">
        <v>5</v>
      </c>
      <c r="AG59" s="882"/>
      <c r="AH59" s="882"/>
      <c r="AI59" s="882">
        <v>25</v>
      </c>
      <c r="AJ59" s="882">
        <v>15</v>
      </c>
      <c r="AK59" s="882"/>
      <c r="AL59" s="889"/>
    </row>
    <row r="60" spans="1:38" s="890" customFormat="1">
      <c r="A60" s="882"/>
      <c r="B60" s="891"/>
      <c r="C60" s="882">
        <f t="shared" si="2"/>
        <v>56</v>
      </c>
      <c r="D60" s="883">
        <v>4459</v>
      </c>
      <c r="E60" s="884" t="str">
        <f>IFERROR(VLOOKUP(Table2[[#This Row],[Player No]],Table10[[No]:[Province]],2,0),"")</f>
        <v>AJIBADE Sunday</v>
      </c>
      <c r="F60" s="885" t="str">
        <f>IFERROR(VLOOKUP(Table2[[#This Row],[Player No]],Table10[[No]:[Province]],3,0),"")</f>
        <v>ETTA</v>
      </c>
      <c r="G60" s="892">
        <v>17</v>
      </c>
      <c r="H60" s="886">
        <f>(Table2[[#This Row],[Points 2025]]/2)+SUM(Table2[[#This Row],[O1  ADMIN 2026]:[P2    CAPE TOWN OPEN 2026 ]])</f>
        <v>33.5</v>
      </c>
      <c r="I60" s="880">
        <f t="shared" si="1"/>
        <v>2</v>
      </c>
      <c r="J60" s="882">
        <f t="shared" si="3"/>
        <v>0</v>
      </c>
      <c r="K60" s="887" t="s">
        <v>6083</v>
      </c>
      <c r="L60" s="887">
        <v>15</v>
      </c>
      <c r="M60" s="887">
        <v>10</v>
      </c>
      <c r="N60" s="887"/>
      <c r="O60" s="882"/>
      <c r="P60" s="882"/>
      <c r="Q60" s="888">
        <v>2</v>
      </c>
      <c r="R60" s="888">
        <v>15</v>
      </c>
      <c r="S60" s="882"/>
      <c r="T60" s="888"/>
      <c r="U60" s="882"/>
      <c r="V60" s="887"/>
      <c r="W60" s="888"/>
      <c r="X60" s="882"/>
      <c r="Y60" s="888"/>
      <c r="Z60" s="882"/>
      <c r="AA60" s="882"/>
      <c r="AB60" s="882"/>
      <c r="AC60" s="882"/>
      <c r="AD60" s="882"/>
      <c r="AE60" s="882"/>
      <c r="AF60" s="882"/>
      <c r="AG60" s="882"/>
      <c r="AH60" s="882"/>
      <c r="AI60" s="882"/>
      <c r="AJ60" s="882"/>
      <c r="AK60" s="882"/>
      <c r="AL60" s="889"/>
    </row>
    <row r="61" spans="1:38" s="890" customFormat="1">
      <c r="A61" s="882">
        <v>41</v>
      </c>
      <c r="B61" s="891">
        <f>+A61-C61</f>
        <v>-16</v>
      </c>
      <c r="C61" s="882">
        <f t="shared" si="2"/>
        <v>57</v>
      </c>
      <c r="D61" s="883">
        <v>2471</v>
      </c>
      <c r="E61" s="884" t="str">
        <f>IFERROR(VLOOKUP(Table2[[#This Row],[Player No]],Table10[[No]:[Province]],2,0),"")</f>
        <v>BABA Tashreeq</v>
      </c>
      <c r="F61" s="885" t="str">
        <f>IFERROR(VLOOKUP(Table2[[#This Row],[Player No]],Table10[[No]:[Province]],3,0),"")</f>
        <v>CT</v>
      </c>
      <c r="G61" s="892">
        <v>65.40625</v>
      </c>
      <c r="H61" s="886">
        <f>(Table2[[#This Row],[Points 2025]]/2)+SUM(Table2[[#This Row],[O1  ADMIN 2026]:[P2    CAPE TOWN OPEN 2026 ]])</f>
        <v>32.703125</v>
      </c>
      <c r="I61" s="880">
        <f t="shared" si="1"/>
        <v>0</v>
      </c>
      <c r="J61" s="882">
        <f t="shared" si="3"/>
        <v>0</v>
      </c>
      <c r="K61" s="887" t="s">
        <v>6083</v>
      </c>
      <c r="L61" s="887" t="s">
        <v>6083</v>
      </c>
      <c r="M61" s="887" t="s">
        <v>6083</v>
      </c>
      <c r="N61" s="887"/>
      <c r="O61" s="882"/>
      <c r="P61" s="882"/>
      <c r="Q61" s="888"/>
      <c r="R61" s="888"/>
      <c r="S61" s="882"/>
      <c r="T61" s="888"/>
      <c r="U61" s="882"/>
      <c r="V61" s="887"/>
      <c r="W61" s="888">
        <v>10</v>
      </c>
      <c r="X61" s="882"/>
      <c r="Y61" s="888"/>
      <c r="Z61" s="882"/>
      <c r="AA61" s="882"/>
      <c r="AB61" s="882">
        <v>25</v>
      </c>
      <c r="AC61" s="882"/>
      <c r="AD61" s="882"/>
      <c r="AE61" s="882">
        <v>5</v>
      </c>
      <c r="AF61" s="882"/>
      <c r="AG61" s="882">
        <v>10</v>
      </c>
      <c r="AH61" s="882"/>
      <c r="AI61" s="882"/>
      <c r="AJ61" s="882"/>
      <c r="AK61" s="882"/>
      <c r="AL61" s="889"/>
    </row>
    <row r="62" spans="1:38" s="890" customFormat="1">
      <c r="A62" s="882">
        <v>97</v>
      </c>
      <c r="B62" s="891">
        <f>+A62-C62</f>
        <v>39</v>
      </c>
      <c r="C62" s="882">
        <f t="shared" si="2"/>
        <v>58</v>
      </c>
      <c r="D62" s="883">
        <v>1230</v>
      </c>
      <c r="E62" s="884" t="str">
        <f>IFERROR(VLOOKUP(Table2[[#This Row],[Player No]],Table10[[No]:[Province]],2,0),"")</f>
        <v xml:space="preserve">SIVNARAIN Kivesh </v>
      </c>
      <c r="F62" s="885" t="str">
        <f>IFERROR(VLOOKUP(Table2[[#This Row],[Player No]],Table10[[No]:[Province]],3,0),"")</f>
        <v>ETTA</v>
      </c>
      <c r="G62" s="892">
        <v>65.28515625</v>
      </c>
      <c r="H62" s="886">
        <f>(Table2[[#This Row],[Points 2025]]/2)+SUM(Table2[[#This Row],[O1  ADMIN 2026]:[P2    CAPE TOWN OPEN 2026 ]])</f>
        <v>32.642578125</v>
      </c>
      <c r="I62" s="880">
        <f t="shared" si="1"/>
        <v>0</v>
      </c>
      <c r="J62" s="882">
        <f t="shared" si="3"/>
        <v>0</v>
      </c>
      <c r="K62" s="887" t="s">
        <v>6083</v>
      </c>
      <c r="L62" s="887" t="s">
        <v>6083</v>
      </c>
      <c r="M62" s="887" t="s">
        <v>6083</v>
      </c>
      <c r="N62" s="887"/>
      <c r="O62" s="882">
        <v>15</v>
      </c>
      <c r="P62" s="882">
        <v>10</v>
      </c>
      <c r="Q62" s="888">
        <v>2</v>
      </c>
      <c r="R62" s="888">
        <v>15</v>
      </c>
      <c r="S62" s="882">
        <v>10</v>
      </c>
      <c r="T62" s="888"/>
      <c r="U62" s="882"/>
      <c r="V62" s="887"/>
      <c r="W62" s="888"/>
      <c r="X62" s="882"/>
      <c r="Y62" s="888"/>
      <c r="Z62" s="882">
        <v>5</v>
      </c>
      <c r="AA62" s="882"/>
      <c r="AB62" s="882"/>
      <c r="AC62" s="882"/>
      <c r="AD62" s="882"/>
      <c r="AE62" s="882"/>
      <c r="AF62" s="882"/>
      <c r="AG62" s="882"/>
      <c r="AH62" s="882"/>
      <c r="AI62" s="882"/>
      <c r="AJ62" s="882"/>
      <c r="AK62" s="882"/>
      <c r="AL62" s="889"/>
    </row>
    <row r="63" spans="1:38" s="890" customFormat="1">
      <c r="A63" s="882">
        <v>59</v>
      </c>
      <c r="B63" s="891">
        <f>+A63-C63</f>
        <v>0</v>
      </c>
      <c r="C63" s="882">
        <f t="shared" si="2"/>
        <v>59</v>
      </c>
      <c r="D63" s="883">
        <v>1413</v>
      </c>
      <c r="E63" s="884" t="str">
        <f>IFERROR(VLOOKUP(Table2[[#This Row],[Player No]],Table10[[No]:[Province]],2,0),"")</f>
        <v>HUSSAIN Talal</v>
      </c>
      <c r="F63" s="885" t="str">
        <f>IFERROR(VLOOKUP(Table2[[#This Row],[Player No]],Table10[[No]:[Province]],3,0),"")</f>
        <v>FS</v>
      </c>
      <c r="G63" s="892">
        <v>65</v>
      </c>
      <c r="H63" s="886">
        <f>(Table2[[#This Row],[Points 2025]]/2)+SUM(Table2[[#This Row],[O1  ADMIN 2026]:[P2    CAPE TOWN OPEN 2026 ]])</f>
        <v>32.5</v>
      </c>
      <c r="I63" s="880">
        <f t="shared" si="1"/>
        <v>0</v>
      </c>
      <c r="J63" s="882">
        <f t="shared" si="3"/>
        <v>0</v>
      </c>
      <c r="K63" s="887" t="s">
        <v>6083</v>
      </c>
      <c r="L63" s="887" t="s">
        <v>6083</v>
      </c>
      <c r="M63" s="887" t="s">
        <v>6083</v>
      </c>
      <c r="N63" s="887"/>
      <c r="O63" s="882"/>
      <c r="P63" s="882"/>
      <c r="Q63" s="888"/>
      <c r="R63" s="888"/>
      <c r="S63" s="882"/>
      <c r="T63" s="888"/>
      <c r="U63" s="882"/>
      <c r="V63" s="887"/>
      <c r="W63" s="888"/>
      <c r="X63" s="882"/>
      <c r="Y63" s="888"/>
      <c r="Z63" s="882"/>
      <c r="AA63" s="882"/>
      <c r="AB63" s="882"/>
      <c r="AC63" s="882"/>
      <c r="AD63" s="882"/>
      <c r="AE63" s="882"/>
      <c r="AF63" s="882"/>
      <c r="AG63" s="882">
        <v>75</v>
      </c>
      <c r="AH63" s="882"/>
      <c r="AI63" s="882">
        <v>25</v>
      </c>
      <c r="AJ63" s="882"/>
      <c r="AK63" s="882"/>
      <c r="AL63" s="889"/>
    </row>
    <row r="64" spans="1:38" s="890" customFormat="1">
      <c r="A64" s="882"/>
      <c r="B64" s="891"/>
      <c r="C64" s="882">
        <f t="shared" si="2"/>
        <v>60</v>
      </c>
      <c r="D64" s="883">
        <v>2708</v>
      </c>
      <c r="E64" s="884" t="str">
        <f>IFERROR(VLOOKUP(Table2[[#This Row],[Player No]],Table10[[No]:[Province]],2,0),"")</f>
        <v>LINGEVELDT Matthew</v>
      </c>
      <c r="F64" s="885" t="str">
        <f>IFERROR(VLOOKUP(Table2[[#This Row],[Player No]],Table10[[No]:[Province]],3,0),"")</f>
        <v>CT</v>
      </c>
      <c r="G64" s="892">
        <v>65</v>
      </c>
      <c r="H64" s="886">
        <f>(Table2[[#This Row],[Points 2025]]/2)+SUM(Table2[[#This Row],[O1  ADMIN 2026]:[P2    CAPE TOWN OPEN 2026 ]])</f>
        <v>32.5</v>
      </c>
      <c r="I64" s="880">
        <f t="shared" si="1"/>
        <v>0</v>
      </c>
      <c r="J64" s="882">
        <f t="shared" si="3"/>
        <v>0</v>
      </c>
      <c r="K64" s="887" t="s">
        <v>6083</v>
      </c>
      <c r="L64" s="887" t="s">
        <v>6083</v>
      </c>
      <c r="M64" s="887" t="s">
        <v>6083</v>
      </c>
      <c r="N64" s="887"/>
      <c r="O64" s="882"/>
      <c r="P64" s="882"/>
      <c r="Q64" s="888"/>
      <c r="R64" s="888"/>
      <c r="S64" s="882"/>
      <c r="T64" s="888">
        <v>25</v>
      </c>
      <c r="U64" s="882"/>
      <c r="V64" s="887"/>
      <c r="W64" s="888">
        <v>25</v>
      </c>
      <c r="X64" s="882"/>
      <c r="Y64" s="888"/>
      <c r="Z64" s="882"/>
      <c r="AA64" s="882"/>
      <c r="AB64" s="882">
        <v>15</v>
      </c>
      <c r="AC64" s="882"/>
      <c r="AD64" s="882"/>
      <c r="AE64" s="882"/>
      <c r="AF64" s="882"/>
      <c r="AG64" s="882"/>
      <c r="AH64" s="882"/>
      <c r="AI64" s="882"/>
      <c r="AJ64" s="882"/>
      <c r="AK64" s="882"/>
      <c r="AL64" s="889"/>
    </row>
    <row r="65" spans="1:38" s="890" customFormat="1">
      <c r="A65" s="882">
        <v>425</v>
      </c>
      <c r="B65" s="891">
        <f t="shared" ref="B65:B81" si="5">+A65-C65</f>
        <v>364</v>
      </c>
      <c r="C65" s="882">
        <f t="shared" si="2"/>
        <v>61</v>
      </c>
      <c r="D65" s="883">
        <v>3459</v>
      </c>
      <c r="E65" s="884" t="str">
        <f>IFERROR(VLOOKUP(Table2[[#This Row],[Player No]],Table10[[No]:[Province]],2,0),"")</f>
        <v>MARTIN Ethan</v>
      </c>
      <c r="F65" s="885" t="str">
        <f>IFERROR(VLOOKUP(Table2[[#This Row],[Player No]],Table10[[No]:[Province]],3,0),"")</f>
        <v>GN</v>
      </c>
      <c r="G65" s="892">
        <v>45</v>
      </c>
      <c r="H65" s="886">
        <f>(Table2[[#This Row],[Points 2025]]/2)+SUM(Table2[[#This Row],[O1  ADMIN 2026]:[P2    CAPE TOWN OPEN 2026 ]])</f>
        <v>32.5</v>
      </c>
      <c r="I65" s="880">
        <f t="shared" si="1"/>
        <v>1</v>
      </c>
      <c r="J65" s="882">
        <f t="shared" si="3"/>
        <v>0</v>
      </c>
      <c r="K65" s="887">
        <v>10</v>
      </c>
      <c r="L65" s="887" t="s">
        <v>6083</v>
      </c>
      <c r="M65" s="887" t="s">
        <v>6083</v>
      </c>
      <c r="N65" s="887"/>
      <c r="O65" s="882">
        <v>15</v>
      </c>
      <c r="P65" s="882"/>
      <c r="Q65" s="888"/>
      <c r="R65" s="888">
        <v>1</v>
      </c>
      <c r="S65" s="882"/>
      <c r="T65" s="888">
        <v>1</v>
      </c>
      <c r="U65" s="882"/>
      <c r="V65" s="887"/>
      <c r="W65" s="888">
        <v>10</v>
      </c>
      <c r="X65" s="882">
        <v>0.5</v>
      </c>
      <c r="Y65" s="888">
        <v>4</v>
      </c>
      <c r="Z65" s="882">
        <v>3</v>
      </c>
      <c r="AA65" s="882"/>
      <c r="AB65" s="882"/>
      <c r="AC65" s="882"/>
      <c r="AD65" s="882"/>
      <c r="AE65" s="882"/>
      <c r="AF65" s="882"/>
      <c r="AG65" s="882">
        <v>10</v>
      </c>
      <c r="AH65" s="882">
        <v>10</v>
      </c>
      <c r="AI65" s="882"/>
      <c r="AJ65" s="882"/>
      <c r="AK65" s="882">
        <v>1</v>
      </c>
      <c r="AL65" s="889"/>
    </row>
    <row r="66" spans="1:38" s="890" customFormat="1">
      <c r="A66" s="882">
        <v>65</v>
      </c>
      <c r="B66" s="891">
        <f t="shared" si="5"/>
        <v>3</v>
      </c>
      <c r="C66" s="882">
        <f t="shared" si="2"/>
        <v>62</v>
      </c>
      <c r="D66" s="883">
        <v>1323</v>
      </c>
      <c r="E66" s="884" t="str">
        <f>IFERROR(VLOOKUP(Table2[[#This Row],[Player No]],Table10[[No]:[Province]],2,0),"")</f>
        <v xml:space="preserve">NTSWELI Alizwa </v>
      </c>
      <c r="F66" s="885" t="str">
        <f>IFERROR(VLOOKUP(Table2[[#This Row],[Player No]],Table10[[No]:[Province]],3,0),"")</f>
        <v>EC</v>
      </c>
      <c r="G66" s="892">
        <v>63.5</v>
      </c>
      <c r="H66" s="886">
        <f>(Table2[[#This Row],[Points 2025]]/2)+SUM(Table2[[#This Row],[O1  ADMIN 2026]:[P2    CAPE TOWN OPEN 2026 ]])</f>
        <v>31.75</v>
      </c>
      <c r="I66" s="880">
        <f t="shared" si="1"/>
        <v>0</v>
      </c>
      <c r="J66" s="882">
        <f t="shared" si="3"/>
        <v>0</v>
      </c>
      <c r="K66" s="887" t="s">
        <v>6083</v>
      </c>
      <c r="L66" s="887" t="s">
        <v>6083</v>
      </c>
      <c r="M66" s="887" t="s">
        <v>6083</v>
      </c>
      <c r="N66" s="887"/>
      <c r="O66" s="882"/>
      <c r="P66" s="882"/>
      <c r="Q66" s="888"/>
      <c r="R66" s="888"/>
      <c r="S66" s="882"/>
      <c r="T66" s="888"/>
      <c r="U66" s="882"/>
      <c r="V66" s="887">
        <v>50</v>
      </c>
      <c r="W66" s="888"/>
      <c r="X66" s="882"/>
      <c r="Y66" s="888"/>
      <c r="Z66" s="882"/>
      <c r="AA66" s="882"/>
      <c r="AB66" s="882"/>
      <c r="AC66" s="882"/>
      <c r="AD66" s="882"/>
      <c r="AE66" s="882"/>
      <c r="AF66" s="882"/>
      <c r="AG66" s="882"/>
      <c r="AH66" s="882"/>
      <c r="AI66" s="882">
        <v>2</v>
      </c>
      <c r="AJ66" s="882">
        <v>15</v>
      </c>
      <c r="AK66" s="882"/>
      <c r="AL66" s="889"/>
    </row>
    <row r="67" spans="1:38" s="890" customFormat="1">
      <c r="A67" s="882">
        <v>100</v>
      </c>
      <c r="B67" s="891">
        <f t="shared" si="5"/>
        <v>37</v>
      </c>
      <c r="C67" s="882">
        <f t="shared" si="2"/>
        <v>63</v>
      </c>
      <c r="D67" s="883">
        <v>1762</v>
      </c>
      <c r="E67" s="884" t="str">
        <f>IFERROR(VLOOKUP(Table2[[#This Row],[Player No]],Table10[[No]:[Province]],2,0),"")</f>
        <v xml:space="preserve">SCHROEDER Mekhail </v>
      </c>
      <c r="F67" s="885" t="str">
        <f>IFERROR(VLOOKUP(Table2[[#This Row],[Player No]],Table10[[No]:[Province]],3,0),"")</f>
        <v>CT</v>
      </c>
      <c r="G67" s="892">
        <v>63.0625</v>
      </c>
      <c r="H67" s="886">
        <f>(Table2[[#This Row],[Points 2025]]/2)+SUM(Table2[[#This Row],[O1  ADMIN 2026]:[P2    CAPE TOWN OPEN 2026 ]])</f>
        <v>31.53125</v>
      </c>
      <c r="I67" s="880">
        <f t="shared" si="1"/>
        <v>0</v>
      </c>
      <c r="J67" s="882">
        <f t="shared" si="3"/>
        <v>0</v>
      </c>
      <c r="K67" s="887" t="s">
        <v>6083</v>
      </c>
      <c r="L67" s="887" t="s">
        <v>6083</v>
      </c>
      <c r="M67" s="887" t="s">
        <v>6083</v>
      </c>
      <c r="N67" s="887"/>
      <c r="O67" s="882"/>
      <c r="P67" s="882"/>
      <c r="Q67" s="888"/>
      <c r="R67" s="888"/>
      <c r="S67" s="882"/>
      <c r="T67" s="888"/>
      <c r="U67" s="882"/>
      <c r="V67" s="887"/>
      <c r="W67" s="888">
        <v>25</v>
      </c>
      <c r="X67" s="882"/>
      <c r="Y67" s="888"/>
      <c r="Z67" s="882"/>
      <c r="AA67" s="882"/>
      <c r="AB67" s="882">
        <v>15</v>
      </c>
      <c r="AC67" s="882"/>
      <c r="AD67" s="882"/>
      <c r="AE67" s="882">
        <v>5</v>
      </c>
      <c r="AF67" s="882">
        <v>25</v>
      </c>
      <c r="AG67" s="882"/>
      <c r="AH67" s="882"/>
      <c r="AI67" s="882"/>
      <c r="AJ67" s="882"/>
      <c r="AK67" s="882"/>
      <c r="AL67" s="889"/>
    </row>
    <row r="68" spans="1:38" s="890" customFormat="1">
      <c r="A68" s="882">
        <v>58</v>
      </c>
      <c r="B68" s="891">
        <f t="shared" si="5"/>
        <v>-6</v>
      </c>
      <c r="C68" s="882">
        <f t="shared" si="2"/>
        <v>64</v>
      </c>
      <c r="D68" s="883">
        <v>2647</v>
      </c>
      <c r="E68" s="884" t="str">
        <f>IFERROR(VLOOKUP(Table2[[#This Row],[Player No]],Table10[[No]:[Province]],2,0),"")</f>
        <v xml:space="preserve">CARRASCO Vic </v>
      </c>
      <c r="F68" s="885" t="str">
        <f>IFERROR(VLOOKUP(Table2[[#This Row],[Player No]],Table10[[No]:[Province]],3,0),"")</f>
        <v>FS</v>
      </c>
      <c r="G68" s="892">
        <v>62.96875</v>
      </c>
      <c r="H68" s="886">
        <f>(Table2[[#This Row],[Points 2025]]/2)+SUM(Table2[[#This Row],[O1  ADMIN 2026]:[P2    CAPE TOWN OPEN 2026 ]])</f>
        <v>31.484375</v>
      </c>
      <c r="I68" s="880">
        <f t="shared" si="1"/>
        <v>0</v>
      </c>
      <c r="J68" s="882">
        <f t="shared" si="3"/>
        <v>0</v>
      </c>
      <c r="K68" s="887" t="s">
        <v>6083</v>
      </c>
      <c r="L68" s="887" t="s">
        <v>6083</v>
      </c>
      <c r="M68" s="887" t="s">
        <v>6083</v>
      </c>
      <c r="N68" s="887"/>
      <c r="O68" s="882"/>
      <c r="P68" s="882"/>
      <c r="Q68" s="888"/>
      <c r="R68" s="888"/>
      <c r="S68" s="882"/>
      <c r="T68" s="888">
        <v>15</v>
      </c>
      <c r="U68" s="882">
        <v>17.5</v>
      </c>
      <c r="V68" s="887"/>
      <c r="W68" s="888">
        <v>5</v>
      </c>
      <c r="X68" s="882"/>
      <c r="Y68" s="888"/>
      <c r="Z68" s="882">
        <v>5</v>
      </c>
      <c r="AA68" s="882"/>
      <c r="AB68" s="882"/>
      <c r="AC68" s="882"/>
      <c r="AD68" s="882"/>
      <c r="AE68" s="882"/>
      <c r="AF68" s="882"/>
      <c r="AG68" s="882">
        <v>10</v>
      </c>
      <c r="AH68" s="882"/>
      <c r="AI68" s="882"/>
      <c r="AJ68" s="882">
        <v>5</v>
      </c>
      <c r="AK68" s="882"/>
      <c r="AL68" s="889"/>
    </row>
    <row r="69" spans="1:38" s="890" customFormat="1">
      <c r="A69" s="882">
        <v>42</v>
      </c>
      <c r="B69" s="891">
        <f t="shared" si="5"/>
        <v>-23</v>
      </c>
      <c r="C69" s="882">
        <f t="shared" si="2"/>
        <v>65</v>
      </c>
      <c r="D69" s="883">
        <v>1013</v>
      </c>
      <c r="E69" s="884" t="str">
        <f>IFERROR(VLOOKUP(Table2[[#This Row],[Player No]],Table10[[No]:[Province]],2,0),"")</f>
        <v xml:space="preserve">BADAT Ismail </v>
      </c>
      <c r="F69" s="885" t="str">
        <f>IFERROR(VLOOKUP(Table2[[#This Row],[Player No]],Table10[[No]:[Province]],3,0),"")</f>
        <v>JTTA</v>
      </c>
      <c r="G69" s="892">
        <v>62.060546875</v>
      </c>
      <c r="H69" s="886">
        <f>(Table2[[#This Row],[Points 2025]]/2)+SUM(Table2[[#This Row],[O1  ADMIN 2026]:[P2    CAPE TOWN OPEN 2026 ]])</f>
        <v>31.0302734375</v>
      </c>
      <c r="I69" s="880">
        <f t="shared" ref="I69:I132" si="6">COUNTIF(K69:N69,"&gt;0")</f>
        <v>0</v>
      </c>
      <c r="J69" s="882">
        <f t="shared" si="3"/>
        <v>0</v>
      </c>
      <c r="K69" s="887" t="s">
        <v>6083</v>
      </c>
      <c r="L69" s="887" t="s">
        <v>6083</v>
      </c>
      <c r="M69" s="887" t="s">
        <v>6083</v>
      </c>
      <c r="N69" s="887"/>
      <c r="O69" s="882"/>
      <c r="P69" s="882"/>
      <c r="Q69" s="888"/>
      <c r="R69" s="888"/>
      <c r="S69" s="882"/>
      <c r="T69" s="888"/>
      <c r="U69" s="882"/>
      <c r="V69" s="887"/>
      <c r="W69" s="888"/>
      <c r="X69" s="882"/>
      <c r="Y69" s="888"/>
      <c r="Z69" s="882">
        <v>15</v>
      </c>
      <c r="AA69" s="882"/>
      <c r="AB69" s="882"/>
      <c r="AC69" s="882"/>
      <c r="AD69" s="882"/>
      <c r="AE69" s="882"/>
      <c r="AF69" s="882"/>
      <c r="AG69" s="882">
        <v>50</v>
      </c>
      <c r="AH69" s="882"/>
      <c r="AI69" s="882"/>
      <c r="AJ69" s="882"/>
      <c r="AK69" s="882"/>
      <c r="AL69" s="889"/>
    </row>
    <row r="70" spans="1:38" s="890" customFormat="1">
      <c r="A70" s="882">
        <v>57</v>
      </c>
      <c r="B70" s="891">
        <f t="shared" si="5"/>
        <v>-9</v>
      </c>
      <c r="C70" s="882">
        <f t="shared" ref="C70:C133" si="7">C69+1</f>
        <v>66</v>
      </c>
      <c r="D70" s="883">
        <v>3382</v>
      </c>
      <c r="E70" s="884" t="str">
        <f>IFERROR(VLOOKUP(Table2[[#This Row],[Player No]],Table10[[No]:[Province]],2,0),"")</f>
        <v>NAIDOO Daniel</v>
      </c>
      <c r="F70" s="885" t="str">
        <f>IFERROR(VLOOKUP(Table2[[#This Row],[Player No]],Table10[[No]:[Province]],3,0),"")</f>
        <v>ETTA</v>
      </c>
      <c r="G70" s="892">
        <v>56</v>
      </c>
      <c r="H70" s="886">
        <f>(Table2[[#This Row],[Points 2025]]/2)+SUM(Table2[[#This Row],[O1  ADMIN 2026]:[P2    CAPE TOWN OPEN 2026 ]])</f>
        <v>30</v>
      </c>
      <c r="I70" s="880">
        <f t="shared" si="6"/>
        <v>1</v>
      </c>
      <c r="J70" s="882">
        <f t="shared" si="3"/>
        <v>0</v>
      </c>
      <c r="K70" s="887" t="s">
        <v>6083</v>
      </c>
      <c r="L70" s="887" t="s">
        <v>6083</v>
      </c>
      <c r="M70" s="887">
        <v>2</v>
      </c>
      <c r="N70" s="887"/>
      <c r="O70" s="882">
        <v>15</v>
      </c>
      <c r="P70" s="882"/>
      <c r="Q70" s="888">
        <v>10</v>
      </c>
      <c r="R70" s="888">
        <v>5</v>
      </c>
      <c r="S70" s="882"/>
      <c r="T70" s="888"/>
      <c r="U70" s="882"/>
      <c r="V70" s="887"/>
      <c r="W70" s="888">
        <v>10</v>
      </c>
      <c r="X70" s="882"/>
      <c r="Y70" s="888"/>
      <c r="Z70" s="882"/>
      <c r="AA70" s="882"/>
      <c r="AB70" s="882"/>
      <c r="AC70" s="882">
        <v>25</v>
      </c>
      <c r="AD70" s="882">
        <v>2</v>
      </c>
      <c r="AE70" s="882"/>
      <c r="AF70" s="882"/>
      <c r="AG70" s="882"/>
      <c r="AH70" s="882"/>
      <c r="AI70" s="882"/>
      <c r="AJ70" s="882"/>
      <c r="AK70" s="882"/>
      <c r="AL70" s="889"/>
    </row>
    <row r="71" spans="1:38" s="890" customFormat="1">
      <c r="A71" s="882">
        <v>52</v>
      </c>
      <c r="B71" s="891">
        <f t="shared" si="5"/>
        <v>-15</v>
      </c>
      <c r="C71" s="882">
        <f t="shared" si="7"/>
        <v>67</v>
      </c>
      <c r="D71" s="883">
        <v>3493</v>
      </c>
      <c r="E71" s="884" t="str">
        <f>IFERROR(VLOOKUP(Table2[[#This Row],[Player No]],Table10[[No]:[Province]],2,0),"")</f>
        <v>JANHI Nick</v>
      </c>
      <c r="F71" s="885" t="str">
        <f>IFERROR(VLOOKUP(Table2[[#This Row],[Player No]],Table10[[No]:[Province]],3,0),"")</f>
        <v>ZIM</v>
      </c>
      <c r="G71" s="892">
        <v>59.75</v>
      </c>
      <c r="H71" s="886">
        <f>(Table2[[#This Row],[Points 2025]]/2)+SUM(Table2[[#This Row],[O1  ADMIN 2026]:[P2    CAPE TOWN OPEN 2026 ]])</f>
        <v>29.875</v>
      </c>
      <c r="I71" s="880">
        <f t="shared" si="6"/>
        <v>0</v>
      </c>
      <c r="J71" s="882">
        <f t="shared" si="3"/>
        <v>0</v>
      </c>
      <c r="K71" s="887" t="s">
        <v>6083</v>
      </c>
      <c r="L71" s="887" t="s">
        <v>6083</v>
      </c>
      <c r="M71" s="887" t="s">
        <v>6083</v>
      </c>
      <c r="N71" s="887"/>
      <c r="O71" s="882">
        <v>15</v>
      </c>
      <c r="P71" s="882">
        <v>10</v>
      </c>
      <c r="Q71" s="888"/>
      <c r="R71" s="888"/>
      <c r="S71" s="882"/>
      <c r="T71" s="888"/>
      <c r="U71" s="882"/>
      <c r="V71" s="887"/>
      <c r="W71" s="888"/>
      <c r="X71" s="882">
        <v>5</v>
      </c>
      <c r="Y71" s="888">
        <v>12</v>
      </c>
      <c r="Z71" s="882">
        <v>1</v>
      </c>
      <c r="AA71" s="882"/>
      <c r="AB71" s="882"/>
      <c r="AC71" s="882"/>
      <c r="AD71" s="882">
        <v>15</v>
      </c>
      <c r="AE71" s="882"/>
      <c r="AF71" s="882"/>
      <c r="AG71" s="882"/>
      <c r="AH71" s="882">
        <v>2</v>
      </c>
      <c r="AI71" s="882"/>
      <c r="AJ71" s="882">
        <v>15</v>
      </c>
      <c r="AK71" s="882"/>
      <c r="AL71" s="889"/>
    </row>
    <row r="72" spans="1:38" s="890" customFormat="1">
      <c r="A72" s="882">
        <v>128</v>
      </c>
      <c r="B72" s="891">
        <f t="shared" si="5"/>
        <v>60</v>
      </c>
      <c r="C72" s="882">
        <f t="shared" si="7"/>
        <v>68</v>
      </c>
      <c r="D72" s="883">
        <v>1125</v>
      </c>
      <c r="E72" s="884" t="str">
        <f>IFERROR(VLOOKUP(Table2[[#This Row],[Player No]],Table10[[No]:[Province]],2,0),"")</f>
        <v xml:space="preserve">DU PLOOY Joshua </v>
      </c>
      <c r="F72" s="885" t="str">
        <f>IFERROR(VLOOKUP(Table2[[#This Row],[Player No]],Table10[[No]:[Province]],3,0),"")</f>
        <v>CT</v>
      </c>
      <c r="G72" s="892">
        <v>58.68359375</v>
      </c>
      <c r="H72" s="886">
        <f>(Table2[[#This Row],[Points 2025]]/2)+SUM(Table2[[#This Row],[O1  ADMIN 2026]:[P2    CAPE TOWN OPEN 2026 ]])</f>
        <v>29.341796875</v>
      </c>
      <c r="I72" s="880">
        <f t="shared" si="6"/>
        <v>0</v>
      </c>
      <c r="J72" s="882">
        <f t="shared" si="3"/>
        <v>0</v>
      </c>
      <c r="K72" s="887" t="s">
        <v>6083</v>
      </c>
      <c r="L72" s="887" t="s">
        <v>6083</v>
      </c>
      <c r="M72" s="887" t="s">
        <v>6083</v>
      </c>
      <c r="N72" s="887"/>
      <c r="O72" s="882"/>
      <c r="P72" s="882"/>
      <c r="Q72" s="888"/>
      <c r="R72" s="888"/>
      <c r="S72" s="882"/>
      <c r="T72" s="888"/>
      <c r="U72" s="882"/>
      <c r="V72" s="887"/>
      <c r="W72" s="888"/>
      <c r="X72" s="882"/>
      <c r="Y72" s="888"/>
      <c r="Z72" s="882"/>
      <c r="AA72" s="882"/>
      <c r="AB72" s="882">
        <v>25</v>
      </c>
      <c r="AC72" s="882"/>
      <c r="AD72" s="882"/>
      <c r="AE72" s="882">
        <v>5</v>
      </c>
      <c r="AF72" s="882">
        <v>25</v>
      </c>
      <c r="AG72" s="882">
        <v>25</v>
      </c>
      <c r="AH72" s="882"/>
      <c r="AI72" s="882"/>
      <c r="AJ72" s="882"/>
      <c r="AK72" s="882"/>
      <c r="AL72" s="889"/>
    </row>
    <row r="73" spans="1:38" s="890" customFormat="1">
      <c r="A73" s="882">
        <v>154</v>
      </c>
      <c r="B73" s="891">
        <f t="shared" si="5"/>
        <v>85</v>
      </c>
      <c r="C73" s="882">
        <f t="shared" si="7"/>
        <v>69</v>
      </c>
      <c r="D73" s="883">
        <v>2684</v>
      </c>
      <c r="E73" s="884" t="str">
        <f>IFERROR(VLOOKUP(Table2[[#This Row],[Player No]],Table10[[No]:[Province]],2,0),"")</f>
        <v>VENTER Ruan</v>
      </c>
      <c r="F73" s="885" t="str">
        <f>IFERROR(VLOOKUP(Table2[[#This Row],[Player No]],Table10[[No]:[Province]],3,0),"")</f>
        <v>GN</v>
      </c>
      <c r="G73" s="892">
        <v>38.25</v>
      </c>
      <c r="H73" s="886">
        <f>(Table2[[#This Row],[Points 2025]]/2)+SUM(Table2[[#This Row],[O1  ADMIN 2026]:[P2    CAPE TOWN OPEN 2026 ]])</f>
        <v>29.125</v>
      </c>
      <c r="I73" s="880">
        <f t="shared" si="6"/>
        <v>1</v>
      </c>
      <c r="J73" s="882">
        <f t="shared" si="3"/>
        <v>0</v>
      </c>
      <c r="K73" s="887">
        <v>10</v>
      </c>
      <c r="L73" s="887" t="s">
        <v>6083</v>
      </c>
      <c r="M73" s="887" t="s">
        <v>6083</v>
      </c>
      <c r="N73" s="887"/>
      <c r="O73" s="882"/>
      <c r="P73" s="882"/>
      <c r="Q73" s="888"/>
      <c r="R73" s="888"/>
      <c r="S73" s="882"/>
      <c r="T73" s="888"/>
      <c r="U73" s="882"/>
      <c r="V73" s="887"/>
      <c r="W73" s="888"/>
      <c r="X73" s="882"/>
      <c r="Y73" s="888">
        <v>4</v>
      </c>
      <c r="Z73" s="882">
        <v>5</v>
      </c>
      <c r="AA73" s="882">
        <v>17.5</v>
      </c>
      <c r="AB73" s="882"/>
      <c r="AC73" s="882"/>
      <c r="AD73" s="882"/>
      <c r="AE73" s="882"/>
      <c r="AF73" s="882"/>
      <c r="AG73" s="882"/>
      <c r="AH73" s="882"/>
      <c r="AI73" s="882">
        <v>15</v>
      </c>
      <c r="AJ73" s="882">
        <v>5</v>
      </c>
      <c r="AK73" s="882"/>
      <c r="AL73" s="889"/>
    </row>
    <row r="74" spans="1:38" s="890" customFormat="1">
      <c r="A74" s="882">
        <v>172</v>
      </c>
      <c r="B74" s="891">
        <f t="shared" si="5"/>
        <v>102</v>
      </c>
      <c r="C74" s="882">
        <f t="shared" si="7"/>
        <v>70</v>
      </c>
      <c r="D74" s="883">
        <v>2918</v>
      </c>
      <c r="E74" s="884" t="str">
        <f>IFERROR(VLOOKUP(Table2[[#This Row],[Player No]],Table10[[No]:[Province]],2,0),"")</f>
        <v>HUSVU Makomborero</v>
      </c>
      <c r="F74" s="885" t="str">
        <f>IFERROR(VLOOKUP(Table2[[#This Row],[Player No]],Table10[[No]:[Province]],3,0),"")</f>
        <v>GN</v>
      </c>
      <c r="G74" s="892">
        <v>33.25</v>
      </c>
      <c r="H74" s="886">
        <f>(Table2[[#This Row],[Points 2025]]/2)+SUM(Table2[[#This Row],[O1  ADMIN 2026]:[P2    CAPE TOWN OPEN 2026 ]])</f>
        <v>28.625</v>
      </c>
      <c r="I74" s="880">
        <f t="shared" si="6"/>
        <v>2</v>
      </c>
      <c r="J74" s="882">
        <f t="shared" si="3"/>
        <v>0</v>
      </c>
      <c r="K74" s="887">
        <v>2</v>
      </c>
      <c r="L74" s="887">
        <v>10</v>
      </c>
      <c r="M74" s="887" t="s">
        <v>6083</v>
      </c>
      <c r="N74" s="887"/>
      <c r="O74" s="882">
        <v>15</v>
      </c>
      <c r="P74" s="882"/>
      <c r="Q74" s="888"/>
      <c r="R74" s="888"/>
      <c r="S74" s="882"/>
      <c r="T74" s="888">
        <v>1</v>
      </c>
      <c r="U74" s="882"/>
      <c r="V74" s="887"/>
      <c r="W74" s="888"/>
      <c r="X74" s="882">
        <v>1</v>
      </c>
      <c r="Y74" s="888">
        <v>4</v>
      </c>
      <c r="Z74" s="882">
        <v>1</v>
      </c>
      <c r="AA74" s="882"/>
      <c r="AB74" s="882"/>
      <c r="AC74" s="882">
        <v>2</v>
      </c>
      <c r="AD74" s="882">
        <v>2</v>
      </c>
      <c r="AE74" s="882"/>
      <c r="AF74" s="882"/>
      <c r="AG74" s="882"/>
      <c r="AH74" s="882">
        <v>10</v>
      </c>
      <c r="AI74" s="882">
        <v>5</v>
      </c>
      <c r="AJ74" s="882">
        <v>1</v>
      </c>
      <c r="AK74" s="882">
        <v>1</v>
      </c>
      <c r="AL74" s="889"/>
    </row>
    <row r="75" spans="1:38" s="890" customFormat="1">
      <c r="A75" s="882">
        <v>144</v>
      </c>
      <c r="B75" s="891">
        <f t="shared" si="5"/>
        <v>73</v>
      </c>
      <c r="C75" s="882">
        <f t="shared" si="7"/>
        <v>71</v>
      </c>
      <c r="D75" s="883">
        <v>1225</v>
      </c>
      <c r="E75" s="884" t="str">
        <f>IFERROR(VLOOKUP(Table2[[#This Row],[Player No]],Table10[[No]:[Province]],2,0),"")</f>
        <v xml:space="preserve">BOOI Sipho </v>
      </c>
      <c r="F75" s="885" t="str">
        <f>IFERROR(VLOOKUP(Table2[[#This Row],[Player No]],Table10[[No]:[Province]],3,0),"")</f>
        <v>FS</v>
      </c>
      <c r="G75" s="892">
        <v>27.109375</v>
      </c>
      <c r="H75" s="886">
        <f>(Table2[[#This Row],[Points 2025]]/2)+SUM(Table2[[#This Row],[O1  ADMIN 2026]:[P2    CAPE TOWN OPEN 2026 ]])</f>
        <v>28.5546875</v>
      </c>
      <c r="I75" s="880">
        <f t="shared" si="6"/>
        <v>1</v>
      </c>
      <c r="J75" s="882">
        <f t="shared" si="3"/>
        <v>0</v>
      </c>
      <c r="K75" s="887">
        <v>15</v>
      </c>
      <c r="L75" s="887" t="s">
        <v>6083</v>
      </c>
      <c r="M75" s="887" t="s">
        <v>6083</v>
      </c>
      <c r="N75" s="887"/>
      <c r="O75" s="882"/>
      <c r="P75" s="882"/>
      <c r="Q75" s="888"/>
      <c r="R75" s="888"/>
      <c r="S75" s="882"/>
      <c r="T75" s="888">
        <v>5</v>
      </c>
      <c r="U75" s="882">
        <v>1</v>
      </c>
      <c r="V75" s="887"/>
      <c r="W75" s="888">
        <v>10</v>
      </c>
      <c r="X75" s="882">
        <v>1</v>
      </c>
      <c r="Y75" s="888"/>
      <c r="Z75" s="882">
        <v>3</v>
      </c>
      <c r="AA75" s="882"/>
      <c r="AB75" s="882"/>
      <c r="AC75" s="882"/>
      <c r="AD75" s="882"/>
      <c r="AE75" s="882"/>
      <c r="AF75" s="882"/>
      <c r="AG75" s="882"/>
      <c r="AH75" s="882"/>
      <c r="AI75" s="882">
        <v>5</v>
      </c>
      <c r="AJ75" s="882"/>
      <c r="AK75" s="882"/>
      <c r="AL75" s="889"/>
    </row>
    <row r="76" spans="1:38" s="890" customFormat="1">
      <c r="A76" s="882">
        <v>51</v>
      </c>
      <c r="B76" s="891">
        <f t="shared" si="5"/>
        <v>-21</v>
      </c>
      <c r="C76" s="882">
        <f t="shared" si="7"/>
        <v>72</v>
      </c>
      <c r="D76" s="883">
        <v>1551</v>
      </c>
      <c r="E76" s="884" t="str">
        <f>IFERROR(VLOOKUP(Table2[[#This Row],[Player No]],Table10[[No]:[Province]],2,0),"")</f>
        <v xml:space="preserve">PHILANDER Adrian </v>
      </c>
      <c r="F76" s="885" t="str">
        <f>IFERROR(VLOOKUP(Table2[[#This Row],[Player No]],Table10[[No]:[Province]],3,0),"")</f>
        <v>CT</v>
      </c>
      <c r="G76" s="892">
        <v>56.125</v>
      </c>
      <c r="H76" s="886">
        <f>(Table2[[#This Row],[Points 2025]]/2)+SUM(Table2[[#This Row],[O1  ADMIN 2026]:[P2    CAPE TOWN OPEN 2026 ]])</f>
        <v>28.0625</v>
      </c>
      <c r="I76" s="880">
        <f t="shared" si="6"/>
        <v>0</v>
      </c>
      <c r="J76" s="882">
        <f t="shared" ref="J76:J139" si="8">COUNTIF(O76:AK76,"&lt;0")</f>
        <v>0</v>
      </c>
      <c r="K76" s="887" t="s">
        <v>6083</v>
      </c>
      <c r="L76" s="887" t="s">
        <v>6083</v>
      </c>
      <c r="M76" s="887" t="s">
        <v>6083</v>
      </c>
      <c r="N76" s="887"/>
      <c r="O76" s="882"/>
      <c r="P76" s="882"/>
      <c r="Q76" s="888"/>
      <c r="R76" s="888"/>
      <c r="S76" s="882"/>
      <c r="T76" s="888"/>
      <c r="U76" s="882"/>
      <c r="V76" s="887"/>
      <c r="W76" s="888"/>
      <c r="X76" s="882"/>
      <c r="Y76" s="888"/>
      <c r="Z76" s="882"/>
      <c r="AA76" s="882"/>
      <c r="AB76" s="882">
        <v>25</v>
      </c>
      <c r="AC76" s="882"/>
      <c r="AD76" s="882"/>
      <c r="AE76" s="882">
        <v>3</v>
      </c>
      <c r="AF76" s="882">
        <v>25</v>
      </c>
      <c r="AG76" s="882"/>
      <c r="AH76" s="882"/>
      <c r="AI76" s="882"/>
      <c r="AJ76" s="882"/>
      <c r="AK76" s="882"/>
      <c r="AL76" s="889"/>
    </row>
    <row r="77" spans="1:38" s="890" customFormat="1">
      <c r="A77" s="882">
        <v>25</v>
      </c>
      <c r="B77" s="891">
        <f t="shared" si="5"/>
        <v>-48</v>
      </c>
      <c r="C77" s="882">
        <f t="shared" si="7"/>
        <v>73</v>
      </c>
      <c r="D77" s="883">
        <v>1133</v>
      </c>
      <c r="E77" s="884" t="str">
        <f>IFERROR(VLOOKUP(Table2[[#This Row],[Player No]],Table10[[No]:[Province]],2,0),"")</f>
        <v>LIPSHITZ Simon</v>
      </c>
      <c r="F77" s="885" t="str">
        <f>IFERROR(VLOOKUP(Table2[[#This Row],[Player No]],Table10[[No]:[Province]],3,0),"")</f>
        <v>JTTA</v>
      </c>
      <c r="G77" s="892">
        <v>55.513671875</v>
      </c>
      <c r="H77" s="886">
        <f>(Table2[[#This Row],[Points 2025]]/2)+SUM(Table2[[#This Row],[O1  ADMIN 2026]:[P2    CAPE TOWN OPEN 2026 ]])</f>
        <v>27.7568359375</v>
      </c>
      <c r="I77" s="880">
        <f t="shared" si="6"/>
        <v>0</v>
      </c>
      <c r="J77" s="882">
        <f t="shared" si="8"/>
        <v>0</v>
      </c>
      <c r="K77" s="887" t="s">
        <v>6083</v>
      </c>
      <c r="L77" s="887" t="s">
        <v>6083</v>
      </c>
      <c r="M77" s="887" t="s">
        <v>6083</v>
      </c>
      <c r="N77" s="887"/>
      <c r="O77" s="882"/>
      <c r="P77" s="882"/>
      <c r="Q77" s="888"/>
      <c r="R77" s="888"/>
      <c r="S77" s="882"/>
      <c r="T77" s="888"/>
      <c r="U77" s="882"/>
      <c r="V77" s="887"/>
      <c r="W77" s="888"/>
      <c r="X77" s="882"/>
      <c r="Y77" s="888">
        <v>12</v>
      </c>
      <c r="Z77" s="882">
        <v>5</v>
      </c>
      <c r="AA77" s="882"/>
      <c r="AB77" s="882"/>
      <c r="AC77" s="882"/>
      <c r="AD77" s="882"/>
      <c r="AE77" s="882"/>
      <c r="AF77" s="882"/>
      <c r="AG77" s="882"/>
      <c r="AH77" s="882"/>
      <c r="AI77" s="882">
        <v>50</v>
      </c>
      <c r="AJ77" s="882">
        <v>25</v>
      </c>
      <c r="AK77" s="882">
        <v>2</v>
      </c>
      <c r="AL77" s="889"/>
    </row>
    <row r="78" spans="1:38" s="890" customFormat="1">
      <c r="A78" s="882">
        <v>25</v>
      </c>
      <c r="B78" s="891">
        <f t="shared" si="5"/>
        <v>-49</v>
      </c>
      <c r="C78" s="882">
        <f t="shared" si="7"/>
        <v>74</v>
      </c>
      <c r="D78" s="883">
        <v>1012</v>
      </c>
      <c r="E78" s="884" t="str">
        <f>IFERROR(VLOOKUP(Table2[[#This Row],[Player No]],Table10[[No]:[Province]],2,0),"")</f>
        <v xml:space="preserve">ABRAHAMS Byrone </v>
      </c>
      <c r="F78" s="885" t="str">
        <f>IFERROR(VLOOKUP(Table2[[#This Row],[Player No]],Table10[[No]:[Province]],3,0),"")</f>
        <v>CT</v>
      </c>
      <c r="G78" s="892">
        <v>54.521484375</v>
      </c>
      <c r="H78" s="886">
        <f>(Table2[[#This Row],[Points 2025]]/2)+SUM(Table2[[#This Row],[O1  ADMIN 2026]:[P2    CAPE TOWN OPEN 2026 ]])</f>
        <v>27.2607421875</v>
      </c>
      <c r="I78" s="880">
        <f t="shared" si="6"/>
        <v>0</v>
      </c>
      <c r="J78" s="882">
        <f t="shared" si="8"/>
        <v>0</v>
      </c>
      <c r="K78" s="887" t="s">
        <v>6083</v>
      </c>
      <c r="L78" s="887" t="s">
        <v>6083</v>
      </c>
      <c r="M78" s="887" t="s">
        <v>6083</v>
      </c>
      <c r="N78" s="887"/>
      <c r="O78" s="882"/>
      <c r="P78" s="882"/>
      <c r="Q78" s="888"/>
      <c r="R78" s="888"/>
      <c r="S78" s="882"/>
      <c r="T78" s="888"/>
      <c r="U78" s="882"/>
      <c r="V78" s="887"/>
      <c r="W78" s="888"/>
      <c r="X78" s="882"/>
      <c r="Y78" s="888"/>
      <c r="Z78" s="882"/>
      <c r="AA78" s="882"/>
      <c r="AB78" s="882"/>
      <c r="AC78" s="882"/>
      <c r="AD78" s="882"/>
      <c r="AE78" s="882">
        <v>25</v>
      </c>
      <c r="AF78" s="882"/>
      <c r="AG78" s="882"/>
      <c r="AH78" s="882"/>
      <c r="AI78" s="882"/>
      <c r="AJ78" s="882"/>
      <c r="AK78" s="882"/>
      <c r="AL78" s="889"/>
    </row>
    <row r="79" spans="1:38" s="890" customFormat="1">
      <c r="A79" s="882">
        <v>25</v>
      </c>
      <c r="B79" s="891">
        <f t="shared" si="5"/>
        <v>-50</v>
      </c>
      <c r="C79" s="882">
        <f t="shared" si="7"/>
        <v>75</v>
      </c>
      <c r="D79" s="883">
        <v>1070</v>
      </c>
      <c r="E79" s="884" t="str">
        <f>IFERROR(VLOOKUP(Table2[[#This Row],[Player No]],Table10[[No]:[Province]],2,0),"")</f>
        <v xml:space="preserve">ISSA Ziyaad </v>
      </c>
      <c r="F79" s="885" t="str">
        <f>IFERROR(VLOOKUP(Table2[[#This Row],[Player No]],Table10[[No]:[Province]],3,0),"")</f>
        <v>FS</v>
      </c>
      <c r="G79" s="892">
        <v>54.025390625</v>
      </c>
      <c r="H79" s="886">
        <f>(Table2[[#This Row],[Points 2025]]/2)+SUM(Table2[[#This Row],[O1  ADMIN 2026]:[P2    CAPE TOWN OPEN 2026 ]])</f>
        <v>27.0126953125</v>
      </c>
      <c r="I79" s="880">
        <f t="shared" si="6"/>
        <v>0</v>
      </c>
      <c r="J79" s="882">
        <f t="shared" si="8"/>
        <v>0</v>
      </c>
      <c r="K79" s="887" t="s">
        <v>6083</v>
      </c>
      <c r="L79" s="887" t="s">
        <v>6083</v>
      </c>
      <c r="M79" s="887" t="s">
        <v>6083</v>
      </c>
      <c r="N79" s="887"/>
      <c r="O79" s="882"/>
      <c r="P79" s="882"/>
      <c r="Q79" s="888"/>
      <c r="R79" s="888"/>
      <c r="S79" s="882"/>
      <c r="T79" s="888">
        <v>5</v>
      </c>
      <c r="U79" s="882"/>
      <c r="V79" s="887"/>
      <c r="W79" s="888"/>
      <c r="X79" s="882"/>
      <c r="Y79" s="888"/>
      <c r="Z79" s="882"/>
      <c r="AA79" s="882"/>
      <c r="AB79" s="882"/>
      <c r="AC79" s="882"/>
      <c r="AD79" s="882"/>
      <c r="AE79" s="882"/>
      <c r="AF79" s="882"/>
      <c r="AG79" s="882">
        <v>10</v>
      </c>
      <c r="AH79" s="882"/>
      <c r="AI79" s="882">
        <v>25</v>
      </c>
      <c r="AJ79" s="882"/>
      <c r="AK79" s="882"/>
      <c r="AL79" s="889"/>
    </row>
    <row r="80" spans="1:38" s="890" customFormat="1">
      <c r="A80" s="882">
        <v>346</v>
      </c>
      <c r="B80" s="891">
        <f t="shared" si="5"/>
        <v>270</v>
      </c>
      <c r="C80" s="882">
        <f t="shared" si="7"/>
        <v>76</v>
      </c>
      <c r="D80" s="883">
        <v>3269</v>
      </c>
      <c r="E80" s="884" t="str">
        <f>IFERROR(VLOOKUP(Table2[[#This Row],[Player No]],Table10[[No]:[Province]],2,0),"")</f>
        <v>COETZEE Dirk</v>
      </c>
      <c r="F80" s="885" t="str">
        <f>IFERROR(VLOOKUP(Table2[[#This Row],[Player No]],Table10[[No]:[Province]],3,0),"")</f>
        <v>CT</v>
      </c>
      <c r="G80" s="892">
        <v>53.4375</v>
      </c>
      <c r="H80" s="886">
        <f>(Table2[[#This Row],[Points 2025]]/2)+SUM(Table2[[#This Row],[O1  ADMIN 2026]:[P2    CAPE TOWN OPEN 2026 ]])</f>
        <v>26.71875</v>
      </c>
      <c r="I80" s="880">
        <f t="shared" si="6"/>
        <v>0</v>
      </c>
      <c r="J80" s="882">
        <f t="shared" si="8"/>
        <v>0</v>
      </c>
      <c r="K80" s="887" t="s">
        <v>6083</v>
      </c>
      <c r="L80" s="887" t="s">
        <v>6083</v>
      </c>
      <c r="M80" s="887" t="s">
        <v>6083</v>
      </c>
      <c r="N80" s="887"/>
      <c r="O80" s="882"/>
      <c r="P80" s="882"/>
      <c r="Q80" s="888"/>
      <c r="R80" s="888"/>
      <c r="S80" s="882"/>
      <c r="T80" s="888">
        <v>15</v>
      </c>
      <c r="U80" s="882"/>
      <c r="V80" s="887"/>
      <c r="W80" s="888">
        <v>10</v>
      </c>
      <c r="X80" s="882"/>
      <c r="Y80" s="888"/>
      <c r="Z80" s="882">
        <v>5</v>
      </c>
      <c r="AA80" s="882"/>
      <c r="AB80" s="882">
        <v>5</v>
      </c>
      <c r="AC80" s="882"/>
      <c r="AD80" s="882"/>
      <c r="AE80" s="882">
        <v>5</v>
      </c>
      <c r="AF80" s="882">
        <v>25</v>
      </c>
      <c r="AG80" s="882">
        <v>5</v>
      </c>
      <c r="AH80" s="882"/>
      <c r="AI80" s="882">
        <f>5-5</f>
        <v>0</v>
      </c>
      <c r="AJ80" s="882"/>
      <c r="AK80" s="882"/>
      <c r="AL80" s="889"/>
    </row>
    <row r="81" spans="1:38" s="890" customFormat="1">
      <c r="A81" s="882">
        <v>84</v>
      </c>
      <c r="B81" s="891">
        <f t="shared" si="5"/>
        <v>7</v>
      </c>
      <c r="C81" s="882">
        <f t="shared" si="7"/>
        <v>77</v>
      </c>
      <c r="D81" s="883">
        <v>3388</v>
      </c>
      <c r="E81" s="884" t="str">
        <f>IFERROR(VLOOKUP(Table2[[#This Row],[Player No]],Table10[[No]:[Province]],2,0),"")</f>
        <v>GOKAL Dev Amar</v>
      </c>
      <c r="F81" s="885" t="str">
        <f>IFERROR(VLOOKUP(Table2[[#This Row],[Player No]],Table10[[No]:[Province]],3,0),"")</f>
        <v>ETTA</v>
      </c>
      <c r="G81" s="892">
        <v>29.25</v>
      </c>
      <c r="H81" s="886">
        <f>(Table2[[#This Row],[Points 2025]]/2)+SUM(Table2[[#This Row],[O1  ADMIN 2026]:[P2    CAPE TOWN OPEN 2026 ]])</f>
        <v>26.625</v>
      </c>
      <c r="I81" s="880">
        <f t="shared" si="6"/>
        <v>2</v>
      </c>
      <c r="J81" s="882">
        <f t="shared" si="8"/>
        <v>0</v>
      </c>
      <c r="K81" s="887" t="s">
        <v>6083</v>
      </c>
      <c r="L81" s="887">
        <v>2</v>
      </c>
      <c r="M81" s="887">
        <v>10</v>
      </c>
      <c r="N81" s="887"/>
      <c r="O81" s="882">
        <v>2</v>
      </c>
      <c r="P81" s="882">
        <v>10</v>
      </c>
      <c r="Q81" s="888">
        <v>2</v>
      </c>
      <c r="R81" s="888">
        <v>1</v>
      </c>
      <c r="S81" s="882">
        <v>2</v>
      </c>
      <c r="T81" s="888"/>
      <c r="U81" s="882"/>
      <c r="V81" s="887"/>
      <c r="W81" s="888"/>
      <c r="X81" s="882"/>
      <c r="Y81" s="888"/>
      <c r="Z81" s="882"/>
      <c r="AA81" s="882"/>
      <c r="AB81" s="882"/>
      <c r="AC81" s="882">
        <v>15</v>
      </c>
      <c r="AD81" s="882">
        <v>1</v>
      </c>
      <c r="AE81" s="882"/>
      <c r="AF81" s="882"/>
      <c r="AG81" s="882">
        <v>5</v>
      </c>
      <c r="AH81" s="882"/>
      <c r="AI81" s="882"/>
      <c r="AJ81" s="882"/>
      <c r="AK81" s="882"/>
      <c r="AL81" s="889"/>
    </row>
    <row r="82" spans="1:38" s="890" customFormat="1">
      <c r="A82" s="882"/>
      <c r="B82" s="891"/>
      <c r="C82" s="882">
        <f t="shared" si="7"/>
        <v>78</v>
      </c>
      <c r="D82" s="883">
        <v>1033</v>
      </c>
      <c r="E82" s="884" t="str">
        <f>IFERROR(VLOOKUP(Table2[[#This Row],[Player No]],Table10[[No]:[Province]],2,0),"")</f>
        <v>MXOLISI Mthabela</v>
      </c>
      <c r="F82" s="885" t="str">
        <f>IFERROR(VLOOKUP(Table2[[#This Row],[Player No]],Table10[[No]:[Province]],3,0),"")</f>
        <v>ETTA</v>
      </c>
      <c r="G82" s="892">
        <v>52</v>
      </c>
      <c r="H82" s="886">
        <f>(Table2[[#This Row],[Points 2025]]/2)+SUM(Table2[[#This Row],[O1  ADMIN 2026]:[P2    CAPE TOWN OPEN 2026 ]])</f>
        <v>26</v>
      </c>
      <c r="I82" s="880">
        <f t="shared" si="6"/>
        <v>0</v>
      </c>
      <c r="J82" s="882">
        <f t="shared" si="8"/>
        <v>0</v>
      </c>
      <c r="K82" s="887" t="s">
        <v>6083</v>
      </c>
      <c r="L82" s="887" t="s">
        <v>6083</v>
      </c>
      <c r="M82" s="887" t="s">
        <v>6083</v>
      </c>
      <c r="N82" s="887"/>
      <c r="O82" s="882">
        <v>25</v>
      </c>
      <c r="P82" s="882"/>
      <c r="Q82" s="888">
        <v>2</v>
      </c>
      <c r="R82" s="888">
        <v>15</v>
      </c>
      <c r="S82" s="882"/>
      <c r="T82" s="888"/>
      <c r="U82" s="882"/>
      <c r="V82" s="887"/>
      <c r="W82" s="888">
        <v>10</v>
      </c>
      <c r="X82" s="882"/>
      <c r="Y82" s="888"/>
      <c r="Z82" s="882"/>
      <c r="AA82" s="882"/>
      <c r="AB82" s="882"/>
      <c r="AC82" s="882"/>
      <c r="AD82" s="882"/>
      <c r="AE82" s="882"/>
      <c r="AF82" s="882"/>
      <c r="AG82" s="882"/>
      <c r="AH82" s="882"/>
      <c r="AI82" s="882"/>
      <c r="AJ82" s="882"/>
      <c r="AK82" s="882"/>
      <c r="AL82" s="889"/>
    </row>
    <row r="83" spans="1:38" s="890" customFormat="1">
      <c r="A83" s="882">
        <v>76</v>
      </c>
      <c r="B83" s="891">
        <f>+A83-C83</f>
        <v>-3</v>
      </c>
      <c r="C83" s="882">
        <f t="shared" si="7"/>
        <v>79</v>
      </c>
      <c r="D83" s="883">
        <v>1120</v>
      </c>
      <c r="E83" s="884" t="str">
        <f>IFERROR(VLOOKUP(Table2[[#This Row],[Player No]],Table10[[No]:[Province]],2,0),"")</f>
        <v xml:space="preserve">BENTING Bradley </v>
      </c>
      <c r="F83" s="885" t="str">
        <f>IFERROR(VLOOKUP(Table2[[#This Row],[Player No]],Table10[[No]:[Province]],3,0),"")</f>
        <v>CT</v>
      </c>
      <c r="G83" s="892">
        <v>51.724609375</v>
      </c>
      <c r="H83" s="886">
        <f>(Table2[[#This Row],[Points 2025]]/2)+SUM(Table2[[#This Row],[O1  ADMIN 2026]:[P2    CAPE TOWN OPEN 2026 ]])</f>
        <v>25.8623046875</v>
      </c>
      <c r="I83" s="880">
        <f t="shared" si="6"/>
        <v>0</v>
      </c>
      <c r="J83" s="882">
        <f t="shared" si="8"/>
        <v>0</v>
      </c>
      <c r="K83" s="887" t="s">
        <v>6083</v>
      </c>
      <c r="L83" s="887" t="s">
        <v>6083</v>
      </c>
      <c r="M83" s="887" t="s">
        <v>6083</v>
      </c>
      <c r="N83" s="887"/>
      <c r="O83" s="882"/>
      <c r="P83" s="882"/>
      <c r="Q83" s="888"/>
      <c r="R83" s="888"/>
      <c r="S83" s="882"/>
      <c r="T83" s="888">
        <v>15</v>
      </c>
      <c r="U83" s="882"/>
      <c r="V83" s="887"/>
      <c r="W83" s="888"/>
      <c r="X83" s="882"/>
      <c r="Y83" s="888"/>
      <c r="Z83" s="882"/>
      <c r="AA83" s="882"/>
      <c r="AB83" s="882">
        <v>0</v>
      </c>
      <c r="AC83" s="882"/>
      <c r="AD83" s="882"/>
      <c r="AE83" s="882">
        <v>1</v>
      </c>
      <c r="AF83" s="882"/>
      <c r="AG83" s="882">
        <v>50</v>
      </c>
      <c r="AH83" s="882"/>
      <c r="AI83" s="882"/>
      <c r="AJ83" s="882"/>
      <c r="AK83" s="882"/>
      <c r="AL83" s="889"/>
    </row>
    <row r="84" spans="1:38" s="890" customFormat="1">
      <c r="A84" s="882">
        <v>63</v>
      </c>
      <c r="B84" s="891">
        <f>+A84-C84</f>
        <v>-17</v>
      </c>
      <c r="C84" s="882">
        <f t="shared" si="7"/>
        <v>80</v>
      </c>
      <c r="D84" s="883">
        <v>3505</v>
      </c>
      <c r="E84" s="884" t="str">
        <f>IFERROR(VLOOKUP(Table2[[#This Row],[Player No]],Table10[[No]:[Province]],2,0),"")</f>
        <v>NAIDOO David</v>
      </c>
      <c r="F84" s="885" t="str">
        <f>IFERROR(VLOOKUP(Table2[[#This Row],[Player No]],Table10[[No]:[Province]],3,0),"")</f>
        <v>ETTA</v>
      </c>
      <c r="G84" s="892">
        <v>30.25</v>
      </c>
      <c r="H84" s="886">
        <f>(Table2[[#This Row],[Points 2025]]/2)+SUM(Table2[[#This Row],[O1  ADMIN 2026]:[P2    CAPE TOWN OPEN 2026 ]])</f>
        <v>25.125</v>
      </c>
      <c r="I84" s="880">
        <f t="shared" si="6"/>
        <v>1</v>
      </c>
      <c r="J84" s="882">
        <f t="shared" si="8"/>
        <v>0</v>
      </c>
      <c r="K84" s="887" t="s">
        <v>6083</v>
      </c>
      <c r="L84" s="887" t="s">
        <v>6083</v>
      </c>
      <c r="M84" s="887">
        <v>10</v>
      </c>
      <c r="N84" s="887"/>
      <c r="O84" s="882">
        <v>15</v>
      </c>
      <c r="P84" s="882"/>
      <c r="Q84" s="888">
        <v>1</v>
      </c>
      <c r="R84" s="888">
        <v>1</v>
      </c>
      <c r="S84" s="882"/>
      <c r="T84" s="888"/>
      <c r="U84" s="882"/>
      <c r="V84" s="887"/>
      <c r="W84" s="888"/>
      <c r="X84" s="882"/>
      <c r="Y84" s="888"/>
      <c r="Z84" s="882"/>
      <c r="AA84" s="882"/>
      <c r="AB84" s="882"/>
      <c r="AC84" s="882">
        <v>25</v>
      </c>
      <c r="AD84" s="882">
        <v>1</v>
      </c>
      <c r="AE84" s="882"/>
      <c r="AF84" s="882"/>
      <c r="AG84" s="882"/>
      <c r="AH84" s="882"/>
      <c r="AI84" s="882"/>
      <c r="AJ84" s="882"/>
      <c r="AK84" s="882"/>
      <c r="AL84" s="889"/>
    </row>
    <row r="85" spans="1:38" s="890" customFormat="1">
      <c r="A85" s="882"/>
      <c r="B85" s="891"/>
      <c r="C85" s="882">
        <f t="shared" si="7"/>
        <v>81</v>
      </c>
      <c r="D85" s="883">
        <v>4750</v>
      </c>
      <c r="E85" s="884" t="str">
        <f>IFERROR(VLOOKUP(Table2[[#This Row],[Player No]],Table10[[No]:[Province]],2,0),"")</f>
        <v>MUDIE Andrew</v>
      </c>
      <c r="F85" s="885" t="str">
        <f>IFERROR(VLOOKUP(Table2[[#This Row],[Player No]],Table10[[No]:[Province]],3,0),"")</f>
        <v>NMB</v>
      </c>
      <c r="G85" s="892">
        <v>50</v>
      </c>
      <c r="H85" s="886">
        <f>(Table2[[#This Row],[Points 2025]]/2)+SUM(Table2[[#This Row],[O1  ADMIN 2026]:[P2    CAPE TOWN OPEN 2026 ]])</f>
        <v>25</v>
      </c>
      <c r="I85" s="880">
        <f t="shared" si="6"/>
        <v>0</v>
      </c>
      <c r="J85" s="882">
        <f t="shared" si="8"/>
        <v>0</v>
      </c>
      <c r="K85" s="887" t="s">
        <v>6083</v>
      </c>
      <c r="L85" s="887" t="s">
        <v>6083</v>
      </c>
      <c r="M85" s="887" t="s">
        <v>6083</v>
      </c>
      <c r="N85" s="887"/>
      <c r="O85" s="882"/>
      <c r="P85" s="882"/>
      <c r="Q85" s="888"/>
      <c r="R85" s="888"/>
      <c r="S85" s="882"/>
      <c r="T85" s="888"/>
      <c r="U85" s="882"/>
      <c r="V85" s="887">
        <v>50</v>
      </c>
      <c r="W85" s="888"/>
      <c r="X85" s="882"/>
      <c r="Y85" s="888"/>
      <c r="Z85" s="882"/>
      <c r="AA85" s="882"/>
      <c r="AB85" s="882"/>
      <c r="AC85" s="882"/>
      <c r="AD85" s="882"/>
      <c r="AE85" s="882"/>
      <c r="AF85" s="882"/>
      <c r="AG85" s="882"/>
      <c r="AH85" s="882"/>
      <c r="AI85" s="882"/>
      <c r="AJ85" s="882"/>
      <c r="AK85" s="882"/>
      <c r="AL85" s="889"/>
    </row>
    <row r="86" spans="1:38" s="890" customFormat="1">
      <c r="A86" s="882">
        <v>26</v>
      </c>
      <c r="B86" s="891">
        <f>+A86-C86</f>
        <v>-56</v>
      </c>
      <c r="C86" s="882">
        <f t="shared" si="7"/>
        <v>82</v>
      </c>
      <c r="D86" s="883">
        <v>1052</v>
      </c>
      <c r="E86" s="884" t="str">
        <f>IFERROR(VLOOKUP(Table2[[#This Row],[Player No]],Table10[[No]:[Province]],2,0),"")</f>
        <v xml:space="preserve">WESSON Ashley </v>
      </c>
      <c r="F86" s="885" t="str">
        <f>IFERROR(VLOOKUP(Table2[[#This Row],[Player No]],Table10[[No]:[Province]],3,0),"")</f>
        <v>SANDF</v>
      </c>
      <c r="G86" s="892">
        <v>48.646484375</v>
      </c>
      <c r="H86" s="886">
        <f>(Table2[[#This Row],[Points 2025]]/2)+SUM(Table2[[#This Row],[O1  ADMIN 2026]:[P2    CAPE TOWN OPEN 2026 ]])</f>
        <v>24.3232421875</v>
      </c>
      <c r="I86" s="880">
        <f t="shared" si="6"/>
        <v>0</v>
      </c>
      <c r="J86" s="882">
        <f t="shared" si="8"/>
        <v>0</v>
      </c>
      <c r="K86" s="887" t="s">
        <v>6083</v>
      </c>
      <c r="L86" s="887" t="s">
        <v>6083</v>
      </c>
      <c r="M86" s="887" t="s">
        <v>6083</v>
      </c>
      <c r="N86" s="887"/>
      <c r="O86" s="882"/>
      <c r="P86" s="882"/>
      <c r="Q86" s="888"/>
      <c r="R86" s="888"/>
      <c r="S86" s="882"/>
      <c r="T86" s="888"/>
      <c r="U86" s="882"/>
      <c r="V86" s="887"/>
      <c r="W86" s="888"/>
      <c r="X86" s="882"/>
      <c r="Y86" s="888"/>
      <c r="Z86" s="882"/>
      <c r="AA86" s="882"/>
      <c r="AB86" s="882"/>
      <c r="AC86" s="882"/>
      <c r="AD86" s="882"/>
      <c r="AE86" s="882">
        <v>3</v>
      </c>
      <c r="AF86" s="882"/>
      <c r="AG86" s="882">
        <v>25</v>
      </c>
      <c r="AH86" s="882"/>
      <c r="AI86" s="882"/>
      <c r="AJ86" s="882"/>
      <c r="AK86" s="882"/>
      <c r="AL86" s="889"/>
    </row>
    <row r="87" spans="1:38" s="890" customFormat="1">
      <c r="A87" s="882">
        <v>40</v>
      </c>
      <c r="B87" s="891">
        <f>+A87-C87</f>
        <v>-43</v>
      </c>
      <c r="C87" s="882">
        <f t="shared" si="7"/>
        <v>83</v>
      </c>
      <c r="D87" s="883">
        <v>3874</v>
      </c>
      <c r="E87" s="884" t="str">
        <f>IFERROR(VLOOKUP(Table2[[#This Row],[Player No]],Table10[[No]:[Province]],2,0),"")</f>
        <v>MGENGE Nelokuhle</v>
      </c>
      <c r="F87" s="885" t="str">
        <f>IFERROR(VLOOKUP(Table2[[#This Row],[Player No]],Table10[[No]:[Province]],3,0),"")</f>
        <v>ETTA</v>
      </c>
      <c r="G87" s="892">
        <v>43</v>
      </c>
      <c r="H87" s="886">
        <f>(Table2[[#This Row],[Points 2025]]/2)+SUM(Table2[[#This Row],[O1  ADMIN 2026]:[P2    CAPE TOWN OPEN 2026 ]])</f>
        <v>23.5</v>
      </c>
      <c r="I87" s="880">
        <f t="shared" si="6"/>
        <v>1</v>
      </c>
      <c r="J87" s="882">
        <f t="shared" si="8"/>
        <v>0</v>
      </c>
      <c r="K87" s="887" t="s">
        <v>6083</v>
      </c>
      <c r="L87" s="887" t="s">
        <v>6083</v>
      </c>
      <c r="M87" s="887">
        <v>2</v>
      </c>
      <c r="N87" s="887"/>
      <c r="O87" s="882">
        <v>3</v>
      </c>
      <c r="P87" s="882"/>
      <c r="Q87" s="888"/>
      <c r="R87" s="888">
        <v>15</v>
      </c>
      <c r="S87" s="882"/>
      <c r="T87" s="888"/>
      <c r="U87" s="882"/>
      <c r="V87" s="887"/>
      <c r="W87" s="888"/>
      <c r="X87" s="882"/>
      <c r="Y87" s="888"/>
      <c r="Z87" s="882"/>
      <c r="AA87" s="882"/>
      <c r="AB87" s="882"/>
      <c r="AC87" s="882">
        <v>50</v>
      </c>
      <c r="AD87" s="882"/>
      <c r="AE87" s="882"/>
      <c r="AF87" s="882"/>
      <c r="AG87" s="882"/>
      <c r="AH87" s="882"/>
      <c r="AI87" s="882"/>
      <c r="AJ87" s="882"/>
      <c r="AK87" s="882"/>
      <c r="AL87" s="889"/>
    </row>
    <row r="88" spans="1:38" s="890" customFormat="1">
      <c r="A88" s="882"/>
      <c r="B88" s="891"/>
      <c r="C88" s="882">
        <f t="shared" si="7"/>
        <v>84</v>
      </c>
      <c r="D88" s="883">
        <v>4366</v>
      </c>
      <c r="E88" s="884" t="str">
        <f>IFERROR(VLOOKUP(Table2[[#This Row],[Player No]],Table10[[No]:[Province]],2,0),"")</f>
        <v>PILLAY KAEL</v>
      </c>
      <c r="F88" s="885" t="str">
        <f>IFERROR(VLOOKUP(Table2[[#This Row],[Player No]],Table10[[No]:[Province]],3,0),"")</f>
        <v>ETTA</v>
      </c>
      <c r="G88" s="892">
        <v>23</v>
      </c>
      <c r="H88" s="886">
        <f>(Table2[[#This Row],[Points 2025]]/2)+SUM(Table2[[#This Row],[O1  ADMIN 2026]:[P2    CAPE TOWN OPEN 2026 ]])</f>
        <v>23.5</v>
      </c>
      <c r="I88" s="880">
        <f t="shared" si="6"/>
        <v>2</v>
      </c>
      <c r="J88" s="882">
        <f t="shared" si="8"/>
        <v>0</v>
      </c>
      <c r="K88" s="887" t="s">
        <v>6083</v>
      </c>
      <c r="L88" s="887">
        <v>2</v>
      </c>
      <c r="M88" s="887">
        <v>10</v>
      </c>
      <c r="N88" s="887"/>
      <c r="O88" s="882"/>
      <c r="P88" s="882"/>
      <c r="Q88" s="888">
        <v>1</v>
      </c>
      <c r="R88" s="888">
        <v>15</v>
      </c>
      <c r="S88" s="882"/>
      <c r="T88" s="888"/>
      <c r="U88" s="882"/>
      <c r="V88" s="887"/>
      <c r="W88" s="888">
        <v>7</v>
      </c>
      <c r="X88" s="882"/>
      <c r="Y88" s="888"/>
      <c r="Z88" s="882"/>
      <c r="AA88" s="882"/>
      <c r="AB88" s="882"/>
      <c r="AC88" s="882"/>
      <c r="AD88" s="882"/>
      <c r="AE88" s="882"/>
      <c r="AF88" s="882"/>
      <c r="AG88" s="882"/>
      <c r="AH88" s="882"/>
      <c r="AI88" s="882"/>
      <c r="AJ88" s="882"/>
      <c r="AK88" s="882"/>
      <c r="AL88" s="889"/>
    </row>
    <row r="89" spans="1:38" s="890" customFormat="1">
      <c r="A89" s="882">
        <v>25</v>
      </c>
      <c r="B89" s="891">
        <f t="shared" ref="B89:B96" si="9">+A89-C89</f>
        <v>-60</v>
      </c>
      <c r="C89" s="882">
        <f t="shared" si="7"/>
        <v>85</v>
      </c>
      <c r="D89" s="883">
        <v>2998</v>
      </c>
      <c r="E89" s="884" t="str">
        <f>IFERROR(VLOOKUP(Table2[[#This Row],[Player No]],Table10[[No]:[Province]],2,0),"")</f>
        <v>FRANSMAN Andre</v>
      </c>
      <c r="F89" s="885" t="str">
        <f>IFERROR(VLOOKUP(Table2[[#This Row],[Player No]],Table10[[No]:[Province]],3,0),"")</f>
        <v>CT</v>
      </c>
      <c r="G89" s="892">
        <v>45.953125</v>
      </c>
      <c r="H89" s="886">
        <f>(Table2[[#This Row],[Points 2025]]/2)+SUM(Table2[[#This Row],[O1  ADMIN 2026]:[P2    CAPE TOWN OPEN 2026 ]])</f>
        <v>22.9765625</v>
      </c>
      <c r="I89" s="880">
        <f t="shared" si="6"/>
        <v>0</v>
      </c>
      <c r="J89" s="882">
        <f t="shared" si="8"/>
        <v>0</v>
      </c>
      <c r="K89" s="887" t="s">
        <v>6083</v>
      </c>
      <c r="L89" s="887" t="s">
        <v>6083</v>
      </c>
      <c r="M89" s="887" t="s">
        <v>6083</v>
      </c>
      <c r="N89" s="887"/>
      <c r="O89" s="882"/>
      <c r="P89" s="882"/>
      <c r="Q89" s="888"/>
      <c r="R89" s="888"/>
      <c r="S89" s="882"/>
      <c r="T89" s="888"/>
      <c r="U89" s="882"/>
      <c r="V89" s="887"/>
      <c r="W89" s="888"/>
      <c r="X89" s="882"/>
      <c r="Y89" s="888"/>
      <c r="Z89" s="882"/>
      <c r="AA89" s="882"/>
      <c r="AB89" s="882"/>
      <c r="AC89" s="882"/>
      <c r="AD89" s="882"/>
      <c r="AE89" s="882"/>
      <c r="AF89" s="882"/>
      <c r="AG89" s="882"/>
      <c r="AH89" s="882"/>
      <c r="AI89" s="882"/>
      <c r="AJ89" s="882"/>
      <c r="AK89" s="882"/>
      <c r="AL89" s="889"/>
    </row>
    <row r="90" spans="1:38" s="890" customFormat="1">
      <c r="A90" s="882">
        <v>96</v>
      </c>
      <c r="B90" s="891">
        <f t="shared" si="9"/>
        <v>10</v>
      </c>
      <c r="C90" s="882">
        <f t="shared" si="7"/>
        <v>86</v>
      </c>
      <c r="D90" s="883">
        <v>1281</v>
      </c>
      <c r="E90" s="884" t="str">
        <f>IFERROR(VLOOKUP(Table2[[#This Row],[Player No]],Table10[[No]:[Province]],2,0),"")</f>
        <v xml:space="preserve">SHANGASE Andiswa </v>
      </c>
      <c r="F90" s="885" t="str">
        <f>IFERROR(VLOOKUP(Table2[[#This Row],[Player No]],Table10[[No]:[Province]],3,0),"")</f>
        <v>UTH</v>
      </c>
      <c r="G90" s="892">
        <v>45.4375</v>
      </c>
      <c r="H90" s="886">
        <f>(Table2[[#This Row],[Points 2025]]/2)+SUM(Table2[[#This Row],[O1  ADMIN 2026]:[P2    CAPE TOWN OPEN 2026 ]])</f>
        <v>22.71875</v>
      </c>
      <c r="I90" s="880">
        <f t="shared" si="6"/>
        <v>0</v>
      </c>
      <c r="J90" s="882">
        <f t="shared" si="8"/>
        <v>0</v>
      </c>
      <c r="K90" s="887" t="s">
        <v>6083</v>
      </c>
      <c r="L90" s="887" t="s">
        <v>6083</v>
      </c>
      <c r="M90" s="887" t="s">
        <v>6083</v>
      </c>
      <c r="N90" s="887"/>
      <c r="O90" s="882"/>
      <c r="P90" s="882"/>
      <c r="Q90" s="888"/>
      <c r="R90" s="888"/>
      <c r="S90" s="882"/>
      <c r="T90" s="888"/>
      <c r="U90" s="882"/>
      <c r="V90" s="887"/>
      <c r="W90" s="888"/>
      <c r="X90" s="882"/>
      <c r="Y90" s="888">
        <v>12</v>
      </c>
      <c r="Z90" s="882">
        <v>5</v>
      </c>
      <c r="AA90" s="882"/>
      <c r="AB90" s="882"/>
      <c r="AC90" s="882"/>
      <c r="AD90" s="882"/>
      <c r="AE90" s="882"/>
      <c r="AF90" s="882"/>
      <c r="AG90" s="882">
        <v>25</v>
      </c>
      <c r="AH90" s="882"/>
      <c r="AI90" s="882">
        <v>15</v>
      </c>
      <c r="AJ90" s="882"/>
      <c r="AK90" s="882">
        <v>15</v>
      </c>
      <c r="AL90" s="889"/>
    </row>
    <row r="91" spans="1:38" s="890" customFormat="1">
      <c r="A91" s="882">
        <v>123</v>
      </c>
      <c r="B91" s="891">
        <f t="shared" si="9"/>
        <v>36</v>
      </c>
      <c r="C91" s="882">
        <f t="shared" si="7"/>
        <v>87</v>
      </c>
      <c r="D91" s="883">
        <v>2685</v>
      </c>
      <c r="E91" s="884" t="str">
        <f>IFERROR(VLOOKUP(Table2[[#This Row],[Player No]],Table10[[No]:[Province]],2,0),"")</f>
        <v>OLIVIER Danie</v>
      </c>
      <c r="F91" s="885" t="str">
        <f>IFERROR(VLOOKUP(Table2[[#This Row],[Player No]],Table10[[No]:[Province]],3,0),"")</f>
        <v>GN</v>
      </c>
      <c r="G91" s="892">
        <v>44.453125</v>
      </c>
      <c r="H91" s="886">
        <f>(Table2[[#This Row],[Points 2025]]/2)+SUM(Table2[[#This Row],[O1  ADMIN 2026]:[P2    CAPE TOWN OPEN 2026 ]])</f>
        <v>22.2265625</v>
      </c>
      <c r="I91" s="880">
        <f t="shared" si="6"/>
        <v>0</v>
      </c>
      <c r="J91" s="882">
        <f t="shared" si="8"/>
        <v>0</v>
      </c>
      <c r="K91" s="887" t="s">
        <v>6083</v>
      </c>
      <c r="L91" s="887" t="s">
        <v>6083</v>
      </c>
      <c r="M91" s="887" t="s">
        <v>6083</v>
      </c>
      <c r="N91" s="887"/>
      <c r="O91" s="882"/>
      <c r="P91" s="882"/>
      <c r="Q91" s="888"/>
      <c r="R91" s="888"/>
      <c r="S91" s="882"/>
      <c r="T91" s="888">
        <v>1</v>
      </c>
      <c r="U91" s="882"/>
      <c r="V91" s="887"/>
      <c r="W91" s="888">
        <v>10</v>
      </c>
      <c r="X91" s="882"/>
      <c r="Y91" s="888">
        <v>4</v>
      </c>
      <c r="Z91" s="882">
        <v>3</v>
      </c>
      <c r="AA91" s="882"/>
      <c r="AB91" s="882"/>
      <c r="AC91" s="882"/>
      <c r="AD91" s="882"/>
      <c r="AE91" s="882"/>
      <c r="AF91" s="882"/>
      <c r="AG91" s="882">
        <v>25</v>
      </c>
      <c r="AH91" s="882"/>
      <c r="AI91" s="882">
        <v>15</v>
      </c>
      <c r="AJ91" s="882">
        <v>5</v>
      </c>
      <c r="AK91" s="882"/>
      <c r="AL91" s="889"/>
    </row>
    <row r="92" spans="1:38" s="890" customFormat="1">
      <c r="A92" s="882">
        <v>25</v>
      </c>
      <c r="B92" s="891">
        <f t="shared" si="9"/>
        <v>-63</v>
      </c>
      <c r="C92" s="882">
        <f t="shared" si="7"/>
        <v>88</v>
      </c>
      <c r="D92" s="883">
        <v>3022</v>
      </c>
      <c r="E92" s="884" t="str">
        <f>IFERROR(VLOOKUP(Table2[[#This Row],[Player No]],Table10[[No]:[Province]],2,0),"")</f>
        <v>MORKEL Marius</v>
      </c>
      <c r="F92" s="885" t="str">
        <f>IFERROR(VLOOKUP(Table2[[#This Row],[Player No]],Table10[[No]:[Province]],3,0),"")</f>
        <v>GN</v>
      </c>
      <c r="G92" s="892">
        <v>43.65625</v>
      </c>
      <c r="H92" s="886">
        <f>(Table2[[#This Row],[Points 2025]]/2)+SUM(Table2[[#This Row],[O1  ADMIN 2026]:[P2    CAPE TOWN OPEN 2026 ]])</f>
        <v>21.828125</v>
      </c>
      <c r="I92" s="880">
        <f t="shared" si="6"/>
        <v>0</v>
      </c>
      <c r="J92" s="882">
        <f t="shared" si="8"/>
        <v>0</v>
      </c>
      <c r="K92" s="887" t="s">
        <v>6083</v>
      </c>
      <c r="L92" s="887" t="s">
        <v>6083</v>
      </c>
      <c r="M92" s="887" t="s">
        <v>6083</v>
      </c>
      <c r="N92" s="887"/>
      <c r="O92" s="882"/>
      <c r="P92" s="882"/>
      <c r="Q92" s="888"/>
      <c r="R92" s="888"/>
      <c r="S92" s="882"/>
      <c r="T92" s="888"/>
      <c r="U92" s="882"/>
      <c r="V92" s="887"/>
      <c r="W92" s="888"/>
      <c r="X92" s="882"/>
      <c r="Y92" s="888"/>
      <c r="Z92" s="882">
        <v>3</v>
      </c>
      <c r="AA92" s="882"/>
      <c r="AB92" s="882"/>
      <c r="AC92" s="882"/>
      <c r="AD92" s="882"/>
      <c r="AE92" s="882"/>
      <c r="AF92" s="882"/>
      <c r="AG92" s="882">
        <v>5</v>
      </c>
      <c r="AH92" s="882"/>
      <c r="AI92" s="882">
        <v>15</v>
      </c>
      <c r="AJ92" s="882">
        <v>25</v>
      </c>
      <c r="AK92" s="882"/>
      <c r="AL92" s="889"/>
    </row>
    <row r="93" spans="1:38" s="890" customFormat="1">
      <c r="A93" s="882">
        <v>92</v>
      </c>
      <c r="B93" s="891">
        <f t="shared" si="9"/>
        <v>3</v>
      </c>
      <c r="C93" s="882">
        <f t="shared" si="7"/>
        <v>89</v>
      </c>
      <c r="D93" s="883">
        <v>2099</v>
      </c>
      <c r="E93" s="884" t="str">
        <f>IFERROR(VLOOKUP(Table2[[#This Row],[Player No]],Table10[[No]:[Province]],2,0),"")</f>
        <v>MOODLEY Saiyin</v>
      </c>
      <c r="F93" s="885" t="str">
        <f>IFERROR(VLOOKUP(Table2[[#This Row],[Player No]],Table10[[No]:[Province]],3,0),"")</f>
        <v>UMG</v>
      </c>
      <c r="G93" s="892">
        <v>18.5</v>
      </c>
      <c r="H93" s="886">
        <f>(Table2[[#This Row],[Points 2025]]/2)+SUM(Table2[[#This Row],[O1  ADMIN 2026]:[P2    CAPE TOWN OPEN 2026 ]])</f>
        <v>21.25</v>
      </c>
      <c r="I93" s="880">
        <f t="shared" si="6"/>
        <v>2</v>
      </c>
      <c r="J93" s="882">
        <f t="shared" si="8"/>
        <v>0</v>
      </c>
      <c r="K93" s="887" t="s">
        <v>6083</v>
      </c>
      <c r="L93" s="887">
        <v>10</v>
      </c>
      <c r="M93" s="887">
        <v>2</v>
      </c>
      <c r="N93" s="887"/>
      <c r="O93" s="882">
        <v>2</v>
      </c>
      <c r="P93" s="882">
        <v>2</v>
      </c>
      <c r="Q93" s="888">
        <v>1</v>
      </c>
      <c r="R93" s="888">
        <v>3</v>
      </c>
      <c r="S93" s="882">
        <v>2</v>
      </c>
      <c r="T93" s="888"/>
      <c r="U93" s="882"/>
      <c r="V93" s="887"/>
      <c r="W93" s="888"/>
      <c r="X93" s="882"/>
      <c r="Y93" s="888"/>
      <c r="Z93" s="882"/>
      <c r="AA93" s="882"/>
      <c r="AB93" s="882"/>
      <c r="AC93" s="882">
        <v>15</v>
      </c>
      <c r="AD93" s="882">
        <v>2</v>
      </c>
      <c r="AE93" s="882"/>
      <c r="AF93" s="882"/>
      <c r="AG93" s="882"/>
      <c r="AH93" s="882"/>
      <c r="AI93" s="882"/>
      <c r="AJ93" s="882"/>
      <c r="AK93" s="882"/>
      <c r="AL93" s="889"/>
    </row>
    <row r="94" spans="1:38" s="890" customFormat="1">
      <c r="A94" s="882">
        <v>25</v>
      </c>
      <c r="B94" s="891">
        <f t="shared" si="9"/>
        <v>-65</v>
      </c>
      <c r="C94" s="882">
        <f t="shared" si="7"/>
        <v>90</v>
      </c>
      <c r="D94" s="883">
        <v>2578</v>
      </c>
      <c r="E94" s="884" t="str">
        <f>IFERROR(VLOOKUP(Table2[[#This Row],[Player No]],Table10[[No]:[Province]],2,0),"")</f>
        <v>HUANG Shun</v>
      </c>
      <c r="F94" s="885" t="str">
        <f>IFERROR(VLOOKUP(Table2[[#This Row],[Player No]],Table10[[No]:[Province]],3,0),"")</f>
        <v>GN</v>
      </c>
      <c r="G94" s="892">
        <v>41.875</v>
      </c>
      <c r="H94" s="886">
        <f>(Table2[[#This Row],[Points 2025]]/2)+SUM(Table2[[#This Row],[O1  ADMIN 2026]:[P2    CAPE TOWN OPEN 2026 ]])</f>
        <v>20.9375</v>
      </c>
      <c r="I94" s="880">
        <f t="shared" si="6"/>
        <v>0</v>
      </c>
      <c r="J94" s="882">
        <f t="shared" si="8"/>
        <v>0</v>
      </c>
      <c r="K94" s="887" t="s">
        <v>6083</v>
      </c>
      <c r="L94" s="887" t="s">
        <v>6083</v>
      </c>
      <c r="M94" s="887" t="s">
        <v>6083</v>
      </c>
      <c r="N94" s="887"/>
      <c r="O94" s="882"/>
      <c r="P94" s="882"/>
      <c r="Q94" s="888"/>
      <c r="R94" s="888"/>
      <c r="S94" s="882"/>
      <c r="T94" s="888"/>
      <c r="U94" s="882"/>
      <c r="V94" s="887"/>
      <c r="W94" s="888"/>
      <c r="X94" s="882"/>
      <c r="Y94" s="888"/>
      <c r="Z94" s="882"/>
      <c r="AA94" s="882"/>
      <c r="AB94" s="882"/>
      <c r="AC94" s="882"/>
      <c r="AD94" s="882"/>
      <c r="AE94" s="882"/>
      <c r="AF94" s="882"/>
      <c r="AG94" s="882"/>
      <c r="AH94" s="882"/>
      <c r="AI94" s="882"/>
      <c r="AJ94" s="882"/>
      <c r="AK94" s="882"/>
      <c r="AL94" s="889"/>
    </row>
    <row r="95" spans="1:38" s="890" customFormat="1">
      <c r="A95" s="882">
        <v>25</v>
      </c>
      <c r="B95" s="891">
        <f t="shared" si="9"/>
        <v>-66</v>
      </c>
      <c r="C95" s="882">
        <f t="shared" si="7"/>
        <v>91</v>
      </c>
      <c r="D95" s="883">
        <v>1325</v>
      </c>
      <c r="E95" s="884" t="str">
        <f>IFERROR(VLOOKUP(Table2[[#This Row],[Player No]],Table10[[No]:[Province]],2,0),"")</f>
        <v xml:space="preserve">LEVY Dean </v>
      </c>
      <c r="F95" s="885" t="str">
        <f>IFERROR(VLOOKUP(Table2[[#This Row],[Player No]],Table10[[No]:[Province]],3,0),"")</f>
        <v>JTTA</v>
      </c>
      <c r="G95" s="892">
        <v>41.8359375</v>
      </c>
      <c r="H95" s="886">
        <f>(Table2[[#This Row],[Points 2025]]/2)+SUM(Table2[[#This Row],[O1  ADMIN 2026]:[P2    CAPE TOWN OPEN 2026 ]])</f>
        <v>20.91796875</v>
      </c>
      <c r="I95" s="880">
        <f t="shared" si="6"/>
        <v>0</v>
      </c>
      <c r="J95" s="882">
        <f t="shared" si="8"/>
        <v>0</v>
      </c>
      <c r="K95" s="887" t="s">
        <v>6083</v>
      </c>
      <c r="L95" s="887" t="s">
        <v>6083</v>
      </c>
      <c r="M95" s="887" t="s">
        <v>6083</v>
      </c>
      <c r="N95" s="887"/>
      <c r="O95" s="882"/>
      <c r="P95" s="882"/>
      <c r="Q95" s="888"/>
      <c r="R95" s="888"/>
      <c r="S95" s="882"/>
      <c r="T95" s="888"/>
      <c r="U95" s="882"/>
      <c r="V95" s="887"/>
      <c r="W95" s="888"/>
      <c r="X95" s="882"/>
      <c r="Y95" s="888"/>
      <c r="Z95" s="882"/>
      <c r="AA95" s="882"/>
      <c r="AB95" s="882"/>
      <c r="AC95" s="882"/>
      <c r="AD95" s="882"/>
      <c r="AE95" s="882"/>
      <c r="AF95" s="882"/>
      <c r="AG95" s="882"/>
      <c r="AH95" s="882"/>
      <c r="AI95" s="882">
        <v>15</v>
      </c>
      <c r="AJ95" s="882"/>
      <c r="AK95" s="882"/>
      <c r="AL95" s="889"/>
    </row>
    <row r="96" spans="1:38" s="890" customFormat="1">
      <c r="A96" s="882">
        <v>73</v>
      </c>
      <c r="B96" s="891">
        <f t="shared" si="9"/>
        <v>-19</v>
      </c>
      <c r="C96" s="882">
        <f t="shared" si="7"/>
        <v>92</v>
      </c>
      <c r="D96" s="883">
        <v>1275</v>
      </c>
      <c r="E96" s="884" t="str">
        <f>IFERROR(VLOOKUP(Table2[[#This Row],[Player No]],Table10[[No]:[Province]],2,0),"")</f>
        <v xml:space="preserve">Ntuthuzelo LUSITHI </v>
      </c>
      <c r="F96" s="885" t="str">
        <f>IFERROR(VLOOKUP(Table2[[#This Row],[Player No]],Table10[[No]:[Province]],3,0),"")</f>
        <v>CT</v>
      </c>
      <c r="G96" s="892">
        <v>41.3203125</v>
      </c>
      <c r="H96" s="886">
        <f>(Table2[[#This Row],[Points 2025]]/2)+SUM(Table2[[#This Row],[O1  ADMIN 2026]:[P2    CAPE TOWN OPEN 2026 ]])</f>
        <v>20.66015625</v>
      </c>
      <c r="I96" s="880">
        <f t="shared" si="6"/>
        <v>0</v>
      </c>
      <c r="J96" s="882">
        <f t="shared" si="8"/>
        <v>0</v>
      </c>
      <c r="K96" s="887" t="s">
        <v>6083</v>
      </c>
      <c r="L96" s="887" t="s">
        <v>6083</v>
      </c>
      <c r="M96" s="887" t="s">
        <v>6083</v>
      </c>
      <c r="N96" s="887"/>
      <c r="O96" s="882"/>
      <c r="P96" s="882"/>
      <c r="Q96" s="888"/>
      <c r="R96" s="888"/>
      <c r="S96" s="882"/>
      <c r="T96" s="888"/>
      <c r="U96" s="882"/>
      <c r="V96" s="887"/>
      <c r="W96" s="888">
        <v>10</v>
      </c>
      <c r="X96" s="882"/>
      <c r="Y96" s="888"/>
      <c r="Z96" s="882"/>
      <c r="AA96" s="882"/>
      <c r="AB96" s="882">
        <v>15</v>
      </c>
      <c r="AC96" s="882"/>
      <c r="AD96" s="882"/>
      <c r="AE96" s="882">
        <v>5</v>
      </c>
      <c r="AF96" s="882"/>
      <c r="AG96" s="882"/>
      <c r="AH96" s="882"/>
      <c r="AI96" s="882">
        <v>5</v>
      </c>
      <c r="AJ96" s="882"/>
      <c r="AK96" s="882"/>
      <c r="AL96" s="889"/>
    </row>
    <row r="97" spans="1:38" s="890" customFormat="1">
      <c r="A97" s="882"/>
      <c r="B97" s="891"/>
      <c r="C97" s="882">
        <f t="shared" si="7"/>
        <v>93</v>
      </c>
      <c r="D97" s="883">
        <v>1701</v>
      </c>
      <c r="E97" s="884" t="str">
        <f>IFERROR(VLOOKUP(Table2[[#This Row],[Player No]],Table10[[No]:[Province]],2,0),"")</f>
        <v xml:space="preserve">MODISE Cedric </v>
      </c>
      <c r="F97" s="885" t="str">
        <f>IFERROR(VLOOKUP(Table2[[#This Row],[Player No]],Table10[[No]:[Province]],3,0),"")</f>
        <v>FS</v>
      </c>
      <c r="G97" s="892">
        <v>36</v>
      </c>
      <c r="H97" s="886">
        <f>(Table2[[#This Row],[Points 2025]]/2)+SUM(Table2[[#This Row],[O1  ADMIN 2026]:[P2    CAPE TOWN OPEN 2026 ]])</f>
        <v>20</v>
      </c>
      <c r="I97" s="880">
        <f t="shared" si="6"/>
        <v>1</v>
      </c>
      <c r="J97" s="882">
        <f t="shared" si="8"/>
        <v>0</v>
      </c>
      <c r="K97" s="887">
        <v>2</v>
      </c>
      <c r="L97" s="887" t="s">
        <v>6083</v>
      </c>
      <c r="M97" s="887" t="s">
        <v>6083</v>
      </c>
      <c r="N97" s="887"/>
      <c r="O97" s="882"/>
      <c r="P97" s="882"/>
      <c r="Q97" s="888"/>
      <c r="R97" s="888"/>
      <c r="S97" s="882"/>
      <c r="T97" s="888">
        <v>15</v>
      </c>
      <c r="U97" s="882"/>
      <c r="V97" s="887"/>
      <c r="W97" s="888">
        <v>10</v>
      </c>
      <c r="X97" s="882">
        <v>1</v>
      </c>
      <c r="Y97" s="888"/>
      <c r="Z97" s="882">
        <v>5</v>
      </c>
      <c r="AA97" s="882"/>
      <c r="AB97" s="882"/>
      <c r="AC97" s="882"/>
      <c r="AD97" s="882"/>
      <c r="AE97" s="882"/>
      <c r="AF97" s="882"/>
      <c r="AG97" s="882">
        <v>10</v>
      </c>
      <c r="AH97" s="882"/>
      <c r="AI97" s="882"/>
      <c r="AJ97" s="882"/>
      <c r="AK97" s="882"/>
      <c r="AL97" s="889"/>
    </row>
    <row r="98" spans="1:38" s="890" customFormat="1">
      <c r="A98" s="882">
        <v>45</v>
      </c>
      <c r="B98" s="891">
        <f t="shared" ref="B98:B103" si="10">+A98-C98</f>
        <v>-49</v>
      </c>
      <c r="C98" s="882">
        <f t="shared" si="7"/>
        <v>94</v>
      </c>
      <c r="D98" s="883">
        <v>1567</v>
      </c>
      <c r="E98" s="884" t="str">
        <f>IFERROR(VLOOKUP(Table2[[#This Row],[Player No]],Table10[[No]:[Province]],2,0),"")</f>
        <v xml:space="preserve">STEYN Yusuf </v>
      </c>
      <c r="F98" s="885" t="str">
        <f>IFERROR(VLOOKUP(Table2[[#This Row],[Player No]],Table10[[No]:[Province]],3,0),"")</f>
        <v>SAVETTS</v>
      </c>
      <c r="G98" s="892">
        <v>37.9765625</v>
      </c>
      <c r="H98" s="886">
        <f>(Table2[[#This Row],[Points 2025]]/2)+SUM(Table2[[#This Row],[O1  ADMIN 2026]:[P2    CAPE TOWN OPEN 2026 ]])</f>
        <v>18.98828125</v>
      </c>
      <c r="I98" s="880">
        <f t="shared" si="6"/>
        <v>0</v>
      </c>
      <c r="J98" s="882">
        <f t="shared" si="8"/>
        <v>0</v>
      </c>
      <c r="K98" s="887" t="s">
        <v>6083</v>
      </c>
      <c r="L98" s="887" t="s">
        <v>6083</v>
      </c>
      <c r="M98" s="887" t="s">
        <v>6083</v>
      </c>
      <c r="N98" s="887"/>
      <c r="O98" s="882"/>
      <c r="P98" s="882"/>
      <c r="Q98" s="888"/>
      <c r="R98" s="888"/>
      <c r="S98" s="882"/>
      <c r="T98" s="888"/>
      <c r="U98" s="882"/>
      <c r="V98" s="887"/>
      <c r="W98" s="888"/>
      <c r="X98" s="882"/>
      <c r="Y98" s="888"/>
      <c r="Z98" s="882"/>
      <c r="AA98" s="882"/>
      <c r="AB98" s="882">
        <v>15</v>
      </c>
      <c r="AC98" s="882"/>
      <c r="AD98" s="882"/>
      <c r="AE98" s="882">
        <v>5</v>
      </c>
      <c r="AF98" s="882"/>
      <c r="AG98" s="882"/>
      <c r="AH98" s="882"/>
      <c r="AI98" s="882"/>
      <c r="AJ98" s="882"/>
      <c r="AK98" s="882"/>
      <c r="AL98" s="889"/>
    </row>
    <row r="99" spans="1:38" s="890" customFormat="1">
      <c r="A99" s="882">
        <v>44</v>
      </c>
      <c r="B99" s="891">
        <f t="shared" si="10"/>
        <v>-51</v>
      </c>
      <c r="C99" s="882">
        <f t="shared" si="7"/>
        <v>95</v>
      </c>
      <c r="D99" s="883">
        <v>1568</v>
      </c>
      <c r="E99" s="884" t="str">
        <f>IFERROR(VLOOKUP(Table2[[#This Row],[Player No]],Table10[[No]:[Province]],2,0),"")</f>
        <v xml:space="preserve">ISAACS Zahier </v>
      </c>
      <c r="F99" s="885" t="str">
        <f>IFERROR(VLOOKUP(Table2[[#This Row],[Player No]],Table10[[No]:[Province]],3,0),"")</f>
        <v>SAVETTS</v>
      </c>
      <c r="G99" s="892">
        <v>37.6484375</v>
      </c>
      <c r="H99" s="886">
        <f>(Table2[[#This Row],[Points 2025]]/2)+SUM(Table2[[#This Row],[O1  ADMIN 2026]:[P2    CAPE TOWN OPEN 2026 ]])</f>
        <v>18.82421875</v>
      </c>
      <c r="I99" s="880">
        <f t="shared" si="6"/>
        <v>0</v>
      </c>
      <c r="J99" s="882">
        <f t="shared" si="8"/>
        <v>0</v>
      </c>
      <c r="K99" s="887" t="s">
        <v>6083</v>
      </c>
      <c r="L99" s="887" t="s">
        <v>6083</v>
      </c>
      <c r="M99" s="887" t="s">
        <v>6083</v>
      </c>
      <c r="N99" s="887"/>
      <c r="O99" s="882"/>
      <c r="P99" s="882"/>
      <c r="Q99" s="888"/>
      <c r="R99" s="888"/>
      <c r="S99" s="882"/>
      <c r="T99" s="888"/>
      <c r="U99" s="882"/>
      <c r="V99" s="887"/>
      <c r="W99" s="888"/>
      <c r="X99" s="882"/>
      <c r="Y99" s="888"/>
      <c r="Z99" s="882"/>
      <c r="AA99" s="882"/>
      <c r="AB99" s="882">
        <v>15</v>
      </c>
      <c r="AC99" s="882"/>
      <c r="AD99" s="882"/>
      <c r="AE99" s="882">
        <v>3</v>
      </c>
      <c r="AF99" s="882"/>
      <c r="AG99" s="882"/>
      <c r="AH99" s="882"/>
      <c r="AI99" s="882"/>
      <c r="AJ99" s="882"/>
      <c r="AK99" s="882"/>
      <c r="AL99" s="889"/>
    </row>
    <row r="100" spans="1:38" s="890" customFormat="1">
      <c r="A100" s="882">
        <v>316</v>
      </c>
      <c r="B100" s="891">
        <f t="shared" si="10"/>
        <v>220</v>
      </c>
      <c r="C100" s="882">
        <f t="shared" si="7"/>
        <v>96</v>
      </c>
      <c r="D100" s="883">
        <v>1026</v>
      </c>
      <c r="E100" s="884" t="str">
        <f>IFERROR(VLOOKUP(Table2[[#This Row],[Player No]],Table10[[No]:[Province]],2,0),"")</f>
        <v xml:space="preserve">KARIM Muhammed </v>
      </c>
      <c r="F100" s="885" t="str">
        <f>IFERROR(VLOOKUP(Table2[[#This Row],[Player No]],Table10[[No]:[Province]],3,0),"")</f>
        <v>GN</v>
      </c>
      <c r="G100" s="892">
        <v>7.216796875</v>
      </c>
      <c r="H100" s="886">
        <f>(Table2[[#This Row],[Points 2025]]/2)+SUM(Table2[[#This Row],[O1  ADMIN 2026]:[P2    CAPE TOWN OPEN 2026 ]])</f>
        <v>18.6083984375</v>
      </c>
      <c r="I100" s="880">
        <f t="shared" si="6"/>
        <v>1</v>
      </c>
      <c r="J100" s="882">
        <f t="shared" si="8"/>
        <v>0</v>
      </c>
      <c r="K100" s="887">
        <v>15</v>
      </c>
      <c r="L100" s="887" t="s">
        <v>6083</v>
      </c>
      <c r="M100" s="887" t="s">
        <v>6083</v>
      </c>
      <c r="N100" s="887"/>
      <c r="O100" s="882"/>
      <c r="P100" s="882"/>
      <c r="Q100" s="888"/>
      <c r="R100" s="888"/>
      <c r="S100" s="882"/>
      <c r="T100" s="888"/>
      <c r="U100" s="882"/>
      <c r="V100" s="887"/>
      <c r="W100" s="888">
        <v>5</v>
      </c>
      <c r="X100" s="882"/>
      <c r="Y100" s="888">
        <v>1</v>
      </c>
      <c r="Z100" s="882"/>
      <c r="AA100" s="882"/>
      <c r="AB100" s="882"/>
      <c r="AC100" s="882"/>
      <c r="AD100" s="882"/>
      <c r="AE100" s="882"/>
      <c r="AF100" s="882"/>
      <c r="AG100" s="882"/>
      <c r="AH100" s="882"/>
      <c r="AI100" s="882"/>
      <c r="AJ100" s="882"/>
      <c r="AK100" s="882"/>
      <c r="AL100" s="889"/>
    </row>
    <row r="101" spans="1:38" s="890" customFormat="1">
      <c r="A101" s="882">
        <v>143</v>
      </c>
      <c r="B101" s="891">
        <f t="shared" si="10"/>
        <v>46</v>
      </c>
      <c r="C101" s="882">
        <f t="shared" si="7"/>
        <v>97</v>
      </c>
      <c r="D101" s="883">
        <v>1017</v>
      </c>
      <c r="E101" s="884" t="str">
        <f>IFERROR(VLOOKUP(Table2[[#This Row],[Player No]],Table10[[No]:[Province]],2,0),"")</f>
        <v xml:space="preserve">DE KOCK Michael </v>
      </c>
      <c r="F101" s="885" t="str">
        <f>IFERROR(VLOOKUP(Table2[[#This Row],[Player No]],Table10[[No]:[Province]],3,0),"")</f>
        <v>NMB</v>
      </c>
      <c r="G101" s="892">
        <v>37.15625</v>
      </c>
      <c r="H101" s="886">
        <f>(Table2[[#This Row],[Points 2025]]/2)+SUM(Table2[[#This Row],[O1  ADMIN 2026]:[P2    CAPE TOWN OPEN 2026 ]])</f>
        <v>18.578125</v>
      </c>
      <c r="I101" s="880">
        <f t="shared" si="6"/>
        <v>0</v>
      </c>
      <c r="J101" s="882">
        <f t="shared" si="8"/>
        <v>0</v>
      </c>
      <c r="K101" s="887" t="s">
        <v>6083</v>
      </c>
      <c r="L101" s="887" t="s">
        <v>6083</v>
      </c>
      <c r="M101" s="887" t="s">
        <v>6083</v>
      </c>
      <c r="N101" s="887"/>
      <c r="O101" s="882"/>
      <c r="P101" s="882"/>
      <c r="Q101" s="888"/>
      <c r="R101" s="888"/>
      <c r="S101" s="882"/>
      <c r="T101" s="888"/>
      <c r="U101" s="882"/>
      <c r="V101" s="887">
        <v>25</v>
      </c>
      <c r="W101" s="888">
        <v>5</v>
      </c>
      <c r="X101" s="882"/>
      <c r="Y101" s="888"/>
      <c r="Z101" s="882"/>
      <c r="AA101" s="882"/>
      <c r="AB101" s="882"/>
      <c r="AC101" s="882"/>
      <c r="AD101" s="882"/>
      <c r="AE101" s="882"/>
      <c r="AF101" s="882"/>
      <c r="AG101" s="882">
        <v>5</v>
      </c>
      <c r="AH101" s="882"/>
      <c r="AI101" s="882"/>
      <c r="AJ101" s="882"/>
      <c r="AK101" s="882"/>
      <c r="AL101" s="889"/>
    </row>
    <row r="102" spans="1:38" s="890" customFormat="1">
      <c r="A102" s="882">
        <v>25</v>
      </c>
      <c r="B102" s="891">
        <f t="shared" si="10"/>
        <v>-73</v>
      </c>
      <c r="C102" s="882">
        <f t="shared" si="7"/>
        <v>98</v>
      </c>
      <c r="D102" s="883">
        <v>2895</v>
      </c>
      <c r="E102" s="884" t="str">
        <f>IFERROR(VLOOKUP(Table2[[#This Row],[Player No]],Table10[[No]:[Province]],2,0),"")</f>
        <v>JOB Marvin</v>
      </c>
      <c r="F102" s="885" t="str">
        <f>IFERROR(VLOOKUP(Table2[[#This Row],[Player No]],Table10[[No]:[Province]],3,0),"")</f>
        <v>GN</v>
      </c>
      <c r="G102" s="892">
        <v>36.46875</v>
      </c>
      <c r="H102" s="886">
        <f>(Table2[[#This Row],[Points 2025]]/2)+SUM(Table2[[#This Row],[O1  ADMIN 2026]:[P2    CAPE TOWN OPEN 2026 ]])</f>
        <v>18.234375</v>
      </c>
      <c r="I102" s="880">
        <f t="shared" si="6"/>
        <v>0</v>
      </c>
      <c r="J102" s="882">
        <f t="shared" si="8"/>
        <v>0</v>
      </c>
      <c r="K102" s="887" t="s">
        <v>6083</v>
      </c>
      <c r="L102" s="887" t="s">
        <v>6083</v>
      </c>
      <c r="M102" s="887" t="s">
        <v>6083</v>
      </c>
      <c r="N102" s="887"/>
      <c r="O102" s="882"/>
      <c r="P102" s="882"/>
      <c r="Q102" s="888"/>
      <c r="R102" s="888"/>
      <c r="S102" s="882"/>
      <c r="T102" s="888"/>
      <c r="U102" s="882"/>
      <c r="V102" s="887"/>
      <c r="W102" s="888"/>
      <c r="X102" s="882"/>
      <c r="Y102" s="888">
        <v>12</v>
      </c>
      <c r="Z102" s="882">
        <v>3</v>
      </c>
      <c r="AA102" s="882"/>
      <c r="AB102" s="882"/>
      <c r="AC102" s="882"/>
      <c r="AD102" s="882"/>
      <c r="AE102" s="882"/>
      <c r="AF102" s="882"/>
      <c r="AG102" s="882"/>
      <c r="AH102" s="882"/>
      <c r="AI102" s="882">
        <v>5</v>
      </c>
      <c r="AJ102" s="882">
        <v>25</v>
      </c>
      <c r="AK102" s="882"/>
      <c r="AL102" s="889"/>
    </row>
    <row r="103" spans="1:38" s="890" customFormat="1">
      <c r="A103" s="882">
        <v>83</v>
      </c>
      <c r="B103" s="891">
        <f t="shared" si="10"/>
        <v>-16</v>
      </c>
      <c r="C103" s="882">
        <f t="shared" si="7"/>
        <v>99</v>
      </c>
      <c r="D103" s="883">
        <v>1456</v>
      </c>
      <c r="E103" s="884" t="str">
        <f>IFERROR(VLOOKUP(Table2[[#This Row],[Player No]],Table10[[No]:[Province]],2,0),"")</f>
        <v xml:space="preserve">RAMSUTH Cameron </v>
      </c>
      <c r="F103" s="885" t="str">
        <f>IFERROR(VLOOKUP(Table2[[#This Row],[Player No]],Table10[[No]:[Province]],3,0),"")</f>
        <v>ETTA</v>
      </c>
      <c r="G103" s="892">
        <v>27.75</v>
      </c>
      <c r="H103" s="886">
        <f>(Table2[[#This Row],[Points 2025]]/2)+SUM(Table2[[#This Row],[O1  ADMIN 2026]:[P2    CAPE TOWN OPEN 2026 ]])</f>
        <v>17.875</v>
      </c>
      <c r="I103" s="880">
        <f t="shared" si="6"/>
        <v>2</v>
      </c>
      <c r="J103" s="882">
        <f t="shared" si="8"/>
        <v>0</v>
      </c>
      <c r="K103" s="887" t="s">
        <v>6083</v>
      </c>
      <c r="L103" s="887">
        <v>2</v>
      </c>
      <c r="M103" s="887">
        <v>2</v>
      </c>
      <c r="N103" s="887"/>
      <c r="O103" s="882">
        <v>15</v>
      </c>
      <c r="P103" s="882"/>
      <c r="Q103" s="888">
        <v>1</v>
      </c>
      <c r="R103" s="888">
        <v>1</v>
      </c>
      <c r="S103" s="882">
        <v>1</v>
      </c>
      <c r="T103" s="888"/>
      <c r="U103" s="882"/>
      <c r="V103" s="887"/>
      <c r="W103" s="888"/>
      <c r="X103" s="882"/>
      <c r="Y103" s="888"/>
      <c r="Z103" s="882"/>
      <c r="AA103" s="882"/>
      <c r="AB103" s="882"/>
      <c r="AC103" s="882">
        <v>2</v>
      </c>
      <c r="AD103" s="882">
        <v>15</v>
      </c>
      <c r="AE103" s="882"/>
      <c r="AF103" s="882"/>
      <c r="AG103" s="882"/>
      <c r="AH103" s="882"/>
      <c r="AI103" s="882"/>
      <c r="AJ103" s="882"/>
      <c r="AK103" s="882"/>
      <c r="AL103" s="889"/>
    </row>
    <row r="104" spans="1:38" s="890" customFormat="1">
      <c r="A104" s="882"/>
      <c r="B104" s="891"/>
      <c r="C104" s="882">
        <f t="shared" si="7"/>
        <v>100</v>
      </c>
      <c r="D104" s="883">
        <v>3634</v>
      </c>
      <c r="E104" s="884" t="str">
        <f>IFERROR(VLOOKUP(Table2[[#This Row],[Player No]],Table10[[No]:[Province]],2,0),"")</f>
        <v>MAY Riaan</v>
      </c>
      <c r="F104" s="885" t="str">
        <f>IFERROR(VLOOKUP(Table2[[#This Row],[Player No]],Table10[[No]:[Province]],3,0),"")</f>
        <v>NMB</v>
      </c>
      <c r="G104" s="892">
        <v>35</v>
      </c>
      <c r="H104" s="886">
        <f>(Table2[[#This Row],[Points 2025]]/2)+SUM(Table2[[#This Row],[O1  ADMIN 2026]:[P2    CAPE TOWN OPEN 2026 ]])</f>
        <v>17.5</v>
      </c>
      <c r="I104" s="880">
        <f t="shared" si="6"/>
        <v>0</v>
      </c>
      <c r="J104" s="882">
        <f t="shared" si="8"/>
        <v>0</v>
      </c>
      <c r="K104" s="887" t="s">
        <v>6083</v>
      </c>
      <c r="L104" s="887" t="s">
        <v>6083</v>
      </c>
      <c r="M104" s="887" t="s">
        <v>6083</v>
      </c>
      <c r="N104" s="887"/>
      <c r="O104" s="882"/>
      <c r="P104" s="882"/>
      <c r="Q104" s="888"/>
      <c r="R104" s="888"/>
      <c r="S104" s="882"/>
      <c r="T104" s="888"/>
      <c r="U104" s="882"/>
      <c r="V104" s="887">
        <v>25</v>
      </c>
      <c r="W104" s="888">
        <v>10</v>
      </c>
      <c r="X104" s="882"/>
      <c r="Y104" s="888"/>
      <c r="Z104" s="882"/>
      <c r="AA104" s="882"/>
      <c r="AB104" s="882"/>
      <c r="AC104" s="882"/>
      <c r="AD104" s="882"/>
      <c r="AE104" s="882"/>
      <c r="AF104" s="882"/>
      <c r="AG104" s="882"/>
      <c r="AH104" s="882"/>
      <c r="AI104" s="882"/>
      <c r="AJ104" s="882"/>
      <c r="AK104" s="882"/>
      <c r="AL104" s="889"/>
    </row>
    <row r="105" spans="1:38" s="890" customFormat="1">
      <c r="A105" s="882"/>
      <c r="B105" s="891"/>
      <c r="C105" s="882">
        <f t="shared" si="7"/>
        <v>101</v>
      </c>
      <c r="D105" s="883">
        <v>2120</v>
      </c>
      <c r="E105" s="884" t="str">
        <f>IFERROR(VLOOKUP(Table2[[#This Row],[Player No]],Table10[[No]:[Province]],2,0),"")</f>
        <v xml:space="preserve">Shrian Bandu </v>
      </c>
      <c r="F105" s="885" t="str">
        <f>IFERROR(VLOOKUP(Table2[[#This Row],[Player No]],Table10[[No]:[Province]],3,0),"")</f>
        <v>UMG</v>
      </c>
      <c r="G105" s="892">
        <v>29</v>
      </c>
      <c r="H105" s="886">
        <f>(Table2[[#This Row],[Points 2025]]/2)+SUM(Table2[[#This Row],[O1  ADMIN 2026]:[P2    CAPE TOWN OPEN 2026 ]])</f>
        <v>17.5</v>
      </c>
      <c r="I105" s="880">
        <f t="shared" si="6"/>
        <v>2</v>
      </c>
      <c r="J105" s="882">
        <f t="shared" si="8"/>
        <v>0</v>
      </c>
      <c r="K105" s="887" t="s">
        <v>6083</v>
      </c>
      <c r="L105" s="887">
        <v>2</v>
      </c>
      <c r="M105" s="887">
        <v>1</v>
      </c>
      <c r="N105" s="887"/>
      <c r="O105" s="882">
        <v>2</v>
      </c>
      <c r="P105" s="882">
        <v>10</v>
      </c>
      <c r="Q105" s="888">
        <v>2</v>
      </c>
      <c r="R105" s="888">
        <v>5</v>
      </c>
      <c r="S105" s="882">
        <v>10</v>
      </c>
      <c r="T105" s="888"/>
      <c r="U105" s="882"/>
      <c r="V105" s="887"/>
      <c r="W105" s="888"/>
      <c r="X105" s="882"/>
      <c r="Y105" s="888"/>
      <c r="Z105" s="882"/>
      <c r="AA105" s="882"/>
      <c r="AB105" s="882"/>
      <c r="AC105" s="882"/>
      <c r="AD105" s="882"/>
      <c r="AE105" s="882"/>
      <c r="AF105" s="882"/>
      <c r="AG105" s="882"/>
      <c r="AH105" s="882"/>
      <c r="AI105" s="882"/>
      <c r="AJ105" s="882"/>
      <c r="AK105" s="882"/>
      <c r="AL105" s="889"/>
    </row>
    <row r="106" spans="1:38" s="890" customFormat="1">
      <c r="A106" s="882">
        <v>210</v>
      </c>
      <c r="B106" s="891">
        <f t="shared" ref="B106:B125" si="11">+A106-C106</f>
        <v>108</v>
      </c>
      <c r="C106" s="882">
        <f t="shared" si="7"/>
        <v>102</v>
      </c>
      <c r="D106" s="883">
        <v>3814</v>
      </c>
      <c r="E106" s="884" t="str">
        <f>IFERROR(VLOOKUP(Table2[[#This Row],[Player No]],Table10[[No]:[Province]],2,0),"")</f>
        <v>BROWNLEY Timothy</v>
      </c>
      <c r="F106" s="885" t="str">
        <f>IFERROR(VLOOKUP(Table2[[#This Row],[Player No]],Table10[[No]:[Province]],3,0),"")</f>
        <v>JTTA</v>
      </c>
      <c r="G106" s="892">
        <v>15</v>
      </c>
      <c r="H106" s="886">
        <f>(Table2[[#This Row],[Points 2025]]/2)+SUM(Table2[[#This Row],[O1  ADMIN 2026]:[P2    CAPE TOWN OPEN 2026 ]])</f>
        <v>17.5</v>
      </c>
      <c r="I106" s="880">
        <f t="shared" si="6"/>
        <v>1</v>
      </c>
      <c r="J106" s="882">
        <f t="shared" si="8"/>
        <v>0</v>
      </c>
      <c r="K106" s="887">
        <v>10</v>
      </c>
      <c r="L106" s="887" t="s">
        <v>6083</v>
      </c>
      <c r="M106" s="887" t="s">
        <v>6083</v>
      </c>
      <c r="N106" s="887"/>
      <c r="O106" s="882"/>
      <c r="P106" s="882"/>
      <c r="Q106" s="888"/>
      <c r="R106" s="888">
        <v>3</v>
      </c>
      <c r="S106" s="882"/>
      <c r="T106" s="888"/>
      <c r="U106" s="882"/>
      <c r="V106" s="887"/>
      <c r="W106" s="888"/>
      <c r="X106" s="882"/>
      <c r="Y106" s="888">
        <v>4</v>
      </c>
      <c r="Z106" s="882">
        <v>3</v>
      </c>
      <c r="AA106" s="882"/>
      <c r="AB106" s="882"/>
      <c r="AC106" s="882"/>
      <c r="AD106" s="882"/>
      <c r="AE106" s="882"/>
      <c r="AF106" s="882"/>
      <c r="AG106" s="882"/>
      <c r="AH106" s="882"/>
      <c r="AI106" s="882">
        <v>5</v>
      </c>
      <c r="AJ106" s="882">
        <v>5</v>
      </c>
      <c r="AK106" s="882"/>
      <c r="AL106" s="889"/>
    </row>
    <row r="107" spans="1:38" s="890" customFormat="1">
      <c r="A107" s="882">
        <v>90</v>
      </c>
      <c r="B107" s="891">
        <f t="shared" si="11"/>
        <v>-13</v>
      </c>
      <c r="C107" s="882">
        <f t="shared" si="7"/>
        <v>103</v>
      </c>
      <c r="D107" s="883">
        <v>1577</v>
      </c>
      <c r="E107" s="884" t="str">
        <f>IFERROR(VLOOKUP(Table2[[#This Row],[Player No]],Table10[[No]:[Province]],2,0),"")</f>
        <v xml:space="preserve">ISAACS Munier </v>
      </c>
      <c r="F107" s="885" t="str">
        <f>IFERROR(VLOOKUP(Table2[[#This Row],[Player No]],Table10[[No]:[Province]],3,0),"")</f>
        <v>SANDF</v>
      </c>
      <c r="G107" s="892">
        <v>34.0625</v>
      </c>
      <c r="H107" s="886">
        <f>(Table2[[#This Row],[Points 2025]]/2)+SUM(Table2[[#This Row],[O1  ADMIN 2026]:[P2    CAPE TOWN OPEN 2026 ]])</f>
        <v>17.03125</v>
      </c>
      <c r="I107" s="880">
        <f t="shared" si="6"/>
        <v>0</v>
      </c>
      <c r="J107" s="882">
        <f t="shared" si="8"/>
        <v>0</v>
      </c>
      <c r="K107" s="887" t="s">
        <v>6083</v>
      </c>
      <c r="L107" s="887" t="s">
        <v>6083</v>
      </c>
      <c r="M107" s="887" t="s">
        <v>6083</v>
      </c>
      <c r="N107" s="887"/>
      <c r="O107" s="882"/>
      <c r="P107" s="882"/>
      <c r="Q107" s="888"/>
      <c r="R107" s="888"/>
      <c r="S107" s="882"/>
      <c r="T107" s="888"/>
      <c r="U107" s="882"/>
      <c r="V107" s="887"/>
      <c r="W107" s="888"/>
      <c r="X107" s="882"/>
      <c r="Y107" s="888"/>
      <c r="Z107" s="882"/>
      <c r="AA107" s="882"/>
      <c r="AB107" s="882">
        <v>25</v>
      </c>
      <c r="AC107" s="882"/>
      <c r="AD107" s="882"/>
      <c r="AE107" s="882">
        <v>1</v>
      </c>
      <c r="AF107" s="882"/>
      <c r="AG107" s="882"/>
      <c r="AH107" s="882"/>
      <c r="AI107" s="882"/>
      <c r="AJ107" s="882"/>
      <c r="AK107" s="882"/>
      <c r="AL107" s="889"/>
    </row>
    <row r="108" spans="1:38" s="890" customFormat="1">
      <c r="A108" s="882">
        <v>95</v>
      </c>
      <c r="B108" s="891">
        <f t="shared" si="11"/>
        <v>-9</v>
      </c>
      <c r="C108" s="882">
        <f t="shared" si="7"/>
        <v>104</v>
      </c>
      <c r="D108" s="883">
        <v>3507</v>
      </c>
      <c r="E108" s="884" t="str">
        <f>IFERROR(VLOOKUP(Table2[[#This Row],[Player No]],Table10[[No]:[Province]],2,0),"")</f>
        <v>PADAYACHEE Rivaal</v>
      </c>
      <c r="F108" s="885" t="str">
        <f>IFERROR(VLOOKUP(Table2[[#This Row],[Player No]],Table10[[No]:[Province]],3,0),"")</f>
        <v>UMG</v>
      </c>
      <c r="G108" s="892">
        <v>25.5</v>
      </c>
      <c r="H108" s="886">
        <f>(Table2[[#This Row],[Points 2025]]/2)+SUM(Table2[[#This Row],[O1  ADMIN 2026]:[P2    CAPE TOWN OPEN 2026 ]])</f>
        <v>16.75</v>
      </c>
      <c r="I108" s="880">
        <f t="shared" si="6"/>
        <v>2</v>
      </c>
      <c r="J108" s="882">
        <f t="shared" si="8"/>
        <v>0</v>
      </c>
      <c r="K108" s="887" t="s">
        <v>6083</v>
      </c>
      <c r="L108" s="887">
        <v>2</v>
      </c>
      <c r="M108" s="887">
        <v>2</v>
      </c>
      <c r="N108" s="887"/>
      <c r="O108" s="882">
        <v>15</v>
      </c>
      <c r="P108" s="882"/>
      <c r="Q108" s="888"/>
      <c r="R108" s="888"/>
      <c r="S108" s="882">
        <v>2</v>
      </c>
      <c r="T108" s="888"/>
      <c r="U108" s="882"/>
      <c r="V108" s="887"/>
      <c r="W108" s="888"/>
      <c r="X108" s="882"/>
      <c r="Y108" s="888"/>
      <c r="Z108" s="882"/>
      <c r="AA108" s="882"/>
      <c r="AB108" s="882"/>
      <c r="AC108" s="882">
        <v>15</v>
      </c>
      <c r="AD108" s="882">
        <v>2</v>
      </c>
      <c r="AE108" s="882"/>
      <c r="AF108" s="882"/>
      <c r="AG108" s="882"/>
      <c r="AH108" s="882"/>
      <c r="AI108" s="882"/>
      <c r="AJ108" s="882"/>
      <c r="AK108" s="882"/>
      <c r="AL108" s="889"/>
    </row>
    <row r="109" spans="1:38" s="890" customFormat="1">
      <c r="A109" s="882">
        <v>904</v>
      </c>
      <c r="B109" s="891">
        <f t="shared" si="11"/>
        <v>799</v>
      </c>
      <c r="C109" s="882">
        <f t="shared" si="7"/>
        <v>105</v>
      </c>
      <c r="D109" s="883">
        <v>3324</v>
      </c>
      <c r="E109" s="884" t="str">
        <f>IFERROR(VLOOKUP(Table2[[#This Row],[Player No]],Table10[[No]:[Province]],2,0),"")</f>
        <v>PHILANDER Nahum</v>
      </c>
      <c r="F109" s="885" t="str">
        <f>IFERROR(VLOOKUP(Table2[[#This Row],[Player No]],Table10[[No]:[Province]],3,0),"")</f>
        <v>CT</v>
      </c>
      <c r="G109" s="892">
        <v>33</v>
      </c>
      <c r="H109" s="886">
        <f>(Table2[[#This Row],[Points 2025]]/2)+SUM(Table2[[#This Row],[O1  ADMIN 2026]:[P2    CAPE TOWN OPEN 2026 ]])</f>
        <v>16.5</v>
      </c>
      <c r="I109" s="880">
        <f t="shared" si="6"/>
        <v>0</v>
      </c>
      <c r="J109" s="882">
        <f t="shared" si="8"/>
        <v>0</v>
      </c>
      <c r="K109" s="887" t="s">
        <v>6083</v>
      </c>
      <c r="L109" s="887" t="s">
        <v>6083</v>
      </c>
      <c r="M109" s="887" t="s">
        <v>6083</v>
      </c>
      <c r="N109" s="887"/>
      <c r="O109" s="882"/>
      <c r="P109" s="882"/>
      <c r="Q109" s="888"/>
      <c r="R109" s="888"/>
      <c r="S109" s="882"/>
      <c r="T109" s="888"/>
      <c r="U109" s="882"/>
      <c r="V109" s="887"/>
      <c r="W109" s="888">
        <v>10</v>
      </c>
      <c r="X109" s="882"/>
      <c r="Y109" s="888"/>
      <c r="Z109" s="882"/>
      <c r="AA109" s="882"/>
      <c r="AB109" s="882">
        <v>15</v>
      </c>
      <c r="AC109" s="882"/>
      <c r="AD109" s="882"/>
      <c r="AE109" s="882">
        <v>1</v>
      </c>
      <c r="AF109" s="882">
        <v>15</v>
      </c>
      <c r="AG109" s="882"/>
      <c r="AH109" s="882"/>
      <c r="AI109" s="882"/>
      <c r="AJ109" s="882"/>
      <c r="AK109" s="882"/>
      <c r="AL109" s="889"/>
    </row>
    <row r="110" spans="1:38" s="890" customFormat="1">
      <c r="A110" s="882">
        <v>137</v>
      </c>
      <c r="B110" s="891">
        <f t="shared" si="11"/>
        <v>31</v>
      </c>
      <c r="C110" s="882">
        <f t="shared" si="7"/>
        <v>106</v>
      </c>
      <c r="D110" s="883">
        <v>3853</v>
      </c>
      <c r="E110" s="884" t="str">
        <f>IFERROR(VLOOKUP(Table2[[#This Row],[Player No]],Table10[[No]:[Province]],2,0),"")</f>
        <v>BEEBY Damon</v>
      </c>
      <c r="F110" s="885" t="str">
        <f>IFERROR(VLOOKUP(Table2[[#This Row],[Player No]],Table10[[No]:[Province]],3,0),"")</f>
        <v>JTTA</v>
      </c>
      <c r="G110" s="892">
        <v>13</v>
      </c>
      <c r="H110" s="886">
        <f>(Table2[[#This Row],[Points 2025]]/2)+SUM(Table2[[#This Row],[O1  ADMIN 2026]:[P2    CAPE TOWN OPEN 2026 ]])</f>
        <v>16.5</v>
      </c>
      <c r="I110" s="880">
        <f t="shared" si="6"/>
        <v>1</v>
      </c>
      <c r="J110" s="882">
        <f t="shared" si="8"/>
        <v>0</v>
      </c>
      <c r="K110" s="887">
        <v>10</v>
      </c>
      <c r="L110" s="887" t="s">
        <v>6083</v>
      </c>
      <c r="M110" s="887" t="s">
        <v>6083</v>
      </c>
      <c r="N110" s="887"/>
      <c r="O110" s="882"/>
      <c r="P110" s="882"/>
      <c r="Q110" s="888"/>
      <c r="R110" s="888"/>
      <c r="S110" s="882"/>
      <c r="T110" s="888"/>
      <c r="U110" s="882"/>
      <c r="V110" s="887"/>
      <c r="W110" s="888"/>
      <c r="X110" s="882"/>
      <c r="Y110" s="888">
        <v>4</v>
      </c>
      <c r="Z110" s="882">
        <v>3</v>
      </c>
      <c r="AA110" s="882"/>
      <c r="AB110" s="882"/>
      <c r="AC110" s="882"/>
      <c r="AD110" s="882"/>
      <c r="AE110" s="882"/>
      <c r="AF110" s="882"/>
      <c r="AG110" s="882"/>
      <c r="AH110" s="882"/>
      <c r="AI110" s="882">
        <v>2</v>
      </c>
      <c r="AJ110" s="882"/>
      <c r="AK110" s="882">
        <v>10</v>
      </c>
      <c r="AL110" s="889"/>
    </row>
    <row r="111" spans="1:38" s="890" customFormat="1">
      <c r="A111" s="882">
        <v>85</v>
      </c>
      <c r="B111" s="891">
        <f t="shared" si="11"/>
        <v>-22</v>
      </c>
      <c r="C111" s="882">
        <f t="shared" si="7"/>
        <v>107</v>
      </c>
      <c r="D111" s="883">
        <v>3293</v>
      </c>
      <c r="E111" s="884" t="str">
        <f>IFERROR(VLOOKUP(Table2[[#This Row],[Player No]],Table10[[No]:[Province]],2,0),"")</f>
        <v>BRICKHILL Jason</v>
      </c>
      <c r="F111" s="885" t="str">
        <f>IFERROR(VLOOKUP(Table2[[#This Row],[Player No]],Table10[[No]:[Province]],3,0),"")</f>
        <v>JTTA</v>
      </c>
      <c r="G111" s="892">
        <v>31.6875</v>
      </c>
      <c r="H111" s="886">
        <f>(Table2[[#This Row],[Points 2025]]/2)+SUM(Table2[[#This Row],[O1  ADMIN 2026]:[P2    CAPE TOWN OPEN 2026 ]])</f>
        <v>15.84375</v>
      </c>
      <c r="I111" s="880">
        <f t="shared" si="6"/>
        <v>0</v>
      </c>
      <c r="J111" s="882">
        <f t="shared" si="8"/>
        <v>0</v>
      </c>
      <c r="K111" s="887" t="s">
        <v>6083</v>
      </c>
      <c r="L111" s="887" t="s">
        <v>6083</v>
      </c>
      <c r="M111" s="887" t="s">
        <v>6083</v>
      </c>
      <c r="N111" s="887"/>
      <c r="O111" s="882"/>
      <c r="P111" s="882"/>
      <c r="Q111" s="888"/>
      <c r="R111" s="888"/>
      <c r="S111" s="882"/>
      <c r="T111" s="888"/>
      <c r="U111" s="882"/>
      <c r="V111" s="887"/>
      <c r="W111" s="888">
        <v>7</v>
      </c>
      <c r="X111" s="882">
        <v>5</v>
      </c>
      <c r="Y111" s="888"/>
      <c r="Z111" s="882">
        <v>5</v>
      </c>
      <c r="AA111" s="882"/>
      <c r="AB111" s="882"/>
      <c r="AC111" s="882"/>
      <c r="AD111" s="882"/>
      <c r="AE111" s="882"/>
      <c r="AF111" s="882"/>
      <c r="AG111" s="882">
        <v>10</v>
      </c>
      <c r="AH111" s="882"/>
      <c r="AI111" s="882"/>
      <c r="AJ111" s="882"/>
      <c r="AK111" s="882">
        <v>15</v>
      </c>
      <c r="AL111" s="889"/>
    </row>
    <row r="112" spans="1:38" s="890" customFormat="1">
      <c r="A112" s="882">
        <v>279</v>
      </c>
      <c r="B112" s="891">
        <f t="shared" si="11"/>
        <v>171</v>
      </c>
      <c r="C112" s="882">
        <f t="shared" si="7"/>
        <v>108</v>
      </c>
      <c r="D112" s="883">
        <v>3167</v>
      </c>
      <c r="E112" s="884" t="str">
        <f>IFERROR(VLOOKUP(Table2[[#This Row],[Player No]],Table10[[No]:[Province]],2,0),"")</f>
        <v>AGBAZO Evans Eric</v>
      </c>
      <c r="F112" s="885" t="str">
        <f>IFERROR(VLOOKUP(Table2[[#This Row],[Player No]],Table10[[No]:[Province]],3,0),"")</f>
        <v xml:space="preserve">EC </v>
      </c>
      <c r="G112" s="892">
        <v>31.3125</v>
      </c>
      <c r="H112" s="886">
        <f>(Table2[[#This Row],[Points 2025]]/2)+SUM(Table2[[#This Row],[O1  ADMIN 2026]:[P2    CAPE TOWN OPEN 2026 ]])</f>
        <v>15.65625</v>
      </c>
      <c r="I112" s="880">
        <f t="shared" si="6"/>
        <v>0</v>
      </c>
      <c r="J112" s="882">
        <f t="shared" si="8"/>
        <v>0</v>
      </c>
      <c r="K112" s="887" t="s">
        <v>6083</v>
      </c>
      <c r="L112" s="887" t="s">
        <v>6083</v>
      </c>
      <c r="M112" s="887" t="s">
        <v>6083</v>
      </c>
      <c r="N112" s="887"/>
      <c r="O112" s="882"/>
      <c r="P112" s="882"/>
      <c r="Q112" s="888"/>
      <c r="R112" s="888"/>
      <c r="S112" s="882"/>
      <c r="T112" s="888"/>
      <c r="U112" s="882"/>
      <c r="V112" s="887">
        <v>25</v>
      </c>
      <c r="W112" s="888">
        <v>0</v>
      </c>
      <c r="X112" s="882"/>
      <c r="Y112" s="888"/>
      <c r="Z112" s="882"/>
      <c r="AA112" s="882"/>
      <c r="AB112" s="882"/>
      <c r="AC112" s="882"/>
      <c r="AD112" s="882"/>
      <c r="AE112" s="882"/>
      <c r="AF112" s="882"/>
      <c r="AG112" s="882">
        <v>10</v>
      </c>
      <c r="AH112" s="882"/>
      <c r="AI112" s="882"/>
      <c r="AJ112" s="882"/>
      <c r="AK112" s="882"/>
      <c r="AL112" s="889"/>
    </row>
    <row r="113" spans="1:38" s="890" customFormat="1">
      <c r="A113" s="882">
        <v>70</v>
      </c>
      <c r="B113" s="891">
        <f t="shared" si="11"/>
        <v>-39</v>
      </c>
      <c r="C113" s="882">
        <f t="shared" si="7"/>
        <v>109</v>
      </c>
      <c r="D113" s="883">
        <v>2291</v>
      </c>
      <c r="E113" s="884" t="str">
        <f>IFERROR(VLOOKUP(Table2[[#This Row],[Player No]],Table10[[No]:[Province]],2,0),"")</f>
        <v>FARIA Tiago</v>
      </c>
      <c r="F113" s="885" t="str">
        <f>IFERROR(VLOOKUP(Table2[[#This Row],[Player No]],Table10[[No]:[Province]],3,0),"")</f>
        <v>CT</v>
      </c>
      <c r="G113" s="892">
        <v>30.53125</v>
      </c>
      <c r="H113" s="886">
        <f>(Table2[[#This Row],[Points 2025]]/2)+SUM(Table2[[#This Row],[O1  ADMIN 2026]:[P2    CAPE TOWN OPEN 2026 ]])</f>
        <v>15.265625</v>
      </c>
      <c r="I113" s="880">
        <f t="shared" si="6"/>
        <v>0</v>
      </c>
      <c r="J113" s="882">
        <f t="shared" si="8"/>
        <v>0</v>
      </c>
      <c r="K113" s="887" t="s">
        <v>6083</v>
      </c>
      <c r="L113" s="887" t="s">
        <v>6083</v>
      </c>
      <c r="M113" s="887" t="s">
        <v>6083</v>
      </c>
      <c r="N113" s="887"/>
      <c r="O113" s="882"/>
      <c r="P113" s="882"/>
      <c r="Q113" s="888"/>
      <c r="R113" s="888"/>
      <c r="S113" s="882"/>
      <c r="T113" s="888"/>
      <c r="U113" s="882"/>
      <c r="V113" s="887"/>
      <c r="W113" s="888"/>
      <c r="X113" s="882"/>
      <c r="Y113" s="888"/>
      <c r="Z113" s="882"/>
      <c r="AA113" s="882"/>
      <c r="AB113" s="882">
        <v>15</v>
      </c>
      <c r="AC113" s="882"/>
      <c r="AD113" s="882"/>
      <c r="AE113" s="882">
        <v>2</v>
      </c>
      <c r="AF113" s="882"/>
      <c r="AG113" s="882">
        <v>5</v>
      </c>
      <c r="AH113" s="882"/>
      <c r="AI113" s="882"/>
      <c r="AJ113" s="882"/>
      <c r="AK113" s="882"/>
      <c r="AL113" s="889"/>
    </row>
    <row r="114" spans="1:38" s="890" customFormat="1">
      <c r="A114" s="882">
        <v>127</v>
      </c>
      <c r="B114" s="891">
        <f t="shared" si="11"/>
        <v>17</v>
      </c>
      <c r="C114" s="882">
        <f t="shared" si="7"/>
        <v>110</v>
      </c>
      <c r="D114" s="883">
        <v>3485</v>
      </c>
      <c r="E114" s="884" t="str">
        <f>IFERROR(VLOOKUP(Table2[[#This Row],[Player No]],Table10[[No]:[Province]],2,0),"")</f>
        <v>HUI Starn</v>
      </c>
      <c r="F114" s="885" t="str">
        <f>IFERROR(VLOOKUP(Table2[[#This Row],[Player No]],Table10[[No]:[Province]],3,0),"")</f>
        <v>GN</v>
      </c>
      <c r="G114" s="892">
        <v>30.25</v>
      </c>
      <c r="H114" s="886">
        <f>(Table2[[#This Row],[Points 2025]]/2)+SUM(Table2[[#This Row],[O1  ADMIN 2026]:[P2    CAPE TOWN OPEN 2026 ]])</f>
        <v>15.125</v>
      </c>
      <c r="I114" s="880">
        <f t="shared" si="6"/>
        <v>0</v>
      </c>
      <c r="J114" s="882">
        <f t="shared" si="8"/>
        <v>0</v>
      </c>
      <c r="K114" s="887" t="s">
        <v>6083</v>
      </c>
      <c r="L114" s="887" t="s">
        <v>6083</v>
      </c>
      <c r="M114" s="887" t="s">
        <v>6083</v>
      </c>
      <c r="N114" s="887"/>
      <c r="O114" s="882"/>
      <c r="P114" s="882"/>
      <c r="Q114" s="888"/>
      <c r="R114" s="888"/>
      <c r="S114" s="882"/>
      <c r="T114" s="888"/>
      <c r="U114" s="882"/>
      <c r="V114" s="887"/>
      <c r="W114" s="888"/>
      <c r="X114" s="882">
        <v>5</v>
      </c>
      <c r="Y114" s="888">
        <v>4</v>
      </c>
      <c r="Z114" s="882">
        <v>15</v>
      </c>
      <c r="AA114" s="882"/>
      <c r="AB114" s="882"/>
      <c r="AC114" s="882"/>
      <c r="AD114" s="882"/>
      <c r="AE114" s="882"/>
      <c r="AF114" s="882"/>
      <c r="AG114" s="882"/>
      <c r="AH114" s="882"/>
      <c r="AI114" s="882"/>
      <c r="AJ114" s="882">
        <v>5</v>
      </c>
      <c r="AK114" s="882"/>
      <c r="AL114" s="889"/>
    </row>
    <row r="115" spans="1:38" s="890" customFormat="1">
      <c r="A115" s="882">
        <v>334</v>
      </c>
      <c r="B115" s="891">
        <f t="shared" si="11"/>
        <v>223</v>
      </c>
      <c r="C115" s="882">
        <f t="shared" si="7"/>
        <v>111</v>
      </c>
      <c r="D115" s="883">
        <v>3865</v>
      </c>
      <c r="E115" s="884" t="str">
        <f>IFERROR(VLOOKUP(Table2[[#This Row],[Player No]],Table10[[No]:[Province]],2,0),"")</f>
        <v>NAIDOO Kyan</v>
      </c>
      <c r="F115" s="885" t="str">
        <f>IFERROR(VLOOKUP(Table2[[#This Row],[Player No]],Table10[[No]:[Province]],3,0),"")</f>
        <v>UMG</v>
      </c>
      <c r="G115" s="892">
        <v>22</v>
      </c>
      <c r="H115" s="886">
        <f>(Table2[[#This Row],[Points 2025]]/2)+SUM(Table2[[#This Row],[O1  ADMIN 2026]:[P2    CAPE TOWN OPEN 2026 ]])</f>
        <v>15</v>
      </c>
      <c r="I115" s="880">
        <f t="shared" si="6"/>
        <v>2</v>
      </c>
      <c r="J115" s="882">
        <f t="shared" si="8"/>
        <v>0</v>
      </c>
      <c r="K115" s="887" t="s">
        <v>6083</v>
      </c>
      <c r="L115" s="887">
        <v>2</v>
      </c>
      <c r="M115" s="887">
        <v>2</v>
      </c>
      <c r="N115" s="887"/>
      <c r="O115" s="882">
        <v>15</v>
      </c>
      <c r="P115" s="882">
        <v>1</v>
      </c>
      <c r="Q115" s="888">
        <v>2</v>
      </c>
      <c r="R115" s="888">
        <v>1</v>
      </c>
      <c r="S115" s="882">
        <v>2</v>
      </c>
      <c r="T115" s="888"/>
      <c r="U115" s="882"/>
      <c r="V115" s="887"/>
      <c r="W115" s="888"/>
      <c r="X115" s="882"/>
      <c r="Y115" s="888"/>
      <c r="Z115" s="882"/>
      <c r="AA115" s="882"/>
      <c r="AB115" s="882"/>
      <c r="AC115" s="882"/>
      <c r="AD115" s="882">
        <v>2</v>
      </c>
      <c r="AE115" s="882"/>
      <c r="AF115" s="882"/>
      <c r="AG115" s="882"/>
      <c r="AH115" s="882"/>
      <c r="AI115" s="882"/>
      <c r="AJ115" s="882"/>
      <c r="AK115" s="882"/>
      <c r="AL115" s="889"/>
    </row>
    <row r="116" spans="1:38" s="890" customFormat="1">
      <c r="A116" s="882">
        <v>159</v>
      </c>
      <c r="B116" s="891">
        <f t="shared" si="11"/>
        <v>47</v>
      </c>
      <c r="C116" s="882">
        <f t="shared" si="7"/>
        <v>112</v>
      </c>
      <c r="D116" s="883">
        <v>1740</v>
      </c>
      <c r="E116" s="884" t="str">
        <f>IFERROR(VLOOKUP(Table2[[#This Row],[Player No]],Table10[[No]:[Province]],2,0),"")</f>
        <v xml:space="preserve">MAY Daylin </v>
      </c>
      <c r="F116" s="885" t="str">
        <f>IFERROR(VLOOKUP(Table2[[#This Row],[Player No]],Table10[[No]:[Province]],3,0),"")</f>
        <v>CT</v>
      </c>
      <c r="G116" s="892">
        <v>29.40625</v>
      </c>
      <c r="H116" s="886">
        <f>(Table2[[#This Row],[Points 2025]]/2)+SUM(Table2[[#This Row],[O1  ADMIN 2026]:[P2    CAPE TOWN OPEN 2026 ]])</f>
        <v>14.703125</v>
      </c>
      <c r="I116" s="880">
        <f t="shared" si="6"/>
        <v>0</v>
      </c>
      <c r="J116" s="882">
        <f t="shared" si="8"/>
        <v>0</v>
      </c>
      <c r="K116" s="887" t="s">
        <v>6083</v>
      </c>
      <c r="L116" s="887" t="s">
        <v>6083</v>
      </c>
      <c r="M116" s="887" t="s">
        <v>6083</v>
      </c>
      <c r="N116" s="887"/>
      <c r="O116" s="882"/>
      <c r="P116" s="882"/>
      <c r="Q116" s="888"/>
      <c r="R116" s="888"/>
      <c r="S116" s="882"/>
      <c r="T116" s="888"/>
      <c r="U116" s="882"/>
      <c r="V116" s="887"/>
      <c r="W116" s="888"/>
      <c r="X116" s="882"/>
      <c r="Y116" s="888"/>
      <c r="Z116" s="882"/>
      <c r="AA116" s="882"/>
      <c r="AB116" s="882">
        <v>25</v>
      </c>
      <c r="AC116" s="882"/>
      <c r="AD116" s="882"/>
      <c r="AE116" s="882">
        <v>1</v>
      </c>
      <c r="AF116" s="882"/>
      <c r="AG116" s="882"/>
      <c r="AH116" s="882"/>
      <c r="AI116" s="882"/>
      <c r="AJ116" s="882"/>
      <c r="AK116" s="882"/>
      <c r="AL116" s="889"/>
    </row>
    <row r="117" spans="1:38" s="890" customFormat="1">
      <c r="A117" s="882">
        <v>46</v>
      </c>
      <c r="B117" s="891">
        <f t="shared" si="11"/>
        <v>-67</v>
      </c>
      <c r="C117" s="882">
        <f t="shared" si="7"/>
        <v>113</v>
      </c>
      <c r="D117" s="883">
        <v>3497</v>
      </c>
      <c r="E117" s="884" t="str">
        <f>IFERROR(VLOOKUP(Table2[[#This Row],[Player No]],Table10[[No]:[Province]],2,0),"")</f>
        <v>HIMANSHU Kapoor</v>
      </c>
      <c r="F117" s="885" t="str">
        <f>IFERROR(VLOOKUP(Table2[[#This Row],[Player No]],Table10[[No]:[Province]],3,0),"")</f>
        <v>ETTA</v>
      </c>
      <c r="G117" s="892">
        <v>28.75</v>
      </c>
      <c r="H117" s="886">
        <f>(Table2[[#This Row],[Points 2025]]/2)+SUM(Table2[[#This Row],[O1  ADMIN 2026]:[P2    CAPE TOWN OPEN 2026 ]])</f>
        <v>14.375</v>
      </c>
      <c r="I117" s="880">
        <f t="shared" si="6"/>
        <v>0</v>
      </c>
      <c r="J117" s="882">
        <f t="shared" si="8"/>
        <v>0</v>
      </c>
      <c r="K117" s="887" t="s">
        <v>6083</v>
      </c>
      <c r="L117" s="887" t="s">
        <v>6083</v>
      </c>
      <c r="M117" s="887" t="s">
        <v>6083</v>
      </c>
      <c r="N117" s="887"/>
      <c r="O117" s="882"/>
      <c r="P117" s="882"/>
      <c r="Q117" s="888"/>
      <c r="R117" s="888">
        <v>5</v>
      </c>
      <c r="S117" s="882"/>
      <c r="T117" s="888"/>
      <c r="U117" s="882"/>
      <c r="V117" s="887"/>
      <c r="W117" s="888"/>
      <c r="X117" s="882"/>
      <c r="Y117" s="888"/>
      <c r="Z117" s="882"/>
      <c r="AA117" s="882"/>
      <c r="AB117" s="882"/>
      <c r="AC117" s="882">
        <v>15</v>
      </c>
      <c r="AD117" s="882">
        <v>10</v>
      </c>
      <c r="AE117" s="882"/>
      <c r="AF117" s="882"/>
      <c r="AG117" s="882">
        <v>5</v>
      </c>
      <c r="AH117" s="882"/>
      <c r="AI117" s="882">
        <v>2</v>
      </c>
      <c r="AJ117" s="882">
        <v>3</v>
      </c>
      <c r="AK117" s="882"/>
      <c r="AL117" s="889"/>
    </row>
    <row r="118" spans="1:38" s="890" customFormat="1">
      <c r="A118" s="882">
        <v>223</v>
      </c>
      <c r="B118" s="891">
        <f t="shared" si="11"/>
        <v>109</v>
      </c>
      <c r="C118" s="882">
        <f t="shared" si="7"/>
        <v>114</v>
      </c>
      <c r="D118" s="883">
        <v>3000</v>
      </c>
      <c r="E118" s="884" t="str">
        <f>IFERROR(VLOOKUP(Table2[[#This Row],[Player No]],Table10[[No]:[Province]],2,0),"")</f>
        <v>THEUNISSEN Niezaam</v>
      </c>
      <c r="F118" s="885" t="str">
        <f>IFERROR(VLOOKUP(Table2[[#This Row],[Player No]],Table10[[No]:[Province]],3,0),"")</f>
        <v>CT</v>
      </c>
      <c r="G118" s="892">
        <v>28.71875</v>
      </c>
      <c r="H118" s="886">
        <f>(Table2[[#This Row],[Points 2025]]/2)+SUM(Table2[[#This Row],[O1  ADMIN 2026]:[P2    CAPE TOWN OPEN 2026 ]])</f>
        <v>14.359375</v>
      </c>
      <c r="I118" s="880">
        <f t="shared" si="6"/>
        <v>0</v>
      </c>
      <c r="J118" s="882">
        <f t="shared" si="8"/>
        <v>0</v>
      </c>
      <c r="K118" s="887" t="s">
        <v>6083</v>
      </c>
      <c r="L118" s="887" t="s">
        <v>6083</v>
      </c>
      <c r="M118" s="887" t="s">
        <v>6083</v>
      </c>
      <c r="N118" s="887"/>
      <c r="O118" s="882"/>
      <c r="P118" s="882"/>
      <c r="Q118" s="888"/>
      <c r="R118" s="888"/>
      <c r="S118" s="882"/>
      <c r="T118" s="888"/>
      <c r="U118" s="882"/>
      <c r="V118" s="887"/>
      <c r="W118" s="888"/>
      <c r="X118" s="882"/>
      <c r="Y118" s="888"/>
      <c r="Z118" s="882"/>
      <c r="AA118" s="882"/>
      <c r="AB118" s="882">
        <v>25</v>
      </c>
      <c r="AC118" s="882"/>
      <c r="AD118" s="882"/>
      <c r="AE118" s="882">
        <v>3</v>
      </c>
      <c r="AF118" s="882"/>
      <c r="AG118" s="882"/>
      <c r="AH118" s="882"/>
      <c r="AI118" s="882"/>
      <c r="AJ118" s="882"/>
      <c r="AK118" s="882"/>
      <c r="AL118" s="889"/>
    </row>
    <row r="119" spans="1:38" s="890" customFormat="1">
      <c r="A119" s="882">
        <v>121</v>
      </c>
      <c r="B119" s="891">
        <f t="shared" si="11"/>
        <v>6</v>
      </c>
      <c r="C119" s="882">
        <f t="shared" si="7"/>
        <v>115</v>
      </c>
      <c r="D119" s="883">
        <v>3432</v>
      </c>
      <c r="E119" s="884" t="str">
        <f>IFERROR(VLOOKUP(Table2[[#This Row],[Player No]],Table10[[No]:[Province]],2,0),"")</f>
        <v>LEKALAKALA Motshele</v>
      </c>
      <c r="F119" s="885" t="str">
        <f>IFERROR(VLOOKUP(Table2[[#This Row],[Player No]],Table10[[No]:[Province]],3,0),"")</f>
        <v>GN</v>
      </c>
      <c r="G119" s="892">
        <v>27.75</v>
      </c>
      <c r="H119" s="886">
        <f>(Table2[[#This Row],[Points 2025]]/2)+SUM(Table2[[#This Row],[O1  ADMIN 2026]:[P2    CAPE TOWN OPEN 2026 ]])</f>
        <v>13.875</v>
      </c>
      <c r="I119" s="880">
        <f t="shared" si="6"/>
        <v>0</v>
      </c>
      <c r="J119" s="882">
        <f t="shared" si="8"/>
        <v>0</v>
      </c>
      <c r="K119" s="887" t="s">
        <v>6083</v>
      </c>
      <c r="L119" s="887" t="s">
        <v>6083</v>
      </c>
      <c r="M119" s="887" t="s">
        <v>6083</v>
      </c>
      <c r="N119" s="887"/>
      <c r="O119" s="882"/>
      <c r="P119" s="882"/>
      <c r="Q119" s="888"/>
      <c r="R119" s="888"/>
      <c r="S119" s="882"/>
      <c r="T119" s="888"/>
      <c r="U119" s="882"/>
      <c r="V119" s="887"/>
      <c r="W119" s="888"/>
      <c r="X119" s="882">
        <v>1</v>
      </c>
      <c r="Y119" s="888">
        <v>4</v>
      </c>
      <c r="Z119" s="882">
        <v>1</v>
      </c>
      <c r="AA119" s="882"/>
      <c r="AB119" s="882"/>
      <c r="AC119" s="882"/>
      <c r="AD119" s="882"/>
      <c r="AE119" s="882"/>
      <c r="AF119" s="882"/>
      <c r="AG119" s="882"/>
      <c r="AH119" s="882">
        <v>15</v>
      </c>
      <c r="AI119" s="882">
        <v>15</v>
      </c>
      <c r="AJ119" s="882">
        <v>1</v>
      </c>
      <c r="AK119" s="882">
        <v>10</v>
      </c>
      <c r="AL119" s="889"/>
    </row>
    <row r="120" spans="1:38" s="890" customFormat="1">
      <c r="A120" s="882">
        <v>297</v>
      </c>
      <c r="B120" s="891">
        <f t="shared" si="11"/>
        <v>181</v>
      </c>
      <c r="C120" s="882">
        <f t="shared" si="7"/>
        <v>116</v>
      </c>
      <c r="D120" s="883">
        <v>3525</v>
      </c>
      <c r="E120" s="884" t="str">
        <f>IFERROR(VLOOKUP(Table2[[#This Row],[Player No]],Table10[[No]:[Province]],2,0),"")</f>
        <v>MAPESHOANE Hareteke</v>
      </c>
      <c r="F120" s="885" t="str">
        <f>IFERROR(VLOOKUP(Table2[[#This Row],[Player No]],Table10[[No]:[Province]],3,0),"")</f>
        <v>FS</v>
      </c>
      <c r="G120" s="892">
        <v>7.75</v>
      </c>
      <c r="H120" s="886">
        <f>(Table2[[#This Row],[Points 2025]]/2)+SUM(Table2[[#This Row],[O1  ADMIN 2026]:[P2    CAPE TOWN OPEN 2026 ]])</f>
        <v>13.875</v>
      </c>
      <c r="I120" s="880">
        <f t="shared" si="6"/>
        <v>1</v>
      </c>
      <c r="J120" s="882">
        <f t="shared" si="8"/>
        <v>0</v>
      </c>
      <c r="K120" s="887">
        <v>10</v>
      </c>
      <c r="L120" s="887" t="s">
        <v>6083</v>
      </c>
      <c r="M120" s="887" t="s">
        <v>6083</v>
      </c>
      <c r="N120" s="887"/>
      <c r="O120" s="882"/>
      <c r="P120" s="882"/>
      <c r="Q120" s="888"/>
      <c r="R120" s="888"/>
      <c r="S120" s="882"/>
      <c r="T120" s="888">
        <v>5</v>
      </c>
      <c r="U120" s="882"/>
      <c r="V120" s="887"/>
      <c r="W120" s="888"/>
      <c r="X120" s="882">
        <v>0.5</v>
      </c>
      <c r="Y120" s="888"/>
      <c r="Z120" s="882">
        <v>1</v>
      </c>
      <c r="AA120" s="882"/>
      <c r="AB120" s="882"/>
      <c r="AC120" s="882"/>
      <c r="AD120" s="882"/>
      <c r="AE120" s="882"/>
      <c r="AF120" s="882"/>
      <c r="AG120" s="882"/>
      <c r="AH120" s="882"/>
      <c r="AI120" s="882"/>
      <c r="AJ120" s="882"/>
      <c r="AK120" s="882"/>
      <c r="AL120" s="889"/>
    </row>
    <row r="121" spans="1:38" s="890" customFormat="1">
      <c r="A121" s="882">
        <v>221</v>
      </c>
      <c r="B121" s="891">
        <f t="shared" si="11"/>
        <v>104</v>
      </c>
      <c r="C121" s="882">
        <f t="shared" si="7"/>
        <v>117</v>
      </c>
      <c r="D121" s="883">
        <v>1232</v>
      </c>
      <c r="E121" s="884" t="str">
        <f>IFERROR(VLOOKUP(Table2[[#This Row],[Player No]],Table10[[No]:[Province]],2,0),"")</f>
        <v xml:space="preserve">MAJOE  Tshepo </v>
      </c>
      <c r="F121" s="885" t="str">
        <f>IFERROR(VLOOKUP(Table2[[#This Row],[Player No]],Table10[[No]:[Province]],3,0),"")</f>
        <v>EKU</v>
      </c>
      <c r="G121" s="892">
        <v>27.234375</v>
      </c>
      <c r="H121" s="886">
        <f>(Table2[[#This Row],[Points 2025]]/2)+SUM(Table2[[#This Row],[O1  ADMIN 2026]:[P2    CAPE TOWN OPEN 2026 ]])</f>
        <v>13.6171875</v>
      </c>
      <c r="I121" s="880">
        <f t="shared" si="6"/>
        <v>0</v>
      </c>
      <c r="J121" s="882">
        <f t="shared" si="8"/>
        <v>0</v>
      </c>
      <c r="K121" s="887" t="s">
        <v>6083</v>
      </c>
      <c r="L121" s="887" t="s">
        <v>6083</v>
      </c>
      <c r="M121" s="887" t="s">
        <v>6083</v>
      </c>
      <c r="N121" s="887"/>
      <c r="O121" s="882"/>
      <c r="P121" s="882"/>
      <c r="Q121" s="888"/>
      <c r="R121" s="888"/>
      <c r="S121" s="882"/>
      <c r="T121" s="888"/>
      <c r="U121" s="882"/>
      <c r="V121" s="887"/>
      <c r="W121" s="888">
        <v>0</v>
      </c>
      <c r="X121" s="882"/>
      <c r="Y121" s="888"/>
      <c r="Z121" s="882">
        <v>5</v>
      </c>
      <c r="AA121" s="882">
        <v>12.5</v>
      </c>
      <c r="AB121" s="882"/>
      <c r="AC121" s="882"/>
      <c r="AD121" s="882"/>
      <c r="AE121" s="882"/>
      <c r="AF121" s="882"/>
      <c r="AG121" s="882"/>
      <c r="AH121" s="882"/>
      <c r="AI121" s="882">
        <v>15</v>
      </c>
      <c r="AJ121" s="882">
        <v>3</v>
      </c>
      <c r="AK121" s="882"/>
      <c r="AL121" s="889"/>
    </row>
    <row r="122" spans="1:38" s="890" customFormat="1">
      <c r="A122" s="882">
        <v>899</v>
      </c>
      <c r="B122" s="891">
        <f t="shared" si="11"/>
        <v>781</v>
      </c>
      <c r="C122" s="882">
        <f t="shared" si="7"/>
        <v>118</v>
      </c>
      <c r="D122" s="883">
        <v>3243</v>
      </c>
      <c r="E122" s="884" t="str">
        <f>IFERROR(VLOOKUP(Table2[[#This Row],[Player No]],Table10[[No]:[Province]],2,0),"")</f>
        <v>VAN HEERDEN Gerswin</v>
      </c>
      <c r="F122" s="885" t="str">
        <f>IFERROR(VLOOKUP(Table2[[#This Row],[Player No]],Table10[[No]:[Province]],3,0),"")</f>
        <v>EDEN</v>
      </c>
      <c r="G122" s="892">
        <v>27</v>
      </c>
      <c r="H122" s="886">
        <f>(Table2[[#This Row],[Points 2025]]/2)+SUM(Table2[[#This Row],[O1  ADMIN 2026]:[P2    CAPE TOWN OPEN 2026 ]])</f>
        <v>13.5</v>
      </c>
      <c r="I122" s="880">
        <f t="shared" si="6"/>
        <v>0</v>
      </c>
      <c r="J122" s="882">
        <f t="shared" si="8"/>
        <v>0</v>
      </c>
      <c r="K122" s="887" t="s">
        <v>6083</v>
      </c>
      <c r="L122" s="887" t="s">
        <v>6083</v>
      </c>
      <c r="M122" s="887" t="s">
        <v>6083</v>
      </c>
      <c r="N122" s="887"/>
      <c r="O122" s="882"/>
      <c r="P122" s="882"/>
      <c r="Q122" s="888"/>
      <c r="R122" s="888"/>
      <c r="S122" s="882"/>
      <c r="T122" s="888"/>
      <c r="U122" s="882"/>
      <c r="V122" s="887">
        <v>2</v>
      </c>
      <c r="W122" s="888">
        <v>10</v>
      </c>
      <c r="X122" s="882"/>
      <c r="Y122" s="888"/>
      <c r="Z122" s="882"/>
      <c r="AA122" s="882"/>
      <c r="AB122" s="882">
        <v>2</v>
      </c>
      <c r="AC122" s="882"/>
      <c r="AD122" s="882"/>
      <c r="AE122" s="882">
        <v>1</v>
      </c>
      <c r="AF122" s="882">
        <v>25</v>
      </c>
      <c r="AG122" s="882"/>
      <c r="AH122" s="882"/>
      <c r="AI122" s="882"/>
      <c r="AJ122" s="882"/>
      <c r="AK122" s="882"/>
      <c r="AL122" s="889"/>
    </row>
    <row r="123" spans="1:38" s="890" customFormat="1">
      <c r="A123" s="882">
        <v>39</v>
      </c>
      <c r="B123" s="891">
        <f t="shared" si="11"/>
        <v>-80</v>
      </c>
      <c r="C123" s="882">
        <f t="shared" si="7"/>
        <v>119</v>
      </c>
      <c r="D123" s="883">
        <v>1737</v>
      </c>
      <c r="E123" s="884" t="str">
        <f>IFERROR(VLOOKUP(Table2[[#This Row],[Player No]],Table10[[No]:[Province]],2,0),"")</f>
        <v xml:space="preserve">TITUS Jamaine </v>
      </c>
      <c r="F123" s="885" t="str">
        <f>IFERROR(VLOOKUP(Table2[[#This Row],[Player No]],Table10[[No]:[Province]],3,0),"")</f>
        <v>CT</v>
      </c>
      <c r="G123" s="892">
        <v>26.921875</v>
      </c>
      <c r="H123" s="886">
        <f>(Table2[[#This Row],[Points 2025]]/2)+SUM(Table2[[#This Row],[O1  ADMIN 2026]:[P2    CAPE TOWN OPEN 2026 ]])</f>
        <v>13.4609375</v>
      </c>
      <c r="I123" s="880">
        <f t="shared" si="6"/>
        <v>0</v>
      </c>
      <c r="J123" s="882">
        <f t="shared" si="8"/>
        <v>0</v>
      </c>
      <c r="K123" s="887" t="s">
        <v>6083</v>
      </c>
      <c r="L123" s="887" t="s">
        <v>6083</v>
      </c>
      <c r="M123" s="887" t="s">
        <v>6083</v>
      </c>
      <c r="N123" s="887"/>
      <c r="O123" s="882"/>
      <c r="P123" s="882"/>
      <c r="Q123" s="888"/>
      <c r="R123" s="888"/>
      <c r="S123" s="882"/>
      <c r="T123" s="888"/>
      <c r="U123" s="882"/>
      <c r="V123" s="887"/>
      <c r="W123" s="888"/>
      <c r="X123" s="882"/>
      <c r="Y123" s="888"/>
      <c r="Z123" s="882"/>
      <c r="AA123" s="882"/>
      <c r="AB123" s="882"/>
      <c r="AC123" s="882"/>
      <c r="AD123" s="882"/>
      <c r="AE123" s="882">
        <v>3</v>
      </c>
      <c r="AF123" s="882"/>
      <c r="AG123" s="882"/>
      <c r="AH123" s="882"/>
      <c r="AI123" s="882"/>
      <c r="AJ123" s="882"/>
      <c r="AK123" s="882"/>
      <c r="AL123" s="889"/>
    </row>
    <row r="124" spans="1:38" s="890" customFormat="1">
      <c r="A124" s="882">
        <v>37</v>
      </c>
      <c r="B124" s="891">
        <f t="shared" si="11"/>
        <v>-83</v>
      </c>
      <c r="C124" s="882">
        <f t="shared" si="7"/>
        <v>120</v>
      </c>
      <c r="D124" s="883">
        <v>1037</v>
      </c>
      <c r="E124" s="884" t="str">
        <f>IFERROR(VLOOKUP(Table2[[#This Row],[Player No]],Table10[[No]:[Province]],2,0),"")</f>
        <v xml:space="preserve">WAGNER Ashlyn </v>
      </c>
      <c r="F124" s="885" t="str">
        <f>IFERROR(VLOOKUP(Table2[[#This Row],[Player No]],Table10[[No]:[Province]],3,0),"")</f>
        <v>SAVETTS</v>
      </c>
      <c r="G124" s="892">
        <v>26.115234375</v>
      </c>
      <c r="H124" s="886">
        <f>(Table2[[#This Row],[Points 2025]]/2)+SUM(Table2[[#This Row],[O1  ADMIN 2026]:[P2    CAPE TOWN OPEN 2026 ]])</f>
        <v>13.0576171875</v>
      </c>
      <c r="I124" s="880">
        <f t="shared" si="6"/>
        <v>0</v>
      </c>
      <c r="J124" s="882">
        <f t="shared" si="8"/>
        <v>0</v>
      </c>
      <c r="K124" s="887" t="s">
        <v>6083</v>
      </c>
      <c r="L124" s="887" t="s">
        <v>6083</v>
      </c>
      <c r="M124" s="887" t="s">
        <v>6083</v>
      </c>
      <c r="N124" s="887"/>
      <c r="O124" s="882"/>
      <c r="P124" s="882"/>
      <c r="Q124" s="888"/>
      <c r="R124" s="888"/>
      <c r="S124" s="882"/>
      <c r="T124" s="888"/>
      <c r="U124" s="882"/>
      <c r="V124" s="887"/>
      <c r="W124" s="888"/>
      <c r="X124" s="882"/>
      <c r="Y124" s="888"/>
      <c r="Z124" s="882"/>
      <c r="AA124" s="882"/>
      <c r="AB124" s="882"/>
      <c r="AC124" s="882"/>
      <c r="AD124" s="882"/>
      <c r="AE124" s="882"/>
      <c r="AF124" s="882"/>
      <c r="AG124" s="882"/>
      <c r="AH124" s="882"/>
      <c r="AI124" s="882"/>
      <c r="AJ124" s="882"/>
      <c r="AK124" s="882"/>
      <c r="AL124" s="889"/>
    </row>
    <row r="125" spans="1:38" s="890" customFormat="1">
      <c r="A125" s="882">
        <v>93</v>
      </c>
      <c r="B125" s="891">
        <f t="shared" si="11"/>
        <v>-28</v>
      </c>
      <c r="C125" s="882">
        <f t="shared" si="7"/>
        <v>121</v>
      </c>
      <c r="D125" s="883">
        <v>1259</v>
      </c>
      <c r="E125" s="884" t="str">
        <f>IFERROR(VLOOKUP(Table2[[#This Row],[Player No]],Table10[[No]:[Province]],2,0),"")</f>
        <v xml:space="preserve">GOVINDOOSAMY Kadin </v>
      </c>
      <c r="F125" s="885" t="str">
        <f>IFERROR(VLOOKUP(Table2[[#This Row],[Player No]],Table10[[No]:[Province]],3,0),"")</f>
        <v>ETTA</v>
      </c>
      <c r="G125" s="892">
        <v>25.5</v>
      </c>
      <c r="H125" s="886">
        <f>(Table2[[#This Row],[Points 2025]]/2)+SUM(Table2[[#This Row],[O1  ADMIN 2026]:[P2    CAPE TOWN OPEN 2026 ]])</f>
        <v>12.75</v>
      </c>
      <c r="I125" s="880">
        <f t="shared" si="6"/>
        <v>0</v>
      </c>
      <c r="J125" s="882">
        <f t="shared" si="8"/>
        <v>0</v>
      </c>
      <c r="K125" s="887" t="s">
        <v>6083</v>
      </c>
      <c r="L125" s="887" t="s">
        <v>6083</v>
      </c>
      <c r="M125" s="887" t="s">
        <v>6083</v>
      </c>
      <c r="N125" s="887"/>
      <c r="O125" s="882"/>
      <c r="P125" s="882"/>
      <c r="Q125" s="888">
        <v>2</v>
      </c>
      <c r="R125" s="888">
        <v>5</v>
      </c>
      <c r="S125" s="882"/>
      <c r="T125" s="888"/>
      <c r="U125" s="882"/>
      <c r="V125" s="887"/>
      <c r="W125" s="888">
        <v>10</v>
      </c>
      <c r="X125" s="882"/>
      <c r="Y125" s="888"/>
      <c r="Z125" s="882"/>
      <c r="AA125" s="882"/>
      <c r="AB125" s="882"/>
      <c r="AC125" s="882">
        <v>15</v>
      </c>
      <c r="AD125" s="882">
        <v>2</v>
      </c>
      <c r="AE125" s="882"/>
      <c r="AF125" s="882"/>
      <c r="AG125" s="882"/>
      <c r="AH125" s="882"/>
      <c r="AI125" s="882"/>
      <c r="AJ125" s="882"/>
      <c r="AK125" s="882"/>
      <c r="AL125" s="889"/>
    </row>
    <row r="126" spans="1:38" s="890" customFormat="1">
      <c r="A126" s="882"/>
      <c r="B126" s="891"/>
      <c r="C126" s="882">
        <f t="shared" si="7"/>
        <v>122</v>
      </c>
      <c r="D126" s="883">
        <v>3636</v>
      </c>
      <c r="E126" s="884" t="str">
        <f>IFERROR(VLOOKUP(Table2[[#This Row],[Player No]],Table10[[No]:[Province]],2,0),"")</f>
        <v>HUMAN Ashley</v>
      </c>
      <c r="F126" s="885" t="str">
        <f>IFERROR(VLOOKUP(Table2[[#This Row],[Player No]],Table10[[No]:[Province]],3,0),"")</f>
        <v>NMB</v>
      </c>
      <c r="G126" s="892">
        <v>25</v>
      </c>
      <c r="H126" s="886">
        <f>(Table2[[#This Row],[Points 2025]]/2)+SUM(Table2[[#This Row],[O1  ADMIN 2026]:[P2    CAPE TOWN OPEN 2026 ]])</f>
        <v>12.5</v>
      </c>
      <c r="I126" s="880">
        <f t="shared" si="6"/>
        <v>0</v>
      </c>
      <c r="J126" s="882">
        <f t="shared" si="8"/>
        <v>0</v>
      </c>
      <c r="K126" s="887" t="s">
        <v>6083</v>
      </c>
      <c r="L126" s="887" t="s">
        <v>6083</v>
      </c>
      <c r="M126" s="887" t="s">
        <v>6083</v>
      </c>
      <c r="N126" s="887"/>
      <c r="O126" s="882"/>
      <c r="P126" s="882"/>
      <c r="Q126" s="888"/>
      <c r="R126" s="888"/>
      <c r="S126" s="882"/>
      <c r="T126" s="888"/>
      <c r="U126" s="882"/>
      <c r="V126" s="887">
        <v>25</v>
      </c>
      <c r="W126" s="888"/>
      <c r="X126" s="882"/>
      <c r="Y126" s="888"/>
      <c r="Z126" s="882"/>
      <c r="AA126" s="882"/>
      <c r="AB126" s="882"/>
      <c r="AC126" s="882"/>
      <c r="AD126" s="882"/>
      <c r="AE126" s="882"/>
      <c r="AF126" s="882"/>
      <c r="AG126" s="882"/>
      <c r="AH126" s="882"/>
      <c r="AI126" s="882"/>
      <c r="AJ126" s="882"/>
      <c r="AK126" s="882"/>
      <c r="AL126" s="889"/>
    </row>
    <row r="127" spans="1:38" s="890" customFormat="1">
      <c r="A127" s="882">
        <v>341</v>
      </c>
      <c r="B127" s="891">
        <f t="shared" ref="B127:B144" si="12">+A127-C127</f>
        <v>218</v>
      </c>
      <c r="C127" s="882">
        <f t="shared" si="7"/>
        <v>123</v>
      </c>
      <c r="D127" s="883">
        <v>3921</v>
      </c>
      <c r="E127" s="884" t="str">
        <f>IFERROR(VLOOKUP(Table2[[#This Row],[Player No]],Table10[[No]:[Province]],2,0),"")</f>
        <v>RAMTHOL Ashlyn</v>
      </c>
      <c r="F127" s="885" t="str">
        <f>IFERROR(VLOOKUP(Table2[[#This Row],[Player No]],Table10[[No]:[Province]],3,0),"")</f>
        <v>ETTA</v>
      </c>
      <c r="G127" s="892">
        <v>17</v>
      </c>
      <c r="H127" s="886">
        <f>(Table2[[#This Row],[Points 2025]]/2)+SUM(Table2[[#This Row],[O1  ADMIN 2026]:[P2    CAPE TOWN OPEN 2026 ]])</f>
        <v>12.5</v>
      </c>
      <c r="I127" s="880">
        <f t="shared" si="6"/>
        <v>2</v>
      </c>
      <c r="J127" s="882">
        <f t="shared" si="8"/>
        <v>0</v>
      </c>
      <c r="K127" s="887" t="s">
        <v>6083</v>
      </c>
      <c r="L127" s="887">
        <v>2</v>
      </c>
      <c r="M127" s="887">
        <v>2</v>
      </c>
      <c r="N127" s="887"/>
      <c r="O127" s="882"/>
      <c r="P127" s="882">
        <v>2</v>
      </c>
      <c r="Q127" s="888">
        <v>2</v>
      </c>
      <c r="R127" s="888">
        <v>1</v>
      </c>
      <c r="S127" s="882">
        <v>10</v>
      </c>
      <c r="T127" s="888"/>
      <c r="U127" s="882"/>
      <c r="V127" s="887"/>
      <c r="W127" s="888"/>
      <c r="X127" s="882"/>
      <c r="Y127" s="888">
        <v>1</v>
      </c>
      <c r="Z127" s="882"/>
      <c r="AA127" s="882"/>
      <c r="AB127" s="882"/>
      <c r="AC127" s="882">
        <v>2</v>
      </c>
      <c r="AD127" s="882"/>
      <c r="AE127" s="882"/>
      <c r="AF127" s="882"/>
      <c r="AG127" s="882"/>
      <c r="AH127" s="882"/>
      <c r="AI127" s="882"/>
      <c r="AJ127" s="882"/>
      <c r="AK127" s="882"/>
      <c r="AL127" s="889"/>
    </row>
    <row r="128" spans="1:38" s="890" customFormat="1">
      <c r="A128" s="882">
        <v>237</v>
      </c>
      <c r="B128" s="891">
        <f t="shared" si="12"/>
        <v>113</v>
      </c>
      <c r="C128" s="882">
        <f t="shared" si="7"/>
        <v>124</v>
      </c>
      <c r="D128" s="883">
        <v>1562</v>
      </c>
      <c r="E128" s="884" t="str">
        <f>IFERROR(VLOOKUP(Table2[[#This Row],[Player No]],Table10[[No]:[Province]],2,0),"")</f>
        <v xml:space="preserve">BROWN Merlin </v>
      </c>
      <c r="F128" s="885" t="str">
        <f>IFERROR(VLOOKUP(Table2[[#This Row],[Player No]],Table10[[No]:[Province]],3,0),"")</f>
        <v>CT</v>
      </c>
      <c r="G128" s="892">
        <v>24.4921875</v>
      </c>
      <c r="H128" s="886">
        <f>(Table2[[#This Row],[Points 2025]]/2)+SUM(Table2[[#This Row],[O1  ADMIN 2026]:[P2    CAPE TOWN OPEN 2026 ]])</f>
        <v>12.24609375</v>
      </c>
      <c r="I128" s="880">
        <f t="shared" si="6"/>
        <v>0</v>
      </c>
      <c r="J128" s="882">
        <f t="shared" si="8"/>
        <v>0</v>
      </c>
      <c r="K128" s="887" t="s">
        <v>6083</v>
      </c>
      <c r="L128" s="887" t="s">
        <v>6083</v>
      </c>
      <c r="M128" s="887" t="s">
        <v>6083</v>
      </c>
      <c r="N128" s="887"/>
      <c r="O128" s="882"/>
      <c r="P128" s="882"/>
      <c r="Q128" s="888"/>
      <c r="R128" s="888"/>
      <c r="S128" s="882"/>
      <c r="T128" s="888"/>
      <c r="U128" s="882"/>
      <c r="V128" s="887"/>
      <c r="W128" s="888"/>
      <c r="X128" s="882"/>
      <c r="Y128" s="888"/>
      <c r="Z128" s="882"/>
      <c r="AA128" s="882"/>
      <c r="AB128" s="882">
        <v>15</v>
      </c>
      <c r="AC128" s="882"/>
      <c r="AD128" s="882"/>
      <c r="AE128" s="882"/>
      <c r="AF128" s="882">
        <v>15</v>
      </c>
      <c r="AG128" s="882"/>
      <c r="AH128" s="882"/>
      <c r="AI128" s="882"/>
      <c r="AJ128" s="882"/>
      <c r="AK128" s="882"/>
      <c r="AL128" s="889"/>
    </row>
    <row r="129" spans="1:38" s="890" customFormat="1">
      <c r="A129" s="882">
        <v>371</v>
      </c>
      <c r="B129" s="891">
        <f t="shared" si="12"/>
        <v>246</v>
      </c>
      <c r="C129" s="882">
        <f t="shared" si="7"/>
        <v>125</v>
      </c>
      <c r="D129" s="883">
        <v>2901</v>
      </c>
      <c r="E129" s="884" t="str">
        <f>IFERROR(VLOOKUP(Table2[[#This Row],[Player No]],Table10[[No]:[Province]],2,0),"")</f>
        <v>EBRAHIM Mujeeb</v>
      </c>
      <c r="F129" s="885" t="str">
        <f>IFERROR(VLOOKUP(Table2[[#This Row],[Player No]],Table10[[No]:[Province]],3,0),"")</f>
        <v>GN</v>
      </c>
      <c r="G129" s="892">
        <v>23.1875</v>
      </c>
      <c r="H129" s="886">
        <f>(Table2[[#This Row],[Points 2025]]/2)+SUM(Table2[[#This Row],[O1  ADMIN 2026]:[P2    CAPE TOWN OPEN 2026 ]])</f>
        <v>11.59375</v>
      </c>
      <c r="I129" s="880">
        <f t="shared" si="6"/>
        <v>0</v>
      </c>
      <c r="J129" s="882">
        <f t="shared" si="8"/>
        <v>0</v>
      </c>
      <c r="K129" s="887" t="s">
        <v>6083</v>
      </c>
      <c r="L129" s="887" t="s">
        <v>6083</v>
      </c>
      <c r="M129" s="887" t="s">
        <v>6083</v>
      </c>
      <c r="N129" s="887"/>
      <c r="O129" s="882"/>
      <c r="P129" s="882"/>
      <c r="Q129" s="888"/>
      <c r="R129" s="888"/>
      <c r="S129" s="882"/>
      <c r="T129" s="888"/>
      <c r="U129" s="882"/>
      <c r="V129" s="887"/>
      <c r="W129" s="888"/>
      <c r="X129" s="882"/>
      <c r="Y129" s="888">
        <v>12</v>
      </c>
      <c r="Z129" s="882">
        <v>3</v>
      </c>
      <c r="AA129" s="882"/>
      <c r="AB129" s="882"/>
      <c r="AC129" s="882"/>
      <c r="AD129" s="882"/>
      <c r="AE129" s="882"/>
      <c r="AF129" s="882"/>
      <c r="AG129" s="882"/>
      <c r="AH129" s="882">
        <v>15</v>
      </c>
      <c r="AI129" s="882"/>
      <c r="AJ129" s="882"/>
      <c r="AK129" s="882">
        <v>1</v>
      </c>
      <c r="AL129" s="889"/>
    </row>
    <row r="130" spans="1:38" s="890" customFormat="1">
      <c r="A130" s="882">
        <v>71</v>
      </c>
      <c r="B130" s="891">
        <f t="shared" si="12"/>
        <v>-55</v>
      </c>
      <c r="C130" s="882">
        <f t="shared" si="7"/>
        <v>126</v>
      </c>
      <c r="D130" s="883">
        <v>1203</v>
      </c>
      <c r="E130" s="884" t="str">
        <f>IFERROR(VLOOKUP(Table2[[#This Row],[Player No]],Table10[[No]:[Province]],2,0),"")</f>
        <v xml:space="preserve"> SEKIKE Pusetso</v>
      </c>
      <c r="F130" s="885" t="str">
        <f>IFERROR(VLOOKUP(Table2[[#This Row],[Player No]],Table10[[No]:[Province]],3,0),"")</f>
        <v>JTTA</v>
      </c>
      <c r="G130" s="892">
        <v>23.009765625</v>
      </c>
      <c r="H130" s="886">
        <f>(Table2[[#This Row],[Points 2025]]/2)+SUM(Table2[[#This Row],[O1  ADMIN 2026]:[P2    CAPE TOWN OPEN 2026 ]])</f>
        <v>11.5048828125</v>
      </c>
      <c r="I130" s="880">
        <f t="shared" si="6"/>
        <v>0</v>
      </c>
      <c r="J130" s="882">
        <f t="shared" si="8"/>
        <v>0</v>
      </c>
      <c r="K130" s="887" t="s">
        <v>6083</v>
      </c>
      <c r="L130" s="887" t="s">
        <v>6083</v>
      </c>
      <c r="M130" s="887" t="s">
        <v>6083</v>
      </c>
      <c r="N130" s="887"/>
      <c r="O130" s="882"/>
      <c r="P130" s="882"/>
      <c r="Q130" s="888"/>
      <c r="R130" s="888"/>
      <c r="S130" s="882"/>
      <c r="T130" s="888"/>
      <c r="U130" s="882"/>
      <c r="V130" s="887"/>
      <c r="W130" s="888"/>
      <c r="X130" s="882"/>
      <c r="Y130" s="888">
        <v>2</v>
      </c>
      <c r="Z130" s="882">
        <v>3</v>
      </c>
      <c r="AA130" s="882">
        <v>5</v>
      </c>
      <c r="AB130" s="882"/>
      <c r="AC130" s="882"/>
      <c r="AD130" s="882"/>
      <c r="AE130" s="882"/>
      <c r="AF130" s="882"/>
      <c r="AG130" s="882"/>
      <c r="AH130" s="882"/>
      <c r="AI130" s="882">
        <v>2</v>
      </c>
      <c r="AJ130" s="882">
        <v>3</v>
      </c>
      <c r="AK130" s="882">
        <v>15</v>
      </c>
      <c r="AL130" s="889"/>
    </row>
    <row r="131" spans="1:38" s="890" customFormat="1">
      <c r="A131" s="882">
        <v>112</v>
      </c>
      <c r="B131" s="891">
        <f t="shared" si="12"/>
        <v>-15</v>
      </c>
      <c r="C131" s="882">
        <f t="shared" si="7"/>
        <v>127</v>
      </c>
      <c r="D131" s="883">
        <v>3437</v>
      </c>
      <c r="E131" s="884" t="str">
        <f>IFERROR(VLOOKUP(Table2[[#This Row],[Player No]],Table10[[No]:[Province]],2,0),"")</f>
        <v>DE BEER Derrick</v>
      </c>
      <c r="F131" s="885" t="str">
        <f>IFERROR(VLOOKUP(Table2[[#This Row],[Player No]],Table10[[No]:[Province]],3,0),"")</f>
        <v>GN</v>
      </c>
      <c r="G131" s="892">
        <v>22</v>
      </c>
      <c r="H131" s="886">
        <f>(Table2[[#This Row],[Points 2025]]/2)+SUM(Table2[[#This Row],[O1  ADMIN 2026]:[P2    CAPE TOWN OPEN 2026 ]])</f>
        <v>11</v>
      </c>
      <c r="I131" s="880">
        <f t="shared" si="6"/>
        <v>0</v>
      </c>
      <c r="J131" s="882">
        <f t="shared" si="8"/>
        <v>0</v>
      </c>
      <c r="K131" s="887" t="s">
        <v>6083</v>
      </c>
      <c r="L131" s="887" t="s">
        <v>6083</v>
      </c>
      <c r="M131" s="887" t="s">
        <v>6083</v>
      </c>
      <c r="N131" s="887"/>
      <c r="O131" s="882"/>
      <c r="P131" s="882"/>
      <c r="Q131" s="888"/>
      <c r="R131" s="888"/>
      <c r="S131" s="882"/>
      <c r="T131" s="888">
        <v>5</v>
      </c>
      <c r="U131" s="882"/>
      <c r="V131" s="887"/>
      <c r="W131" s="888"/>
      <c r="X131" s="882"/>
      <c r="Y131" s="888">
        <v>4</v>
      </c>
      <c r="Z131" s="882">
        <v>3</v>
      </c>
      <c r="AA131" s="882"/>
      <c r="AB131" s="882"/>
      <c r="AC131" s="882"/>
      <c r="AD131" s="882"/>
      <c r="AE131" s="882"/>
      <c r="AF131" s="882"/>
      <c r="AG131" s="882"/>
      <c r="AH131" s="882"/>
      <c r="AI131" s="882">
        <v>5</v>
      </c>
      <c r="AJ131" s="882">
        <v>5</v>
      </c>
      <c r="AK131" s="882">
        <v>10</v>
      </c>
      <c r="AL131" s="889"/>
    </row>
    <row r="132" spans="1:38" s="890" customFormat="1">
      <c r="A132" s="882">
        <v>317</v>
      </c>
      <c r="B132" s="891">
        <f t="shared" si="12"/>
        <v>189</v>
      </c>
      <c r="C132" s="882">
        <f t="shared" si="7"/>
        <v>128</v>
      </c>
      <c r="D132" s="883">
        <v>3126</v>
      </c>
      <c r="E132" s="884" t="str">
        <f>IFERROR(VLOOKUP(Table2[[#This Row],[Player No]],Table10[[No]:[Province]],2,0),"")</f>
        <v>LOUW Tian</v>
      </c>
      <c r="F132" s="885" t="str">
        <f>IFERROR(VLOOKUP(Table2[[#This Row],[Player No]],Table10[[No]:[Province]],3,0),"")</f>
        <v>CT</v>
      </c>
      <c r="G132" s="892">
        <v>21</v>
      </c>
      <c r="H132" s="886">
        <f>(Table2[[#This Row],[Points 2025]]/2)+SUM(Table2[[#This Row],[O1  ADMIN 2026]:[P2    CAPE TOWN OPEN 2026 ]])</f>
        <v>10.5</v>
      </c>
      <c r="I132" s="880">
        <f t="shared" si="6"/>
        <v>0</v>
      </c>
      <c r="J132" s="882">
        <f t="shared" si="8"/>
        <v>0</v>
      </c>
      <c r="K132" s="887" t="s">
        <v>6083</v>
      </c>
      <c r="L132" s="887" t="s">
        <v>6083</v>
      </c>
      <c r="M132" s="887" t="s">
        <v>6083</v>
      </c>
      <c r="N132" s="887"/>
      <c r="O132" s="882"/>
      <c r="P132" s="882"/>
      <c r="Q132" s="888"/>
      <c r="R132" s="888"/>
      <c r="S132" s="882"/>
      <c r="T132" s="888"/>
      <c r="U132" s="882"/>
      <c r="V132" s="887"/>
      <c r="W132" s="888">
        <v>10</v>
      </c>
      <c r="X132" s="882"/>
      <c r="Y132" s="888"/>
      <c r="Z132" s="882"/>
      <c r="AA132" s="882"/>
      <c r="AB132" s="882">
        <v>5</v>
      </c>
      <c r="AC132" s="882"/>
      <c r="AD132" s="882"/>
      <c r="AE132" s="882">
        <v>5</v>
      </c>
      <c r="AF132" s="882">
        <v>2</v>
      </c>
      <c r="AG132" s="882"/>
      <c r="AH132" s="882"/>
      <c r="AI132" s="882">
        <v>5</v>
      </c>
      <c r="AJ132" s="882"/>
      <c r="AK132" s="882"/>
      <c r="AL132" s="889"/>
    </row>
    <row r="133" spans="1:38" s="890" customFormat="1">
      <c r="A133" s="882">
        <v>363</v>
      </c>
      <c r="B133" s="891">
        <f t="shared" si="12"/>
        <v>234</v>
      </c>
      <c r="C133" s="882">
        <f t="shared" si="7"/>
        <v>129</v>
      </c>
      <c r="D133" s="883">
        <v>3504</v>
      </c>
      <c r="E133" s="884" t="str">
        <f>IFERROR(VLOOKUP(Table2[[#This Row],[Player No]],Table10[[No]:[Province]],2,0),"")</f>
        <v xml:space="preserve">ROYAPPEN Denzil </v>
      </c>
      <c r="F133" s="885" t="str">
        <f>IFERROR(VLOOKUP(Table2[[#This Row],[Player No]],Table10[[No]:[Province]],3,0),"")</f>
        <v>UMG</v>
      </c>
      <c r="G133" s="892">
        <v>20.75</v>
      </c>
      <c r="H133" s="886">
        <f>(Table2[[#This Row],[Points 2025]]/2)+SUM(Table2[[#This Row],[O1  ADMIN 2026]:[P2    CAPE TOWN OPEN 2026 ]])</f>
        <v>10.375</v>
      </c>
      <c r="I133" s="880">
        <f t="shared" ref="I133:I196" si="13">COUNTIF(K133:N133,"&gt;0")</f>
        <v>0</v>
      </c>
      <c r="J133" s="882">
        <f t="shared" si="8"/>
        <v>0</v>
      </c>
      <c r="K133" s="887" t="s">
        <v>6083</v>
      </c>
      <c r="L133" s="887" t="s">
        <v>6083</v>
      </c>
      <c r="M133" s="887" t="s">
        <v>6083</v>
      </c>
      <c r="N133" s="887"/>
      <c r="O133" s="882">
        <v>2</v>
      </c>
      <c r="P133" s="882">
        <v>1</v>
      </c>
      <c r="Q133" s="888">
        <v>2</v>
      </c>
      <c r="R133" s="888">
        <v>5</v>
      </c>
      <c r="S133" s="882">
        <v>10</v>
      </c>
      <c r="T133" s="888"/>
      <c r="U133" s="882"/>
      <c r="V133" s="887"/>
      <c r="W133" s="888"/>
      <c r="X133" s="882"/>
      <c r="Y133" s="888"/>
      <c r="Z133" s="882"/>
      <c r="AA133" s="882"/>
      <c r="AB133" s="882"/>
      <c r="AC133" s="882"/>
      <c r="AD133" s="882">
        <v>1</v>
      </c>
      <c r="AE133" s="882"/>
      <c r="AF133" s="882"/>
      <c r="AG133" s="882"/>
      <c r="AH133" s="882"/>
      <c r="AI133" s="882"/>
      <c r="AJ133" s="882"/>
      <c r="AK133" s="882"/>
      <c r="AL133" s="889"/>
    </row>
    <row r="134" spans="1:38" s="890" customFormat="1">
      <c r="A134" s="882">
        <v>68</v>
      </c>
      <c r="B134" s="891">
        <f t="shared" si="12"/>
        <v>-62</v>
      </c>
      <c r="C134" s="882">
        <f t="shared" ref="C134:C197" si="14">C133+1</f>
        <v>130</v>
      </c>
      <c r="D134" s="883">
        <v>1027</v>
      </c>
      <c r="E134" s="884" t="str">
        <f>IFERROR(VLOOKUP(Table2[[#This Row],[Player No]],Table10[[No]:[Province]],2,0),"")</f>
        <v>DIAMANT Simon</v>
      </c>
      <c r="F134" s="885" t="str">
        <f>IFERROR(VLOOKUP(Table2[[#This Row],[Player No]],Table10[[No]:[Province]],3,0),"")</f>
        <v>GN</v>
      </c>
      <c r="G134" s="892">
        <v>20.283203125</v>
      </c>
      <c r="H134" s="886">
        <f>(Table2[[#This Row],[Points 2025]]/2)+SUM(Table2[[#This Row],[O1  ADMIN 2026]:[P2    CAPE TOWN OPEN 2026 ]])</f>
        <v>10.1416015625</v>
      </c>
      <c r="I134" s="880">
        <f t="shared" si="13"/>
        <v>0</v>
      </c>
      <c r="J134" s="882">
        <f t="shared" si="8"/>
        <v>0</v>
      </c>
      <c r="K134" s="887" t="s">
        <v>6083</v>
      </c>
      <c r="L134" s="887" t="s">
        <v>6083</v>
      </c>
      <c r="M134" s="887" t="s">
        <v>6083</v>
      </c>
      <c r="N134" s="887"/>
      <c r="O134" s="882"/>
      <c r="P134" s="882"/>
      <c r="Q134" s="888"/>
      <c r="R134" s="888"/>
      <c r="S134" s="882"/>
      <c r="T134" s="888"/>
      <c r="U134" s="882"/>
      <c r="V134" s="887"/>
      <c r="W134" s="888"/>
      <c r="X134" s="882">
        <v>5</v>
      </c>
      <c r="Y134" s="888"/>
      <c r="Z134" s="882">
        <v>3</v>
      </c>
      <c r="AA134" s="882"/>
      <c r="AB134" s="882"/>
      <c r="AC134" s="882"/>
      <c r="AD134" s="882"/>
      <c r="AE134" s="882"/>
      <c r="AF134" s="882"/>
      <c r="AG134" s="882"/>
      <c r="AH134" s="882"/>
      <c r="AI134" s="882"/>
      <c r="AJ134" s="882">
        <v>5</v>
      </c>
      <c r="AK134" s="882"/>
      <c r="AL134" s="889"/>
    </row>
    <row r="135" spans="1:38" s="890" customFormat="1">
      <c r="A135" s="882">
        <v>175</v>
      </c>
      <c r="B135" s="891">
        <f t="shared" si="12"/>
        <v>44</v>
      </c>
      <c r="C135" s="882">
        <f t="shared" si="14"/>
        <v>131</v>
      </c>
      <c r="D135" s="883">
        <v>1124</v>
      </c>
      <c r="E135" s="884" t="str">
        <f>IFERROR(VLOOKUP(Table2[[#This Row],[Player No]],Table10[[No]:[Province]],2,0),"")</f>
        <v xml:space="preserve">DAVIES Jerome </v>
      </c>
      <c r="F135" s="885" t="str">
        <f>IFERROR(VLOOKUP(Table2[[#This Row],[Player No]],Table10[[No]:[Province]],3,0),"")</f>
        <v>CT</v>
      </c>
      <c r="G135" s="892">
        <v>19.951171875</v>
      </c>
      <c r="H135" s="886">
        <f>(Table2[[#This Row],[Points 2025]]/2)+SUM(Table2[[#This Row],[O1  ADMIN 2026]:[P2    CAPE TOWN OPEN 2026 ]])</f>
        <v>9.9755859375</v>
      </c>
      <c r="I135" s="880">
        <f t="shared" si="13"/>
        <v>0</v>
      </c>
      <c r="J135" s="882">
        <f t="shared" si="8"/>
        <v>0</v>
      </c>
      <c r="K135" s="887" t="s">
        <v>6083</v>
      </c>
      <c r="L135" s="887" t="s">
        <v>6083</v>
      </c>
      <c r="M135" s="887" t="s">
        <v>6083</v>
      </c>
      <c r="N135" s="887"/>
      <c r="O135" s="882"/>
      <c r="P135" s="882"/>
      <c r="Q135" s="888"/>
      <c r="R135" s="888"/>
      <c r="S135" s="882"/>
      <c r="T135" s="888"/>
      <c r="U135" s="882"/>
      <c r="V135" s="887"/>
      <c r="W135" s="888"/>
      <c r="X135" s="882"/>
      <c r="Y135" s="888"/>
      <c r="Z135" s="882"/>
      <c r="AA135" s="882"/>
      <c r="AB135" s="882">
        <v>15</v>
      </c>
      <c r="AC135" s="882"/>
      <c r="AD135" s="882"/>
      <c r="AE135" s="882">
        <v>3</v>
      </c>
      <c r="AF135" s="882"/>
      <c r="AG135" s="882"/>
      <c r="AH135" s="882"/>
      <c r="AI135" s="882"/>
      <c r="AJ135" s="882"/>
      <c r="AK135" s="882"/>
      <c r="AL135" s="889"/>
    </row>
    <row r="136" spans="1:38" s="890" customFormat="1">
      <c r="A136" s="882">
        <v>140</v>
      </c>
      <c r="B136" s="891">
        <f t="shared" si="12"/>
        <v>8</v>
      </c>
      <c r="C136" s="882">
        <f t="shared" si="14"/>
        <v>132</v>
      </c>
      <c r="D136" s="883">
        <v>1293</v>
      </c>
      <c r="E136" s="884" t="str">
        <f>IFERROR(VLOOKUP(Table2[[#This Row],[Player No]],Table10[[No]:[Province]],2,0),"")</f>
        <v xml:space="preserve">MAKHUNGA Thandanani </v>
      </c>
      <c r="F136" s="885" t="str">
        <f>IFERROR(VLOOKUP(Table2[[#This Row],[Player No]],Table10[[No]:[Province]],3,0),"")</f>
        <v>HG</v>
      </c>
      <c r="G136" s="892">
        <v>19.90625</v>
      </c>
      <c r="H136" s="886">
        <f>(Table2[[#This Row],[Points 2025]]/2)+SUM(Table2[[#This Row],[O1  ADMIN 2026]:[P2    CAPE TOWN OPEN 2026 ]])</f>
        <v>9.953125</v>
      </c>
      <c r="I136" s="880">
        <f t="shared" si="13"/>
        <v>0</v>
      </c>
      <c r="J136" s="882">
        <f t="shared" si="8"/>
        <v>0</v>
      </c>
      <c r="K136" s="887" t="s">
        <v>6083</v>
      </c>
      <c r="L136" s="887" t="s">
        <v>6083</v>
      </c>
      <c r="M136" s="887" t="s">
        <v>6083</v>
      </c>
      <c r="N136" s="887"/>
      <c r="O136" s="882"/>
      <c r="P136" s="882"/>
      <c r="Q136" s="888"/>
      <c r="R136" s="888"/>
      <c r="S136" s="882">
        <v>15</v>
      </c>
      <c r="T136" s="888"/>
      <c r="U136" s="882"/>
      <c r="V136" s="887"/>
      <c r="W136" s="888"/>
      <c r="X136" s="882"/>
      <c r="Y136" s="888"/>
      <c r="Z136" s="882"/>
      <c r="AA136" s="882"/>
      <c r="AB136" s="882"/>
      <c r="AC136" s="882"/>
      <c r="AD136" s="882">
        <v>2</v>
      </c>
      <c r="AE136" s="882"/>
      <c r="AF136" s="882"/>
      <c r="AG136" s="882"/>
      <c r="AH136" s="882"/>
      <c r="AI136" s="882"/>
      <c r="AJ136" s="882"/>
      <c r="AK136" s="882"/>
      <c r="AL136" s="889"/>
    </row>
    <row r="137" spans="1:38" s="890" customFormat="1">
      <c r="A137" s="882"/>
      <c r="B137" s="891">
        <f t="shared" si="12"/>
        <v>-133</v>
      </c>
      <c r="C137" s="882">
        <f t="shared" si="14"/>
        <v>133</v>
      </c>
      <c r="D137" s="883">
        <v>1426</v>
      </c>
      <c r="E137" s="884" t="str">
        <f>IFERROR(VLOOKUP(Table2[[#This Row],[Player No]],Table10[[No]:[Province]],2,0),"")</f>
        <v>SWANEVELDER Dewalt</v>
      </c>
      <c r="F137" s="885" t="str">
        <f>IFERROR(VLOOKUP(Table2[[#This Row],[Player No]],Table10[[No]:[Province]],3,0),"")</f>
        <v>GN</v>
      </c>
      <c r="G137" s="892">
        <v>19.5</v>
      </c>
      <c r="H137" s="886">
        <f>(Table2[[#This Row],[Points 2025]]/2)+SUM(Table2[[#This Row],[O1  ADMIN 2026]:[P2    CAPE TOWN OPEN 2026 ]])</f>
        <v>9.75</v>
      </c>
      <c r="I137" s="880">
        <f t="shared" si="13"/>
        <v>0</v>
      </c>
      <c r="J137" s="882">
        <f t="shared" si="8"/>
        <v>0</v>
      </c>
      <c r="K137" s="887" t="s">
        <v>6083</v>
      </c>
      <c r="L137" s="887" t="s">
        <v>6083</v>
      </c>
      <c r="M137" s="887" t="s">
        <v>6083</v>
      </c>
      <c r="N137" s="887"/>
      <c r="O137" s="882"/>
      <c r="P137" s="882"/>
      <c r="Q137" s="888"/>
      <c r="R137" s="888"/>
      <c r="S137" s="882"/>
      <c r="T137" s="888"/>
      <c r="U137" s="882"/>
      <c r="V137" s="887"/>
      <c r="W137" s="888">
        <v>10</v>
      </c>
      <c r="X137" s="882"/>
      <c r="Y137" s="888"/>
      <c r="Z137" s="882">
        <v>3</v>
      </c>
      <c r="AA137" s="882"/>
      <c r="AB137" s="882">
        <v>5</v>
      </c>
      <c r="AC137" s="882"/>
      <c r="AD137" s="882"/>
      <c r="AE137" s="882">
        <v>1</v>
      </c>
      <c r="AF137" s="882"/>
      <c r="AG137" s="882"/>
      <c r="AH137" s="882"/>
      <c r="AI137" s="882">
        <v>2</v>
      </c>
      <c r="AJ137" s="882"/>
      <c r="AK137" s="882"/>
      <c r="AL137" s="889"/>
    </row>
    <row r="138" spans="1:38" s="890" customFormat="1">
      <c r="A138" s="882">
        <v>201</v>
      </c>
      <c r="B138" s="891">
        <f t="shared" si="12"/>
        <v>67</v>
      </c>
      <c r="C138" s="882">
        <f t="shared" si="14"/>
        <v>134</v>
      </c>
      <c r="D138" s="883">
        <v>1147</v>
      </c>
      <c r="E138" s="884" t="str">
        <f>IFERROR(VLOOKUP(Table2[[#This Row],[Player No]],Table10[[No]:[Province]],2,0),"")</f>
        <v xml:space="preserve">NOTSHE Samkelo </v>
      </c>
      <c r="F138" s="885" t="str">
        <f>IFERROR(VLOOKUP(Table2[[#This Row],[Player No]],Table10[[No]:[Province]],3,0),"")</f>
        <v>CT</v>
      </c>
      <c r="G138" s="892">
        <v>19.32421875</v>
      </c>
      <c r="H138" s="886">
        <f>(Table2[[#This Row],[Points 2025]]/2)+SUM(Table2[[#This Row],[O1  ADMIN 2026]:[P2    CAPE TOWN OPEN 2026 ]])</f>
        <v>9.662109375</v>
      </c>
      <c r="I138" s="880">
        <f t="shared" si="13"/>
        <v>0</v>
      </c>
      <c r="J138" s="882">
        <f t="shared" si="8"/>
        <v>0</v>
      </c>
      <c r="K138" s="887" t="s">
        <v>6083</v>
      </c>
      <c r="L138" s="887" t="s">
        <v>6083</v>
      </c>
      <c r="M138" s="887" t="s">
        <v>6083</v>
      </c>
      <c r="N138" s="887"/>
      <c r="O138" s="882"/>
      <c r="P138" s="882"/>
      <c r="Q138" s="888"/>
      <c r="R138" s="888"/>
      <c r="S138" s="882"/>
      <c r="T138" s="888"/>
      <c r="U138" s="882"/>
      <c r="V138" s="887"/>
      <c r="W138" s="888"/>
      <c r="X138" s="882"/>
      <c r="Y138" s="888"/>
      <c r="Z138" s="882"/>
      <c r="AA138" s="882"/>
      <c r="AB138" s="882">
        <v>15</v>
      </c>
      <c r="AC138" s="882"/>
      <c r="AD138" s="882"/>
      <c r="AE138" s="882">
        <v>3</v>
      </c>
      <c r="AF138" s="882"/>
      <c r="AG138" s="882"/>
      <c r="AH138" s="882"/>
      <c r="AI138" s="882"/>
      <c r="AJ138" s="882"/>
      <c r="AK138" s="882"/>
      <c r="AL138" s="889"/>
    </row>
    <row r="139" spans="1:38" s="890" customFormat="1">
      <c r="A139" s="882">
        <v>48</v>
      </c>
      <c r="B139" s="891">
        <f t="shared" si="12"/>
        <v>-87</v>
      </c>
      <c r="C139" s="882">
        <f t="shared" si="14"/>
        <v>135</v>
      </c>
      <c r="D139" s="883">
        <v>1025</v>
      </c>
      <c r="E139" s="884" t="str">
        <f>IFERROR(VLOOKUP(Table2[[#This Row],[Player No]],Table10[[No]:[Province]],2,0),"")</f>
        <v xml:space="preserve">KOETAAN Gaston </v>
      </c>
      <c r="F139" s="885" t="str">
        <f>IFERROR(VLOOKUP(Table2[[#This Row],[Player No]],Table10[[No]:[Province]],3,0),"")</f>
        <v>SANDF</v>
      </c>
      <c r="G139" s="892">
        <v>19.08203125</v>
      </c>
      <c r="H139" s="886">
        <f>(Table2[[#This Row],[Points 2025]]/2)+SUM(Table2[[#This Row],[O1  ADMIN 2026]:[P2    CAPE TOWN OPEN 2026 ]])</f>
        <v>9.541015625</v>
      </c>
      <c r="I139" s="880">
        <f t="shared" si="13"/>
        <v>0</v>
      </c>
      <c r="J139" s="882">
        <f t="shared" si="8"/>
        <v>0</v>
      </c>
      <c r="K139" s="887" t="s">
        <v>6083</v>
      </c>
      <c r="L139" s="887" t="s">
        <v>6083</v>
      </c>
      <c r="M139" s="887" t="s">
        <v>6083</v>
      </c>
      <c r="N139" s="887"/>
      <c r="O139" s="882"/>
      <c r="P139" s="882"/>
      <c r="Q139" s="888"/>
      <c r="R139" s="888"/>
      <c r="S139" s="882"/>
      <c r="T139" s="888"/>
      <c r="U139" s="882"/>
      <c r="V139" s="887"/>
      <c r="W139" s="888"/>
      <c r="X139" s="882"/>
      <c r="Y139" s="888"/>
      <c r="Z139" s="882"/>
      <c r="AA139" s="882"/>
      <c r="AB139" s="882"/>
      <c r="AC139" s="882"/>
      <c r="AD139" s="882"/>
      <c r="AE139" s="882"/>
      <c r="AF139" s="882"/>
      <c r="AG139" s="882"/>
      <c r="AH139" s="882"/>
      <c r="AI139" s="882"/>
      <c r="AJ139" s="882"/>
      <c r="AK139" s="882"/>
      <c r="AL139" s="889"/>
    </row>
    <row r="140" spans="1:38" s="890" customFormat="1">
      <c r="A140" s="882">
        <v>126</v>
      </c>
      <c r="B140" s="891">
        <f t="shared" si="12"/>
        <v>-10</v>
      </c>
      <c r="C140" s="882">
        <f t="shared" si="14"/>
        <v>136</v>
      </c>
      <c r="D140" s="883">
        <v>3481</v>
      </c>
      <c r="E140" s="884" t="str">
        <f>IFERROR(VLOOKUP(Table2[[#This Row],[Player No]],Table10[[No]:[Province]],2,0),"")</f>
        <v>BAI Barney</v>
      </c>
      <c r="F140" s="885" t="str">
        <f>IFERROR(VLOOKUP(Table2[[#This Row],[Player No]],Table10[[No]:[Province]],3,0),"")</f>
        <v>JTTA</v>
      </c>
      <c r="G140" s="892">
        <v>18.75</v>
      </c>
      <c r="H140" s="886">
        <f>(Table2[[#This Row],[Points 2025]]/2)+SUM(Table2[[#This Row],[O1  ADMIN 2026]:[P2    CAPE TOWN OPEN 2026 ]])</f>
        <v>9.375</v>
      </c>
      <c r="I140" s="880">
        <f t="shared" si="13"/>
        <v>0</v>
      </c>
      <c r="J140" s="882">
        <f t="shared" ref="J140:J203" si="15">COUNTIF(O140:AK140,"&lt;0")</f>
        <v>0</v>
      </c>
      <c r="K140" s="887" t="s">
        <v>6083</v>
      </c>
      <c r="L140" s="887" t="s">
        <v>6083</v>
      </c>
      <c r="M140" s="887" t="s">
        <v>6083</v>
      </c>
      <c r="N140" s="887"/>
      <c r="O140" s="882"/>
      <c r="P140" s="882"/>
      <c r="Q140" s="888"/>
      <c r="R140" s="888"/>
      <c r="S140" s="882"/>
      <c r="T140" s="888"/>
      <c r="U140" s="882"/>
      <c r="V140" s="887"/>
      <c r="W140" s="888"/>
      <c r="X140" s="882">
        <v>5</v>
      </c>
      <c r="Y140" s="888"/>
      <c r="Z140" s="882">
        <v>5</v>
      </c>
      <c r="AA140" s="882"/>
      <c r="AB140" s="882"/>
      <c r="AC140" s="882"/>
      <c r="AD140" s="882"/>
      <c r="AE140" s="882"/>
      <c r="AF140" s="882"/>
      <c r="AG140" s="882"/>
      <c r="AH140" s="882"/>
      <c r="AI140" s="882">
        <v>5</v>
      </c>
      <c r="AJ140" s="882">
        <v>5</v>
      </c>
      <c r="AK140" s="882"/>
      <c r="AL140" s="889"/>
    </row>
    <row r="141" spans="1:38" s="890" customFormat="1">
      <c r="A141" s="882">
        <v>54</v>
      </c>
      <c r="B141" s="891">
        <f t="shared" si="12"/>
        <v>-83</v>
      </c>
      <c r="C141" s="882">
        <f t="shared" si="14"/>
        <v>137</v>
      </c>
      <c r="D141" s="883">
        <v>2716</v>
      </c>
      <c r="E141" s="884" t="str">
        <f>IFERROR(VLOOKUP(Table2[[#This Row],[Player No]],Table10[[No]:[Province]],2,0),"")</f>
        <v>RAGUMAN Raidan</v>
      </c>
      <c r="F141" s="885" t="str">
        <f>IFERROR(VLOOKUP(Table2[[#This Row],[Player No]],Table10[[No]:[Province]],3,0),"")</f>
        <v>ETTA</v>
      </c>
      <c r="G141" s="892">
        <v>18.25</v>
      </c>
      <c r="H141" s="886">
        <f>(Table2[[#This Row],[Points 2025]]/2)+SUM(Table2[[#This Row],[O1  ADMIN 2026]:[P2    CAPE TOWN OPEN 2026 ]])</f>
        <v>9.125</v>
      </c>
      <c r="I141" s="880">
        <f t="shared" si="13"/>
        <v>0</v>
      </c>
      <c r="J141" s="882">
        <f t="shared" si="15"/>
        <v>0</v>
      </c>
      <c r="K141" s="887" t="s">
        <v>6083</v>
      </c>
      <c r="L141" s="887" t="s">
        <v>6083</v>
      </c>
      <c r="M141" s="887" t="s">
        <v>6083</v>
      </c>
      <c r="N141" s="887"/>
      <c r="O141" s="882">
        <v>2</v>
      </c>
      <c r="P141" s="882"/>
      <c r="Q141" s="888"/>
      <c r="R141" s="888"/>
      <c r="S141" s="882"/>
      <c r="T141" s="888"/>
      <c r="U141" s="882"/>
      <c r="V141" s="887"/>
      <c r="W141" s="888"/>
      <c r="X141" s="882"/>
      <c r="Y141" s="888"/>
      <c r="Z141" s="882"/>
      <c r="AA141" s="882"/>
      <c r="AB141" s="882"/>
      <c r="AC141" s="882">
        <v>25</v>
      </c>
      <c r="AD141" s="882"/>
      <c r="AE141" s="882"/>
      <c r="AF141" s="882"/>
      <c r="AG141" s="882"/>
      <c r="AH141" s="882"/>
      <c r="AI141" s="882"/>
      <c r="AJ141" s="882"/>
      <c r="AK141" s="882"/>
      <c r="AL141" s="889"/>
    </row>
    <row r="142" spans="1:38" s="890" customFormat="1">
      <c r="A142" s="882">
        <v>247</v>
      </c>
      <c r="B142" s="891">
        <f t="shared" si="12"/>
        <v>109</v>
      </c>
      <c r="C142" s="882">
        <f t="shared" si="14"/>
        <v>138</v>
      </c>
      <c r="D142" s="883">
        <v>1158</v>
      </c>
      <c r="E142" s="884" t="str">
        <f>IFERROR(VLOOKUP(Table2[[#This Row],[Player No]],Table10[[No]:[Province]],2,0),"")</f>
        <v xml:space="preserve">SLOSTER Chris </v>
      </c>
      <c r="F142" s="885" t="str">
        <f>IFERROR(VLOOKUP(Table2[[#This Row],[Player No]],Table10[[No]:[Province]],3,0),"")</f>
        <v>CT</v>
      </c>
      <c r="G142" s="892">
        <v>18.240234375</v>
      </c>
      <c r="H142" s="886">
        <f>(Table2[[#This Row],[Points 2025]]/2)+SUM(Table2[[#This Row],[O1  ADMIN 2026]:[P2    CAPE TOWN OPEN 2026 ]])</f>
        <v>9.1201171875</v>
      </c>
      <c r="I142" s="880">
        <f t="shared" si="13"/>
        <v>0</v>
      </c>
      <c r="J142" s="882">
        <f t="shared" si="15"/>
        <v>0</v>
      </c>
      <c r="K142" s="887" t="s">
        <v>6083</v>
      </c>
      <c r="L142" s="887" t="s">
        <v>6083</v>
      </c>
      <c r="M142" s="887" t="s">
        <v>6083</v>
      </c>
      <c r="N142" s="887"/>
      <c r="O142" s="882"/>
      <c r="P142" s="882"/>
      <c r="Q142" s="888"/>
      <c r="R142" s="888"/>
      <c r="S142" s="882"/>
      <c r="T142" s="888"/>
      <c r="U142" s="882"/>
      <c r="V142" s="887"/>
      <c r="W142" s="888"/>
      <c r="X142" s="882"/>
      <c r="Y142" s="888"/>
      <c r="Z142" s="882"/>
      <c r="AA142" s="882"/>
      <c r="AB142" s="882">
        <v>15</v>
      </c>
      <c r="AC142" s="882"/>
      <c r="AD142" s="882"/>
      <c r="AE142" s="882">
        <v>3</v>
      </c>
      <c r="AF142" s="882"/>
      <c r="AG142" s="882"/>
      <c r="AH142" s="882"/>
      <c r="AI142" s="882"/>
      <c r="AJ142" s="882"/>
      <c r="AK142" s="882"/>
      <c r="AL142" s="889"/>
    </row>
    <row r="143" spans="1:38" s="890" customFormat="1">
      <c r="A143" s="882">
        <v>256</v>
      </c>
      <c r="B143" s="891">
        <f t="shared" si="12"/>
        <v>117</v>
      </c>
      <c r="C143" s="882">
        <f t="shared" si="14"/>
        <v>139</v>
      </c>
      <c r="D143" s="883">
        <v>1171</v>
      </c>
      <c r="E143" s="884" t="str">
        <f>IFERROR(VLOOKUP(Table2[[#This Row],[Player No]],Table10[[No]:[Province]],2,0),"")</f>
        <v xml:space="preserve">DRY Mnikelo </v>
      </c>
      <c r="F143" s="885" t="str">
        <f>IFERROR(VLOOKUP(Table2[[#This Row],[Player No]],Table10[[No]:[Province]],3,0),"")</f>
        <v>FS</v>
      </c>
      <c r="G143" s="892">
        <v>18.025390625</v>
      </c>
      <c r="H143" s="886">
        <f>(Table2[[#This Row],[Points 2025]]/2)+SUM(Table2[[#This Row],[O1  ADMIN 2026]:[P2    CAPE TOWN OPEN 2026 ]])</f>
        <v>9.0126953125</v>
      </c>
      <c r="I143" s="880">
        <f t="shared" si="13"/>
        <v>0</v>
      </c>
      <c r="J143" s="882">
        <f t="shared" si="15"/>
        <v>0</v>
      </c>
      <c r="K143" s="887" t="s">
        <v>6083</v>
      </c>
      <c r="L143" s="887" t="s">
        <v>6083</v>
      </c>
      <c r="M143" s="887" t="s">
        <v>6083</v>
      </c>
      <c r="N143" s="887"/>
      <c r="O143" s="882"/>
      <c r="P143" s="882"/>
      <c r="Q143" s="888"/>
      <c r="R143" s="888"/>
      <c r="S143" s="882"/>
      <c r="T143" s="888">
        <v>0</v>
      </c>
      <c r="U143" s="882">
        <v>12.5</v>
      </c>
      <c r="V143" s="887"/>
      <c r="W143" s="888"/>
      <c r="X143" s="882">
        <v>1</v>
      </c>
      <c r="Y143" s="888"/>
      <c r="Z143" s="882">
        <v>3</v>
      </c>
      <c r="AA143" s="882"/>
      <c r="AB143" s="882"/>
      <c r="AC143" s="882"/>
      <c r="AD143" s="882"/>
      <c r="AE143" s="882"/>
      <c r="AF143" s="882"/>
      <c r="AG143" s="882"/>
      <c r="AH143" s="882"/>
      <c r="AI143" s="882"/>
      <c r="AJ143" s="882"/>
      <c r="AK143" s="882"/>
      <c r="AL143" s="889"/>
    </row>
    <row r="144" spans="1:38" s="890" customFormat="1">
      <c r="A144" s="882">
        <v>388</v>
      </c>
      <c r="B144" s="891">
        <f t="shared" si="12"/>
        <v>248</v>
      </c>
      <c r="C144" s="882">
        <f t="shared" si="14"/>
        <v>140</v>
      </c>
      <c r="D144" s="883">
        <v>3051</v>
      </c>
      <c r="E144" s="884" t="str">
        <f>IFERROR(VLOOKUP(Table2[[#This Row],[Player No]],Table10[[No]:[Province]],2,0),"")</f>
        <v>STEWE Bernard</v>
      </c>
      <c r="F144" s="885" t="str">
        <f>IFERROR(VLOOKUP(Table2[[#This Row],[Player No]],Table10[[No]:[Province]],3,0),"")</f>
        <v>CT</v>
      </c>
      <c r="G144" s="892">
        <v>18.015625</v>
      </c>
      <c r="H144" s="886">
        <f>(Table2[[#This Row],[Points 2025]]/2)+SUM(Table2[[#This Row],[O1  ADMIN 2026]:[P2    CAPE TOWN OPEN 2026 ]])</f>
        <v>9.0078125</v>
      </c>
      <c r="I144" s="880">
        <f t="shared" si="13"/>
        <v>0</v>
      </c>
      <c r="J144" s="882">
        <f t="shared" si="15"/>
        <v>0</v>
      </c>
      <c r="K144" s="887" t="s">
        <v>6083</v>
      </c>
      <c r="L144" s="887" t="s">
        <v>6083</v>
      </c>
      <c r="M144" s="887" t="s">
        <v>6083</v>
      </c>
      <c r="N144" s="887"/>
      <c r="O144" s="882"/>
      <c r="P144" s="882"/>
      <c r="Q144" s="888"/>
      <c r="R144" s="888"/>
      <c r="S144" s="882"/>
      <c r="T144" s="888"/>
      <c r="U144" s="882"/>
      <c r="V144" s="887"/>
      <c r="W144" s="888"/>
      <c r="X144" s="882"/>
      <c r="Y144" s="888"/>
      <c r="Z144" s="882"/>
      <c r="AA144" s="882"/>
      <c r="AB144" s="882">
        <v>15</v>
      </c>
      <c r="AC144" s="882"/>
      <c r="AD144" s="882"/>
      <c r="AE144" s="882">
        <v>5</v>
      </c>
      <c r="AF144" s="882"/>
      <c r="AG144" s="882"/>
      <c r="AH144" s="882"/>
      <c r="AI144" s="882"/>
      <c r="AJ144" s="882"/>
      <c r="AK144" s="882"/>
      <c r="AL144" s="889"/>
    </row>
    <row r="145" spans="1:38" s="890" customFormat="1">
      <c r="A145" s="882"/>
      <c r="B145" s="891"/>
      <c r="C145" s="882">
        <f t="shared" si="14"/>
        <v>141</v>
      </c>
      <c r="D145" s="883">
        <v>4311</v>
      </c>
      <c r="E145" s="884" t="str">
        <f>IFERROR(VLOOKUP(Table2[[#This Row],[Player No]],Table10[[No]:[Province]],2,0),"")</f>
        <v xml:space="preserve">Kamogelo Qavan </v>
      </c>
      <c r="F145" s="885" t="str">
        <f>IFERROR(VLOOKUP(Table2[[#This Row],[Player No]],Table10[[No]:[Province]],3,0),"")</f>
        <v>FS</v>
      </c>
      <c r="G145" s="892">
        <v>17.5</v>
      </c>
      <c r="H145" s="886">
        <f>(Table2[[#This Row],[Points 2025]]/2)+SUM(Table2[[#This Row],[O1  ADMIN 2026]:[P2    CAPE TOWN OPEN 2026 ]])</f>
        <v>8.75</v>
      </c>
      <c r="I145" s="880">
        <f t="shared" si="13"/>
        <v>0</v>
      </c>
      <c r="J145" s="882">
        <f t="shared" si="15"/>
        <v>0</v>
      </c>
      <c r="K145" s="887" t="s">
        <v>6083</v>
      </c>
      <c r="L145" s="887" t="s">
        <v>6083</v>
      </c>
      <c r="M145" s="887" t="s">
        <v>6083</v>
      </c>
      <c r="N145" s="887"/>
      <c r="O145" s="882"/>
      <c r="P145" s="882"/>
      <c r="Q145" s="888"/>
      <c r="R145" s="888"/>
      <c r="S145" s="882"/>
      <c r="T145" s="888"/>
      <c r="U145" s="882">
        <v>7.5</v>
      </c>
      <c r="V145" s="887"/>
      <c r="W145" s="888">
        <v>10</v>
      </c>
      <c r="X145" s="882"/>
      <c r="Y145" s="888"/>
      <c r="Z145" s="882"/>
      <c r="AA145" s="882"/>
      <c r="AB145" s="882"/>
      <c r="AC145" s="882"/>
      <c r="AD145" s="882"/>
      <c r="AE145" s="882"/>
      <c r="AF145" s="882"/>
      <c r="AG145" s="882"/>
      <c r="AH145" s="882"/>
      <c r="AI145" s="882"/>
      <c r="AJ145" s="882"/>
      <c r="AK145" s="882"/>
      <c r="AL145" s="889"/>
    </row>
    <row r="146" spans="1:38" s="890" customFormat="1">
      <c r="A146" s="882"/>
      <c r="B146" s="891"/>
      <c r="C146" s="882">
        <f t="shared" si="14"/>
        <v>142</v>
      </c>
      <c r="D146" s="883">
        <v>1291</v>
      </c>
      <c r="E146" s="884" t="str">
        <f>IFERROR(VLOOKUP(Table2[[#This Row],[Player No]],Table10[[No]:[Province]],2,0),"")</f>
        <v xml:space="preserve">KULU Lwanele </v>
      </c>
      <c r="F146" s="885" t="str">
        <f>IFERROR(VLOOKUP(Table2[[#This Row],[Player No]],Table10[[No]:[Province]],3,0),"")</f>
        <v>EKU</v>
      </c>
      <c r="G146" s="892">
        <v>15.5</v>
      </c>
      <c r="H146" s="886">
        <f>(Table2[[#This Row],[Points 2025]]/2)+SUM(Table2[[#This Row],[O1  ADMIN 2026]:[P2    CAPE TOWN OPEN 2026 ]])</f>
        <v>8.75</v>
      </c>
      <c r="I146" s="880">
        <f t="shared" si="13"/>
        <v>1</v>
      </c>
      <c r="J146" s="882">
        <f t="shared" si="15"/>
        <v>0</v>
      </c>
      <c r="K146" s="887">
        <v>1</v>
      </c>
      <c r="L146" s="887" t="s">
        <v>6083</v>
      </c>
      <c r="M146" s="887" t="s">
        <v>6083</v>
      </c>
      <c r="N146" s="887"/>
      <c r="O146" s="882"/>
      <c r="P146" s="882"/>
      <c r="Q146" s="888"/>
      <c r="R146" s="888"/>
      <c r="S146" s="882"/>
      <c r="T146" s="888"/>
      <c r="U146" s="882"/>
      <c r="V146" s="887"/>
      <c r="W146" s="888">
        <v>5</v>
      </c>
      <c r="X146" s="882"/>
      <c r="Y146" s="888">
        <v>2</v>
      </c>
      <c r="Z146" s="882">
        <v>1</v>
      </c>
      <c r="AA146" s="882">
        <v>7.5</v>
      </c>
      <c r="AB146" s="882"/>
      <c r="AC146" s="882"/>
      <c r="AD146" s="882"/>
      <c r="AE146" s="882"/>
      <c r="AF146" s="882"/>
      <c r="AG146" s="882"/>
      <c r="AH146" s="882"/>
      <c r="AI146" s="882"/>
      <c r="AJ146" s="882"/>
      <c r="AK146" s="882"/>
      <c r="AL146" s="889"/>
    </row>
    <row r="147" spans="1:38" s="890" customFormat="1">
      <c r="A147" s="882"/>
      <c r="B147" s="891"/>
      <c r="C147" s="882">
        <f t="shared" si="14"/>
        <v>143</v>
      </c>
      <c r="D147" s="883">
        <v>1583</v>
      </c>
      <c r="E147" s="884" t="str">
        <f>IFERROR(VLOOKUP(Table2[[#This Row],[Player No]],Table10[[No]:[Province]],2,0),"")</f>
        <v xml:space="preserve">FORTUIN Craig </v>
      </c>
      <c r="F147" s="885" t="str">
        <f>IFERROR(VLOOKUP(Table2[[#This Row],[Player No]],Table10[[No]:[Province]],3,0),"")</f>
        <v>CT</v>
      </c>
      <c r="G147" s="892">
        <v>17</v>
      </c>
      <c r="H147" s="886">
        <f>(Table2[[#This Row],[Points 2025]]/2)+SUM(Table2[[#This Row],[O1  ADMIN 2026]:[P2    CAPE TOWN OPEN 2026 ]])</f>
        <v>8.5</v>
      </c>
      <c r="I147" s="880">
        <f t="shared" si="13"/>
        <v>0</v>
      </c>
      <c r="J147" s="882">
        <f t="shared" si="15"/>
        <v>0</v>
      </c>
      <c r="K147" s="887" t="s">
        <v>6083</v>
      </c>
      <c r="L147" s="887" t="s">
        <v>6083</v>
      </c>
      <c r="M147" s="887" t="s">
        <v>6083</v>
      </c>
      <c r="N147" s="887"/>
      <c r="O147" s="882"/>
      <c r="P147" s="882"/>
      <c r="Q147" s="888"/>
      <c r="R147" s="888"/>
      <c r="S147" s="882"/>
      <c r="T147" s="888"/>
      <c r="U147" s="882"/>
      <c r="V147" s="887"/>
      <c r="W147" s="888"/>
      <c r="X147" s="882"/>
      <c r="Y147" s="888"/>
      <c r="Z147" s="882"/>
      <c r="AA147" s="882"/>
      <c r="AB147" s="882">
        <v>15</v>
      </c>
      <c r="AC147" s="882"/>
      <c r="AD147" s="882"/>
      <c r="AE147" s="882">
        <v>2</v>
      </c>
      <c r="AF147" s="882"/>
      <c r="AG147" s="882"/>
      <c r="AH147" s="882"/>
      <c r="AI147" s="882"/>
      <c r="AJ147" s="882"/>
      <c r="AK147" s="882"/>
      <c r="AL147" s="889"/>
    </row>
    <row r="148" spans="1:38" s="890" customFormat="1">
      <c r="A148" s="882"/>
      <c r="B148" s="891"/>
      <c r="C148" s="882">
        <f t="shared" si="14"/>
        <v>144</v>
      </c>
      <c r="D148" s="883">
        <v>4460</v>
      </c>
      <c r="E148" s="884" t="str">
        <f>IFERROR(VLOOKUP(Table2[[#This Row],[Player No]],Table10[[No]:[Province]],2,0),"")</f>
        <v>MUDASHIRA AKEEM</v>
      </c>
      <c r="F148" s="885" t="str">
        <f>IFERROR(VLOOKUP(Table2[[#This Row],[Player No]],Table10[[No]:[Province]],3,0),"")</f>
        <v>ETTA</v>
      </c>
      <c r="G148" s="892">
        <v>15</v>
      </c>
      <c r="H148" s="886">
        <f>(Table2[[#This Row],[Points 2025]]/2)+SUM(Table2[[#This Row],[O1  ADMIN 2026]:[P2    CAPE TOWN OPEN 2026 ]])</f>
        <v>8.5</v>
      </c>
      <c r="I148" s="880">
        <f t="shared" si="13"/>
        <v>1</v>
      </c>
      <c r="J148" s="882">
        <f t="shared" si="15"/>
        <v>0</v>
      </c>
      <c r="K148" s="887" t="s">
        <v>6083</v>
      </c>
      <c r="L148" s="887" t="s">
        <v>6083</v>
      </c>
      <c r="M148" s="887">
        <v>1</v>
      </c>
      <c r="N148" s="887"/>
      <c r="O148" s="882"/>
      <c r="P148" s="882"/>
      <c r="Q148" s="888">
        <v>10</v>
      </c>
      <c r="R148" s="888">
        <v>5</v>
      </c>
      <c r="S148" s="882"/>
      <c r="T148" s="888"/>
      <c r="U148" s="882"/>
      <c r="V148" s="887"/>
      <c r="W148" s="888"/>
      <c r="X148" s="882"/>
      <c r="Y148" s="888"/>
      <c r="Z148" s="882"/>
      <c r="AA148" s="882"/>
      <c r="AB148" s="882"/>
      <c r="AC148" s="882"/>
      <c r="AD148" s="882"/>
      <c r="AE148" s="882"/>
      <c r="AF148" s="882"/>
      <c r="AG148" s="882"/>
      <c r="AH148" s="882"/>
      <c r="AI148" s="882"/>
      <c r="AJ148" s="882"/>
      <c r="AK148" s="882"/>
      <c r="AL148" s="889"/>
    </row>
    <row r="149" spans="1:38" s="890" customFormat="1">
      <c r="A149" s="882">
        <v>336</v>
      </c>
      <c r="B149" s="891">
        <f>+A149-C149</f>
        <v>191</v>
      </c>
      <c r="C149" s="882">
        <f t="shared" si="14"/>
        <v>145</v>
      </c>
      <c r="D149" s="883">
        <v>3671</v>
      </c>
      <c r="E149" s="884" t="str">
        <f>IFERROR(VLOOKUP(Table2[[#This Row],[Player No]],Table10[[No]:[Province]],2,0),"")</f>
        <v>GOKAL Amar</v>
      </c>
      <c r="F149" s="885" t="str">
        <f>IFERROR(VLOOKUP(Table2[[#This Row],[Player No]],Table10[[No]:[Province]],3,0),"")</f>
        <v>ETTA</v>
      </c>
      <c r="G149" s="892">
        <v>11</v>
      </c>
      <c r="H149" s="886">
        <f>(Table2[[#This Row],[Points 2025]]/2)+SUM(Table2[[#This Row],[O1  ADMIN 2026]:[P2    CAPE TOWN OPEN 2026 ]])</f>
        <v>8.5</v>
      </c>
      <c r="I149" s="880">
        <f t="shared" si="13"/>
        <v>2</v>
      </c>
      <c r="J149" s="882">
        <f t="shared" si="15"/>
        <v>0</v>
      </c>
      <c r="K149" s="887" t="s">
        <v>6083</v>
      </c>
      <c r="L149" s="887">
        <v>2</v>
      </c>
      <c r="M149" s="887">
        <v>1</v>
      </c>
      <c r="N149" s="887"/>
      <c r="O149" s="882">
        <v>2</v>
      </c>
      <c r="P149" s="882">
        <v>1</v>
      </c>
      <c r="Q149" s="888">
        <v>1</v>
      </c>
      <c r="R149" s="888">
        <v>5</v>
      </c>
      <c r="S149" s="882">
        <v>1</v>
      </c>
      <c r="T149" s="888"/>
      <c r="U149" s="882"/>
      <c r="V149" s="887"/>
      <c r="W149" s="888"/>
      <c r="X149" s="882"/>
      <c r="Y149" s="888"/>
      <c r="Z149" s="882"/>
      <c r="AA149" s="882"/>
      <c r="AB149" s="882"/>
      <c r="AC149" s="882">
        <v>2</v>
      </c>
      <c r="AD149" s="882"/>
      <c r="AE149" s="882"/>
      <c r="AF149" s="882"/>
      <c r="AG149" s="882"/>
      <c r="AH149" s="882"/>
      <c r="AI149" s="882"/>
      <c r="AJ149" s="882"/>
      <c r="AK149" s="882"/>
      <c r="AL149" s="889"/>
    </row>
    <row r="150" spans="1:38" s="890" customFormat="1">
      <c r="A150" s="882">
        <v>153</v>
      </c>
      <c r="B150" s="891">
        <f>+A150-C150</f>
        <v>7</v>
      </c>
      <c r="C150" s="882">
        <f t="shared" si="14"/>
        <v>146</v>
      </c>
      <c r="D150" s="883">
        <v>3591</v>
      </c>
      <c r="E150" s="884" t="str">
        <f>IFERROR(VLOOKUP(Table2[[#This Row],[Player No]],Table10[[No]:[Province]],2,0),"")</f>
        <v>ADAMS Muaath</v>
      </c>
      <c r="F150" s="885" t="str">
        <f>IFERROR(VLOOKUP(Table2[[#This Row],[Player No]],Table10[[No]:[Province]],3,0),"")</f>
        <v>CT</v>
      </c>
      <c r="G150" s="892">
        <v>16.75</v>
      </c>
      <c r="H150" s="886">
        <f>(Table2[[#This Row],[Points 2025]]/2)+SUM(Table2[[#This Row],[O1  ADMIN 2026]:[P2    CAPE TOWN OPEN 2026 ]])</f>
        <v>8.375</v>
      </c>
      <c r="I150" s="880">
        <f t="shared" si="13"/>
        <v>0</v>
      </c>
      <c r="J150" s="882">
        <f t="shared" si="15"/>
        <v>0</v>
      </c>
      <c r="K150" s="887" t="s">
        <v>6083</v>
      </c>
      <c r="L150" s="887" t="s">
        <v>6083</v>
      </c>
      <c r="M150" s="887" t="s">
        <v>6083</v>
      </c>
      <c r="N150" s="887"/>
      <c r="O150" s="882"/>
      <c r="P150" s="882"/>
      <c r="Q150" s="888"/>
      <c r="R150" s="888"/>
      <c r="S150" s="882"/>
      <c r="T150" s="888"/>
      <c r="U150" s="882"/>
      <c r="V150" s="887"/>
      <c r="W150" s="888"/>
      <c r="X150" s="882"/>
      <c r="Y150" s="888"/>
      <c r="Z150" s="882"/>
      <c r="AA150" s="882"/>
      <c r="AB150" s="882">
        <v>5</v>
      </c>
      <c r="AC150" s="882"/>
      <c r="AD150" s="882"/>
      <c r="AE150" s="882">
        <v>15</v>
      </c>
      <c r="AF150" s="882"/>
      <c r="AG150" s="882"/>
      <c r="AH150" s="882"/>
      <c r="AI150" s="882"/>
      <c r="AJ150" s="882"/>
      <c r="AK150" s="882"/>
      <c r="AL150" s="889"/>
    </row>
    <row r="151" spans="1:38" s="890" customFormat="1">
      <c r="A151" s="882">
        <v>88</v>
      </c>
      <c r="B151" s="891">
        <f>+A151-C151</f>
        <v>-59</v>
      </c>
      <c r="C151" s="882">
        <f t="shared" si="14"/>
        <v>147</v>
      </c>
      <c r="D151" s="883">
        <v>1220</v>
      </c>
      <c r="E151" s="884" t="str">
        <f>IFERROR(VLOOKUP(Table2[[#This Row],[Player No]],Table10[[No]:[Province]],2,0),"")</f>
        <v xml:space="preserve">MOOSA Nizaam </v>
      </c>
      <c r="F151" s="885" t="str">
        <f>IFERROR(VLOOKUP(Table2[[#This Row],[Player No]],Table10[[No]:[Province]],3,0),"")</f>
        <v>CT</v>
      </c>
      <c r="G151" s="892">
        <v>16.44140625</v>
      </c>
      <c r="H151" s="886">
        <f>(Table2[[#This Row],[Points 2025]]/2)+SUM(Table2[[#This Row],[O1  ADMIN 2026]:[P2    CAPE TOWN OPEN 2026 ]])</f>
        <v>8.220703125</v>
      </c>
      <c r="I151" s="880">
        <f t="shared" si="13"/>
        <v>0</v>
      </c>
      <c r="J151" s="882">
        <f t="shared" si="15"/>
        <v>0</v>
      </c>
      <c r="K151" s="887" t="s">
        <v>6083</v>
      </c>
      <c r="L151" s="887" t="s">
        <v>6083</v>
      </c>
      <c r="M151" s="887" t="s">
        <v>6083</v>
      </c>
      <c r="N151" s="887"/>
      <c r="O151" s="882"/>
      <c r="P151" s="882"/>
      <c r="Q151" s="888"/>
      <c r="R151" s="888" t="s">
        <v>4722</v>
      </c>
      <c r="S151" s="882"/>
      <c r="T151" s="888"/>
      <c r="U151" s="882"/>
      <c r="V151" s="887"/>
      <c r="W151" s="888"/>
      <c r="X151" s="882"/>
      <c r="Y151" s="888"/>
      <c r="Z151" s="882"/>
      <c r="AA151" s="882"/>
      <c r="AB151" s="882"/>
      <c r="AC151" s="882"/>
      <c r="AD151" s="882"/>
      <c r="AE151" s="882">
        <v>15</v>
      </c>
      <c r="AF151" s="882"/>
      <c r="AG151" s="882"/>
      <c r="AH151" s="882"/>
      <c r="AI151" s="882"/>
      <c r="AJ151" s="882"/>
      <c r="AK151" s="882"/>
      <c r="AL151" s="889"/>
    </row>
    <row r="152" spans="1:38" s="890" customFormat="1">
      <c r="A152" s="882">
        <v>55</v>
      </c>
      <c r="B152" s="891">
        <f>+A152-C152</f>
        <v>-93</v>
      </c>
      <c r="C152" s="882">
        <f t="shared" si="14"/>
        <v>148</v>
      </c>
      <c r="D152" s="883">
        <v>1047</v>
      </c>
      <c r="E152" s="884" t="str">
        <f>IFERROR(VLOOKUP(Table2[[#This Row],[Player No]],Table10[[No]:[Province]],2,0),"")</f>
        <v xml:space="preserve">ZAINEDDIN Omar </v>
      </c>
      <c r="F152" s="885" t="str">
        <f>IFERROR(VLOOKUP(Table2[[#This Row],[Player No]],Table10[[No]:[Province]],3,0),"")</f>
        <v>GN</v>
      </c>
      <c r="G152" s="892">
        <v>16.11328125</v>
      </c>
      <c r="H152" s="886">
        <f>(Table2[[#This Row],[Points 2025]]/2)+SUM(Table2[[#This Row],[O1  ADMIN 2026]:[P2    CAPE TOWN OPEN 2026 ]])</f>
        <v>8.056640625</v>
      </c>
      <c r="I152" s="880">
        <f t="shared" si="13"/>
        <v>0</v>
      </c>
      <c r="J152" s="882">
        <f t="shared" si="15"/>
        <v>0</v>
      </c>
      <c r="K152" s="887" t="s">
        <v>6083</v>
      </c>
      <c r="L152" s="887" t="s">
        <v>6083</v>
      </c>
      <c r="M152" s="887" t="s">
        <v>6083</v>
      </c>
      <c r="N152" s="887"/>
      <c r="O152" s="882"/>
      <c r="P152" s="882"/>
      <c r="Q152" s="888"/>
      <c r="R152" s="888"/>
      <c r="S152" s="882"/>
      <c r="T152" s="888"/>
      <c r="U152" s="882"/>
      <c r="V152" s="887"/>
      <c r="W152" s="888"/>
      <c r="X152" s="882"/>
      <c r="Y152" s="888"/>
      <c r="Z152" s="882">
        <v>0</v>
      </c>
      <c r="AA152" s="882"/>
      <c r="AB152" s="882"/>
      <c r="AC152" s="882"/>
      <c r="AD152" s="882"/>
      <c r="AE152" s="882"/>
      <c r="AF152" s="882"/>
      <c r="AG152" s="882"/>
      <c r="AH152" s="882"/>
      <c r="AI152" s="882"/>
      <c r="AJ152" s="882"/>
      <c r="AK152" s="882"/>
      <c r="AL152" s="889"/>
    </row>
    <row r="153" spans="1:38" s="890" customFormat="1">
      <c r="A153" s="882"/>
      <c r="B153" s="891"/>
      <c r="C153" s="882">
        <f t="shared" si="14"/>
        <v>149</v>
      </c>
      <c r="D153" s="883">
        <v>4199</v>
      </c>
      <c r="E153" s="884" t="str">
        <f>IFERROR(VLOOKUP(Table2[[#This Row],[Player No]],Table10[[No]:[Province]],2,0),"")</f>
        <v>Seth Samuel</v>
      </c>
      <c r="F153" s="885" t="str">
        <f>IFERROR(VLOOKUP(Table2[[#This Row],[Player No]],Table10[[No]:[Province]],3,0),"")</f>
        <v>UMG</v>
      </c>
      <c r="G153" s="892">
        <v>16</v>
      </c>
      <c r="H153" s="886">
        <f>(Table2[[#This Row],[Points 2025]]/2)+SUM(Table2[[#This Row],[O1  ADMIN 2026]:[P2    CAPE TOWN OPEN 2026 ]])</f>
        <v>8</v>
      </c>
      <c r="I153" s="880">
        <f t="shared" si="13"/>
        <v>0</v>
      </c>
      <c r="J153" s="882">
        <f t="shared" si="15"/>
        <v>0</v>
      </c>
      <c r="K153" s="887" t="s">
        <v>6083</v>
      </c>
      <c r="L153" s="887" t="s">
        <v>6083</v>
      </c>
      <c r="M153" s="887" t="s">
        <v>6083</v>
      </c>
      <c r="N153" s="887"/>
      <c r="O153" s="882">
        <v>15</v>
      </c>
      <c r="P153" s="882"/>
      <c r="Q153" s="888"/>
      <c r="R153" s="888"/>
      <c r="S153" s="882">
        <v>1</v>
      </c>
      <c r="T153" s="888"/>
      <c r="U153" s="882"/>
      <c r="V153" s="887"/>
      <c r="W153" s="888"/>
      <c r="X153" s="882"/>
      <c r="Y153" s="888"/>
      <c r="Z153" s="882"/>
      <c r="AA153" s="882"/>
      <c r="AB153" s="882"/>
      <c r="AC153" s="882"/>
      <c r="AD153" s="882"/>
      <c r="AE153" s="882"/>
      <c r="AF153" s="882"/>
      <c r="AG153" s="882"/>
      <c r="AH153" s="882"/>
      <c r="AI153" s="882"/>
      <c r="AJ153" s="882"/>
      <c r="AK153" s="882"/>
      <c r="AL153" s="889"/>
    </row>
    <row r="154" spans="1:38" s="890" customFormat="1">
      <c r="A154" s="882">
        <v>428</v>
      </c>
      <c r="B154" s="891">
        <f t="shared" ref="B154:B160" si="16">+A154-C154</f>
        <v>278</v>
      </c>
      <c r="C154" s="882">
        <f t="shared" si="14"/>
        <v>150</v>
      </c>
      <c r="D154" s="893">
        <v>4147</v>
      </c>
      <c r="E154" s="884" t="str">
        <f>IFERROR(VLOOKUP(Table2[[#This Row],[Player No]],Table10[[No]:[Province]],2,0),"")</f>
        <v xml:space="preserve">PHILLIPS Amien </v>
      </c>
      <c r="F154" s="885" t="str">
        <f>IFERROR(VLOOKUP(Table2[[#This Row],[Player No]],Table10[[No]:[Province]],3,0),"")</f>
        <v>CT</v>
      </c>
      <c r="G154" s="892">
        <v>15.5</v>
      </c>
      <c r="H154" s="886">
        <f>(Table2[[#This Row],[Points 2025]]/2)+SUM(Table2[[#This Row],[O1  ADMIN 2026]:[P2    CAPE TOWN OPEN 2026 ]])</f>
        <v>7.75</v>
      </c>
      <c r="I154" s="880">
        <f t="shared" si="13"/>
        <v>0</v>
      </c>
      <c r="J154" s="882">
        <f t="shared" si="15"/>
        <v>0</v>
      </c>
      <c r="K154" s="887" t="s">
        <v>6083</v>
      </c>
      <c r="L154" s="887" t="s">
        <v>6083</v>
      </c>
      <c r="M154" s="887" t="s">
        <v>6083</v>
      </c>
      <c r="N154" s="887"/>
      <c r="O154" s="882"/>
      <c r="P154" s="882"/>
      <c r="Q154" s="888"/>
      <c r="R154" s="888"/>
      <c r="S154" s="882"/>
      <c r="T154" s="888"/>
      <c r="U154" s="882"/>
      <c r="V154" s="887"/>
      <c r="W154" s="888"/>
      <c r="X154" s="882"/>
      <c r="Y154" s="888"/>
      <c r="Z154" s="882"/>
      <c r="AA154" s="882"/>
      <c r="AB154" s="882">
        <v>15</v>
      </c>
      <c r="AC154" s="882"/>
      <c r="AD154" s="882"/>
      <c r="AE154" s="882">
        <v>1</v>
      </c>
      <c r="AF154" s="882"/>
      <c r="AG154" s="882"/>
      <c r="AH154" s="882"/>
      <c r="AI154" s="882"/>
      <c r="AJ154" s="882"/>
      <c r="AK154" s="882"/>
      <c r="AL154" s="889"/>
    </row>
    <row r="155" spans="1:38" s="890" customFormat="1">
      <c r="A155" s="882">
        <v>119</v>
      </c>
      <c r="B155" s="891">
        <f t="shared" si="16"/>
        <v>-32</v>
      </c>
      <c r="C155" s="882">
        <f t="shared" si="14"/>
        <v>151</v>
      </c>
      <c r="D155" s="883">
        <v>1079</v>
      </c>
      <c r="E155" s="884" t="str">
        <f>IFERROR(VLOOKUP(Table2[[#This Row],[Player No]],Table10[[No]:[Province]],2,0),"")</f>
        <v xml:space="preserve">FITZGIBBON Timothy </v>
      </c>
      <c r="F155" s="885" t="str">
        <f>IFERROR(VLOOKUP(Table2[[#This Row],[Player No]],Table10[[No]:[Province]],3,0),"")</f>
        <v>CT</v>
      </c>
      <c r="G155" s="892">
        <v>15.30859375</v>
      </c>
      <c r="H155" s="886">
        <f>(Table2[[#This Row],[Points 2025]]/2)+SUM(Table2[[#This Row],[O1  ADMIN 2026]:[P2    CAPE TOWN OPEN 2026 ]])</f>
        <v>7.654296875</v>
      </c>
      <c r="I155" s="880">
        <f t="shared" si="13"/>
        <v>0</v>
      </c>
      <c r="J155" s="882">
        <f t="shared" si="15"/>
        <v>0</v>
      </c>
      <c r="K155" s="887" t="s">
        <v>6083</v>
      </c>
      <c r="L155" s="887" t="s">
        <v>6083</v>
      </c>
      <c r="M155" s="887" t="s">
        <v>6083</v>
      </c>
      <c r="N155" s="887"/>
      <c r="O155" s="882"/>
      <c r="P155" s="882"/>
      <c r="Q155" s="888"/>
      <c r="R155" s="888"/>
      <c r="S155" s="882"/>
      <c r="T155" s="888"/>
      <c r="U155" s="882"/>
      <c r="V155" s="887"/>
      <c r="W155" s="888">
        <v>7</v>
      </c>
      <c r="X155" s="882"/>
      <c r="Y155" s="888"/>
      <c r="Z155" s="882"/>
      <c r="AA155" s="882"/>
      <c r="AB155" s="882"/>
      <c r="AC155" s="882"/>
      <c r="AD155" s="882"/>
      <c r="AE155" s="882">
        <v>3</v>
      </c>
      <c r="AF155" s="882"/>
      <c r="AG155" s="882"/>
      <c r="AH155" s="882"/>
      <c r="AI155" s="882"/>
      <c r="AJ155" s="882"/>
      <c r="AK155" s="882"/>
      <c r="AL155" s="889"/>
    </row>
    <row r="156" spans="1:38" s="890" customFormat="1">
      <c r="A156" s="882">
        <v>25</v>
      </c>
      <c r="B156" s="891">
        <f t="shared" si="16"/>
        <v>-127</v>
      </c>
      <c r="C156" s="882">
        <f t="shared" si="14"/>
        <v>152</v>
      </c>
      <c r="D156" s="883">
        <v>1327</v>
      </c>
      <c r="E156" s="884" t="str">
        <f>IFERROR(VLOOKUP(Table2[[#This Row],[Player No]],Table10[[No]:[Province]],2,0),"")</f>
        <v xml:space="preserve">NCUNCU Indiphile </v>
      </c>
      <c r="F156" s="885" t="str">
        <f>IFERROR(VLOOKUP(Table2[[#This Row],[Player No]],Table10[[No]:[Province]],3,0),"")</f>
        <v>EC</v>
      </c>
      <c r="G156" s="892">
        <v>15</v>
      </c>
      <c r="H156" s="886">
        <f>(Table2[[#This Row],[Points 2025]]/2)+SUM(Table2[[#This Row],[O1  ADMIN 2026]:[P2    CAPE TOWN OPEN 2026 ]])</f>
        <v>7.5</v>
      </c>
      <c r="I156" s="880">
        <f t="shared" si="13"/>
        <v>0</v>
      </c>
      <c r="J156" s="882">
        <f t="shared" si="15"/>
        <v>0</v>
      </c>
      <c r="K156" s="887" t="s">
        <v>6083</v>
      </c>
      <c r="L156" s="887" t="s">
        <v>6083</v>
      </c>
      <c r="M156" s="887" t="s">
        <v>6083</v>
      </c>
      <c r="N156" s="887"/>
      <c r="O156" s="882"/>
      <c r="P156" s="882"/>
      <c r="Q156" s="888"/>
      <c r="R156" s="888"/>
      <c r="S156" s="882"/>
      <c r="T156" s="888"/>
      <c r="U156" s="882"/>
      <c r="V156" s="887"/>
      <c r="W156" s="888"/>
      <c r="X156" s="882"/>
      <c r="Y156" s="888"/>
      <c r="Z156" s="882"/>
      <c r="AA156" s="882"/>
      <c r="AB156" s="882"/>
      <c r="AC156" s="882"/>
      <c r="AD156" s="882"/>
      <c r="AE156" s="882"/>
      <c r="AF156" s="882"/>
      <c r="AG156" s="882"/>
      <c r="AH156" s="882"/>
      <c r="AI156" s="882">
        <v>5</v>
      </c>
      <c r="AJ156" s="882">
        <v>25</v>
      </c>
      <c r="AK156" s="882"/>
      <c r="AL156" s="889"/>
    </row>
    <row r="157" spans="1:38" s="890" customFormat="1">
      <c r="A157" s="882">
        <v>905</v>
      </c>
      <c r="B157" s="891">
        <f t="shared" si="16"/>
        <v>752</v>
      </c>
      <c r="C157" s="882">
        <f t="shared" si="14"/>
        <v>153</v>
      </c>
      <c r="D157" s="883">
        <v>1979</v>
      </c>
      <c r="E157" s="884" t="str">
        <f>IFERROR(VLOOKUP(Table2[[#This Row],[Player No]],Table10[[No]:[Province]],2,0),"")</f>
        <v>Hans Devon</v>
      </c>
      <c r="F157" s="885" t="str">
        <f>IFERROR(VLOOKUP(Table2[[#This Row],[Player No]],Table10[[No]:[Province]],3,0),"")</f>
        <v>EDEN</v>
      </c>
      <c r="G157" s="892">
        <v>15</v>
      </c>
      <c r="H157" s="886">
        <f>(Table2[[#This Row],[Points 2025]]/2)+SUM(Table2[[#This Row],[O1  ADMIN 2026]:[P2    CAPE TOWN OPEN 2026 ]])</f>
        <v>7.5</v>
      </c>
      <c r="I157" s="880">
        <f t="shared" si="13"/>
        <v>0</v>
      </c>
      <c r="J157" s="882">
        <f t="shared" si="15"/>
        <v>0</v>
      </c>
      <c r="K157" s="887" t="s">
        <v>6083</v>
      </c>
      <c r="L157" s="887" t="s">
        <v>6083</v>
      </c>
      <c r="M157" s="887" t="s">
        <v>6083</v>
      </c>
      <c r="N157" s="887"/>
      <c r="O157" s="882"/>
      <c r="P157" s="882"/>
      <c r="Q157" s="888"/>
      <c r="R157" s="888"/>
      <c r="S157" s="882"/>
      <c r="T157" s="888"/>
      <c r="U157" s="882"/>
      <c r="V157" s="887"/>
      <c r="W157" s="888"/>
      <c r="X157" s="882"/>
      <c r="Y157" s="888"/>
      <c r="Z157" s="882"/>
      <c r="AA157" s="882"/>
      <c r="AB157" s="882"/>
      <c r="AC157" s="882"/>
      <c r="AD157" s="882"/>
      <c r="AE157" s="882"/>
      <c r="AF157" s="882">
        <v>5</v>
      </c>
      <c r="AG157" s="882">
        <v>25</v>
      </c>
      <c r="AH157" s="882"/>
      <c r="AI157" s="882"/>
      <c r="AJ157" s="882"/>
      <c r="AK157" s="882"/>
      <c r="AL157" s="889"/>
    </row>
    <row r="158" spans="1:38" s="890" customFormat="1">
      <c r="A158" s="882">
        <v>64</v>
      </c>
      <c r="B158" s="891">
        <f t="shared" si="16"/>
        <v>-90</v>
      </c>
      <c r="C158" s="882">
        <f t="shared" si="14"/>
        <v>154</v>
      </c>
      <c r="D158" s="883">
        <v>2096</v>
      </c>
      <c r="E158" s="884" t="str">
        <f>IFERROR(VLOOKUP(Table2[[#This Row],[Player No]],Table10[[No]:[Province]],2,0),"")</f>
        <v>NAIDOO Pravalan</v>
      </c>
      <c r="F158" s="885" t="str">
        <f>IFERROR(VLOOKUP(Table2[[#This Row],[Player No]],Table10[[No]:[Province]],3,0),"")</f>
        <v>UMG</v>
      </c>
      <c r="G158" s="892">
        <v>15</v>
      </c>
      <c r="H158" s="886">
        <f>(Table2[[#This Row],[Points 2025]]/2)+SUM(Table2[[#This Row],[O1  ADMIN 2026]:[P2    CAPE TOWN OPEN 2026 ]])</f>
        <v>7.5</v>
      </c>
      <c r="I158" s="880">
        <f t="shared" si="13"/>
        <v>0</v>
      </c>
      <c r="J158" s="882">
        <f t="shared" si="15"/>
        <v>0</v>
      </c>
      <c r="K158" s="887" t="s">
        <v>6083</v>
      </c>
      <c r="L158" s="887" t="s">
        <v>6083</v>
      </c>
      <c r="M158" s="887" t="s">
        <v>6083</v>
      </c>
      <c r="N158" s="887"/>
      <c r="O158" s="882">
        <v>2</v>
      </c>
      <c r="P158" s="882"/>
      <c r="Q158" s="888"/>
      <c r="R158" s="888"/>
      <c r="S158" s="882"/>
      <c r="T158" s="888"/>
      <c r="U158" s="882"/>
      <c r="V158" s="887"/>
      <c r="W158" s="888"/>
      <c r="X158" s="882"/>
      <c r="Y158" s="888"/>
      <c r="Z158" s="882"/>
      <c r="AA158" s="882"/>
      <c r="AB158" s="882"/>
      <c r="AC158" s="882">
        <v>15</v>
      </c>
      <c r="AD158" s="882">
        <v>10</v>
      </c>
      <c r="AE158" s="882"/>
      <c r="AF158" s="882"/>
      <c r="AG158" s="882"/>
      <c r="AH158" s="882"/>
      <c r="AI158" s="882">
        <f>5-5</f>
        <v>0</v>
      </c>
      <c r="AJ158" s="882"/>
      <c r="AK158" s="882"/>
      <c r="AL158" s="889"/>
    </row>
    <row r="159" spans="1:38" s="890" customFormat="1">
      <c r="A159" s="882">
        <v>207</v>
      </c>
      <c r="B159" s="891">
        <f t="shared" si="16"/>
        <v>52</v>
      </c>
      <c r="C159" s="882">
        <f t="shared" si="14"/>
        <v>155</v>
      </c>
      <c r="D159" s="883">
        <v>3701</v>
      </c>
      <c r="E159" s="884" t="str">
        <f>IFERROR(VLOOKUP(Table2[[#This Row],[Player No]],Table10[[No]:[Province]],2,0),"")</f>
        <v>NACKERDIEN Zahrier</v>
      </c>
      <c r="F159" s="885" t="str">
        <f>IFERROR(VLOOKUP(Table2[[#This Row],[Player No]],Table10[[No]:[Province]],3,0),"")</f>
        <v>CW</v>
      </c>
      <c r="G159" s="892">
        <v>15</v>
      </c>
      <c r="H159" s="886">
        <f>(Table2[[#This Row],[Points 2025]]/2)+SUM(Table2[[#This Row],[O1  ADMIN 2026]:[P2    CAPE TOWN OPEN 2026 ]])</f>
        <v>7.5</v>
      </c>
      <c r="I159" s="880">
        <f t="shared" si="13"/>
        <v>0</v>
      </c>
      <c r="J159" s="882">
        <f t="shared" si="15"/>
        <v>0</v>
      </c>
      <c r="K159" s="887" t="s">
        <v>6083</v>
      </c>
      <c r="L159" s="887" t="s">
        <v>6083</v>
      </c>
      <c r="M159" s="887" t="s">
        <v>6083</v>
      </c>
      <c r="N159" s="887"/>
      <c r="O159" s="882"/>
      <c r="P159" s="882"/>
      <c r="Q159" s="888"/>
      <c r="R159" s="888"/>
      <c r="S159" s="882"/>
      <c r="T159" s="888"/>
      <c r="U159" s="882"/>
      <c r="V159" s="887"/>
      <c r="W159" s="888"/>
      <c r="X159" s="882"/>
      <c r="Y159" s="888"/>
      <c r="Z159" s="882"/>
      <c r="AA159" s="882"/>
      <c r="AB159" s="882">
        <v>5</v>
      </c>
      <c r="AC159" s="882"/>
      <c r="AD159" s="882"/>
      <c r="AE159" s="882"/>
      <c r="AF159" s="882">
        <v>15</v>
      </c>
      <c r="AG159" s="882"/>
      <c r="AH159" s="882"/>
      <c r="AI159" s="882"/>
      <c r="AJ159" s="882"/>
      <c r="AK159" s="882"/>
      <c r="AL159" s="889"/>
    </row>
    <row r="160" spans="1:38" s="890" customFormat="1">
      <c r="A160" s="882">
        <v>125</v>
      </c>
      <c r="B160" s="891">
        <f t="shared" si="16"/>
        <v>-31</v>
      </c>
      <c r="C160" s="882">
        <f t="shared" si="14"/>
        <v>156</v>
      </c>
      <c r="D160" s="883">
        <v>3400</v>
      </c>
      <c r="E160" s="884" t="str">
        <f>IFERROR(VLOOKUP(Table2[[#This Row],[Player No]],Table10[[No]:[Province]],2,0),"")</f>
        <v>SHANGASE Fundokuhle</v>
      </c>
      <c r="F160" s="885" t="str">
        <f>IFERROR(VLOOKUP(Table2[[#This Row],[Player No]],Table10[[No]:[Province]],3,0),"")</f>
        <v xml:space="preserve">JTTA </v>
      </c>
      <c r="G160" s="892">
        <v>14.75</v>
      </c>
      <c r="H160" s="886">
        <f>(Table2[[#This Row],[Points 2025]]/2)+SUM(Table2[[#This Row],[O1  ADMIN 2026]:[P2    CAPE TOWN OPEN 2026 ]])</f>
        <v>7.375</v>
      </c>
      <c r="I160" s="880">
        <f t="shared" si="13"/>
        <v>0</v>
      </c>
      <c r="J160" s="882">
        <f t="shared" si="15"/>
        <v>0</v>
      </c>
      <c r="K160" s="887" t="s">
        <v>6083</v>
      </c>
      <c r="L160" s="887" t="s">
        <v>6083</v>
      </c>
      <c r="M160" s="887" t="s">
        <v>6083</v>
      </c>
      <c r="N160" s="887"/>
      <c r="O160" s="882"/>
      <c r="P160" s="882"/>
      <c r="Q160" s="888"/>
      <c r="R160" s="888"/>
      <c r="S160" s="882"/>
      <c r="T160" s="888"/>
      <c r="U160" s="882"/>
      <c r="V160" s="887"/>
      <c r="W160" s="888"/>
      <c r="X160" s="882">
        <v>1</v>
      </c>
      <c r="Y160" s="888"/>
      <c r="Z160" s="882"/>
      <c r="AA160" s="882"/>
      <c r="AB160" s="882"/>
      <c r="AC160" s="882"/>
      <c r="AD160" s="882"/>
      <c r="AE160" s="882"/>
      <c r="AF160" s="882"/>
      <c r="AG160" s="882"/>
      <c r="AH160" s="882">
        <v>15</v>
      </c>
      <c r="AI160" s="882"/>
      <c r="AJ160" s="882"/>
      <c r="AK160" s="882"/>
      <c r="AL160" s="889"/>
    </row>
    <row r="161" spans="1:38" s="890" customFormat="1">
      <c r="A161" s="882"/>
      <c r="B161" s="891"/>
      <c r="C161" s="882">
        <f t="shared" si="14"/>
        <v>157</v>
      </c>
      <c r="D161" s="883">
        <v>4310</v>
      </c>
      <c r="E161" s="884" t="str">
        <f>IFERROR(VLOOKUP(Table2[[#This Row],[Player No]],Table10[[No]:[Province]],2,0),"")</f>
        <v xml:space="preserve">RAFUBE William </v>
      </c>
      <c r="F161" s="885" t="str">
        <f>IFERROR(VLOOKUP(Table2[[#This Row],[Player No]],Table10[[No]:[Province]],3,0),"")</f>
        <v>FS</v>
      </c>
      <c r="G161" s="892">
        <v>10.5</v>
      </c>
      <c r="H161" s="886">
        <f>(Table2[[#This Row],[Points 2025]]/2)+SUM(Table2[[#This Row],[O1  ADMIN 2026]:[P2    CAPE TOWN OPEN 2026 ]])</f>
        <v>7.25</v>
      </c>
      <c r="I161" s="880">
        <f t="shared" si="13"/>
        <v>1</v>
      </c>
      <c r="J161" s="882">
        <f t="shared" si="15"/>
        <v>0</v>
      </c>
      <c r="K161" s="887">
        <v>2</v>
      </c>
      <c r="L161" s="887" t="s">
        <v>6083</v>
      </c>
      <c r="M161" s="887" t="s">
        <v>6083</v>
      </c>
      <c r="N161" s="887"/>
      <c r="O161" s="882"/>
      <c r="P161" s="882"/>
      <c r="Q161" s="888"/>
      <c r="R161" s="888"/>
      <c r="S161" s="882"/>
      <c r="T161" s="888"/>
      <c r="U161" s="882">
        <v>7.5</v>
      </c>
      <c r="V161" s="887"/>
      <c r="W161" s="888"/>
      <c r="X161" s="882"/>
      <c r="Y161" s="888"/>
      <c r="Z161" s="882">
        <v>3</v>
      </c>
      <c r="AA161" s="882"/>
      <c r="AB161" s="882"/>
      <c r="AC161" s="882"/>
      <c r="AD161" s="882"/>
      <c r="AE161" s="882"/>
      <c r="AF161" s="882"/>
      <c r="AG161" s="882"/>
      <c r="AH161" s="882"/>
      <c r="AI161" s="882"/>
      <c r="AJ161" s="882"/>
      <c r="AK161" s="882"/>
      <c r="AL161" s="889"/>
    </row>
    <row r="162" spans="1:38" s="890" customFormat="1">
      <c r="A162" s="882"/>
      <c r="B162" s="891"/>
      <c r="C162" s="882">
        <f t="shared" si="14"/>
        <v>158</v>
      </c>
      <c r="D162" s="883">
        <v>2614</v>
      </c>
      <c r="E162" s="884" t="str">
        <f>IFERROR(VLOOKUP(Table2[[#This Row],[Player No]],Table10[[No]:[Province]],2,0),"")</f>
        <v>INCE Sloan</v>
      </c>
      <c r="F162" s="885" t="str">
        <f>IFERROR(VLOOKUP(Table2[[#This Row],[Player No]],Table10[[No]:[Province]],3,0),"")</f>
        <v>UMG</v>
      </c>
      <c r="G162" s="892">
        <v>6</v>
      </c>
      <c r="H162" s="886">
        <f>(Table2[[#This Row],[Points 2025]]/2)+SUM(Table2[[#This Row],[O1  ADMIN 2026]:[P2    CAPE TOWN OPEN 2026 ]])</f>
        <v>7</v>
      </c>
      <c r="I162" s="880">
        <f t="shared" si="13"/>
        <v>2</v>
      </c>
      <c r="J162" s="882">
        <f t="shared" si="15"/>
        <v>0</v>
      </c>
      <c r="K162" s="887" t="s">
        <v>6083</v>
      </c>
      <c r="L162" s="887">
        <v>2</v>
      </c>
      <c r="M162" s="887">
        <v>2</v>
      </c>
      <c r="N162" s="887"/>
      <c r="O162" s="882">
        <v>2</v>
      </c>
      <c r="P162" s="882">
        <v>2</v>
      </c>
      <c r="Q162" s="888">
        <v>1</v>
      </c>
      <c r="R162" s="888">
        <v>1</v>
      </c>
      <c r="S162" s="882"/>
      <c r="T162" s="888"/>
      <c r="U162" s="882"/>
      <c r="V162" s="887"/>
      <c r="W162" s="888"/>
      <c r="X162" s="882"/>
      <c r="Y162" s="888"/>
      <c r="Z162" s="882"/>
      <c r="AA162" s="882"/>
      <c r="AB162" s="882"/>
      <c r="AC162" s="882"/>
      <c r="AD162" s="882"/>
      <c r="AE162" s="882"/>
      <c r="AF162" s="882"/>
      <c r="AG162" s="882"/>
      <c r="AH162" s="882"/>
      <c r="AI162" s="882"/>
      <c r="AJ162" s="882"/>
      <c r="AK162" s="882"/>
      <c r="AL162" s="889"/>
    </row>
    <row r="163" spans="1:38" s="890" customFormat="1">
      <c r="A163" s="882">
        <v>74</v>
      </c>
      <c r="B163" s="891">
        <f t="shared" ref="B163:B169" si="17">+A163-C163</f>
        <v>-85</v>
      </c>
      <c r="C163" s="882">
        <f t="shared" si="14"/>
        <v>159</v>
      </c>
      <c r="D163" s="883">
        <v>3179</v>
      </c>
      <c r="E163" s="884" t="str">
        <f>IFERROR(VLOOKUP(Table2[[#This Row],[Player No]],Table10[[No]:[Province]],2,0),"")</f>
        <v>KATS Ruan</v>
      </c>
      <c r="F163" s="885" t="str">
        <f>IFERROR(VLOOKUP(Table2[[#This Row],[Player No]],Table10[[No]:[Province]],3,0),"")</f>
        <v>GN</v>
      </c>
      <c r="G163" s="892">
        <v>13.78125</v>
      </c>
      <c r="H163" s="886">
        <f>(Table2[[#This Row],[Points 2025]]/2)+SUM(Table2[[#This Row],[O1  ADMIN 2026]:[P2    CAPE TOWN OPEN 2026 ]])</f>
        <v>6.890625</v>
      </c>
      <c r="I163" s="880">
        <f t="shared" si="13"/>
        <v>0</v>
      </c>
      <c r="J163" s="882">
        <f t="shared" si="15"/>
        <v>0</v>
      </c>
      <c r="K163" s="887" t="s">
        <v>6083</v>
      </c>
      <c r="L163" s="887" t="s">
        <v>6083</v>
      </c>
      <c r="M163" s="887" t="s">
        <v>6083</v>
      </c>
      <c r="N163" s="887"/>
      <c r="O163" s="882"/>
      <c r="P163" s="882"/>
      <c r="Q163" s="888"/>
      <c r="R163" s="888"/>
      <c r="S163" s="882"/>
      <c r="T163" s="888"/>
      <c r="U163" s="882"/>
      <c r="V163" s="887"/>
      <c r="W163" s="888"/>
      <c r="X163" s="882"/>
      <c r="Y163" s="888"/>
      <c r="Z163" s="882"/>
      <c r="AA163" s="882"/>
      <c r="AB163" s="882"/>
      <c r="AC163" s="882"/>
      <c r="AD163" s="882"/>
      <c r="AE163" s="882"/>
      <c r="AF163" s="882"/>
      <c r="AG163" s="882"/>
      <c r="AH163" s="882"/>
      <c r="AI163" s="882">
        <v>5</v>
      </c>
      <c r="AJ163" s="882">
        <v>15</v>
      </c>
      <c r="AK163" s="882"/>
      <c r="AL163" s="889"/>
    </row>
    <row r="164" spans="1:38" s="890" customFormat="1">
      <c r="A164" s="882">
        <v>60</v>
      </c>
      <c r="B164" s="891">
        <f t="shared" si="17"/>
        <v>-100</v>
      </c>
      <c r="C164" s="882">
        <f t="shared" si="14"/>
        <v>160</v>
      </c>
      <c r="D164" s="883">
        <v>1982</v>
      </c>
      <c r="E164" s="884" t="str">
        <f>IFERROR(VLOOKUP(Table2[[#This Row],[Player No]],Table10[[No]:[Province]],2,0),"")</f>
        <v>SATHYANAND Sherwin</v>
      </c>
      <c r="F164" s="885" t="str">
        <f>IFERROR(VLOOKUP(Table2[[#This Row],[Player No]],Table10[[No]:[Province]],3,0),"")</f>
        <v>ETTA</v>
      </c>
      <c r="G164" s="892">
        <v>13.75</v>
      </c>
      <c r="H164" s="886">
        <f>(Table2[[#This Row],[Points 2025]]/2)+SUM(Table2[[#This Row],[O1  ADMIN 2026]:[P2    CAPE TOWN OPEN 2026 ]])</f>
        <v>6.875</v>
      </c>
      <c r="I164" s="880">
        <f t="shared" si="13"/>
        <v>0</v>
      </c>
      <c r="J164" s="882">
        <f t="shared" si="15"/>
        <v>0</v>
      </c>
      <c r="K164" s="887" t="s">
        <v>6083</v>
      </c>
      <c r="L164" s="887" t="s">
        <v>6083</v>
      </c>
      <c r="M164" s="887" t="s">
        <v>6083</v>
      </c>
      <c r="N164" s="887"/>
      <c r="O164" s="882"/>
      <c r="P164" s="882"/>
      <c r="Q164" s="888"/>
      <c r="R164" s="888"/>
      <c r="S164" s="882"/>
      <c r="T164" s="888"/>
      <c r="U164" s="882"/>
      <c r="V164" s="887"/>
      <c r="W164" s="888"/>
      <c r="X164" s="882"/>
      <c r="Y164" s="888"/>
      <c r="Z164" s="882"/>
      <c r="AA164" s="882"/>
      <c r="AB164" s="882"/>
      <c r="AC164" s="882">
        <v>25</v>
      </c>
      <c r="AD164" s="882"/>
      <c r="AE164" s="882"/>
      <c r="AF164" s="882"/>
      <c r="AG164" s="882"/>
      <c r="AH164" s="882"/>
      <c r="AI164" s="882"/>
      <c r="AJ164" s="882"/>
      <c r="AK164" s="882"/>
      <c r="AL164" s="889"/>
    </row>
    <row r="165" spans="1:38" s="890" customFormat="1">
      <c r="A165" s="882">
        <v>226</v>
      </c>
      <c r="B165" s="891">
        <f t="shared" si="17"/>
        <v>65</v>
      </c>
      <c r="C165" s="882">
        <f t="shared" si="14"/>
        <v>161</v>
      </c>
      <c r="D165" s="883">
        <v>3291</v>
      </c>
      <c r="E165" s="884" t="str">
        <f>IFERROR(VLOOKUP(Table2[[#This Row],[Player No]],Table10[[No]:[Province]],2,0),"")</f>
        <v>CHAN Mubeen</v>
      </c>
      <c r="F165" s="885" t="str">
        <f>IFERROR(VLOOKUP(Table2[[#This Row],[Player No]],Table10[[No]:[Province]],3,0),"")</f>
        <v>JTTA</v>
      </c>
      <c r="G165" s="892">
        <v>13.6953125</v>
      </c>
      <c r="H165" s="886">
        <f>(Table2[[#This Row],[Points 2025]]/2)+SUM(Table2[[#This Row],[O1  ADMIN 2026]:[P2    CAPE TOWN OPEN 2026 ]])</f>
        <v>6.84765625</v>
      </c>
      <c r="I165" s="880">
        <f t="shared" si="13"/>
        <v>0</v>
      </c>
      <c r="J165" s="882">
        <f t="shared" si="15"/>
        <v>0</v>
      </c>
      <c r="K165" s="887" t="s">
        <v>6083</v>
      </c>
      <c r="L165" s="887" t="s">
        <v>6083</v>
      </c>
      <c r="M165" s="887" t="s">
        <v>6083</v>
      </c>
      <c r="N165" s="887"/>
      <c r="O165" s="882"/>
      <c r="P165" s="882"/>
      <c r="Q165" s="888"/>
      <c r="R165" s="888"/>
      <c r="S165" s="882"/>
      <c r="T165" s="888"/>
      <c r="U165" s="882"/>
      <c r="V165" s="887"/>
      <c r="W165" s="888"/>
      <c r="X165" s="882"/>
      <c r="Y165" s="888">
        <v>2</v>
      </c>
      <c r="Z165" s="882"/>
      <c r="AA165" s="882">
        <v>7.5</v>
      </c>
      <c r="AB165" s="882"/>
      <c r="AC165" s="882"/>
      <c r="AD165" s="882"/>
      <c r="AE165" s="882"/>
      <c r="AF165" s="882"/>
      <c r="AG165" s="882"/>
      <c r="AH165" s="882">
        <v>2</v>
      </c>
      <c r="AI165" s="882">
        <v>2</v>
      </c>
      <c r="AJ165" s="882"/>
      <c r="AK165" s="882"/>
      <c r="AL165" s="889"/>
    </row>
    <row r="166" spans="1:38" s="890" customFormat="1">
      <c r="A166" s="882">
        <v>129</v>
      </c>
      <c r="B166" s="891">
        <f t="shared" si="17"/>
        <v>-33</v>
      </c>
      <c r="C166" s="882">
        <f t="shared" si="14"/>
        <v>162</v>
      </c>
      <c r="D166" s="883">
        <v>2277</v>
      </c>
      <c r="E166" s="884" t="str">
        <f>IFERROR(VLOOKUP(Table2[[#This Row],[Player No]],Table10[[No]:[Province]],2,0),"")</f>
        <v>HAJEE Mubeen</v>
      </c>
      <c r="F166" s="885" t="str">
        <f>IFERROR(VLOOKUP(Table2[[#This Row],[Player No]],Table10[[No]:[Province]],3,0),"")</f>
        <v>JTTA</v>
      </c>
      <c r="G166" s="892">
        <v>13.2578125</v>
      </c>
      <c r="H166" s="886">
        <f>(Table2[[#This Row],[Points 2025]]/2)+SUM(Table2[[#This Row],[O1  ADMIN 2026]:[P2    CAPE TOWN OPEN 2026 ]])</f>
        <v>6.62890625</v>
      </c>
      <c r="I166" s="880">
        <f t="shared" si="13"/>
        <v>0</v>
      </c>
      <c r="J166" s="882">
        <f t="shared" si="15"/>
        <v>0</v>
      </c>
      <c r="K166" s="887" t="s">
        <v>6083</v>
      </c>
      <c r="L166" s="887" t="s">
        <v>6083</v>
      </c>
      <c r="M166" s="887" t="s">
        <v>6083</v>
      </c>
      <c r="N166" s="887"/>
      <c r="O166" s="882"/>
      <c r="P166" s="882"/>
      <c r="Q166" s="888"/>
      <c r="R166" s="888"/>
      <c r="S166" s="882"/>
      <c r="T166" s="888"/>
      <c r="U166" s="882"/>
      <c r="V166" s="887"/>
      <c r="W166" s="888"/>
      <c r="X166" s="882"/>
      <c r="Y166" s="888">
        <v>2</v>
      </c>
      <c r="Z166" s="882">
        <v>3</v>
      </c>
      <c r="AA166" s="882"/>
      <c r="AB166" s="882"/>
      <c r="AC166" s="882"/>
      <c r="AD166" s="882"/>
      <c r="AE166" s="882"/>
      <c r="AF166" s="882"/>
      <c r="AG166" s="882"/>
      <c r="AH166" s="882"/>
      <c r="AI166" s="882">
        <v>5</v>
      </c>
      <c r="AJ166" s="882"/>
      <c r="AK166" s="882"/>
      <c r="AL166" s="889"/>
    </row>
    <row r="167" spans="1:38" s="890" customFormat="1">
      <c r="A167" s="882">
        <v>236</v>
      </c>
      <c r="B167" s="891">
        <f t="shared" si="17"/>
        <v>73</v>
      </c>
      <c r="C167" s="882">
        <f t="shared" si="14"/>
        <v>163</v>
      </c>
      <c r="D167" s="883">
        <v>3500</v>
      </c>
      <c r="E167" s="884" t="str">
        <f>IFERROR(VLOOKUP(Table2[[#This Row],[Player No]],Table10[[No]:[Province]],2,0),"")</f>
        <v>PILLAY Sishen</v>
      </c>
      <c r="F167" s="885" t="str">
        <f>IFERROR(VLOOKUP(Table2[[#This Row],[Player No]],Table10[[No]:[Province]],3,0),"")</f>
        <v>UMG</v>
      </c>
      <c r="G167" s="892">
        <v>13</v>
      </c>
      <c r="H167" s="886">
        <f>(Table2[[#This Row],[Points 2025]]/2)+SUM(Table2[[#This Row],[O1  ADMIN 2026]:[P2    CAPE TOWN OPEN 2026 ]])</f>
        <v>6.5</v>
      </c>
      <c r="I167" s="880">
        <f t="shared" si="13"/>
        <v>0</v>
      </c>
      <c r="J167" s="882">
        <f t="shared" si="15"/>
        <v>0</v>
      </c>
      <c r="K167" s="887" t="s">
        <v>6083</v>
      </c>
      <c r="L167" s="887" t="s">
        <v>6083</v>
      </c>
      <c r="M167" s="887" t="s">
        <v>6083</v>
      </c>
      <c r="N167" s="887"/>
      <c r="O167" s="882">
        <v>2</v>
      </c>
      <c r="P167" s="882">
        <v>1</v>
      </c>
      <c r="Q167" s="888">
        <v>2</v>
      </c>
      <c r="R167" s="888">
        <v>5</v>
      </c>
      <c r="S167" s="882">
        <v>1</v>
      </c>
      <c r="T167" s="888"/>
      <c r="U167" s="882"/>
      <c r="V167" s="887"/>
      <c r="W167" s="888"/>
      <c r="X167" s="882"/>
      <c r="Y167" s="888"/>
      <c r="Z167" s="882"/>
      <c r="AA167" s="882"/>
      <c r="AB167" s="882"/>
      <c r="AC167" s="882">
        <v>2</v>
      </c>
      <c r="AD167" s="882">
        <v>1</v>
      </c>
      <c r="AE167" s="882"/>
      <c r="AF167" s="882"/>
      <c r="AG167" s="882"/>
      <c r="AH167" s="882"/>
      <c r="AI167" s="882"/>
      <c r="AJ167" s="882"/>
      <c r="AK167" s="882"/>
      <c r="AL167" s="889"/>
    </row>
    <row r="168" spans="1:38" s="890" customFormat="1">
      <c r="A168" s="882">
        <v>203</v>
      </c>
      <c r="B168" s="891">
        <f t="shared" si="17"/>
        <v>39</v>
      </c>
      <c r="C168" s="882">
        <f t="shared" si="14"/>
        <v>164</v>
      </c>
      <c r="D168" s="883">
        <v>1344</v>
      </c>
      <c r="E168" s="884" t="str">
        <f>IFERROR(VLOOKUP(Table2[[#This Row],[Player No]],Table10[[No]:[Province]],2,0),"")</f>
        <v xml:space="preserve">MAFOO Tshepo </v>
      </c>
      <c r="F168" s="885" t="str">
        <f>IFERROR(VLOOKUP(Table2[[#This Row],[Player No]],Table10[[No]:[Province]],3,0),"")</f>
        <v>LIM</v>
      </c>
      <c r="G168" s="892">
        <v>12.625</v>
      </c>
      <c r="H168" s="886">
        <f>(Table2[[#This Row],[Points 2025]]/2)+SUM(Table2[[#This Row],[O1  ADMIN 2026]:[P2    CAPE TOWN OPEN 2026 ]])</f>
        <v>6.3125</v>
      </c>
      <c r="I168" s="880">
        <f t="shared" si="13"/>
        <v>0</v>
      </c>
      <c r="J168" s="882">
        <f t="shared" si="15"/>
        <v>0</v>
      </c>
      <c r="K168" s="887" t="s">
        <v>6083</v>
      </c>
      <c r="L168" s="887" t="s">
        <v>6083</v>
      </c>
      <c r="M168" s="887" t="s">
        <v>6083</v>
      </c>
      <c r="N168" s="887"/>
      <c r="O168" s="882"/>
      <c r="P168" s="882"/>
      <c r="Q168" s="888"/>
      <c r="R168" s="888"/>
      <c r="S168" s="882"/>
      <c r="T168" s="888"/>
      <c r="U168" s="882"/>
      <c r="V168" s="887"/>
      <c r="W168" s="888">
        <v>5</v>
      </c>
      <c r="X168" s="882"/>
      <c r="Y168" s="888"/>
      <c r="Z168" s="882"/>
      <c r="AA168" s="882"/>
      <c r="AB168" s="882"/>
      <c r="AC168" s="882"/>
      <c r="AD168" s="882"/>
      <c r="AE168" s="882"/>
      <c r="AF168" s="882"/>
      <c r="AG168" s="882">
        <v>10</v>
      </c>
      <c r="AH168" s="882"/>
      <c r="AI168" s="882"/>
      <c r="AJ168" s="882"/>
      <c r="AK168" s="882"/>
      <c r="AL168" s="889"/>
    </row>
    <row r="169" spans="1:38" s="890" customFormat="1">
      <c r="A169" s="882">
        <v>700</v>
      </c>
      <c r="B169" s="891">
        <f t="shared" si="17"/>
        <v>535</v>
      </c>
      <c r="C169" s="882">
        <f t="shared" si="14"/>
        <v>165</v>
      </c>
      <c r="D169" s="883">
        <v>1059</v>
      </c>
      <c r="E169" s="884" t="str">
        <f>IFERROR(VLOOKUP(Table2[[#This Row],[Player No]],Table10[[No]:[Province]],2,0),"")</f>
        <v xml:space="preserve">LOMBARD Mario </v>
      </c>
      <c r="F169" s="885" t="str">
        <f>IFERROR(VLOOKUP(Table2[[#This Row],[Player No]],Table10[[No]:[Province]],3,0),"")</f>
        <v>CW</v>
      </c>
      <c r="G169" s="892">
        <v>12.552734375</v>
      </c>
      <c r="H169" s="886">
        <f>(Table2[[#This Row],[Points 2025]]/2)+SUM(Table2[[#This Row],[O1  ADMIN 2026]:[P2    CAPE TOWN OPEN 2026 ]])</f>
        <v>6.2763671875</v>
      </c>
      <c r="I169" s="880">
        <f t="shared" si="13"/>
        <v>0</v>
      </c>
      <c r="J169" s="882">
        <f t="shared" si="15"/>
        <v>0</v>
      </c>
      <c r="K169" s="887" t="s">
        <v>6083</v>
      </c>
      <c r="L169" s="887" t="s">
        <v>6083</v>
      </c>
      <c r="M169" s="887" t="s">
        <v>6083</v>
      </c>
      <c r="N169" s="887"/>
      <c r="O169" s="882"/>
      <c r="P169" s="882"/>
      <c r="Q169" s="888"/>
      <c r="R169" s="888"/>
      <c r="S169" s="882"/>
      <c r="T169" s="888"/>
      <c r="U169" s="882"/>
      <c r="V169" s="887"/>
      <c r="W169" s="888"/>
      <c r="X169" s="882"/>
      <c r="Y169" s="888"/>
      <c r="Z169" s="882"/>
      <c r="AA169" s="882"/>
      <c r="AB169" s="882"/>
      <c r="AC169" s="882"/>
      <c r="AD169" s="882"/>
      <c r="AE169" s="882"/>
      <c r="AF169" s="882">
        <v>25</v>
      </c>
      <c r="AG169" s="882"/>
      <c r="AH169" s="882"/>
      <c r="AI169" s="882"/>
      <c r="AJ169" s="882"/>
      <c r="AK169" s="882"/>
      <c r="AL169" s="889"/>
    </row>
    <row r="170" spans="1:38" s="890" customFormat="1">
      <c r="A170" s="882"/>
      <c r="B170" s="891"/>
      <c r="C170" s="882">
        <f t="shared" si="14"/>
        <v>166</v>
      </c>
      <c r="D170" s="894">
        <v>3673</v>
      </c>
      <c r="E170" s="884" t="str">
        <f>IFERROR(VLOOKUP(Table2[[#This Row],[Player No]],Table10[[No]:[Province]],2,0),"")</f>
        <v>REDDY Kogasan</v>
      </c>
      <c r="F170" s="885" t="str">
        <f>IFERROR(VLOOKUP(Table2[[#This Row],[Player No]],Table10[[No]:[Province]],3,0),"")</f>
        <v>ETTA</v>
      </c>
      <c r="G170" s="892">
        <v>12.5</v>
      </c>
      <c r="H170" s="886">
        <f>(Table2[[#This Row],[Points 2025]]/2)+SUM(Table2[[#This Row],[O1  ADMIN 2026]:[P2    CAPE TOWN OPEN 2026 ]])</f>
        <v>6.25</v>
      </c>
      <c r="I170" s="880">
        <f t="shared" si="13"/>
        <v>0</v>
      </c>
      <c r="J170" s="882">
        <f t="shared" si="15"/>
        <v>0</v>
      </c>
      <c r="K170" s="887" t="s">
        <v>6083</v>
      </c>
      <c r="L170" s="887" t="s">
        <v>6083</v>
      </c>
      <c r="M170" s="887" t="s">
        <v>6083</v>
      </c>
      <c r="N170" s="887"/>
      <c r="O170" s="882"/>
      <c r="P170" s="882"/>
      <c r="Q170" s="888"/>
      <c r="R170" s="888">
        <v>5</v>
      </c>
      <c r="S170" s="882"/>
      <c r="T170" s="888"/>
      <c r="U170" s="882"/>
      <c r="V170" s="887"/>
      <c r="W170" s="888"/>
      <c r="X170" s="882"/>
      <c r="Y170" s="888"/>
      <c r="Z170" s="882"/>
      <c r="AA170" s="882"/>
      <c r="AB170" s="882"/>
      <c r="AC170" s="882">
        <v>15</v>
      </c>
      <c r="AD170" s="882"/>
      <c r="AE170" s="882"/>
      <c r="AF170" s="882"/>
      <c r="AG170" s="882"/>
      <c r="AH170" s="882"/>
      <c r="AI170" s="882"/>
      <c r="AJ170" s="882"/>
      <c r="AK170" s="882"/>
      <c r="AL170" s="889"/>
    </row>
    <row r="171" spans="1:38" s="890" customFormat="1">
      <c r="A171" s="882"/>
      <c r="B171" s="891"/>
      <c r="C171" s="882">
        <f t="shared" si="14"/>
        <v>167</v>
      </c>
      <c r="D171" s="883">
        <v>4095</v>
      </c>
      <c r="E171" s="884" t="str">
        <f>IFERROR(VLOOKUP(Table2[[#This Row],[Player No]],Table10[[No]:[Province]],2,0),"")</f>
        <v>Opelo GUMBALUME</v>
      </c>
      <c r="F171" s="885" t="str">
        <f>IFERROR(VLOOKUP(Table2[[#This Row],[Player No]],Table10[[No]:[Province]],3,0),"")</f>
        <v>BOT</v>
      </c>
      <c r="G171" s="892">
        <v>12.5</v>
      </c>
      <c r="H171" s="886">
        <f>(Table2[[#This Row],[Points 2025]]/2)+SUM(Table2[[#This Row],[O1  ADMIN 2026]:[P2    CAPE TOWN OPEN 2026 ]])</f>
        <v>6.25</v>
      </c>
      <c r="I171" s="880">
        <f t="shared" si="13"/>
        <v>0</v>
      </c>
      <c r="J171" s="882">
        <f t="shared" si="15"/>
        <v>0</v>
      </c>
      <c r="K171" s="887" t="s">
        <v>6083</v>
      </c>
      <c r="L171" s="887" t="s">
        <v>6083</v>
      </c>
      <c r="M171" s="887" t="str">
        <f>IF(Table2[[#This Row],[Player No]]="","",IFERROR(VLOOKUP(Table2[[#This Row],[Player No]],[2]Men!$Z$14:$AB$96,2,FALSE)&amp;"",""))</f>
        <v/>
      </c>
      <c r="N171" s="887"/>
      <c r="O171" s="882"/>
      <c r="P171" s="882"/>
      <c r="Q171" s="888"/>
      <c r="R171" s="888"/>
      <c r="S171" s="882"/>
      <c r="T171" s="888"/>
      <c r="U171" s="882"/>
      <c r="V171" s="887"/>
      <c r="W171" s="888"/>
      <c r="X171" s="882"/>
      <c r="Y171" s="888"/>
      <c r="Z171" s="882"/>
      <c r="AA171" s="882"/>
      <c r="AB171" s="882"/>
      <c r="AC171" s="882"/>
      <c r="AD171" s="882"/>
      <c r="AE171" s="882"/>
      <c r="AF171" s="882"/>
      <c r="AG171" s="882">
        <v>25</v>
      </c>
      <c r="AH171" s="882"/>
      <c r="AI171" s="882"/>
      <c r="AJ171" s="882"/>
      <c r="AK171" s="882"/>
      <c r="AL171" s="889"/>
    </row>
    <row r="172" spans="1:38" s="890" customFormat="1">
      <c r="A172" s="882"/>
      <c r="B172" s="891"/>
      <c r="C172" s="882">
        <f t="shared" si="14"/>
        <v>168</v>
      </c>
      <c r="D172" s="883">
        <v>4312</v>
      </c>
      <c r="E172" s="884" t="str">
        <f>IFERROR(VLOOKUP(Table2[[#This Row],[Player No]],Table10[[No]:[Province]],2,0),"")</f>
        <v xml:space="preserve">Tebogo Dlamini </v>
      </c>
      <c r="F172" s="885" t="str">
        <f>IFERROR(VLOOKUP(Table2[[#This Row],[Player No]],Table10[[No]:[Province]],3,0),"")</f>
        <v>FS</v>
      </c>
      <c r="G172" s="892">
        <v>12.5</v>
      </c>
      <c r="H172" s="886">
        <f>(Table2[[#This Row],[Points 2025]]/2)+SUM(Table2[[#This Row],[O1  ADMIN 2026]:[P2    CAPE TOWN OPEN 2026 ]])</f>
        <v>6.25</v>
      </c>
      <c r="I172" s="880">
        <f t="shared" si="13"/>
        <v>0</v>
      </c>
      <c r="J172" s="882">
        <f t="shared" si="15"/>
        <v>0</v>
      </c>
      <c r="K172" s="887" t="s">
        <v>6083</v>
      </c>
      <c r="L172" s="887" t="s">
        <v>6083</v>
      </c>
      <c r="M172" s="887" t="s">
        <v>6083</v>
      </c>
      <c r="N172" s="887"/>
      <c r="O172" s="882"/>
      <c r="P172" s="882"/>
      <c r="Q172" s="888"/>
      <c r="R172" s="888"/>
      <c r="S172" s="882"/>
      <c r="T172" s="888">
        <v>5</v>
      </c>
      <c r="U172" s="882">
        <v>7.5</v>
      </c>
      <c r="V172" s="887"/>
      <c r="W172" s="888"/>
      <c r="X172" s="882"/>
      <c r="Y172" s="888"/>
      <c r="Z172" s="882"/>
      <c r="AA172" s="882"/>
      <c r="AB172" s="882"/>
      <c r="AC172" s="882"/>
      <c r="AD172" s="882"/>
      <c r="AE172" s="882"/>
      <c r="AF172" s="882"/>
      <c r="AG172" s="882"/>
      <c r="AH172" s="882"/>
      <c r="AI172" s="882"/>
      <c r="AJ172" s="882"/>
      <c r="AK172" s="882"/>
      <c r="AL172" s="889"/>
    </row>
    <row r="173" spans="1:38" s="890" customFormat="1">
      <c r="A173" s="882">
        <v>87</v>
      </c>
      <c r="B173" s="891">
        <f t="shared" ref="B173:B178" si="18">+A173-C173</f>
        <v>-82</v>
      </c>
      <c r="C173" s="882">
        <f t="shared" si="14"/>
        <v>169</v>
      </c>
      <c r="D173" s="883">
        <v>3098</v>
      </c>
      <c r="E173" s="884" t="str">
        <f>IFERROR(VLOOKUP(Table2[[#This Row],[Player No]],Table10[[No]:[Province]],2,0),"")</f>
        <v>NAIDOO Ezra Timothy</v>
      </c>
      <c r="F173" s="885" t="str">
        <f>IFERROR(VLOOKUP(Table2[[#This Row],[Player No]],Table10[[No]:[Province]],3,0),"")</f>
        <v>UMG</v>
      </c>
      <c r="G173" s="892">
        <v>12</v>
      </c>
      <c r="H173" s="886">
        <f>(Table2[[#This Row],[Points 2025]]/2)+SUM(Table2[[#This Row],[O1  ADMIN 2026]:[P2    CAPE TOWN OPEN 2026 ]])</f>
        <v>6</v>
      </c>
      <c r="I173" s="880">
        <f t="shared" si="13"/>
        <v>0</v>
      </c>
      <c r="J173" s="882">
        <f t="shared" si="15"/>
        <v>0</v>
      </c>
      <c r="K173" s="887" t="s">
        <v>6083</v>
      </c>
      <c r="L173" s="887" t="s">
        <v>6083</v>
      </c>
      <c r="M173" s="887" t="s">
        <v>6083</v>
      </c>
      <c r="N173" s="887"/>
      <c r="O173" s="882">
        <v>3</v>
      </c>
      <c r="P173" s="882"/>
      <c r="Q173" s="888"/>
      <c r="R173" s="888"/>
      <c r="S173" s="882"/>
      <c r="T173" s="888"/>
      <c r="U173" s="882"/>
      <c r="V173" s="887"/>
      <c r="W173" s="888"/>
      <c r="X173" s="882"/>
      <c r="Y173" s="888"/>
      <c r="Z173" s="882"/>
      <c r="AA173" s="882"/>
      <c r="AB173" s="882"/>
      <c r="AC173" s="882">
        <v>15</v>
      </c>
      <c r="AD173" s="882">
        <v>2</v>
      </c>
      <c r="AE173" s="882"/>
      <c r="AF173" s="882"/>
      <c r="AG173" s="882"/>
      <c r="AH173" s="882"/>
      <c r="AI173" s="882"/>
      <c r="AJ173" s="882"/>
      <c r="AK173" s="882"/>
      <c r="AL173" s="889"/>
    </row>
    <row r="174" spans="1:38" s="890" customFormat="1">
      <c r="A174" s="882">
        <v>270</v>
      </c>
      <c r="B174" s="891">
        <f t="shared" si="18"/>
        <v>100</v>
      </c>
      <c r="C174" s="882">
        <f t="shared" si="14"/>
        <v>170</v>
      </c>
      <c r="D174" s="883">
        <v>1514</v>
      </c>
      <c r="E174" s="884" t="str">
        <f>IFERROR(VLOOKUP(Table2[[#This Row],[Player No]],Table10[[No]:[Province]],2,0),"")</f>
        <v>DA SILVA Jose</v>
      </c>
      <c r="F174" s="885" t="str">
        <f>IFERROR(VLOOKUP(Table2[[#This Row],[Player No]],Table10[[No]:[Province]],3,0),"")</f>
        <v>GN</v>
      </c>
      <c r="G174" s="892">
        <v>11.44140625</v>
      </c>
      <c r="H174" s="886">
        <f>(Table2[[#This Row],[Points 2025]]/2)+SUM(Table2[[#This Row],[O1  ADMIN 2026]:[P2    CAPE TOWN OPEN 2026 ]])</f>
        <v>5.720703125</v>
      </c>
      <c r="I174" s="880">
        <f t="shared" si="13"/>
        <v>0</v>
      </c>
      <c r="J174" s="882">
        <f t="shared" si="15"/>
        <v>0</v>
      </c>
      <c r="K174" s="887" t="s">
        <v>6083</v>
      </c>
      <c r="L174" s="887" t="s">
        <v>6083</v>
      </c>
      <c r="M174" s="887" t="s">
        <v>6083</v>
      </c>
      <c r="N174" s="887"/>
      <c r="O174" s="882">
        <v>2</v>
      </c>
      <c r="P174" s="882"/>
      <c r="Q174" s="888"/>
      <c r="R174" s="888"/>
      <c r="S174" s="882"/>
      <c r="T174" s="888">
        <v>1</v>
      </c>
      <c r="U174" s="882"/>
      <c r="V174" s="887"/>
      <c r="W174" s="888"/>
      <c r="X174" s="882"/>
      <c r="Y174" s="888">
        <v>4</v>
      </c>
      <c r="Z174" s="882">
        <v>3</v>
      </c>
      <c r="AA174" s="882"/>
      <c r="AB174" s="882"/>
      <c r="AC174" s="882">
        <v>2</v>
      </c>
      <c r="AD174" s="882"/>
      <c r="AE174" s="882"/>
      <c r="AF174" s="882"/>
      <c r="AG174" s="882"/>
      <c r="AH174" s="882"/>
      <c r="AI174" s="882"/>
      <c r="AJ174" s="882"/>
      <c r="AK174" s="882"/>
      <c r="AL174" s="889"/>
    </row>
    <row r="175" spans="1:38" s="890" customFormat="1">
      <c r="A175" s="882">
        <v>217</v>
      </c>
      <c r="B175" s="891">
        <f t="shared" si="18"/>
        <v>46</v>
      </c>
      <c r="C175" s="882">
        <f t="shared" si="14"/>
        <v>171</v>
      </c>
      <c r="D175" s="883">
        <v>1197</v>
      </c>
      <c r="E175" s="884" t="str">
        <f>IFERROR(VLOOKUP(Table2[[#This Row],[Player No]],Table10[[No]:[Province]],2,0),"")</f>
        <v>NAIKER Cliffy</v>
      </c>
      <c r="F175" s="885" t="str">
        <f>IFERROR(VLOOKUP(Table2[[#This Row],[Player No]],Table10[[No]:[Province]],3,0),"")</f>
        <v>UMG</v>
      </c>
      <c r="G175" s="892">
        <v>5.259765625</v>
      </c>
      <c r="H175" s="886">
        <f>(Table2[[#This Row],[Points 2025]]/2)+SUM(Table2[[#This Row],[O1  ADMIN 2026]:[P2    CAPE TOWN OPEN 2026 ]])</f>
        <v>5.6298828125</v>
      </c>
      <c r="I175" s="880">
        <f t="shared" si="13"/>
        <v>2</v>
      </c>
      <c r="J175" s="882">
        <f t="shared" si="15"/>
        <v>0</v>
      </c>
      <c r="K175" s="887" t="s">
        <v>6083</v>
      </c>
      <c r="L175" s="887">
        <v>2</v>
      </c>
      <c r="M175" s="887">
        <v>1</v>
      </c>
      <c r="N175" s="887"/>
      <c r="O175" s="882"/>
      <c r="P175" s="882">
        <v>2</v>
      </c>
      <c r="Q175" s="888"/>
      <c r="R175" s="888"/>
      <c r="S175" s="882">
        <v>1</v>
      </c>
      <c r="T175" s="888"/>
      <c r="U175" s="882"/>
      <c r="V175" s="887"/>
      <c r="W175" s="888"/>
      <c r="X175" s="882"/>
      <c r="Y175" s="888"/>
      <c r="Z175" s="882"/>
      <c r="AA175" s="882"/>
      <c r="AB175" s="882"/>
      <c r="AC175" s="882">
        <v>2</v>
      </c>
      <c r="AD175" s="882">
        <v>2</v>
      </c>
      <c r="AE175" s="882"/>
      <c r="AF175" s="882"/>
      <c r="AG175" s="882"/>
      <c r="AH175" s="882"/>
      <c r="AI175" s="882"/>
      <c r="AJ175" s="882"/>
      <c r="AK175" s="882"/>
      <c r="AL175" s="889"/>
    </row>
    <row r="176" spans="1:38" s="890" customFormat="1">
      <c r="A176" s="882">
        <v>314</v>
      </c>
      <c r="B176" s="891">
        <f t="shared" si="18"/>
        <v>142</v>
      </c>
      <c r="C176" s="882">
        <f t="shared" si="14"/>
        <v>172</v>
      </c>
      <c r="D176" s="883">
        <v>3501</v>
      </c>
      <c r="E176" s="884" t="str">
        <f>IFERROR(VLOOKUP(Table2[[#This Row],[Player No]],Table10[[No]:[Province]],2,0),"")</f>
        <v>MBAMBASE Mpilo</v>
      </c>
      <c r="F176" s="885" t="str">
        <f>IFERROR(VLOOKUP(Table2[[#This Row],[Player No]],Table10[[No]:[Province]],3,0),"")</f>
        <v>ETTA</v>
      </c>
      <c r="G176" s="892">
        <v>11.25</v>
      </c>
      <c r="H176" s="886">
        <f>(Table2[[#This Row],[Points 2025]]/2)+SUM(Table2[[#This Row],[O1  ADMIN 2026]:[P2    CAPE TOWN OPEN 2026 ]])</f>
        <v>5.625</v>
      </c>
      <c r="I176" s="880">
        <f t="shared" si="13"/>
        <v>0</v>
      </c>
      <c r="J176" s="882">
        <f t="shared" si="15"/>
        <v>0</v>
      </c>
      <c r="K176" s="887" t="s">
        <v>6083</v>
      </c>
      <c r="L176" s="887" t="s">
        <v>6083</v>
      </c>
      <c r="M176" s="887" t="s">
        <v>6083</v>
      </c>
      <c r="N176" s="887"/>
      <c r="O176" s="882"/>
      <c r="P176" s="882">
        <v>2</v>
      </c>
      <c r="Q176" s="888">
        <v>1</v>
      </c>
      <c r="R176" s="888">
        <v>5</v>
      </c>
      <c r="S176" s="882">
        <v>2</v>
      </c>
      <c r="T176" s="888"/>
      <c r="U176" s="882"/>
      <c r="V176" s="887"/>
      <c r="W176" s="888"/>
      <c r="X176" s="882"/>
      <c r="Y176" s="888"/>
      <c r="Z176" s="882"/>
      <c r="AA176" s="882"/>
      <c r="AB176" s="882"/>
      <c r="AC176" s="882"/>
      <c r="AD176" s="882">
        <v>2</v>
      </c>
      <c r="AE176" s="882"/>
      <c r="AF176" s="882"/>
      <c r="AG176" s="882"/>
      <c r="AH176" s="882"/>
      <c r="AI176" s="882"/>
      <c r="AJ176" s="882"/>
      <c r="AK176" s="882"/>
      <c r="AL176" s="889"/>
    </row>
    <row r="177" spans="1:38" s="890" customFormat="1">
      <c r="A177" s="882">
        <v>145</v>
      </c>
      <c r="B177" s="891">
        <f t="shared" si="18"/>
        <v>-28</v>
      </c>
      <c r="C177" s="882">
        <f t="shared" si="14"/>
        <v>173</v>
      </c>
      <c r="D177" s="883">
        <v>1559</v>
      </c>
      <c r="E177" s="884" t="str">
        <f>IFERROR(VLOOKUP(Table2[[#This Row],[Player No]],Table10[[No]:[Province]],2,0),"")</f>
        <v xml:space="preserve">ADAMS Thabiet </v>
      </c>
      <c r="F177" s="885" t="str">
        <f>IFERROR(VLOOKUP(Table2[[#This Row],[Player No]],Table10[[No]:[Province]],3,0),"")</f>
        <v>SAVETTS</v>
      </c>
      <c r="G177" s="892">
        <v>11.0625</v>
      </c>
      <c r="H177" s="886">
        <f>(Table2[[#This Row],[Points 2025]]/2)+SUM(Table2[[#This Row],[O1  ADMIN 2026]:[P2    CAPE TOWN OPEN 2026 ]])</f>
        <v>5.53125</v>
      </c>
      <c r="I177" s="880">
        <f t="shared" si="13"/>
        <v>0</v>
      </c>
      <c r="J177" s="882">
        <f t="shared" si="15"/>
        <v>0</v>
      </c>
      <c r="K177" s="887" t="s">
        <v>6083</v>
      </c>
      <c r="L177" s="887" t="s">
        <v>6083</v>
      </c>
      <c r="M177" s="887" t="s">
        <v>6083</v>
      </c>
      <c r="N177" s="887"/>
      <c r="O177" s="882"/>
      <c r="P177" s="882"/>
      <c r="Q177" s="888"/>
      <c r="R177" s="888"/>
      <c r="S177" s="882"/>
      <c r="T177" s="888"/>
      <c r="U177" s="882"/>
      <c r="V177" s="887"/>
      <c r="W177" s="888"/>
      <c r="X177" s="882"/>
      <c r="Y177" s="888"/>
      <c r="Z177" s="882"/>
      <c r="AA177" s="882"/>
      <c r="AB177" s="882">
        <v>5</v>
      </c>
      <c r="AC177" s="882"/>
      <c r="AD177" s="882"/>
      <c r="AE177" s="882">
        <v>3</v>
      </c>
      <c r="AF177" s="882"/>
      <c r="AG177" s="882"/>
      <c r="AH177" s="882"/>
      <c r="AI177" s="882"/>
      <c r="AJ177" s="882"/>
      <c r="AK177" s="882"/>
      <c r="AL177" s="889"/>
    </row>
    <row r="178" spans="1:38" s="890" customFormat="1">
      <c r="A178" s="882">
        <v>192</v>
      </c>
      <c r="B178" s="891">
        <f t="shared" si="18"/>
        <v>18</v>
      </c>
      <c r="C178" s="882">
        <f t="shared" si="14"/>
        <v>174</v>
      </c>
      <c r="D178" s="883">
        <v>3403</v>
      </c>
      <c r="E178" s="884" t="str">
        <f>IFERROR(VLOOKUP(Table2[[#This Row],[Player No]],Table10[[No]:[Province]],2,0),"")</f>
        <v>SEPTEMBER Stephen</v>
      </c>
      <c r="F178" s="885" t="str">
        <f>IFERROR(VLOOKUP(Table2[[#This Row],[Player No]],Table10[[No]:[Province]],3,0),"")</f>
        <v>CW</v>
      </c>
      <c r="G178" s="892">
        <v>11</v>
      </c>
      <c r="H178" s="886">
        <f>(Table2[[#This Row],[Points 2025]]/2)+SUM(Table2[[#This Row],[O1  ADMIN 2026]:[P2    CAPE TOWN OPEN 2026 ]])</f>
        <v>5.5</v>
      </c>
      <c r="I178" s="880">
        <f t="shared" si="13"/>
        <v>0</v>
      </c>
      <c r="J178" s="882">
        <f t="shared" si="15"/>
        <v>0</v>
      </c>
      <c r="K178" s="887" t="s">
        <v>6083</v>
      </c>
      <c r="L178" s="887" t="s">
        <v>6083</v>
      </c>
      <c r="M178" s="887" t="s">
        <v>6083</v>
      </c>
      <c r="N178" s="887"/>
      <c r="O178" s="882"/>
      <c r="P178" s="882"/>
      <c r="Q178" s="888"/>
      <c r="R178" s="888"/>
      <c r="S178" s="882"/>
      <c r="T178" s="888"/>
      <c r="U178" s="882"/>
      <c r="V178" s="887"/>
      <c r="W178" s="888"/>
      <c r="X178" s="882"/>
      <c r="Y178" s="888"/>
      <c r="Z178" s="882"/>
      <c r="AA178" s="882"/>
      <c r="AB178" s="882"/>
      <c r="AC178" s="882"/>
      <c r="AD178" s="882"/>
      <c r="AE178" s="882">
        <v>1</v>
      </c>
      <c r="AF178" s="882">
        <v>15</v>
      </c>
      <c r="AG178" s="882"/>
      <c r="AH178" s="882"/>
      <c r="AI178" s="882"/>
      <c r="AJ178" s="882"/>
      <c r="AK178" s="882"/>
      <c r="AL178" s="889"/>
    </row>
    <row r="179" spans="1:38" s="890" customFormat="1">
      <c r="A179" s="882"/>
      <c r="B179" s="891"/>
      <c r="C179" s="882">
        <f t="shared" si="14"/>
        <v>175</v>
      </c>
      <c r="D179" s="883">
        <v>3930</v>
      </c>
      <c r="E179" s="884" t="str">
        <f>IFERROR(VLOOKUP(Table2[[#This Row],[Player No]],Table10[[No]:[Province]],2,0),"")</f>
        <v>SMIT Logan</v>
      </c>
      <c r="F179" s="885" t="str">
        <f>IFERROR(VLOOKUP(Table2[[#This Row],[Player No]],Table10[[No]:[Province]],3,0),"")</f>
        <v>GN</v>
      </c>
      <c r="G179" s="892">
        <v>7</v>
      </c>
      <c r="H179" s="886">
        <f>(Table2[[#This Row],[Points 2025]]/2)+SUM(Table2[[#This Row],[O1  ADMIN 2026]:[P2    CAPE TOWN OPEN 2026 ]])</f>
        <v>5.5</v>
      </c>
      <c r="I179" s="880">
        <f t="shared" si="13"/>
        <v>1</v>
      </c>
      <c r="J179" s="882">
        <f t="shared" si="15"/>
        <v>0</v>
      </c>
      <c r="K179" s="887">
        <v>2</v>
      </c>
      <c r="L179" s="887" t="s">
        <v>6083</v>
      </c>
      <c r="M179" s="887" t="s">
        <v>6083</v>
      </c>
      <c r="N179" s="887"/>
      <c r="O179" s="882"/>
      <c r="P179" s="882"/>
      <c r="Q179" s="888"/>
      <c r="R179" s="888"/>
      <c r="S179" s="882"/>
      <c r="T179" s="888">
        <v>1</v>
      </c>
      <c r="U179" s="882"/>
      <c r="V179" s="887"/>
      <c r="W179" s="888">
        <v>5</v>
      </c>
      <c r="X179" s="882"/>
      <c r="Y179" s="888">
        <v>1</v>
      </c>
      <c r="Z179" s="882"/>
      <c r="AA179" s="882"/>
      <c r="AB179" s="882"/>
      <c r="AC179" s="882"/>
      <c r="AD179" s="882"/>
      <c r="AE179" s="882"/>
      <c r="AF179" s="882"/>
      <c r="AG179" s="882"/>
      <c r="AH179" s="882"/>
      <c r="AI179" s="882"/>
      <c r="AJ179" s="882"/>
      <c r="AK179" s="882"/>
      <c r="AL179" s="889"/>
    </row>
    <row r="180" spans="1:38" s="890" customFormat="1">
      <c r="A180" s="882">
        <v>78</v>
      </c>
      <c r="B180" s="891">
        <f t="shared" ref="B180:B191" si="19">+A180-C180</f>
        <v>-98</v>
      </c>
      <c r="C180" s="882">
        <f t="shared" si="14"/>
        <v>176</v>
      </c>
      <c r="D180" s="883">
        <v>1003</v>
      </c>
      <c r="E180" s="884" t="str">
        <f>IFERROR(VLOOKUP(Table2[[#This Row],[Player No]],Table10[[No]:[Province]],2,0),"")</f>
        <v>LINGEVELDT Keagan</v>
      </c>
      <c r="F180" s="885" t="str">
        <f>IFERROR(VLOOKUP(Table2[[#This Row],[Player No]],Table10[[No]:[Province]],3,0),"")</f>
        <v>CT</v>
      </c>
      <c r="G180" s="892">
        <v>10.880859375</v>
      </c>
      <c r="H180" s="886">
        <f>(Table2[[#This Row],[Points 2025]]/2)+SUM(Table2[[#This Row],[O1  ADMIN 2026]:[P2    CAPE TOWN OPEN 2026 ]])</f>
        <v>5.4404296875</v>
      </c>
      <c r="I180" s="880">
        <f t="shared" si="13"/>
        <v>0</v>
      </c>
      <c r="J180" s="882">
        <f t="shared" si="15"/>
        <v>0</v>
      </c>
      <c r="K180" s="887" t="s">
        <v>6083</v>
      </c>
      <c r="L180" s="887" t="s">
        <v>6083</v>
      </c>
      <c r="M180" s="887" t="s">
        <v>6083</v>
      </c>
      <c r="N180" s="887"/>
      <c r="O180" s="882"/>
      <c r="P180" s="882"/>
      <c r="Q180" s="888"/>
      <c r="R180" s="888"/>
      <c r="S180" s="882"/>
      <c r="T180" s="888"/>
      <c r="U180" s="882"/>
      <c r="V180" s="887"/>
      <c r="W180" s="888"/>
      <c r="X180" s="882"/>
      <c r="Y180" s="888"/>
      <c r="Z180" s="882"/>
      <c r="AA180" s="882"/>
      <c r="AB180" s="882"/>
      <c r="AC180" s="882"/>
      <c r="AD180" s="882"/>
      <c r="AE180" s="882">
        <v>1</v>
      </c>
      <c r="AF180" s="882"/>
      <c r="AG180" s="882"/>
      <c r="AH180" s="882"/>
      <c r="AI180" s="882"/>
      <c r="AJ180" s="882"/>
      <c r="AK180" s="882"/>
      <c r="AL180" s="889"/>
    </row>
    <row r="181" spans="1:38" s="890" customFormat="1">
      <c r="A181" s="882">
        <v>141</v>
      </c>
      <c r="B181" s="891">
        <f t="shared" si="19"/>
        <v>-36</v>
      </c>
      <c r="C181" s="882">
        <f t="shared" si="14"/>
        <v>177</v>
      </c>
      <c r="D181" s="883">
        <v>2583</v>
      </c>
      <c r="E181" s="884" t="str">
        <f>IFERROR(VLOOKUP(Table2[[#This Row],[Player No]],Table10[[No]:[Province]],2,0),"")</f>
        <v xml:space="preserve">RUDIMULDU Wesley </v>
      </c>
      <c r="F181" s="885" t="str">
        <f>IFERROR(VLOOKUP(Table2[[#This Row],[Player No]],Table10[[No]:[Province]],3,0),"")</f>
        <v>CT</v>
      </c>
      <c r="G181" s="892">
        <v>10.765625</v>
      </c>
      <c r="H181" s="886">
        <f>(Table2[[#This Row],[Points 2025]]/2)+SUM(Table2[[#This Row],[O1  ADMIN 2026]:[P2    CAPE TOWN OPEN 2026 ]])</f>
        <v>5.3828125</v>
      </c>
      <c r="I181" s="880">
        <f t="shared" si="13"/>
        <v>0</v>
      </c>
      <c r="J181" s="882">
        <f t="shared" si="15"/>
        <v>0</v>
      </c>
      <c r="K181" s="887" t="s">
        <v>6083</v>
      </c>
      <c r="L181" s="887" t="s">
        <v>6083</v>
      </c>
      <c r="M181" s="887" t="s">
        <v>6083</v>
      </c>
      <c r="N181" s="887"/>
      <c r="O181" s="882"/>
      <c r="P181" s="882"/>
      <c r="Q181" s="888"/>
      <c r="R181" s="888"/>
      <c r="S181" s="882"/>
      <c r="T181" s="888"/>
      <c r="U181" s="882"/>
      <c r="V181" s="887"/>
      <c r="W181" s="888"/>
      <c r="X181" s="882"/>
      <c r="Y181" s="888"/>
      <c r="Z181" s="882"/>
      <c r="AA181" s="882"/>
      <c r="AB181" s="882">
        <v>5</v>
      </c>
      <c r="AC181" s="882"/>
      <c r="AD181" s="882"/>
      <c r="AE181" s="882">
        <v>2</v>
      </c>
      <c r="AF181" s="882"/>
      <c r="AG181" s="882"/>
      <c r="AH181" s="882"/>
      <c r="AI181" s="882"/>
      <c r="AJ181" s="882"/>
      <c r="AK181" s="882"/>
      <c r="AL181" s="889"/>
    </row>
    <row r="182" spans="1:38" s="890" customFormat="1">
      <c r="A182" s="882">
        <v>105</v>
      </c>
      <c r="B182" s="891">
        <f t="shared" si="19"/>
        <v>-73</v>
      </c>
      <c r="C182" s="882">
        <f t="shared" si="14"/>
        <v>178</v>
      </c>
      <c r="D182" s="883">
        <v>1339</v>
      </c>
      <c r="E182" s="884" t="str">
        <f>IFERROR(VLOOKUP(Table2[[#This Row],[Player No]],Table10[[No]:[Province]],2,0),"")</f>
        <v xml:space="preserve">PIETERSE Thys </v>
      </c>
      <c r="F182" s="885" t="str">
        <f>IFERROR(VLOOKUP(Table2[[#This Row],[Player No]],Table10[[No]:[Province]],3,0),"")</f>
        <v>FS</v>
      </c>
      <c r="G182" s="892">
        <v>10.609375</v>
      </c>
      <c r="H182" s="886">
        <f>(Table2[[#This Row],[Points 2025]]/2)+SUM(Table2[[#This Row],[O1  ADMIN 2026]:[P2    CAPE TOWN OPEN 2026 ]])</f>
        <v>5.3046875</v>
      </c>
      <c r="I182" s="880">
        <f t="shared" si="13"/>
        <v>0</v>
      </c>
      <c r="J182" s="882">
        <f t="shared" si="15"/>
        <v>0</v>
      </c>
      <c r="K182" s="887" t="s">
        <v>6083</v>
      </c>
      <c r="L182" s="887" t="s">
        <v>6083</v>
      </c>
      <c r="M182" s="887" t="s">
        <v>6083</v>
      </c>
      <c r="N182" s="887"/>
      <c r="O182" s="882"/>
      <c r="P182" s="882"/>
      <c r="Q182" s="888"/>
      <c r="R182" s="888"/>
      <c r="S182" s="882"/>
      <c r="T182" s="888"/>
      <c r="U182" s="882"/>
      <c r="V182" s="887"/>
      <c r="W182" s="888"/>
      <c r="X182" s="882"/>
      <c r="Y182" s="888"/>
      <c r="Z182" s="882">
        <v>3</v>
      </c>
      <c r="AA182" s="882"/>
      <c r="AB182" s="882"/>
      <c r="AC182" s="882"/>
      <c r="AD182" s="882"/>
      <c r="AE182" s="882"/>
      <c r="AF182" s="882"/>
      <c r="AG182" s="882"/>
      <c r="AH182" s="882"/>
      <c r="AI182" s="882"/>
      <c r="AJ182" s="882"/>
      <c r="AK182" s="882"/>
      <c r="AL182" s="889"/>
    </row>
    <row r="183" spans="1:38" s="890" customFormat="1">
      <c r="A183" s="882">
        <v>204</v>
      </c>
      <c r="B183" s="891">
        <f t="shared" si="19"/>
        <v>25</v>
      </c>
      <c r="C183" s="882">
        <f t="shared" si="14"/>
        <v>179</v>
      </c>
      <c r="D183" s="883">
        <v>1790</v>
      </c>
      <c r="E183" s="884" t="str">
        <f>IFERROR(VLOOKUP(Table2[[#This Row],[Player No]],Table10[[No]:[Province]],2,0),"")</f>
        <v xml:space="preserve">ALEXANDER Dale </v>
      </c>
      <c r="F183" s="885" t="str">
        <f>IFERROR(VLOOKUP(Table2[[#This Row],[Player No]],Table10[[No]:[Province]],3,0),"")</f>
        <v>CW</v>
      </c>
      <c r="G183" s="892">
        <v>10.578125</v>
      </c>
      <c r="H183" s="886">
        <f>(Table2[[#This Row],[Points 2025]]/2)+SUM(Table2[[#This Row],[O1  ADMIN 2026]:[P2    CAPE TOWN OPEN 2026 ]])</f>
        <v>5.2890625</v>
      </c>
      <c r="I183" s="880">
        <f t="shared" si="13"/>
        <v>0</v>
      </c>
      <c r="J183" s="882">
        <f t="shared" si="15"/>
        <v>0</v>
      </c>
      <c r="K183" s="887" t="s">
        <v>6083</v>
      </c>
      <c r="L183" s="887" t="s">
        <v>6083</v>
      </c>
      <c r="M183" s="887" t="s">
        <v>6083</v>
      </c>
      <c r="N183" s="887"/>
      <c r="O183" s="882"/>
      <c r="P183" s="882"/>
      <c r="Q183" s="888"/>
      <c r="R183" s="888"/>
      <c r="S183" s="882"/>
      <c r="T183" s="888"/>
      <c r="U183" s="882"/>
      <c r="V183" s="887"/>
      <c r="W183" s="888">
        <v>0</v>
      </c>
      <c r="X183" s="882"/>
      <c r="Y183" s="888"/>
      <c r="Z183" s="882"/>
      <c r="AA183" s="882"/>
      <c r="AB183" s="882"/>
      <c r="AC183" s="882"/>
      <c r="AD183" s="882"/>
      <c r="AE183" s="882">
        <v>1</v>
      </c>
      <c r="AF183" s="882">
        <v>15</v>
      </c>
      <c r="AG183" s="882"/>
      <c r="AH183" s="882"/>
      <c r="AI183" s="882"/>
      <c r="AJ183" s="882"/>
      <c r="AK183" s="882"/>
      <c r="AL183" s="889"/>
    </row>
    <row r="184" spans="1:38" s="890" customFormat="1">
      <c r="A184" s="882">
        <v>191</v>
      </c>
      <c r="B184" s="891">
        <f t="shared" si="19"/>
        <v>11</v>
      </c>
      <c r="C184" s="882">
        <f t="shared" si="14"/>
        <v>180</v>
      </c>
      <c r="D184" s="883">
        <v>3392</v>
      </c>
      <c r="E184" s="884" t="str">
        <f>IFERROR(VLOOKUP(Table2[[#This Row],[Player No]],Table10[[No]:[Province]],2,0),"")</f>
        <v>PETEREN Jerome</v>
      </c>
      <c r="F184" s="885" t="str">
        <f>IFERROR(VLOOKUP(Table2[[#This Row],[Player No]],Table10[[No]:[Province]],3,0),"")</f>
        <v>CW</v>
      </c>
      <c r="G184" s="892">
        <v>10.5</v>
      </c>
      <c r="H184" s="886">
        <f>(Table2[[#This Row],[Points 2025]]/2)+SUM(Table2[[#This Row],[O1  ADMIN 2026]:[P2    CAPE TOWN OPEN 2026 ]])</f>
        <v>5.25</v>
      </c>
      <c r="I184" s="880">
        <f t="shared" si="13"/>
        <v>0</v>
      </c>
      <c r="J184" s="882">
        <f t="shared" si="15"/>
        <v>0</v>
      </c>
      <c r="K184" s="887" t="s">
        <v>6083</v>
      </c>
      <c r="L184" s="887" t="s">
        <v>6083</v>
      </c>
      <c r="M184" s="887" t="s">
        <v>6083</v>
      </c>
      <c r="N184" s="887"/>
      <c r="O184" s="882"/>
      <c r="P184" s="882"/>
      <c r="Q184" s="888"/>
      <c r="R184" s="888"/>
      <c r="S184" s="882"/>
      <c r="T184" s="888"/>
      <c r="U184" s="882"/>
      <c r="V184" s="887"/>
      <c r="W184" s="888"/>
      <c r="X184" s="882"/>
      <c r="Y184" s="888"/>
      <c r="Z184" s="882"/>
      <c r="AA184" s="882"/>
      <c r="AB184" s="882"/>
      <c r="AC184" s="882"/>
      <c r="AD184" s="882"/>
      <c r="AE184" s="882"/>
      <c r="AF184" s="882">
        <v>15</v>
      </c>
      <c r="AG184" s="882"/>
      <c r="AH184" s="882"/>
      <c r="AI184" s="882"/>
      <c r="AJ184" s="882"/>
      <c r="AK184" s="882"/>
      <c r="AL184" s="889"/>
    </row>
    <row r="185" spans="1:38" s="890" customFormat="1">
      <c r="A185" s="882">
        <v>234</v>
      </c>
      <c r="B185" s="891">
        <f t="shared" si="19"/>
        <v>53</v>
      </c>
      <c r="C185" s="882">
        <f t="shared" si="14"/>
        <v>181</v>
      </c>
      <c r="D185" s="883">
        <v>3431</v>
      </c>
      <c r="E185" s="884" t="str">
        <f>IFERROR(VLOOKUP(Table2[[#This Row],[Player No]],Table10[[No]:[Province]],2,0),"")</f>
        <v>CILLIERS Jarrod</v>
      </c>
      <c r="F185" s="885" t="str">
        <f>IFERROR(VLOOKUP(Table2[[#This Row],[Player No]],Table10[[No]:[Province]],3,0),"")</f>
        <v>GN</v>
      </c>
      <c r="G185" s="892">
        <v>10.5</v>
      </c>
      <c r="H185" s="886">
        <f>(Table2[[#This Row],[Points 2025]]/2)+SUM(Table2[[#This Row],[O1  ADMIN 2026]:[P2    CAPE TOWN OPEN 2026 ]])</f>
        <v>5.25</v>
      </c>
      <c r="I185" s="880">
        <f t="shared" si="13"/>
        <v>0</v>
      </c>
      <c r="J185" s="882">
        <f t="shared" si="15"/>
        <v>0</v>
      </c>
      <c r="K185" s="887" t="s">
        <v>6083</v>
      </c>
      <c r="L185" s="887" t="s">
        <v>6083</v>
      </c>
      <c r="M185" s="887" t="s">
        <v>6083</v>
      </c>
      <c r="N185" s="887"/>
      <c r="O185" s="882"/>
      <c r="P185" s="882"/>
      <c r="Q185" s="888"/>
      <c r="R185" s="888"/>
      <c r="S185" s="882"/>
      <c r="T185" s="888">
        <v>5</v>
      </c>
      <c r="U185" s="882"/>
      <c r="V185" s="887"/>
      <c r="W185" s="888"/>
      <c r="X185" s="882"/>
      <c r="Y185" s="888"/>
      <c r="Z185" s="882"/>
      <c r="AA185" s="882"/>
      <c r="AB185" s="882"/>
      <c r="AC185" s="882"/>
      <c r="AD185" s="882"/>
      <c r="AE185" s="882"/>
      <c r="AF185" s="882"/>
      <c r="AG185" s="882">
        <v>5</v>
      </c>
      <c r="AH185" s="882"/>
      <c r="AI185" s="882">
        <v>2</v>
      </c>
      <c r="AJ185" s="882">
        <v>3</v>
      </c>
      <c r="AK185" s="882"/>
      <c r="AL185" s="889"/>
    </row>
    <row r="186" spans="1:38" s="890" customFormat="1">
      <c r="A186" s="882">
        <v>409</v>
      </c>
      <c r="B186" s="891">
        <f t="shared" si="19"/>
        <v>227</v>
      </c>
      <c r="C186" s="882">
        <f t="shared" si="14"/>
        <v>182</v>
      </c>
      <c r="D186" s="883">
        <v>3509</v>
      </c>
      <c r="E186" s="884" t="str">
        <f>IFERROR(VLOOKUP(Table2[[#This Row],[Player No]],Table10[[No]:[Province]],2,0),"")</f>
        <v>BHUNDOO Aryik</v>
      </c>
      <c r="F186" s="885" t="str">
        <f>IFERROR(VLOOKUP(Table2[[#This Row],[Player No]],Table10[[No]:[Province]],3,0),"")</f>
        <v>UMG</v>
      </c>
      <c r="G186" s="892">
        <v>6.5</v>
      </c>
      <c r="H186" s="886">
        <f>(Table2[[#This Row],[Points 2025]]/2)+SUM(Table2[[#This Row],[O1  ADMIN 2026]:[P2    CAPE TOWN OPEN 2026 ]])</f>
        <v>5.25</v>
      </c>
      <c r="I186" s="880">
        <f t="shared" si="13"/>
        <v>1</v>
      </c>
      <c r="J186" s="882">
        <f t="shared" si="15"/>
        <v>0</v>
      </c>
      <c r="K186" s="887" t="s">
        <v>6083</v>
      </c>
      <c r="L186" s="887" t="s">
        <v>6083</v>
      </c>
      <c r="M186" s="887">
        <v>2</v>
      </c>
      <c r="N186" s="887"/>
      <c r="O186" s="882">
        <v>3</v>
      </c>
      <c r="P186" s="882">
        <v>2</v>
      </c>
      <c r="Q186" s="888"/>
      <c r="R186" s="888"/>
      <c r="S186" s="882">
        <v>1</v>
      </c>
      <c r="T186" s="888"/>
      <c r="U186" s="882"/>
      <c r="V186" s="887"/>
      <c r="W186" s="888"/>
      <c r="X186" s="882"/>
      <c r="Y186" s="888"/>
      <c r="Z186" s="882"/>
      <c r="AA186" s="882"/>
      <c r="AB186" s="882"/>
      <c r="AC186" s="882"/>
      <c r="AD186" s="882"/>
      <c r="AE186" s="882"/>
      <c r="AF186" s="882"/>
      <c r="AG186" s="882"/>
      <c r="AH186" s="882"/>
      <c r="AI186" s="882"/>
      <c r="AJ186" s="882">
        <v>1</v>
      </c>
      <c r="AK186" s="882"/>
      <c r="AL186" s="889"/>
    </row>
    <row r="187" spans="1:38" s="890" customFormat="1">
      <c r="A187" s="882">
        <v>439</v>
      </c>
      <c r="B187" s="891">
        <f t="shared" si="19"/>
        <v>256</v>
      </c>
      <c r="C187" s="882">
        <f t="shared" si="14"/>
        <v>183</v>
      </c>
      <c r="D187" s="883">
        <v>1552</v>
      </c>
      <c r="E187" s="884" t="str">
        <f>IFERROR(VLOOKUP(Table2[[#This Row],[Player No]],Table10[[No]:[Province]],2,0),"")</f>
        <v xml:space="preserve">YAGHYA Refai </v>
      </c>
      <c r="F187" s="885" t="str">
        <f>IFERROR(VLOOKUP(Table2[[#This Row],[Player No]],Table10[[No]:[Province]],3,0),"")</f>
        <v>CT</v>
      </c>
      <c r="G187" s="892">
        <v>10.4375</v>
      </c>
      <c r="H187" s="886">
        <f>(Table2[[#This Row],[Points 2025]]/2)+SUM(Table2[[#This Row],[O1  ADMIN 2026]:[P2    CAPE TOWN OPEN 2026 ]])</f>
        <v>5.21875</v>
      </c>
      <c r="I187" s="880">
        <f t="shared" si="13"/>
        <v>0</v>
      </c>
      <c r="J187" s="882">
        <f t="shared" si="15"/>
        <v>0</v>
      </c>
      <c r="K187" s="887" t="s">
        <v>6083</v>
      </c>
      <c r="L187" s="887" t="s">
        <v>6083</v>
      </c>
      <c r="M187" s="887" t="s">
        <v>6083</v>
      </c>
      <c r="N187" s="887"/>
      <c r="O187" s="882"/>
      <c r="P187" s="882"/>
      <c r="Q187" s="888"/>
      <c r="R187" s="888"/>
      <c r="S187" s="882"/>
      <c r="T187" s="888"/>
      <c r="U187" s="882"/>
      <c r="V187" s="887"/>
      <c r="W187" s="888"/>
      <c r="X187" s="882"/>
      <c r="Y187" s="888"/>
      <c r="Z187" s="882"/>
      <c r="AA187" s="882"/>
      <c r="AB187" s="882"/>
      <c r="AC187" s="882"/>
      <c r="AD187" s="882"/>
      <c r="AE187" s="882">
        <v>5</v>
      </c>
      <c r="AF187" s="882">
        <v>15</v>
      </c>
      <c r="AG187" s="882"/>
      <c r="AH187" s="882"/>
      <c r="AI187" s="882"/>
      <c r="AJ187" s="882"/>
      <c r="AK187" s="882"/>
      <c r="AL187" s="889"/>
    </row>
    <row r="188" spans="1:38" s="890" customFormat="1">
      <c r="A188" s="882">
        <v>182</v>
      </c>
      <c r="B188" s="891">
        <f t="shared" si="19"/>
        <v>-2</v>
      </c>
      <c r="C188" s="882">
        <f t="shared" si="14"/>
        <v>184</v>
      </c>
      <c r="D188" s="883">
        <v>3063</v>
      </c>
      <c r="E188" s="884" t="str">
        <f>IFERROR(VLOOKUP(Table2[[#This Row],[Player No]],Table10[[No]:[Province]],2,0),"")</f>
        <v>CARRASCO Ricardo</v>
      </c>
      <c r="F188" s="885" t="str">
        <f>IFERROR(VLOOKUP(Table2[[#This Row],[Player No]],Table10[[No]:[Province]],3,0),"")</f>
        <v>FS</v>
      </c>
      <c r="G188" s="892">
        <v>10.25</v>
      </c>
      <c r="H188" s="886">
        <f>(Table2[[#This Row],[Points 2025]]/2)+SUM(Table2[[#This Row],[O1  ADMIN 2026]:[P2    CAPE TOWN OPEN 2026 ]])</f>
        <v>5.125</v>
      </c>
      <c r="I188" s="880">
        <f t="shared" si="13"/>
        <v>0</v>
      </c>
      <c r="J188" s="882">
        <f t="shared" si="15"/>
        <v>0</v>
      </c>
      <c r="K188" s="887" t="s">
        <v>6083</v>
      </c>
      <c r="L188" s="887" t="s">
        <v>6083</v>
      </c>
      <c r="M188" s="887" t="s">
        <v>6083</v>
      </c>
      <c r="N188" s="887"/>
      <c r="O188" s="882"/>
      <c r="P188" s="882"/>
      <c r="Q188" s="888"/>
      <c r="R188" s="888"/>
      <c r="S188" s="882"/>
      <c r="T188" s="888">
        <v>5</v>
      </c>
      <c r="U188" s="882">
        <v>1</v>
      </c>
      <c r="V188" s="887"/>
      <c r="W188" s="888"/>
      <c r="X188" s="882"/>
      <c r="Y188" s="888"/>
      <c r="Z188" s="882">
        <v>1</v>
      </c>
      <c r="AA188" s="882"/>
      <c r="AB188" s="882"/>
      <c r="AC188" s="882"/>
      <c r="AD188" s="882"/>
      <c r="AE188" s="882"/>
      <c r="AF188" s="882"/>
      <c r="AG188" s="882"/>
      <c r="AH188" s="882"/>
      <c r="AI188" s="882"/>
      <c r="AJ188" s="882">
        <v>5</v>
      </c>
      <c r="AK188" s="882"/>
      <c r="AL188" s="889"/>
    </row>
    <row r="189" spans="1:38" s="890" customFormat="1">
      <c r="A189" s="882">
        <v>79</v>
      </c>
      <c r="B189" s="891">
        <f t="shared" si="19"/>
        <v>-106</v>
      </c>
      <c r="C189" s="882">
        <f t="shared" si="14"/>
        <v>185</v>
      </c>
      <c r="D189" s="883">
        <v>1034</v>
      </c>
      <c r="E189" s="884" t="str">
        <f>IFERROR(VLOOKUP(Table2[[#This Row],[Player No]],Table10[[No]:[Province]],2,0),"")</f>
        <v xml:space="preserve">OSOBA Abbey </v>
      </c>
      <c r="F189" s="885" t="str">
        <f>IFERROR(VLOOKUP(Table2[[#This Row],[Player No]],Table10[[No]:[Province]],3,0),"")</f>
        <v>JTTA</v>
      </c>
      <c r="G189" s="892">
        <v>10.15625</v>
      </c>
      <c r="H189" s="886">
        <f>(Table2[[#This Row],[Points 2025]]/2)+SUM(Table2[[#This Row],[O1  ADMIN 2026]:[P2    CAPE TOWN OPEN 2026 ]])</f>
        <v>5.078125</v>
      </c>
      <c r="I189" s="880">
        <f t="shared" si="13"/>
        <v>0</v>
      </c>
      <c r="J189" s="882">
        <f t="shared" si="15"/>
        <v>0</v>
      </c>
      <c r="K189" s="887" t="s">
        <v>6083</v>
      </c>
      <c r="L189" s="887" t="s">
        <v>6083</v>
      </c>
      <c r="M189" s="887" t="s">
        <v>6083</v>
      </c>
      <c r="N189" s="887"/>
      <c r="O189" s="882"/>
      <c r="P189" s="882"/>
      <c r="Q189" s="888"/>
      <c r="R189" s="888"/>
      <c r="S189" s="882"/>
      <c r="T189" s="888"/>
      <c r="U189" s="882"/>
      <c r="V189" s="887"/>
      <c r="W189" s="888"/>
      <c r="X189" s="882"/>
      <c r="Y189" s="888"/>
      <c r="Z189" s="882"/>
      <c r="AA189" s="882"/>
      <c r="AB189" s="882"/>
      <c r="AC189" s="882"/>
      <c r="AD189" s="882"/>
      <c r="AE189" s="882"/>
      <c r="AF189" s="882"/>
      <c r="AG189" s="882"/>
      <c r="AH189" s="882"/>
      <c r="AI189" s="882"/>
      <c r="AJ189" s="882"/>
      <c r="AK189" s="882"/>
      <c r="AL189" s="889"/>
    </row>
    <row r="190" spans="1:38" s="890" customFormat="1">
      <c r="A190" s="882">
        <v>81</v>
      </c>
      <c r="B190" s="891">
        <f t="shared" si="19"/>
        <v>-105</v>
      </c>
      <c r="C190" s="882">
        <f t="shared" si="14"/>
        <v>186</v>
      </c>
      <c r="D190" s="883">
        <v>1088</v>
      </c>
      <c r="E190" s="884" t="str">
        <f>IFERROR(VLOOKUP(Table2[[#This Row],[Player No]],Table10[[No]:[Province]],2,0),"")</f>
        <v xml:space="preserve">KUNANE Itumaleng </v>
      </c>
      <c r="F190" s="885" t="str">
        <f>IFERROR(VLOOKUP(Table2[[#This Row],[Player No]],Table10[[No]:[Province]],3,0),"")</f>
        <v>FS</v>
      </c>
      <c r="G190" s="892">
        <v>10.12890625</v>
      </c>
      <c r="H190" s="886">
        <f>(Table2[[#This Row],[Points 2025]]/2)+SUM(Table2[[#This Row],[O1  ADMIN 2026]:[P2    CAPE TOWN OPEN 2026 ]])</f>
        <v>5.064453125</v>
      </c>
      <c r="I190" s="880">
        <f t="shared" si="13"/>
        <v>0</v>
      </c>
      <c r="J190" s="882">
        <f t="shared" si="15"/>
        <v>0</v>
      </c>
      <c r="K190" s="887" t="s">
        <v>6083</v>
      </c>
      <c r="L190" s="887" t="s">
        <v>6083</v>
      </c>
      <c r="M190" s="887" t="s">
        <v>6083</v>
      </c>
      <c r="N190" s="887"/>
      <c r="O190" s="882"/>
      <c r="P190" s="882"/>
      <c r="Q190" s="888"/>
      <c r="R190" s="888"/>
      <c r="S190" s="882"/>
      <c r="T190" s="888"/>
      <c r="U190" s="882"/>
      <c r="V190" s="887"/>
      <c r="W190" s="888"/>
      <c r="X190" s="882"/>
      <c r="Y190" s="888"/>
      <c r="Z190" s="882"/>
      <c r="AA190" s="882"/>
      <c r="AB190" s="882"/>
      <c r="AC190" s="882"/>
      <c r="AD190" s="882"/>
      <c r="AE190" s="882"/>
      <c r="AF190" s="882"/>
      <c r="AG190" s="882"/>
      <c r="AH190" s="882"/>
      <c r="AI190" s="882"/>
      <c r="AJ190" s="882"/>
      <c r="AK190" s="882"/>
      <c r="AL190" s="889"/>
    </row>
    <row r="191" spans="1:38" s="890" customFormat="1">
      <c r="A191" s="882">
        <v>91</v>
      </c>
      <c r="B191" s="891">
        <f t="shared" si="19"/>
        <v>-96</v>
      </c>
      <c r="C191" s="882">
        <f t="shared" si="14"/>
        <v>187</v>
      </c>
      <c r="D191" s="883">
        <v>1558</v>
      </c>
      <c r="E191" s="884" t="str">
        <f>IFERROR(VLOOKUP(Table2[[#This Row],[Player No]],Table10[[No]:[Province]],2,0),"")</f>
        <v xml:space="preserve">ISAACS Moeneeb </v>
      </c>
      <c r="F191" s="885" t="str">
        <f>IFERROR(VLOOKUP(Table2[[#This Row],[Player No]],Table10[[No]:[Province]],3,0),"")</f>
        <v>CT</v>
      </c>
      <c r="G191" s="892">
        <v>10.05859375</v>
      </c>
      <c r="H191" s="886">
        <f>(Table2[[#This Row],[Points 2025]]/2)+SUM(Table2[[#This Row],[O1  ADMIN 2026]:[P2    CAPE TOWN OPEN 2026 ]])</f>
        <v>5.029296875</v>
      </c>
      <c r="I191" s="880">
        <f t="shared" si="13"/>
        <v>0</v>
      </c>
      <c r="J191" s="882">
        <f t="shared" si="15"/>
        <v>0</v>
      </c>
      <c r="K191" s="887" t="s">
        <v>6083</v>
      </c>
      <c r="L191" s="887" t="s">
        <v>6083</v>
      </c>
      <c r="M191" s="887" t="s">
        <v>6083</v>
      </c>
      <c r="N191" s="887"/>
      <c r="O191" s="882"/>
      <c r="P191" s="882"/>
      <c r="Q191" s="888"/>
      <c r="R191" s="888"/>
      <c r="S191" s="882"/>
      <c r="T191" s="888"/>
      <c r="U191" s="882"/>
      <c r="V191" s="887"/>
      <c r="W191" s="888"/>
      <c r="X191" s="882"/>
      <c r="Y191" s="888"/>
      <c r="Z191" s="882"/>
      <c r="AA191" s="882"/>
      <c r="AB191" s="882"/>
      <c r="AC191" s="882"/>
      <c r="AD191" s="882"/>
      <c r="AE191" s="882">
        <v>3</v>
      </c>
      <c r="AF191" s="882"/>
      <c r="AG191" s="882"/>
      <c r="AH191" s="882"/>
      <c r="AI191" s="882"/>
      <c r="AJ191" s="882"/>
      <c r="AK191" s="882"/>
      <c r="AL191" s="889"/>
    </row>
    <row r="192" spans="1:38" s="890" customFormat="1" ht="15.75" customHeight="1">
      <c r="A192" s="882"/>
      <c r="B192" s="891"/>
      <c r="C192" s="882">
        <f t="shared" si="14"/>
        <v>188</v>
      </c>
      <c r="D192" s="883">
        <v>1610</v>
      </c>
      <c r="E192" s="884" t="str">
        <f>IFERROR(VLOOKUP(Table2[[#This Row],[Player No]],Table10[[No]:[Province]],2,0),"")</f>
        <v>RAMOLLO Mahlatse</v>
      </c>
      <c r="F192" s="885" t="str">
        <f>IFERROR(VLOOKUP(Table2[[#This Row],[Player No]],Table10[[No]:[Province]],3,0),"")</f>
        <v>LIM</v>
      </c>
      <c r="G192" s="892">
        <v>10</v>
      </c>
      <c r="H192" s="886">
        <f>(Table2[[#This Row],[Points 2025]]/2)+SUM(Table2[[#This Row],[O1  ADMIN 2026]:[P2    CAPE TOWN OPEN 2026 ]])</f>
        <v>5</v>
      </c>
      <c r="I192" s="880">
        <f t="shared" si="13"/>
        <v>0</v>
      </c>
      <c r="J192" s="882">
        <f t="shared" si="15"/>
        <v>0</v>
      </c>
      <c r="K192" s="887" t="s">
        <v>6083</v>
      </c>
      <c r="L192" s="887" t="s">
        <v>6083</v>
      </c>
      <c r="M192" s="887" t="s">
        <v>6083</v>
      </c>
      <c r="N192" s="887"/>
      <c r="O192" s="882"/>
      <c r="P192" s="882"/>
      <c r="Q192" s="888"/>
      <c r="R192" s="888"/>
      <c r="S192" s="882"/>
      <c r="T192" s="888"/>
      <c r="U192" s="882"/>
      <c r="V192" s="887"/>
      <c r="W192" s="888">
        <v>10</v>
      </c>
      <c r="X192" s="882"/>
      <c r="Y192" s="888"/>
      <c r="Z192" s="882"/>
      <c r="AA192" s="882"/>
      <c r="AB192" s="882"/>
      <c r="AC192" s="882"/>
      <c r="AD192" s="882"/>
      <c r="AE192" s="882"/>
      <c r="AF192" s="882"/>
      <c r="AG192" s="882"/>
      <c r="AH192" s="882"/>
      <c r="AI192" s="882"/>
      <c r="AJ192" s="882"/>
      <c r="AK192" s="882"/>
      <c r="AL192" s="889"/>
    </row>
    <row r="193" spans="1:38" s="890" customFormat="1">
      <c r="A193" s="882"/>
      <c r="B193" s="891"/>
      <c r="C193" s="882">
        <f t="shared" si="14"/>
        <v>189</v>
      </c>
      <c r="D193" s="883">
        <v>2125</v>
      </c>
      <c r="E193" s="884" t="str">
        <f>IFERROR(VLOOKUP(Table2[[#This Row],[Player No]],Table10[[No]:[Province]],2,0),"")</f>
        <v xml:space="preserve">MONNAHELA R </v>
      </c>
      <c r="F193" s="885" t="str">
        <f>IFERROR(VLOOKUP(Table2[[#This Row],[Player No]],Table10[[No]:[Province]],3,0),"")</f>
        <v>NWP</v>
      </c>
      <c r="G193" s="892">
        <v>10</v>
      </c>
      <c r="H193" s="886">
        <f>(Table2[[#This Row],[Points 2025]]/2)+SUM(Table2[[#This Row],[O1  ADMIN 2026]:[P2    CAPE TOWN OPEN 2026 ]])</f>
        <v>5</v>
      </c>
      <c r="I193" s="880">
        <f t="shared" si="13"/>
        <v>0</v>
      </c>
      <c r="J193" s="882">
        <f t="shared" si="15"/>
        <v>0</v>
      </c>
      <c r="K193" s="887" t="s">
        <v>6083</v>
      </c>
      <c r="L193" s="887" t="s">
        <v>6083</v>
      </c>
      <c r="M193" s="887" t="s">
        <v>6083</v>
      </c>
      <c r="N193" s="887"/>
      <c r="O193" s="882"/>
      <c r="P193" s="882"/>
      <c r="Q193" s="888"/>
      <c r="R193" s="888"/>
      <c r="S193" s="882"/>
      <c r="T193" s="888"/>
      <c r="U193" s="882"/>
      <c r="V193" s="887"/>
      <c r="W193" s="888">
        <v>5</v>
      </c>
      <c r="X193" s="882"/>
      <c r="Y193" s="888"/>
      <c r="Z193" s="882"/>
      <c r="AA193" s="882"/>
      <c r="AB193" s="882"/>
      <c r="AC193" s="882"/>
      <c r="AD193" s="882"/>
      <c r="AE193" s="882"/>
      <c r="AF193" s="882"/>
      <c r="AG193" s="882">
        <v>10</v>
      </c>
      <c r="AH193" s="882"/>
      <c r="AI193" s="882"/>
      <c r="AJ193" s="882"/>
      <c r="AK193" s="882"/>
      <c r="AL193" s="889"/>
    </row>
    <row r="194" spans="1:38" s="890" customFormat="1">
      <c r="A194" s="882"/>
      <c r="B194" s="891"/>
      <c r="C194" s="882">
        <f t="shared" si="14"/>
        <v>190</v>
      </c>
      <c r="D194" s="883">
        <v>2237</v>
      </c>
      <c r="E194" s="884" t="str">
        <f>IFERROR(VLOOKUP(Table2[[#This Row],[Player No]],Table10[[No]:[Province]],2,0),"")</f>
        <v xml:space="preserve">MADORO Trust </v>
      </c>
      <c r="F194" s="885" t="str">
        <f>IFERROR(VLOOKUP(Table2[[#This Row],[Player No]],Table10[[No]:[Province]],3,0),"")</f>
        <v>ZIM</v>
      </c>
      <c r="G194" s="892">
        <v>10</v>
      </c>
      <c r="H194" s="886">
        <f>(Table2[[#This Row],[Points 2025]]/2)+SUM(Table2[[#This Row],[O1  ADMIN 2026]:[P2    CAPE TOWN OPEN 2026 ]])</f>
        <v>5</v>
      </c>
      <c r="I194" s="880">
        <f t="shared" si="13"/>
        <v>0</v>
      </c>
      <c r="J194" s="882">
        <f t="shared" si="15"/>
        <v>0</v>
      </c>
      <c r="K194" s="887" t="s">
        <v>6083</v>
      </c>
      <c r="L194" s="887" t="s">
        <v>6083</v>
      </c>
      <c r="M194" s="887" t="s">
        <v>6083</v>
      </c>
      <c r="N194" s="887"/>
      <c r="O194" s="882"/>
      <c r="P194" s="882"/>
      <c r="Q194" s="888"/>
      <c r="R194" s="888"/>
      <c r="S194" s="882"/>
      <c r="T194" s="888"/>
      <c r="U194" s="882"/>
      <c r="V194" s="887"/>
      <c r="W194" s="888">
        <v>10</v>
      </c>
      <c r="X194" s="882"/>
      <c r="Y194" s="888"/>
      <c r="Z194" s="882"/>
      <c r="AA194" s="882"/>
      <c r="AB194" s="882"/>
      <c r="AC194" s="882"/>
      <c r="AD194" s="882"/>
      <c r="AE194" s="882"/>
      <c r="AF194" s="882"/>
      <c r="AG194" s="882"/>
      <c r="AH194" s="882"/>
      <c r="AI194" s="882"/>
      <c r="AJ194" s="882"/>
      <c r="AK194" s="882"/>
      <c r="AL194" s="889"/>
    </row>
    <row r="195" spans="1:38" s="890" customFormat="1">
      <c r="A195" s="882"/>
      <c r="B195" s="891"/>
      <c r="C195" s="882">
        <f t="shared" si="14"/>
        <v>191</v>
      </c>
      <c r="D195" s="883">
        <v>2634</v>
      </c>
      <c r="E195" s="884" t="str">
        <f>IFERROR(VLOOKUP(Table2[[#This Row],[Player No]],Table10[[No]:[Province]],2,0),"")</f>
        <v>PHEKONYANE Kgalalelo</v>
      </c>
      <c r="F195" s="885" t="str">
        <f>IFERROR(VLOOKUP(Table2[[#This Row],[Player No]],Table10[[No]:[Province]],3,0),"")</f>
        <v>FS</v>
      </c>
      <c r="G195" s="892">
        <v>10</v>
      </c>
      <c r="H195" s="886">
        <f>(Table2[[#This Row],[Points 2025]]/2)+SUM(Table2[[#This Row],[O1  ADMIN 2026]:[P2    CAPE TOWN OPEN 2026 ]])</f>
        <v>5</v>
      </c>
      <c r="I195" s="880">
        <f t="shared" si="13"/>
        <v>0</v>
      </c>
      <c r="J195" s="882">
        <f t="shared" si="15"/>
        <v>0</v>
      </c>
      <c r="K195" s="887" t="s">
        <v>6083</v>
      </c>
      <c r="L195" s="887">
        <v>0</v>
      </c>
      <c r="M195" s="887" t="s">
        <v>6083</v>
      </c>
      <c r="N195" s="887"/>
      <c r="O195" s="882"/>
      <c r="P195" s="882"/>
      <c r="Q195" s="888"/>
      <c r="R195" s="888"/>
      <c r="S195" s="882"/>
      <c r="T195" s="888"/>
      <c r="U195" s="882"/>
      <c r="V195" s="887"/>
      <c r="W195" s="888"/>
      <c r="X195" s="882">
        <v>5</v>
      </c>
      <c r="Y195" s="888"/>
      <c r="Z195" s="882">
        <v>5</v>
      </c>
      <c r="AA195" s="882"/>
      <c r="AB195" s="882"/>
      <c r="AC195" s="882"/>
      <c r="AD195" s="882"/>
      <c r="AE195" s="882"/>
      <c r="AF195" s="882"/>
      <c r="AG195" s="882"/>
      <c r="AH195" s="882"/>
      <c r="AI195" s="882"/>
      <c r="AJ195" s="882"/>
      <c r="AK195" s="882"/>
      <c r="AL195" s="889"/>
    </row>
    <row r="196" spans="1:38" s="890" customFormat="1">
      <c r="A196" s="882"/>
      <c r="B196" s="891">
        <f>+A196-C196</f>
        <v>-192</v>
      </c>
      <c r="C196" s="882">
        <f t="shared" si="14"/>
        <v>192</v>
      </c>
      <c r="D196" s="883">
        <v>3434</v>
      </c>
      <c r="E196" s="884" t="str">
        <f>IFERROR(VLOOKUP(Table2[[#This Row],[Player No]],Table10[[No]:[Province]],2,0),"")</f>
        <v xml:space="preserve">EBRAHIM Rameez </v>
      </c>
      <c r="F196" s="885" t="str">
        <f>IFERROR(VLOOKUP(Table2[[#This Row],[Player No]],Table10[[No]:[Province]],3,0),"")</f>
        <v>GN</v>
      </c>
      <c r="G196" s="892">
        <v>10</v>
      </c>
      <c r="H196" s="886">
        <f>(Table2[[#This Row],[Points 2025]]/2)+SUM(Table2[[#This Row],[O1  ADMIN 2026]:[P2    CAPE TOWN OPEN 2026 ]])</f>
        <v>5</v>
      </c>
      <c r="I196" s="880">
        <f t="shared" si="13"/>
        <v>0</v>
      </c>
      <c r="J196" s="882">
        <f t="shared" si="15"/>
        <v>0</v>
      </c>
      <c r="K196" s="887" t="s">
        <v>6083</v>
      </c>
      <c r="L196" s="887" t="s">
        <v>6083</v>
      </c>
      <c r="M196" s="887" t="s">
        <v>6083</v>
      </c>
      <c r="N196" s="887"/>
      <c r="O196" s="882"/>
      <c r="P196" s="882"/>
      <c r="Q196" s="888"/>
      <c r="R196" s="888"/>
      <c r="S196" s="882"/>
      <c r="T196" s="888"/>
      <c r="U196" s="882"/>
      <c r="V196" s="887"/>
      <c r="W196" s="888"/>
      <c r="X196" s="882"/>
      <c r="Y196" s="888">
        <v>4</v>
      </c>
      <c r="Z196" s="882"/>
      <c r="AA196" s="882"/>
      <c r="AB196" s="882"/>
      <c r="AC196" s="882"/>
      <c r="AD196" s="882"/>
      <c r="AE196" s="882"/>
      <c r="AF196" s="882"/>
      <c r="AG196" s="882"/>
      <c r="AH196" s="882">
        <v>10</v>
      </c>
      <c r="AI196" s="882">
        <v>2</v>
      </c>
      <c r="AJ196" s="882"/>
      <c r="AK196" s="882"/>
      <c r="AL196" s="889"/>
    </row>
    <row r="197" spans="1:38" s="890" customFormat="1">
      <c r="A197" s="882"/>
      <c r="B197" s="891"/>
      <c r="C197" s="882">
        <f t="shared" si="14"/>
        <v>193</v>
      </c>
      <c r="D197" s="883">
        <v>4619</v>
      </c>
      <c r="E197" s="884" t="str">
        <f>IFERROR(VLOOKUP(Table2[[#This Row],[Player No]],Table10[[No]:[Province]],2,0),"")</f>
        <v>MADIWA Michael Tinotenda</v>
      </c>
      <c r="F197" s="885" t="str">
        <f>IFERROR(VLOOKUP(Table2[[#This Row],[Player No]],Table10[[No]:[Province]],3,0),"")</f>
        <v>ZIM</v>
      </c>
      <c r="G197" s="892">
        <v>10</v>
      </c>
      <c r="H197" s="886">
        <f>(Table2[[#This Row],[Points 2025]]/2)+SUM(Table2[[#This Row],[O1  ADMIN 2026]:[P2    CAPE TOWN OPEN 2026 ]])</f>
        <v>5</v>
      </c>
      <c r="I197" s="880">
        <f t="shared" ref="I197:I260" si="20">COUNTIF(K197:N197,"&gt;0")</f>
        <v>0</v>
      </c>
      <c r="J197" s="882">
        <f t="shared" si="15"/>
        <v>0</v>
      </c>
      <c r="K197" s="887" t="s">
        <v>6083</v>
      </c>
      <c r="L197" s="887" t="s">
        <v>6083</v>
      </c>
      <c r="M197" s="887" t="s">
        <v>6083</v>
      </c>
      <c r="N197" s="887"/>
      <c r="O197" s="882"/>
      <c r="P197" s="882"/>
      <c r="Q197" s="888"/>
      <c r="R197" s="888"/>
      <c r="S197" s="882"/>
      <c r="T197" s="888"/>
      <c r="U197" s="882"/>
      <c r="V197" s="887"/>
      <c r="W197" s="888">
        <v>10</v>
      </c>
      <c r="X197" s="882"/>
      <c r="Y197" s="888"/>
      <c r="Z197" s="882"/>
      <c r="AA197" s="882"/>
      <c r="AB197" s="882"/>
      <c r="AC197" s="882"/>
      <c r="AD197" s="882"/>
      <c r="AE197" s="882"/>
      <c r="AF197" s="882"/>
      <c r="AG197" s="882"/>
      <c r="AH197" s="882"/>
      <c r="AI197" s="882"/>
      <c r="AJ197" s="882"/>
      <c r="AK197" s="882"/>
      <c r="AL197" s="889"/>
    </row>
    <row r="198" spans="1:38" s="890" customFormat="1">
      <c r="A198" s="882"/>
      <c r="B198" s="891"/>
      <c r="C198" s="882">
        <f t="shared" ref="C198:C261" si="21">C197+1</f>
        <v>194</v>
      </c>
      <c r="D198" s="883">
        <v>4705</v>
      </c>
      <c r="E198" s="884" t="str">
        <f>IFERROR(VLOOKUP(Table2[[#This Row],[Player No]],Table10[[No]:[Province]],2,0),"")</f>
        <v>MOJAKISANE Thato</v>
      </c>
      <c r="F198" s="885" t="str">
        <f>IFERROR(VLOOKUP(Table2[[#This Row],[Player No]],Table10[[No]:[Province]],3,0),"")</f>
        <v>DRKKTTA</v>
      </c>
      <c r="G198" s="892">
        <v>10</v>
      </c>
      <c r="H198" s="886">
        <f>(Table2[[#This Row],[Points 2025]]/2)+SUM(Table2[[#This Row],[O1  ADMIN 2026]:[P2    CAPE TOWN OPEN 2026 ]])</f>
        <v>5</v>
      </c>
      <c r="I198" s="880">
        <f t="shared" si="20"/>
        <v>0</v>
      </c>
      <c r="J198" s="882">
        <f t="shared" si="15"/>
        <v>0</v>
      </c>
      <c r="K198" s="887" t="s">
        <v>6083</v>
      </c>
      <c r="L198" s="887" t="s">
        <v>6083</v>
      </c>
      <c r="M198" s="887" t="s">
        <v>6083</v>
      </c>
      <c r="N198" s="887"/>
      <c r="O198" s="882"/>
      <c r="P198" s="882"/>
      <c r="Q198" s="888"/>
      <c r="R198" s="888"/>
      <c r="S198" s="882"/>
      <c r="T198" s="888"/>
      <c r="U198" s="882"/>
      <c r="V198" s="887"/>
      <c r="W198" s="888">
        <v>10</v>
      </c>
      <c r="X198" s="882"/>
      <c r="Y198" s="888"/>
      <c r="Z198" s="882"/>
      <c r="AA198" s="882"/>
      <c r="AB198" s="882"/>
      <c r="AC198" s="882"/>
      <c r="AD198" s="882"/>
      <c r="AE198" s="882"/>
      <c r="AF198" s="882"/>
      <c r="AG198" s="882"/>
      <c r="AH198" s="882"/>
      <c r="AI198" s="882"/>
      <c r="AJ198" s="882"/>
      <c r="AK198" s="882"/>
      <c r="AL198" s="889"/>
    </row>
    <row r="199" spans="1:38" s="890" customFormat="1">
      <c r="A199" s="882"/>
      <c r="B199" s="891"/>
      <c r="C199" s="882">
        <f t="shared" si="21"/>
        <v>195</v>
      </c>
      <c r="D199" s="883">
        <v>4740</v>
      </c>
      <c r="E199" s="884" t="str">
        <f>IFERROR(VLOOKUP(Table2[[#This Row],[Player No]],Table10[[No]:[Province]],2,0),"")</f>
        <v xml:space="preserve">MWATSIKA Propheser </v>
      </c>
      <c r="F199" s="885" t="str">
        <f>IFERROR(VLOOKUP(Table2[[#This Row],[Player No]],Table10[[No]:[Province]],3,0),"")</f>
        <v>ZIM</v>
      </c>
      <c r="G199" s="892">
        <v>10</v>
      </c>
      <c r="H199" s="886">
        <f>(Table2[[#This Row],[Points 2025]]/2)+SUM(Table2[[#This Row],[O1  ADMIN 2026]:[P2    CAPE TOWN OPEN 2026 ]])</f>
        <v>5</v>
      </c>
      <c r="I199" s="880">
        <f t="shared" si="20"/>
        <v>0</v>
      </c>
      <c r="J199" s="882">
        <f t="shared" si="15"/>
        <v>0</v>
      </c>
      <c r="K199" s="887" t="s">
        <v>6083</v>
      </c>
      <c r="L199" s="887" t="s">
        <v>6083</v>
      </c>
      <c r="M199" s="887" t="s">
        <v>6083</v>
      </c>
      <c r="N199" s="887"/>
      <c r="O199" s="882"/>
      <c r="P199" s="882"/>
      <c r="Q199" s="888"/>
      <c r="R199" s="888"/>
      <c r="S199" s="882"/>
      <c r="T199" s="888"/>
      <c r="U199" s="882"/>
      <c r="V199" s="887"/>
      <c r="W199" s="888">
        <v>10</v>
      </c>
      <c r="X199" s="882"/>
      <c r="Y199" s="888"/>
      <c r="Z199" s="882"/>
      <c r="AA199" s="882"/>
      <c r="AB199" s="882"/>
      <c r="AC199" s="882"/>
      <c r="AD199" s="882"/>
      <c r="AE199" s="882"/>
      <c r="AF199" s="882"/>
      <c r="AG199" s="882"/>
      <c r="AH199" s="882"/>
      <c r="AI199" s="882"/>
      <c r="AJ199" s="882"/>
      <c r="AK199" s="882"/>
      <c r="AL199" s="889"/>
    </row>
    <row r="200" spans="1:38" s="890" customFormat="1">
      <c r="A200" s="882">
        <v>212</v>
      </c>
      <c r="B200" s="891">
        <f>+A200-C200</f>
        <v>16</v>
      </c>
      <c r="C200" s="882">
        <f t="shared" si="21"/>
        <v>196</v>
      </c>
      <c r="D200" s="883">
        <v>1973</v>
      </c>
      <c r="E200" s="884" t="str">
        <f>IFERROR(VLOOKUP(Table2[[#This Row],[Player No]],Table10[[No]:[Province]],2,0),"")</f>
        <v>Van Rooyen Llewellyn</v>
      </c>
      <c r="F200" s="885" t="str">
        <f>IFERROR(VLOOKUP(Table2[[#This Row],[Player No]],Table10[[No]:[Province]],3,0),"")</f>
        <v>EDEN</v>
      </c>
      <c r="G200" s="892">
        <v>9.921875</v>
      </c>
      <c r="H200" s="886">
        <f>(Table2[[#This Row],[Points 2025]]/2)+SUM(Table2[[#This Row],[O1  ADMIN 2026]:[P2    CAPE TOWN OPEN 2026 ]])</f>
        <v>4.9609375</v>
      </c>
      <c r="I200" s="880">
        <f t="shared" si="20"/>
        <v>0</v>
      </c>
      <c r="J200" s="882">
        <f t="shared" si="15"/>
        <v>0</v>
      </c>
      <c r="K200" s="887" t="s">
        <v>6083</v>
      </c>
      <c r="L200" s="887" t="s">
        <v>6083</v>
      </c>
      <c r="M200" s="887" t="s">
        <v>6083</v>
      </c>
      <c r="N200" s="887"/>
      <c r="O200" s="882"/>
      <c r="P200" s="882"/>
      <c r="Q200" s="888"/>
      <c r="R200" s="888"/>
      <c r="S200" s="882"/>
      <c r="T200" s="888"/>
      <c r="U200" s="882"/>
      <c r="V200" s="887"/>
      <c r="W200" s="888">
        <v>5</v>
      </c>
      <c r="X200" s="882"/>
      <c r="Y200" s="888"/>
      <c r="Z200" s="882"/>
      <c r="AA200" s="882"/>
      <c r="AB200" s="882"/>
      <c r="AC200" s="882"/>
      <c r="AD200" s="882"/>
      <c r="AE200" s="882"/>
      <c r="AF200" s="882">
        <v>5</v>
      </c>
      <c r="AG200" s="882"/>
      <c r="AH200" s="882"/>
      <c r="AI200" s="882"/>
      <c r="AJ200" s="882"/>
      <c r="AK200" s="882"/>
      <c r="AL200" s="889"/>
    </row>
    <row r="201" spans="1:38" s="890" customFormat="1">
      <c r="A201" s="882">
        <v>905</v>
      </c>
      <c r="B201" s="891">
        <f>+A201-C201</f>
        <v>708</v>
      </c>
      <c r="C201" s="882">
        <f t="shared" si="21"/>
        <v>197</v>
      </c>
      <c r="D201" s="883">
        <v>1191</v>
      </c>
      <c r="E201" s="884" t="str">
        <f>IFERROR(VLOOKUP(Table2[[#This Row],[Player No]],Table10[[No]:[Province]],2,0),"")</f>
        <v xml:space="preserve">MINAAR Eltonio </v>
      </c>
      <c r="F201" s="885" t="str">
        <f>IFERROR(VLOOKUP(Table2[[#This Row],[Player No]],Table10[[No]:[Province]],3,0),"")</f>
        <v>CT</v>
      </c>
      <c r="G201" s="892">
        <v>9.5</v>
      </c>
      <c r="H201" s="886">
        <f>(Table2[[#This Row],[Points 2025]]/2)+SUM(Table2[[#This Row],[O1  ADMIN 2026]:[P2    CAPE TOWN OPEN 2026 ]])</f>
        <v>4.75</v>
      </c>
      <c r="I201" s="880">
        <f t="shared" si="20"/>
        <v>0</v>
      </c>
      <c r="J201" s="882">
        <f t="shared" si="15"/>
        <v>0</v>
      </c>
      <c r="K201" s="887" t="s">
        <v>6083</v>
      </c>
      <c r="L201" s="887" t="s">
        <v>6083</v>
      </c>
      <c r="M201" s="887" t="s">
        <v>6083</v>
      </c>
      <c r="N201" s="887"/>
      <c r="O201" s="882"/>
      <c r="P201" s="882"/>
      <c r="Q201" s="888"/>
      <c r="R201" s="888"/>
      <c r="S201" s="882"/>
      <c r="T201" s="888"/>
      <c r="U201" s="882"/>
      <c r="V201" s="887"/>
      <c r="W201" s="888"/>
      <c r="X201" s="882"/>
      <c r="Y201" s="888"/>
      <c r="Z201" s="882"/>
      <c r="AA201" s="882"/>
      <c r="AB201" s="882"/>
      <c r="AC201" s="882"/>
      <c r="AD201" s="882"/>
      <c r="AE201" s="882"/>
      <c r="AF201" s="882">
        <v>15</v>
      </c>
      <c r="AG201" s="882"/>
      <c r="AH201" s="882"/>
      <c r="AI201" s="882"/>
      <c r="AJ201" s="882"/>
      <c r="AK201" s="882"/>
      <c r="AL201" s="889"/>
    </row>
    <row r="202" spans="1:38" s="890" customFormat="1">
      <c r="A202" s="882">
        <v>155</v>
      </c>
      <c r="B202" s="891">
        <f>+A202-C202</f>
        <v>-43</v>
      </c>
      <c r="C202" s="882">
        <f t="shared" si="21"/>
        <v>198</v>
      </c>
      <c r="D202" s="883">
        <v>3495</v>
      </c>
      <c r="E202" s="884" t="str">
        <f>IFERROR(VLOOKUP(Table2[[#This Row],[Player No]],Table10[[No]:[Province]],2,0),"")</f>
        <v>VENTER Christo</v>
      </c>
      <c r="F202" s="885" t="str">
        <f>IFERROR(VLOOKUP(Table2[[#This Row],[Player No]],Table10[[No]:[Province]],3,0),"")</f>
        <v>GN</v>
      </c>
      <c r="G202" s="892">
        <v>7.25</v>
      </c>
      <c r="H202" s="886">
        <f>(Table2[[#This Row],[Points 2025]]/2)+SUM(Table2[[#This Row],[O1  ADMIN 2026]:[P2    CAPE TOWN OPEN 2026 ]])</f>
        <v>4.625</v>
      </c>
      <c r="I202" s="880">
        <f t="shared" si="20"/>
        <v>1</v>
      </c>
      <c r="J202" s="882">
        <f t="shared" si="15"/>
        <v>0</v>
      </c>
      <c r="K202" s="887">
        <v>1</v>
      </c>
      <c r="L202" s="887" t="s">
        <v>6083</v>
      </c>
      <c r="M202" s="887" t="s">
        <v>6083</v>
      </c>
      <c r="N202" s="887"/>
      <c r="O202" s="882"/>
      <c r="P202" s="882"/>
      <c r="Q202" s="888"/>
      <c r="R202" s="888"/>
      <c r="S202" s="882"/>
      <c r="T202" s="888"/>
      <c r="U202" s="882"/>
      <c r="V202" s="887"/>
      <c r="W202" s="888"/>
      <c r="X202" s="882"/>
      <c r="Y202" s="888"/>
      <c r="Z202" s="882">
        <v>3</v>
      </c>
      <c r="AA202" s="882"/>
      <c r="AB202" s="882"/>
      <c r="AC202" s="882"/>
      <c r="AD202" s="882"/>
      <c r="AE202" s="882"/>
      <c r="AF202" s="882"/>
      <c r="AG202" s="882"/>
      <c r="AH202" s="882"/>
      <c r="AI202" s="882"/>
      <c r="AJ202" s="882">
        <v>5</v>
      </c>
      <c r="AK202" s="882"/>
      <c r="AL202" s="889"/>
    </row>
    <row r="203" spans="1:38" s="890" customFormat="1">
      <c r="A203" s="882"/>
      <c r="B203" s="891"/>
      <c r="C203" s="882">
        <f t="shared" si="21"/>
        <v>199</v>
      </c>
      <c r="D203" s="883">
        <v>3785</v>
      </c>
      <c r="E203" s="884" t="str">
        <f>IFERROR(VLOOKUP(Table2[[#This Row],[Player No]],Table10[[No]:[Province]],2,0),"")</f>
        <v>RAZIYA Lihle</v>
      </c>
      <c r="F203" s="885" t="str">
        <f>IFERROR(VLOOKUP(Table2[[#This Row],[Player No]],Table10[[No]:[Province]],3,0),"")</f>
        <v>EKU</v>
      </c>
      <c r="G203" s="892">
        <v>5</v>
      </c>
      <c r="H203" s="886">
        <f>(Table2[[#This Row],[Points 2025]]/2)+SUM(Table2[[#This Row],[O1  ADMIN 2026]:[P2    CAPE TOWN OPEN 2026 ]])</f>
        <v>4.5</v>
      </c>
      <c r="I203" s="880">
        <f t="shared" si="20"/>
        <v>1</v>
      </c>
      <c r="J203" s="882">
        <f t="shared" si="15"/>
        <v>0</v>
      </c>
      <c r="K203" s="887">
        <v>2</v>
      </c>
      <c r="L203" s="887" t="s">
        <v>6083</v>
      </c>
      <c r="M203" s="887" t="s">
        <v>6083</v>
      </c>
      <c r="N203" s="887"/>
      <c r="O203" s="882"/>
      <c r="P203" s="882"/>
      <c r="Q203" s="888"/>
      <c r="R203" s="888"/>
      <c r="S203" s="882"/>
      <c r="T203" s="888"/>
      <c r="U203" s="882"/>
      <c r="V203" s="887"/>
      <c r="W203" s="888">
        <v>5</v>
      </c>
      <c r="X203" s="882"/>
      <c r="Y203" s="888"/>
      <c r="Z203" s="882"/>
      <c r="AA203" s="882"/>
      <c r="AB203" s="882"/>
      <c r="AC203" s="882"/>
      <c r="AD203" s="882"/>
      <c r="AE203" s="882"/>
      <c r="AF203" s="882"/>
      <c r="AG203" s="882"/>
      <c r="AH203" s="882"/>
      <c r="AI203" s="882"/>
      <c r="AJ203" s="882"/>
      <c r="AK203" s="882"/>
      <c r="AL203" s="889"/>
    </row>
    <row r="204" spans="1:38" s="890" customFormat="1">
      <c r="A204" s="882"/>
      <c r="B204" s="891"/>
      <c r="C204" s="882">
        <f t="shared" si="21"/>
        <v>200</v>
      </c>
      <c r="D204" s="883">
        <v>4309</v>
      </c>
      <c r="E204" s="884" t="str">
        <f>IFERROR(VLOOKUP(Table2[[#This Row],[Player No]],Table10[[No]:[Province]],2,0),"")</f>
        <v xml:space="preserve">Mnikelo Dry </v>
      </c>
      <c r="F204" s="885" t="str">
        <f>IFERROR(VLOOKUP(Table2[[#This Row],[Player No]],Table10[[No]:[Province]],3,0),"")</f>
        <v>FS</v>
      </c>
      <c r="G204" s="892">
        <v>5</v>
      </c>
      <c r="H204" s="886">
        <f>(Table2[[#This Row],[Points 2025]]/2)+SUM(Table2[[#This Row],[O1  ADMIN 2026]:[P2    CAPE TOWN OPEN 2026 ]])</f>
        <v>4.5</v>
      </c>
      <c r="I204" s="880">
        <f t="shared" si="20"/>
        <v>1</v>
      </c>
      <c r="J204" s="882">
        <f t="shared" ref="J204:J267" si="22">COUNTIF(O204:AK204,"&lt;0")</f>
        <v>0</v>
      </c>
      <c r="K204" s="887">
        <v>2</v>
      </c>
      <c r="L204" s="887" t="s">
        <v>6083</v>
      </c>
      <c r="M204" s="887" t="s">
        <v>6083</v>
      </c>
      <c r="N204" s="887"/>
      <c r="O204" s="882"/>
      <c r="P204" s="882"/>
      <c r="Q204" s="888"/>
      <c r="R204" s="888"/>
      <c r="S204" s="882"/>
      <c r="T204" s="888"/>
      <c r="U204" s="882"/>
      <c r="V204" s="887"/>
      <c r="W204" s="888">
        <v>5</v>
      </c>
      <c r="X204" s="882"/>
      <c r="Y204" s="888"/>
      <c r="Z204" s="882"/>
      <c r="AA204" s="882"/>
      <c r="AB204" s="882"/>
      <c r="AC204" s="882"/>
      <c r="AD204" s="882"/>
      <c r="AE204" s="882"/>
      <c r="AF204" s="882"/>
      <c r="AG204" s="882"/>
      <c r="AH204" s="882"/>
      <c r="AI204" s="882"/>
      <c r="AJ204" s="882"/>
      <c r="AK204" s="882"/>
      <c r="AL204" s="889"/>
    </row>
    <row r="205" spans="1:38" s="890" customFormat="1">
      <c r="A205" s="882">
        <v>195</v>
      </c>
      <c r="B205" s="891">
        <f t="shared" ref="B205:B215" si="23">+A205-C205</f>
        <v>-6</v>
      </c>
      <c r="C205" s="882">
        <f t="shared" si="21"/>
        <v>201</v>
      </c>
      <c r="D205" s="883">
        <v>1706</v>
      </c>
      <c r="E205" s="884" t="str">
        <f>IFERROR(VLOOKUP(Table2[[#This Row],[Player No]],Table10[[No]:[Province]],2,0),"")</f>
        <v xml:space="preserve">JACOBS Elroy </v>
      </c>
      <c r="F205" s="885" t="str">
        <f>IFERROR(VLOOKUP(Table2[[#This Row],[Player No]],Table10[[No]:[Province]],3,0),"")</f>
        <v>EDEN</v>
      </c>
      <c r="G205" s="892">
        <v>8.96875</v>
      </c>
      <c r="H205" s="886">
        <f>(Table2[[#This Row],[Points 2025]]/2)+SUM(Table2[[#This Row],[O1  ADMIN 2026]:[P2    CAPE TOWN OPEN 2026 ]])</f>
        <v>4.484375</v>
      </c>
      <c r="I205" s="880">
        <f t="shared" si="20"/>
        <v>0</v>
      </c>
      <c r="J205" s="882">
        <f t="shared" si="22"/>
        <v>0</v>
      </c>
      <c r="K205" s="887" t="s">
        <v>6083</v>
      </c>
      <c r="L205" s="887" t="s">
        <v>6083</v>
      </c>
      <c r="M205" s="887" t="s">
        <v>6083</v>
      </c>
      <c r="N205" s="887"/>
      <c r="O205" s="882"/>
      <c r="P205" s="882"/>
      <c r="Q205" s="888"/>
      <c r="R205" s="888"/>
      <c r="S205" s="882"/>
      <c r="T205" s="888"/>
      <c r="U205" s="882"/>
      <c r="V205" s="887"/>
      <c r="W205" s="888">
        <v>5</v>
      </c>
      <c r="X205" s="882"/>
      <c r="Y205" s="888"/>
      <c r="Z205" s="882"/>
      <c r="AA205" s="882"/>
      <c r="AB205" s="882"/>
      <c r="AC205" s="882"/>
      <c r="AD205" s="882"/>
      <c r="AE205" s="882"/>
      <c r="AF205" s="882">
        <v>2</v>
      </c>
      <c r="AG205" s="882">
        <v>0</v>
      </c>
      <c r="AH205" s="882"/>
      <c r="AI205" s="882"/>
      <c r="AJ205" s="882"/>
      <c r="AK205" s="882"/>
      <c r="AL205" s="889"/>
    </row>
    <row r="206" spans="1:38" s="890" customFormat="1">
      <c r="A206" s="882">
        <v>157</v>
      </c>
      <c r="B206" s="891">
        <f t="shared" si="23"/>
        <v>-45</v>
      </c>
      <c r="C206" s="882">
        <f t="shared" si="21"/>
        <v>202</v>
      </c>
      <c r="D206" s="883">
        <v>1095</v>
      </c>
      <c r="E206" s="884" t="str">
        <f>IFERROR(VLOOKUP(Table2[[#This Row],[Player No]],Table10[[No]:[Province]],2,0),"")</f>
        <v xml:space="preserve">MOKHUTLE Lehlohonlo </v>
      </c>
      <c r="F206" s="885" t="str">
        <f>IFERROR(VLOOKUP(Table2[[#This Row],[Player No]],Table10[[No]:[Province]],3,0),"")</f>
        <v>SANDF</v>
      </c>
      <c r="G206" s="892">
        <v>8.958984375</v>
      </c>
      <c r="H206" s="886">
        <f>(Table2[[#This Row],[Points 2025]]/2)+SUM(Table2[[#This Row],[O1  ADMIN 2026]:[P2    CAPE TOWN OPEN 2026 ]])</f>
        <v>4.4794921875</v>
      </c>
      <c r="I206" s="880">
        <f t="shared" si="20"/>
        <v>0</v>
      </c>
      <c r="J206" s="882">
        <f t="shared" si="22"/>
        <v>0</v>
      </c>
      <c r="K206" s="887" t="s">
        <v>6083</v>
      </c>
      <c r="L206" s="887" t="s">
        <v>6083</v>
      </c>
      <c r="M206" s="887" t="s">
        <v>6083</v>
      </c>
      <c r="N206" s="887"/>
      <c r="O206" s="882"/>
      <c r="P206" s="882"/>
      <c r="Q206" s="888"/>
      <c r="R206" s="888"/>
      <c r="S206" s="882"/>
      <c r="T206" s="888">
        <v>5</v>
      </c>
      <c r="U206" s="882"/>
      <c r="V206" s="887"/>
      <c r="W206" s="888"/>
      <c r="X206" s="882"/>
      <c r="Y206" s="888"/>
      <c r="Z206" s="882"/>
      <c r="AA206" s="882"/>
      <c r="AB206" s="882"/>
      <c r="AC206" s="882"/>
      <c r="AD206" s="882"/>
      <c r="AE206" s="882"/>
      <c r="AF206" s="882"/>
      <c r="AG206" s="882"/>
      <c r="AH206" s="882"/>
      <c r="AI206" s="882"/>
      <c r="AJ206" s="882"/>
      <c r="AK206" s="882"/>
      <c r="AL206" s="889"/>
    </row>
    <row r="207" spans="1:38" s="890" customFormat="1">
      <c r="A207" s="882">
        <v>89</v>
      </c>
      <c r="B207" s="891">
        <f t="shared" si="23"/>
        <v>-114</v>
      </c>
      <c r="C207" s="882">
        <f t="shared" si="21"/>
        <v>203</v>
      </c>
      <c r="D207" s="883">
        <v>1304</v>
      </c>
      <c r="E207" s="884" t="str">
        <f>IFERROR(VLOOKUP(Table2[[#This Row],[Player No]],Table10[[No]:[Province]],2,0),"")</f>
        <v>SANDLANA Iva</v>
      </c>
      <c r="F207" s="885" t="str">
        <f>IFERROR(VLOOKUP(Table2[[#This Row],[Player No]],Table10[[No]:[Province]],3,0),"")</f>
        <v>EC</v>
      </c>
      <c r="G207" s="892">
        <v>8.75</v>
      </c>
      <c r="H207" s="886">
        <f>(Table2[[#This Row],[Points 2025]]/2)+SUM(Table2[[#This Row],[O1  ADMIN 2026]:[P2    CAPE TOWN OPEN 2026 ]])</f>
        <v>4.375</v>
      </c>
      <c r="I207" s="880">
        <f t="shared" si="20"/>
        <v>0</v>
      </c>
      <c r="J207" s="882">
        <f t="shared" si="22"/>
        <v>0</v>
      </c>
      <c r="K207" s="887" t="s">
        <v>6083</v>
      </c>
      <c r="L207" s="887" t="s">
        <v>6083</v>
      </c>
      <c r="M207" s="887" t="s">
        <v>6083</v>
      </c>
      <c r="N207" s="887"/>
      <c r="O207" s="882"/>
      <c r="P207" s="882"/>
      <c r="Q207" s="888"/>
      <c r="R207" s="888"/>
      <c r="S207" s="882"/>
      <c r="T207" s="888"/>
      <c r="U207" s="882"/>
      <c r="V207" s="887"/>
      <c r="W207" s="888"/>
      <c r="X207" s="882"/>
      <c r="Y207" s="888"/>
      <c r="Z207" s="882"/>
      <c r="AA207" s="882"/>
      <c r="AB207" s="882"/>
      <c r="AC207" s="882"/>
      <c r="AD207" s="882"/>
      <c r="AE207" s="882"/>
      <c r="AF207" s="882"/>
      <c r="AG207" s="882">
        <v>0</v>
      </c>
      <c r="AH207" s="882"/>
      <c r="AI207" s="882"/>
      <c r="AJ207" s="882">
        <v>1</v>
      </c>
      <c r="AK207" s="882"/>
      <c r="AL207" s="889"/>
    </row>
    <row r="208" spans="1:38" s="890" customFormat="1">
      <c r="A208" s="882">
        <v>130</v>
      </c>
      <c r="B208" s="891">
        <f t="shared" si="23"/>
        <v>-74</v>
      </c>
      <c r="C208" s="882">
        <f t="shared" si="21"/>
        <v>204</v>
      </c>
      <c r="D208" s="883">
        <v>1041</v>
      </c>
      <c r="E208" s="884" t="str">
        <f>IFERROR(VLOOKUP(Table2[[#This Row],[Player No]],Table10[[No]:[Province]],2,0),"")</f>
        <v xml:space="preserve">MONTAZ Villian </v>
      </c>
      <c r="F208" s="885" t="str">
        <f>IFERROR(VLOOKUP(Table2[[#This Row],[Player No]],Table10[[No]:[Province]],3,0),"")</f>
        <v>JTTA</v>
      </c>
      <c r="G208" s="892">
        <v>8.654296875</v>
      </c>
      <c r="H208" s="886">
        <f>(Table2[[#This Row],[Points 2025]]/2)+SUM(Table2[[#This Row],[O1  ADMIN 2026]:[P2    CAPE TOWN OPEN 2026 ]])</f>
        <v>4.3271484375</v>
      </c>
      <c r="I208" s="880">
        <f t="shared" si="20"/>
        <v>0</v>
      </c>
      <c r="J208" s="882">
        <f t="shared" si="22"/>
        <v>0</v>
      </c>
      <c r="K208" s="887" t="s">
        <v>6083</v>
      </c>
      <c r="L208" s="887" t="s">
        <v>6083</v>
      </c>
      <c r="M208" s="887" t="s">
        <v>6083</v>
      </c>
      <c r="N208" s="887"/>
      <c r="O208" s="882"/>
      <c r="P208" s="882"/>
      <c r="Q208" s="888"/>
      <c r="R208" s="888"/>
      <c r="S208" s="882"/>
      <c r="T208" s="888"/>
      <c r="U208" s="882"/>
      <c r="V208" s="887"/>
      <c r="W208" s="888"/>
      <c r="X208" s="882"/>
      <c r="Y208" s="888"/>
      <c r="Z208" s="882">
        <v>3</v>
      </c>
      <c r="AA208" s="882"/>
      <c r="AB208" s="882"/>
      <c r="AC208" s="882"/>
      <c r="AD208" s="882"/>
      <c r="AE208" s="882"/>
      <c r="AF208" s="882"/>
      <c r="AG208" s="882"/>
      <c r="AH208" s="882"/>
      <c r="AI208" s="882"/>
      <c r="AJ208" s="882"/>
      <c r="AK208" s="882"/>
      <c r="AL208" s="889"/>
    </row>
    <row r="209" spans="1:38" s="890" customFormat="1">
      <c r="A209" s="882">
        <v>94</v>
      </c>
      <c r="B209" s="891">
        <f t="shared" si="23"/>
        <v>-111</v>
      </c>
      <c r="C209" s="882">
        <f t="shared" si="21"/>
        <v>205</v>
      </c>
      <c r="D209" s="883">
        <v>3790</v>
      </c>
      <c r="E209" s="884" t="str">
        <f>IFERROR(VLOOKUP(Table2[[#This Row],[Player No]],Table10[[No]:[Province]],2,0),"")</f>
        <v xml:space="preserve">MURUGASEN Shayurin </v>
      </c>
      <c r="F209" s="885" t="str">
        <f>IFERROR(VLOOKUP(Table2[[#This Row],[Player No]],Table10[[No]:[Province]],3,0),"")</f>
        <v>ETTA</v>
      </c>
      <c r="G209" s="892">
        <v>8.5</v>
      </c>
      <c r="H209" s="886">
        <f>(Table2[[#This Row],[Points 2025]]/2)+SUM(Table2[[#This Row],[O1  ADMIN 2026]:[P2    CAPE TOWN OPEN 2026 ]])</f>
        <v>4.25</v>
      </c>
      <c r="I209" s="880">
        <f t="shared" si="20"/>
        <v>0</v>
      </c>
      <c r="J209" s="882">
        <f t="shared" si="22"/>
        <v>0</v>
      </c>
      <c r="K209" s="887" t="s">
        <v>6083</v>
      </c>
      <c r="L209" s="887" t="s">
        <v>6083</v>
      </c>
      <c r="M209" s="887" t="s">
        <v>6083</v>
      </c>
      <c r="N209" s="887"/>
      <c r="O209" s="882"/>
      <c r="P209" s="882"/>
      <c r="Q209" s="888"/>
      <c r="R209" s="888"/>
      <c r="S209" s="882"/>
      <c r="T209" s="888"/>
      <c r="U209" s="882"/>
      <c r="V209" s="887"/>
      <c r="W209" s="888"/>
      <c r="X209" s="882"/>
      <c r="Y209" s="888"/>
      <c r="Z209" s="882"/>
      <c r="AA209" s="882"/>
      <c r="AB209" s="882"/>
      <c r="AC209" s="882">
        <v>15</v>
      </c>
      <c r="AD209" s="882">
        <v>2</v>
      </c>
      <c r="AE209" s="882"/>
      <c r="AF209" s="882"/>
      <c r="AG209" s="882"/>
      <c r="AH209" s="882"/>
      <c r="AI209" s="882"/>
      <c r="AJ209" s="882"/>
      <c r="AK209" s="882"/>
      <c r="AL209" s="889"/>
    </row>
    <row r="210" spans="1:38" s="890" customFormat="1">
      <c r="A210" s="882">
        <v>431</v>
      </c>
      <c r="B210" s="891">
        <f t="shared" si="23"/>
        <v>225</v>
      </c>
      <c r="C210" s="882">
        <f t="shared" si="21"/>
        <v>206</v>
      </c>
      <c r="D210" s="883">
        <v>3870</v>
      </c>
      <c r="E210" s="884" t="str">
        <f>IFERROR(VLOOKUP(Table2[[#This Row],[Player No]],Table10[[No]:[Province]],2,0),"")</f>
        <v>SINGH Yash</v>
      </c>
      <c r="F210" s="885" t="str">
        <f>IFERROR(VLOOKUP(Table2[[#This Row],[Player No]],Table10[[No]:[Province]],3,0),"")</f>
        <v>UMG</v>
      </c>
      <c r="G210" s="892">
        <v>4.5</v>
      </c>
      <c r="H210" s="886">
        <f>(Table2[[#This Row],[Points 2025]]/2)+SUM(Table2[[#This Row],[O1  ADMIN 2026]:[P2    CAPE TOWN OPEN 2026 ]])</f>
        <v>4.25</v>
      </c>
      <c r="I210" s="880">
        <f t="shared" si="20"/>
        <v>2</v>
      </c>
      <c r="J210" s="882">
        <f t="shared" si="22"/>
        <v>0</v>
      </c>
      <c r="K210" s="887" t="s">
        <v>6083</v>
      </c>
      <c r="L210" s="887">
        <v>1</v>
      </c>
      <c r="M210" s="887">
        <v>1</v>
      </c>
      <c r="N210" s="887"/>
      <c r="O210" s="882">
        <v>2</v>
      </c>
      <c r="P210" s="882"/>
      <c r="Q210" s="888">
        <v>1</v>
      </c>
      <c r="R210" s="888"/>
      <c r="S210" s="882">
        <v>1</v>
      </c>
      <c r="T210" s="888"/>
      <c r="U210" s="882"/>
      <c r="V210" s="887"/>
      <c r="W210" s="888"/>
      <c r="X210" s="882"/>
      <c r="Y210" s="888"/>
      <c r="Z210" s="882"/>
      <c r="AA210" s="882"/>
      <c r="AB210" s="882"/>
      <c r="AC210" s="882"/>
      <c r="AD210" s="882">
        <v>1</v>
      </c>
      <c r="AE210" s="882"/>
      <c r="AF210" s="882"/>
      <c r="AG210" s="882"/>
      <c r="AH210" s="882"/>
      <c r="AI210" s="882"/>
      <c r="AJ210" s="882"/>
      <c r="AK210" s="882"/>
      <c r="AL210" s="889"/>
    </row>
    <row r="211" spans="1:38" s="890" customFormat="1">
      <c r="A211" s="882">
        <v>184</v>
      </c>
      <c r="B211" s="891">
        <f t="shared" si="23"/>
        <v>-23</v>
      </c>
      <c r="C211" s="882">
        <f t="shared" si="21"/>
        <v>207</v>
      </c>
      <c r="D211" s="883">
        <v>1643</v>
      </c>
      <c r="E211" s="884" t="str">
        <f>IFERROR(VLOOKUP(Table2[[#This Row],[Player No]],Table10[[No]:[Province]],2,0),"")</f>
        <v xml:space="preserve">LANGFORD Devon </v>
      </c>
      <c r="F211" s="885" t="str">
        <f>IFERROR(VLOOKUP(Table2[[#This Row],[Player No]],Table10[[No]:[Province]],3,0),"")</f>
        <v>NMB</v>
      </c>
      <c r="G211" s="892">
        <v>8.2421875</v>
      </c>
      <c r="H211" s="886">
        <f>(Table2[[#This Row],[Points 2025]]/2)+SUM(Table2[[#This Row],[O1  ADMIN 2026]:[P2    CAPE TOWN OPEN 2026 ]])</f>
        <v>4.12109375</v>
      </c>
      <c r="I211" s="880">
        <f t="shared" si="20"/>
        <v>0</v>
      </c>
      <c r="J211" s="882">
        <f t="shared" si="22"/>
        <v>0</v>
      </c>
      <c r="K211" s="887" t="s">
        <v>6083</v>
      </c>
      <c r="L211" s="887" t="s">
        <v>6083</v>
      </c>
      <c r="M211" s="887" t="s">
        <v>6083</v>
      </c>
      <c r="N211" s="887"/>
      <c r="O211" s="882"/>
      <c r="P211" s="882"/>
      <c r="Q211" s="888"/>
      <c r="R211" s="888"/>
      <c r="S211" s="882"/>
      <c r="T211" s="888"/>
      <c r="U211" s="882"/>
      <c r="V211" s="887"/>
      <c r="W211" s="888"/>
      <c r="X211" s="882"/>
      <c r="Y211" s="888"/>
      <c r="Z211" s="882"/>
      <c r="AA211" s="882"/>
      <c r="AB211" s="882"/>
      <c r="AC211" s="882"/>
      <c r="AD211" s="882"/>
      <c r="AE211" s="882"/>
      <c r="AF211" s="882"/>
      <c r="AG211" s="882">
        <v>10</v>
      </c>
      <c r="AH211" s="882"/>
      <c r="AI211" s="882"/>
      <c r="AJ211" s="882"/>
      <c r="AK211" s="882"/>
      <c r="AL211" s="889"/>
    </row>
    <row r="212" spans="1:38" s="890" customFormat="1">
      <c r="A212" s="882">
        <v>98</v>
      </c>
      <c r="B212" s="891">
        <f t="shared" si="23"/>
        <v>-110</v>
      </c>
      <c r="C212" s="882">
        <f t="shared" si="21"/>
        <v>208</v>
      </c>
      <c r="D212" s="883">
        <v>3349</v>
      </c>
      <c r="E212" s="884" t="str">
        <f>IFERROR(VLOOKUP(Table2[[#This Row],[Player No]],Table10[[No]:[Province]],2,0),"")</f>
        <v>WESSELS Braam</v>
      </c>
      <c r="F212" s="885" t="str">
        <f>IFERROR(VLOOKUP(Table2[[#This Row],[Player No]],Table10[[No]:[Province]],3,0),"")</f>
        <v>CT</v>
      </c>
      <c r="G212" s="892">
        <v>8.125</v>
      </c>
      <c r="H212" s="886">
        <f>(Table2[[#This Row],[Points 2025]]/2)+SUM(Table2[[#This Row],[O1  ADMIN 2026]:[P2    CAPE TOWN OPEN 2026 ]])</f>
        <v>4.0625</v>
      </c>
      <c r="I212" s="880">
        <f t="shared" si="20"/>
        <v>0</v>
      </c>
      <c r="J212" s="882">
        <f t="shared" si="22"/>
        <v>0</v>
      </c>
      <c r="K212" s="887" t="s">
        <v>6083</v>
      </c>
      <c r="L212" s="887" t="s">
        <v>6083</v>
      </c>
      <c r="M212" s="887" t="s">
        <v>6083</v>
      </c>
      <c r="N212" s="887"/>
      <c r="O212" s="882"/>
      <c r="P212" s="882"/>
      <c r="Q212" s="888"/>
      <c r="R212" s="888"/>
      <c r="S212" s="882"/>
      <c r="T212" s="888"/>
      <c r="U212" s="882"/>
      <c r="V212" s="887"/>
      <c r="W212" s="888"/>
      <c r="X212" s="882"/>
      <c r="Y212" s="888"/>
      <c r="Z212" s="882"/>
      <c r="AA212" s="882"/>
      <c r="AB212" s="882"/>
      <c r="AC212" s="882"/>
      <c r="AD212" s="882"/>
      <c r="AE212" s="882"/>
      <c r="AF212" s="882"/>
      <c r="AG212" s="882"/>
      <c r="AH212" s="882"/>
      <c r="AI212" s="882"/>
      <c r="AJ212" s="882"/>
      <c r="AK212" s="882"/>
      <c r="AL212" s="889"/>
    </row>
    <row r="213" spans="1:38" s="890" customFormat="1">
      <c r="A213" s="882">
        <v>902</v>
      </c>
      <c r="B213" s="891">
        <f t="shared" si="23"/>
        <v>693</v>
      </c>
      <c r="C213" s="882">
        <f t="shared" si="21"/>
        <v>209</v>
      </c>
      <c r="D213" s="883">
        <v>3543</v>
      </c>
      <c r="E213" s="884" t="str">
        <f>IFERROR(VLOOKUP(Table2[[#This Row],[Player No]],Table10[[No]:[Province]],2,0),"")</f>
        <v>KATZ Joseph</v>
      </c>
      <c r="F213" s="885" t="str">
        <f>IFERROR(VLOOKUP(Table2[[#This Row],[Player No]],Table10[[No]:[Province]],3,0),"")</f>
        <v>CT</v>
      </c>
      <c r="G213" s="892">
        <v>8</v>
      </c>
      <c r="H213" s="886">
        <f>(Table2[[#This Row],[Points 2025]]/2)+SUM(Table2[[#This Row],[O1  ADMIN 2026]:[P2    CAPE TOWN OPEN 2026 ]])</f>
        <v>4</v>
      </c>
      <c r="I213" s="880">
        <f t="shared" si="20"/>
        <v>0</v>
      </c>
      <c r="J213" s="882">
        <f t="shared" si="22"/>
        <v>0</v>
      </c>
      <c r="K213" s="887" t="s">
        <v>6083</v>
      </c>
      <c r="L213" s="887" t="s">
        <v>6083</v>
      </c>
      <c r="M213" s="887" t="s">
        <v>6083</v>
      </c>
      <c r="N213" s="887"/>
      <c r="O213" s="882"/>
      <c r="P213" s="882"/>
      <c r="Q213" s="888"/>
      <c r="R213" s="888"/>
      <c r="S213" s="882"/>
      <c r="T213" s="888"/>
      <c r="U213" s="882"/>
      <c r="V213" s="887"/>
      <c r="W213" s="888"/>
      <c r="X213" s="882"/>
      <c r="Y213" s="888"/>
      <c r="Z213" s="882"/>
      <c r="AA213" s="882"/>
      <c r="AB213" s="882"/>
      <c r="AC213" s="882"/>
      <c r="AD213" s="882"/>
      <c r="AE213" s="882">
        <v>1</v>
      </c>
      <c r="AF213" s="882">
        <v>15</v>
      </c>
      <c r="AG213" s="882"/>
      <c r="AH213" s="882"/>
      <c r="AI213" s="882"/>
      <c r="AJ213" s="882"/>
      <c r="AK213" s="882"/>
      <c r="AL213" s="889"/>
    </row>
    <row r="214" spans="1:38" s="890" customFormat="1">
      <c r="A214" s="882">
        <v>905</v>
      </c>
      <c r="B214" s="891">
        <f t="shared" si="23"/>
        <v>695</v>
      </c>
      <c r="C214" s="882">
        <f t="shared" si="21"/>
        <v>210</v>
      </c>
      <c r="D214" s="883">
        <v>3633</v>
      </c>
      <c r="E214" s="884" t="str">
        <f>IFERROR(VLOOKUP(Table2[[#This Row],[Player No]],Table10[[No]:[Province]],2,0),"")</f>
        <v>KLEINTJIES Mark</v>
      </c>
      <c r="F214" s="885" t="str">
        <f>IFERROR(VLOOKUP(Table2[[#This Row],[Player No]],Table10[[No]:[Province]],3,0),"")</f>
        <v>CW</v>
      </c>
      <c r="G214" s="892">
        <v>8</v>
      </c>
      <c r="H214" s="886">
        <f>(Table2[[#This Row],[Points 2025]]/2)+SUM(Table2[[#This Row],[O1  ADMIN 2026]:[P2    CAPE TOWN OPEN 2026 ]])</f>
        <v>4</v>
      </c>
      <c r="I214" s="880">
        <f t="shared" si="20"/>
        <v>0</v>
      </c>
      <c r="J214" s="882">
        <f t="shared" si="22"/>
        <v>0</v>
      </c>
      <c r="K214" s="887" t="s">
        <v>6083</v>
      </c>
      <c r="L214" s="887" t="s">
        <v>6083</v>
      </c>
      <c r="M214" s="887" t="s">
        <v>6083</v>
      </c>
      <c r="N214" s="887"/>
      <c r="O214" s="882"/>
      <c r="P214" s="882"/>
      <c r="Q214" s="888"/>
      <c r="R214" s="888"/>
      <c r="S214" s="882"/>
      <c r="T214" s="888"/>
      <c r="U214" s="882"/>
      <c r="V214" s="887"/>
      <c r="W214" s="888"/>
      <c r="X214" s="882"/>
      <c r="Y214" s="888"/>
      <c r="Z214" s="882"/>
      <c r="AA214" s="882"/>
      <c r="AB214" s="882"/>
      <c r="AC214" s="882"/>
      <c r="AD214" s="882"/>
      <c r="AE214" s="882">
        <v>1</v>
      </c>
      <c r="AF214" s="882">
        <v>15</v>
      </c>
      <c r="AG214" s="882"/>
      <c r="AH214" s="882"/>
      <c r="AI214" s="882"/>
      <c r="AJ214" s="882"/>
      <c r="AK214" s="882"/>
      <c r="AL214" s="889"/>
    </row>
    <row r="215" spans="1:38" s="890" customFormat="1">
      <c r="A215" s="882">
        <v>905</v>
      </c>
      <c r="B215" s="891">
        <f t="shared" si="23"/>
        <v>694</v>
      </c>
      <c r="C215" s="882">
        <f t="shared" si="21"/>
        <v>211</v>
      </c>
      <c r="D215" s="883">
        <v>3885</v>
      </c>
      <c r="E215" s="884" t="str">
        <f>IFERROR(VLOOKUP(Table2[[#This Row],[Player No]],Table10[[No]:[Province]],2,0),"")</f>
        <v>BECKER Gustav</v>
      </c>
      <c r="F215" s="885" t="str">
        <f>IFERROR(VLOOKUP(Table2[[#This Row],[Player No]],Table10[[No]:[Province]],3,0),"")</f>
        <v>CW</v>
      </c>
      <c r="G215" s="892">
        <v>8</v>
      </c>
      <c r="H215" s="886">
        <f>(Table2[[#This Row],[Points 2025]]/2)+SUM(Table2[[#This Row],[O1  ADMIN 2026]:[P2    CAPE TOWN OPEN 2026 ]])</f>
        <v>4</v>
      </c>
      <c r="I215" s="880">
        <f t="shared" si="20"/>
        <v>0</v>
      </c>
      <c r="J215" s="882">
        <f t="shared" si="22"/>
        <v>0</v>
      </c>
      <c r="K215" s="887" t="s">
        <v>6083</v>
      </c>
      <c r="L215" s="887" t="s">
        <v>6083</v>
      </c>
      <c r="M215" s="887" t="s">
        <v>6083</v>
      </c>
      <c r="N215" s="887"/>
      <c r="O215" s="882"/>
      <c r="P215" s="882"/>
      <c r="Q215" s="888"/>
      <c r="R215" s="888"/>
      <c r="S215" s="882"/>
      <c r="T215" s="888"/>
      <c r="U215" s="882"/>
      <c r="V215" s="887"/>
      <c r="W215" s="888">
        <v>5</v>
      </c>
      <c r="X215" s="882"/>
      <c r="Y215" s="888"/>
      <c r="Z215" s="882"/>
      <c r="AA215" s="882"/>
      <c r="AB215" s="882"/>
      <c r="AC215" s="882"/>
      <c r="AD215" s="882"/>
      <c r="AE215" s="882">
        <v>1</v>
      </c>
      <c r="AF215" s="882">
        <v>5</v>
      </c>
      <c r="AG215" s="882">
        <v>0</v>
      </c>
      <c r="AH215" s="882"/>
      <c r="AI215" s="882"/>
      <c r="AJ215" s="882"/>
      <c r="AK215" s="882"/>
      <c r="AL215" s="889"/>
    </row>
    <row r="216" spans="1:38" s="890" customFormat="1">
      <c r="A216" s="882"/>
      <c r="B216" s="891"/>
      <c r="C216" s="882">
        <f t="shared" si="21"/>
        <v>212</v>
      </c>
      <c r="D216" s="883">
        <v>4313</v>
      </c>
      <c r="E216" s="884" t="str">
        <f>IFERROR(VLOOKUP(Table2[[#This Row],[Player No]],Table10[[No]:[Province]],2,0),"")</f>
        <v xml:space="preserve">Gift Hlatshwayo </v>
      </c>
      <c r="F216" s="885" t="str">
        <f>IFERROR(VLOOKUP(Table2[[#This Row],[Player No]],Table10[[No]:[Province]],3,0),"")</f>
        <v>FS</v>
      </c>
      <c r="G216" s="892">
        <v>8</v>
      </c>
      <c r="H216" s="886">
        <f>(Table2[[#This Row],[Points 2025]]/2)+SUM(Table2[[#This Row],[O1  ADMIN 2026]:[P2    CAPE TOWN OPEN 2026 ]])</f>
        <v>4</v>
      </c>
      <c r="I216" s="880">
        <f t="shared" si="20"/>
        <v>0</v>
      </c>
      <c r="J216" s="882">
        <f t="shared" si="22"/>
        <v>0</v>
      </c>
      <c r="K216" s="887" t="s">
        <v>6083</v>
      </c>
      <c r="L216" s="887" t="s">
        <v>6083</v>
      </c>
      <c r="M216" s="887" t="s">
        <v>6083</v>
      </c>
      <c r="N216" s="887"/>
      <c r="O216" s="882"/>
      <c r="P216" s="882"/>
      <c r="Q216" s="888"/>
      <c r="R216" s="888"/>
      <c r="S216" s="882"/>
      <c r="T216" s="888" t="s">
        <v>4722</v>
      </c>
      <c r="U216" s="882">
        <v>1</v>
      </c>
      <c r="V216" s="887"/>
      <c r="W216" s="888">
        <v>5</v>
      </c>
      <c r="X216" s="882">
        <v>1</v>
      </c>
      <c r="Y216" s="888"/>
      <c r="Z216" s="882">
        <v>1</v>
      </c>
      <c r="AA216" s="882"/>
      <c r="AB216" s="882"/>
      <c r="AC216" s="882"/>
      <c r="AD216" s="882"/>
      <c r="AE216" s="882"/>
      <c r="AF216" s="882"/>
      <c r="AG216" s="882"/>
      <c r="AH216" s="882"/>
      <c r="AI216" s="882"/>
      <c r="AJ216" s="882"/>
      <c r="AK216" s="882"/>
      <c r="AL216" s="889"/>
    </row>
    <row r="217" spans="1:38" s="890" customFormat="1">
      <c r="A217" s="882"/>
      <c r="B217" s="891"/>
      <c r="C217" s="882">
        <f t="shared" si="21"/>
        <v>213</v>
      </c>
      <c r="D217" s="883">
        <v>3844</v>
      </c>
      <c r="E217" s="884" t="str">
        <f>IFERROR(VLOOKUP(Table2[[#This Row],[Player No]],Table10[[No]:[Province]],2,0),"")</f>
        <v>PILLAY Keval</v>
      </c>
      <c r="F217" s="885" t="str">
        <f>IFERROR(VLOOKUP(Table2[[#This Row],[Player No]],Table10[[No]:[Province]],3,0),"")</f>
        <v>UMG</v>
      </c>
      <c r="G217" s="892">
        <v>4</v>
      </c>
      <c r="H217" s="886">
        <f>(Table2[[#This Row],[Points 2025]]/2)+SUM(Table2[[#This Row],[O1  ADMIN 2026]:[P2    CAPE TOWN OPEN 2026 ]])</f>
        <v>4</v>
      </c>
      <c r="I217" s="880">
        <f t="shared" si="20"/>
        <v>2</v>
      </c>
      <c r="J217" s="882">
        <f t="shared" si="22"/>
        <v>0</v>
      </c>
      <c r="K217" s="887" t="s">
        <v>6083</v>
      </c>
      <c r="L217" s="887">
        <v>1</v>
      </c>
      <c r="M217" s="887">
        <v>1</v>
      </c>
      <c r="N217" s="887"/>
      <c r="O217" s="882"/>
      <c r="P217" s="882">
        <v>1</v>
      </c>
      <c r="Q217" s="888">
        <v>1</v>
      </c>
      <c r="R217" s="888">
        <v>1</v>
      </c>
      <c r="S217" s="882">
        <v>1</v>
      </c>
      <c r="T217" s="888"/>
      <c r="U217" s="882"/>
      <c r="V217" s="887"/>
      <c r="W217" s="888"/>
      <c r="X217" s="882"/>
      <c r="Y217" s="888"/>
      <c r="Z217" s="882"/>
      <c r="AA217" s="882"/>
      <c r="AB217" s="882"/>
      <c r="AC217" s="882"/>
      <c r="AD217" s="882"/>
      <c r="AE217" s="882"/>
      <c r="AF217" s="882"/>
      <c r="AG217" s="882"/>
      <c r="AH217" s="882"/>
      <c r="AI217" s="882"/>
      <c r="AJ217" s="882"/>
      <c r="AK217" s="882"/>
      <c r="AL217" s="889"/>
    </row>
    <row r="218" spans="1:38" s="890" customFormat="1">
      <c r="A218" s="882">
        <v>151</v>
      </c>
      <c r="B218" s="891">
        <f t="shared" ref="B218:B243" si="24">+A218-C218</f>
        <v>-63</v>
      </c>
      <c r="C218" s="882">
        <f t="shared" si="21"/>
        <v>214</v>
      </c>
      <c r="D218" s="883">
        <v>2453</v>
      </c>
      <c r="E218" s="884" t="str">
        <f>IFERROR(VLOOKUP(Table2[[#This Row],[Player No]],Table10[[No]:[Province]],2,0),"")</f>
        <v>HATA Tankiso</v>
      </c>
      <c r="F218" s="885" t="str">
        <f>IFERROR(VLOOKUP(Table2[[#This Row],[Player No]],Table10[[No]:[Province]],3,0),"")</f>
        <v>FS</v>
      </c>
      <c r="G218" s="892">
        <v>7.828125</v>
      </c>
      <c r="H218" s="886">
        <f>(Table2[[#This Row],[Points 2025]]/2)+SUM(Table2[[#This Row],[O1  ADMIN 2026]:[P2    CAPE TOWN OPEN 2026 ]])</f>
        <v>3.9140625</v>
      </c>
      <c r="I218" s="880">
        <f t="shared" si="20"/>
        <v>0</v>
      </c>
      <c r="J218" s="882">
        <f t="shared" si="22"/>
        <v>0</v>
      </c>
      <c r="K218" s="887" t="s">
        <v>6083</v>
      </c>
      <c r="L218" s="887" t="s">
        <v>6083</v>
      </c>
      <c r="M218" s="887" t="s">
        <v>6083</v>
      </c>
      <c r="N218" s="887"/>
      <c r="O218" s="882"/>
      <c r="P218" s="882"/>
      <c r="Q218" s="888"/>
      <c r="R218" s="888"/>
      <c r="S218" s="882"/>
      <c r="T218" s="888"/>
      <c r="U218" s="882"/>
      <c r="V218" s="887"/>
      <c r="W218" s="888"/>
      <c r="X218" s="882"/>
      <c r="Y218" s="888"/>
      <c r="Z218" s="882">
        <v>1</v>
      </c>
      <c r="AA218" s="882"/>
      <c r="AB218" s="882"/>
      <c r="AC218" s="882"/>
      <c r="AD218" s="882"/>
      <c r="AE218" s="882"/>
      <c r="AF218" s="882"/>
      <c r="AG218" s="882">
        <v>5</v>
      </c>
      <c r="AH218" s="882"/>
      <c r="AI218" s="882"/>
      <c r="AJ218" s="882"/>
      <c r="AK218" s="882"/>
      <c r="AL218" s="889"/>
    </row>
    <row r="219" spans="1:38" s="890" customFormat="1">
      <c r="A219" s="882">
        <v>124</v>
      </c>
      <c r="B219" s="891">
        <f t="shared" si="24"/>
        <v>-91</v>
      </c>
      <c r="C219" s="882">
        <f t="shared" si="21"/>
        <v>215</v>
      </c>
      <c r="D219" s="883">
        <v>1777</v>
      </c>
      <c r="E219" s="884" t="str">
        <f>IFERROR(VLOOKUP(Table2[[#This Row],[Player No]],Table10[[No]:[Province]],2,0),"")</f>
        <v xml:space="preserve">STEWART Dane </v>
      </c>
      <c r="F219" s="885" t="str">
        <f>IFERROR(VLOOKUP(Table2[[#This Row],[Player No]],Table10[[No]:[Province]],3,0),"")</f>
        <v>CT</v>
      </c>
      <c r="G219" s="892">
        <v>7.8125</v>
      </c>
      <c r="H219" s="886">
        <f>(Table2[[#This Row],[Points 2025]]/2)+SUM(Table2[[#This Row],[O1  ADMIN 2026]:[P2    CAPE TOWN OPEN 2026 ]])</f>
        <v>3.90625</v>
      </c>
      <c r="I219" s="880">
        <f t="shared" si="20"/>
        <v>0</v>
      </c>
      <c r="J219" s="882">
        <f t="shared" si="22"/>
        <v>0</v>
      </c>
      <c r="K219" s="887" t="s">
        <v>6083</v>
      </c>
      <c r="L219" s="887" t="s">
        <v>6083</v>
      </c>
      <c r="M219" s="887" t="s">
        <v>6083</v>
      </c>
      <c r="N219" s="887"/>
      <c r="O219" s="882"/>
      <c r="P219" s="882"/>
      <c r="Q219" s="888"/>
      <c r="R219" s="888"/>
      <c r="S219" s="882"/>
      <c r="T219" s="888"/>
      <c r="U219" s="882"/>
      <c r="V219" s="887"/>
      <c r="W219" s="888"/>
      <c r="X219" s="882"/>
      <c r="Y219" s="888"/>
      <c r="Z219" s="882"/>
      <c r="AA219" s="882"/>
      <c r="AB219" s="882"/>
      <c r="AC219" s="882"/>
      <c r="AD219" s="882"/>
      <c r="AE219" s="882">
        <v>3</v>
      </c>
      <c r="AF219" s="882"/>
      <c r="AG219" s="882"/>
      <c r="AH219" s="882"/>
      <c r="AI219" s="882"/>
      <c r="AJ219" s="882"/>
      <c r="AK219" s="882"/>
      <c r="AL219" s="889"/>
    </row>
    <row r="220" spans="1:38" s="890" customFormat="1">
      <c r="A220" s="882">
        <v>102</v>
      </c>
      <c r="B220" s="891">
        <f t="shared" si="24"/>
        <v>-114</v>
      </c>
      <c r="C220" s="882">
        <f t="shared" si="21"/>
        <v>216</v>
      </c>
      <c r="D220" s="883">
        <v>3162</v>
      </c>
      <c r="E220" s="884" t="str">
        <f>IFERROR(VLOOKUP(Table2[[#This Row],[Player No]],Table10[[No]:[Province]],2,0),"")</f>
        <v>OCTOBER Denzel</v>
      </c>
      <c r="F220" s="885" t="str">
        <f>IFERROR(VLOOKUP(Table2[[#This Row],[Player No]],Table10[[No]:[Province]],3,0),"")</f>
        <v xml:space="preserve">EC </v>
      </c>
      <c r="G220" s="892">
        <v>7.8125</v>
      </c>
      <c r="H220" s="886">
        <f>(Table2[[#This Row],[Points 2025]]/2)+SUM(Table2[[#This Row],[O1  ADMIN 2026]:[P2    CAPE TOWN OPEN 2026 ]])</f>
        <v>3.90625</v>
      </c>
      <c r="I220" s="880">
        <f t="shared" si="20"/>
        <v>0</v>
      </c>
      <c r="J220" s="882">
        <f t="shared" si="22"/>
        <v>0</v>
      </c>
      <c r="K220" s="887" t="s">
        <v>6083</v>
      </c>
      <c r="L220" s="887" t="s">
        <v>6083</v>
      </c>
      <c r="M220" s="887" t="s">
        <v>6083</v>
      </c>
      <c r="N220" s="887"/>
      <c r="O220" s="882"/>
      <c r="P220" s="882"/>
      <c r="Q220" s="888"/>
      <c r="R220" s="888"/>
      <c r="S220" s="882"/>
      <c r="T220" s="888"/>
      <c r="U220" s="882"/>
      <c r="V220" s="887"/>
      <c r="W220" s="888"/>
      <c r="X220" s="882"/>
      <c r="Y220" s="888"/>
      <c r="Z220" s="882"/>
      <c r="AA220" s="882"/>
      <c r="AB220" s="882"/>
      <c r="AC220" s="882">
        <v>15</v>
      </c>
      <c r="AD220" s="882"/>
      <c r="AE220" s="882"/>
      <c r="AF220" s="882"/>
      <c r="AG220" s="882"/>
      <c r="AH220" s="882"/>
      <c r="AI220" s="882"/>
      <c r="AJ220" s="882"/>
      <c r="AK220" s="882"/>
      <c r="AL220" s="889"/>
    </row>
    <row r="221" spans="1:38" s="890" customFormat="1">
      <c r="A221" s="882">
        <v>503</v>
      </c>
      <c r="B221" s="891">
        <f t="shared" si="24"/>
        <v>286</v>
      </c>
      <c r="C221" s="882">
        <f t="shared" si="21"/>
        <v>217</v>
      </c>
      <c r="D221" s="883">
        <v>2260</v>
      </c>
      <c r="E221" s="884" t="str">
        <f>IFERROR(VLOOKUP(Table2[[#This Row],[Player No]],Table10[[No]:[Province]],2,0),"")</f>
        <v>BARTLETT Llewellyn</v>
      </c>
      <c r="F221" s="885" t="str">
        <f>IFERROR(VLOOKUP(Table2[[#This Row],[Player No]],Table10[[No]:[Province]],3,0),"")</f>
        <v>CT</v>
      </c>
      <c r="G221" s="892">
        <v>7.75</v>
      </c>
      <c r="H221" s="886">
        <f>(Table2[[#This Row],[Points 2025]]/2)+SUM(Table2[[#This Row],[O1  ADMIN 2026]:[P2    CAPE TOWN OPEN 2026 ]])</f>
        <v>3.875</v>
      </c>
      <c r="I221" s="880">
        <f t="shared" si="20"/>
        <v>0</v>
      </c>
      <c r="J221" s="882">
        <f t="shared" si="22"/>
        <v>0</v>
      </c>
      <c r="K221" s="887" t="s">
        <v>6083</v>
      </c>
      <c r="L221" s="887" t="s">
        <v>6083</v>
      </c>
      <c r="M221" s="887" t="s">
        <v>6083</v>
      </c>
      <c r="N221" s="887"/>
      <c r="O221" s="882"/>
      <c r="P221" s="882"/>
      <c r="Q221" s="888"/>
      <c r="R221" s="888"/>
      <c r="S221" s="882"/>
      <c r="T221" s="888"/>
      <c r="U221" s="882"/>
      <c r="V221" s="887"/>
      <c r="W221" s="888"/>
      <c r="X221" s="882"/>
      <c r="Y221" s="888"/>
      <c r="Z221" s="882"/>
      <c r="AA221" s="882"/>
      <c r="AB221" s="882"/>
      <c r="AC221" s="882"/>
      <c r="AD221" s="882"/>
      <c r="AE221" s="882">
        <v>15</v>
      </c>
      <c r="AF221" s="882"/>
      <c r="AG221" s="882"/>
      <c r="AH221" s="882"/>
      <c r="AI221" s="882"/>
      <c r="AJ221" s="882"/>
      <c r="AK221" s="882"/>
      <c r="AL221" s="889"/>
    </row>
    <row r="222" spans="1:38" s="890" customFormat="1">
      <c r="A222" s="882">
        <v>104</v>
      </c>
      <c r="B222" s="891">
        <f t="shared" si="24"/>
        <v>-114</v>
      </c>
      <c r="C222" s="882">
        <f t="shared" si="21"/>
        <v>218</v>
      </c>
      <c r="D222" s="883">
        <v>1018</v>
      </c>
      <c r="E222" s="884" t="str">
        <f>IFERROR(VLOOKUP(Table2[[#This Row],[Player No]],Table10[[No]:[Province]],2,0),"")</f>
        <v xml:space="preserve">PEKEUR Keanan </v>
      </c>
      <c r="F222" s="885" t="str">
        <f>IFERROR(VLOOKUP(Table2[[#This Row],[Player No]],Table10[[No]:[Province]],3,0),"")</f>
        <v>CT</v>
      </c>
      <c r="G222" s="892">
        <v>7.626953125</v>
      </c>
      <c r="H222" s="886">
        <f>(Table2[[#This Row],[Points 2025]]/2)+SUM(Table2[[#This Row],[O1  ADMIN 2026]:[P2    CAPE TOWN OPEN 2026 ]])</f>
        <v>3.8134765625</v>
      </c>
      <c r="I222" s="880">
        <f t="shared" si="20"/>
        <v>0</v>
      </c>
      <c r="J222" s="882">
        <f t="shared" si="22"/>
        <v>0</v>
      </c>
      <c r="K222" s="887" t="s">
        <v>6083</v>
      </c>
      <c r="L222" s="887" t="s">
        <v>6083</v>
      </c>
      <c r="M222" s="887" t="s">
        <v>6083</v>
      </c>
      <c r="N222" s="887"/>
      <c r="O222" s="882"/>
      <c r="P222" s="882"/>
      <c r="Q222" s="888"/>
      <c r="R222" s="888"/>
      <c r="S222" s="882"/>
      <c r="T222" s="888"/>
      <c r="U222" s="882"/>
      <c r="V222" s="887"/>
      <c r="W222" s="888"/>
      <c r="X222" s="882"/>
      <c r="Y222" s="888"/>
      <c r="Z222" s="882"/>
      <c r="AA222" s="882"/>
      <c r="AB222" s="882"/>
      <c r="AC222" s="882"/>
      <c r="AD222" s="882"/>
      <c r="AE222" s="882"/>
      <c r="AF222" s="882"/>
      <c r="AG222" s="882"/>
      <c r="AH222" s="882"/>
      <c r="AI222" s="882"/>
      <c r="AJ222" s="882"/>
      <c r="AK222" s="882"/>
      <c r="AL222" s="889"/>
    </row>
    <row r="223" spans="1:38" s="890" customFormat="1">
      <c r="A223" s="882">
        <v>106</v>
      </c>
      <c r="B223" s="891">
        <f t="shared" si="24"/>
        <v>-113</v>
      </c>
      <c r="C223" s="882">
        <f t="shared" si="21"/>
        <v>219</v>
      </c>
      <c r="D223" s="883">
        <v>1170</v>
      </c>
      <c r="E223" s="884" t="str">
        <f>IFERROR(VLOOKUP(Table2[[#This Row],[Player No]],Table10[[No]:[Province]],2,0),"")</f>
        <v>DAWOOD Saleem</v>
      </c>
      <c r="F223" s="885" t="str">
        <f>IFERROR(VLOOKUP(Table2[[#This Row],[Player No]],Table10[[No]:[Province]],3,0),"")</f>
        <v>ETTA</v>
      </c>
      <c r="G223" s="892">
        <v>7.55859375</v>
      </c>
      <c r="H223" s="886">
        <f>(Table2[[#This Row],[Points 2025]]/2)+SUM(Table2[[#This Row],[O1  ADMIN 2026]:[P2    CAPE TOWN OPEN 2026 ]])</f>
        <v>3.779296875</v>
      </c>
      <c r="I223" s="880">
        <f t="shared" si="20"/>
        <v>0</v>
      </c>
      <c r="J223" s="882">
        <f t="shared" si="22"/>
        <v>0</v>
      </c>
      <c r="K223" s="887" t="s">
        <v>6083</v>
      </c>
      <c r="L223" s="887" t="s">
        <v>6083</v>
      </c>
      <c r="M223" s="887" t="s">
        <v>6083</v>
      </c>
      <c r="N223" s="887"/>
      <c r="O223" s="882"/>
      <c r="P223" s="882"/>
      <c r="Q223" s="888"/>
      <c r="R223" s="888"/>
      <c r="S223" s="882"/>
      <c r="T223" s="888"/>
      <c r="U223" s="882"/>
      <c r="V223" s="887"/>
      <c r="W223" s="888"/>
      <c r="X223" s="882"/>
      <c r="Y223" s="888"/>
      <c r="Z223" s="882"/>
      <c r="AA223" s="882"/>
      <c r="AB223" s="882"/>
      <c r="AC223" s="882">
        <v>15</v>
      </c>
      <c r="AD223" s="882"/>
      <c r="AE223" s="882"/>
      <c r="AF223" s="882"/>
      <c r="AG223" s="882"/>
      <c r="AH223" s="882"/>
      <c r="AI223" s="882"/>
      <c r="AJ223" s="882"/>
      <c r="AK223" s="882"/>
      <c r="AL223" s="889"/>
    </row>
    <row r="224" spans="1:38" s="890" customFormat="1">
      <c r="A224" s="882">
        <v>107</v>
      </c>
      <c r="B224" s="891">
        <f t="shared" si="24"/>
        <v>-113</v>
      </c>
      <c r="C224" s="882">
        <f t="shared" si="21"/>
        <v>220</v>
      </c>
      <c r="D224" s="883">
        <v>1527</v>
      </c>
      <c r="E224" s="884" t="str">
        <f>IFERROR(VLOOKUP(Table2[[#This Row],[Player No]],Table10[[No]:[Province]],2,0),"")</f>
        <v xml:space="preserve">DAWOOD Abdullah </v>
      </c>
      <c r="F224" s="885" t="str">
        <f>IFERROR(VLOOKUP(Table2[[#This Row],[Player No]],Table10[[No]:[Province]],3,0),"")</f>
        <v>JTTA</v>
      </c>
      <c r="G224" s="892">
        <v>7.5078125</v>
      </c>
      <c r="H224" s="886">
        <f>(Table2[[#This Row],[Points 2025]]/2)+SUM(Table2[[#This Row],[O1  ADMIN 2026]:[P2    CAPE TOWN OPEN 2026 ]])</f>
        <v>3.75390625</v>
      </c>
      <c r="I224" s="880">
        <f t="shared" si="20"/>
        <v>0</v>
      </c>
      <c r="J224" s="882">
        <f t="shared" si="22"/>
        <v>0</v>
      </c>
      <c r="K224" s="887" t="s">
        <v>6083</v>
      </c>
      <c r="L224" s="887" t="s">
        <v>6083</v>
      </c>
      <c r="M224" s="887" t="s">
        <v>6083</v>
      </c>
      <c r="N224" s="887"/>
      <c r="O224" s="882"/>
      <c r="P224" s="882"/>
      <c r="Q224" s="888"/>
      <c r="R224" s="888"/>
      <c r="S224" s="882"/>
      <c r="T224" s="888"/>
      <c r="U224" s="882"/>
      <c r="V224" s="887"/>
      <c r="W224" s="888"/>
      <c r="X224" s="882"/>
      <c r="Y224" s="888"/>
      <c r="Z224" s="882"/>
      <c r="AA224" s="882"/>
      <c r="AB224" s="882"/>
      <c r="AC224" s="882">
        <v>15</v>
      </c>
      <c r="AD224" s="882"/>
      <c r="AE224" s="882"/>
      <c r="AF224" s="882"/>
      <c r="AG224" s="882"/>
      <c r="AH224" s="882"/>
      <c r="AI224" s="882"/>
      <c r="AJ224" s="882"/>
      <c r="AK224" s="882"/>
      <c r="AL224" s="889"/>
    </row>
    <row r="225" spans="1:38" s="890" customFormat="1">
      <c r="A225" s="882">
        <v>108</v>
      </c>
      <c r="B225" s="891">
        <f t="shared" si="24"/>
        <v>-113</v>
      </c>
      <c r="C225" s="882">
        <f t="shared" si="21"/>
        <v>221</v>
      </c>
      <c r="D225" s="883">
        <v>2602</v>
      </c>
      <c r="E225" s="884" t="str">
        <f>IFERROR(VLOOKUP(Table2[[#This Row],[Player No]],Table10[[No]:[Province]],2,0),"")</f>
        <v>RAMLAGAN Romel</v>
      </c>
      <c r="F225" s="885" t="str">
        <f>IFERROR(VLOOKUP(Table2[[#This Row],[Player No]],Table10[[No]:[Province]],3,0),"")</f>
        <v>ETTA</v>
      </c>
      <c r="G225" s="892">
        <v>7.50390625</v>
      </c>
      <c r="H225" s="886">
        <f>(Table2[[#This Row],[Points 2025]]/2)+SUM(Table2[[#This Row],[O1  ADMIN 2026]:[P2    CAPE TOWN OPEN 2026 ]])</f>
        <v>3.751953125</v>
      </c>
      <c r="I225" s="880">
        <f t="shared" si="20"/>
        <v>0</v>
      </c>
      <c r="J225" s="882">
        <f t="shared" si="22"/>
        <v>0</v>
      </c>
      <c r="K225" s="887" t="s">
        <v>6083</v>
      </c>
      <c r="L225" s="887" t="s">
        <v>6083</v>
      </c>
      <c r="M225" s="887" t="s">
        <v>6083</v>
      </c>
      <c r="N225" s="887"/>
      <c r="O225" s="882"/>
      <c r="P225" s="882"/>
      <c r="Q225" s="888"/>
      <c r="R225" s="888"/>
      <c r="S225" s="882"/>
      <c r="T225" s="888"/>
      <c r="U225" s="882"/>
      <c r="V225" s="887"/>
      <c r="W225" s="888"/>
      <c r="X225" s="882"/>
      <c r="Y225" s="888"/>
      <c r="Z225" s="882"/>
      <c r="AA225" s="882"/>
      <c r="AB225" s="882"/>
      <c r="AC225" s="882">
        <v>15</v>
      </c>
      <c r="AD225" s="882"/>
      <c r="AE225" s="882"/>
      <c r="AF225" s="882"/>
      <c r="AG225" s="882"/>
      <c r="AH225" s="882"/>
      <c r="AI225" s="882"/>
      <c r="AJ225" s="882"/>
      <c r="AK225" s="882"/>
      <c r="AL225" s="889"/>
    </row>
    <row r="226" spans="1:38" s="890" customFormat="1">
      <c r="A226" s="882">
        <v>109</v>
      </c>
      <c r="B226" s="891">
        <f t="shared" si="24"/>
        <v>-113</v>
      </c>
      <c r="C226" s="882">
        <f t="shared" si="21"/>
        <v>222</v>
      </c>
      <c r="D226" s="883">
        <v>2603</v>
      </c>
      <c r="E226" s="884" t="str">
        <f>IFERROR(VLOOKUP(Table2[[#This Row],[Player No]],Table10[[No]:[Province]],2,0),"")</f>
        <v>SHERATON Ferrol</v>
      </c>
      <c r="F226" s="885" t="str">
        <f>IFERROR(VLOOKUP(Table2[[#This Row],[Player No]],Table10[[No]:[Province]],3,0),"")</f>
        <v>ETTA</v>
      </c>
      <c r="G226" s="892">
        <v>7.50390625</v>
      </c>
      <c r="H226" s="886">
        <f>(Table2[[#This Row],[Points 2025]]/2)+SUM(Table2[[#This Row],[O1  ADMIN 2026]:[P2    CAPE TOWN OPEN 2026 ]])</f>
        <v>3.751953125</v>
      </c>
      <c r="I226" s="880">
        <f t="shared" si="20"/>
        <v>0</v>
      </c>
      <c r="J226" s="882">
        <f t="shared" si="22"/>
        <v>0</v>
      </c>
      <c r="K226" s="887" t="s">
        <v>6083</v>
      </c>
      <c r="L226" s="887" t="s">
        <v>6083</v>
      </c>
      <c r="M226" s="887" t="s">
        <v>6083</v>
      </c>
      <c r="N226" s="887"/>
      <c r="O226" s="882"/>
      <c r="P226" s="882"/>
      <c r="Q226" s="888"/>
      <c r="R226" s="888"/>
      <c r="S226" s="882"/>
      <c r="T226" s="888"/>
      <c r="U226" s="882"/>
      <c r="V226" s="887"/>
      <c r="W226" s="888"/>
      <c r="X226" s="882"/>
      <c r="Y226" s="888"/>
      <c r="Z226" s="882"/>
      <c r="AA226" s="882"/>
      <c r="AB226" s="882"/>
      <c r="AC226" s="882">
        <v>15</v>
      </c>
      <c r="AD226" s="882"/>
      <c r="AE226" s="882"/>
      <c r="AF226" s="882"/>
      <c r="AG226" s="882"/>
      <c r="AH226" s="882"/>
      <c r="AI226" s="882"/>
      <c r="AJ226" s="882"/>
      <c r="AK226" s="882"/>
      <c r="AL226" s="889"/>
    </row>
    <row r="227" spans="1:38" s="890" customFormat="1">
      <c r="A227" s="882">
        <v>905</v>
      </c>
      <c r="B227" s="891">
        <f t="shared" si="24"/>
        <v>682</v>
      </c>
      <c r="C227" s="882">
        <f t="shared" si="21"/>
        <v>223</v>
      </c>
      <c r="D227" s="883">
        <v>1784</v>
      </c>
      <c r="E227" s="884" t="str">
        <f>IFERROR(VLOOKUP(Table2[[#This Row],[Player No]],Table10[[No]:[Province]],2,0),"")</f>
        <v xml:space="preserve">ABRAHAMS Jermaine </v>
      </c>
      <c r="F227" s="885" t="str">
        <f>IFERROR(VLOOKUP(Table2[[#This Row],[Player No]],Table10[[No]:[Province]],3,0),"")</f>
        <v>CW</v>
      </c>
      <c r="G227" s="892">
        <v>7.5</v>
      </c>
      <c r="H227" s="886">
        <f>(Table2[[#This Row],[Points 2025]]/2)+SUM(Table2[[#This Row],[O1  ADMIN 2026]:[P2    CAPE TOWN OPEN 2026 ]])</f>
        <v>3.75</v>
      </c>
      <c r="I227" s="880">
        <f t="shared" si="20"/>
        <v>0</v>
      </c>
      <c r="J227" s="882">
        <f t="shared" si="22"/>
        <v>0</v>
      </c>
      <c r="K227" s="887" t="s">
        <v>6083</v>
      </c>
      <c r="L227" s="887" t="s">
        <v>6083</v>
      </c>
      <c r="M227" s="887" t="s">
        <v>6083</v>
      </c>
      <c r="N227" s="887"/>
      <c r="O227" s="882"/>
      <c r="P227" s="882"/>
      <c r="Q227" s="888"/>
      <c r="R227" s="888"/>
      <c r="S227" s="882"/>
      <c r="T227" s="888"/>
      <c r="U227" s="882"/>
      <c r="V227" s="887"/>
      <c r="W227" s="888"/>
      <c r="X227" s="882"/>
      <c r="Y227" s="888"/>
      <c r="Z227" s="882"/>
      <c r="AA227" s="882"/>
      <c r="AB227" s="882"/>
      <c r="AC227" s="882"/>
      <c r="AD227" s="882"/>
      <c r="AE227" s="882"/>
      <c r="AF227" s="882">
        <v>15</v>
      </c>
      <c r="AG227" s="882"/>
      <c r="AH227" s="882"/>
      <c r="AI227" s="882"/>
      <c r="AJ227" s="882"/>
      <c r="AK227" s="882"/>
      <c r="AL227" s="889"/>
    </row>
    <row r="228" spans="1:38" s="890" customFormat="1">
      <c r="A228" s="882">
        <v>114</v>
      </c>
      <c r="B228" s="891">
        <f t="shared" si="24"/>
        <v>-110</v>
      </c>
      <c r="C228" s="882">
        <f t="shared" si="21"/>
        <v>224</v>
      </c>
      <c r="D228" s="883">
        <v>2107</v>
      </c>
      <c r="E228" s="884" t="str">
        <f>IFERROR(VLOOKUP(Table2[[#This Row],[Player No]],Table10[[No]:[Province]],2,0),"")</f>
        <v>GOVINDASAMY Morganathan</v>
      </c>
      <c r="F228" s="885" t="str">
        <f>IFERROR(VLOOKUP(Table2[[#This Row],[Player No]],Table10[[No]:[Province]],3,0),"")</f>
        <v>UMG</v>
      </c>
      <c r="G228" s="892">
        <v>7.5</v>
      </c>
      <c r="H228" s="886">
        <f>(Table2[[#This Row],[Points 2025]]/2)+SUM(Table2[[#This Row],[O1  ADMIN 2026]:[P2    CAPE TOWN OPEN 2026 ]])</f>
        <v>3.75</v>
      </c>
      <c r="I228" s="880">
        <f t="shared" si="20"/>
        <v>0</v>
      </c>
      <c r="J228" s="882">
        <f t="shared" si="22"/>
        <v>0</v>
      </c>
      <c r="K228" s="887" t="s">
        <v>6083</v>
      </c>
      <c r="L228" s="887" t="s">
        <v>6083</v>
      </c>
      <c r="M228" s="887" t="s">
        <v>6083</v>
      </c>
      <c r="N228" s="887"/>
      <c r="O228" s="882"/>
      <c r="P228" s="882"/>
      <c r="Q228" s="888"/>
      <c r="R228" s="888"/>
      <c r="S228" s="882"/>
      <c r="T228" s="888"/>
      <c r="U228" s="882"/>
      <c r="V228" s="887"/>
      <c r="W228" s="888"/>
      <c r="X228" s="882"/>
      <c r="Y228" s="888"/>
      <c r="Z228" s="882"/>
      <c r="AA228" s="882"/>
      <c r="AB228" s="882"/>
      <c r="AC228" s="882">
        <v>15</v>
      </c>
      <c r="AD228" s="882"/>
      <c r="AE228" s="882"/>
      <c r="AF228" s="882"/>
      <c r="AG228" s="882"/>
      <c r="AH228" s="882"/>
      <c r="AI228" s="882"/>
      <c r="AJ228" s="882"/>
      <c r="AK228" s="882"/>
      <c r="AL228" s="889"/>
    </row>
    <row r="229" spans="1:38" s="890" customFormat="1">
      <c r="A229" s="882">
        <v>901</v>
      </c>
      <c r="B229" s="891">
        <f t="shared" si="24"/>
        <v>676</v>
      </c>
      <c r="C229" s="882">
        <f t="shared" si="21"/>
        <v>225</v>
      </c>
      <c r="D229" s="883">
        <v>2246</v>
      </c>
      <c r="E229" s="884" t="str">
        <f>IFERROR(VLOOKUP(Table2[[#This Row],[Player No]],Table10[[No]:[Province]],2,0),"")</f>
        <v>CHAPMAN Kian</v>
      </c>
      <c r="F229" s="885" t="str">
        <f>IFERROR(VLOOKUP(Table2[[#This Row],[Player No]],Table10[[No]:[Province]],3,0),"")</f>
        <v>CT</v>
      </c>
      <c r="G229" s="892">
        <v>7.5</v>
      </c>
      <c r="H229" s="886">
        <f>(Table2[[#This Row],[Points 2025]]/2)+SUM(Table2[[#This Row],[O1  ADMIN 2026]:[P2    CAPE TOWN OPEN 2026 ]])</f>
        <v>3.75</v>
      </c>
      <c r="I229" s="880">
        <f t="shared" si="20"/>
        <v>0</v>
      </c>
      <c r="J229" s="882">
        <f t="shared" si="22"/>
        <v>0</v>
      </c>
      <c r="K229" s="887" t="s">
        <v>6083</v>
      </c>
      <c r="L229" s="887" t="s">
        <v>6083</v>
      </c>
      <c r="M229" s="887" t="s">
        <v>6083</v>
      </c>
      <c r="N229" s="887"/>
      <c r="O229" s="882"/>
      <c r="P229" s="882"/>
      <c r="Q229" s="888"/>
      <c r="R229" s="888"/>
      <c r="S229" s="882"/>
      <c r="T229" s="888"/>
      <c r="U229" s="882"/>
      <c r="V229" s="887"/>
      <c r="W229" s="888"/>
      <c r="X229" s="882"/>
      <c r="Y229" s="888"/>
      <c r="Z229" s="882"/>
      <c r="AA229" s="882"/>
      <c r="AB229" s="882"/>
      <c r="AC229" s="882"/>
      <c r="AD229" s="882"/>
      <c r="AE229" s="882"/>
      <c r="AF229" s="882">
        <v>15</v>
      </c>
      <c r="AG229" s="882"/>
      <c r="AH229" s="882"/>
      <c r="AI229" s="882"/>
      <c r="AJ229" s="882"/>
      <c r="AK229" s="882"/>
      <c r="AL229" s="889"/>
    </row>
    <row r="230" spans="1:38" s="890" customFormat="1">
      <c r="A230" s="882"/>
      <c r="B230" s="891">
        <f t="shared" si="24"/>
        <v>-226</v>
      </c>
      <c r="C230" s="882">
        <f t="shared" si="21"/>
        <v>226</v>
      </c>
      <c r="D230" s="883">
        <v>2740</v>
      </c>
      <c r="E230" s="884" t="str">
        <f>IFERROR(VLOOKUP(Table2[[#This Row],[Player No]],Table10[[No]:[Province]],2,0),"")</f>
        <v>HOHL Uwe</v>
      </c>
      <c r="F230" s="885" t="str">
        <f>IFERROR(VLOOKUP(Table2[[#This Row],[Player No]],Table10[[No]:[Province]],3,0),"")</f>
        <v>JTTA</v>
      </c>
      <c r="G230" s="892">
        <v>7.5</v>
      </c>
      <c r="H230" s="886">
        <f>(Table2[[#This Row],[Points 2025]]/2)+SUM(Table2[[#This Row],[O1  ADMIN 2026]:[P2    CAPE TOWN OPEN 2026 ]])</f>
        <v>3.75</v>
      </c>
      <c r="I230" s="880">
        <f t="shared" si="20"/>
        <v>0</v>
      </c>
      <c r="J230" s="882">
        <f t="shared" si="22"/>
        <v>0</v>
      </c>
      <c r="K230" s="887" t="s">
        <v>6083</v>
      </c>
      <c r="L230" s="887" t="s">
        <v>6083</v>
      </c>
      <c r="M230" s="887" t="s">
        <v>6083</v>
      </c>
      <c r="N230" s="887"/>
      <c r="O230" s="882"/>
      <c r="P230" s="882"/>
      <c r="Q230" s="888"/>
      <c r="R230" s="888"/>
      <c r="S230" s="882"/>
      <c r="T230" s="888"/>
      <c r="U230" s="882"/>
      <c r="V230" s="887"/>
      <c r="W230" s="888"/>
      <c r="X230" s="882"/>
      <c r="Y230" s="888"/>
      <c r="Z230" s="882"/>
      <c r="AA230" s="882"/>
      <c r="AB230" s="882"/>
      <c r="AC230" s="882"/>
      <c r="AD230" s="882"/>
      <c r="AE230" s="882"/>
      <c r="AF230" s="882"/>
      <c r="AG230" s="882"/>
      <c r="AH230" s="882"/>
      <c r="AI230" s="882">
        <v>15</v>
      </c>
      <c r="AJ230" s="882"/>
      <c r="AK230" s="882"/>
      <c r="AL230" s="889"/>
    </row>
    <row r="231" spans="1:38" s="890" customFormat="1">
      <c r="A231" s="882">
        <v>110</v>
      </c>
      <c r="B231" s="891">
        <f t="shared" si="24"/>
        <v>-117</v>
      </c>
      <c r="C231" s="882">
        <f t="shared" si="21"/>
        <v>227</v>
      </c>
      <c r="D231" s="883">
        <v>2876</v>
      </c>
      <c r="E231" s="884" t="str">
        <f>IFERROR(VLOOKUP(Table2[[#This Row],[Player No]],Table10[[No]:[Province]],2,0),"")</f>
        <v>MWEZENI Sibabalwe</v>
      </c>
      <c r="F231" s="885" t="str">
        <f>IFERROR(VLOOKUP(Table2[[#This Row],[Player No]],Table10[[No]:[Province]],3,0),"")</f>
        <v>EC</v>
      </c>
      <c r="G231" s="892">
        <v>7.5</v>
      </c>
      <c r="H231" s="886">
        <f>(Table2[[#This Row],[Points 2025]]/2)+SUM(Table2[[#This Row],[O1  ADMIN 2026]:[P2    CAPE TOWN OPEN 2026 ]])</f>
        <v>3.75</v>
      </c>
      <c r="I231" s="880">
        <f t="shared" si="20"/>
        <v>0</v>
      </c>
      <c r="J231" s="882">
        <f t="shared" si="22"/>
        <v>0</v>
      </c>
      <c r="K231" s="887" t="s">
        <v>6083</v>
      </c>
      <c r="L231" s="887" t="s">
        <v>6083</v>
      </c>
      <c r="M231" s="887" t="s">
        <v>6083</v>
      </c>
      <c r="N231" s="887"/>
      <c r="O231" s="882"/>
      <c r="P231" s="882"/>
      <c r="Q231" s="888"/>
      <c r="R231" s="888"/>
      <c r="S231" s="882"/>
      <c r="T231" s="888"/>
      <c r="U231" s="882"/>
      <c r="V231" s="887"/>
      <c r="W231" s="888"/>
      <c r="X231" s="882"/>
      <c r="Y231" s="888"/>
      <c r="Z231" s="882"/>
      <c r="AA231" s="882"/>
      <c r="AB231" s="882"/>
      <c r="AC231" s="882"/>
      <c r="AD231" s="882"/>
      <c r="AE231" s="882"/>
      <c r="AF231" s="882"/>
      <c r="AG231" s="882">
        <v>0</v>
      </c>
      <c r="AH231" s="882"/>
      <c r="AI231" s="882"/>
      <c r="AJ231" s="882">
        <v>15</v>
      </c>
      <c r="AK231" s="882"/>
      <c r="AL231" s="889"/>
    </row>
    <row r="232" spans="1:38" s="890" customFormat="1">
      <c r="A232" s="882">
        <v>905</v>
      </c>
      <c r="B232" s="891">
        <f t="shared" si="24"/>
        <v>677</v>
      </c>
      <c r="C232" s="882">
        <f t="shared" si="21"/>
        <v>228</v>
      </c>
      <c r="D232" s="883">
        <v>2953</v>
      </c>
      <c r="E232" s="884" t="str">
        <f>IFERROR(VLOOKUP(Table2[[#This Row],[Player No]],Table10[[No]:[Province]],2,0),"")</f>
        <v>KLEINTJES Charles</v>
      </c>
      <c r="F232" s="885" t="str">
        <f>IFERROR(VLOOKUP(Table2[[#This Row],[Player No]],Table10[[No]:[Province]],3,0),"")</f>
        <v>CW</v>
      </c>
      <c r="G232" s="892">
        <v>7.5</v>
      </c>
      <c r="H232" s="886">
        <f>(Table2[[#This Row],[Points 2025]]/2)+SUM(Table2[[#This Row],[O1  ADMIN 2026]:[P2    CAPE TOWN OPEN 2026 ]])</f>
        <v>3.75</v>
      </c>
      <c r="I232" s="880">
        <f t="shared" si="20"/>
        <v>0</v>
      </c>
      <c r="J232" s="882">
        <f t="shared" si="22"/>
        <v>0</v>
      </c>
      <c r="K232" s="887" t="s">
        <v>6083</v>
      </c>
      <c r="L232" s="887" t="s">
        <v>6083</v>
      </c>
      <c r="M232" s="887" t="s">
        <v>6083</v>
      </c>
      <c r="N232" s="887"/>
      <c r="O232" s="882"/>
      <c r="P232" s="882"/>
      <c r="Q232" s="888"/>
      <c r="R232" s="888"/>
      <c r="S232" s="882"/>
      <c r="T232" s="888"/>
      <c r="U232" s="882"/>
      <c r="V232" s="887"/>
      <c r="W232" s="888"/>
      <c r="X232" s="882"/>
      <c r="Y232" s="888"/>
      <c r="Z232" s="882"/>
      <c r="AA232" s="882"/>
      <c r="AB232" s="882"/>
      <c r="AC232" s="882"/>
      <c r="AD232" s="882"/>
      <c r="AE232" s="882"/>
      <c r="AF232" s="882">
        <v>15</v>
      </c>
      <c r="AG232" s="882"/>
      <c r="AH232" s="882"/>
      <c r="AI232" s="882"/>
      <c r="AJ232" s="882"/>
      <c r="AK232" s="882"/>
      <c r="AL232" s="889"/>
    </row>
    <row r="233" spans="1:38" s="890" customFormat="1">
      <c r="A233" s="882">
        <v>326</v>
      </c>
      <c r="B233" s="891">
        <f t="shared" si="24"/>
        <v>97</v>
      </c>
      <c r="C233" s="882">
        <f t="shared" si="21"/>
        <v>229</v>
      </c>
      <c r="D233" s="883">
        <v>3316</v>
      </c>
      <c r="E233" s="884" t="str">
        <f>IFERROR(VLOOKUP(Table2[[#This Row],[Player No]],Table10[[No]:[Province]],2,0),"")</f>
        <v>DICKASON Nathan</v>
      </c>
      <c r="F233" s="885" t="str">
        <f>IFERROR(VLOOKUP(Table2[[#This Row],[Player No]],Table10[[No]:[Province]],3,0),"")</f>
        <v>UMG</v>
      </c>
      <c r="G233" s="892">
        <v>7.5</v>
      </c>
      <c r="H233" s="886">
        <f>(Table2[[#This Row],[Points 2025]]/2)+SUM(Table2[[#This Row],[O1  ADMIN 2026]:[P2    CAPE TOWN OPEN 2026 ]])</f>
        <v>3.75</v>
      </c>
      <c r="I233" s="880">
        <f t="shared" si="20"/>
        <v>0</v>
      </c>
      <c r="J233" s="882">
        <f t="shared" si="22"/>
        <v>0</v>
      </c>
      <c r="K233" s="887" t="s">
        <v>6083</v>
      </c>
      <c r="L233" s="887" t="s">
        <v>6083</v>
      </c>
      <c r="M233" s="887" t="s">
        <v>6083</v>
      </c>
      <c r="N233" s="887"/>
      <c r="O233" s="882"/>
      <c r="P233" s="882">
        <v>2</v>
      </c>
      <c r="Q233" s="888"/>
      <c r="R233" s="888"/>
      <c r="S233" s="882">
        <v>2</v>
      </c>
      <c r="T233" s="888"/>
      <c r="U233" s="882"/>
      <c r="V233" s="887"/>
      <c r="W233" s="888"/>
      <c r="X233" s="882"/>
      <c r="Y233" s="888"/>
      <c r="Z233" s="882"/>
      <c r="AA233" s="882"/>
      <c r="AB233" s="882"/>
      <c r="AC233" s="882"/>
      <c r="AD233" s="882"/>
      <c r="AE233" s="882"/>
      <c r="AF233" s="882"/>
      <c r="AG233" s="882">
        <v>5</v>
      </c>
      <c r="AH233" s="882"/>
      <c r="AI233" s="882"/>
      <c r="AJ233" s="882">
        <v>1</v>
      </c>
      <c r="AK233" s="882"/>
      <c r="AL233" s="889"/>
    </row>
    <row r="234" spans="1:38" s="890" customFormat="1">
      <c r="A234" s="882">
        <v>111</v>
      </c>
      <c r="B234" s="891">
        <f t="shared" si="24"/>
        <v>-119</v>
      </c>
      <c r="C234" s="882">
        <f t="shared" si="21"/>
        <v>230</v>
      </c>
      <c r="D234" s="883">
        <v>3815</v>
      </c>
      <c r="E234" s="884" t="str">
        <f>IFERROR(VLOOKUP(Table2[[#This Row],[Player No]],Table10[[No]:[Province]],2,0),"")</f>
        <v>LIU Mo</v>
      </c>
      <c r="F234" s="885" t="str">
        <f>IFERROR(VLOOKUP(Table2[[#This Row],[Player No]],Table10[[No]:[Province]],3,0),"")</f>
        <v>JTTA</v>
      </c>
      <c r="G234" s="892">
        <v>7.5</v>
      </c>
      <c r="H234" s="886">
        <f>(Table2[[#This Row],[Points 2025]]/2)+SUM(Table2[[#This Row],[O1  ADMIN 2026]:[P2    CAPE TOWN OPEN 2026 ]])</f>
        <v>3.75</v>
      </c>
      <c r="I234" s="880">
        <f t="shared" si="20"/>
        <v>0</v>
      </c>
      <c r="J234" s="882">
        <f t="shared" si="22"/>
        <v>0</v>
      </c>
      <c r="K234" s="887" t="s">
        <v>6083</v>
      </c>
      <c r="L234" s="887" t="s">
        <v>6083</v>
      </c>
      <c r="M234" s="887" t="s">
        <v>6083</v>
      </c>
      <c r="N234" s="887"/>
      <c r="O234" s="882"/>
      <c r="P234" s="882"/>
      <c r="Q234" s="888"/>
      <c r="R234" s="888"/>
      <c r="S234" s="882"/>
      <c r="T234" s="888"/>
      <c r="U234" s="882"/>
      <c r="V234" s="887"/>
      <c r="W234" s="888"/>
      <c r="X234" s="882"/>
      <c r="Y234" s="888"/>
      <c r="Z234" s="882"/>
      <c r="AA234" s="882"/>
      <c r="AB234" s="882"/>
      <c r="AC234" s="882"/>
      <c r="AD234" s="882"/>
      <c r="AE234" s="882"/>
      <c r="AF234" s="882"/>
      <c r="AG234" s="882"/>
      <c r="AH234" s="882"/>
      <c r="AI234" s="882"/>
      <c r="AJ234" s="882">
        <v>15</v>
      </c>
      <c r="AK234" s="882"/>
      <c r="AL234" s="889"/>
    </row>
    <row r="235" spans="1:38" s="890" customFormat="1">
      <c r="A235" s="882">
        <v>430</v>
      </c>
      <c r="B235" s="891">
        <f t="shared" si="24"/>
        <v>199</v>
      </c>
      <c r="C235" s="882">
        <f t="shared" si="21"/>
        <v>231</v>
      </c>
      <c r="D235" s="883">
        <v>3869</v>
      </c>
      <c r="E235" s="884" t="str">
        <f>IFERROR(VLOOKUP(Table2[[#This Row],[Player No]],Table10[[No]:[Province]],2,0),"")</f>
        <v>TILUK Shivaal</v>
      </c>
      <c r="F235" s="885" t="str">
        <f>IFERROR(VLOOKUP(Table2[[#This Row],[Player No]],Table10[[No]:[Province]],3,0),"")</f>
        <v>UMG</v>
      </c>
      <c r="G235" s="892">
        <v>7.5</v>
      </c>
      <c r="H235" s="886">
        <f>(Table2[[#This Row],[Points 2025]]/2)+SUM(Table2[[#This Row],[O1  ADMIN 2026]:[P2    CAPE TOWN OPEN 2026 ]])</f>
        <v>3.75</v>
      </c>
      <c r="I235" s="880">
        <f t="shared" si="20"/>
        <v>0</v>
      </c>
      <c r="J235" s="882">
        <f t="shared" si="22"/>
        <v>0</v>
      </c>
      <c r="K235" s="887" t="s">
        <v>6083</v>
      </c>
      <c r="L235" s="887" t="s">
        <v>6083</v>
      </c>
      <c r="M235" s="887" t="s">
        <v>6083</v>
      </c>
      <c r="N235" s="887"/>
      <c r="O235" s="882">
        <v>2</v>
      </c>
      <c r="P235" s="882">
        <v>1</v>
      </c>
      <c r="Q235" s="888">
        <v>1</v>
      </c>
      <c r="R235" s="888">
        <v>1</v>
      </c>
      <c r="S235" s="882">
        <v>2</v>
      </c>
      <c r="T235" s="888"/>
      <c r="U235" s="882"/>
      <c r="V235" s="887"/>
      <c r="W235" s="888"/>
      <c r="X235" s="882"/>
      <c r="Y235" s="888"/>
      <c r="Z235" s="882"/>
      <c r="AA235" s="882"/>
      <c r="AB235" s="882"/>
      <c r="AC235" s="882"/>
      <c r="AD235" s="882">
        <v>1</v>
      </c>
      <c r="AE235" s="882"/>
      <c r="AF235" s="882"/>
      <c r="AG235" s="882"/>
      <c r="AH235" s="882"/>
      <c r="AI235" s="882"/>
      <c r="AJ235" s="882"/>
      <c r="AK235" s="882"/>
      <c r="AL235" s="889"/>
    </row>
    <row r="236" spans="1:38" s="890" customFormat="1">
      <c r="A236" s="882">
        <v>903</v>
      </c>
      <c r="B236" s="891">
        <f t="shared" si="24"/>
        <v>671</v>
      </c>
      <c r="C236" s="882">
        <f t="shared" si="21"/>
        <v>232</v>
      </c>
      <c r="D236" s="883">
        <v>3945</v>
      </c>
      <c r="E236" s="884" t="str">
        <f>IFERROR(VLOOKUP(Table2[[#This Row],[Player No]],Table10[[No]:[Province]],2,0),"")</f>
        <v>SPAHR Frank</v>
      </c>
      <c r="F236" s="885" t="str">
        <f>IFERROR(VLOOKUP(Table2[[#This Row],[Player No]],Table10[[No]:[Province]],3,0),"")</f>
        <v>Eden</v>
      </c>
      <c r="G236" s="892">
        <v>7.5</v>
      </c>
      <c r="H236" s="886">
        <f>(Table2[[#This Row],[Points 2025]]/2)+SUM(Table2[[#This Row],[O1  ADMIN 2026]:[P2    CAPE TOWN OPEN 2026 ]])</f>
        <v>3.75</v>
      </c>
      <c r="I236" s="880">
        <f t="shared" si="20"/>
        <v>0</v>
      </c>
      <c r="J236" s="882">
        <f t="shared" si="22"/>
        <v>0</v>
      </c>
      <c r="K236" s="887" t="s">
        <v>6083</v>
      </c>
      <c r="L236" s="887" t="s">
        <v>6083</v>
      </c>
      <c r="M236" s="887" t="s">
        <v>6083</v>
      </c>
      <c r="N236" s="887"/>
      <c r="O236" s="882"/>
      <c r="P236" s="882"/>
      <c r="Q236" s="888"/>
      <c r="R236" s="888"/>
      <c r="S236" s="882"/>
      <c r="T236" s="888"/>
      <c r="U236" s="882"/>
      <c r="V236" s="887"/>
      <c r="W236" s="888"/>
      <c r="X236" s="882"/>
      <c r="Y236" s="888"/>
      <c r="Z236" s="882"/>
      <c r="AA236" s="882"/>
      <c r="AB236" s="882"/>
      <c r="AC236" s="882"/>
      <c r="AD236" s="882"/>
      <c r="AE236" s="882"/>
      <c r="AF236" s="882">
        <v>15</v>
      </c>
      <c r="AG236" s="882"/>
      <c r="AH236" s="882"/>
      <c r="AI236" s="882"/>
      <c r="AJ236" s="882"/>
      <c r="AK236" s="882"/>
      <c r="AL236" s="889"/>
    </row>
    <row r="237" spans="1:38" s="890" customFormat="1">
      <c r="A237" s="882">
        <v>590</v>
      </c>
      <c r="B237" s="891">
        <f t="shared" si="24"/>
        <v>357</v>
      </c>
      <c r="C237" s="882">
        <f t="shared" si="21"/>
        <v>233</v>
      </c>
      <c r="D237" s="883">
        <v>4082</v>
      </c>
      <c r="E237" s="884" t="str">
        <f>IFERROR(VLOOKUP(Table2[[#This Row],[Player No]],Table10[[No]:[Province]],2,0),"")</f>
        <v>Manqoba Nyamate</v>
      </c>
      <c r="F237" s="885" t="str">
        <f>IFERROR(VLOOKUP(Table2[[#This Row],[Player No]],Table10[[No]:[Province]],3,0),"")</f>
        <v>JTTA</v>
      </c>
      <c r="G237" s="892">
        <v>7.5</v>
      </c>
      <c r="H237" s="886">
        <f>(Table2[[#This Row],[Points 2025]]/2)+SUM(Table2[[#This Row],[O1  ADMIN 2026]:[P2    CAPE TOWN OPEN 2026 ]])</f>
        <v>3.75</v>
      </c>
      <c r="I237" s="880">
        <f t="shared" si="20"/>
        <v>0</v>
      </c>
      <c r="J237" s="882">
        <f t="shared" si="22"/>
        <v>0</v>
      </c>
      <c r="K237" s="887" t="s">
        <v>6083</v>
      </c>
      <c r="L237" s="887" t="s">
        <v>6083</v>
      </c>
      <c r="M237" s="887" t="s">
        <v>6083</v>
      </c>
      <c r="N237" s="887"/>
      <c r="O237" s="882"/>
      <c r="P237" s="882"/>
      <c r="Q237" s="888"/>
      <c r="R237" s="888"/>
      <c r="S237" s="882"/>
      <c r="T237" s="888"/>
      <c r="U237" s="882"/>
      <c r="V237" s="887"/>
      <c r="W237" s="888"/>
      <c r="X237" s="882"/>
      <c r="Y237" s="888"/>
      <c r="Z237" s="882">
        <v>0</v>
      </c>
      <c r="AA237" s="882">
        <v>7.5</v>
      </c>
      <c r="AB237" s="882"/>
      <c r="AC237" s="882"/>
      <c r="AD237" s="882"/>
      <c r="AE237" s="882"/>
      <c r="AF237" s="882"/>
      <c r="AG237" s="882"/>
      <c r="AH237" s="882"/>
      <c r="AI237" s="882"/>
      <c r="AJ237" s="882"/>
      <c r="AK237" s="882"/>
      <c r="AL237" s="889"/>
    </row>
    <row r="238" spans="1:38" s="890" customFormat="1">
      <c r="A238" s="882">
        <v>429</v>
      </c>
      <c r="B238" s="891">
        <f t="shared" si="24"/>
        <v>195</v>
      </c>
      <c r="C238" s="882">
        <f t="shared" si="21"/>
        <v>234</v>
      </c>
      <c r="D238" s="883">
        <v>3867</v>
      </c>
      <c r="E238" s="884" t="str">
        <f>IFERROR(VLOOKUP(Table2[[#This Row],[Player No]],Table10[[No]:[Province]],2,0),"")</f>
        <v>PILLAY Devan</v>
      </c>
      <c r="F238" s="885" t="str">
        <f>IFERROR(VLOOKUP(Table2[[#This Row],[Player No]],Table10[[No]:[Province]],3,0),"")</f>
        <v>UMG</v>
      </c>
      <c r="G238" s="892">
        <v>3.5</v>
      </c>
      <c r="H238" s="886">
        <f>(Table2[[#This Row],[Points 2025]]/2)+SUM(Table2[[#This Row],[O1  ADMIN 2026]:[P2    CAPE TOWN OPEN 2026 ]])</f>
        <v>3.75</v>
      </c>
      <c r="I238" s="880">
        <f t="shared" si="20"/>
        <v>2</v>
      </c>
      <c r="J238" s="882">
        <f t="shared" si="22"/>
        <v>0</v>
      </c>
      <c r="K238" s="887" t="s">
        <v>6083</v>
      </c>
      <c r="L238" s="887">
        <v>1</v>
      </c>
      <c r="M238" s="887">
        <v>1</v>
      </c>
      <c r="N238" s="887"/>
      <c r="O238" s="882"/>
      <c r="P238" s="882">
        <v>1</v>
      </c>
      <c r="Q238" s="888"/>
      <c r="R238" s="888"/>
      <c r="S238" s="882">
        <v>2</v>
      </c>
      <c r="T238" s="888"/>
      <c r="U238" s="882"/>
      <c r="V238" s="887"/>
      <c r="W238" s="888"/>
      <c r="X238" s="882"/>
      <c r="Y238" s="888"/>
      <c r="Z238" s="882"/>
      <c r="AA238" s="882"/>
      <c r="AB238" s="882"/>
      <c r="AC238" s="882"/>
      <c r="AD238" s="882">
        <v>1</v>
      </c>
      <c r="AE238" s="882"/>
      <c r="AF238" s="882"/>
      <c r="AG238" s="882"/>
      <c r="AH238" s="882"/>
      <c r="AI238" s="882"/>
      <c r="AJ238" s="882"/>
      <c r="AK238" s="882"/>
      <c r="AL238" s="889"/>
    </row>
    <row r="239" spans="1:38" s="890" customFormat="1">
      <c r="A239" s="882">
        <v>263</v>
      </c>
      <c r="B239" s="891">
        <f t="shared" si="24"/>
        <v>28</v>
      </c>
      <c r="C239" s="882">
        <f t="shared" si="21"/>
        <v>235</v>
      </c>
      <c r="D239" s="883">
        <v>3821</v>
      </c>
      <c r="E239" s="884" t="str">
        <f>IFERROR(VLOOKUP(Table2[[#This Row],[Player No]],Table10[[No]:[Province]],2,0),"")</f>
        <v>MANUEL Nas</v>
      </c>
      <c r="F239" s="885" t="str">
        <f>IFERROR(VLOOKUP(Table2[[#This Row],[Player No]],Table10[[No]:[Province]],3,0),"")</f>
        <v>JTTA</v>
      </c>
      <c r="G239" s="892">
        <v>3.5</v>
      </c>
      <c r="H239" s="886">
        <f>(Table2[[#This Row],[Points 2025]]/2)+SUM(Table2[[#This Row],[O1  ADMIN 2026]:[P2    CAPE TOWN OPEN 2026 ]])</f>
        <v>3.75</v>
      </c>
      <c r="I239" s="880">
        <f t="shared" si="20"/>
        <v>1</v>
      </c>
      <c r="J239" s="882">
        <f t="shared" si="22"/>
        <v>0</v>
      </c>
      <c r="K239" s="887">
        <v>2</v>
      </c>
      <c r="L239" s="887" t="s">
        <v>6083</v>
      </c>
      <c r="M239" s="887" t="s">
        <v>6083</v>
      </c>
      <c r="N239" s="887"/>
      <c r="O239" s="882"/>
      <c r="P239" s="882"/>
      <c r="Q239" s="888"/>
      <c r="R239" s="888"/>
      <c r="S239" s="882"/>
      <c r="T239" s="888"/>
      <c r="U239" s="882"/>
      <c r="V239" s="887"/>
      <c r="W239" s="888"/>
      <c r="X239" s="882"/>
      <c r="Y239" s="888">
        <v>1</v>
      </c>
      <c r="Z239" s="882"/>
      <c r="AA239" s="882">
        <v>0</v>
      </c>
      <c r="AB239" s="882"/>
      <c r="AC239" s="882"/>
      <c r="AD239" s="882"/>
      <c r="AE239" s="882"/>
      <c r="AF239" s="882"/>
      <c r="AG239" s="882"/>
      <c r="AH239" s="882"/>
      <c r="AI239" s="882">
        <v>2</v>
      </c>
      <c r="AJ239" s="882">
        <v>3</v>
      </c>
      <c r="AK239" s="882"/>
      <c r="AL239" s="889"/>
    </row>
    <row r="240" spans="1:38" s="890" customFormat="1">
      <c r="A240" s="882">
        <v>148</v>
      </c>
      <c r="B240" s="891">
        <f t="shared" si="24"/>
        <v>-88</v>
      </c>
      <c r="C240" s="882">
        <f t="shared" si="21"/>
        <v>236</v>
      </c>
      <c r="D240" s="883">
        <v>1512</v>
      </c>
      <c r="E240" s="884" t="str">
        <f>IFERROR(VLOOKUP(Table2[[#This Row],[Player No]],Table10[[No]:[Province]],2,0),"")</f>
        <v>ILORI Samuel</v>
      </c>
      <c r="F240" s="885" t="str">
        <f>IFERROR(VLOOKUP(Table2[[#This Row],[Player No]],Table10[[No]:[Province]],3,0),"")</f>
        <v>JTTA</v>
      </c>
      <c r="G240" s="892">
        <v>7.41015625</v>
      </c>
      <c r="H240" s="886">
        <f>(Table2[[#This Row],[Points 2025]]/2)+SUM(Table2[[#This Row],[O1  ADMIN 2026]:[P2    CAPE TOWN OPEN 2026 ]])</f>
        <v>3.705078125</v>
      </c>
      <c r="I240" s="880">
        <f t="shared" si="20"/>
        <v>0</v>
      </c>
      <c r="J240" s="882">
        <f t="shared" si="22"/>
        <v>0</v>
      </c>
      <c r="K240" s="887" t="s">
        <v>6083</v>
      </c>
      <c r="L240" s="887" t="s">
        <v>6083</v>
      </c>
      <c r="M240" s="887" t="s">
        <v>6083</v>
      </c>
      <c r="N240" s="887"/>
      <c r="O240" s="882"/>
      <c r="P240" s="882"/>
      <c r="Q240" s="888"/>
      <c r="R240" s="888"/>
      <c r="S240" s="882"/>
      <c r="T240" s="888"/>
      <c r="U240" s="882"/>
      <c r="V240" s="887"/>
      <c r="W240" s="888"/>
      <c r="X240" s="882"/>
      <c r="Y240" s="888"/>
      <c r="Z240" s="882">
        <v>3</v>
      </c>
      <c r="AA240" s="882"/>
      <c r="AB240" s="882"/>
      <c r="AC240" s="882"/>
      <c r="AD240" s="882"/>
      <c r="AE240" s="882"/>
      <c r="AF240" s="882"/>
      <c r="AG240" s="882"/>
      <c r="AH240" s="882"/>
      <c r="AI240" s="882"/>
      <c r="AJ240" s="882"/>
      <c r="AK240" s="882"/>
      <c r="AL240" s="889"/>
    </row>
    <row r="241" spans="1:38" s="890" customFormat="1">
      <c r="A241" s="882">
        <v>116</v>
      </c>
      <c r="B241" s="891">
        <f t="shared" si="24"/>
        <v>-121</v>
      </c>
      <c r="C241" s="882">
        <f t="shared" si="21"/>
        <v>237</v>
      </c>
      <c r="D241" s="883">
        <v>1053</v>
      </c>
      <c r="E241" s="884" t="str">
        <f>IFERROR(VLOOKUP(Table2[[#This Row],[Player No]],Table10[[No]:[Province]],2,0),"")</f>
        <v xml:space="preserve">WILLIAMS Darryl </v>
      </c>
      <c r="F241" s="885" t="str">
        <f>IFERROR(VLOOKUP(Table2[[#This Row],[Player No]],Table10[[No]:[Province]],3,0),"")</f>
        <v>CT</v>
      </c>
      <c r="G241" s="892">
        <v>7.408203125</v>
      </c>
      <c r="H241" s="886">
        <f>(Table2[[#This Row],[Points 2025]]/2)+SUM(Table2[[#This Row],[O1  ADMIN 2026]:[P2    CAPE TOWN OPEN 2026 ]])</f>
        <v>3.7041015625</v>
      </c>
      <c r="I241" s="880">
        <f t="shared" si="20"/>
        <v>0</v>
      </c>
      <c r="J241" s="882">
        <f t="shared" si="22"/>
        <v>0</v>
      </c>
      <c r="K241" s="887" t="s">
        <v>6083</v>
      </c>
      <c r="L241" s="887" t="s">
        <v>6083</v>
      </c>
      <c r="M241" s="887" t="s">
        <v>6083</v>
      </c>
      <c r="N241" s="887"/>
      <c r="O241" s="882"/>
      <c r="P241" s="882"/>
      <c r="Q241" s="888"/>
      <c r="R241" s="888"/>
      <c r="S241" s="882"/>
      <c r="T241" s="888"/>
      <c r="U241" s="882"/>
      <c r="V241" s="887"/>
      <c r="W241" s="888"/>
      <c r="X241" s="882"/>
      <c r="Y241" s="888"/>
      <c r="Z241" s="882"/>
      <c r="AA241" s="882"/>
      <c r="AB241" s="882"/>
      <c r="AC241" s="882"/>
      <c r="AD241" s="882"/>
      <c r="AE241" s="882"/>
      <c r="AF241" s="882"/>
      <c r="AG241" s="882"/>
      <c r="AH241" s="882"/>
      <c r="AI241" s="882"/>
      <c r="AJ241" s="882"/>
      <c r="AK241" s="882"/>
      <c r="AL241" s="889"/>
    </row>
    <row r="242" spans="1:38" s="890" customFormat="1">
      <c r="A242" s="882">
        <v>230</v>
      </c>
      <c r="B242" s="891">
        <f t="shared" si="24"/>
        <v>-8</v>
      </c>
      <c r="C242" s="882">
        <f t="shared" si="21"/>
        <v>238</v>
      </c>
      <c r="D242" s="883">
        <v>3184</v>
      </c>
      <c r="E242" s="884" t="str">
        <f>IFERROR(VLOOKUP(Table2[[#This Row],[Player No]],Table10[[No]:[Province]],2,0),"")</f>
        <v>VAN DER MERWE Nico</v>
      </c>
      <c r="F242" s="885" t="str">
        <f>IFERROR(VLOOKUP(Table2[[#This Row],[Player No]],Table10[[No]:[Province]],3,0),"")</f>
        <v>GN</v>
      </c>
      <c r="G242" s="892">
        <v>7.03125</v>
      </c>
      <c r="H242" s="886">
        <f>(Table2[[#This Row],[Points 2025]]/2)+SUM(Table2[[#This Row],[O1  ADMIN 2026]:[P2    CAPE TOWN OPEN 2026 ]])</f>
        <v>3.515625</v>
      </c>
      <c r="I242" s="880">
        <f t="shared" si="20"/>
        <v>0</v>
      </c>
      <c r="J242" s="882">
        <f t="shared" si="22"/>
        <v>0</v>
      </c>
      <c r="K242" s="887" t="s">
        <v>6083</v>
      </c>
      <c r="L242" s="887" t="s">
        <v>6083</v>
      </c>
      <c r="M242" s="887" t="s">
        <v>6083</v>
      </c>
      <c r="N242" s="887"/>
      <c r="O242" s="882"/>
      <c r="P242" s="882"/>
      <c r="Q242" s="888"/>
      <c r="R242" s="888"/>
      <c r="S242" s="882"/>
      <c r="T242" s="888"/>
      <c r="U242" s="882"/>
      <c r="V242" s="887"/>
      <c r="W242" s="888"/>
      <c r="X242" s="882">
        <v>1</v>
      </c>
      <c r="Y242" s="888">
        <v>4</v>
      </c>
      <c r="Z242" s="882"/>
      <c r="AA242" s="882"/>
      <c r="AB242" s="882"/>
      <c r="AC242" s="882"/>
      <c r="AD242" s="882"/>
      <c r="AE242" s="882"/>
      <c r="AF242" s="882"/>
      <c r="AG242" s="882"/>
      <c r="AH242" s="882"/>
      <c r="AI242" s="882"/>
      <c r="AJ242" s="882">
        <v>3</v>
      </c>
      <c r="AK242" s="882"/>
      <c r="AL242" s="889"/>
    </row>
    <row r="243" spans="1:38" s="890" customFormat="1">
      <c r="A243" s="882"/>
      <c r="B243" s="891">
        <f t="shared" si="24"/>
        <v>-239</v>
      </c>
      <c r="C243" s="882">
        <f t="shared" si="21"/>
        <v>239</v>
      </c>
      <c r="D243" s="883">
        <v>3834</v>
      </c>
      <c r="E243" s="884" t="str">
        <f>IFERROR(VLOOKUP(Table2[[#This Row],[Player No]],Table10[[No]:[Province]],2,0),"")</f>
        <v>DU TOIT JG</v>
      </c>
      <c r="F243" s="885" t="str">
        <f>IFERROR(VLOOKUP(Table2[[#This Row],[Player No]],Table10[[No]:[Province]],3,0),"")</f>
        <v>GN</v>
      </c>
      <c r="G243" s="892">
        <v>7</v>
      </c>
      <c r="H243" s="886">
        <f>(Table2[[#This Row],[Points 2025]]/2)+SUM(Table2[[#This Row],[O1  ADMIN 2026]:[P2    CAPE TOWN OPEN 2026 ]])</f>
        <v>3.5</v>
      </c>
      <c r="I243" s="880">
        <f t="shared" si="20"/>
        <v>0</v>
      </c>
      <c r="J243" s="882">
        <f t="shared" si="22"/>
        <v>0</v>
      </c>
      <c r="K243" s="887" t="s">
        <v>6083</v>
      </c>
      <c r="L243" s="887" t="s">
        <v>6083</v>
      </c>
      <c r="M243" s="887" t="s">
        <v>6083</v>
      </c>
      <c r="N243" s="887"/>
      <c r="O243" s="882"/>
      <c r="P243" s="882"/>
      <c r="Q243" s="888"/>
      <c r="R243" s="888"/>
      <c r="S243" s="882"/>
      <c r="T243" s="888">
        <v>1</v>
      </c>
      <c r="U243" s="882"/>
      <c r="V243" s="887"/>
      <c r="W243" s="888">
        <v>5</v>
      </c>
      <c r="X243" s="882"/>
      <c r="Y243" s="888">
        <v>0</v>
      </c>
      <c r="Z243" s="882"/>
      <c r="AA243" s="882"/>
      <c r="AB243" s="882"/>
      <c r="AC243" s="882"/>
      <c r="AD243" s="882"/>
      <c r="AE243" s="882"/>
      <c r="AF243" s="882"/>
      <c r="AG243" s="882"/>
      <c r="AH243" s="882"/>
      <c r="AI243" s="882">
        <v>2</v>
      </c>
      <c r="AJ243" s="882"/>
      <c r="AK243" s="882"/>
      <c r="AL243" s="889"/>
    </row>
    <row r="244" spans="1:38" s="890" customFormat="1">
      <c r="A244" s="882"/>
      <c r="B244" s="891"/>
      <c r="C244" s="882">
        <f t="shared" si="21"/>
        <v>240</v>
      </c>
      <c r="D244" s="883">
        <v>4737</v>
      </c>
      <c r="E244" s="884" t="str">
        <f>IFERROR(VLOOKUP(Table2[[#This Row],[Player No]],Table10[[No]:[Province]],2,0),"")</f>
        <v>STRYDOM  Le Roux</v>
      </c>
      <c r="F244" s="885" t="str">
        <f>IFERROR(VLOOKUP(Table2[[#This Row],[Player No]],Table10[[No]:[Province]],3,0),"")</f>
        <v>USSA</v>
      </c>
      <c r="G244" s="892">
        <v>7</v>
      </c>
      <c r="H244" s="886">
        <f>(Table2[[#This Row],[Points 2025]]/2)+SUM(Table2[[#This Row],[O1  ADMIN 2026]:[P2    CAPE TOWN OPEN 2026 ]])</f>
        <v>3.5</v>
      </c>
      <c r="I244" s="880">
        <f t="shared" si="20"/>
        <v>0</v>
      </c>
      <c r="J244" s="882">
        <f t="shared" si="22"/>
        <v>0</v>
      </c>
      <c r="K244" s="887" t="s">
        <v>6083</v>
      </c>
      <c r="L244" s="887" t="s">
        <v>6083</v>
      </c>
      <c r="M244" s="887" t="s">
        <v>6083</v>
      </c>
      <c r="N244" s="887"/>
      <c r="O244" s="882"/>
      <c r="P244" s="882"/>
      <c r="Q244" s="888"/>
      <c r="R244" s="888"/>
      <c r="S244" s="882"/>
      <c r="T244" s="888"/>
      <c r="U244" s="882"/>
      <c r="V244" s="887"/>
      <c r="W244" s="888">
        <v>7</v>
      </c>
      <c r="X244" s="882"/>
      <c r="Y244" s="888"/>
      <c r="Z244" s="882"/>
      <c r="AA244" s="882"/>
      <c r="AB244" s="882"/>
      <c r="AC244" s="882"/>
      <c r="AD244" s="882"/>
      <c r="AE244" s="882"/>
      <c r="AF244" s="882"/>
      <c r="AG244" s="882"/>
      <c r="AH244" s="882"/>
      <c r="AI244" s="882"/>
      <c r="AJ244" s="882"/>
      <c r="AK244" s="882"/>
      <c r="AL244" s="889"/>
    </row>
    <row r="245" spans="1:38" s="890" customFormat="1">
      <c r="A245" s="882"/>
      <c r="B245" s="891"/>
      <c r="C245" s="882">
        <f t="shared" si="21"/>
        <v>241</v>
      </c>
      <c r="D245" s="883">
        <v>4749</v>
      </c>
      <c r="E245" s="884" t="str">
        <f>IFERROR(VLOOKUP(Table2[[#This Row],[Player No]],Table10[[No]:[Province]],2,0),"")</f>
        <v>MOODLEY Philo</v>
      </c>
      <c r="F245" s="885" t="str">
        <f>IFERROR(VLOOKUP(Table2[[#This Row],[Player No]],Table10[[No]:[Province]],3,0),"")</f>
        <v>NMB</v>
      </c>
      <c r="G245" s="892">
        <v>7</v>
      </c>
      <c r="H245" s="886">
        <f>(Table2[[#This Row],[Points 2025]]/2)+SUM(Table2[[#This Row],[O1  ADMIN 2026]:[P2    CAPE TOWN OPEN 2026 ]])</f>
        <v>3.5</v>
      </c>
      <c r="I245" s="880">
        <f t="shared" si="20"/>
        <v>0</v>
      </c>
      <c r="J245" s="882">
        <f t="shared" si="22"/>
        <v>0</v>
      </c>
      <c r="K245" s="887" t="s">
        <v>6083</v>
      </c>
      <c r="L245" s="887" t="s">
        <v>6083</v>
      </c>
      <c r="M245" s="887" t="s">
        <v>6083</v>
      </c>
      <c r="N245" s="887"/>
      <c r="O245" s="882"/>
      <c r="P245" s="882"/>
      <c r="Q245" s="888"/>
      <c r="R245" s="888"/>
      <c r="S245" s="882"/>
      <c r="T245" s="888"/>
      <c r="U245" s="882"/>
      <c r="V245" s="887">
        <v>2</v>
      </c>
      <c r="W245" s="888">
        <v>5</v>
      </c>
      <c r="X245" s="882"/>
      <c r="Y245" s="888"/>
      <c r="Z245" s="882"/>
      <c r="AA245" s="882"/>
      <c r="AB245" s="882"/>
      <c r="AC245" s="882"/>
      <c r="AD245" s="882"/>
      <c r="AE245" s="882"/>
      <c r="AF245" s="882"/>
      <c r="AG245" s="882"/>
      <c r="AH245" s="882"/>
      <c r="AI245" s="882"/>
      <c r="AJ245" s="882"/>
      <c r="AK245" s="882"/>
      <c r="AL245" s="889"/>
    </row>
    <row r="246" spans="1:38" s="890" customFormat="1">
      <c r="A246" s="882">
        <v>590</v>
      </c>
      <c r="B246" s="891">
        <f>+A246-C246</f>
        <v>348</v>
      </c>
      <c r="C246" s="882">
        <f t="shared" si="21"/>
        <v>242</v>
      </c>
      <c r="D246" s="883">
        <v>3873</v>
      </c>
      <c r="E246" s="884" t="str">
        <f>IFERROR(VLOOKUP(Table2[[#This Row],[Player No]],Table10[[No]:[Province]],2,0),"")</f>
        <v>FRANK Callum</v>
      </c>
      <c r="F246" s="885" t="str">
        <f>IFERROR(VLOOKUP(Table2[[#This Row],[Player No]],Table10[[No]:[Province]],3,0),"")</f>
        <v>UMG</v>
      </c>
      <c r="G246" s="892">
        <v>3</v>
      </c>
      <c r="H246" s="886">
        <f>(Table2[[#This Row],[Points 2025]]/2)+SUM(Table2[[#This Row],[O1  ADMIN 2026]:[P2    CAPE TOWN OPEN 2026 ]])</f>
        <v>3.5</v>
      </c>
      <c r="I246" s="880">
        <f t="shared" si="20"/>
        <v>2</v>
      </c>
      <c r="J246" s="882">
        <f t="shared" si="22"/>
        <v>0</v>
      </c>
      <c r="K246" s="887" t="s">
        <v>6083</v>
      </c>
      <c r="L246" s="887">
        <v>1</v>
      </c>
      <c r="M246" s="887">
        <v>1</v>
      </c>
      <c r="N246" s="887"/>
      <c r="O246" s="882">
        <v>2</v>
      </c>
      <c r="P246" s="882"/>
      <c r="Q246" s="888">
        <v>1</v>
      </c>
      <c r="R246" s="888"/>
      <c r="S246" s="882"/>
      <c r="T246" s="888"/>
      <c r="U246" s="882"/>
      <c r="V246" s="887"/>
      <c r="W246" s="888"/>
      <c r="X246" s="882"/>
      <c r="Y246" s="888"/>
      <c r="Z246" s="882"/>
      <c r="AA246" s="882"/>
      <c r="AB246" s="882"/>
      <c r="AC246" s="882"/>
      <c r="AD246" s="882"/>
      <c r="AE246" s="882"/>
      <c r="AF246" s="882"/>
      <c r="AG246" s="882"/>
      <c r="AH246" s="882"/>
      <c r="AI246" s="882"/>
      <c r="AJ246" s="882"/>
      <c r="AK246" s="882"/>
      <c r="AL246" s="889"/>
    </row>
    <row r="247" spans="1:38" s="890" customFormat="1">
      <c r="A247" s="882"/>
      <c r="B247" s="891"/>
      <c r="C247" s="882">
        <f t="shared" si="21"/>
        <v>243</v>
      </c>
      <c r="D247" s="883">
        <v>4382</v>
      </c>
      <c r="E247" s="884" t="str">
        <f>IFERROR(VLOOKUP(Table2[[#This Row],[Player No]],Table10[[No]:[Province]],2,0),"")</f>
        <v>BAGIRATHI Advay</v>
      </c>
      <c r="F247" s="885" t="str">
        <f>IFERROR(VLOOKUP(Table2[[#This Row],[Player No]],Table10[[No]:[Province]],3,0),"")</f>
        <v>UMG</v>
      </c>
      <c r="G247" s="892">
        <v>1</v>
      </c>
      <c r="H247" s="886">
        <f>(Table2[[#This Row],[Points 2025]]/2)+SUM(Table2[[#This Row],[O1  ADMIN 2026]:[P2    CAPE TOWN OPEN 2026 ]])</f>
        <v>3.5</v>
      </c>
      <c r="I247" s="880">
        <f t="shared" si="20"/>
        <v>2</v>
      </c>
      <c r="J247" s="882">
        <f t="shared" si="22"/>
        <v>0</v>
      </c>
      <c r="K247" s="887" t="s">
        <v>6083</v>
      </c>
      <c r="L247" s="887">
        <v>2</v>
      </c>
      <c r="M247" s="887">
        <v>1</v>
      </c>
      <c r="N247" s="887"/>
      <c r="O247" s="882"/>
      <c r="P247" s="882"/>
      <c r="Q247" s="888">
        <v>1</v>
      </c>
      <c r="R247" s="888"/>
      <c r="S247" s="882"/>
      <c r="T247" s="888"/>
      <c r="U247" s="882"/>
      <c r="V247" s="887"/>
      <c r="W247" s="888"/>
      <c r="X247" s="882"/>
      <c r="Y247" s="888"/>
      <c r="Z247" s="882"/>
      <c r="AA247" s="882"/>
      <c r="AB247" s="882"/>
      <c r="AC247" s="882"/>
      <c r="AD247" s="882"/>
      <c r="AE247" s="882"/>
      <c r="AF247" s="882"/>
      <c r="AG247" s="882"/>
      <c r="AH247" s="882"/>
      <c r="AI247" s="882"/>
      <c r="AJ247" s="882"/>
      <c r="AK247" s="882"/>
      <c r="AL247" s="889"/>
    </row>
    <row r="248" spans="1:38" s="890" customFormat="1">
      <c r="A248" s="882">
        <v>120</v>
      </c>
      <c r="B248" s="891">
        <f>+A248-C248</f>
        <v>-124</v>
      </c>
      <c r="C248" s="882">
        <f t="shared" si="21"/>
        <v>244</v>
      </c>
      <c r="D248" s="883">
        <v>1727</v>
      </c>
      <c r="E248" s="884" t="str">
        <f>IFERROR(VLOOKUP(Table2[[#This Row],[Player No]],Table10[[No]:[Province]],2,0),"")</f>
        <v xml:space="preserve">ABRAHAMS Sedick </v>
      </c>
      <c r="F248" s="885" t="str">
        <f>IFERROR(VLOOKUP(Table2[[#This Row],[Player No]],Table10[[No]:[Province]],3,0),"")</f>
        <v>CT</v>
      </c>
      <c r="G248" s="892">
        <v>6.765625</v>
      </c>
      <c r="H248" s="886">
        <f>(Table2[[#This Row],[Points 2025]]/2)+SUM(Table2[[#This Row],[O1  ADMIN 2026]:[P2    CAPE TOWN OPEN 2026 ]])</f>
        <v>3.3828125</v>
      </c>
      <c r="I248" s="880">
        <f t="shared" si="20"/>
        <v>0</v>
      </c>
      <c r="J248" s="882">
        <f t="shared" si="22"/>
        <v>0</v>
      </c>
      <c r="K248" s="887" t="s">
        <v>6083</v>
      </c>
      <c r="L248" s="887" t="s">
        <v>6083</v>
      </c>
      <c r="M248" s="887" t="s">
        <v>6083</v>
      </c>
      <c r="N248" s="887"/>
      <c r="O248" s="882"/>
      <c r="P248" s="882"/>
      <c r="Q248" s="888"/>
      <c r="R248" s="888"/>
      <c r="S248" s="882"/>
      <c r="T248" s="888"/>
      <c r="U248" s="882"/>
      <c r="V248" s="887"/>
      <c r="W248" s="888"/>
      <c r="X248" s="882"/>
      <c r="Y248" s="888"/>
      <c r="Z248" s="882"/>
      <c r="AA248" s="882"/>
      <c r="AB248" s="882"/>
      <c r="AC248" s="882"/>
      <c r="AD248" s="882"/>
      <c r="AE248" s="882"/>
      <c r="AF248" s="882"/>
      <c r="AG248" s="882"/>
      <c r="AH248" s="882"/>
      <c r="AI248" s="882"/>
      <c r="AJ248" s="882"/>
      <c r="AK248" s="882"/>
      <c r="AL248" s="889"/>
    </row>
    <row r="249" spans="1:38" s="890" customFormat="1">
      <c r="A249" s="882">
        <v>179</v>
      </c>
      <c r="B249" s="891">
        <f>+A249-C249</f>
        <v>-66</v>
      </c>
      <c r="C249" s="882">
        <f t="shared" si="21"/>
        <v>245</v>
      </c>
      <c r="D249" s="883">
        <v>2461</v>
      </c>
      <c r="E249" s="884" t="str">
        <f>IFERROR(VLOOKUP(Table2[[#This Row],[Player No]],Table10[[No]:[Province]],2,0),"")</f>
        <v>BOOYSEN Martin-Junior</v>
      </c>
      <c r="F249" s="885" t="str">
        <f>IFERROR(VLOOKUP(Table2[[#This Row],[Player No]],Table10[[No]:[Province]],3,0),"")</f>
        <v>WC</v>
      </c>
      <c r="G249" s="892">
        <v>6.75</v>
      </c>
      <c r="H249" s="886">
        <f>(Table2[[#This Row],[Points 2025]]/2)+SUM(Table2[[#This Row],[O1  ADMIN 2026]:[P2    CAPE TOWN OPEN 2026 ]])</f>
        <v>3.375</v>
      </c>
      <c r="I249" s="880">
        <f t="shared" si="20"/>
        <v>0</v>
      </c>
      <c r="J249" s="882">
        <f t="shared" si="22"/>
        <v>0</v>
      </c>
      <c r="K249" s="887" t="s">
        <v>6083</v>
      </c>
      <c r="L249" s="887" t="s">
        <v>6083</v>
      </c>
      <c r="M249" s="887" t="s">
        <v>6083</v>
      </c>
      <c r="N249" s="887"/>
      <c r="O249" s="882"/>
      <c r="P249" s="882"/>
      <c r="Q249" s="888"/>
      <c r="R249" s="888"/>
      <c r="S249" s="882"/>
      <c r="T249" s="888"/>
      <c r="U249" s="882"/>
      <c r="V249" s="887"/>
      <c r="W249" s="888">
        <v>0</v>
      </c>
      <c r="X249" s="882"/>
      <c r="Y249" s="888"/>
      <c r="Z249" s="882"/>
      <c r="AA249" s="882"/>
      <c r="AB249" s="882">
        <v>2</v>
      </c>
      <c r="AC249" s="882"/>
      <c r="AD249" s="882"/>
      <c r="AE249" s="882">
        <v>3</v>
      </c>
      <c r="AF249" s="882"/>
      <c r="AG249" s="882"/>
      <c r="AH249" s="882"/>
      <c r="AI249" s="882"/>
      <c r="AJ249" s="882"/>
      <c r="AK249" s="882"/>
      <c r="AL249" s="889"/>
    </row>
    <row r="250" spans="1:38" s="890" customFormat="1">
      <c r="A250" s="882">
        <v>122</v>
      </c>
      <c r="B250" s="891">
        <f>+A250-C250</f>
        <v>-124</v>
      </c>
      <c r="C250" s="882">
        <f t="shared" si="21"/>
        <v>246</v>
      </c>
      <c r="D250" s="883">
        <v>2145</v>
      </c>
      <c r="E250" s="884" t="str">
        <f>IFERROR(VLOOKUP(Table2[[#This Row],[Player No]],Table10[[No]:[Province]],2,0),"")</f>
        <v>VERHEIJEN Peter</v>
      </c>
      <c r="F250" s="885" t="str">
        <f>IFERROR(VLOOKUP(Table2[[#This Row],[Player No]],Table10[[No]:[Province]],3,0),"")</f>
        <v>GN</v>
      </c>
      <c r="G250" s="892">
        <v>6.7109375</v>
      </c>
      <c r="H250" s="886">
        <f>(Table2[[#This Row],[Points 2025]]/2)+SUM(Table2[[#This Row],[O1  ADMIN 2026]:[P2    CAPE TOWN OPEN 2026 ]])</f>
        <v>3.35546875</v>
      </c>
      <c r="I250" s="880">
        <f t="shared" si="20"/>
        <v>0</v>
      </c>
      <c r="J250" s="882">
        <f t="shared" si="22"/>
        <v>0</v>
      </c>
      <c r="K250" s="887" t="s">
        <v>6083</v>
      </c>
      <c r="L250" s="887" t="s">
        <v>6083</v>
      </c>
      <c r="M250" s="887" t="s">
        <v>6083</v>
      </c>
      <c r="N250" s="887"/>
      <c r="O250" s="882"/>
      <c r="P250" s="882"/>
      <c r="Q250" s="888"/>
      <c r="R250" s="888"/>
      <c r="S250" s="882"/>
      <c r="T250" s="888"/>
      <c r="U250" s="882"/>
      <c r="V250" s="887"/>
      <c r="W250" s="888"/>
      <c r="X250" s="882"/>
      <c r="Y250" s="888"/>
      <c r="Z250" s="882"/>
      <c r="AA250" s="882"/>
      <c r="AB250" s="882"/>
      <c r="AC250" s="882"/>
      <c r="AD250" s="882"/>
      <c r="AE250" s="882"/>
      <c r="AF250" s="882"/>
      <c r="AG250" s="882"/>
      <c r="AH250" s="882"/>
      <c r="AI250" s="882"/>
      <c r="AJ250" s="882"/>
      <c r="AK250" s="882"/>
      <c r="AL250" s="889"/>
    </row>
    <row r="251" spans="1:38" s="890" customFormat="1">
      <c r="A251" s="882"/>
      <c r="B251" s="891"/>
      <c r="C251" s="882">
        <f t="shared" si="21"/>
        <v>247</v>
      </c>
      <c r="D251" s="883">
        <v>1043</v>
      </c>
      <c r="E251" s="884" t="str">
        <f>IFERROR(VLOOKUP(Table2[[#This Row],[Player No]],Table10[[No]:[Province]],2,0),"")</f>
        <v xml:space="preserve">ORR Darren </v>
      </c>
      <c r="F251" s="885" t="str">
        <f>IFERROR(VLOOKUP(Table2[[#This Row],[Player No]],Table10[[No]:[Province]],3,0),"")</f>
        <v>CT</v>
      </c>
      <c r="G251" s="892">
        <v>6.5</v>
      </c>
      <c r="H251" s="886">
        <f>(Table2[[#This Row],[Points 2025]]/2)+SUM(Table2[[#This Row],[O1  ADMIN 2026]:[P2    CAPE TOWN OPEN 2026 ]])</f>
        <v>3.25</v>
      </c>
      <c r="I251" s="880">
        <f t="shared" si="20"/>
        <v>0</v>
      </c>
      <c r="J251" s="882">
        <f t="shared" si="22"/>
        <v>0</v>
      </c>
      <c r="K251" s="887" t="s">
        <v>6083</v>
      </c>
      <c r="L251" s="887" t="s">
        <v>6083</v>
      </c>
      <c r="M251" s="887" t="s">
        <v>6083</v>
      </c>
      <c r="N251" s="887"/>
      <c r="O251" s="882"/>
      <c r="P251" s="882"/>
      <c r="Q251" s="888"/>
      <c r="R251" s="888"/>
      <c r="S251" s="882"/>
      <c r="T251" s="888"/>
      <c r="U251" s="882"/>
      <c r="V251" s="887"/>
      <c r="W251" s="888"/>
      <c r="X251" s="882"/>
      <c r="Y251" s="888"/>
      <c r="Z251" s="882"/>
      <c r="AA251" s="882"/>
      <c r="AB251" s="882">
        <v>5</v>
      </c>
      <c r="AC251" s="882"/>
      <c r="AD251" s="882"/>
      <c r="AE251" s="882">
        <v>3</v>
      </c>
      <c r="AF251" s="882"/>
      <c r="AG251" s="882"/>
      <c r="AH251" s="882"/>
      <c r="AI251" s="882"/>
      <c r="AJ251" s="882"/>
      <c r="AK251" s="882"/>
      <c r="AL251" s="889"/>
    </row>
    <row r="252" spans="1:38" s="890" customFormat="1">
      <c r="A252" s="882"/>
      <c r="B252" s="891"/>
      <c r="C252" s="882">
        <f t="shared" si="21"/>
        <v>248</v>
      </c>
      <c r="D252" s="883">
        <v>2516</v>
      </c>
      <c r="E252" s="884" t="str">
        <f>IFERROR(VLOOKUP(Table2[[#This Row],[Player No]],Table10[[No]:[Province]],2,0),"")</f>
        <v>PIETERSEN Jerome</v>
      </c>
      <c r="F252" s="885" t="str">
        <f>IFERROR(VLOOKUP(Table2[[#This Row],[Player No]],Table10[[No]:[Province]],3,0),"")</f>
        <v>CW</v>
      </c>
      <c r="G252" s="892">
        <v>6.5</v>
      </c>
      <c r="H252" s="886">
        <f>(Table2[[#This Row],[Points 2025]]/2)+SUM(Table2[[#This Row],[O1  ADMIN 2026]:[P2    CAPE TOWN OPEN 2026 ]])</f>
        <v>3.25</v>
      </c>
      <c r="I252" s="880">
        <f t="shared" si="20"/>
        <v>0</v>
      </c>
      <c r="J252" s="882">
        <f t="shared" si="22"/>
        <v>0</v>
      </c>
      <c r="K252" s="887" t="s">
        <v>6083</v>
      </c>
      <c r="L252" s="887" t="s">
        <v>6083</v>
      </c>
      <c r="M252" s="887" t="s">
        <v>6083</v>
      </c>
      <c r="N252" s="887"/>
      <c r="O252" s="882"/>
      <c r="P252" s="882"/>
      <c r="Q252" s="888"/>
      <c r="R252" s="888"/>
      <c r="S252" s="882"/>
      <c r="T252" s="888"/>
      <c r="U252" s="882"/>
      <c r="V252" s="887"/>
      <c r="W252" s="888"/>
      <c r="X252" s="882"/>
      <c r="Y252" s="888"/>
      <c r="Z252" s="882"/>
      <c r="AA252" s="882"/>
      <c r="AB252" s="882">
        <v>5</v>
      </c>
      <c r="AC252" s="882"/>
      <c r="AD252" s="882"/>
      <c r="AE252" s="882">
        <v>3</v>
      </c>
      <c r="AF252" s="882"/>
      <c r="AG252" s="882"/>
      <c r="AH252" s="882"/>
      <c r="AI252" s="882"/>
      <c r="AJ252" s="882"/>
      <c r="AK252" s="882"/>
      <c r="AL252" s="889"/>
    </row>
    <row r="253" spans="1:38" s="890" customFormat="1">
      <c r="A253" s="882">
        <v>905</v>
      </c>
      <c r="B253" s="891">
        <f t="shared" ref="B253:B259" si="25">+A253-C253</f>
        <v>656</v>
      </c>
      <c r="C253" s="882">
        <f t="shared" si="21"/>
        <v>249</v>
      </c>
      <c r="D253" s="883">
        <v>3886</v>
      </c>
      <c r="E253" s="884" t="str">
        <f>IFERROR(VLOOKUP(Table2[[#This Row],[Player No]],Table10[[No]:[Province]],2,0),"")</f>
        <v>GUNTELACH Noah</v>
      </c>
      <c r="F253" s="885" t="str">
        <f>IFERROR(VLOOKUP(Table2[[#This Row],[Player No]],Table10[[No]:[Province]],3,0),"")</f>
        <v>CW</v>
      </c>
      <c r="G253" s="892">
        <v>6.5</v>
      </c>
      <c r="H253" s="886">
        <f>(Table2[[#This Row],[Points 2025]]/2)+SUM(Table2[[#This Row],[O1  ADMIN 2026]:[P2    CAPE TOWN OPEN 2026 ]])</f>
        <v>3.25</v>
      </c>
      <c r="I253" s="880">
        <f t="shared" si="20"/>
        <v>0</v>
      </c>
      <c r="J253" s="882">
        <f t="shared" si="22"/>
        <v>0</v>
      </c>
      <c r="K253" s="887" t="s">
        <v>6083</v>
      </c>
      <c r="L253" s="887" t="s">
        <v>6083</v>
      </c>
      <c r="M253" s="887" t="s">
        <v>6083</v>
      </c>
      <c r="N253" s="887"/>
      <c r="O253" s="882"/>
      <c r="P253" s="882"/>
      <c r="Q253" s="888"/>
      <c r="R253" s="888"/>
      <c r="S253" s="882"/>
      <c r="T253" s="888"/>
      <c r="U253" s="882"/>
      <c r="V253" s="887"/>
      <c r="W253" s="888">
        <v>5</v>
      </c>
      <c r="X253" s="882"/>
      <c r="Y253" s="888"/>
      <c r="Z253" s="882"/>
      <c r="AA253" s="882"/>
      <c r="AB253" s="882"/>
      <c r="AC253" s="882"/>
      <c r="AD253" s="882"/>
      <c r="AE253" s="882">
        <v>1</v>
      </c>
      <c r="AF253" s="882">
        <v>2</v>
      </c>
      <c r="AG253" s="882">
        <v>0</v>
      </c>
      <c r="AH253" s="882"/>
      <c r="AI253" s="882"/>
      <c r="AJ253" s="882"/>
      <c r="AK253" s="882"/>
      <c r="AL253" s="889"/>
    </row>
    <row r="254" spans="1:38" s="890" customFormat="1">
      <c r="A254" s="882">
        <v>131</v>
      </c>
      <c r="B254" s="891">
        <f t="shared" si="25"/>
        <v>-119</v>
      </c>
      <c r="C254" s="882">
        <f t="shared" si="21"/>
        <v>250</v>
      </c>
      <c r="D254" s="883">
        <v>2775</v>
      </c>
      <c r="E254" s="884" t="str">
        <f>IFERROR(VLOOKUP(Table2[[#This Row],[Player No]],Table10[[No]:[Province]],2,0),"")</f>
        <v>WESSELS Gabba</v>
      </c>
      <c r="F254" s="885" t="str">
        <f>IFERROR(VLOOKUP(Table2[[#This Row],[Player No]],Table10[[No]:[Province]],3,0),"")</f>
        <v>JTTA</v>
      </c>
      <c r="G254" s="892">
        <v>6.46875</v>
      </c>
      <c r="H254" s="886">
        <f>(Table2[[#This Row],[Points 2025]]/2)+SUM(Table2[[#This Row],[O1  ADMIN 2026]:[P2    CAPE TOWN OPEN 2026 ]])</f>
        <v>3.234375</v>
      </c>
      <c r="I254" s="880">
        <f t="shared" si="20"/>
        <v>0</v>
      </c>
      <c r="J254" s="882">
        <f t="shared" si="22"/>
        <v>0</v>
      </c>
      <c r="K254" s="887" t="s">
        <v>6083</v>
      </c>
      <c r="L254" s="887" t="s">
        <v>6083</v>
      </c>
      <c r="M254" s="887" t="s">
        <v>6083</v>
      </c>
      <c r="N254" s="887"/>
      <c r="O254" s="882"/>
      <c r="P254" s="882"/>
      <c r="Q254" s="888"/>
      <c r="R254" s="888"/>
      <c r="S254" s="882"/>
      <c r="T254" s="888"/>
      <c r="U254" s="882"/>
      <c r="V254" s="887"/>
      <c r="W254" s="888"/>
      <c r="X254" s="882"/>
      <c r="Y254" s="888"/>
      <c r="Z254" s="882"/>
      <c r="AA254" s="882"/>
      <c r="AB254" s="882"/>
      <c r="AC254" s="882"/>
      <c r="AD254" s="882"/>
      <c r="AE254" s="882"/>
      <c r="AF254" s="882"/>
      <c r="AG254" s="882"/>
      <c r="AH254" s="882"/>
      <c r="AI254" s="882">
        <v>2</v>
      </c>
      <c r="AJ254" s="882"/>
      <c r="AK254" s="882">
        <v>10</v>
      </c>
      <c r="AL254" s="889"/>
    </row>
    <row r="255" spans="1:38" s="890" customFormat="1">
      <c r="A255" s="882">
        <v>275</v>
      </c>
      <c r="B255" s="891">
        <f t="shared" si="25"/>
        <v>24</v>
      </c>
      <c r="C255" s="882">
        <f t="shared" si="21"/>
        <v>251</v>
      </c>
      <c r="D255" s="883">
        <v>1155</v>
      </c>
      <c r="E255" s="884" t="str">
        <f>IFERROR(VLOOKUP(Table2[[#This Row],[Player No]],Table10[[No]:[Province]],2,0),"")</f>
        <v>SANTO Moffat</v>
      </c>
      <c r="F255" s="885" t="str">
        <f>IFERROR(VLOOKUP(Table2[[#This Row],[Player No]],Table10[[No]:[Province]],3,0),"")</f>
        <v>NWP</v>
      </c>
      <c r="G255" s="892">
        <v>6.375</v>
      </c>
      <c r="H255" s="886">
        <f>(Table2[[#This Row],[Points 2025]]/2)+SUM(Table2[[#This Row],[O1  ADMIN 2026]:[P2    CAPE TOWN OPEN 2026 ]])</f>
        <v>3.1875</v>
      </c>
      <c r="I255" s="880">
        <f t="shared" si="20"/>
        <v>0</v>
      </c>
      <c r="J255" s="882">
        <f t="shared" si="22"/>
        <v>0</v>
      </c>
      <c r="K255" s="887" t="s">
        <v>6083</v>
      </c>
      <c r="L255" s="887" t="s">
        <v>6083</v>
      </c>
      <c r="M255" s="887" t="s">
        <v>6083</v>
      </c>
      <c r="N255" s="887"/>
      <c r="O255" s="882"/>
      <c r="P255" s="882"/>
      <c r="Q255" s="888"/>
      <c r="R255" s="888"/>
      <c r="S255" s="882"/>
      <c r="T255" s="888"/>
      <c r="U255" s="882"/>
      <c r="V255" s="887"/>
      <c r="W255" s="888"/>
      <c r="X255" s="882"/>
      <c r="Y255" s="888"/>
      <c r="Z255" s="882"/>
      <c r="AA255" s="882"/>
      <c r="AB255" s="882"/>
      <c r="AC255" s="882"/>
      <c r="AD255" s="882"/>
      <c r="AE255" s="882"/>
      <c r="AF255" s="882"/>
      <c r="AG255" s="882">
        <v>10</v>
      </c>
      <c r="AH255" s="882"/>
      <c r="AI255" s="882"/>
      <c r="AJ255" s="882"/>
      <c r="AK255" s="882"/>
      <c r="AL255" s="889"/>
    </row>
    <row r="256" spans="1:38" s="890" customFormat="1">
      <c r="A256" s="882">
        <v>216</v>
      </c>
      <c r="B256" s="891">
        <f t="shared" si="25"/>
        <v>-36</v>
      </c>
      <c r="C256" s="882">
        <f t="shared" si="21"/>
        <v>252</v>
      </c>
      <c r="D256" s="883">
        <v>2894</v>
      </c>
      <c r="E256" s="884" t="str">
        <f>IFERROR(VLOOKUP(Table2[[#This Row],[Player No]],Table10[[No]:[Province]],2,0),"")</f>
        <v>LOUW Terrence</v>
      </c>
      <c r="F256" s="885" t="str">
        <f>IFERROR(VLOOKUP(Table2[[#This Row],[Player No]],Table10[[No]:[Province]],3,0),"")</f>
        <v>GN</v>
      </c>
      <c r="G256" s="892">
        <v>2.3125</v>
      </c>
      <c r="H256" s="886">
        <f>(Table2[[#This Row],[Points 2025]]/2)+SUM(Table2[[#This Row],[O1  ADMIN 2026]:[P2    CAPE TOWN OPEN 2026 ]])</f>
        <v>3.15625</v>
      </c>
      <c r="I256" s="880">
        <f t="shared" si="20"/>
        <v>1</v>
      </c>
      <c r="J256" s="882">
        <f t="shared" si="22"/>
        <v>0</v>
      </c>
      <c r="K256" s="887">
        <v>2</v>
      </c>
      <c r="L256" s="887" t="s">
        <v>6083</v>
      </c>
      <c r="M256" s="887" t="s">
        <v>6083</v>
      </c>
      <c r="N256" s="887"/>
      <c r="O256" s="882"/>
      <c r="P256" s="882"/>
      <c r="Q256" s="888"/>
      <c r="R256" s="888"/>
      <c r="S256" s="882"/>
      <c r="T256" s="888"/>
      <c r="U256" s="882"/>
      <c r="V256" s="887"/>
      <c r="W256" s="888"/>
      <c r="X256" s="882"/>
      <c r="Y256" s="888"/>
      <c r="Z256" s="882"/>
      <c r="AA256" s="882"/>
      <c r="AB256" s="882"/>
      <c r="AC256" s="882"/>
      <c r="AD256" s="882"/>
      <c r="AE256" s="882"/>
      <c r="AF256" s="882"/>
      <c r="AG256" s="882"/>
      <c r="AH256" s="882"/>
      <c r="AI256" s="882"/>
      <c r="AJ256" s="882">
        <v>1</v>
      </c>
      <c r="AK256" s="882"/>
      <c r="AL256" s="889"/>
    </row>
    <row r="257" spans="1:38" s="890" customFormat="1">
      <c r="A257" s="882">
        <v>552</v>
      </c>
      <c r="B257" s="891">
        <f t="shared" si="25"/>
        <v>299</v>
      </c>
      <c r="C257" s="882">
        <f t="shared" si="21"/>
        <v>253</v>
      </c>
      <c r="D257" s="883">
        <v>1919</v>
      </c>
      <c r="E257" s="884" t="str">
        <f>IFERROR(VLOOKUP(Table2[[#This Row],[Player No]],Table10[[No]:[Province]],2,0),"")</f>
        <v>Swanepoel Pierre</v>
      </c>
      <c r="F257" s="885" t="str">
        <f>IFERROR(VLOOKUP(Table2[[#This Row],[Player No]],Table10[[No]:[Province]],3,0),"")</f>
        <v>EDEN</v>
      </c>
      <c r="G257" s="892">
        <v>6.140625</v>
      </c>
      <c r="H257" s="886">
        <f>(Table2[[#This Row],[Points 2025]]/2)+SUM(Table2[[#This Row],[O1  ADMIN 2026]:[P2    CAPE TOWN OPEN 2026 ]])</f>
        <v>3.0703125</v>
      </c>
      <c r="I257" s="880">
        <f t="shared" si="20"/>
        <v>0</v>
      </c>
      <c r="J257" s="882">
        <f t="shared" si="22"/>
        <v>0</v>
      </c>
      <c r="K257" s="887" t="s">
        <v>6083</v>
      </c>
      <c r="L257" s="887" t="s">
        <v>6083</v>
      </c>
      <c r="M257" s="887" t="s">
        <v>6083</v>
      </c>
      <c r="N257" s="887"/>
      <c r="O257" s="882"/>
      <c r="P257" s="882"/>
      <c r="Q257" s="888"/>
      <c r="R257" s="888"/>
      <c r="S257" s="882"/>
      <c r="T257" s="888"/>
      <c r="U257" s="882"/>
      <c r="V257" s="887"/>
      <c r="W257" s="888">
        <v>5</v>
      </c>
      <c r="X257" s="882"/>
      <c r="Y257" s="888"/>
      <c r="Z257" s="882"/>
      <c r="AA257" s="882"/>
      <c r="AB257" s="882"/>
      <c r="AC257" s="882"/>
      <c r="AD257" s="882"/>
      <c r="AE257" s="882"/>
      <c r="AF257" s="882">
        <v>2</v>
      </c>
      <c r="AG257" s="882"/>
      <c r="AH257" s="882"/>
      <c r="AI257" s="882"/>
      <c r="AJ257" s="882"/>
      <c r="AK257" s="882"/>
      <c r="AL257" s="889"/>
    </row>
    <row r="258" spans="1:38" s="890" customFormat="1">
      <c r="A258" s="882">
        <v>138</v>
      </c>
      <c r="B258" s="891">
        <f t="shared" si="25"/>
        <v>-116</v>
      </c>
      <c r="C258" s="882">
        <f t="shared" si="21"/>
        <v>254</v>
      </c>
      <c r="D258" s="883">
        <v>3678</v>
      </c>
      <c r="E258" s="884" t="str">
        <f>IFERROR(VLOOKUP(Table2[[#This Row],[Player No]],Table10[[No]:[Province]],2,0),"")</f>
        <v>PILLAY Nathan</v>
      </c>
      <c r="F258" s="885" t="str">
        <f>IFERROR(VLOOKUP(Table2[[#This Row],[Player No]],Table10[[No]:[Province]],3,0),"")</f>
        <v>JTTA</v>
      </c>
      <c r="G258" s="892">
        <v>6</v>
      </c>
      <c r="H258" s="886">
        <f>(Table2[[#This Row],[Points 2025]]/2)+SUM(Table2[[#This Row],[O1  ADMIN 2026]:[P2    CAPE TOWN OPEN 2026 ]])</f>
        <v>3</v>
      </c>
      <c r="I258" s="880">
        <f t="shared" si="20"/>
        <v>0</v>
      </c>
      <c r="J258" s="882">
        <f t="shared" si="22"/>
        <v>0</v>
      </c>
      <c r="K258" s="887" t="s">
        <v>6083</v>
      </c>
      <c r="L258" s="887" t="s">
        <v>6083</v>
      </c>
      <c r="M258" s="887" t="s">
        <v>6083</v>
      </c>
      <c r="N258" s="887"/>
      <c r="O258" s="882"/>
      <c r="P258" s="882"/>
      <c r="Q258" s="888"/>
      <c r="R258" s="888"/>
      <c r="S258" s="882"/>
      <c r="T258" s="888"/>
      <c r="U258" s="882"/>
      <c r="V258" s="887"/>
      <c r="W258" s="888"/>
      <c r="X258" s="882">
        <v>1</v>
      </c>
      <c r="Y258" s="888"/>
      <c r="Z258" s="882"/>
      <c r="AA258" s="882"/>
      <c r="AB258" s="882"/>
      <c r="AC258" s="882"/>
      <c r="AD258" s="882"/>
      <c r="AE258" s="882"/>
      <c r="AF258" s="882"/>
      <c r="AG258" s="882"/>
      <c r="AH258" s="882">
        <v>2</v>
      </c>
      <c r="AI258" s="882"/>
      <c r="AJ258" s="882"/>
      <c r="AK258" s="882">
        <v>10</v>
      </c>
      <c r="AL258" s="889"/>
    </row>
    <row r="259" spans="1:38" s="890" customFormat="1">
      <c r="A259" s="882">
        <v>339</v>
      </c>
      <c r="B259" s="891">
        <f t="shared" si="25"/>
        <v>84</v>
      </c>
      <c r="C259" s="882">
        <f t="shared" si="21"/>
        <v>255</v>
      </c>
      <c r="D259" s="883">
        <v>3795</v>
      </c>
      <c r="E259" s="884" t="str">
        <f>IFERROR(VLOOKUP(Table2[[#This Row],[Player No]],Table10[[No]:[Province]],2,0),"")</f>
        <v>CELE Lungisani Sinethemba</v>
      </c>
      <c r="F259" s="885" t="str">
        <f>IFERROR(VLOOKUP(Table2[[#This Row],[Player No]],Table10[[No]:[Province]],3,0),"")</f>
        <v>ETTA</v>
      </c>
      <c r="G259" s="892">
        <v>6</v>
      </c>
      <c r="H259" s="886">
        <f>(Table2[[#This Row],[Points 2025]]/2)+SUM(Table2[[#This Row],[O1  ADMIN 2026]:[P2    CAPE TOWN OPEN 2026 ]])</f>
        <v>3</v>
      </c>
      <c r="I259" s="880">
        <f t="shared" si="20"/>
        <v>0</v>
      </c>
      <c r="J259" s="882">
        <f t="shared" si="22"/>
        <v>0</v>
      </c>
      <c r="K259" s="887" t="s">
        <v>6083</v>
      </c>
      <c r="L259" s="887" t="s">
        <v>6083</v>
      </c>
      <c r="M259" s="887" t="s">
        <v>6083</v>
      </c>
      <c r="N259" s="887"/>
      <c r="O259" s="882"/>
      <c r="P259" s="882">
        <v>2</v>
      </c>
      <c r="Q259" s="888"/>
      <c r="R259" s="888">
        <v>3</v>
      </c>
      <c r="S259" s="882"/>
      <c r="T259" s="888"/>
      <c r="U259" s="882"/>
      <c r="V259" s="887"/>
      <c r="W259" s="888"/>
      <c r="X259" s="882"/>
      <c r="Y259" s="888"/>
      <c r="Z259" s="882"/>
      <c r="AA259" s="882"/>
      <c r="AB259" s="882"/>
      <c r="AC259" s="882">
        <v>2</v>
      </c>
      <c r="AD259" s="882"/>
      <c r="AE259" s="882"/>
      <c r="AF259" s="882"/>
      <c r="AG259" s="882"/>
      <c r="AH259" s="882"/>
      <c r="AI259" s="882"/>
      <c r="AJ259" s="882"/>
      <c r="AK259" s="882"/>
      <c r="AL259" s="889"/>
    </row>
    <row r="260" spans="1:38" s="890" customFormat="1">
      <c r="A260" s="882"/>
      <c r="B260" s="891"/>
      <c r="C260" s="882">
        <f t="shared" si="21"/>
        <v>256</v>
      </c>
      <c r="D260" s="883">
        <v>4321</v>
      </c>
      <c r="E260" s="884" t="str">
        <f>IFERROR(VLOOKUP(Table2[[#This Row],[Player No]],Table10[[No]:[Province]],2,0),"")</f>
        <v>MAKHALEMA Aaron</v>
      </c>
      <c r="F260" s="885" t="str">
        <f>IFERROR(VLOOKUP(Table2[[#This Row],[Player No]],Table10[[No]:[Province]],3,0),"")</f>
        <v>JTTA</v>
      </c>
      <c r="G260" s="892">
        <v>6</v>
      </c>
      <c r="H260" s="886">
        <f>(Table2[[#This Row],[Points 2025]]/2)+SUM(Table2[[#This Row],[O1  ADMIN 2026]:[P2    CAPE TOWN OPEN 2026 ]])</f>
        <v>3</v>
      </c>
      <c r="I260" s="880">
        <f t="shared" si="20"/>
        <v>0</v>
      </c>
      <c r="J260" s="882">
        <f t="shared" si="22"/>
        <v>0</v>
      </c>
      <c r="K260" s="887" t="s">
        <v>6083</v>
      </c>
      <c r="L260" s="887" t="s">
        <v>6083</v>
      </c>
      <c r="M260" s="887" t="s">
        <v>6083</v>
      </c>
      <c r="N260" s="887"/>
      <c r="O260" s="882"/>
      <c r="P260" s="882"/>
      <c r="Q260" s="888"/>
      <c r="R260" s="888"/>
      <c r="S260" s="882"/>
      <c r="T260" s="888"/>
      <c r="U260" s="882"/>
      <c r="V260" s="887"/>
      <c r="W260" s="888"/>
      <c r="X260" s="882"/>
      <c r="Y260" s="888">
        <v>0</v>
      </c>
      <c r="Z260" s="882">
        <v>1</v>
      </c>
      <c r="AA260" s="882">
        <v>5</v>
      </c>
      <c r="AB260" s="882"/>
      <c r="AC260" s="882"/>
      <c r="AD260" s="882"/>
      <c r="AE260" s="882"/>
      <c r="AF260" s="882"/>
      <c r="AG260" s="882"/>
      <c r="AH260" s="882"/>
      <c r="AI260" s="882"/>
      <c r="AJ260" s="882"/>
      <c r="AK260" s="882"/>
      <c r="AL260" s="889"/>
    </row>
    <row r="261" spans="1:38" s="890" customFormat="1">
      <c r="A261" s="882"/>
      <c r="B261" s="891"/>
      <c r="C261" s="882">
        <f t="shared" si="21"/>
        <v>257</v>
      </c>
      <c r="D261" s="883">
        <v>4546</v>
      </c>
      <c r="E261" s="884" t="str">
        <f>IFERROR(VLOOKUP(Table2[[#This Row],[Player No]],Table10[[No]:[Province]],2,0),"")</f>
        <v>Pranav KANJEE</v>
      </c>
      <c r="F261" s="885" t="str">
        <f>IFERROR(VLOOKUP(Table2[[#This Row],[Player No]],Table10[[No]:[Province]],3,0),"")</f>
        <v>JTTA</v>
      </c>
      <c r="G261" s="892">
        <v>6</v>
      </c>
      <c r="H261" s="886">
        <f>(Table2[[#This Row],[Points 2025]]/2)+SUM(Table2[[#This Row],[O1  ADMIN 2026]:[P2    CAPE TOWN OPEN 2026 ]])</f>
        <v>3</v>
      </c>
      <c r="I261" s="880">
        <f t="shared" ref="I261:I324" si="26">COUNTIF(K261:N261,"&gt;0")</f>
        <v>0</v>
      </c>
      <c r="J261" s="882">
        <f t="shared" si="22"/>
        <v>0</v>
      </c>
      <c r="K261" s="887" t="s">
        <v>6083</v>
      </c>
      <c r="L261" s="887" t="s">
        <v>6083</v>
      </c>
      <c r="M261" s="887" t="s">
        <v>6083</v>
      </c>
      <c r="N261" s="887"/>
      <c r="O261" s="882"/>
      <c r="P261" s="882"/>
      <c r="Q261" s="888"/>
      <c r="R261" s="888"/>
      <c r="S261" s="882"/>
      <c r="T261" s="888"/>
      <c r="U261" s="882"/>
      <c r="V261" s="887"/>
      <c r="W261" s="888"/>
      <c r="X261" s="882"/>
      <c r="Y261" s="888">
        <v>1</v>
      </c>
      <c r="Z261" s="882"/>
      <c r="AA261" s="882">
        <v>5</v>
      </c>
      <c r="AB261" s="882"/>
      <c r="AC261" s="882"/>
      <c r="AD261" s="882"/>
      <c r="AE261" s="882"/>
      <c r="AF261" s="882"/>
      <c r="AG261" s="882"/>
      <c r="AH261" s="882"/>
      <c r="AI261" s="882"/>
      <c r="AJ261" s="882"/>
      <c r="AK261" s="882"/>
      <c r="AL261" s="889"/>
    </row>
    <row r="262" spans="1:38" s="890" customFormat="1">
      <c r="A262" s="882"/>
      <c r="B262" s="891"/>
      <c r="C262" s="882">
        <f t="shared" ref="C262:C325" si="27">C261+1</f>
        <v>258</v>
      </c>
      <c r="D262" s="883">
        <v>3789</v>
      </c>
      <c r="E262" s="884" t="str">
        <f>IFERROR(VLOOKUP(Table2[[#This Row],[Player No]],Table10[[No]:[Province]],2,0),"")</f>
        <v xml:space="preserve">KHOZA Simangaliso </v>
      </c>
      <c r="F262" s="885" t="str">
        <f>IFERROR(VLOOKUP(Table2[[#This Row],[Player No]],Table10[[No]:[Province]],3,0),"")</f>
        <v>ETTA</v>
      </c>
      <c r="G262" s="892">
        <v>2</v>
      </c>
      <c r="H262" s="886">
        <f>(Table2[[#This Row],[Points 2025]]/2)+SUM(Table2[[#This Row],[O1  ADMIN 2026]:[P2    CAPE TOWN OPEN 2026 ]])</f>
        <v>3</v>
      </c>
      <c r="I262" s="880">
        <f t="shared" si="26"/>
        <v>1</v>
      </c>
      <c r="J262" s="882">
        <f t="shared" si="22"/>
        <v>0</v>
      </c>
      <c r="K262" s="887" t="s">
        <v>6083</v>
      </c>
      <c r="L262" s="887" t="s">
        <v>6083</v>
      </c>
      <c r="M262" s="887">
        <v>2</v>
      </c>
      <c r="N262" s="887"/>
      <c r="O262" s="882"/>
      <c r="P262" s="882"/>
      <c r="Q262" s="888"/>
      <c r="R262" s="888"/>
      <c r="S262" s="882">
        <v>2</v>
      </c>
      <c r="T262" s="888"/>
      <c r="U262" s="882"/>
      <c r="V262" s="887"/>
      <c r="W262" s="888"/>
      <c r="X262" s="882"/>
      <c r="Y262" s="888"/>
      <c r="Z262" s="882"/>
      <c r="AA262" s="882"/>
      <c r="AB262" s="882"/>
      <c r="AC262" s="882"/>
      <c r="AD262" s="882"/>
      <c r="AE262" s="882"/>
      <c r="AF262" s="882"/>
      <c r="AG262" s="882"/>
      <c r="AH262" s="882"/>
      <c r="AI262" s="882"/>
      <c r="AJ262" s="882"/>
      <c r="AK262" s="882"/>
      <c r="AL262" s="889"/>
    </row>
    <row r="263" spans="1:38" s="890" customFormat="1">
      <c r="A263" s="882"/>
      <c r="B263" s="891"/>
      <c r="C263" s="882">
        <f t="shared" si="27"/>
        <v>259</v>
      </c>
      <c r="D263" s="883">
        <v>3876</v>
      </c>
      <c r="E263" s="884" t="str">
        <f>IFERROR(VLOOKUP(Table2[[#This Row],[Player No]],Table10[[No]:[Province]],2,0),"")</f>
        <v>PATEL Umair</v>
      </c>
      <c r="F263" s="885" t="str">
        <f>IFERROR(VLOOKUP(Table2[[#This Row],[Player No]],Table10[[No]:[Province]],3,0),"")</f>
        <v>UMG</v>
      </c>
      <c r="G263" s="892">
        <v>0</v>
      </c>
      <c r="H263" s="886">
        <f>(Table2[[#This Row],[Points 2025]]/2)+SUM(Table2[[#This Row],[O1  ADMIN 2026]:[P2    CAPE TOWN OPEN 2026 ]])</f>
        <v>3</v>
      </c>
      <c r="I263" s="880">
        <f t="shared" si="26"/>
        <v>2</v>
      </c>
      <c r="J263" s="882">
        <f t="shared" si="22"/>
        <v>0</v>
      </c>
      <c r="K263" s="887" t="s">
        <v>6083</v>
      </c>
      <c r="L263" s="887">
        <v>1</v>
      </c>
      <c r="M263" s="887">
        <v>2</v>
      </c>
      <c r="N263" s="887"/>
      <c r="O263" s="882"/>
      <c r="P263" s="882"/>
      <c r="Q263" s="888"/>
      <c r="R263" s="888"/>
      <c r="S263" s="882"/>
      <c r="T263" s="888"/>
      <c r="U263" s="882"/>
      <c r="V263" s="887"/>
      <c r="W263" s="888"/>
      <c r="X263" s="882"/>
      <c r="Y263" s="888"/>
      <c r="Z263" s="882"/>
      <c r="AA263" s="882"/>
      <c r="AB263" s="882"/>
      <c r="AC263" s="882"/>
      <c r="AD263" s="882"/>
      <c r="AE263" s="882"/>
      <c r="AF263" s="882"/>
      <c r="AG263" s="882"/>
      <c r="AH263" s="882"/>
      <c r="AI263" s="882"/>
      <c r="AJ263" s="882"/>
      <c r="AK263" s="882"/>
      <c r="AL263" s="889"/>
    </row>
    <row r="264" spans="1:38" s="890" customFormat="1" ht="15.75" customHeight="1">
      <c r="A264" s="882">
        <v>421</v>
      </c>
      <c r="B264" s="891">
        <f>+A264-C264</f>
        <v>161</v>
      </c>
      <c r="C264" s="882">
        <f t="shared" si="27"/>
        <v>260</v>
      </c>
      <c r="D264" s="883">
        <v>3301</v>
      </c>
      <c r="E264" s="884" t="str">
        <f>IFERROR(VLOOKUP(Table2[[#This Row],[Player No]],Table10[[No]:[Province]],2,0),"")</f>
        <v>PADAYACHEE Larushen</v>
      </c>
      <c r="F264" s="885" t="str">
        <f>IFERROR(VLOOKUP(Table2[[#This Row],[Player No]],Table10[[No]:[Province]],3,0),"")</f>
        <v>JTTA</v>
      </c>
      <c r="G264" s="892">
        <v>2</v>
      </c>
      <c r="H264" s="886">
        <f>(Table2[[#This Row],[Points 2025]]/2)+SUM(Table2[[#This Row],[O1  ADMIN 2026]:[P2    CAPE TOWN OPEN 2026 ]])</f>
        <v>3</v>
      </c>
      <c r="I264" s="880">
        <f t="shared" si="26"/>
        <v>1</v>
      </c>
      <c r="J264" s="882">
        <f t="shared" si="22"/>
        <v>0</v>
      </c>
      <c r="K264" s="887">
        <v>2</v>
      </c>
      <c r="L264" s="887" t="s">
        <v>6083</v>
      </c>
      <c r="M264" s="887" t="s">
        <v>6083</v>
      </c>
      <c r="N264" s="887"/>
      <c r="O264" s="882"/>
      <c r="P264" s="882"/>
      <c r="Q264" s="888"/>
      <c r="R264" s="888"/>
      <c r="S264" s="882"/>
      <c r="T264" s="888"/>
      <c r="U264" s="882"/>
      <c r="V264" s="887"/>
      <c r="W264" s="888"/>
      <c r="X264" s="882">
        <v>0.5</v>
      </c>
      <c r="Y264" s="888"/>
      <c r="Z264" s="882">
        <v>1</v>
      </c>
      <c r="AA264" s="882"/>
      <c r="AB264" s="882"/>
      <c r="AC264" s="882"/>
      <c r="AD264" s="882"/>
      <c r="AE264" s="882"/>
      <c r="AF264" s="882"/>
      <c r="AG264" s="882"/>
      <c r="AH264" s="882"/>
      <c r="AI264" s="882"/>
      <c r="AJ264" s="882"/>
      <c r="AK264" s="882">
        <v>1</v>
      </c>
      <c r="AL264" s="889"/>
    </row>
    <row r="265" spans="1:38" s="890" customFormat="1">
      <c r="A265" s="882"/>
      <c r="B265" s="891"/>
      <c r="C265" s="882">
        <f t="shared" si="27"/>
        <v>261</v>
      </c>
      <c r="D265" s="883">
        <v>4011</v>
      </c>
      <c r="E265" s="884" t="str">
        <f>IFERROR(VLOOKUP(Table2[[#This Row],[Player No]],Table10[[No]:[Province]],2,0),"")</f>
        <v>SUBBIAH Shishendren</v>
      </c>
      <c r="F265" s="885" t="str">
        <f>IFERROR(VLOOKUP(Table2[[#This Row],[Player No]],Table10[[No]:[Province]],3,0),"")</f>
        <v>UMG</v>
      </c>
      <c r="G265" s="892">
        <v>2</v>
      </c>
      <c r="H265" s="886">
        <f>(Table2[[#This Row],[Points 2025]]/2)+SUM(Table2[[#This Row],[O1  ADMIN 2026]:[P2    CAPE TOWN OPEN 2026 ]])</f>
        <v>3</v>
      </c>
      <c r="I265" s="880">
        <f t="shared" si="26"/>
        <v>1</v>
      </c>
      <c r="J265" s="882">
        <f t="shared" si="22"/>
        <v>0</v>
      </c>
      <c r="K265" s="887" t="s">
        <v>6083</v>
      </c>
      <c r="L265" s="887">
        <v>2</v>
      </c>
      <c r="M265" s="887" t="s">
        <v>6083</v>
      </c>
      <c r="N265" s="887"/>
      <c r="O265" s="882"/>
      <c r="P265" s="882">
        <v>1</v>
      </c>
      <c r="Q265" s="888"/>
      <c r="R265" s="888"/>
      <c r="S265" s="882">
        <v>1</v>
      </c>
      <c r="T265" s="888"/>
      <c r="U265" s="882"/>
      <c r="V265" s="887"/>
      <c r="W265" s="888"/>
      <c r="X265" s="882"/>
      <c r="Y265" s="888"/>
      <c r="Z265" s="882"/>
      <c r="AA265" s="882"/>
      <c r="AB265" s="882"/>
      <c r="AC265" s="882"/>
      <c r="AD265" s="882"/>
      <c r="AE265" s="882"/>
      <c r="AF265" s="882"/>
      <c r="AG265" s="882"/>
      <c r="AH265" s="882"/>
      <c r="AI265" s="882"/>
      <c r="AJ265" s="882"/>
      <c r="AK265" s="882"/>
      <c r="AL265" s="889"/>
    </row>
    <row r="266" spans="1:38" s="890" customFormat="1">
      <c r="A266" s="882">
        <v>147</v>
      </c>
      <c r="B266" s="891">
        <f>+A266-C266</f>
        <v>-115</v>
      </c>
      <c r="C266" s="882">
        <f t="shared" si="27"/>
        <v>262</v>
      </c>
      <c r="D266" s="883">
        <v>1149</v>
      </c>
      <c r="E266" s="884" t="str">
        <f>IFERROR(VLOOKUP(Table2[[#This Row],[Player No]],Table10[[No]:[Province]],2,0),"")</f>
        <v xml:space="preserve">PETERS Cade </v>
      </c>
      <c r="F266" s="885" t="str">
        <f>IFERROR(VLOOKUP(Table2[[#This Row],[Player No]],Table10[[No]:[Province]],3,0),"")</f>
        <v>CT</v>
      </c>
      <c r="G266" s="892">
        <v>5.93359375</v>
      </c>
      <c r="H266" s="886">
        <f>(Table2[[#This Row],[Points 2025]]/2)+SUM(Table2[[#This Row],[O1  ADMIN 2026]:[P2    CAPE TOWN OPEN 2026 ]])</f>
        <v>2.966796875</v>
      </c>
      <c r="I266" s="880">
        <f t="shared" si="26"/>
        <v>0</v>
      </c>
      <c r="J266" s="882">
        <f t="shared" si="22"/>
        <v>0</v>
      </c>
      <c r="K266" s="887" t="s">
        <v>6083</v>
      </c>
      <c r="L266" s="887" t="s">
        <v>6083</v>
      </c>
      <c r="M266" s="887" t="s">
        <v>6083</v>
      </c>
      <c r="N266" s="887"/>
      <c r="O266" s="882"/>
      <c r="P266" s="882"/>
      <c r="Q266" s="888"/>
      <c r="R266" s="888"/>
      <c r="S266" s="882"/>
      <c r="T266" s="888"/>
      <c r="U266" s="882"/>
      <c r="V266" s="887"/>
      <c r="W266" s="888"/>
      <c r="X266" s="882"/>
      <c r="Y266" s="888"/>
      <c r="Z266" s="882"/>
      <c r="AA266" s="882"/>
      <c r="AB266" s="882"/>
      <c r="AC266" s="882"/>
      <c r="AD266" s="882"/>
      <c r="AE266" s="882">
        <v>3</v>
      </c>
      <c r="AF266" s="882"/>
      <c r="AG266" s="882"/>
      <c r="AH266" s="882"/>
      <c r="AI266" s="882"/>
      <c r="AJ266" s="882"/>
      <c r="AK266" s="882"/>
      <c r="AL266" s="889"/>
    </row>
    <row r="267" spans="1:38" s="890" customFormat="1">
      <c r="A267" s="882">
        <v>163</v>
      </c>
      <c r="B267" s="891">
        <f>+A267-C267</f>
        <v>-100</v>
      </c>
      <c r="C267" s="882">
        <f t="shared" si="27"/>
        <v>263</v>
      </c>
      <c r="D267" s="883">
        <v>3298</v>
      </c>
      <c r="E267" s="884" t="str">
        <f>IFERROR(VLOOKUP(Table2[[#This Row],[Player No]],Table10[[No]:[Province]],2,0),"")</f>
        <v>BALOYI Amukelani</v>
      </c>
      <c r="F267" s="885" t="str">
        <f>IFERROR(VLOOKUP(Table2[[#This Row],[Player No]],Table10[[No]:[Province]],3,0),"")</f>
        <v>JTTA</v>
      </c>
      <c r="G267" s="892">
        <v>5.875</v>
      </c>
      <c r="H267" s="886">
        <f>(Table2[[#This Row],[Points 2025]]/2)+SUM(Table2[[#This Row],[O1  ADMIN 2026]:[P2    CAPE TOWN OPEN 2026 ]])</f>
        <v>2.9375</v>
      </c>
      <c r="I267" s="880">
        <f t="shared" si="26"/>
        <v>0</v>
      </c>
      <c r="J267" s="882">
        <f t="shared" si="22"/>
        <v>0</v>
      </c>
      <c r="K267" s="887" t="s">
        <v>6083</v>
      </c>
      <c r="L267" s="887" t="s">
        <v>6083</v>
      </c>
      <c r="M267" s="887" t="s">
        <v>6083</v>
      </c>
      <c r="N267" s="887"/>
      <c r="O267" s="882"/>
      <c r="P267" s="882"/>
      <c r="Q267" s="888"/>
      <c r="R267" s="888"/>
      <c r="S267" s="882"/>
      <c r="T267" s="888"/>
      <c r="U267" s="882"/>
      <c r="V267" s="887"/>
      <c r="W267" s="888"/>
      <c r="X267" s="882"/>
      <c r="Y267" s="888">
        <v>2</v>
      </c>
      <c r="Z267" s="882"/>
      <c r="AA267" s="882"/>
      <c r="AB267" s="882"/>
      <c r="AC267" s="882"/>
      <c r="AD267" s="882"/>
      <c r="AE267" s="882"/>
      <c r="AF267" s="882"/>
      <c r="AG267" s="882"/>
      <c r="AH267" s="882"/>
      <c r="AI267" s="882"/>
      <c r="AJ267" s="882"/>
      <c r="AK267" s="882"/>
      <c r="AL267" s="889"/>
    </row>
    <row r="268" spans="1:38" s="890" customFormat="1">
      <c r="A268" s="882">
        <v>214</v>
      </c>
      <c r="B268" s="891">
        <f>+A268-C268</f>
        <v>-50</v>
      </c>
      <c r="C268" s="882">
        <f t="shared" si="27"/>
        <v>264</v>
      </c>
      <c r="D268" s="883">
        <v>3345</v>
      </c>
      <c r="E268" s="884" t="str">
        <f>IFERROR(VLOOKUP(Table2[[#This Row],[Player No]],Table10[[No]:[Province]],2,0),"")</f>
        <v>JABAAR Saaliegh</v>
      </c>
      <c r="F268" s="885" t="str">
        <f>IFERROR(VLOOKUP(Table2[[#This Row],[Player No]],Table10[[No]:[Province]],3,0),"")</f>
        <v>CT</v>
      </c>
      <c r="G268" s="892">
        <v>5.875</v>
      </c>
      <c r="H268" s="886">
        <f>(Table2[[#This Row],[Points 2025]]/2)+SUM(Table2[[#This Row],[O1  ADMIN 2026]:[P2    CAPE TOWN OPEN 2026 ]])</f>
        <v>2.9375</v>
      </c>
      <c r="I268" s="880">
        <f t="shared" si="26"/>
        <v>0</v>
      </c>
      <c r="J268" s="882">
        <f t="shared" ref="J268:J323" si="28">COUNTIF(O268:AK268,"&lt;0")</f>
        <v>0</v>
      </c>
      <c r="K268" s="887" t="s">
        <v>6083</v>
      </c>
      <c r="L268" s="887" t="s">
        <v>6083</v>
      </c>
      <c r="M268" s="887" t="s">
        <v>6083</v>
      </c>
      <c r="N268" s="887"/>
      <c r="O268" s="882"/>
      <c r="P268" s="882"/>
      <c r="Q268" s="888"/>
      <c r="R268" s="888"/>
      <c r="S268" s="882"/>
      <c r="T268" s="888"/>
      <c r="U268" s="882"/>
      <c r="V268" s="887"/>
      <c r="W268" s="888"/>
      <c r="X268" s="882"/>
      <c r="Y268" s="888"/>
      <c r="Z268" s="882"/>
      <c r="AA268" s="882"/>
      <c r="AB268" s="882">
        <v>2</v>
      </c>
      <c r="AC268" s="882"/>
      <c r="AD268" s="882"/>
      <c r="AE268" s="882">
        <v>3</v>
      </c>
      <c r="AF268" s="882"/>
      <c r="AG268" s="882"/>
      <c r="AH268" s="882"/>
      <c r="AI268" s="882"/>
      <c r="AJ268" s="882"/>
      <c r="AK268" s="882"/>
      <c r="AL268" s="889"/>
    </row>
    <row r="269" spans="1:38" s="890" customFormat="1">
      <c r="A269" s="882">
        <v>171</v>
      </c>
      <c r="B269" s="891">
        <f>+A269-C269</f>
        <v>-94</v>
      </c>
      <c r="C269" s="882">
        <f t="shared" si="27"/>
        <v>265</v>
      </c>
      <c r="D269" s="883">
        <v>1348</v>
      </c>
      <c r="E269" s="884" t="str">
        <f>IFERROR(VLOOKUP(Table2[[#This Row],[Player No]],Table10[[No]:[Province]],2,0),"")</f>
        <v>QADIR Abdul  Mohamed</v>
      </c>
      <c r="F269" s="885" t="str">
        <f>IFERROR(VLOOKUP(Table2[[#This Row],[Player No]],Table10[[No]:[Province]],3,0),"")</f>
        <v>ETTA</v>
      </c>
      <c r="G269" s="892">
        <v>5.75</v>
      </c>
      <c r="H269" s="886">
        <f>(Table2[[#This Row],[Points 2025]]/2)+SUM(Table2[[#This Row],[O1  ADMIN 2026]:[P2    CAPE TOWN OPEN 2026 ]])</f>
        <v>2.875</v>
      </c>
      <c r="I269" s="880">
        <f t="shared" si="26"/>
        <v>0</v>
      </c>
      <c r="J269" s="882">
        <f t="shared" si="28"/>
        <v>0</v>
      </c>
      <c r="K269" s="887" t="s">
        <v>6083</v>
      </c>
      <c r="L269" s="887" t="s">
        <v>6083</v>
      </c>
      <c r="M269" s="887" t="s">
        <v>6083</v>
      </c>
      <c r="N269" s="887"/>
      <c r="O269" s="882"/>
      <c r="P269" s="882">
        <v>2</v>
      </c>
      <c r="Q269" s="888"/>
      <c r="R269" s="888"/>
      <c r="S269" s="882"/>
      <c r="T269" s="888"/>
      <c r="U269" s="882"/>
      <c r="V269" s="887"/>
      <c r="W269" s="888"/>
      <c r="X269" s="882"/>
      <c r="Y269" s="888"/>
      <c r="Z269" s="882"/>
      <c r="AA269" s="882"/>
      <c r="AB269" s="882"/>
      <c r="AC269" s="882"/>
      <c r="AD269" s="882"/>
      <c r="AE269" s="882"/>
      <c r="AF269" s="882"/>
      <c r="AG269" s="882"/>
      <c r="AH269" s="882"/>
      <c r="AI269" s="882"/>
      <c r="AJ269" s="882"/>
      <c r="AK269" s="882"/>
      <c r="AL269" s="889"/>
    </row>
    <row r="270" spans="1:38" s="890" customFormat="1">
      <c r="A270" s="882">
        <v>505</v>
      </c>
      <c r="B270" s="891">
        <f>+A270-C270</f>
        <v>239</v>
      </c>
      <c r="C270" s="882">
        <f t="shared" si="27"/>
        <v>266</v>
      </c>
      <c r="D270" s="883">
        <v>3590</v>
      </c>
      <c r="E270" s="884" t="str">
        <f>IFERROR(VLOOKUP(Table2[[#This Row],[Player No]],Table10[[No]:[Province]],2,0),"")</f>
        <v>TITUS Anton</v>
      </c>
      <c r="F270" s="885" t="str">
        <f>IFERROR(VLOOKUP(Table2[[#This Row],[Player No]],Table10[[No]:[Province]],3,0),"")</f>
        <v>CT</v>
      </c>
      <c r="G270" s="892">
        <v>5.75</v>
      </c>
      <c r="H270" s="886">
        <f>(Table2[[#This Row],[Points 2025]]/2)+SUM(Table2[[#This Row],[O1  ADMIN 2026]:[P2    CAPE TOWN OPEN 2026 ]])</f>
        <v>2.875</v>
      </c>
      <c r="I270" s="880">
        <f t="shared" si="26"/>
        <v>0</v>
      </c>
      <c r="J270" s="882">
        <f t="shared" si="28"/>
        <v>0</v>
      </c>
      <c r="K270" s="887" t="s">
        <v>6083</v>
      </c>
      <c r="L270" s="887" t="s">
        <v>6083</v>
      </c>
      <c r="M270" s="887" t="s">
        <v>6083</v>
      </c>
      <c r="N270" s="887"/>
      <c r="O270" s="882"/>
      <c r="P270" s="882"/>
      <c r="Q270" s="888"/>
      <c r="R270" s="888"/>
      <c r="S270" s="882"/>
      <c r="T270" s="888"/>
      <c r="U270" s="882"/>
      <c r="V270" s="887"/>
      <c r="W270" s="888"/>
      <c r="X270" s="882"/>
      <c r="Y270" s="888"/>
      <c r="Z270" s="882"/>
      <c r="AA270" s="882"/>
      <c r="AB270" s="882">
        <v>5</v>
      </c>
      <c r="AC270" s="882"/>
      <c r="AD270" s="882"/>
      <c r="AE270" s="882">
        <v>1</v>
      </c>
      <c r="AF270" s="882"/>
      <c r="AG270" s="882"/>
      <c r="AH270" s="882"/>
      <c r="AI270" s="882"/>
      <c r="AJ270" s="882"/>
      <c r="AK270" s="882"/>
      <c r="AL270" s="889"/>
    </row>
    <row r="271" spans="1:38" s="890" customFormat="1">
      <c r="A271" s="882"/>
      <c r="B271" s="891"/>
      <c r="C271" s="882">
        <f t="shared" si="27"/>
        <v>267</v>
      </c>
      <c r="D271" s="883">
        <v>1537</v>
      </c>
      <c r="E271" s="884" t="str">
        <f>IFERROR(VLOOKUP(Table2[[#This Row],[Player No]],Table10[[No]:[Province]],2,0),"")</f>
        <v>NXUMALO Khulekani</v>
      </c>
      <c r="F271" s="885" t="str">
        <f>IFERROR(VLOOKUP(Table2[[#This Row],[Player No]],Table10[[No]:[Province]],3,0),"")</f>
        <v>EKU</v>
      </c>
      <c r="G271" s="892">
        <v>5.5</v>
      </c>
      <c r="H271" s="886">
        <f>(Table2[[#This Row],[Points 2025]]/2)+SUM(Table2[[#This Row],[O1  ADMIN 2026]:[P2    CAPE TOWN OPEN 2026 ]])</f>
        <v>2.75</v>
      </c>
      <c r="I271" s="880">
        <f t="shared" si="26"/>
        <v>0</v>
      </c>
      <c r="J271" s="882">
        <f t="shared" si="28"/>
        <v>0</v>
      </c>
      <c r="K271" s="887" t="s">
        <v>6083</v>
      </c>
      <c r="L271" s="887" t="s">
        <v>6083</v>
      </c>
      <c r="M271" s="887" t="s">
        <v>6083</v>
      </c>
      <c r="N271" s="887"/>
      <c r="O271" s="882"/>
      <c r="P271" s="882"/>
      <c r="Q271" s="888"/>
      <c r="R271" s="888"/>
      <c r="S271" s="882"/>
      <c r="T271" s="888"/>
      <c r="U271" s="882"/>
      <c r="V271" s="887"/>
      <c r="W271" s="888">
        <v>5</v>
      </c>
      <c r="X271" s="882"/>
      <c r="Y271" s="888"/>
      <c r="Z271" s="882"/>
      <c r="AA271" s="882">
        <v>0.5</v>
      </c>
      <c r="AB271" s="882"/>
      <c r="AC271" s="882"/>
      <c r="AD271" s="882"/>
      <c r="AE271" s="882"/>
      <c r="AF271" s="882"/>
      <c r="AG271" s="882"/>
      <c r="AH271" s="882"/>
      <c r="AI271" s="882"/>
      <c r="AJ271" s="882"/>
      <c r="AK271" s="882"/>
      <c r="AL271" s="889"/>
    </row>
    <row r="272" spans="1:38" s="890" customFormat="1">
      <c r="A272" s="882"/>
      <c r="B272" s="891"/>
      <c r="C272" s="882">
        <f t="shared" si="27"/>
        <v>268</v>
      </c>
      <c r="D272" s="893">
        <v>4141</v>
      </c>
      <c r="E272" s="884" t="str">
        <f>IFERROR(VLOOKUP(Table2[[#This Row],[Player No]],Table10[[No]:[Province]],2,0),"")</f>
        <v xml:space="preserve">EBRAHIM Kameel </v>
      </c>
      <c r="F272" s="885" t="str">
        <f>IFERROR(VLOOKUP(Table2[[#This Row],[Player No]],Table10[[No]:[Province]],3,0),"")</f>
        <v>CT</v>
      </c>
      <c r="G272" s="892">
        <v>5.5</v>
      </c>
      <c r="H272" s="886">
        <f>(Table2[[#This Row],[Points 2025]]/2)+SUM(Table2[[#This Row],[O1  ADMIN 2026]:[P2    CAPE TOWN OPEN 2026 ]])</f>
        <v>2.75</v>
      </c>
      <c r="I272" s="880">
        <f t="shared" si="26"/>
        <v>0</v>
      </c>
      <c r="J272" s="882">
        <f t="shared" si="28"/>
        <v>0</v>
      </c>
      <c r="K272" s="887" t="s">
        <v>6083</v>
      </c>
      <c r="L272" s="887" t="s">
        <v>6083</v>
      </c>
      <c r="M272" s="887" t="s">
        <v>6083</v>
      </c>
      <c r="N272" s="887"/>
      <c r="O272" s="882"/>
      <c r="P272" s="882"/>
      <c r="Q272" s="888"/>
      <c r="R272" s="888"/>
      <c r="S272" s="882"/>
      <c r="T272" s="888"/>
      <c r="U272" s="882"/>
      <c r="V272" s="887"/>
      <c r="W272" s="888"/>
      <c r="X272" s="882"/>
      <c r="Y272" s="888"/>
      <c r="Z272" s="882"/>
      <c r="AA272" s="882"/>
      <c r="AB272" s="882">
        <v>2</v>
      </c>
      <c r="AC272" s="882"/>
      <c r="AD272" s="882"/>
      <c r="AE272" s="882">
        <v>5</v>
      </c>
      <c r="AF272" s="882"/>
      <c r="AG272" s="882"/>
      <c r="AH272" s="882"/>
      <c r="AI272" s="882"/>
      <c r="AJ272" s="882"/>
      <c r="AK272" s="882"/>
      <c r="AL272" s="889"/>
    </row>
    <row r="273" spans="1:38" s="890" customFormat="1">
      <c r="A273" s="882">
        <v>432</v>
      </c>
      <c r="B273" s="891">
        <f t="shared" ref="B273:B281" si="29">+A273-C273</f>
        <v>163</v>
      </c>
      <c r="C273" s="882">
        <f t="shared" si="27"/>
        <v>269</v>
      </c>
      <c r="D273" s="883">
        <v>3871</v>
      </c>
      <c r="E273" s="884" t="str">
        <f>IFERROR(VLOOKUP(Table2[[#This Row],[Player No]],Table10[[No]:[Province]],2,0),"")</f>
        <v>PILLAY Ruvershan</v>
      </c>
      <c r="F273" s="885" t="str">
        <f>IFERROR(VLOOKUP(Table2[[#This Row],[Player No]],Table10[[No]:[Province]],3,0),"")</f>
        <v>UMG</v>
      </c>
      <c r="G273" s="892">
        <v>3.5</v>
      </c>
      <c r="H273" s="886">
        <f>(Table2[[#This Row],[Points 2025]]/2)+SUM(Table2[[#This Row],[O1  ADMIN 2026]:[P2    CAPE TOWN OPEN 2026 ]])</f>
        <v>2.75</v>
      </c>
      <c r="I273" s="880">
        <f t="shared" si="26"/>
        <v>1</v>
      </c>
      <c r="J273" s="882">
        <f t="shared" si="28"/>
        <v>0</v>
      </c>
      <c r="K273" s="887" t="s">
        <v>6083</v>
      </c>
      <c r="L273" s="887">
        <v>1</v>
      </c>
      <c r="M273" s="887" t="s">
        <v>6083</v>
      </c>
      <c r="N273" s="887"/>
      <c r="O273" s="882">
        <v>2</v>
      </c>
      <c r="P273" s="882"/>
      <c r="Q273" s="888">
        <v>1</v>
      </c>
      <c r="R273" s="888"/>
      <c r="S273" s="882"/>
      <c r="T273" s="888"/>
      <c r="U273" s="882"/>
      <c r="V273" s="887"/>
      <c r="W273" s="888"/>
      <c r="X273" s="882"/>
      <c r="Y273" s="888"/>
      <c r="Z273" s="882"/>
      <c r="AA273" s="882"/>
      <c r="AB273" s="882"/>
      <c r="AC273" s="882"/>
      <c r="AD273" s="882">
        <v>1</v>
      </c>
      <c r="AE273" s="882"/>
      <c r="AF273" s="882"/>
      <c r="AG273" s="882"/>
      <c r="AH273" s="882"/>
      <c r="AI273" s="882"/>
      <c r="AJ273" s="882"/>
      <c r="AK273" s="882"/>
      <c r="AL273" s="889"/>
    </row>
    <row r="274" spans="1:38" s="890" customFormat="1">
      <c r="A274" s="882">
        <v>194</v>
      </c>
      <c r="B274" s="891">
        <f t="shared" si="29"/>
        <v>-76</v>
      </c>
      <c r="C274" s="882">
        <f t="shared" si="27"/>
        <v>270</v>
      </c>
      <c r="D274" s="883">
        <v>3124</v>
      </c>
      <c r="E274" s="884" t="str">
        <f>IFERROR(VLOOKUP(Table2[[#This Row],[Player No]],Table10[[No]:[Province]],2,0),"")</f>
        <v>SALIE Nabiel</v>
      </c>
      <c r="F274" s="885" t="str">
        <f>IFERROR(VLOOKUP(Table2[[#This Row],[Player No]],Table10[[No]:[Province]],3,0),"")</f>
        <v>EDEN</v>
      </c>
      <c r="G274" s="892">
        <v>5.46875</v>
      </c>
      <c r="H274" s="886">
        <f>(Table2[[#This Row],[Points 2025]]/2)+SUM(Table2[[#This Row],[O1  ADMIN 2026]:[P2    CAPE TOWN OPEN 2026 ]])</f>
        <v>2.734375</v>
      </c>
      <c r="I274" s="880">
        <f t="shared" si="26"/>
        <v>0</v>
      </c>
      <c r="J274" s="882">
        <f t="shared" si="28"/>
        <v>0</v>
      </c>
      <c r="K274" s="887" t="s">
        <v>6083</v>
      </c>
      <c r="L274" s="887" t="s">
        <v>6083</v>
      </c>
      <c r="M274" s="887" t="s">
        <v>6083</v>
      </c>
      <c r="N274" s="887"/>
      <c r="O274" s="882"/>
      <c r="P274" s="882"/>
      <c r="Q274" s="888"/>
      <c r="R274" s="888"/>
      <c r="S274" s="882"/>
      <c r="T274" s="888"/>
      <c r="U274" s="882"/>
      <c r="V274" s="887"/>
      <c r="W274" s="888"/>
      <c r="X274" s="882"/>
      <c r="Y274" s="888"/>
      <c r="Z274" s="882"/>
      <c r="AA274" s="882"/>
      <c r="AB274" s="882"/>
      <c r="AC274" s="882"/>
      <c r="AD274" s="882"/>
      <c r="AE274" s="882"/>
      <c r="AF274" s="882">
        <v>5</v>
      </c>
      <c r="AG274" s="882"/>
      <c r="AH274" s="882"/>
      <c r="AI274" s="882"/>
      <c r="AJ274" s="882"/>
      <c r="AK274" s="882"/>
      <c r="AL274" s="889"/>
    </row>
    <row r="275" spans="1:38" s="890" customFormat="1">
      <c r="A275" s="882">
        <v>460</v>
      </c>
      <c r="B275" s="891">
        <f t="shared" si="29"/>
        <v>189</v>
      </c>
      <c r="C275" s="882">
        <f t="shared" si="27"/>
        <v>271</v>
      </c>
      <c r="D275" s="883">
        <v>1591</v>
      </c>
      <c r="E275" s="884" t="str">
        <f>IFERROR(VLOOKUP(Table2[[#This Row],[Player No]],Table10[[No]:[Province]],2,0),"")</f>
        <v xml:space="preserve">JANSEN Russel </v>
      </c>
      <c r="F275" s="885" t="str">
        <f>IFERROR(VLOOKUP(Table2[[#This Row],[Player No]],Table10[[No]:[Province]],3,0),"")</f>
        <v>CT</v>
      </c>
      <c r="G275" s="892">
        <v>5.3515625</v>
      </c>
      <c r="H275" s="886">
        <f>(Table2[[#This Row],[Points 2025]]/2)+SUM(Table2[[#This Row],[O1  ADMIN 2026]:[P2    CAPE TOWN OPEN 2026 ]])</f>
        <v>2.67578125</v>
      </c>
      <c r="I275" s="880">
        <f t="shared" si="26"/>
        <v>0</v>
      </c>
      <c r="J275" s="882">
        <f t="shared" si="28"/>
        <v>0</v>
      </c>
      <c r="K275" s="887" t="s">
        <v>6083</v>
      </c>
      <c r="L275" s="887" t="s">
        <v>6083</v>
      </c>
      <c r="M275" s="887" t="s">
        <v>6083</v>
      </c>
      <c r="N275" s="887"/>
      <c r="O275" s="882"/>
      <c r="P275" s="882"/>
      <c r="Q275" s="888"/>
      <c r="R275" s="888"/>
      <c r="S275" s="882"/>
      <c r="T275" s="888"/>
      <c r="U275" s="882"/>
      <c r="V275" s="887"/>
      <c r="W275" s="888"/>
      <c r="X275" s="882"/>
      <c r="Y275" s="888"/>
      <c r="Z275" s="882"/>
      <c r="AA275" s="882"/>
      <c r="AB275" s="882">
        <v>5</v>
      </c>
      <c r="AC275" s="882"/>
      <c r="AD275" s="882"/>
      <c r="AE275" s="882"/>
      <c r="AF275" s="882"/>
      <c r="AG275" s="882"/>
      <c r="AH275" s="882"/>
      <c r="AI275" s="882"/>
      <c r="AJ275" s="882"/>
      <c r="AK275" s="882"/>
      <c r="AL275" s="889"/>
    </row>
    <row r="276" spans="1:38" s="890" customFormat="1">
      <c r="A276" s="882">
        <v>245</v>
      </c>
      <c r="B276" s="891">
        <f t="shared" si="29"/>
        <v>-27</v>
      </c>
      <c r="C276" s="882">
        <f t="shared" si="27"/>
        <v>272</v>
      </c>
      <c r="D276" s="883">
        <v>3777</v>
      </c>
      <c r="E276" s="884" t="str">
        <f>IFERROR(VLOOKUP(Table2[[#This Row],[Player No]],Table10[[No]:[Province]],2,0),"")</f>
        <v>KGATITWE Tebogo</v>
      </c>
      <c r="F276" s="885" t="str">
        <f>IFERROR(VLOOKUP(Table2[[#This Row],[Player No]],Table10[[No]:[Province]],3,0),"")</f>
        <v>JTTA</v>
      </c>
      <c r="G276" s="892">
        <v>5.25</v>
      </c>
      <c r="H276" s="886">
        <f>(Table2[[#This Row],[Points 2025]]/2)+SUM(Table2[[#This Row],[O1  ADMIN 2026]:[P2    CAPE TOWN OPEN 2026 ]])</f>
        <v>2.625</v>
      </c>
      <c r="I276" s="880">
        <f t="shared" si="26"/>
        <v>0</v>
      </c>
      <c r="J276" s="882">
        <f t="shared" si="28"/>
        <v>0</v>
      </c>
      <c r="K276" s="887" t="s">
        <v>6083</v>
      </c>
      <c r="L276" s="887" t="s">
        <v>6083</v>
      </c>
      <c r="M276" s="887" t="s">
        <v>6083</v>
      </c>
      <c r="N276" s="887"/>
      <c r="O276" s="882"/>
      <c r="P276" s="882"/>
      <c r="Q276" s="888"/>
      <c r="R276" s="888"/>
      <c r="S276" s="882"/>
      <c r="T276" s="888"/>
      <c r="U276" s="882"/>
      <c r="V276" s="887"/>
      <c r="W276" s="888"/>
      <c r="X276" s="882"/>
      <c r="Y276" s="888"/>
      <c r="Z276" s="882">
        <v>3</v>
      </c>
      <c r="AA276" s="882">
        <v>0.5</v>
      </c>
      <c r="AB276" s="882"/>
      <c r="AC276" s="882"/>
      <c r="AD276" s="882"/>
      <c r="AE276" s="882"/>
      <c r="AF276" s="882"/>
      <c r="AG276" s="882"/>
      <c r="AH276" s="882"/>
      <c r="AI276" s="882"/>
      <c r="AJ276" s="882">
        <v>1</v>
      </c>
      <c r="AK276" s="882"/>
      <c r="AL276" s="889"/>
    </row>
    <row r="277" spans="1:38" s="890" customFormat="1">
      <c r="A277" s="882">
        <v>365</v>
      </c>
      <c r="B277" s="891">
        <f t="shared" si="29"/>
        <v>92</v>
      </c>
      <c r="C277" s="882">
        <f t="shared" si="27"/>
        <v>273</v>
      </c>
      <c r="D277" s="883">
        <v>1548</v>
      </c>
      <c r="E277" s="884" t="str">
        <f>IFERROR(VLOOKUP(Table2[[#This Row],[Player No]],Table10[[No]:[Province]],2,0),"")</f>
        <v xml:space="preserve">SMITH Kelvin </v>
      </c>
      <c r="F277" s="885" t="str">
        <f>IFERROR(VLOOKUP(Table2[[#This Row],[Player No]],Table10[[No]:[Province]],3,0),"")</f>
        <v>CT</v>
      </c>
      <c r="G277" s="892">
        <v>5.21875</v>
      </c>
      <c r="H277" s="886">
        <f>(Table2[[#This Row],[Points 2025]]/2)+SUM(Table2[[#This Row],[O1  ADMIN 2026]:[P2    CAPE TOWN OPEN 2026 ]])</f>
        <v>2.609375</v>
      </c>
      <c r="I277" s="880">
        <f t="shared" si="26"/>
        <v>0</v>
      </c>
      <c r="J277" s="882">
        <f t="shared" si="28"/>
        <v>0</v>
      </c>
      <c r="K277" s="887" t="s">
        <v>6083</v>
      </c>
      <c r="L277" s="887" t="s">
        <v>6083</v>
      </c>
      <c r="M277" s="887" t="s">
        <v>6083</v>
      </c>
      <c r="N277" s="887"/>
      <c r="O277" s="882"/>
      <c r="P277" s="882"/>
      <c r="Q277" s="888"/>
      <c r="R277" s="888"/>
      <c r="S277" s="882"/>
      <c r="T277" s="888"/>
      <c r="U277" s="882"/>
      <c r="V277" s="887"/>
      <c r="W277" s="888"/>
      <c r="X277" s="882"/>
      <c r="Y277" s="888"/>
      <c r="Z277" s="882"/>
      <c r="AA277" s="882"/>
      <c r="AB277" s="882">
        <v>2</v>
      </c>
      <c r="AC277" s="882"/>
      <c r="AD277" s="882"/>
      <c r="AE277" s="882"/>
      <c r="AF277" s="882">
        <v>5</v>
      </c>
      <c r="AG277" s="882"/>
      <c r="AH277" s="882"/>
      <c r="AI277" s="882"/>
      <c r="AJ277" s="882"/>
      <c r="AK277" s="882"/>
      <c r="AL277" s="889"/>
    </row>
    <row r="278" spans="1:38" s="890" customFormat="1">
      <c r="A278" s="882">
        <v>185</v>
      </c>
      <c r="B278" s="891">
        <f t="shared" si="29"/>
        <v>-89</v>
      </c>
      <c r="C278" s="882">
        <f t="shared" si="27"/>
        <v>274</v>
      </c>
      <c r="D278" s="883">
        <v>1420</v>
      </c>
      <c r="E278" s="884" t="str">
        <f>IFERROR(VLOOKUP(Table2[[#This Row],[Player No]],Table10[[No]:[Province]],2,0),"")</f>
        <v>MUKHTAR Muzammil</v>
      </c>
      <c r="F278" s="885" t="str">
        <f>IFERROR(VLOOKUP(Table2[[#This Row],[Player No]],Table10[[No]:[Province]],3,0),"")</f>
        <v>FS</v>
      </c>
      <c r="G278" s="892">
        <v>5.203125</v>
      </c>
      <c r="H278" s="886">
        <f>(Table2[[#This Row],[Points 2025]]/2)+SUM(Table2[[#This Row],[O1  ADMIN 2026]:[P2    CAPE TOWN OPEN 2026 ]])</f>
        <v>2.6015625</v>
      </c>
      <c r="I278" s="880">
        <f t="shared" si="26"/>
        <v>0</v>
      </c>
      <c r="J278" s="882">
        <f t="shared" si="28"/>
        <v>0</v>
      </c>
      <c r="K278" s="887" t="s">
        <v>6083</v>
      </c>
      <c r="L278" s="887" t="s">
        <v>6083</v>
      </c>
      <c r="M278" s="887" t="s">
        <v>6083</v>
      </c>
      <c r="N278" s="887"/>
      <c r="O278" s="882"/>
      <c r="P278" s="882"/>
      <c r="Q278" s="888"/>
      <c r="R278" s="888"/>
      <c r="S278" s="882"/>
      <c r="T278" s="888">
        <v>1</v>
      </c>
      <c r="U278" s="882"/>
      <c r="V278" s="887"/>
      <c r="W278" s="888"/>
      <c r="X278" s="882"/>
      <c r="Y278" s="888"/>
      <c r="Z278" s="882"/>
      <c r="AA278" s="882"/>
      <c r="AB278" s="882"/>
      <c r="AC278" s="882"/>
      <c r="AD278" s="882"/>
      <c r="AE278" s="882"/>
      <c r="AF278" s="882"/>
      <c r="AG278" s="882">
        <v>0</v>
      </c>
      <c r="AH278" s="882"/>
      <c r="AI278" s="882">
        <v>2</v>
      </c>
      <c r="AJ278" s="882"/>
      <c r="AK278" s="882"/>
      <c r="AL278" s="889"/>
    </row>
    <row r="279" spans="1:38" s="890" customFormat="1">
      <c r="A279" s="882">
        <v>132</v>
      </c>
      <c r="B279" s="891">
        <f t="shared" si="29"/>
        <v>-143</v>
      </c>
      <c r="C279" s="882">
        <f t="shared" si="27"/>
        <v>275</v>
      </c>
      <c r="D279" s="883">
        <v>1042</v>
      </c>
      <c r="E279" s="884" t="str">
        <f>IFERROR(VLOOKUP(Table2[[#This Row],[Player No]],Table10[[No]:[Province]],2,0),"")</f>
        <v xml:space="preserve">MOTOANG Evans </v>
      </c>
      <c r="F279" s="885" t="str">
        <f>IFERROR(VLOOKUP(Table2[[#This Row],[Player No]],Table10[[No]:[Province]],3,0),"")</f>
        <v>NWP</v>
      </c>
      <c r="G279" s="892">
        <v>5.1953125</v>
      </c>
      <c r="H279" s="886">
        <f>(Table2[[#This Row],[Points 2025]]/2)+SUM(Table2[[#This Row],[O1  ADMIN 2026]:[P2    CAPE TOWN OPEN 2026 ]])</f>
        <v>2.59765625</v>
      </c>
      <c r="I279" s="880">
        <f t="shared" si="26"/>
        <v>0</v>
      </c>
      <c r="J279" s="882">
        <f t="shared" si="28"/>
        <v>0</v>
      </c>
      <c r="K279" s="887" t="s">
        <v>6083</v>
      </c>
      <c r="L279" s="887" t="s">
        <v>6083</v>
      </c>
      <c r="M279" s="887" t="s">
        <v>6083</v>
      </c>
      <c r="N279" s="887"/>
      <c r="O279" s="882"/>
      <c r="P279" s="882"/>
      <c r="Q279" s="888"/>
      <c r="R279" s="888"/>
      <c r="S279" s="882"/>
      <c r="T279" s="888"/>
      <c r="U279" s="882"/>
      <c r="V279" s="887"/>
      <c r="W279" s="888"/>
      <c r="X279" s="882"/>
      <c r="Y279" s="888"/>
      <c r="Z279" s="882"/>
      <c r="AA279" s="882"/>
      <c r="AB279" s="882"/>
      <c r="AC279" s="882"/>
      <c r="AD279" s="882"/>
      <c r="AE279" s="882"/>
      <c r="AF279" s="882"/>
      <c r="AG279" s="882"/>
      <c r="AH279" s="882"/>
      <c r="AI279" s="882"/>
      <c r="AJ279" s="882"/>
      <c r="AK279" s="882"/>
      <c r="AL279" s="889"/>
    </row>
    <row r="280" spans="1:38" s="890" customFormat="1">
      <c r="A280" s="882">
        <v>133</v>
      </c>
      <c r="B280" s="891">
        <f t="shared" si="29"/>
        <v>-143</v>
      </c>
      <c r="C280" s="882">
        <f t="shared" si="27"/>
        <v>276</v>
      </c>
      <c r="D280" s="883">
        <v>1061</v>
      </c>
      <c r="E280" s="884" t="str">
        <f>IFERROR(VLOOKUP(Table2[[#This Row],[Player No]],Table10[[No]:[Province]],2,0),"")</f>
        <v>MALOKA Bakang</v>
      </c>
      <c r="F280" s="885" t="str">
        <f>IFERROR(VLOOKUP(Table2[[#This Row],[Player No]],Table10[[No]:[Province]],3,0),"")</f>
        <v>BOT</v>
      </c>
      <c r="G280" s="892">
        <v>5.125</v>
      </c>
      <c r="H280" s="886">
        <f>(Table2[[#This Row],[Points 2025]]/2)+SUM(Table2[[#This Row],[O1  ADMIN 2026]:[P2    CAPE TOWN OPEN 2026 ]])</f>
        <v>2.5625</v>
      </c>
      <c r="I280" s="880">
        <f t="shared" si="26"/>
        <v>0</v>
      </c>
      <c r="J280" s="882">
        <f t="shared" si="28"/>
        <v>0</v>
      </c>
      <c r="K280" s="887" t="s">
        <v>6083</v>
      </c>
      <c r="L280" s="887" t="s">
        <v>6083</v>
      </c>
      <c r="M280" s="887" t="s">
        <v>6083</v>
      </c>
      <c r="N280" s="887"/>
      <c r="O280" s="882"/>
      <c r="P280" s="882"/>
      <c r="Q280" s="888"/>
      <c r="R280" s="888"/>
      <c r="S280" s="882"/>
      <c r="T280" s="888"/>
      <c r="U280" s="882"/>
      <c r="V280" s="887"/>
      <c r="W280" s="888"/>
      <c r="X280" s="882"/>
      <c r="Y280" s="888"/>
      <c r="Z280" s="882"/>
      <c r="AA280" s="882"/>
      <c r="AB280" s="882"/>
      <c r="AC280" s="882"/>
      <c r="AD280" s="882"/>
      <c r="AE280" s="882"/>
      <c r="AF280" s="882"/>
      <c r="AG280" s="882"/>
      <c r="AH280" s="882"/>
      <c r="AI280" s="882"/>
      <c r="AJ280" s="882"/>
      <c r="AK280" s="882"/>
      <c r="AL280" s="889"/>
    </row>
    <row r="281" spans="1:38" s="890" customFormat="1">
      <c r="A281" s="882">
        <v>156</v>
      </c>
      <c r="B281" s="891">
        <f t="shared" si="29"/>
        <v>-121</v>
      </c>
      <c r="C281" s="882">
        <f t="shared" si="27"/>
        <v>277</v>
      </c>
      <c r="D281" s="883">
        <v>3121</v>
      </c>
      <c r="E281" s="884" t="str">
        <f>IFERROR(VLOOKUP(Table2[[#This Row],[Player No]],Table10[[No]:[Province]],2,0),"")</f>
        <v>VAN HEERDEN Bradwil</v>
      </c>
      <c r="F281" s="885" t="str">
        <f>IFERROR(VLOOKUP(Table2[[#This Row],[Player No]],Table10[[No]:[Province]],3,0),"")</f>
        <v>EDEN</v>
      </c>
      <c r="G281" s="892">
        <v>5.0625</v>
      </c>
      <c r="H281" s="886">
        <f>(Table2[[#This Row],[Points 2025]]/2)+SUM(Table2[[#This Row],[O1  ADMIN 2026]:[P2    CAPE TOWN OPEN 2026 ]])</f>
        <v>2.53125</v>
      </c>
      <c r="I281" s="880">
        <f t="shared" si="26"/>
        <v>0</v>
      </c>
      <c r="J281" s="882">
        <f t="shared" si="28"/>
        <v>0</v>
      </c>
      <c r="K281" s="887" t="s">
        <v>6083</v>
      </c>
      <c r="L281" s="887" t="s">
        <v>6083</v>
      </c>
      <c r="M281" s="887" t="s">
        <v>6083</v>
      </c>
      <c r="N281" s="887"/>
      <c r="O281" s="882"/>
      <c r="P281" s="882"/>
      <c r="Q281" s="888"/>
      <c r="R281" s="888"/>
      <c r="S281" s="882"/>
      <c r="T281" s="888"/>
      <c r="U281" s="882"/>
      <c r="V281" s="887"/>
      <c r="W281" s="888"/>
      <c r="X281" s="882"/>
      <c r="Y281" s="888"/>
      <c r="Z281" s="882"/>
      <c r="AA281" s="882"/>
      <c r="AB281" s="882"/>
      <c r="AC281" s="882"/>
      <c r="AD281" s="882"/>
      <c r="AE281" s="882"/>
      <c r="AF281" s="882">
        <v>2</v>
      </c>
      <c r="AG281" s="882"/>
      <c r="AH281" s="882"/>
      <c r="AI281" s="882"/>
      <c r="AJ281" s="882"/>
      <c r="AK281" s="882"/>
      <c r="AL281" s="889"/>
    </row>
    <row r="282" spans="1:38" s="890" customFormat="1">
      <c r="A282" s="882"/>
      <c r="B282" s="891"/>
      <c r="C282" s="882">
        <f t="shared" si="27"/>
        <v>278</v>
      </c>
      <c r="D282" s="883">
        <v>1090</v>
      </c>
      <c r="E282" s="884" t="str">
        <f>IFERROR(VLOOKUP(Table2[[#This Row],[Player No]],Table10[[No]:[Province]],2,0),"")</f>
        <v>MASOPHA Winston</v>
      </c>
      <c r="F282" s="885" t="str">
        <f>IFERROR(VLOOKUP(Table2[[#This Row],[Player No]],Table10[[No]:[Province]],3,0),"")</f>
        <v>NWP</v>
      </c>
      <c r="G282" s="892">
        <v>5</v>
      </c>
      <c r="H282" s="886">
        <f>(Table2[[#This Row],[Points 2025]]/2)+SUM(Table2[[#This Row],[O1  ADMIN 2026]:[P2    CAPE TOWN OPEN 2026 ]])</f>
        <v>2.5</v>
      </c>
      <c r="I282" s="880">
        <f t="shared" si="26"/>
        <v>0</v>
      </c>
      <c r="J282" s="882">
        <f t="shared" si="28"/>
        <v>0</v>
      </c>
      <c r="K282" s="887" t="s">
        <v>6083</v>
      </c>
      <c r="L282" s="887" t="s">
        <v>6083</v>
      </c>
      <c r="M282" s="887" t="s">
        <v>6083</v>
      </c>
      <c r="N282" s="887"/>
      <c r="O282" s="882"/>
      <c r="P282" s="882"/>
      <c r="Q282" s="888"/>
      <c r="R282" s="888"/>
      <c r="S282" s="882"/>
      <c r="T282" s="888"/>
      <c r="U282" s="882"/>
      <c r="V282" s="887"/>
      <c r="W282" s="888">
        <v>0</v>
      </c>
      <c r="X282" s="882"/>
      <c r="Y282" s="888"/>
      <c r="Z282" s="882"/>
      <c r="AA282" s="882"/>
      <c r="AB282" s="882"/>
      <c r="AC282" s="882"/>
      <c r="AD282" s="882"/>
      <c r="AE282" s="882"/>
      <c r="AF282" s="882"/>
      <c r="AG282" s="882">
        <v>10</v>
      </c>
      <c r="AH282" s="882"/>
      <c r="AI282" s="882"/>
      <c r="AJ282" s="882"/>
      <c r="AK282" s="882"/>
      <c r="AL282" s="889"/>
    </row>
    <row r="283" spans="1:38" s="890" customFormat="1">
      <c r="A283" s="882"/>
      <c r="B283" s="891"/>
      <c r="C283" s="882">
        <f t="shared" si="27"/>
        <v>279</v>
      </c>
      <c r="D283" s="883">
        <v>1169</v>
      </c>
      <c r="E283" s="884" t="str">
        <f>IFERROR(VLOOKUP(Table2[[#This Row],[Player No]],Table10[[No]:[Province]],2,0),"")</f>
        <v xml:space="preserve">CAROLLISEN Brenton </v>
      </c>
      <c r="F283" s="885" t="str">
        <f>IFERROR(VLOOKUP(Table2[[#This Row],[Player No]],Table10[[No]:[Province]],3,0),"")</f>
        <v>SANDF</v>
      </c>
      <c r="G283" s="892">
        <v>5</v>
      </c>
      <c r="H283" s="886">
        <f>(Table2[[#This Row],[Points 2025]]/2)+SUM(Table2[[#This Row],[O1  ADMIN 2026]:[P2    CAPE TOWN OPEN 2026 ]])</f>
        <v>2.5</v>
      </c>
      <c r="I283" s="880">
        <f t="shared" si="26"/>
        <v>0</v>
      </c>
      <c r="J283" s="882">
        <f t="shared" si="28"/>
        <v>0</v>
      </c>
      <c r="K283" s="887" t="s">
        <v>6083</v>
      </c>
      <c r="L283" s="887" t="s">
        <v>6083</v>
      </c>
      <c r="M283" s="887" t="s">
        <v>6083</v>
      </c>
      <c r="N283" s="887"/>
      <c r="O283" s="882"/>
      <c r="P283" s="882"/>
      <c r="Q283" s="888"/>
      <c r="R283" s="888"/>
      <c r="S283" s="882"/>
      <c r="T283" s="888"/>
      <c r="U283" s="882"/>
      <c r="V283" s="887"/>
      <c r="W283" s="888"/>
      <c r="X283" s="882"/>
      <c r="Y283" s="888"/>
      <c r="Z283" s="882"/>
      <c r="AA283" s="882"/>
      <c r="AB283" s="882"/>
      <c r="AC283" s="882"/>
      <c r="AD283" s="882"/>
      <c r="AE283" s="882"/>
      <c r="AF283" s="882"/>
      <c r="AG283" s="882">
        <v>10</v>
      </c>
      <c r="AH283" s="882"/>
      <c r="AI283" s="882"/>
      <c r="AJ283" s="882"/>
      <c r="AK283" s="882"/>
      <c r="AL283" s="889"/>
    </row>
    <row r="284" spans="1:38" s="890" customFormat="1">
      <c r="A284" s="882">
        <v>139</v>
      </c>
      <c r="B284" s="891">
        <f>+A284-C284</f>
        <v>-141</v>
      </c>
      <c r="C284" s="882">
        <f t="shared" si="27"/>
        <v>280</v>
      </c>
      <c r="D284" s="883">
        <v>1385</v>
      </c>
      <c r="E284" s="884" t="str">
        <f>IFERROR(VLOOKUP(Table2[[#This Row],[Player No]],Table10[[No]:[Province]],2,0),"")</f>
        <v>PHUNGULA Themba</v>
      </c>
      <c r="F284" s="885" t="str">
        <f>IFERROR(VLOOKUP(Table2[[#This Row],[Player No]],Table10[[No]:[Province]],3,0),"")</f>
        <v>UMG</v>
      </c>
      <c r="G284" s="892">
        <v>5</v>
      </c>
      <c r="H284" s="886">
        <f>(Table2[[#This Row],[Points 2025]]/2)+SUM(Table2[[#This Row],[O1  ADMIN 2026]:[P2    CAPE TOWN OPEN 2026 ]])</f>
        <v>2.5</v>
      </c>
      <c r="I284" s="880">
        <f t="shared" si="26"/>
        <v>0</v>
      </c>
      <c r="J284" s="882">
        <f t="shared" si="28"/>
        <v>0</v>
      </c>
      <c r="K284" s="887" t="s">
        <v>6083</v>
      </c>
      <c r="L284" s="887" t="s">
        <v>6083</v>
      </c>
      <c r="M284" s="887" t="s">
        <v>6083</v>
      </c>
      <c r="N284" s="887"/>
      <c r="O284" s="882"/>
      <c r="P284" s="882"/>
      <c r="Q284" s="888"/>
      <c r="R284" s="888"/>
      <c r="S284" s="882"/>
      <c r="T284" s="888"/>
      <c r="U284" s="882"/>
      <c r="V284" s="887"/>
      <c r="W284" s="888"/>
      <c r="X284" s="882"/>
      <c r="Y284" s="888"/>
      <c r="Z284" s="882"/>
      <c r="AA284" s="882"/>
      <c r="AB284" s="882"/>
      <c r="AC284" s="882"/>
      <c r="AD284" s="882">
        <v>10</v>
      </c>
      <c r="AE284" s="882"/>
      <c r="AF284" s="882"/>
      <c r="AG284" s="882"/>
      <c r="AH284" s="882"/>
      <c r="AI284" s="882"/>
      <c r="AJ284" s="882"/>
      <c r="AK284" s="882"/>
      <c r="AL284" s="889"/>
    </row>
    <row r="285" spans="1:38" s="890" customFormat="1">
      <c r="A285" s="882">
        <v>134</v>
      </c>
      <c r="B285" s="891">
        <f>+A285-C285</f>
        <v>-147</v>
      </c>
      <c r="C285" s="882">
        <f t="shared" si="27"/>
        <v>281</v>
      </c>
      <c r="D285" s="883">
        <v>1403</v>
      </c>
      <c r="E285" s="884" t="str">
        <f>IFERROR(VLOOKUP(Table2[[#This Row],[Player No]],Table10[[No]:[Province]],2,0),"")</f>
        <v>MUKHTAR Muddathir</v>
      </c>
      <c r="F285" s="885" t="str">
        <f>IFERROR(VLOOKUP(Table2[[#This Row],[Player No]],Table10[[No]:[Province]],3,0),"")</f>
        <v>FS</v>
      </c>
      <c r="G285" s="892">
        <v>5</v>
      </c>
      <c r="H285" s="886">
        <f>(Table2[[#This Row],[Points 2025]]/2)+SUM(Table2[[#This Row],[O1  ADMIN 2026]:[P2    CAPE TOWN OPEN 2026 ]])</f>
        <v>2.5</v>
      </c>
      <c r="I285" s="880">
        <f t="shared" si="26"/>
        <v>0</v>
      </c>
      <c r="J285" s="882">
        <f t="shared" si="28"/>
        <v>0</v>
      </c>
      <c r="K285" s="887" t="s">
        <v>6083</v>
      </c>
      <c r="L285" s="887" t="s">
        <v>6083</v>
      </c>
      <c r="M285" s="887" t="s">
        <v>6083</v>
      </c>
      <c r="N285" s="887"/>
      <c r="O285" s="882"/>
      <c r="P285" s="882"/>
      <c r="Q285" s="888"/>
      <c r="R285" s="888"/>
      <c r="S285" s="882"/>
      <c r="T285" s="888"/>
      <c r="U285" s="882"/>
      <c r="V285" s="887"/>
      <c r="W285" s="888"/>
      <c r="X285" s="882"/>
      <c r="Y285" s="888"/>
      <c r="Z285" s="882"/>
      <c r="AA285" s="882"/>
      <c r="AB285" s="882"/>
      <c r="AC285" s="882"/>
      <c r="AD285" s="882"/>
      <c r="AE285" s="882"/>
      <c r="AF285" s="882"/>
      <c r="AG285" s="882"/>
      <c r="AH285" s="882"/>
      <c r="AI285" s="882"/>
      <c r="AJ285" s="882"/>
      <c r="AK285" s="882"/>
      <c r="AL285" s="889"/>
    </row>
    <row r="286" spans="1:38" s="890" customFormat="1">
      <c r="A286" s="882"/>
      <c r="B286" s="891"/>
      <c r="C286" s="882">
        <f t="shared" si="27"/>
        <v>282</v>
      </c>
      <c r="D286" s="883">
        <v>1434</v>
      </c>
      <c r="E286" s="884" t="str">
        <f>IFERROR(VLOOKUP(Table2[[#This Row],[Player No]],Table10[[No]:[Province]],2,0),"")</f>
        <v xml:space="preserve">MATSENA Jerry </v>
      </c>
      <c r="F286" s="885" t="str">
        <f>IFERROR(VLOOKUP(Table2[[#This Row],[Player No]],Table10[[No]:[Province]],3,0),"")</f>
        <v>LIM</v>
      </c>
      <c r="G286" s="892">
        <v>5</v>
      </c>
      <c r="H286" s="886">
        <f>(Table2[[#This Row],[Points 2025]]/2)+SUM(Table2[[#This Row],[O1  ADMIN 2026]:[P2    CAPE TOWN OPEN 2026 ]])</f>
        <v>2.5</v>
      </c>
      <c r="I286" s="880">
        <f t="shared" si="26"/>
        <v>0</v>
      </c>
      <c r="J286" s="882">
        <f t="shared" si="28"/>
        <v>0</v>
      </c>
      <c r="K286" s="887" t="s">
        <v>6083</v>
      </c>
      <c r="L286" s="887" t="s">
        <v>6083</v>
      </c>
      <c r="M286" s="887" t="s">
        <v>6083</v>
      </c>
      <c r="N286" s="887"/>
      <c r="O286" s="882"/>
      <c r="P286" s="882"/>
      <c r="Q286" s="888"/>
      <c r="R286" s="888"/>
      <c r="S286" s="882"/>
      <c r="T286" s="888"/>
      <c r="U286" s="882"/>
      <c r="V286" s="887"/>
      <c r="W286" s="888">
        <v>5</v>
      </c>
      <c r="X286" s="882"/>
      <c r="Y286" s="888"/>
      <c r="Z286" s="882"/>
      <c r="AA286" s="882"/>
      <c r="AB286" s="882"/>
      <c r="AC286" s="882"/>
      <c r="AD286" s="882"/>
      <c r="AE286" s="882"/>
      <c r="AF286" s="882"/>
      <c r="AG286" s="882"/>
      <c r="AH286" s="882"/>
      <c r="AI286" s="882"/>
      <c r="AJ286" s="882"/>
      <c r="AK286" s="882"/>
      <c r="AL286" s="889"/>
    </row>
    <row r="287" spans="1:38" s="890" customFormat="1">
      <c r="A287" s="882">
        <v>136</v>
      </c>
      <c r="B287" s="891">
        <f>+A287-C287</f>
        <v>-147</v>
      </c>
      <c r="C287" s="882">
        <f t="shared" si="27"/>
        <v>283</v>
      </c>
      <c r="D287" s="883">
        <v>2734</v>
      </c>
      <c r="E287" s="884" t="str">
        <f>IFERROR(VLOOKUP(Table2[[#This Row],[Player No]],Table10[[No]:[Province]],2,0),"")</f>
        <v>CHUANG Tony</v>
      </c>
      <c r="F287" s="885" t="str">
        <f>IFERROR(VLOOKUP(Table2[[#This Row],[Player No]],Table10[[No]:[Province]],3,0),"")</f>
        <v>JTTA</v>
      </c>
      <c r="G287" s="892">
        <v>5</v>
      </c>
      <c r="H287" s="886">
        <f>(Table2[[#This Row],[Points 2025]]/2)+SUM(Table2[[#This Row],[O1  ADMIN 2026]:[P2    CAPE TOWN OPEN 2026 ]])</f>
        <v>2.5</v>
      </c>
      <c r="I287" s="880">
        <f t="shared" si="26"/>
        <v>0</v>
      </c>
      <c r="J287" s="882">
        <f t="shared" si="28"/>
        <v>0</v>
      </c>
      <c r="K287" s="887" t="s">
        <v>6083</v>
      </c>
      <c r="L287" s="887" t="s">
        <v>6083</v>
      </c>
      <c r="M287" s="887" t="s">
        <v>6083</v>
      </c>
      <c r="N287" s="887"/>
      <c r="O287" s="882"/>
      <c r="P287" s="882"/>
      <c r="Q287" s="888"/>
      <c r="R287" s="888"/>
      <c r="S287" s="882"/>
      <c r="T287" s="888"/>
      <c r="U287" s="882"/>
      <c r="V287" s="887"/>
      <c r="W287" s="888"/>
      <c r="X287" s="882"/>
      <c r="Y287" s="888"/>
      <c r="Z287" s="882"/>
      <c r="AA287" s="882"/>
      <c r="AB287" s="882"/>
      <c r="AC287" s="882"/>
      <c r="AD287" s="882"/>
      <c r="AE287" s="882"/>
      <c r="AF287" s="882"/>
      <c r="AG287" s="882"/>
      <c r="AH287" s="882"/>
      <c r="AI287" s="882"/>
      <c r="AJ287" s="882"/>
      <c r="AK287" s="882">
        <v>10</v>
      </c>
      <c r="AL287" s="889"/>
    </row>
    <row r="288" spans="1:38" s="890" customFormat="1">
      <c r="A288" s="882"/>
      <c r="B288" s="891"/>
      <c r="C288" s="882">
        <f t="shared" si="27"/>
        <v>284</v>
      </c>
      <c r="D288" s="883">
        <v>3669</v>
      </c>
      <c r="E288" s="884" t="str">
        <f>IFERROR(VLOOKUP(Table2[[#This Row],[Player No]],Table10[[No]:[Province]],2,0),"")</f>
        <v>SEJAMOHOLO Kagiso</v>
      </c>
      <c r="F288" s="885" t="str">
        <f>IFERROR(VLOOKUP(Table2[[#This Row],[Player No]],Table10[[No]:[Province]],3,0),"")</f>
        <v>NWP</v>
      </c>
      <c r="G288" s="892">
        <v>5</v>
      </c>
      <c r="H288" s="886">
        <f>(Table2[[#This Row],[Points 2025]]/2)+SUM(Table2[[#This Row],[O1  ADMIN 2026]:[P2    CAPE TOWN OPEN 2026 ]])</f>
        <v>2.5</v>
      </c>
      <c r="I288" s="880">
        <f t="shared" si="26"/>
        <v>0</v>
      </c>
      <c r="J288" s="882">
        <f t="shared" si="28"/>
        <v>0</v>
      </c>
      <c r="K288" s="887" t="s">
        <v>6083</v>
      </c>
      <c r="L288" s="887" t="s">
        <v>6083</v>
      </c>
      <c r="M288" s="887" t="s">
        <v>6083</v>
      </c>
      <c r="N288" s="887"/>
      <c r="O288" s="882"/>
      <c r="P288" s="882"/>
      <c r="Q288" s="888"/>
      <c r="R288" s="888"/>
      <c r="S288" s="882"/>
      <c r="T288" s="888"/>
      <c r="U288" s="882"/>
      <c r="V288" s="887"/>
      <c r="W288" s="888">
        <v>5</v>
      </c>
      <c r="X288" s="882"/>
      <c r="Y288" s="888"/>
      <c r="Z288" s="882"/>
      <c r="AA288" s="882"/>
      <c r="AB288" s="882"/>
      <c r="AC288" s="882"/>
      <c r="AD288" s="882"/>
      <c r="AE288" s="882"/>
      <c r="AF288" s="882"/>
      <c r="AG288" s="882"/>
      <c r="AH288" s="882"/>
      <c r="AI288" s="882"/>
      <c r="AJ288" s="882"/>
      <c r="AK288" s="882"/>
      <c r="AL288" s="889"/>
    </row>
    <row r="289" spans="1:38" s="890" customFormat="1">
      <c r="A289" s="882">
        <v>135</v>
      </c>
      <c r="B289" s="891">
        <f>+A289-C289</f>
        <v>-150</v>
      </c>
      <c r="C289" s="882">
        <f t="shared" si="27"/>
        <v>285</v>
      </c>
      <c r="D289" s="883">
        <v>3780</v>
      </c>
      <c r="E289" s="884" t="str">
        <f>IFERROR(VLOOKUP(Table2[[#This Row],[Player No]],Table10[[No]:[Province]],2,0),"")</f>
        <v>KAVONICH Naftali</v>
      </c>
      <c r="F289" s="885" t="str">
        <f>IFERROR(VLOOKUP(Table2[[#This Row],[Player No]],Table10[[No]:[Province]],3,0),"")</f>
        <v>JTTA</v>
      </c>
      <c r="G289" s="892">
        <v>5</v>
      </c>
      <c r="H289" s="886">
        <f>(Table2[[#This Row],[Points 2025]]/2)+SUM(Table2[[#This Row],[O1  ADMIN 2026]:[P2    CAPE TOWN OPEN 2026 ]])</f>
        <v>2.5</v>
      </c>
      <c r="I289" s="880">
        <f t="shared" si="26"/>
        <v>0</v>
      </c>
      <c r="J289" s="882">
        <f t="shared" si="28"/>
        <v>0</v>
      </c>
      <c r="K289" s="887" t="s">
        <v>6083</v>
      </c>
      <c r="L289" s="887" t="s">
        <v>6083</v>
      </c>
      <c r="M289" s="887" t="s">
        <v>6083</v>
      </c>
      <c r="N289" s="887"/>
      <c r="O289" s="882"/>
      <c r="P289" s="882"/>
      <c r="Q289" s="888"/>
      <c r="R289" s="888"/>
      <c r="S289" s="882"/>
      <c r="T289" s="888"/>
      <c r="U289" s="882"/>
      <c r="V289" s="887"/>
      <c r="W289" s="888"/>
      <c r="X289" s="882"/>
      <c r="Y289" s="888"/>
      <c r="Z289" s="882"/>
      <c r="AA289" s="882"/>
      <c r="AB289" s="882"/>
      <c r="AC289" s="882"/>
      <c r="AD289" s="882"/>
      <c r="AE289" s="882"/>
      <c r="AF289" s="882"/>
      <c r="AG289" s="882"/>
      <c r="AH289" s="882"/>
      <c r="AI289" s="882"/>
      <c r="AJ289" s="882"/>
      <c r="AK289" s="882">
        <v>10</v>
      </c>
      <c r="AL289" s="889"/>
    </row>
    <row r="290" spans="1:38" s="890" customFormat="1">
      <c r="A290" s="882"/>
      <c r="B290" s="891"/>
      <c r="C290" s="882">
        <f t="shared" si="27"/>
        <v>286</v>
      </c>
      <c r="D290" s="883">
        <v>4009</v>
      </c>
      <c r="E290" s="884" t="str">
        <f>IFERROR(VLOOKUP(Table2[[#This Row],[Player No]],Table10[[No]:[Province]],2,0),"")</f>
        <v xml:space="preserve">MNGADI Sinakhokonke </v>
      </c>
      <c r="F290" s="885" t="str">
        <f>IFERROR(VLOOKUP(Table2[[#This Row],[Player No]],Table10[[No]:[Province]],3,0),"")</f>
        <v>UMG</v>
      </c>
      <c r="G290" s="892">
        <v>5</v>
      </c>
      <c r="H290" s="886">
        <f>(Table2[[#This Row],[Points 2025]]/2)+SUM(Table2[[#This Row],[O1  ADMIN 2026]:[P2    CAPE TOWN OPEN 2026 ]])</f>
        <v>2.5</v>
      </c>
      <c r="I290" s="880">
        <f t="shared" si="26"/>
        <v>0</v>
      </c>
      <c r="J290" s="882">
        <f t="shared" si="28"/>
        <v>0</v>
      </c>
      <c r="K290" s="887" t="s">
        <v>6083</v>
      </c>
      <c r="L290" s="887" t="s">
        <v>6083</v>
      </c>
      <c r="M290" s="887" t="s">
        <v>6083</v>
      </c>
      <c r="N290" s="887"/>
      <c r="O290" s="882"/>
      <c r="P290" s="882"/>
      <c r="Q290" s="888"/>
      <c r="R290" s="888"/>
      <c r="S290" s="882"/>
      <c r="T290" s="888"/>
      <c r="U290" s="882"/>
      <c r="V290" s="887"/>
      <c r="W290" s="888"/>
      <c r="X290" s="882">
        <v>5</v>
      </c>
      <c r="Y290" s="888"/>
      <c r="Z290" s="882"/>
      <c r="AA290" s="882"/>
      <c r="AB290" s="882"/>
      <c r="AC290" s="882"/>
      <c r="AD290" s="882"/>
      <c r="AE290" s="882"/>
      <c r="AF290" s="882"/>
      <c r="AG290" s="882"/>
      <c r="AH290" s="882"/>
      <c r="AI290" s="882"/>
      <c r="AJ290" s="882"/>
      <c r="AK290" s="882"/>
      <c r="AL290" s="889"/>
    </row>
    <row r="291" spans="1:38" s="890" customFormat="1">
      <c r="A291" s="882"/>
      <c r="B291" s="891">
        <f>+A291-C291</f>
        <v>-287</v>
      </c>
      <c r="C291" s="882">
        <f t="shared" si="27"/>
        <v>287</v>
      </c>
      <c r="D291" s="883">
        <v>4059</v>
      </c>
      <c r="E291" s="884" t="str">
        <f>IFERROR(VLOOKUP(Table2[[#This Row],[Player No]],Table10[[No]:[Province]],2,0),"")</f>
        <v>Saurabh Mishra</v>
      </c>
      <c r="F291" s="885" t="str">
        <f>IFERROR(VLOOKUP(Table2[[#This Row],[Player No]],Table10[[No]:[Province]],3,0),"")</f>
        <v>JTTA</v>
      </c>
      <c r="G291" s="892">
        <v>5</v>
      </c>
      <c r="H291" s="886">
        <f>(Table2[[#This Row],[Points 2025]]/2)+SUM(Table2[[#This Row],[O1  ADMIN 2026]:[P2    CAPE TOWN OPEN 2026 ]])</f>
        <v>2.5</v>
      </c>
      <c r="I291" s="880">
        <f t="shared" si="26"/>
        <v>0</v>
      </c>
      <c r="J291" s="882">
        <f t="shared" si="28"/>
        <v>0</v>
      </c>
      <c r="K291" s="887" t="s">
        <v>6083</v>
      </c>
      <c r="L291" s="887" t="s">
        <v>6083</v>
      </c>
      <c r="M291" s="887" t="s">
        <v>6083</v>
      </c>
      <c r="N291" s="887"/>
      <c r="O291" s="882"/>
      <c r="P291" s="882"/>
      <c r="Q291" s="888"/>
      <c r="R291" s="888"/>
      <c r="S291" s="882"/>
      <c r="T291" s="888"/>
      <c r="U291" s="882"/>
      <c r="V291" s="887"/>
      <c r="W291" s="888"/>
      <c r="X291" s="882"/>
      <c r="Y291" s="888"/>
      <c r="Z291" s="882"/>
      <c r="AA291" s="882"/>
      <c r="AB291" s="882"/>
      <c r="AC291" s="882"/>
      <c r="AD291" s="882"/>
      <c r="AE291" s="882"/>
      <c r="AF291" s="882"/>
      <c r="AG291" s="882"/>
      <c r="AH291" s="882">
        <v>10</v>
      </c>
      <c r="AI291" s="882"/>
      <c r="AJ291" s="882"/>
      <c r="AK291" s="882"/>
      <c r="AL291" s="889"/>
    </row>
    <row r="292" spans="1:38" s="890" customFormat="1">
      <c r="A292" s="882"/>
      <c r="B292" s="891">
        <f>+A292-C292</f>
        <v>-288</v>
      </c>
      <c r="C292" s="882">
        <f t="shared" si="27"/>
        <v>288</v>
      </c>
      <c r="D292" s="883">
        <v>4060</v>
      </c>
      <c r="E292" s="884" t="str">
        <f>IFERROR(VLOOKUP(Table2[[#This Row],[Player No]],Table10[[No]:[Province]],2,0),"")</f>
        <v>MO ALEX</v>
      </c>
      <c r="F292" s="885" t="str">
        <f>IFERROR(VLOOKUP(Table2[[#This Row],[Player No]],Table10[[No]:[Province]],3,0),"")</f>
        <v>JTTA</v>
      </c>
      <c r="G292" s="892">
        <v>5</v>
      </c>
      <c r="H292" s="886">
        <f>(Table2[[#This Row],[Points 2025]]/2)+SUM(Table2[[#This Row],[O1  ADMIN 2026]:[P2    CAPE TOWN OPEN 2026 ]])</f>
        <v>2.5</v>
      </c>
      <c r="I292" s="880">
        <f t="shared" si="26"/>
        <v>0</v>
      </c>
      <c r="J292" s="882">
        <f t="shared" si="28"/>
        <v>0</v>
      </c>
      <c r="K292" s="887" t="s">
        <v>6083</v>
      </c>
      <c r="L292" s="887" t="s">
        <v>6083</v>
      </c>
      <c r="M292" s="887" t="s">
        <v>6083</v>
      </c>
      <c r="N292" s="887"/>
      <c r="O292" s="882"/>
      <c r="P292" s="882"/>
      <c r="Q292" s="888"/>
      <c r="R292" s="888"/>
      <c r="S292" s="882"/>
      <c r="T292" s="888"/>
      <c r="U292" s="882"/>
      <c r="V292" s="887"/>
      <c r="W292" s="888"/>
      <c r="X292" s="882"/>
      <c r="Y292" s="888"/>
      <c r="Z292" s="882"/>
      <c r="AA292" s="882"/>
      <c r="AB292" s="882"/>
      <c r="AC292" s="882"/>
      <c r="AD292" s="882"/>
      <c r="AE292" s="882"/>
      <c r="AF292" s="882"/>
      <c r="AG292" s="882"/>
      <c r="AH292" s="882">
        <v>10</v>
      </c>
      <c r="AI292" s="882"/>
      <c r="AJ292" s="882"/>
      <c r="AK292" s="882"/>
      <c r="AL292" s="889"/>
    </row>
    <row r="293" spans="1:38" s="890" customFormat="1">
      <c r="A293" s="882"/>
      <c r="B293" s="891"/>
      <c r="C293" s="882">
        <f t="shared" si="27"/>
        <v>289</v>
      </c>
      <c r="D293" s="883">
        <v>4061</v>
      </c>
      <c r="E293" s="884" t="str">
        <f>IFERROR(VLOOKUP(Table2[[#This Row],[Player No]],Table10[[No]:[Province]],2,0),"")</f>
        <v>Han Zhen Low</v>
      </c>
      <c r="F293" s="885" t="str">
        <f>IFERROR(VLOOKUP(Table2[[#This Row],[Player No]],Table10[[No]:[Province]],3,0),"")</f>
        <v>JTTA</v>
      </c>
      <c r="G293" s="892">
        <v>5</v>
      </c>
      <c r="H293" s="886">
        <f>(Table2[[#This Row],[Points 2025]]/2)+SUM(Table2[[#This Row],[O1  ADMIN 2026]:[P2    CAPE TOWN OPEN 2026 ]])</f>
        <v>2.5</v>
      </c>
      <c r="I293" s="880">
        <f t="shared" si="26"/>
        <v>0</v>
      </c>
      <c r="J293" s="882">
        <f t="shared" si="28"/>
        <v>0</v>
      </c>
      <c r="K293" s="887" t="s">
        <v>6083</v>
      </c>
      <c r="L293" s="887" t="s">
        <v>6083</v>
      </c>
      <c r="M293" s="887" t="s">
        <v>6083</v>
      </c>
      <c r="N293" s="887"/>
      <c r="O293" s="882"/>
      <c r="P293" s="882"/>
      <c r="Q293" s="888"/>
      <c r="R293" s="888"/>
      <c r="S293" s="882"/>
      <c r="T293" s="888"/>
      <c r="U293" s="882"/>
      <c r="V293" s="887"/>
      <c r="W293" s="888"/>
      <c r="X293" s="882"/>
      <c r="Y293" s="888"/>
      <c r="Z293" s="882"/>
      <c r="AA293" s="882"/>
      <c r="AB293" s="882"/>
      <c r="AC293" s="882"/>
      <c r="AD293" s="882"/>
      <c r="AE293" s="882"/>
      <c r="AF293" s="882"/>
      <c r="AG293" s="882"/>
      <c r="AH293" s="882">
        <v>10</v>
      </c>
      <c r="AI293" s="882"/>
      <c r="AJ293" s="882"/>
      <c r="AK293" s="882"/>
      <c r="AL293" s="889"/>
    </row>
    <row r="294" spans="1:38" s="890" customFormat="1">
      <c r="A294" s="882"/>
      <c r="B294" s="891"/>
      <c r="C294" s="882">
        <f t="shared" si="27"/>
        <v>290</v>
      </c>
      <c r="D294" s="883">
        <v>4062</v>
      </c>
      <c r="E294" s="884" t="str">
        <f>IFERROR(VLOOKUP(Table2[[#This Row],[Player No]],Table10[[No]:[Province]],2,0),"")</f>
        <v>HU HUAYUN</v>
      </c>
      <c r="F294" s="885" t="str">
        <f>IFERROR(VLOOKUP(Table2[[#This Row],[Player No]],Table10[[No]:[Province]],3,0),"")</f>
        <v>JTTA</v>
      </c>
      <c r="G294" s="892">
        <v>5</v>
      </c>
      <c r="H294" s="886">
        <f>(Table2[[#This Row],[Points 2025]]/2)+SUM(Table2[[#This Row],[O1  ADMIN 2026]:[P2    CAPE TOWN OPEN 2026 ]])</f>
        <v>2.5</v>
      </c>
      <c r="I294" s="880">
        <f t="shared" si="26"/>
        <v>0</v>
      </c>
      <c r="J294" s="882">
        <f t="shared" si="28"/>
        <v>0</v>
      </c>
      <c r="K294" s="887" t="s">
        <v>6083</v>
      </c>
      <c r="L294" s="887" t="s">
        <v>6083</v>
      </c>
      <c r="M294" s="887" t="s">
        <v>6083</v>
      </c>
      <c r="N294" s="887"/>
      <c r="O294" s="882"/>
      <c r="P294" s="882"/>
      <c r="Q294" s="888"/>
      <c r="R294" s="888"/>
      <c r="S294" s="882"/>
      <c r="T294" s="888"/>
      <c r="U294" s="882"/>
      <c r="V294" s="887"/>
      <c r="W294" s="888"/>
      <c r="X294" s="882"/>
      <c r="Y294" s="888"/>
      <c r="Z294" s="882"/>
      <c r="AA294" s="882"/>
      <c r="AB294" s="882"/>
      <c r="AC294" s="882"/>
      <c r="AD294" s="882"/>
      <c r="AE294" s="882"/>
      <c r="AF294" s="882"/>
      <c r="AG294" s="882"/>
      <c r="AH294" s="882">
        <v>10</v>
      </c>
      <c r="AI294" s="882"/>
      <c r="AJ294" s="882"/>
      <c r="AK294" s="882"/>
      <c r="AL294" s="889"/>
    </row>
    <row r="295" spans="1:38" s="890" customFormat="1">
      <c r="A295" s="882"/>
      <c r="B295" s="891"/>
      <c r="C295" s="882">
        <f t="shared" si="27"/>
        <v>291</v>
      </c>
      <c r="D295" s="883">
        <v>4123</v>
      </c>
      <c r="E295" s="884" t="str">
        <f>IFERROR(VLOOKUP(Table2[[#This Row],[Player No]],Table10[[No]:[Province]],2,0),"")</f>
        <v>Siddeeq BUCKUS</v>
      </c>
      <c r="F295" s="885" t="str">
        <f>IFERROR(VLOOKUP(Table2[[#This Row],[Player No]],Table10[[No]:[Province]],3,0),"")</f>
        <v>UMZ</v>
      </c>
      <c r="G295" s="892">
        <v>5</v>
      </c>
      <c r="H295" s="886">
        <f>(Table2[[#This Row],[Points 2025]]/2)+SUM(Table2[[#This Row],[O1  ADMIN 2026]:[P2    CAPE TOWN OPEN 2026 ]])</f>
        <v>2.5</v>
      </c>
      <c r="I295" s="880">
        <f t="shared" si="26"/>
        <v>0</v>
      </c>
      <c r="J295" s="882">
        <f t="shared" si="28"/>
        <v>0</v>
      </c>
      <c r="K295" s="887" t="s">
        <v>6083</v>
      </c>
      <c r="L295" s="887" t="s">
        <v>6083</v>
      </c>
      <c r="M295" s="887" t="s">
        <v>6083</v>
      </c>
      <c r="N295" s="887"/>
      <c r="O295" s="882"/>
      <c r="P295" s="882"/>
      <c r="Q295" s="888"/>
      <c r="R295" s="888"/>
      <c r="S295" s="882"/>
      <c r="T295" s="888"/>
      <c r="U295" s="882"/>
      <c r="V295" s="887"/>
      <c r="W295" s="888">
        <v>5</v>
      </c>
      <c r="X295" s="882"/>
      <c r="Y295" s="888"/>
      <c r="Z295" s="882"/>
      <c r="AA295" s="882"/>
      <c r="AB295" s="882"/>
      <c r="AC295" s="882"/>
      <c r="AD295" s="882"/>
      <c r="AE295" s="882"/>
      <c r="AF295" s="882"/>
      <c r="AG295" s="882"/>
      <c r="AH295" s="882"/>
      <c r="AI295" s="882"/>
      <c r="AJ295" s="882"/>
      <c r="AK295" s="882"/>
      <c r="AL295" s="889"/>
    </row>
    <row r="296" spans="1:38" s="890" customFormat="1">
      <c r="A296" s="882"/>
      <c r="B296" s="891"/>
      <c r="C296" s="882">
        <f t="shared" si="27"/>
        <v>292</v>
      </c>
      <c r="D296" s="883">
        <v>4154</v>
      </c>
      <c r="E296" s="884" t="str">
        <f>IFERROR(VLOOKUP(Table2[[#This Row],[Player No]],Table10[[No]:[Province]],2,0),"")</f>
        <v>Quentin THOMAS</v>
      </c>
      <c r="F296" s="885" t="str">
        <f>IFERROR(VLOOKUP(Table2[[#This Row],[Player No]],Table10[[No]:[Province]],3,0),"")</f>
        <v>CT</v>
      </c>
      <c r="G296" s="892">
        <v>5</v>
      </c>
      <c r="H296" s="886">
        <f>(Table2[[#This Row],[Points 2025]]/2)+SUM(Table2[[#This Row],[O1  ADMIN 2026]:[P2    CAPE TOWN OPEN 2026 ]])</f>
        <v>2.5</v>
      </c>
      <c r="I296" s="880">
        <f t="shared" si="26"/>
        <v>0</v>
      </c>
      <c r="J296" s="882">
        <f t="shared" si="28"/>
        <v>0</v>
      </c>
      <c r="K296" s="887" t="s">
        <v>6083</v>
      </c>
      <c r="L296" s="887" t="s">
        <v>6083</v>
      </c>
      <c r="M296" s="887" t="s">
        <v>6083</v>
      </c>
      <c r="N296" s="887"/>
      <c r="O296" s="882"/>
      <c r="P296" s="882"/>
      <c r="Q296" s="888"/>
      <c r="R296" s="888"/>
      <c r="S296" s="882"/>
      <c r="T296" s="888"/>
      <c r="U296" s="882"/>
      <c r="V296" s="887"/>
      <c r="W296" s="888"/>
      <c r="X296" s="882"/>
      <c r="Y296" s="888"/>
      <c r="Z296" s="882"/>
      <c r="AA296" s="882"/>
      <c r="AB296" s="882">
        <v>5</v>
      </c>
      <c r="AC296" s="882"/>
      <c r="AD296" s="882"/>
      <c r="AE296" s="882"/>
      <c r="AF296" s="882"/>
      <c r="AG296" s="882"/>
      <c r="AH296" s="882"/>
      <c r="AI296" s="882"/>
      <c r="AJ296" s="882"/>
      <c r="AK296" s="882"/>
      <c r="AL296" s="889"/>
    </row>
    <row r="297" spans="1:38" s="890" customFormat="1">
      <c r="A297" s="882"/>
      <c r="B297" s="891"/>
      <c r="C297" s="882">
        <f t="shared" si="27"/>
        <v>293</v>
      </c>
      <c r="D297" s="883">
        <v>4273</v>
      </c>
      <c r="E297" s="884" t="str">
        <f>IFERROR(VLOOKUP(Table2[[#This Row],[Player No]],Table10[[No]:[Province]],2,0),"")</f>
        <v>Ebrahim Shuaib</v>
      </c>
      <c r="F297" s="885" t="str">
        <f>IFERROR(VLOOKUP(Table2[[#This Row],[Player No]],Table10[[No]:[Province]],3,0),"")</f>
        <v>JTTA</v>
      </c>
      <c r="G297" s="892">
        <v>5</v>
      </c>
      <c r="H297" s="886">
        <f>(Table2[[#This Row],[Points 2025]]/2)+SUM(Table2[[#This Row],[O1  ADMIN 2026]:[P2    CAPE TOWN OPEN 2026 ]])</f>
        <v>2.5</v>
      </c>
      <c r="I297" s="880">
        <f t="shared" si="26"/>
        <v>0</v>
      </c>
      <c r="J297" s="882">
        <f t="shared" si="28"/>
        <v>0</v>
      </c>
      <c r="K297" s="887" t="s">
        <v>6083</v>
      </c>
      <c r="L297" s="887" t="s">
        <v>6083</v>
      </c>
      <c r="M297" s="887" t="s">
        <v>6083</v>
      </c>
      <c r="N297" s="887"/>
      <c r="O297" s="882"/>
      <c r="P297" s="882"/>
      <c r="Q297" s="888"/>
      <c r="R297" s="888"/>
      <c r="S297" s="882"/>
      <c r="T297" s="888"/>
      <c r="U297" s="882"/>
      <c r="V297" s="887"/>
      <c r="W297" s="888"/>
      <c r="X297" s="882"/>
      <c r="Y297" s="888">
        <v>4</v>
      </c>
      <c r="Z297" s="882">
        <v>1</v>
      </c>
      <c r="AA297" s="882"/>
      <c r="AB297" s="882"/>
      <c r="AC297" s="882"/>
      <c r="AD297" s="882"/>
      <c r="AE297" s="882"/>
      <c r="AF297" s="882"/>
      <c r="AG297" s="882"/>
      <c r="AH297" s="882"/>
      <c r="AI297" s="882"/>
      <c r="AJ297" s="882"/>
      <c r="AK297" s="882"/>
      <c r="AL297" s="889"/>
    </row>
    <row r="298" spans="1:38" s="890" customFormat="1">
      <c r="A298" s="882"/>
      <c r="B298" s="891"/>
      <c r="C298" s="882">
        <f t="shared" si="27"/>
        <v>294</v>
      </c>
      <c r="D298" s="883">
        <v>4324</v>
      </c>
      <c r="E298" s="884" t="str">
        <f>IFERROR(VLOOKUP(Table2[[#This Row],[Player No]],Table10[[No]:[Province]],2,0),"")</f>
        <v>RAFUBE William</v>
      </c>
      <c r="F298" s="885" t="str">
        <f>IFERROR(VLOOKUP(Table2[[#This Row],[Player No]],Table10[[No]:[Province]],3,0),"")</f>
        <v>FS</v>
      </c>
      <c r="G298" s="892">
        <v>5</v>
      </c>
      <c r="H298" s="886">
        <f>(Table2[[#This Row],[Points 2025]]/2)+SUM(Table2[[#This Row],[O1  ADMIN 2026]:[P2    CAPE TOWN OPEN 2026 ]])</f>
        <v>2.5</v>
      </c>
      <c r="I298" s="880">
        <f t="shared" si="26"/>
        <v>0</v>
      </c>
      <c r="J298" s="882">
        <f t="shared" si="28"/>
        <v>0</v>
      </c>
      <c r="K298" s="887" t="s">
        <v>6083</v>
      </c>
      <c r="L298" s="887" t="s">
        <v>6083</v>
      </c>
      <c r="M298" s="887" t="s">
        <v>6083</v>
      </c>
      <c r="N298" s="887"/>
      <c r="O298" s="882"/>
      <c r="P298" s="882"/>
      <c r="Q298" s="888"/>
      <c r="R298" s="888"/>
      <c r="S298" s="882"/>
      <c r="T298" s="888">
        <v>5</v>
      </c>
      <c r="U298" s="882"/>
      <c r="V298" s="887"/>
      <c r="W298" s="888"/>
      <c r="X298" s="882"/>
      <c r="Y298" s="888"/>
      <c r="Z298" s="882"/>
      <c r="AA298" s="882"/>
      <c r="AB298" s="882"/>
      <c r="AC298" s="882"/>
      <c r="AD298" s="882"/>
      <c r="AE298" s="882"/>
      <c r="AF298" s="882"/>
      <c r="AG298" s="882"/>
      <c r="AH298" s="882"/>
      <c r="AI298" s="882"/>
      <c r="AJ298" s="882"/>
      <c r="AK298" s="882"/>
      <c r="AL298" s="889"/>
    </row>
    <row r="299" spans="1:38" s="890" customFormat="1">
      <c r="A299" s="882"/>
      <c r="B299" s="891"/>
      <c r="C299" s="882">
        <f t="shared" si="27"/>
        <v>295</v>
      </c>
      <c r="D299" s="894">
        <v>4345</v>
      </c>
      <c r="E299" s="884" t="str">
        <f>IFERROR(VLOOKUP(Table2[[#This Row],[Player No]],Table10[[No]:[Province]],2,0),"")</f>
        <v>HOLNESS David</v>
      </c>
      <c r="F299" s="885" t="str">
        <f>IFERROR(VLOOKUP(Table2[[#This Row],[Player No]],Table10[[No]:[Province]],3,0),"")</f>
        <v>ETTA</v>
      </c>
      <c r="G299" s="892">
        <v>5</v>
      </c>
      <c r="H299" s="886">
        <f>(Table2[[#This Row],[Points 2025]]/2)+SUM(Table2[[#This Row],[O1  ADMIN 2026]:[P2    CAPE TOWN OPEN 2026 ]])</f>
        <v>2.5</v>
      </c>
      <c r="I299" s="880">
        <f t="shared" si="26"/>
        <v>0</v>
      </c>
      <c r="J299" s="882">
        <f t="shared" si="28"/>
        <v>0</v>
      </c>
      <c r="K299" s="887" t="s">
        <v>6083</v>
      </c>
      <c r="L299" s="887" t="s">
        <v>6083</v>
      </c>
      <c r="M299" s="887" t="s">
        <v>6083</v>
      </c>
      <c r="N299" s="887"/>
      <c r="O299" s="882"/>
      <c r="P299" s="882"/>
      <c r="Q299" s="888"/>
      <c r="R299" s="888">
        <v>5</v>
      </c>
      <c r="S299" s="882"/>
      <c r="T299" s="888"/>
      <c r="U299" s="882"/>
      <c r="V299" s="887"/>
      <c r="W299" s="888"/>
      <c r="X299" s="882"/>
      <c r="Y299" s="888"/>
      <c r="Z299" s="882"/>
      <c r="AA299" s="882"/>
      <c r="AB299" s="882"/>
      <c r="AC299" s="882"/>
      <c r="AD299" s="882"/>
      <c r="AE299" s="882"/>
      <c r="AF299" s="882"/>
      <c r="AG299" s="882"/>
      <c r="AH299" s="882"/>
      <c r="AI299" s="882"/>
      <c r="AJ299" s="882"/>
      <c r="AK299" s="882"/>
      <c r="AL299" s="889"/>
    </row>
    <row r="300" spans="1:38" s="890" customFormat="1">
      <c r="A300" s="882"/>
      <c r="B300" s="891"/>
      <c r="C300" s="882">
        <f t="shared" si="27"/>
        <v>296</v>
      </c>
      <c r="D300" s="894">
        <v>4631</v>
      </c>
      <c r="E300" s="884" t="str">
        <f>IFERROR(VLOOKUP(Table2[[#This Row],[Player No]],Table10[[No]:[Province]],2,0),"")</f>
        <v xml:space="preserve">KHAN Ameer </v>
      </c>
      <c r="F300" s="885" t="str">
        <f>IFERROR(VLOOKUP(Table2[[#This Row],[Player No]],Table10[[No]:[Province]],3,0),"")</f>
        <v>ETTA</v>
      </c>
      <c r="G300" s="892">
        <v>5</v>
      </c>
      <c r="H300" s="886">
        <f>(Table2[[#This Row],[Points 2025]]/2)+SUM(Table2[[#This Row],[O1  ADMIN 2026]:[P2    CAPE TOWN OPEN 2026 ]])</f>
        <v>2.5</v>
      </c>
      <c r="I300" s="880">
        <f t="shared" si="26"/>
        <v>0</v>
      </c>
      <c r="J300" s="882">
        <f t="shared" si="28"/>
        <v>0</v>
      </c>
      <c r="K300" s="887" t="s">
        <v>6083</v>
      </c>
      <c r="L300" s="887" t="s">
        <v>6083</v>
      </c>
      <c r="M300" s="887" t="s">
        <v>6083</v>
      </c>
      <c r="N300" s="887"/>
      <c r="O300" s="882"/>
      <c r="P300" s="882"/>
      <c r="Q300" s="888"/>
      <c r="R300" s="888">
        <v>5</v>
      </c>
      <c r="S300" s="882"/>
      <c r="T300" s="888"/>
      <c r="U300" s="882"/>
      <c r="V300" s="887"/>
      <c r="W300" s="888"/>
      <c r="X300" s="882"/>
      <c r="Y300" s="888"/>
      <c r="Z300" s="882"/>
      <c r="AA300" s="882"/>
      <c r="AB300" s="882"/>
      <c r="AC300" s="882"/>
      <c r="AD300" s="882"/>
      <c r="AE300" s="882"/>
      <c r="AF300" s="882"/>
      <c r="AG300" s="882"/>
      <c r="AH300" s="882"/>
      <c r="AI300" s="882"/>
      <c r="AJ300" s="882"/>
      <c r="AK300" s="882"/>
      <c r="AL300" s="889"/>
    </row>
    <row r="301" spans="1:38" s="890" customFormat="1">
      <c r="A301" s="882"/>
      <c r="B301" s="891"/>
      <c r="C301" s="882">
        <f t="shared" si="27"/>
        <v>297</v>
      </c>
      <c r="D301" s="894">
        <v>4632</v>
      </c>
      <c r="E301" s="884" t="str">
        <f>IFERROR(VLOOKUP(Table2[[#This Row],[Player No]],Table10[[No]:[Province]],2,0),"")</f>
        <v xml:space="preserve">MBANJWA Mfanafuti </v>
      </c>
      <c r="F301" s="885" t="str">
        <f>IFERROR(VLOOKUP(Table2[[#This Row],[Player No]],Table10[[No]:[Province]],3,0),"")</f>
        <v>ETTA</v>
      </c>
      <c r="G301" s="892">
        <v>5</v>
      </c>
      <c r="H301" s="886">
        <f>(Table2[[#This Row],[Points 2025]]/2)+SUM(Table2[[#This Row],[O1  ADMIN 2026]:[P2    CAPE TOWN OPEN 2026 ]])</f>
        <v>2.5</v>
      </c>
      <c r="I301" s="880">
        <f t="shared" si="26"/>
        <v>0</v>
      </c>
      <c r="J301" s="882">
        <f t="shared" si="28"/>
        <v>0</v>
      </c>
      <c r="K301" s="887" t="s">
        <v>6083</v>
      </c>
      <c r="L301" s="887" t="s">
        <v>6083</v>
      </c>
      <c r="M301" s="887" t="s">
        <v>6083</v>
      </c>
      <c r="N301" s="887"/>
      <c r="O301" s="882"/>
      <c r="P301" s="882"/>
      <c r="Q301" s="888"/>
      <c r="R301" s="888">
        <v>5</v>
      </c>
      <c r="S301" s="882"/>
      <c r="T301" s="888"/>
      <c r="U301" s="882"/>
      <c r="V301" s="887"/>
      <c r="W301" s="888"/>
      <c r="X301" s="882"/>
      <c r="Y301" s="888"/>
      <c r="Z301" s="882"/>
      <c r="AA301" s="882"/>
      <c r="AB301" s="882"/>
      <c r="AC301" s="882"/>
      <c r="AD301" s="882"/>
      <c r="AE301" s="882"/>
      <c r="AF301" s="882"/>
      <c r="AG301" s="882"/>
      <c r="AH301" s="882"/>
      <c r="AI301" s="882"/>
      <c r="AJ301" s="882"/>
      <c r="AK301" s="882"/>
      <c r="AL301" s="889"/>
    </row>
    <row r="302" spans="1:38" s="890" customFormat="1">
      <c r="A302" s="882"/>
      <c r="B302" s="891"/>
      <c r="C302" s="882">
        <f t="shared" si="27"/>
        <v>298</v>
      </c>
      <c r="D302" s="883">
        <v>4670</v>
      </c>
      <c r="E302" s="884" t="str">
        <f>IFERROR(VLOOKUP(Table2[[#This Row],[Player No]],Table10[[No]:[Province]],2,0),"")</f>
        <v xml:space="preserve">FORTUIN Pedro </v>
      </c>
      <c r="F302" s="885" t="str">
        <f>IFERROR(VLOOKUP(Table2[[#This Row],[Player No]],Table10[[No]:[Province]],3,0),"")</f>
        <v>CT</v>
      </c>
      <c r="G302" s="892">
        <v>5</v>
      </c>
      <c r="H302" s="886">
        <f>(Table2[[#This Row],[Points 2025]]/2)+SUM(Table2[[#This Row],[O1  ADMIN 2026]:[P2    CAPE TOWN OPEN 2026 ]])</f>
        <v>2.5</v>
      </c>
      <c r="I302" s="880">
        <f t="shared" si="26"/>
        <v>0</v>
      </c>
      <c r="J302" s="882">
        <f t="shared" si="28"/>
        <v>0</v>
      </c>
      <c r="K302" s="887" t="s">
        <v>6083</v>
      </c>
      <c r="L302" s="887" t="s">
        <v>6083</v>
      </c>
      <c r="M302" s="887" t="s">
        <v>6083</v>
      </c>
      <c r="N302" s="887"/>
      <c r="O302" s="882"/>
      <c r="P302" s="882"/>
      <c r="Q302" s="888"/>
      <c r="R302" s="888"/>
      <c r="S302" s="882"/>
      <c r="T302" s="888"/>
      <c r="U302" s="882"/>
      <c r="V302" s="887"/>
      <c r="W302" s="888"/>
      <c r="X302" s="882"/>
      <c r="Y302" s="888"/>
      <c r="Z302" s="882"/>
      <c r="AA302" s="882"/>
      <c r="AB302" s="882">
        <v>5</v>
      </c>
      <c r="AC302" s="882"/>
      <c r="AD302" s="882"/>
      <c r="AE302" s="882"/>
      <c r="AF302" s="882"/>
      <c r="AG302" s="882"/>
      <c r="AH302" s="882"/>
      <c r="AI302" s="882"/>
      <c r="AJ302" s="882"/>
      <c r="AK302" s="882"/>
      <c r="AL302" s="889"/>
    </row>
    <row r="303" spans="1:38" s="890" customFormat="1">
      <c r="A303" s="882"/>
      <c r="B303" s="891"/>
      <c r="C303" s="882">
        <f t="shared" si="27"/>
        <v>299</v>
      </c>
      <c r="D303" s="883">
        <v>4671</v>
      </c>
      <c r="E303" s="884" t="str">
        <f>IFERROR(VLOOKUP(Table2[[#This Row],[Player No]],Table10[[No]:[Province]],2,0),"")</f>
        <v xml:space="preserve">KATZEF Stephen </v>
      </c>
      <c r="F303" s="885" t="str">
        <f>IFERROR(VLOOKUP(Table2[[#This Row],[Player No]],Table10[[No]:[Province]],3,0),"")</f>
        <v>CT</v>
      </c>
      <c r="G303" s="892">
        <v>5</v>
      </c>
      <c r="H303" s="886">
        <f>(Table2[[#This Row],[Points 2025]]/2)+SUM(Table2[[#This Row],[O1  ADMIN 2026]:[P2    CAPE TOWN OPEN 2026 ]])</f>
        <v>2.5</v>
      </c>
      <c r="I303" s="880">
        <f t="shared" si="26"/>
        <v>0</v>
      </c>
      <c r="J303" s="882">
        <f t="shared" si="28"/>
        <v>0</v>
      </c>
      <c r="K303" s="887" t="s">
        <v>6083</v>
      </c>
      <c r="L303" s="887" t="s">
        <v>6083</v>
      </c>
      <c r="M303" s="887" t="s">
        <v>6083</v>
      </c>
      <c r="N303" s="887"/>
      <c r="O303" s="882"/>
      <c r="P303" s="882"/>
      <c r="Q303" s="888"/>
      <c r="R303" s="888"/>
      <c r="S303" s="882"/>
      <c r="T303" s="888"/>
      <c r="U303" s="882"/>
      <c r="V303" s="887"/>
      <c r="W303" s="888"/>
      <c r="X303" s="882"/>
      <c r="Y303" s="888"/>
      <c r="Z303" s="882"/>
      <c r="AA303" s="882"/>
      <c r="AB303" s="882">
        <v>5</v>
      </c>
      <c r="AC303" s="882"/>
      <c r="AD303" s="882"/>
      <c r="AE303" s="882"/>
      <c r="AF303" s="882"/>
      <c r="AG303" s="882"/>
      <c r="AH303" s="882"/>
      <c r="AI303" s="882"/>
      <c r="AJ303" s="882"/>
      <c r="AK303" s="882"/>
      <c r="AL303" s="889"/>
    </row>
    <row r="304" spans="1:38" s="890" customFormat="1">
      <c r="A304" s="882"/>
      <c r="B304" s="891"/>
      <c r="C304" s="882">
        <f t="shared" si="27"/>
        <v>300</v>
      </c>
      <c r="D304" s="883">
        <v>4672</v>
      </c>
      <c r="E304" s="884" t="str">
        <f>IFERROR(VLOOKUP(Table2[[#This Row],[Player No]],Table10[[No]:[Province]],2,0),"")</f>
        <v xml:space="preserve">CRONJE Abraham </v>
      </c>
      <c r="F304" s="885" t="str">
        <f>IFERROR(VLOOKUP(Table2[[#This Row],[Player No]],Table10[[No]:[Province]],3,0),"")</f>
        <v>CT</v>
      </c>
      <c r="G304" s="892">
        <v>5</v>
      </c>
      <c r="H304" s="886">
        <f>(Table2[[#This Row],[Points 2025]]/2)+SUM(Table2[[#This Row],[O1  ADMIN 2026]:[P2    CAPE TOWN OPEN 2026 ]])</f>
        <v>2.5</v>
      </c>
      <c r="I304" s="880">
        <f t="shared" si="26"/>
        <v>0</v>
      </c>
      <c r="J304" s="882">
        <f t="shared" si="28"/>
        <v>0</v>
      </c>
      <c r="K304" s="887" t="s">
        <v>6083</v>
      </c>
      <c r="L304" s="887" t="s">
        <v>6083</v>
      </c>
      <c r="M304" s="887" t="s">
        <v>6083</v>
      </c>
      <c r="N304" s="887"/>
      <c r="O304" s="882"/>
      <c r="P304" s="882"/>
      <c r="Q304" s="888"/>
      <c r="R304" s="888"/>
      <c r="S304" s="882"/>
      <c r="T304" s="888"/>
      <c r="U304" s="882"/>
      <c r="V304" s="887"/>
      <c r="W304" s="888"/>
      <c r="X304" s="882"/>
      <c r="Y304" s="888"/>
      <c r="Z304" s="882"/>
      <c r="AA304" s="882"/>
      <c r="AB304" s="882">
        <v>5</v>
      </c>
      <c r="AC304" s="882"/>
      <c r="AD304" s="882"/>
      <c r="AE304" s="882"/>
      <c r="AF304" s="882"/>
      <c r="AG304" s="882"/>
      <c r="AH304" s="882"/>
      <c r="AI304" s="882"/>
      <c r="AJ304" s="882"/>
      <c r="AK304" s="882"/>
      <c r="AL304" s="889"/>
    </row>
    <row r="305" spans="1:38" s="890" customFormat="1">
      <c r="A305" s="882"/>
      <c r="B305" s="891"/>
      <c r="C305" s="882">
        <f t="shared" si="27"/>
        <v>301</v>
      </c>
      <c r="D305" s="883">
        <v>4673</v>
      </c>
      <c r="E305" s="884" t="str">
        <f>IFERROR(VLOOKUP(Table2[[#This Row],[Player No]],Table10[[No]:[Province]],2,0),"")</f>
        <v xml:space="preserve">HASSAN Yaseen </v>
      </c>
      <c r="F305" s="885" t="str">
        <f>IFERROR(VLOOKUP(Table2[[#This Row],[Player No]],Table10[[No]:[Province]],3,0),"")</f>
        <v>CT</v>
      </c>
      <c r="G305" s="892">
        <v>5</v>
      </c>
      <c r="H305" s="886">
        <f>(Table2[[#This Row],[Points 2025]]/2)+SUM(Table2[[#This Row],[O1  ADMIN 2026]:[P2    CAPE TOWN OPEN 2026 ]])</f>
        <v>2.5</v>
      </c>
      <c r="I305" s="880">
        <f t="shared" si="26"/>
        <v>0</v>
      </c>
      <c r="J305" s="882">
        <f t="shared" si="28"/>
        <v>0</v>
      </c>
      <c r="K305" s="887" t="s">
        <v>6083</v>
      </c>
      <c r="L305" s="887" t="s">
        <v>6083</v>
      </c>
      <c r="M305" s="887" t="s">
        <v>6083</v>
      </c>
      <c r="N305" s="887"/>
      <c r="O305" s="882"/>
      <c r="P305" s="882"/>
      <c r="Q305" s="888"/>
      <c r="R305" s="888"/>
      <c r="S305" s="882"/>
      <c r="T305" s="888"/>
      <c r="U305" s="882"/>
      <c r="V305" s="887"/>
      <c r="W305" s="888"/>
      <c r="X305" s="882"/>
      <c r="Y305" s="888"/>
      <c r="Z305" s="882"/>
      <c r="AA305" s="882"/>
      <c r="AB305" s="882">
        <v>5</v>
      </c>
      <c r="AC305" s="882"/>
      <c r="AD305" s="882"/>
      <c r="AE305" s="882"/>
      <c r="AF305" s="882"/>
      <c r="AG305" s="882"/>
      <c r="AH305" s="882"/>
      <c r="AI305" s="882"/>
      <c r="AJ305" s="882"/>
      <c r="AK305" s="882"/>
      <c r="AL305" s="889"/>
    </row>
    <row r="306" spans="1:38" s="890" customFormat="1">
      <c r="A306" s="882">
        <v>461</v>
      </c>
      <c r="B306" s="891">
        <f>+A306-C306</f>
        <v>159</v>
      </c>
      <c r="C306" s="882">
        <f t="shared" si="27"/>
        <v>302</v>
      </c>
      <c r="D306" s="883">
        <v>2550</v>
      </c>
      <c r="E306" s="884" t="str">
        <f>IFERROR(VLOOKUP(Table2[[#This Row],[Player No]],Table10[[No]:[Province]],2,0),"")</f>
        <v>VAN SENSIE Angelo</v>
      </c>
      <c r="F306" s="885" t="str">
        <f>IFERROR(VLOOKUP(Table2[[#This Row],[Player No]],Table10[[No]:[Province]],3,0),"")</f>
        <v>EC</v>
      </c>
      <c r="G306" s="892">
        <v>4.84375</v>
      </c>
      <c r="H306" s="886">
        <f>(Table2[[#This Row],[Points 2025]]/2)+SUM(Table2[[#This Row],[O1  ADMIN 2026]:[P2    CAPE TOWN OPEN 2026 ]])</f>
        <v>2.421875</v>
      </c>
      <c r="I306" s="880">
        <f t="shared" si="26"/>
        <v>0</v>
      </c>
      <c r="J306" s="882">
        <f t="shared" si="28"/>
        <v>0</v>
      </c>
      <c r="K306" s="887" t="s">
        <v>6083</v>
      </c>
      <c r="L306" s="887" t="s">
        <v>6083</v>
      </c>
      <c r="M306" s="887" t="s">
        <v>6083</v>
      </c>
      <c r="N306" s="887"/>
      <c r="O306" s="882"/>
      <c r="P306" s="882"/>
      <c r="Q306" s="888"/>
      <c r="R306" s="888"/>
      <c r="S306" s="882"/>
      <c r="T306" s="888"/>
      <c r="U306" s="882"/>
      <c r="V306" s="887">
        <v>2</v>
      </c>
      <c r="W306" s="888"/>
      <c r="X306" s="882"/>
      <c r="Y306" s="888"/>
      <c r="Z306" s="882"/>
      <c r="AA306" s="882"/>
      <c r="AB306" s="882"/>
      <c r="AC306" s="882"/>
      <c r="AD306" s="882"/>
      <c r="AE306" s="882"/>
      <c r="AF306" s="882">
        <v>5</v>
      </c>
      <c r="AG306" s="882"/>
      <c r="AH306" s="882"/>
      <c r="AI306" s="882"/>
      <c r="AJ306" s="882"/>
      <c r="AK306" s="882"/>
      <c r="AL306" s="889"/>
    </row>
    <row r="307" spans="1:38" s="890" customFormat="1">
      <c r="A307" s="882">
        <v>142</v>
      </c>
      <c r="B307" s="891">
        <f>+A307-C307</f>
        <v>-161</v>
      </c>
      <c r="C307" s="882">
        <f t="shared" si="27"/>
        <v>303</v>
      </c>
      <c r="D307" s="883">
        <v>2292</v>
      </c>
      <c r="E307" s="884" t="str">
        <f>IFERROR(VLOOKUP(Table2[[#This Row],[Player No]],Table10[[No]:[Province]],2,0),"")</f>
        <v>TIMMIE Chadley</v>
      </c>
      <c r="F307" s="885" t="str">
        <f>IFERROR(VLOOKUP(Table2[[#This Row],[Player No]],Table10[[No]:[Province]],3,0),"")</f>
        <v>CT</v>
      </c>
      <c r="G307" s="892">
        <v>4.6875</v>
      </c>
      <c r="H307" s="886">
        <f>(Table2[[#This Row],[Points 2025]]/2)+SUM(Table2[[#This Row],[O1  ADMIN 2026]:[P2    CAPE TOWN OPEN 2026 ]])</f>
        <v>2.34375</v>
      </c>
      <c r="I307" s="880">
        <f t="shared" si="26"/>
        <v>0</v>
      </c>
      <c r="J307" s="882">
        <f t="shared" si="28"/>
        <v>0</v>
      </c>
      <c r="K307" s="887" t="s">
        <v>6083</v>
      </c>
      <c r="L307" s="887" t="s">
        <v>6083</v>
      </c>
      <c r="M307" s="887" t="s">
        <v>6083</v>
      </c>
      <c r="N307" s="887"/>
      <c r="O307" s="882"/>
      <c r="P307" s="882"/>
      <c r="Q307" s="888"/>
      <c r="R307" s="888"/>
      <c r="S307" s="882"/>
      <c r="T307" s="888"/>
      <c r="U307" s="882"/>
      <c r="V307" s="887"/>
      <c r="W307" s="888"/>
      <c r="X307" s="882"/>
      <c r="Y307" s="888"/>
      <c r="Z307" s="882"/>
      <c r="AA307" s="882"/>
      <c r="AB307" s="882"/>
      <c r="AC307" s="882"/>
      <c r="AD307" s="882"/>
      <c r="AE307" s="882"/>
      <c r="AF307" s="882"/>
      <c r="AG307" s="882"/>
      <c r="AH307" s="882"/>
      <c r="AI307" s="882"/>
      <c r="AJ307" s="882"/>
      <c r="AK307" s="882"/>
      <c r="AL307" s="889"/>
    </row>
    <row r="308" spans="1:38" s="890" customFormat="1">
      <c r="A308" s="882">
        <v>250</v>
      </c>
      <c r="B308" s="891">
        <f>+A308-C308</f>
        <v>-54</v>
      </c>
      <c r="C308" s="882">
        <f t="shared" si="27"/>
        <v>304</v>
      </c>
      <c r="D308" s="883">
        <v>2470</v>
      </c>
      <c r="E308" s="884" t="str">
        <f>IFERROR(VLOOKUP(Table2[[#This Row],[Player No]],Table10[[No]:[Province]],2,0),"")</f>
        <v>PARKER Thomas</v>
      </c>
      <c r="F308" s="885" t="str">
        <f>IFERROR(VLOOKUP(Table2[[#This Row],[Player No]],Table10[[No]:[Province]],3,0),"")</f>
        <v>CT</v>
      </c>
      <c r="G308" s="892">
        <v>4.59375</v>
      </c>
      <c r="H308" s="886">
        <f>(Table2[[#This Row],[Points 2025]]/2)+SUM(Table2[[#This Row],[O1  ADMIN 2026]:[P2    CAPE TOWN OPEN 2026 ]])</f>
        <v>2.296875</v>
      </c>
      <c r="I308" s="880">
        <f t="shared" si="26"/>
        <v>0</v>
      </c>
      <c r="J308" s="882">
        <f t="shared" si="28"/>
        <v>0</v>
      </c>
      <c r="K308" s="887" t="s">
        <v>6083</v>
      </c>
      <c r="L308" s="887" t="s">
        <v>6083</v>
      </c>
      <c r="M308" s="887" t="s">
        <v>6083</v>
      </c>
      <c r="N308" s="887"/>
      <c r="O308" s="882"/>
      <c r="P308" s="882"/>
      <c r="Q308" s="888"/>
      <c r="R308" s="888"/>
      <c r="S308" s="882"/>
      <c r="T308" s="888"/>
      <c r="U308" s="882"/>
      <c r="V308" s="887"/>
      <c r="W308" s="888"/>
      <c r="X308" s="882"/>
      <c r="Y308" s="888"/>
      <c r="Z308" s="882"/>
      <c r="AA308" s="882"/>
      <c r="AB308" s="882">
        <v>2</v>
      </c>
      <c r="AC308" s="882"/>
      <c r="AD308" s="882"/>
      <c r="AE308" s="882">
        <v>2</v>
      </c>
      <c r="AF308" s="882"/>
      <c r="AG308" s="882"/>
      <c r="AH308" s="882"/>
      <c r="AI308" s="882"/>
      <c r="AJ308" s="882"/>
      <c r="AK308" s="882"/>
      <c r="AL308" s="889"/>
    </row>
    <row r="309" spans="1:38" s="890" customFormat="1">
      <c r="A309" s="882">
        <v>146</v>
      </c>
      <c r="B309" s="891">
        <f>+A309-C309</f>
        <v>-159</v>
      </c>
      <c r="C309" s="882">
        <f t="shared" si="27"/>
        <v>305</v>
      </c>
      <c r="D309" s="883">
        <v>2928</v>
      </c>
      <c r="E309" s="884" t="str">
        <f>IFERROR(VLOOKUP(Table2[[#This Row],[Player No]],Table10[[No]:[Province]],2,0),"")</f>
        <v>JOUBERT Adriaan</v>
      </c>
      <c r="F309" s="885" t="str">
        <f>IFERROR(VLOOKUP(Table2[[#This Row],[Player No]],Table10[[No]:[Province]],3,0),"")</f>
        <v>GN</v>
      </c>
      <c r="G309" s="892">
        <v>4.5</v>
      </c>
      <c r="H309" s="886">
        <f>(Table2[[#This Row],[Points 2025]]/2)+SUM(Table2[[#This Row],[O1  ADMIN 2026]:[P2    CAPE TOWN OPEN 2026 ]])</f>
        <v>2.25</v>
      </c>
      <c r="I309" s="880">
        <f t="shared" si="26"/>
        <v>0</v>
      </c>
      <c r="J309" s="882">
        <f t="shared" si="28"/>
        <v>0</v>
      </c>
      <c r="K309" s="887" t="s">
        <v>6083</v>
      </c>
      <c r="L309" s="887" t="s">
        <v>6083</v>
      </c>
      <c r="M309" s="887" t="s">
        <v>6083</v>
      </c>
      <c r="N309" s="887"/>
      <c r="O309" s="882"/>
      <c r="P309" s="882"/>
      <c r="Q309" s="888"/>
      <c r="R309" s="888"/>
      <c r="S309" s="882"/>
      <c r="T309" s="888"/>
      <c r="U309" s="882"/>
      <c r="V309" s="887"/>
      <c r="W309" s="888"/>
      <c r="X309" s="882"/>
      <c r="Y309" s="888"/>
      <c r="Z309" s="882"/>
      <c r="AA309" s="882"/>
      <c r="AB309" s="882"/>
      <c r="AC309" s="882"/>
      <c r="AD309" s="882"/>
      <c r="AE309" s="882"/>
      <c r="AF309" s="882"/>
      <c r="AG309" s="882"/>
      <c r="AH309" s="882"/>
      <c r="AI309" s="882"/>
      <c r="AJ309" s="882">
        <v>3</v>
      </c>
      <c r="AK309" s="882"/>
      <c r="AL309" s="889"/>
    </row>
    <row r="310" spans="1:38" s="890" customFormat="1">
      <c r="A310" s="882"/>
      <c r="B310" s="891"/>
      <c r="C310" s="882">
        <f t="shared" si="27"/>
        <v>306</v>
      </c>
      <c r="D310" s="883">
        <v>1578</v>
      </c>
      <c r="E310" s="884" t="str">
        <f>IFERROR(VLOOKUP(Table2[[#This Row],[Player No]],Table10[[No]:[Province]],2,0),"")</f>
        <v>SALIE Benyamin</v>
      </c>
      <c r="F310" s="885" t="str">
        <f>IFERROR(VLOOKUP(Table2[[#This Row],[Player No]],Table10[[No]:[Province]],3,0),"")</f>
        <v>GN</v>
      </c>
      <c r="G310" s="892">
        <v>0.5</v>
      </c>
      <c r="H310" s="886">
        <f>(Table2[[#This Row],[Points 2025]]/2)+SUM(Table2[[#This Row],[O1  ADMIN 2026]:[P2    CAPE TOWN OPEN 2026 ]])</f>
        <v>2.25</v>
      </c>
      <c r="I310" s="880">
        <f t="shared" si="26"/>
        <v>1</v>
      </c>
      <c r="J310" s="882">
        <f t="shared" si="28"/>
        <v>0</v>
      </c>
      <c r="K310" s="887">
        <v>2</v>
      </c>
      <c r="L310" s="887" t="s">
        <v>6083</v>
      </c>
      <c r="M310" s="887" t="s">
        <v>6083</v>
      </c>
      <c r="N310" s="887"/>
      <c r="O310" s="882"/>
      <c r="P310" s="882"/>
      <c r="Q310" s="888"/>
      <c r="R310" s="888"/>
      <c r="S310" s="882"/>
      <c r="T310" s="888"/>
      <c r="U310" s="882"/>
      <c r="V310" s="887"/>
      <c r="W310" s="888"/>
      <c r="X310" s="882">
        <v>0.5</v>
      </c>
      <c r="Y310" s="888"/>
      <c r="Z310" s="882"/>
      <c r="AA310" s="882"/>
      <c r="AB310" s="882"/>
      <c r="AC310" s="882"/>
      <c r="AD310" s="882"/>
      <c r="AE310" s="882"/>
      <c r="AF310" s="882"/>
      <c r="AG310" s="882"/>
      <c r="AH310" s="882"/>
      <c r="AI310" s="882"/>
      <c r="AJ310" s="882"/>
      <c r="AK310" s="882"/>
      <c r="AL310" s="889"/>
    </row>
    <row r="311" spans="1:38" s="890" customFormat="1">
      <c r="A311" s="882">
        <v>149</v>
      </c>
      <c r="B311" s="891">
        <f t="shared" ref="B311:B318" si="30">+A311-C311</f>
        <v>-158</v>
      </c>
      <c r="C311" s="882">
        <f t="shared" si="27"/>
        <v>307</v>
      </c>
      <c r="D311" s="883">
        <v>1040</v>
      </c>
      <c r="E311" s="884" t="str">
        <f>IFERROR(VLOOKUP(Table2[[#This Row],[Player No]],Table10[[No]:[Province]],2,0),"")</f>
        <v xml:space="preserve">MAY Shaun </v>
      </c>
      <c r="F311" s="885" t="str">
        <f>IFERROR(VLOOKUP(Table2[[#This Row],[Player No]],Table10[[No]:[Province]],3,0),"")</f>
        <v>CT</v>
      </c>
      <c r="G311" s="892">
        <v>4.40625</v>
      </c>
      <c r="H311" s="886">
        <f>(Table2[[#This Row],[Points 2025]]/2)+SUM(Table2[[#This Row],[O1  ADMIN 2026]:[P2    CAPE TOWN OPEN 2026 ]])</f>
        <v>2.203125</v>
      </c>
      <c r="I311" s="880">
        <f t="shared" si="26"/>
        <v>0</v>
      </c>
      <c r="J311" s="882">
        <f t="shared" si="28"/>
        <v>0</v>
      </c>
      <c r="K311" s="887" t="s">
        <v>6083</v>
      </c>
      <c r="L311" s="887" t="s">
        <v>6083</v>
      </c>
      <c r="M311" s="887" t="s">
        <v>6083</v>
      </c>
      <c r="N311" s="887"/>
      <c r="O311" s="882"/>
      <c r="P311" s="882"/>
      <c r="Q311" s="888"/>
      <c r="R311" s="888"/>
      <c r="S311" s="882"/>
      <c r="T311" s="888"/>
      <c r="U311" s="882"/>
      <c r="V311" s="887"/>
      <c r="W311" s="888"/>
      <c r="X311" s="882"/>
      <c r="Y311" s="888"/>
      <c r="Z311" s="882"/>
      <c r="AA311" s="882"/>
      <c r="AB311" s="882"/>
      <c r="AC311" s="882"/>
      <c r="AD311" s="882"/>
      <c r="AE311" s="882"/>
      <c r="AF311" s="882"/>
      <c r="AG311" s="882"/>
      <c r="AH311" s="882"/>
      <c r="AI311" s="882"/>
      <c r="AJ311" s="882"/>
      <c r="AK311" s="882"/>
      <c r="AL311" s="889"/>
    </row>
    <row r="312" spans="1:38" s="890" customFormat="1">
      <c r="A312" s="882">
        <v>348</v>
      </c>
      <c r="B312" s="891">
        <f t="shared" si="30"/>
        <v>40</v>
      </c>
      <c r="C312" s="882">
        <f t="shared" si="27"/>
        <v>308</v>
      </c>
      <c r="D312" s="883">
        <v>2582</v>
      </c>
      <c r="E312" s="884" t="str">
        <f>IFERROR(VLOOKUP(Table2[[#This Row],[Player No]],Table10[[No]:[Province]],2,0),"")</f>
        <v xml:space="preserve">TOFA Rafiek </v>
      </c>
      <c r="F312" s="885" t="str">
        <f>IFERROR(VLOOKUP(Table2[[#This Row],[Player No]],Table10[[No]:[Province]],3,0),"")</f>
        <v>CT</v>
      </c>
      <c r="G312" s="892">
        <v>4.359375</v>
      </c>
      <c r="H312" s="886">
        <f>(Table2[[#This Row],[Points 2025]]/2)+SUM(Table2[[#This Row],[O1  ADMIN 2026]:[P2    CAPE TOWN OPEN 2026 ]])</f>
        <v>2.1796875</v>
      </c>
      <c r="I312" s="880">
        <f t="shared" si="26"/>
        <v>0</v>
      </c>
      <c r="J312" s="882">
        <f t="shared" si="28"/>
        <v>0</v>
      </c>
      <c r="K312" s="887" t="s">
        <v>6083</v>
      </c>
      <c r="L312" s="887" t="s">
        <v>6083</v>
      </c>
      <c r="M312" s="887" t="s">
        <v>6083</v>
      </c>
      <c r="N312" s="887"/>
      <c r="O312" s="882"/>
      <c r="P312" s="882"/>
      <c r="Q312" s="888"/>
      <c r="R312" s="888"/>
      <c r="S312" s="882"/>
      <c r="T312" s="888"/>
      <c r="U312" s="882"/>
      <c r="V312" s="887"/>
      <c r="W312" s="888"/>
      <c r="X312" s="882"/>
      <c r="Y312" s="888"/>
      <c r="Z312" s="882"/>
      <c r="AA312" s="882"/>
      <c r="AB312" s="882">
        <v>2</v>
      </c>
      <c r="AC312" s="882"/>
      <c r="AD312" s="882"/>
      <c r="AE312" s="882">
        <v>3</v>
      </c>
      <c r="AF312" s="882"/>
      <c r="AG312" s="882"/>
      <c r="AH312" s="882"/>
      <c r="AI312" s="882"/>
      <c r="AJ312" s="882"/>
      <c r="AK312" s="882"/>
      <c r="AL312" s="889"/>
    </row>
    <row r="313" spans="1:38" s="890" customFormat="1">
      <c r="A313" s="882">
        <v>152</v>
      </c>
      <c r="B313" s="891">
        <f t="shared" si="30"/>
        <v>-157</v>
      </c>
      <c r="C313" s="882">
        <f t="shared" si="27"/>
        <v>309</v>
      </c>
      <c r="D313" s="883">
        <v>1210</v>
      </c>
      <c r="E313" s="884" t="str">
        <f>IFERROR(VLOOKUP(Table2[[#This Row],[Player No]],Table10[[No]:[Province]],2,0),"")</f>
        <v xml:space="preserve">STEWARD Kader </v>
      </c>
      <c r="F313" s="885" t="str">
        <f>IFERROR(VLOOKUP(Table2[[#This Row],[Player No]],Table10[[No]:[Province]],3,0),"")</f>
        <v>JTTA</v>
      </c>
      <c r="G313" s="892">
        <v>4.306640625</v>
      </c>
      <c r="H313" s="886">
        <f>(Table2[[#This Row],[Points 2025]]/2)+SUM(Table2[[#This Row],[O1  ADMIN 2026]:[P2    CAPE TOWN OPEN 2026 ]])</f>
        <v>2.1533203125</v>
      </c>
      <c r="I313" s="880">
        <f t="shared" si="26"/>
        <v>0</v>
      </c>
      <c r="J313" s="882">
        <f t="shared" si="28"/>
        <v>0</v>
      </c>
      <c r="K313" s="887" t="s">
        <v>6083</v>
      </c>
      <c r="L313" s="887" t="s">
        <v>6083</v>
      </c>
      <c r="M313" s="887" t="s">
        <v>6083</v>
      </c>
      <c r="N313" s="887"/>
      <c r="O313" s="882"/>
      <c r="P313" s="882"/>
      <c r="Q313" s="888"/>
      <c r="R313" s="888"/>
      <c r="S313" s="882"/>
      <c r="T313" s="888"/>
      <c r="U313" s="882"/>
      <c r="V313" s="887"/>
      <c r="W313" s="888"/>
      <c r="X313" s="882"/>
      <c r="Y313" s="888"/>
      <c r="Z313" s="882"/>
      <c r="AA313" s="882"/>
      <c r="AB313" s="882"/>
      <c r="AC313" s="882"/>
      <c r="AD313" s="882"/>
      <c r="AE313" s="882"/>
      <c r="AF313" s="882"/>
      <c r="AG313" s="882"/>
      <c r="AH313" s="882"/>
      <c r="AI313" s="882"/>
      <c r="AJ313" s="882"/>
      <c r="AK313" s="882"/>
      <c r="AL313" s="889"/>
    </row>
    <row r="314" spans="1:38" s="890" customFormat="1">
      <c r="A314" s="882">
        <v>241</v>
      </c>
      <c r="B314" s="891">
        <f t="shared" si="30"/>
        <v>-69</v>
      </c>
      <c r="C314" s="882">
        <f t="shared" si="27"/>
        <v>310</v>
      </c>
      <c r="D314" s="883">
        <v>2029</v>
      </c>
      <c r="E314" s="884" t="str">
        <f>IFERROR(VLOOKUP(Table2[[#This Row],[Player No]],Table10[[No]:[Province]],2,0),"")</f>
        <v>MATAKALATSE Johnny</v>
      </c>
      <c r="F314" s="885" t="str">
        <f>IFERROR(VLOOKUP(Table2[[#This Row],[Player No]],Table10[[No]:[Province]],3,0),"")</f>
        <v>SANDF</v>
      </c>
      <c r="G314" s="892">
        <v>4.28125</v>
      </c>
      <c r="H314" s="886">
        <f>(Table2[[#This Row],[Points 2025]]/2)+SUM(Table2[[#This Row],[O1  ADMIN 2026]:[P2    CAPE TOWN OPEN 2026 ]])</f>
        <v>2.140625</v>
      </c>
      <c r="I314" s="880">
        <f t="shared" si="26"/>
        <v>0</v>
      </c>
      <c r="J314" s="882">
        <f t="shared" si="28"/>
        <v>0</v>
      </c>
      <c r="K314" s="887" t="s">
        <v>6083</v>
      </c>
      <c r="L314" s="887" t="s">
        <v>6083</v>
      </c>
      <c r="M314" s="887" t="s">
        <v>6083</v>
      </c>
      <c r="N314" s="887"/>
      <c r="O314" s="882"/>
      <c r="P314" s="882"/>
      <c r="Q314" s="888"/>
      <c r="R314" s="888"/>
      <c r="S314" s="882"/>
      <c r="T314" s="888">
        <v>0</v>
      </c>
      <c r="U314" s="882"/>
      <c r="V314" s="887"/>
      <c r="W314" s="888"/>
      <c r="X314" s="882"/>
      <c r="Y314" s="888"/>
      <c r="Z314" s="882"/>
      <c r="AA314" s="882"/>
      <c r="AB314" s="882"/>
      <c r="AC314" s="882"/>
      <c r="AD314" s="882"/>
      <c r="AE314" s="882"/>
      <c r="AF314" s="882"/>
      <c r="AG314" s="882">
        <v>5</v>
      </c>
      <c r="AH314" s="882"/>
      <c r="AI314" s="882"/>
      <c r="AJ314" s="882"/>
      <c r="AK314" s="882"/>
      <c r="AL314" s="889"/>
    </row>
    <row r="315" spans="1:38" s="890" customFormat="1">
      <c r="A315" s="882">
        <v>186</v>
      </c>
      <c r="B315" s="891">
        <f t="shared" si="30"/>
        <v>-125</v>
      </c>
      <c r="C315" s="882">
        <f t="shared" si="27"/>
        <v>311</v>
      </c>
      <c r="D315" s="883">
        <v>2450</v>
      </c>
      <c r="E315" s="884" t="str">
        <f>IFERROR(VLOOKUP(Table2[[#This Row],[Player No]],Table10[[No]:[Province]],2,0),"")</f>
        <v>VAN SCHAIK CJ</v>
      </c>
      <c r="F315" s="885" t="str">
        <f>IFERROR(VLOOKUP(Table2[[#This Row],[Player No]],Table10[[No]:[Province]],3,0),"")</f>
        <v>GN</v>
      </c>
      <c r="G315" s="892">
        <v>4.15625</v>
      </c>
      <c r="H315" s="886">
        <f>(Table2[[#This Row],[Points 2025]]/2)+SUM(Table2[[#This Row],[O1  ADMIN 2026]:[P2    CAPE TOWN OPEN 2026 ]])</f>
        <v>2.078125</v>
      </c>
      <c r="I315" s="880">
        <f t="shared" si="26"/>
        <v>0</v>
      </c>
      <c r="J315" s="882">
        <f t="shared" si="28"/>
        <v>0</v>
      </c>
      <c r="K315" s="887" t="s">
        <v>6083</v>
      </c>
      <c r="L315" s="887" t="s">
        <v>6083</v>
      </c>
      <c r="M315" s="887" t="s">
        <v>6083</v>
      </c>
      <c r="N315" s="887"/>
      <c r="O315" s="882"/>
      <c r="P315" s="882"/>
      <c r="Q315" s="888"/>
      <c r="R315" s="888"/>
      <c r="S315" s="882"/>
      <c r="T315" s="888"/>
      <c r="U315" s="882"/>
      <c r="V315" s="887"/>
      <c r="W315" s="888"/>
      <c r="X315" s="882"/>
      <c r="Y315" s="888"/>
      <c r="Z315" s="882"/>
      <c r="AA315" s="882"/>
      <c r="AB315" s="882"/>
      <c r="AC315" s="882"/>
      <c r="AD315" s="882"/>
      <c r="AE315" s="882"/>
      <c r="AF315" s="882"/>
      <c r="AG315" s="882"/>
      <c r="AH315" s="882"/>
      <c r="AI315" s="882">
        <v>2</v>
      </c>
      <c r="AJ315" s="882">
        <v>5</v>
      </c>
      <c r="AK315" s="882"/>
      <c r="AL315" s="889"/>
    </row>
    <row r="316" spans="1:38" s="890" customFormat="1">
      <c r="A316" s="882">
        <v>375</v>
      </c>
      <c r="B316" s="891">
        <f t="shared" si="30"/>
        <v>63</v>
      </c>
      <c r="C316" s="882">
        <f t="shared" si="27"/>
        <v>312</v>
      </c>
      <c r="D316" s="883">
        <v>2371</v>
      </c>
      <c r="E316" s="884" t="str">
        <f>IFERROR(VLOOKUP(Table2[[#This Row],[Player No]],Table10[[No]:[Province]],2,0),"")</f>
        <v>JOHARDIEN Shahied</v>
      </c>
      <c r="F316" s="885" t="str">
        <f>IFERROR(VLOOKUP(Table2[[#This Row],[Player No]],Table10[[No]:[Province]],3,0),"")</f>
        <v>CT</v>
      </c>
      <c r="G316" s="892">
        <v>4.140625</v>
      </c>
      <c r="H316" s="886">
        <f>(Table2[[#This Row],[Points 2025]]/2)+SUM(Table2[[#This Row],[O1  ADMIN 2026]:[P2    CAPE TOWN OPEN 2026 ]])</f>
        <v>2.0703125</v>
      </c>
      <c r="I316" s="880">
        <f t="shared" si="26"/>
        <v>0</v>
      </c>
      <c r="J316" s="882">
        <f t="shared" si="28"/>
        <v>0</v>
      </c>
      <c r="K316" s="887" t="s">
        <v>6083</v>
      </c>
      <c r="L316" s="887" t="s">
        <v>6083</v>
      </c>
      <c r="M316" s="887" t="s">
        <v>6083</v>
      </c>
      <c r="N316" s="887"/>
      <c r="O316" s="882"/>
      <c r="P316" s="882"/>
      <c r="Q316" s="888"/>
      <c r="R316" s="888"/>
      <c r="S316" s="882"/>
      <c r="T316" s="888"/>
      <c r="U316" s="882"/>
      <c r="V316" s="887"/>
      <c r="W316" s="888"/>
      <c r="X316" s="882"/>
      <c r="Y316" s="888"/>
      <c r="Z316" s="882"/>
      <c r="AA316" s="882"/>
      <c r="AB316" s="882">
        <v>2</v>
      </c>
      <c r="AC316" s="882"/>
      <c r="AD316" s="882"/>
      <c r="AE316" s="882">
        <v>3</v>
      </c>
      <c r="AF316" s="882"/>
      <c r="AG316" s="882"/>
      <c r="AH316" s="882"/>
      <c r="AI316" s="882"/>
      <c r="AJ316" s="882"/>
      <c r="AK316" s="882"/>
      <c r="AL316" s="889"/>
    </row>
    <row r="317" spans="1:38" s="890" customFormat="1">
      <c r="A317" s="882">
        <v>251</v>
      </c>
      <c r="B317" s="891">
        <f t="shared" si="30"/>
        <v>-62</v>
      </c>
      <c r="C317" s="882">
        <f t="shared" si="27"/>
        <v>313</v>
      </c>
      <c r="D317" s="883">
        <v>1974</v>
      </c>
      <c r="E317" s="884" t="str">
        <f>IFERROR(VLOOKUP(Table2[[#This Row],[Player No]],Table10[[No]:[Province]],2,0),"")</f>
        <v>McCarthy David</v>
      </c>
      <c r="F317" s="885" t="str">
        <f>IFERROR(VLOOKUP(Table2[[#This Row],[Player No]],Table10[[No]:[Province]],3,0),"")</f>
        <v>EDEN</v>
      </c>
      <c r="G317" s="892">
        <v>4.09375</v>
      </c>
      <c r="H317" s="886">
        <f>(Table2[[#This Row],[Points 2025]]/2)+SUM(Table2[[#This Row],[O1  ADMIN 2026]:[P2    CAPE TOWN OPEN 2026 ]])</f>
        <v>2.046875</v>
      </c>
      <c r="I317" s="880">
        <f t="shared" si="26"/>
        <v>0</v>
      </c>
      <c r="J317" s="882">
        <f t="shared" si="28"/>
        <v>0</v>
      </c>
      <c r="K317" s="887" t="s">
        <v>6083</v>
      </c>
      <c r="L317" s="887" t="s">
        <v>6083</v>
      </c>
      <c r="M317" s="887" t="s">
        <v>6083</v>
      </c>
      <c r="N317" s="887"/>
      <c r="O317" s="882"/>
      <c r="P317" s="882"/>
      <c r="Q317" s="888"/>
      <c r="R317" s="888"/>
      <c r="S317" s="882"/>
      <c r="T317" s="888"/>
      <c r="U317" s="882"/>
      <c r="V317" s="887"/>
      <c r="W317" s="888"/>
      <c r="X317" s="882"/>
      <c r="Y317" s="888"/>
      <c r="Z317" s="882"/>
      <c r="AA317" s="882"/>
      <c r="AB317" s="882"/>
      <c r="AC317" s="882"/>
      <c r="AD317" s="882"/>
      <c r="AE317" s="882"/>
      <c r="AF317" s="882">
        <v>5</v>
      </c>
      <c r="AG317" s="882"/>
      <c r="AH317" s="882"/>
      <c r="AI317" s="882"/>
      <c r="AJ317" s="882"/>
      <c r="AK317" s="882"/>
      <c r="AL317" s="889"/>
    </row>
    <row r="318" spans="1:38" s="890" customFormat="1">
      <c r="A318" s="882">
        <v>188</v>
      </c>
      <c r="B318" s="891">
        <f t="shared" si="30"/>
        <v>-126</v>
      </c>
      <c r="C318" s="882">
        <f t="shared" si="27"/>
        <v>314</v>
      </c>
      <c r="D318" s="883">
        <v>1085</v>
      </c>
      <c r="E318" s="884" t="str">
        <f>IFERROR(VLOOKUP(Table2[[#This Row],[Player No]],Table10[[No]:[Province]],2,0),"")</f>
        <v xml:space="preserve">JOOSTE Hennie </v>
      </c>
      <c r="F318" s="885" t="str">
        <f>IFERROR(VLOOKUP(Table2[[#This Row],[Player No]],Table10[[No]:[Province]],3,0),"")</f>
        <v>SANDF</v>
      </c>
      <c r="G318" s="892">
        <v>4.044921875</v>
      </c>
      <c r="H318" s="886">
        <f>(Table2[[#This Row],[Points 2025]]/2)+SUM(Table2[[#This Row],[O1  ADMIN 2026]:[P2    CAPE TOWN OPEN 2026 ]])</f>
        <v>2.0224609375</v>
      </c>
      <c r="I318" s="880">
        <f t="shared" si="26"/>
        <v>0</v>
      </c>
      <c r="J318" s="882">
        <f t="shared" si="28"/>
        <v>0</v>
      </c>
      <c r="K318" s="887" t="s">
        <v>6083</v>
      </c>
      <c r="L318" s="887" t="s">
        <v>6083</v>
      </c>
      <c r="M318" s="887" t="s">
        <v>6083</v>
      </c>
      <c r="N318" s="887"/>
      <c r="O318" s="882"/>
      <c r="P318" s="882"/>
      <c r="Q318" s="888"/>
      <c r="R318" s="888"/>
      <c r="S318" s="882"/>
      <c r="T318" s="888"/>
      <c r="U318" s="882"/>
      <c r="V318" s="887"/>
      <c r="W318" s="888"/>
      <c r="X318" s="882"/>
      <c r="Y318" s="888"/>
      <c r="Z318" s="882"/>
      <c r="AA318" s="882"/>
      <c r="AB318" s="882"/>
      <c r="AC318" s="882"/>
      <c r="AD318" s="882"/>
      <c r="AE318" s="882"/>
      <c r="AF318" s="882">
        <v>2</v>
      </c>
      <c r="AG318" s="882"/>
      <c r="AH318" s="882"/>
      <c r="AI318" s="882"/>
      <c r="AJ318" s="882"/>
      <c r="AK318" s="882"/>
      <c r="AL318" s="889"/>
    </row>
    <row r="319" spans="1:38" s="890" customFormat="1">
      <c r="A319" s="882"/>
      <c r="B319" s="891"/>
      <c r="C319" s="882">
        <f t="shared" si="27"/>
        <v>315</v>
      </c>
      <c r="D319" s="894">
        <v>1105</v>
      </c>
      <c r="E319" s="884" t="str">
        <f>IFERROR(VLOOKUP(Table2[[#This Row],[Player No]],Table10[[No]:[Province]],2,0),"")</f>
        <v xml:space="preserve">RAMJATHAN Varshanth </v>
      </c>
      <c r="F319" s="885" t="str">
        <f>IFERROR(VLOOKUP(Table2[[#This Row],[Player No]],Table10[[No]:[Province]],3,0),"")</f>
        <v>ETTA</v>
      </c>
      <c r="G319" s="892">
        <v>4</v>
      </c>
      <c r="H319" s="886">
        <f>(Table2[[#This Row],[Points 2025]]/2)+SUM(Table2[[#This Row],[O1  ADMIN 2026]:[P2    CAPE TOWN OPEN 2026 ]])</f>
        <v>2</v>
      </c>
      <c r="I319" s="880">
        <f t="shared" si="26"/>
        <v>0</v>
      </c>
      <c r="J319" s="882">
        <f t="shared" si="28"/>
        <v>0</v>
      </c>
      <c r="K319" s="887" t="s">
        <v>6083</v>
      </c>
      <c r="L319" s="887" t="s">
        <v>6083</v>
      </c>
      <c r="M319" s="887" t="s">
        <v>6083</v>
      </c>
      <c r="N319" s="887"/>
      <c r="O319" s="882"/>
      <c r="P319" s="882"/>
      <c r="Q319" s="888"/>
      <c r="R319" s="888"/>
      <c r="S319" s="882"/>
      <c r="T319" s="888"/>
      <c r="U319" s="882"/>
      <c r="V319" s="887"/>
      <c r="W319" s="888"/>
      <c r="X319" s="882"/>
      <c r="Y319" s="888">
        <v>4</v>
      </c>
      <c r="Z319" s="882"/>
      <c r="AA319" s="882"/>
      <c r="AB319" s="882"/>
      <c r="AC319" s="882"/>
      <c r="AD319" s="882"/>
      <c r="AE319" s="882"/>
      <c r="AF319" s="882"/>
      <c r="AG319" s="882"/>
      <c r="AH319" s="882"/>
      <c r="AI319" s="882"/>
      <c r="AJ319" s="882"/>
      <c r="AK319" s="882"/>
      <c r="AL319" s="889"/>
    </row>
    <row r="320" spans="1:38" s="890" customFormat="1">
      <c r="A320" s="882"/>
      <c r="B320" s="891"/>
      <c r="C320" s="882">
        <f t="shared" si="27"/>
        <v>316</v>
      </c>
      <c r="D320" s="883">
        <v>3461</v>
      </c>
      <c r="E320" s="884" t="str">
        <f>IFERROR(VLOOKUP(Table2[[#This Row],[Player No]],Table10[[No]:[Province]],2,0),"")</f>
        <v>VAN DER MERWE Ruan</v>
      </c>
      <c r="F320" s="885" t="str">
        <f>IFERROR(VLOOKUP(Table2[[#This Row],[Player No]],Table10[[No]:[Province]],3,0),"")</f>
        <v>GN</v>
      </c>
      <c r="G320" s="892">
        <v>4</v>
      </c>
      <c r="H320" s="886">
        <f>(Table2[[#This Row],[Points 2025]]/2)+SUM(Table2[[#This Row],[O1  ADMIN 2026]:[P2    CAPE TOWN OPEN 2026 ]])</f>
        <v>2</v>
      </c>
      <c r="I320" s="880">
        <f t="shared" si="26"/>
        <v>0</v>
      </c>
      <c r="J320" s="882">
        <f t="shared" si="28"/>
        <v>0</v>
      </c>
      <c r="K320" s="887" t="s">
        <v>6083</v>
      </c>
      <c r="L320" s="887" t="s">
        <v>6083</v>
      </c>
      <c r="M320" s="887" t="s">
        <v>6083</v>
      </c>
      <c r="N320" s="887"/>
      <c r="O320" s="882"/>
      <c r="P320" s="882"/>
      <c r="Q320" s="888"/>
      <c r="R320" s="888"/>
      <c r="S320" s="882"/>
      <c r="T320" s="888"/>
      <c r="U320" s="882"/>
      <c r="V320" s="887"/>
      <c r="W320" s="888"/>
      <c r="X320" s="882"/>
      <c r="Y320" s="888">
        <v>1</v>
      </c>
      <c r="Z320" s="882">
        <v>3</v>
      </c>
      <c r="AA320" s="882"/>
      <c r="AB320" s="882"/>
      <c r="AC320" s="882"/>
      <c r="AD320" s="882"/>
      <c r="AE320" s="882"/>
      <c r="AF320" s="882"/>
      <c r="AG320" s="882"/>
      <c r="AH320" s="882"/>
      <c r="AI320" s="882"/>
      <c r="AJ320" s="882"/>
      <c r="AK320" s="882"/>
      <c r="AL320" s="889"/>
    </row>
    <row r="321" spans="1:38" s="890" customFormat="1">
      <c r="A321" s="882">
        <v>264</v>
      </c>
      <c r="B321" s="891">
        <f>+A321-C321</f>
        <v>-53</v>
      </c>
      <c r="C321" s="882">
        <f t="shared" si="27"/>
        <v>317</v>
      </c>
      <c r="D321" s="883">
        <v>3822</v>
      </c>
      <c r="E321" s="884" t="str">
        <f>IFERROR(VLOOKUP(Table2[[#This Row],[Player No]],Table10[[No]:[Province]],2,0),"")</f>
        <v>LOW Han Zhen</v>
      </c>
      <c r="F321" s="885" t="str">
        <f>IFERROR(VLOOKUP(Table2[[#This Row],[Player No]],Table10[[No]:[Province]],3,0),"")</f>
        <v>JTTA</v>
      </c>
      <c r="G321" s="892">
        <v>4</v>
      </c>
      <c r="H321" s="886">
        <f>(Table2[[#This Row],[Points 2025]]/2)+SUM(Table2[[#This Row],[O1  ADMIN 2026]:[P2    CAPE TOWN OPEN 2026 ]])</f>
        <v>2</v>
      </c>
      <c r="I321" s="880">
        <f t="shared" si="26"/>
        <v>0</v>
      </c>
      <c r="J321" s="882">
        <f t="shared" si="28"/>
        <v>0</v>
      </c>
      <c r="K321" s="887" t="s">
        <v>6083</v>
      </c>
      <c r="L321" s="887" t="s">
        <v>6083</v>
      </c>
      <c r="M321" s="887" t="s">
        <v>6083</v>
      </c>
      <c r="N321" s="887"/>
      <c r="O321" s="882"/>
      <c r="P321" s="882"/>
      <c r="Q321" s="888"/>
      <c r="R321" s="888"/>
      <c r="S321" s="882"/>
      <c r="T321" s="888"/>
      <c r="U321" s="882"/>
      <c r="V321" s="887"/>
      <c r="W321" s="888"/>
      <c r="X321" s="882"/>
      <c r="Y321" s="888"/>
      <c r="Z321" s="882"/>
      <c r="AA321" s="882"/>
      <c r="AB321" s="882"/>
      <c r="AC321" s="882"/>
      <c r="AD321" s="882"/>
      <c r="AE321" s="882"/>
      <c r="AF321" s="882"/>
      <c r="AG321" s="882"/>
      <c r="AH321" s="882"/>
      <c r="AI321" s="882">
        <v>5</v>
      </c>
      <c r="AJ321" s="882">
        <v>3</v>
      </c>
      <c r="AK321" s="882"/>
      <c r="AL321" s="889"/>
    </row>
    <row r="322" spans="1:38" s="890" customFormat="1">
      <c r="A322" s="882"/>
      <c r="B322" s="891"/>
      <c r="C322" s="882">
        <f t="shared" si="27"/>
        <v>318</v>
      </c>
      <c r="D322" s="883">
        <v>3514</v>
      </c>
      <c r="E322" s="884" t="str">
        <f>IFERROR(VLOOKUP(Table2[[#This Row],[Player No]],Table10[[No]:[Province]],2,0),"")</f>
        <v>PERUMAL Kiaran</v>
      </c>
      <c r="F322" s="885" t="str">
        <f>IFERROR(VLOOKUP(Table2[[#This Row],[Player No]],Table10[[No]:[Province]],3,0),"")</f>
        <v>UMG</v>
      </c>
      <c r="G322" s="892">
        <v>2</v>
      </c>
      <c r="H322" s="886">
        <f>(Table2[[#This Row],[Points 2025]]/2)+SUM(Table2[[#This Row],[O1  ADMIN 2026]:[P2    CAPE TOWN OPEN 2026 ]])</f>
        <v>2</v>
      </c>
      <c r="I322" s="880">
        <f t="shared" si="26"/>
        <v>1</v>
      </c>
      <c r="J322" s="882">
        <f t="shared" si="28"/>
        <v>0</v>
      </c>
      <c r="K322" s="887" t="s">
        <v>6083</v>
      </c>
      <c r="L322" s="887" t="s">
        <v>6083</v>
      </c>
      <c r="M322" s="887">
        <v>1</v>
      </c>
      <c r="N322" s="887"/>
      <c r="O322" s="882"/>
      <c r="P322" s="882"/>
      <c r="Q322" s="888">
        <v>1</v>
      </c>
      <c r="R322" s="888">
        <v>1</v>
      </c>
      <c r="S322" s="882"/>
      <c r="T322" s="888"/>
      <c r="U322" s="882"/>
      <c r="V322" s="887"/>
      <c r="W322" s="888"/>
      <c r="X322" s="882"/>
      <c r="Y322" s="888"/>
      <c r="Z322" s="882"/>
      <c r="AA322" s="882"/>
      <c r="AB322" s="882"/>
      <c r="AC322" s="882"/>
      <c r="AD322" s="882"/>
      <c r="AE322" s="882"/>
      <c r="AF322" s="882"/>
      <c r="AG322" s="882"/>
      <c r="AH322" s="882"/>
      <c r="AI322" s="882"/>
      <c r="AJ322" s="882"/>
      <c r="AK322" s="882"/>
      <c r="AL322" s="889"/>
    </row>
    <row r="323" spans="1:38" s="890" customFormat="1">
      <c r="A323" s="882"/>
      <c r="B323" s="891"/>
      <c r="C323" s="882">
        <f t="shared" si="27"/>
        <v>319</v>
      </c>
      <c r="D323" s="883">
        <v>4200</v>
      </c>
      <c r="E323" s="884" t="str">
        <f>IFERROR(VLOOKUP(Table2[[#This Row],[Player No]],Table10[[No]:[Province]],2,0),"")</f>
        <v>Depesh Bhoola</v>
      </c>
      <c r="F323" s="885" t="str">
        <f>IFERROR(VLOOKUP(Table2[[#This Row],[Player No]],Table10[[No]:[Province]],3,0),"")</f>
        <v>UMG</v>
      </c>
      <c r="G323" s="892">
        <v>2</v>
      </c>
      <c r="H323" s="886">
        <f>(Table2[[#This Row],[Points 2025]]/2)+SUM(Table2[[#This Row],[O1  ADMIN 2026]:[P2    CAPE TOWN OPEN 2026 ]])</f>
        <v>2</v>
      </c>
      <c r="I323" s="880">
        <f t="shared" si="26"/>
        <v>1</v>
      </c>
      <c r="J323" s="882">
        <f t="shared" si="28"/>
        <v>0</v>
      </c>
      <c r="K323" s="887" t="s">
        <v>6083</v>
      </c>
      <c r="L323" s="887" t="s">
        <v>6083</v>
      </c>
      <c r="M323" s="887">
        <v>1</v>
      </c>
      <c r="N323" s="887"/>
      <c r="O323" s="882"/>
      <c r="P323" s="882">
        <v>1</v>
      </c>
      <c r="Q323" s="888"/>
      <c r="R323" s="888"/>
      <c r="S323" s="882">
        <v>1</v>
      </c>
      <c r="T323" s="888"/>
      <c r="U323" s="882"/>
      <c r="V323" s="887"/>
      <c r="W323" s="888"/>
      <c r="X323" s="882"/>
      <c r="Y323" s="888"/>
      <c r="Z323" s="882"/>
      <c r="AA323" s="882"/>
      <c r="AB323" s="882"/>
      <c r="AC323" s="882"/>
      <c r="AD323" s="882"/>
      <c r="AE323" s="882"/>
      <c r="AF323" s="882"/>
      <c r="AG323" s="882"/>
      <c r="AH323" s="882"/>
      <c r="AI323" s="882"/>
      <c r="AJ323" s="882"/>
      <c r="AK323" s="882"/>
      <c r="AL323" s="889"/>
    </row>
    <row r="324" spans="1:38" s="890" customFormat="1">
      <c r="A324" s="1011"/>
      <c r="B324" s="1014">
        <f t="shared" ref="B324:B346" si="31">+A324-C324</f>
        <v>-320</v>
      </c>
      <c r="C324" s="882">
        <f t="shared" si="27"/>
        <v>320</v>
      </c>
      <c r="D324" s="1018">
        <v>3785</v>
      </c>
      <c r="E324" s="884" t="str">
        <f>IFERROR(VLOOKUP(Table2[[#This Row],[Player No]],Table10[[No]:[Province]],2,0),"")</f>
        <v>RAZIYA Lihle</v>
      </c>
      <c r="F324" s="885" t="str">
        <f>IFERROR(VLOOKUP(Table2[[#This Row],[Player No]],Table10[[No]:[Province]],3,0),"")</f>
        <v>EKU</v>
      </c>
      <c r="G324" s="892">
        <v>0</v>
      </c>
      <c r="H324" s="886">
        <f>(Table2[[#This Row],[Points 2025]]/2)+SUM(Table2[[#This Row],[O1  ADMIN 2026]:[P2    CAPE TOWN OPEN 2026 ]])</f>
        <v>2</v>
      </c>
      <c r="I324" s="1032">
        <f t="shared" si="26"/>
        <v>1</v>
      </c>
      <c r="J324" s="1011">
        <f>COUNTIF(O324:AB324,"&lt;0")</f>
        <v>0</v>
      </c>
      <c r="K324" s="1006">
        <f>IFERROR(VALUE(IF(Table2[[#This Row],[Player No]]="","",IFERROR(VLOOKUP(Table2[[#This Row],[Player No]],[3]Men!$D$2:$E$48,2,FALSE)&amp;"",""))),"")</f>
        <v>2</v>
      </c>
      <c r="L324" s="887" t="str">
        <f>IFERROR(VALUE(IF(Table2[[#This Row],[Player No]]="","",IFERROR(VLOOKUP(Table2[[#This Row],[Player No]],[4]Men!$Z$14:$AB$62,2,FALSE)&amp;"",""))),"")</f>
        <v/>
      </c>
      <c r="M324" s="887" t="str">
        <f>IF(Table2[[#This Row],[Player No]]="","",IFERROR(VLOOKUP(Table2[[#This Row],[Player No]],[2]Men!$Z$14:$AB$96,2,FALSE)&amp;"",""))</f>
        <v/>
      </c>
      <c r="N324" s="887"/>
      <c r="O324" s="882"/>
      <c r="P324" s="882"/>
      <c r="Q324" s="888"/>
      <c r="R324" s="888"/>
      <c r="S324" s="882"/>
      <c r="T324" s="888"/>
      <c r="U324" s="882"/>
      <c r="V324" s="887"/>
      <c r="W324" s="888"/>
      <c r="X324" s="882"/>
      <c r="Y324" s="888"/>
      <c r="Z324" s="882"/>
      <c r="AA324" s="882"/>
      <c r="AB324" s="882"/>
      <c r="AC324" s="882"/>
      <c r="AD324" s="882"/>
      <c r="AE324" s="882"/>
      <c r="AF324" s="882"/>
      <c r="AG324" s="882"/>
      <c r="AH324" s="882"/>
      <c r="AI324" s="882"/>
      <c r="AJ324" s="882"/>
      <c r="AK324" s="882"/>
      <c r="AL324" s="889"/>
    </row>
    <row r="325" spans="1:38" s="890" customFormat="1">
      <c r="A325" s="1011"/>
      <c r="B325" s="1014">
        <f t="shared" si="31"/>
        <v>-321</v>
      </c>
      <c r="C325" s="882">
        <f t="shared" si="27"/>
        <v>321</v>
      </c>
      <c r="D325" s="1018">
        <v>4309</v>
      </c>
      <c r="E325" s="884" t="str">
        <f>IFERROR(VLOOKUP(Table2[[#This Row],[Player No]],Table10[[No]:[Province]],2,0),"")</f>
        <v xml:space="preserve">Mnikelo Dry </v>
      </c>
      <c r="F325" s="885" t="str">
        <f>IFERROR(VLOOKUP(Table2[[#This Row],[Player No]],Table10[[No]:[Province]],3,0),"")</f>
        <v>FS</v>
      </c>
      <c r="G325" s="892">
        <v>0</v>
      </c>
      <c r="H325" s="886">
        <f>(Table2[[#This Row],[Points 2025]]/2)+SUM(Table2[[#This Row],[O1  ADMIN 2026]:[P2    CAPE TOWN OPEN 2026 ]])</f>
        <v>2</v>
      </c>
      <c r="I325" s="1032">
        <f t="shared" ref="I325:I388" si="32">COUNTIF(K325:N325,"&gt;0")</f>
        <v>1</v>
      </c>
      <c r="J325" s="1011">
        <f>COUNTIF(O325:AB325,"&lt;0")</f>
        <v>0</v>
      </c>
      <c r="K325" s="1006">
        <f>IFERROR(VALUE(IF(Table2[[#This Row],[Player No]]="","",IFERROR(VLOOKUP(Table2[[#This Row],[Player No]],[3]Men!$D$2:$E$48,2,FALSE)&amp;"",""))),"")</f>
        <v>2</v>
      </c>
      <c r="L325" s="887" t="str">
        <f>IFERROR(VALUE(IF(Table2[[#This Row],[Player No]]="","",IFERROR(VLOOKUP(Table2[[#This Row],[Player No]],[4]Men!$Z$14:$AB$62,2,FALSE)&amp;"",""))),"")</f>
        <v/>
      </c>
      <c r="M325" s="887" t="str">
        <f>IF(Table2[[#This Row],[Player No]]="","",IFERROR(VLOOKUP(Table2[[#This Row],[Player No]],[2]Men!$Z$14:$AB$96,2,FALSE)&amp;"",""))</f>
        <v/>
      </c>
      <c r="N325" s="887"/>
      <c r="O325" s="882"/>
      <c r="P325" s="882"/>
      <c r="Q325" s="888"/>
      <c r="R325" s="888"/>
      <c r="S325" s="882"/>
      <c r="T325" s="888"/>
      <c r="U325" s="882"/>
      <c r="V325" s="887"/>
      <c r="W325" s="888"/>
      <c r="X325" s="882"/>
      <c r="Y325" s="888"/>
      <c r="Z325" s="882"/>
      <c r="AA325" s="882"/>
      <c r="AB325" s="882"/>
      <c r="AC325" s="882"/>
      <c r="AD325" s="882"/>
      <c r="AE325" s="882"/>
      <c r="AF325" s="882"/>
      <c r="AG325" s="882"/>
      <c r="AH325" s="882"/>
      <c r="AI325" s="882"/>
      <c r="AJ325" s="882"/>
      <c r="AK325" s="882"/>
      <c r="AL325" s="889"/>
    </row>
    <row r="326" spans="1:38" s="890" customFormat="1">
      <c r="A326" s="1011"/>
      <c r="B326" s="1014">
        <f t="shared" si="31"/>
        <v>-322</v>
      </c>
      <c r="C326" s="882">
        <f t="shared" ref="C326:C389" si="33">C325+1</f>
        <v>322</v>
      </c>
      <c r="D326" s="1018">
        <v>4820</v>
      </c>
      <c r="E326" s="884" t="str">
        <f>IFERROR(VLOOKUP(Table2[[#This Row],[Player No]],Table10[[No]:[Province]],2,0),"")</f>
        <v>VAN DIJK Henk</v>
      </c>
      <c r="F326" s="885" t="str">
        <f>IFERROR(VLOOKUP(Table2[[#This Row],[Player No]],Table10[[No]:[Province]],3,0),"")</f>
        <v>GN</v>
      </c>
      <c r="G326" s="892">
        <v>0</v>
      </c>
      <c r="H326" s="886">
        <f>(Table2[[#This Row],[Points 2025]]/2)+SUM(Table2[[#This Row],[O1  ADMIN 2026]:[P2    CAPE TOWN OPEN 2026 ]])</f>
        <v>2</v>
      </c>
      <c r="I326" s="1032">
        <f t="shared" si="32"/>
        <v>1</v>
      </c>
      <c r="J326" s="1011">
        <f>COUNTIF(O326:AB326,"&lt;0")</f>
        <v>0</v>
      </c>
      <c r="K326" s="1006">
        <f>IFERROR(VALUE(IF(Table2[[#This Row],[Player No]]="","",IFERROR(VLOOKUP(Table2[[#This Row],[Player No]],[3]Men!$D$2:$E$48,2,FALSE)&amp;"",""))),"")</f>
        <v>2</v>
      </c>
      <c r="L326" s="887" t="str">
        <f>IFERROR(VALUE(IF(Table2[[#This Row],[Player No]]="","",IFERROR(VLOOKUP(Table2[[#This Row],[Player No]],[4]Men!$Z$14:$AB$62,2,FALSE)&amp;"",""))),"")</f>
        <v/>
      </c>
      <c r="M326" s="887" t="str">
        <f>IF(Table2[[#This Row],[Player No]]="","",IFERROR(VLOOKUP(Table2[[#This Row],[Player No]],[2]Men!$Z$14:$AB$96,2,FALSE)&amp;"",""))</f>
        <v/>
      </c>
      <c r="N326" s="887"/>
      <c r="O326" s="882"/>
      <c r="P326" s="882"/>
      <c r="Q326" s="888"/>
      <c r="R326" s="888"/>
      <c r="S326" s="882"/>
      <c r="T326" s="888"/>
      <c r="U326" s="882"/>
      <c r="V326" s="887"/>
      <c r="W326" s="888"/>
      <c r="X326" s="882"/>
      <c r="Y326" s="888"/>
      <c r="Z326" s="882"/>
      <c r="AA326" s="882"/>
      <c r="AB326" s="882"/>
      <c r="AC326" s="882"/>
      <c r="AD326" s="882"/>
      <c r="AE326" s="882"/>
      <c r="AF326" s="882"/>
      <c r="AG326" s="882"/>
      <c r="AH326" s="882"/>
      <c r="AI326" s="882"/>
      <c r="AJ326" s="882"/>
      <c r="AK326" s="882"/>
      <c r="AL326" s="889"/>
    </row>
    <row r="327" spans="1:38" s="890" customFormat="1">
      <c r="A327" s="1011"/>
      <c r="B327" s="1014">
        <f t="shared" si="31"/>
        <v>-323</v>
      </c>
      <c r="C327" s="882">
        <f t="shared" si="33"/>
        <v>323</v>
      </c>
      <c r="D327" s="1018">
        <v>1391</v>
      </c>
      <c r="E327" s="884" t="str">
        <f>IFERROR(VLOOKUP(Table2[[#This Row],[Player No]],Table10[[No]:[Province]],2,0),"")</f>
        <v xml:space="preserve">GOUNDEN Calden </v>
      </c>
      <c r="F327" s="885" t="str">
        <f>IFERROR(VLOOKUP(Table2[[#This Row],[Player No]],Table10[[No]:[Province]],3,0),"")</f>
        <v>ETTA</v>
      </c>
      <c r="G327" s="892">
        <v>0</v>
      </c>
      <c r="H327" s="886">
        <f>(Table2[[#This Row],[Points 2025]]/2)+SUM(Table2[[#This Row],[O1  ADMIN 2026]:[P2    CAPE TOWN OPEN 2026 ]])</f>
        <v>2</v>
      </c>
      <c r="I327" s="1032">
        <f t="shared" si="32"/>
        <v>1</v>
      </c>
      <c r="J327" s="1011">
        <f>COUNTIF(O327:AB327,"&lt;0")</f>
        <v>0</v>
      </c>
      <c r="K327" s="1006">
        <f>IFERROR(VALUE(IF(Table2[[#This Row],[Player No]]="","",IFERROR(VLOOKUP(Table2[[#This Row],[Player No]],[3]Men!$D$2:$E$48,2,FALSE)&amp;"",""))),"")</f>
        <v>2</v>
      </c>
      <c r="L327" s="887" t="str">
        <f>IFERROR(VALUE(IF(Table2[[#This Row],[Player No]]="","",IFERROR(VLOOKUP(Table2[[#This Row],[Player No]],[4]Men!$Z$14:$AB$62,2,FALSE)&amp;"",""))),"")</f>
        <v/>
      </c>
      <c r="M327" s="887" t="str">
        <f>IF(Table2[[#This Row],[Player No]]="","",IFERROR(VLOOKUP(Table2[[#This Row],[Player No]],[2]Men!$Z$14:$AB$96,2,FALSE)&amp;"",""))</f>
        <v/>
      </c>
      <c r="N327" s="887"/>
      <c r="O327" s="882"/>
      <c r="P327" s="882"/>
      <c r="Q327" s="888"/>
      <c r="R327" s="888"/>
      <c r="S327" s="882"/>
      <c r="T327" s="888"/>
      <c r="U327" s="882"/>
      <c r="V327" s="887"/>
      <c r="W327" s="888"/>
      <c r="X327" s="882"/>
      <c r="Y327" s="888"/>
      <c r="Z327" s="882"/>
      <c r="AA327" s="882"/>
      <c r="AB327" s="882"/>
      <c r="AC327" s="882"/>
      <c r="AD327" s="882"/>
      <c r="AE327" s="882"/>
      <c r="AF327" s="882"/>
      <c r="AG327" s="882"/>
      <c r="AH327" s="882"/>
      <c r="AI327" s="882"/>
      <c r="AJ327" s="882"/>
      <c r="AK327" s="882"/>
      <c r="AL327" s="889"/>
    </row>
    <row r="328" spans="1:38" s="890" customFormat="1">
      <c r="A328" s="1011"/>
      <c r="B328" s="1014">
        <f t="shared" si="31"/>
        <v>-324</v>
      </c>
      <c r="C328" s="882">
        <f t="shared" si="33"/>
        <v>324</v>
      </c>
      <c r="D328" s="1018">
        <v>4821</v>
      </c>
      <c r="E328" s="884" t="str">
        <f>IFERROR(VLOOKUP(Table2[[#This Row],[Player No]],Table10[[No]:[Province]],2,0),"")</f>
        <v>VAN RENSBURG</v>
      </c>
      <c r="F328" s="885" t="str">
        <f>IFERROR(VLOOKUP(Table2[[#This Row],[Player No]],Table10[[No]:[Province]],3,0),"")</f>
        <v>GN</v>
      </c>
      <c r="G328" s="892">
        <v>0</v>
      </c>
      <c r="H328" s="886">
        <f>(Table2[[#This Row],[Points 2025]]/2)+SUM(Table2[[#This Row],[O1  ADMIN 2026]:[P2    CAPE TOWN OPEN 2026 ]])</f>
        <v>2</v>
      </c>
      <c r="I328" s="1032">
        <f t="shared" si="32"/>
        <v>1</v>
      </c>
      <c r="J328" s="1011">
        <f>COUNTIF(O328:AB328,"&lt;0")</f>
        <v>0</v>
      </c>
      <c r="K328" s="1006">
        <f>IFERROR(VALUE(IF(Table2[[#This Row],[Player No]]="","",IFERROR(VLOOKUP(Table2[[#This Row],[Player No]],[3]Men!$D$2:$E$48,2,FALSE)&amp;"",""))),"")</f>
        <v>2</v>
      </c>
      <c r="L328" s="887" t="str">
        <f>IFERROR(VALUE(IF(Table2[[#This Row],[Player No]]="","",IFERROR(VLOOKUP(Table2[[#This Row],[Player No]],[4]Men!$Z$14:$AB$62,2,FALSE)&amp;"",""))),"")</f>
        <v/>
      </c>
      <c r="M328" s="887" t="str">
        <f>IF(Table2[[#This Row],[Player No]]="","",IFERROR(VLOOKUP(Table2[[#This Row],[Player No]],[2]Men!$Z$14:$AB$96,2,FALSE)&amp;"",""))</f>
        <v/>
      </c>
      <c r="N328" s="887"/>
      <c r="O328" s="882"/>
      <c r="P328" s="882"/>
      <c r="Q328" s="888"/>
      <c r="R328" s="888"/>
      <c r="S328" s="882"/>
      <c r="T328" s="888"/>
      <c r="U328" s="882"/>
      <c r="V328" s="887"/>
      <c r="W328" s="888"/>
      <c r="X328" s="882"/>
      <c r="Y328" s="888"/>
      <c r="Z328" s="882"/>
      <c r="AA328" s="882"/>
      <c r="AB328" s="882"/>
      <c r="AC328" s="882"/>
      <c r="AD328" s="882"/>
      <c r="AE328" s="882"/>
      <c r="AF328" s="882"/>
      <c r="AG328" s="882"/>
      <c r="AH328" s="882"/>
      <c r="AI328" s="882"/>
      <c r="AJ328" s="882"/>
      <c r="AK328" s="882"/>
      <c r="AL328" s="889"/>
    </row>
    <row r="329" spans="1:38" s="890" customFormat="1">
      <c r="A329" s="882">
        <v>158</v>
      </c>
      <c r="B329" s="891">
        <f t="shared" si="31"/>
        <v>-167</v>
      </c>
      <c r="C329" s="882">
        <f t="shared" si="33"/>
        <v>325</v>
      </c>
      <c r="D329" s="883">
        <v>2140</v>
      </c>
      <c r="E329" s="884" t="str">
        <f>IFERROR(VLOOKUP(Table2[[#This Row],[Player No]],Table10[[No]:[Province]],2,0),"")</f>
        <v>SPERANZA Storm</v>
      </c>
      <c r="F329" s="885" t="str">
        <f>IFERROR(VLOOKUP(Table2[[#This Row],[Player No]],Table10[[No]:[Province]],3,0),"")</f>
        <v>GN</v>
      </c>
      <c r="G329" s="892">
        <v>3.953125</v>
      </c>
      <c r="H329" s="886">
        <f>(Table2[[#This Row],[Points 2025]]/2)+SUM(Table2[[#This Row],[O1  ADMIN 2026]:[P2    CAPE TOWN OPEN 2026 ]])</f>
        <v>1.9765625</v>
      </c>
      <c r="I329" s="880">
        <f t="shared" si="32"/>
        <v>0</v>
      </c>
      <c r="J329" s="882">
        <f t="shared" ref="J329:J360" si="34">COUNTIF(O329:AK329,"&lt;0")</f>
        <v>0</v>
      </c>
      <c r="K329" s="887" t="s">
        <v>6083</v>
      </c>
      <c r="L329" s="887" t="s">
        <v>6083</v>
      </c>
      <c r="M329" s="887" t="s">
        <v>6083</v>
      </c>
      <c r="N329" s="887"/>
      <c r="O329" s="882"/>
      <c r="P329" s="882"/>
      <c r="Q329" s="888"/>
      <c r="R329" s="888"/>
      <c r="S329" s="882"/>
      <c r="T329" s="888"/>
      <c r="U329" s="882"/>
      <c r="V329" s="887"/>
      <c r="W329" s="888"/>
      <c r="X329" s="882"/>
      <c r="Y329" s="888"/>
      <c r="Z329" s="882"/>
      <c r="AA329" s="882"/>
      <c r="AB329" s="882"/>
      <c r="AC329" s="882"/>
      <c r="AD329" s="882"/>
      <c r="AE329" s="882"/>
      <c r="AF329" s="882"/>
      <c r="AG329" s="882"/>
      <c r="AH329" s="882"/>
      <c r="AI329" s="882"/>
      <c r="AJ329" s="882"/>
      <c r="AK329" s="882"/>
      <c r="AL329" s="889"/>
    </row>
    <row r="330" spans="1:38" s="890" customFormat="1">
      <c r="A330" s="882">
        <v>160</v>
      </c>
      <c r="B330" s="891">
        <f t="shared" si="31"/>
        <v>-166</v>
      </c>
      <c r="C330" s="882">
        <f t="shared" si="33"/>
        <v>326</v>
      </c>
      <c r="D330" s="883">
        <v>1726</v>
      </c>
      <c r="E330" s="884" t="str">
        <f>IFERROR(VLOOKUP(Table2[[#This Row],[Player No]],Table10[[No]:[Province]],2,0),"")</f>
        <v xml:space="preserve">BROWN Anthony </v>
      </c>
      <c r="F330" s="885" t="str">
        <f>IFERROR(VLOOKUP(Table2[[#This Row],[Player No]],Table10[[No]:[Province]],3,0),"")</f>
        <v>CT</v>
      </c>
      <c r="G330" s="892">
        <v>3.8828125</v>
      </c>
      <c r="H330" s="886">
        <f>(Table2[[#This Row],[Points 2025]]/2)+SUM(Table2[[#This Row],[O1  ADMIN 2026]:[P2    CAPE TOWN OPEN 2026 ]])</f>
        <v>1.94140625</v>
      </c>
      <c r="I330" s="880">
        <f t="shared" si="32"/>
        <v>0</v>
      </c>
      <c r="J330" s="882">
        <f t="shared" si="34"/>
        <v>0</v>
      </c>
      <c r="K330" s="887" t="s">
        <v>6083</v>
      </c>
      <c r="L330" s="887" t="s">
        <v>6083</v>
      </c>
      <c r="M330" s="887" t="s">
        <v>6083</v>
      </c>
      <c r="N330" s="887"/>
      <c r="O330" s="882"/>
      <c r="P330" s="882"/>
      <c r="Q330" s="888"/>
      <c r="R330" s="888"/>
      <c r="S330" s="882"/>
      <c r="T330" s="888"/>
      <c r="U330" s="882"/>
      <c r="V330" s="887"/>
      <c r="W330" s="888"/>
      <c r="X330" s="882"/>
      <c r="Y330" s="888"/>
      <c r="Z330" s="882"/>
      <c r="AA330" s="882"/>
      <c r="AB330" s="882"/>
      <c r="AC330" s="882"/>
      <c r="AD330" s="882"/>
      <c r="AE330" s="882"/>
      <c r="AF330" s="882"/>
      <c r="AG330" s="882"/>
      <c r="AH330" s="882"/>
      <c r="AI330" s="882"/>
      <c r="AJ330" s="882"/>
      <c r="AK330" s="882"/>
      <c r="AL330" s="889"/>
    </row>
    <row r="331" spans="1:38" s="890" customFormat="1">
      <c r="A331" s="882">
        <v>162</v>
      </c>
      <c r="B331" s="891">
        <f t="shared" si="31"/>
        <v>-165</v>
      </c>
      <c r="C331" s="882">
        <f t="shared" si="33"/>
        <v>327</v>
      </c>
      <c r="D331" s="883">
        <v>1365</v>
      </c>
      <c r="E331" s="884" t="str">
        <f>IFERROR(VLOOKUP(Table2[[#This Row],[Player No]],Table10[[No]:[Province]],2,0),"")</f>
        <v xml:space="preserve">HORING Phenyo </v>
      </c>
      <c r="F331" s="885" t="str">
        <f>IFERROR(VLOOKUP(Table2[[#This Row],[Player No]],Table10[[No]:[Province]],3,0),"")</f>
        <v>NC</v>
      </c>
      <c r="G331" s="892">
        <v>3.875</v>
      </c>
      <c r="H331" s="886">
        <f>(Table2[[#This Row],[Points 2025]]/2)+SUM(Table2[[#This Row],[O1  ADMIN 2026]:[P2    CAPE TOWN OPEN 2026 ]])</f>
        <v>1.9375</v>
      </c>
      <c r="I331" s="880">
        <f t="shared" si="32"/>
        <v>0</v>
      </c>
      <c r="J331" s="882">
        <f t="shared" si="34"/>
        <v>0</v>
      </c>
      <c r="K331" s="887" t="s">
        <v>6083</v>
      </c>
      <c r="L331" s="887" t="s">
        <v>6083</v>
      </c>
      <c r="M331" s="887" t="s">
        <v>6083</v>
      </c>
      <c r="N331" s="887"/>
      <c r="O331" s="882"/>
      <c r="P331" s="882"/>
      <c r="Q331" s="888"/>
      <c r="R331" s="888"/>
      <c r="S331" s="882"/>
      <c r="T331" s="888"/>
      <c r="U331" s="882"/>
      <c r="V331" s="887"/>
      <c r="W331" s="888"/>
      <c r="X331" s="882"/>
      <c r="Y331" s="888"/>
      <c r="Z331" s="882"/>
      <c r="AA331" s="882"/>
      <c r="AB331" s="882"/>
      <c r="AC331" s="882"/>
      <c r="AD331" s="882"/>
      <c r="AE331" s="882"/>
      <c r="AF331" s="882"/>
      <c r="AG331" s="882"/>
      <c r="AH331" s="882"/>
      <c r="AI331" s="882"/>
      <c r="AJ331" s="882"/>
      <c r="AK331" s="882"/>
      <c r="AL331" s="889"/>
    </row>
    <row r="332" spans="1:38" s="890" customFormat="1">
      <c r="A332" s="882">
        <v>161</v>
      </c>
      <c r="B332" s="891">
        <f t="shared" si="31"/>
        <v>-167</v>
      </c>
      <c r="C332" s="882">
        <f t="shared" si="33"/>
        <v>328</v>
      </c>
      <c r="D332" s="883">
        <v>3173</v>
      </c>
      <c r="E332" s="884" t="str">
        <f>IFERROR(VLOOKUP(Table2[[#This Row],[Player No]],Table10[[No]:[Province]],2,0),"")</f>
        <v>WOLF Thato</v>
      </c>
      <c r="F332" s="885" t="str">
        <f>IFERROR(VLOOKUP(Table2[[#This Row],[Player No]],Table10[[No]:[Province]],3,0),"")</f>
        <v>NC</v>
      </c>
      <c r="G332" s="892">
        <v>3.875</v>
      </c>
      <c r="H332" s="886">
        <f>(Table2[[#This Row],[Points 2025]]/2)+SUM(Table2[[#This Row],[O1  ADMIN 2026]:[P2    CAPE TOWN OPEN 2026 ]])</f>
        <v>1.9375</v>
      </c>
      <c r="I332" s="880">
        <f t="shared" si="32"/>
        <v>0</v>
      </c>
      <c r="J332" s="882">
        <f t="shared" si="34"/>
        <v>0</v>
      </c>
      <c r="K332" s="887" t="s">
        <v>6083</v>
      </c>
      <c r="L332" s="887" t="s">
        <v>6083</v>
      </c>
      <c r="M332" s="887" t="s">
        <v>6083</v>
      </c>
      <c r="N332" s="887"/>
      <c r="O332" s="882"/>
      <c r="P332" s="882"/>
      <c r="Q332" s="888"/>
      <c r="R332" s="888"/>
      <c r="S332" s="882"/>
      <c r="T332" s="888"/>
      <c r="U332" s="882"/>
      <c r="V332" s="887"/>
      <c r="W332" s="888"/>
      <c r="X332" s="882"/>
      <c r="Y332" s="888"/>
      <c r="Z332" s="882"/>
      <c r="AA332" s="882"/>
      <c r="AB332" s="882"/>
      <c r="AC332" s="882"/>
      <c r="AD332" s="882"/>
      <c r="AE332" s="882"/>
      <c r="AF332" s="882"/>
      <c r="AG332" s="882"/>
      <c r="AH332" s="882"/>
      <c r="AI332" s="882"/>
      <c r="AJ332" s="882"/>
      <c r="AK332" s="882"/>
      <c r="AL332" s="889"/>
    </row>
    <row r="333" spans="1:38" s="890" customFormat="1">
      <c r="A333" s="882">
        <v>202</v>
      </c>
      <c r="B333" s="891">
        <f t="shared" si="31"/>
        <v>-127</v>
      </c>
      <c r="C333" s="882">
        <f t="shared" si="33"/>
        <v>329</v>
      </c>
      <c r="D333" s="883">
        <v>1564</v>
      </c>
      <c r="E333" s="884" t="str">
        <f>IFERROR(VLOOKUP(Table2[[#This Row],[Player No]],Table10[[No]:[Province]],2,0),"")</f>
        <v xml:space="preserve">ESAU Henry </v>
      </c>
      <c r="F333" s="885" t="str">
        <f>IFERROR(VLOOKUP(Table2[[#This Row],[Player No]],Table10[[No]:[Province]],3,0),"")</f>
        <v>CT</v>
      </c>
      <c r="G333" s="892">
        <v>3.8046875</v>
      </c>
      <c r="H333" s="886">
        <f>(Table2[[#This Row],[Points 2025]]/2)+SUM(Table2[[#This Row],[O1  ADMIN 2026]:[P2    CAPE TOWN OPEN 2026 ]])</f>
        <v>1.90234375</v>
      </c>
      <c r="I333" s="880">
        <f t="shared" si="32"/>
        <v>0</v>
      </c>
      <c r="J333" s="882">
        <f t="shared" si="34"/>
        <v>0</v>
      </c>
      <c r="K333" s="887" t="s">
        <v>6083</v>
      </c>
      <c r="L333" s="887" t="s">
        <v>6083</v>
      </c>
      <c r="M333" s="887" t="s">
        <v>6083</v>
      </c>
      <c r="N333" s="887"/>
      <c r="O333" s="882"/>
      <c r="P333" s="882"/>
      <c r="Q333" s="888"/>
      <c r="R333" s="888"/>
      <c r="S333" s="882"/>
      <c r="T333" s="888"/>
      <c r="U333" s="882"/>
      <c r="V333" s="887"/>
      <c r="W333" s="888"/>
      <c r="X333" s="882"/>
      <c r="Y333" s="888"/>
      <c r="Z333" s="882"/>
      <c r="AA333" s="882"/>
      <c r="AB333" s="882"/>
      <c r="AC333" s="882"/>
      <c r="AD333" s="882"/>
      <c r="AE333" s="882">
        <v>2</v>
      </c>
      <c r="AF333" s="882"/>
      <c r="AG333" s="882"/>
      <c r="AH333" s="882"/>
      <c r="AI333" s="882"/>
      <c r="AJ333" s="882"/>
      <c r="AK333" s="882"/>
      <c r="AL333" s="889"/>
    </row>
    <row r="334" spans="1:38" s="890" customFormat="1">
      <c r="A334" s="882">
        <v>168</v>
      </c>
      <c r="B334" s="891">
        <f t="shared" si="31"/>
        <v>-162</v>
      </c>
      <c r="C334" s="882">
        <f t="shared" si="33"/>
        <v>330</v>
      </c>
      <c r="D334" s="883">
        <v>2131</v>
      </c>
      <c r="E334" s="884" t="str">
        <f>IFERROR(VLOOKUP(Table2[[#This Row],[Player No]],Table10[[No]:[Province]],2,0),"")</f>
        <v>ROOPLAL Udav</v>
      </c>
      <c r="F334" s="885" t="str">
        <f>IFERROR(VLOOKUP(Table2[[#This Row],[Player No]],Table10[[No]:[Province]],3,0),"")</f>
        <v>ETTA</v>
      </c>
      <c r="G334" s="892">
        <v>3.75</v>
      </c>
      <c r="H334" s="886">
        <f>(Table2[[#This Row],[Points 2025]]/2)+SUM(Table2[[#This Row],[O1  ADMIN 2026]:[P2    CAPE TOWN OPEN 2026 ]])</f>
        <v>1.875</v>
      </c>
      <c r="I334" s="880">
        <f t="shared" si="32"/>
        <v>0</v>
      </c>
      <c r="J334" s="882">
        <f t="shared" si="34"/>
        <v>0</v>
      </c>
      <c r="K334" s="887" t="s">
        <v>6083</v>
      </c>
      <c r="L334" s="887" t="s">
        <v>6083</v>
      </c>
      <c r="M334" s="887" t="s">
        <v>6083</v>
      </c>
      <c r="N334" s="887"/>
      <c r="O334" s="882"/>
      <c r="P334" s="882"/>
      <c r="Q334" s="888"/>
      <c r="R334" s="888"/>
      <c r="S334" s="882"/>
      <c r="T334" s="888"/>
      <c r="U334" s="882"/>
      <c r="V334" s="887"/>
      <c r="W334" s="888"/>
      <c r="X334" s="882"/>
      <c r="Y334" s="888"/>
      <c r="Z334" s="882"/>
      <c r="AA334" s="882"/>
      <c r="AB334" s="882"/>
      <c r="AC334" s="882"/>
      <c r="AD334" s="882"/>
      <c r="AE334" s="882"/>
      <c r="AF334" s="882"/>
      <c r="AG334" s="882"/>
      <c r="AH334" s="882"/>
      <c r="AI334" s="882"/>
      <c r="AJ334" s="882"/>
      <c r="AK334" s="882"/>
      <c r="AL334" s="889"/>
    </row>
    <row r="335" spans="1:38" s="890" customFormat="1">
      <c r="A335" s="882">
        <v>167</v>
      </c>
      <c r="B335" s="891">
        <f t="shared" si="31"/>
        <v>-164</v>
      </c>
      <c r="C335" s="882">
        <f t="shared" si="33"/>
        <v>331</v>
      </c>
      <c r="D335" s="883">
        <v>2452</v>
      </c>
      <c r="E335" s="884" t="str">
        <f>IFERROR(VLOOKUP(Table2[[#This Row],[Player No]],Table10[[No]:[Province]],2,0),"")</f>
        <v>BIAN Peter</v>
      </c>
      <c r="F335" s="885" t="str">
        <f>IFERROR(VLOOKUP(Table2[[#This Row],[Player No]],Table10[[No]:[Province]],3,0),"")</f>
        <v>GN</v>
      </c>
      <c r="G335" s="892">
        <v>3.75</v>
      </c>
      <c r="H335" s="886">
        <f>(Table2[[#This Row],[Points 2025]]/2)+SUM(Table2[[#This Row],[O1  ADMIN 2026]:[P2    CAPE TOWN OPEN 2026 ]])</f>
        <v>1.875</v>
      </c>
      <c r="I335" s="880">
        <f t="shared" si="32"/>
        <v>0</v>
      </c>
      <c r="J335" s="882">
        <f t="shared" si="34"/>
        <v>0</v>
      </c>
      <c r="K335" s="887" t="s">
        <v>6083</v>
      </c>
      <c r="L335" s="887" t="s">
        <v>6083</v>
      </c>
      <c r="M335" s="887" t="s">
        <v>6083</v>
      </c>
      <c r="N335" s="887"/>
      <c r="O335" s="882"/>
      <c r="P335" s="882"/>
      <c r="Q335" s="888"/>
      <c r="R335" s="888"/>
      <c r="S335" s="882"/>
      <c r="T335" s="888"/>
      <c r="U335" s="882"/>
      <c r="V335" s="887"/>
      <c r="W335" s="888"/>
      <c r="X335" s="882"/>
      <c r="Y335" s="888"/>
      <c r="Z335" s="882"/>
      <c r="AA335" s="882"/>
      <c r="AB335" s="882"/>
      <c r="AC335" s="882"/>
      <c r="AD335" s="882"/>
      <c r="AE335" s="882"/>
      <c r="AF335" s="882"/>
      <c r="AG335" s="882"/>
      <c r="AH335" s="882"/>
      <c r="AI335" s="882"/>
      <c r="AJ335" s="882"/>
      <c r="AK335" s="882"/>
      <c r="AL335" s="889"/>
    </row>
    <row r="336" spans="1:38" s="890" customFormat="1">
      <c r="A336" s="882">
        <v>170</v>
      </c>
      <c r="B336" s="891">
        <f t="shared" si="31"/>
        <v>-162</v>
      </c>
      <c r="C336" s="882">
        <f t="shared" si="33"/>
        <v>332</v>
      </c>
      <c r="D336" s="883">
        <v>2644</v>
      </c>
      <c r="E336" s="884" t="str">
        <f>IFERROR(VLOOKUP(Table2[[#This Row],[Player No]],Table10[[No]:[Province]],2,0),"")</f>
        <v>NKGOBANG Mzwandile</v>
      </c>
      <c r="F336" s="885" t="str">
        <f>IFERROR(VLOOKUP(Table2[[#This Row],[Player No]],Table10[[No]:[Province]],3,0),"")</f>
        <v>NC</v>
      </c>
      <c r="G336" s="892">
        <v>3.75</v>
      </c>
      <c r="H336" s="886">
        <f>(Table2[[#This Row],[Points 2025]]/2)+SUM(Table2[[#This Row],[O1  ADMIN 2026]:[P2    CAPE TOWN OPEN 2026 ]])</f>
        <v>1.875</v>
      </c>
      <c r="I336" s="880">
        <f t="shared" si="32"/>
        <v>0</v>
      </c>
      <c r="J336" s="882">
        <f t="shared" si="34"/>
        <v>0</v>
      </c>
      <c r="K336" s="887" t="s">
        <v>6083</v>
      </c>
      <c r="L336" s="887" t="s">
        <v>6083</v>
      </c>
      <c r="M336" s="887" t="s">
        <v>6083</v>
      </c>
      <c r="N336" s="887"/>
      <c r="O336" s="882"/>
      <c r="P336" s="882"/>
      <c r="Q336" s="888"/>
      <c r="R336" s="888"/>
      <c r="S336" s="882"/>
      <c r="T336" s="888"/>
      <c r="U336" s="882"/>
      <c r="V336" s="887"/>
      <c r="W336" s="888">
        <v>0</v>
      </c>
      <c r="X336" s="882"/>
      <c r="Y336" s="888"/>
      <c r="Z336" s="882"/>
      <c r="AA336" s="882"/>
      <c r="AB336" s="882"/>
      <c r="AC336" s="882"/>
      <c r="AD336" s="882"/>
      <c r="AE336" s="882"/>
      <c r="AF336" s="882"/>
      <c r="AG336" s="882"/>
      <c r="AH336" s="882"/>
      <c r="AI336" s="882"/>
      <c r="AJ336" s="882"/>
      <c r="AK336" s="882"/>
      <c r="AL336" s="889"/>
    </row>
    <row r="337" spans="1:38" s="890" customFormat="1">
      <c r="A337" s="882">
        <v>164</v>
      </c>
      <c r="B337" s="891">
        <f t="shared" si="31"/>
        <v>-169</v>
      </c>
      <c r="C337" s="882">
        <f t="shared" si="33"/>
        <v>333</v>
      </c>
      <c r="D337" s="883">
        <v>3309</v>
      </c>
      <c r="E337" s="884" t="str">
        <f>IFERROR(VLOOKUP(Table2[[#This Row],[Player No]],Table10[[No]:[Province]],2,0),"")</f>
        <v>DIEDERICKS Edwin</v>
      </c>
      <c r="F337" s="885" t="str">
        <f>IFERROR(VLOOKUP(Table2[[#This Row],[Player No]],Table10[[No]:[Province]],3,0),"")</f>
        <v>JTTA</v>
      </c>
      <c r="G337" s="892">
        <v>3.75</v>
      </c>
      <c r="H337" s="886">
        <f>(Table2[[#This Row],[Points 2025]]/2)+SUM(Table2[[#This Row],[O1  ADMIN 2026]:[P2    CAPE TOWN OPEN 2026 ]])</f>
        <v>1.875</v>
      </c>
      <c r="I337" s="880">
        <f t="shared" si="32"/>
        <v>0</v>
      </c>
      <c r="J337" s="882">
        <f t="shared" si="34"/>
        <v>0</v>
      </c>
      <c r="K337" s="887" t="s">
        <v>6083</v>
      </c>
      <c r="L337" s="887" t="s">
        <v>6083</v>
      </c>
      <c r="M337" s="887" t="s">
        <v>6083</v>
      </c>
      <c r="N337" s="887"/>
      <c r="O337" s="882"/>
      <c r="P337" s="882"/>
      <c r="Q337" s="888"/>
      <c r="R337" s="888"/>
      <c r="S337" s="882"/>
      <c r="T337" s="888"/>
      <c r="U337" s="882"/>
      <c r="V337" s="887"/>
      <c r="W337" s="888"/>
      <c r="X337" s="882"/>
      <c r="Y337" s="888"/>
      <c r="Z337" s="882"/>
      <c r="AA337" s="882"/>
      <c r="AB337" s="882"/>
      <c r="AC337" s="882"/>
      <c r="AD337" s="882"/>
      <c r="AE337" s="882"/>
      <c r="AF337" s="882"/>
      <c r="AG337" s="882"/>
      <c r="AH337" s="882"/>
      <c r="AI337" s="882"/>
      <c r="AJ337" s="882"/>
      <c r="AK337" s="882"/>
      <c r="AL337" s="889"/>
    </row>
    <row r="338" spans="1:38" s="890" customFormat="1">
      <c r="A338" s="882">
        <v>166</v>
      </c>
      <c r="B338" s="891">
        <f t="shared" si="31"/>
        <v>-168</v>
      </c>
      <c r="C338" s="882">
        <f t="shared" si="33"/>
        <v>334</v>
      </c>
      <c r="D338" s="883">
        <v>3314</v>
      </c>
      <c r="E338" s="884" t="str">
        <f>IFERROR(VLOOKUP(Table2[[#This Row],[Player No]],Table10[[No]:[Province]],2,0),"")</f>
        <v>DU PREEZ Liam</v>
      </c>
      <c r="F338" s="885" t="str">
        <f>IFERROR(VLOOKUP(Table2[[#This Row],[Player No]],Table10[[No]:[Province]],3,0),"")</f>
        <v>JTTA</v>
      </c>
      <c r="G338" s="892">
        <v>3.75</v>
      </c>
      <c r="H338" s="886">
        <f>(Table2[[#This Row],[Points 2025]]/2)+SUM(Table2[[#This Row],[O1  ADMIN 2026]:[P2    CAPE TOWN OPEN 2026 ]])</f>
        <v>1.875</v>
      </c>
      <c r="I338" s="880">
        <f t="shared" si="32"/>
        <v>0</v>
      </c>
      <c r="J338" s="882">
        <f t="shared" si="34"/>
        <v>0</v>
      </c>
      <c r="K338" s="887" t="s">
        <v>6083</v>
      </c>
      <c r="L338" s="887" t="s">
        <v>6083</v>
      </c>
      <c r="M338" s="887" t="s">
        <v>6083</v>
      </c>
      <c r="N338" s="887"/>
      <c r="O338" s="882"/>
      <c r="P338" s="882"/>
      <c r="Q338" s="888"/>
      <c r="R338" s="888"/>
      <c r="S338" s="882"/>
      <c r="T338" s="888"/>
      <c r="U338" s="882"/>
      <c r="V338" s="887"/>
      <c r="W338" s="888"/>
      <c r="X338" s="882"/>
      <c r="Y338" s="888"/>
      <c r="Z338" s="882"/>
      <c r="AA338" s="882"/>
      <c r="AB338" s="882"/>
      <c r="AC338" s="882"/>
      <c r="AD338" s="882"/>
      <c r="AE338" s="882"/>
      <c r="AF338" s="882"/>
      <c r="AG338" s="882"/>
      <c r="AH338" s="882"/>
      <c r="AI338" s="882"/>
      <c r="AJ338" s="882"/>
      <c r="AK338" s="882"/>
      <c r="AL338" s="889"/>
    </row>
    <row r="339" spans="1:38" s="890" customFormat="1">
      <c r="A339" s="882">
        <v>289</v>
      </c>
      <c r="B339" s="891">
        <f t="shared" si="31"/>
        <v>-46</v>
      </c>
      <c r="C339" s="882">
        <f t="shared" si="33"/>
        <v>335</v>
      </c>
      <c r="D339" s="883">
        <v>3393</v>
      </c>
      <c r="E339" s="884" t="str">
        <f>IFERROR(VLOOKUP(Table2[[#This Row],[Player No]],Table10[[No]:[Province]],2,0),"")</f>
        <v>COETZEE Shane</v>
      </c>
      <c r="F339" s="885" t="str">
        <f>IFERROR(VLOOKUP(Table2[[#This Row],[Player No]],Table10[[No]:[Province]],3,0),"")</f>
        <v>CW</v>
      </c>
      <c r="G339" s="892">
        <v>3.75</v>
      </c>
      <c r="H339" s="886">
        <f>(Table2[[#This Row],[Points 2025]]/2)+SUM(Table2[[#This Row],[O1  ADMIN 2026]:[P2    CAPE TOWN OPEN 2026 ]])</f>
        <v>1.875</v>
      </c>
      <c r="I339" s="880">
        <f t="shared" si="32"/>
        <v>0</v>
      </c>
      <c r="J339" s="882">
        <f t="shared" si="34"/>
        <v>0</v>
      </c>
      <c r="K339" s="887" t="s">
        <v>6083</v>
      </c>
      <c r="L339" s="887" t="s">
        <v>6083</v>
      </c>
      <c r="M339" s="887" t="s">
        <v>6083</v>
      </c>
      <c r="N339" s="887"/>
      <c r="O339" s="882"/>
      <c r="P339" s="882"/>
      <c r="Q339" s="888"/>
      <c r="R339" s="888"/>
      <c r="S339" s="882"/>
      <c r="T339" s="888"/>
      <c r="U339" s="882"/>
      <c r="V339" s="887"/>
      <c r="W339" s="888"/>
      <c r="X339" s="882"/>
      <c r="Y339" s="888"/>
      <c r="Z339" s="882"/>
      <c r="AA339" s="882"/>
      <c r="AB339" s="882">
        <v>2</v>
      </c>
      <c r="AC339" s="882"/>
      <c r="AD339" s="882"/>
      <c r="AE339" s="882">
        <v>1</v>
      </c>
      <c r="AF339" s="882"/>
      <c r="AG339" s="882"/>
      <c r="AH339" s="882"/>
      <c r="AI339" s="882"/>
      <c r="AJ339" s="882"/>
      <c r="AK339" s="882"/>
      <c r="AL339" s="889"/>
    </row>
    <row r="340" spans="1:38" s="890" customFormat="1">
      <c r="A340" s="882">
        <v>165</v>
      </c>
      <c r="B340" s="891">
        <f t="shared" si="31"/>
        <v>-171</v>
      </c>
      <c r="C340" s="882">
        <f t="shared" si="33"/>
        <v>336</v>
      </c>
      <c r="D340" s="883">
        <v>3483</v>
      </c>
      <c r="E340" s="884" t="str">
        <f>IFERROR(VLOOKUP(Table2[[#This Row],[Player No]],Table10[[No]:[Province]],2,0),"")</f>
        <v>JIANZHOU Wei</v>
      </c>
      <c r="F340" s="885" t="str">
        <f>IFERROR(VLOOKUP(Table2[[#This Row],[Player No]],Table10[[No]:[Province]],3,0),"")</f>
        <v>JTTA</v>
      </c>
      <c r="G340" s="892">
        <v>3.75</v>
      </c>
      <c r="H340" s="886">
        <f>(Table2[[#This Row],[Points 2025]]/2)+SUM(Table2[[#This Row],[O1  ADMIN 2026]:[P2    CAPE TOWN OPEN 2026 ]])</f>
        <v>1.875</v>
      </c>
      <c r="I340" s="880">
        <f t="shared" si="32"/>
        <v>0</v>
      </c>
      <c r="J340" s="882">
        <f t="shared" si="34"/>
        <v>0</v>
      </c>
      <c r="K340" s="887" t="s">
        <v>6083</v>
      </c>
      <c r="L340" s="887" t="s">
        <v>6083</v>
      </c>
      <c r="M340" s="887" t="s">
        <v>6083</v>
      </c>
      <c r="N340" s="887"/>
      <c r="O340" s="882"/>
      <c r="P340" s="882"/>
      <c r="Q340" s="888"/>
      <c r="R340" s="888"/>
      <c r="S340" s="882"/>
      <c r="T340" s="888"/>
      <c r="U340" s="882"/>
      <c r="V340" s="887"/>
      <c r="W340" s="888"/>
      <c r="X340" s="882"/>
      <c r="Y340" s="888"/>
      <c r="Z340" s="882"/>
      <c r="AA340" s="882"/>
      <c r="AB340" s="882"/>
      <c r="AC340" s="882"/>
      <c r="AD340" s="882"/>
      <c r="AE340" s="882"/>
      <c r="AF340" s="882"/>
      <c r="AG340" s="882"/>
      <c r="AH340" s="882"/>
      <c r="AI340" s="882"/>
      <c r="AJ340" s="882"/>
      <c r="AK340" s="882"/>
      <c r="AL340" s="889"/>
    </row>
    <row r="341" spans="1:38" s="890" customFormat="1">
      <c r="A341" s="882">
        <v>169</v>
      </c>
      <c r="B341" s="891">
        <f t="shared" si="31"/>
        <v>-168</v>
      </c>
      <c r="C341" s="882">
        <f t="shared" si="33"/>
        <v>337</v>
      </c>
      <c r="D341" s="883">
        <v>3494</v>
      </c>
      <c r="E341" s="884" t="str">
        <f>IFERROR(VLOOKUP(Table2[[#This Row],[Player No]],Table10[[No]:[Province]],2,0),"")</f>
        <v>MOKUHLE Lucky</v>
      </c>
      <c r="F341" s="885" t="str">
        <f>IFERROR(VLOOKUP(Table2[[#This Row],[Player No]],Table10[[No]:[Province]],3,0),"")</f>
        <v>GN</v>
      </c>
      <c r="G341" s="892">
        <v>3.75</v>
      </c>
      <c r="H341" s="886">
        <f>(Table2[[#This Row],[Points 2025]]/2)+SUM(Table2[[#This Row],[O1  ADMIN 2026]:[P2    CAPE TOWN OPEN 2026 ]])</f>
        <v>1.875</v>
      </c>
      <c r="I341" s="880">
        <f t="shared" si="32"/>
        <v>0</v>
      </c>
      <c r="J341" s="882">
        <f t="shared" si="34"/>
        <v>0</v>
      </c>
      <c r="K341" s="887" t="s">
        <v>6083</v>
      </c>
      <c r="L341" s="887" t="s">
        <v>6083</v>
      </c>
      <c r="M341" s="887" t="s">
        <v>6083</v>
      </c>
      <c r="N341" s="887"/>
      <c r="O341" s="882"/>
      <c r="P341" s="882"/>
      <c r="Q341" s="888"/>
      <c r="R341" s="888"/>
      <c r="S341" s="882"/>
      <c r="T341" s="888"/>
      <c r="U341" s="882"/>
      <c r="V341" s="887"/>
      <c r="W341" s="888"/>
      <c r="X341" s="882"/>
      <c r="Y341" s="888"/>
      <c r="Z341" s="882"/>
      <c r="AA341" s="882"/>
      <c r="AB341" s="882"/>
      <c r="AC341" s="882"/>
      <c r="AD341" s="882"/>
      <c r="AE341" s="882"/>
      <c r="AF341" s="882"/>
      <c r="AG341" s="882"/>
      <c r="AH341" s="882"/>
      <c r="AI341" s="882"/>
      <c r="AJ341" s="882"/>
      <c r="AK341" s="882"/>
      <c r="AL341" s="889"/>
    </row>
    <row r="342" spans="1:38" s="890" customFormat="1">
      <c r="A342" s="882">
        <v>173</v>
      </c>
      <c r="B342" s="891">
        <f t="shared" si="31"/>
        <v>-165</v>
      </c>
      <c r="C342" s="882">
        <f t="shared" si="33"/>
        <v>338</v>
      </c>
      <c r="D342" s="883">
        <v>1506</v>
      </c>
      <c r="E342" s="884" t="str">
        <f>IFERROR(VLOOKUP(Table2[[#This Row],[Player No]],Table10[[No]:[Province]],2,0),"")</f>
        <v>MABEDLA Mlu</v>
      </c>
      <c r="F342" s="885" t="str">
        <f>IFERROR(VLOOKUP(Table2[[#This Row],[Player No]],Table10[[No]:[Province]],3,0),"")</f>
        <v>JTTA</v>
      </c>
      <c r="G342" s="892">
        <v>3.61328125</v>
      </c>
      <c r="H342" s="886">
        <f>(Table2[[#This Row],[Points 2025]]/2)+SUM(Table2[[#This Row],[O1  ADMIN 2026]:[P2    CAPE TOWN OPEN 2026 ]])</f>
        <v>1.806640625</v>
      </c>
      <c r="I342" s="880">
        <f t="shared" si="32"/>
        <v>0</v>
      </c>
      <c r="J342" s="882">
        <f t="shared" si="34"/>
        <v>0</v>
      </c>
      <c r="K342" s="887" t="s">
        <v>6083</v>
      </c>
      <c r="L342" s="887" t="s">
        <v>6083</v>
      </c>
      <c r="M342" s="887" t="s">
        <v>6083</v>
      </c>
      <c r="N342" s="887"/>
      <c r="O342" s="882"/>
      <c r="P342" s="882"/>
      <c r="Q342" s="888"/>
      <c r="R342" s="888"/>
      <c r="S342" s="882"/>
      <c r="T342" s="888"/>
      <c r="U342" s="882"/>
      <c r="V342" s="887"/>
      <c r="W342" s="888"/>
      <c r="X342" s="882"/>
      <c r="Y342" s="888"/>
      <c r="Z342" s="882"/>
      <c r="AA342" s="882"/>
      <c r="AB342" s="882"/>
      <c r="AC342" s="882"/>
      <c r="AD342" s="882"/>
      <c r="AE342" s="882"/>
      <c r="AF342" s="882"/>
      <c r="AG342" s="882"/>
      <c r="AH342" s="882"/>
      <c r="AI342" s="882"/>
      <c r="AJ342" s="882"/>
      <c r="AK342" s="882"/>
      <c r="AL342" s="889"/>
    </row>
    <row r="343" spans="1:38" s="890" customFormat="1">
      <c r="A343" s="882">
        <v>174</v>
      </c>
      <c r="B343" s="891">
        <f t="shared" si="31"/>
        <v>-165</v>
      </c>
      <c r="C343" s="882">
        <f t="shared" si="33"/>
        <v>339</v>
      </c>
      <c r="D343" s="883">
        <v>1137</v>
      </c>
      <c r="E343" s="884" t="str">
        <f>IFERROR(VLOOKUP(Table2[[#This Row],[Player No]],Table10[[No]:[Province]],2,0),"")</f>
        <v xml:space="preserve">MANUAL Abubakr </v>
      </c>
      <c r="F343" s="885" t="str">
        <f>IFERROR(VLOOKUP(Table2[[#This Row],[Player No]],Table10[[No]:[Province]],3,0),"")</f>
        <v>CT</v>
      </c>
      <c r="G343" s="892">
        <v>3.568359375</v>
      </c>
      <c r="H343" s="886">
        <f>(Table2[[#This Row],[Points 2025]]/2)+SUM(Table2[[#This Row],[O1  ADMIN 2026]:[P2    CAPE TOWN OPEN 2026 ]])</f>
        <v>1.7841796875</v>
      </c>
      <c r="I343" s="880">
        <f t="shared" si="32"/>
        <v>0</v>
      </c>
      <c r="J343" s="882">
        <f t="shared" si="34"/>
        <v>0</v>
      </c>
      <c r="K343" s="887" t="s">
        <v>6083</v>
      </c>
      <c r="L343" s="887" t="s">
        <v>6083</v>
      </c>
      <c r="M343" s="887" t="s">
        <v>6083</v>
      </c>
      <c r="N343" s="887"/>
      <c r="O343" s="882"/>
      <c r="P343" s="882"/>
      <c r="Q343" s="888"/>
      <c r="R343" s="888"/>
      <c r="S343" s="882"/>
      <c r="T343" s="888"/>
      <c r="U343" s="882"/>
      <c r="V343" s="887"/>
      <c r="W343" s="888"/>
      <c r="X343" s="882"/>
      <c r="Y343" s="888"/>
      <c r="Z343" s="882"/>
      <c r="AA343" s="882"/>
      <c r="AB343" s="882"/>
      <c r="AC343" s="882"/>
      <c r="AD343" s="882"/>
      <c r="AE343" s="882"/>
      <c r="AF343" s="882"/>
      <c r="AG343" s="882"/>
      <c r="AH343" s="882"/>
      <c r="AI343" s="882"/>
      <c r="AJ343" s="882"/>
      <c r="AK343" s="882"/>
      <c r="AL343" s="889"/>
    </row>
    <row r="344" spans="1:38" s="890" customFormat="1">
      <c r="A344" s="882">
        <v>254</v>
      </c>
      <c r="B344" s="891">
        <f t="shared" si="31"/>
        <v>-86</v>
      </c>
      <c r="C344" s="882">
        <f t="shared" si="33"/>
        <v>340</v>
      </c>
      <c r="D344" s="883">
        <v>2505</v>
      </c>
      <c r="E344" s="884" t="str">
        <f>IFERROR(VLOOKUP(Table2[[#This Row],[Player No]],Table10[[No]:[Province]],2,0),"")</f>
        <v xml:space="preserve">RAJIE Yusuf </v>
      </c>
      <c r="F344" s="885" t="str">
        <f>IFERROR(VLOOKUP(Table2[[#This Row],[Player No]],Table10[[No]:[Province]],3,0),"")</f>
        <v>CT</v>
      </c>
      <c r="G344" s="892">
        <v>3.53125</v>
      </c>
      <c r="H344" s="886">
        <f>(Table2[[#This Row],[Points 2025]]/2)+SUM(Table2[[#This Row],[O1  ADMIN 2026]:[P2    CAPE TOWN OPEN 2026 ]])</f>
        <v>1.765625</v>
      </c>
      <c r="I344" s="880">
        <f t="shared" si="32"/>
        <v>0</v>
      </c>
      <c r="J344" s="882">
        <f t="shared" si="34"/>
        <v>0</v>
      </c>
      <c r="K344" s="887" t="s">
        <v>6083</v>
      </c>
      <c r="L344" s="887" t="s">
        <v>6083</v>
      </c>
      <c r="M344" s="887" t="s">
        <v>6083</v>
      </c>
      <c r="N344" s="887"/>
      <c r="O344" s="882"/>
      <c r="P344" s="882"/>
      <c r="Q344" s="888"/>
      <c r="R344" s="888"/>
      <c r="S344" s="882"/>
      <c r="T344" s="888"/>
      <c r="U344" s="882"/>
      <c r="V344" s="887"/>
      <c r="W344" s="888"/>
      <c r="X344" s="882"/>
      <c r="Y344" s="888"/>
      <c r="Z344" s="882"/>
      <c r="AA344" s="882"/>
      <c r="AB344" s="882">
        <v>2</v>
      </c>
      <c r="AC344" s="882"/>
      <c r="AD344" s="882"/>
      <c r="AE344" s="882"/>
      <c r="AF344" s="882"/>
      <c r="AG344" s="882"/>
      <c r="AH344" s="882"/>
      <c r="AI344" s="882"/>
      <c r="AJ344" s="882"/>
      <c r="AK344" s="882"/>
      <c r="AL344" s="889"/>
    </row>
    <row r="345" spans="1:38" s="890" customFormat="1">
      <c r="A345" s="882">
        <v>262</v>
      </c>
      <c r="B345" s="891">
        <f t="shared" si="31"/>
        <v>-79</v>
      </c>
      <c r="C345" s="882">
        <f t="shared" si="33"/>
        <v>341</v>
      </c>
      <c r="D345" s="883">
        <v>3820</v>
      </c>
      <c r="E345" s="884" t="str">
        <f>IFERROR(VLOOKUP(Table2[[#This Row],[Player No]],Table10[[No]:[Province]],2,0),"")</f>
        <v>GONI Alungile</v>
      </c>
      <c r="F345" s="885" t="str">
        <f>IFERROR(VLOOKUP(Table2[[#This Row],[Player No]],Table10[[No]:[Province]],3,0),"")</f>
        <v>EC</v>
      </c>
      <c r="G345" s="892">
        <v>3.5</v>
      </c>
      <c r="H345" s="886">
        <f>(Table2[[#This Row],[Points 2025]]/2)+SUM(Table2[[#This Row],[O1  ADMIN 2026]:[P2    CAPE TOWN OPEN 2026 ]])</f>
        <v>1.75</v>
      </c>
      <c r="I345" s="880">
        <f t="shared" si="32"/>
        <v>0</v>
      </c>
      <c r="J345" s="882">
        <f t="shared" si="34"/>
        <v>0</v>
      </c>
      <c r="K345" s="887" t="s">
        <v>6083</v>
      </c>
      <c r="L345" s="887" t="s">
        <v>6083</v>
      </c>
      <c r="M345" s="887" t="s">
        <v>6083</v>
      </c>
      <c r="N345" s="887"/>
      <c r="O345" s="882"/>
      <c r="P345" s="882"/>
      <c r="Q345" s="888"/>
      <c r="R345" s="888"/>
      <c r="S345" s="882"/>
      <c r="T345" s="888"/>
      <c r="U345" s="882"/>
      <c r="V345" s="887">
        <v>2</v>
      </c>
      <c r="W345" s="888"/>
      <c r="X345" s="882"/>
      <c r="Y345" s="888"/>
      <c r="Z345" s="882"/>
      <c r="AA345" s="882"/>
      <c r="AB345" s="882"/>
      <c r="AC345" s="882"/>
      <c r="AD345" s="882"/>
      <c r="AE345" s="882"/>
      <c r="AF345" s="882"/>
      <c r="AG345" s="882"/>
      <c r="AH345" s="882"/>
      <c r="AI345" s="882"/>
      <c r="AJ345" s="882">
        <v>3</v>
      </c>
      <c r="AK345" s="882"/>
      <c r="AL345" s="889"/>
    </row>
    <row r="346" spans="1:38" s="890" customFormat="1">
      <c r="A346" s="882">
        <v>418</v>
      </c>
      <c r="B346" s="891">
        <f t="shared" si="31"/>
        <v>76</v>
      </c>
      <c r="C346" s="882">
        <f t="shared" si="33"/>
        <v>342</v>
      </c>
      <c r="D346" s="883">
        <v>3829</v>
      </c>
      <c r="E346" s="884" t="str">
        <f>IFERROR(VLOOKUP(Table2[[#This Row],[Player No]],Table10[[No]:[Province]],2,0),"")</f>
        <v>PHUSHUDI Sello</v>
      </c>
      <c r="F346" s="885" t="str">
        <f>IFERROR(VLOOKUP(Table2[[#This Row],[Player No]],Table10[[No]:[Province]],3,0),"")</f>
        <v>EC</v>
      </c>
      <c r="G346" s="892">
        <v>3.5</v>
      </c>
      <c r="H346" s="886">
        <f>(Table2[[#This Row],[Points 2025]]/2)+SUM(Table2[[#This Row],[O1  ADMIN 2026]:[P2    CAPE TOWN OPEN 2026 ]])</f>
        <v>1.75</v>
      </c>
      <c r="I346" s="880">
        <f t="shared" si="32"/>
        <v>0</v>
      </c>
      <c r="J346" s="882">
        <f t="shared" si="34"/>
        <v>0</v>
      </c>
      <c r="K346" s="887" t="s">
        <v>6083</v>
      </c>
      <c r="L346" s="887" t="s">
        <v>6083</v>
      </c>
      <c r="M346" s="887" t="s">
        <v>6083</v>
      </c>
      <c r="N346" s="887"/>
      <c r="O346" s="882"/>
      <c r="P346" s="882"/>
      <c r="Q346" s="888"/>
      <c r="R346" s="888"/>
      <c r="S346" s="882"/>
      <c r="T346" s="888"/>
      <c r="U346" s="882"/>
      <c r="V346" s="887"/>
      <c r="W346" s="888"/>
      <c r="X346" s="882"/>
      <c r="Y346" s="888"/>
      <c r="Z346" s="882">
        <v>3</v>
      </c>
      <c r="AA346" s="882"/>
      <c r="AB346" s="882"/>
      <c r="AC346" s="882"/>
      <c r="AD346" s="882"/>
      <c r="AE346" s="882"/>
      <c r="AF346" s="882"/>
      <c r="AG346" s="882"/>
      <c r="AH346" s="882"/>
      <c r="AI346" s="882"/>
      <c r="AJ346" s="882">
        <v>1</v>
      </c>
      <c r="AK346" s="882"/>
      <c r="AL346" s="889"/>
    </row>
    <row r="347" spans="1:38" s="890" customFormat="1">
      <c r="A347" s="882"/>
      <c r="B347" s="891"/>
      <c r="C347" s="882">
        <f t="shared" si="33"/>
        <v>343</v>
      </c>
      <c r="D347" s="893">
        <v>4137</v>
      </c>
      <c r="E347" s="884" t="str">
        <f>IFERROR(VLOOKUP(Table2[[#This Row],[Player No]],Table10[[No]:[Province]],2,0),"")</f>
        <v xml:space="preserve">Mketho Scelo </v>
      </c>
      <c r="F347" s="885" t="str">
        <f>IFERROR(VLOOKUP(Table2[[#This Row],[Player No]],Table10[[No]:[Province]],3,0),"")</f>
        <v>CT</v>
      </c>
      <c r="G347" s="892">
        <v>3.5</v>
      </c>
      <c r="H347" s="886">
        <f>(Table2[[#This Row],[Points 2025]]/2)+SUM(Table2[[#This Row],[O1  ADMIN 2026]:[P2    CAPE TOWN OPEN 2026 ]])</f>
        <v>1.75</v>
      </c>
      <c r="I347" s="880">
        <f t="shared" si="32"/>
        <v>0</v>
      </c>
      <c r="J347" s="882">
        <f t="shared" si="34"/>
        <v>0</v>
      </c>
      <c r="K347" s="887" t="s">
        <v>6083</v>
      </c>
      <c r="L347" s="887" t="s">
        <v>6083</v>
      </c>
      <c r="M347" s="887" t="s">
        <v>6083</v>
      </c>
      <c r="N347" s="887"/>
      <c r="O347" s="882"/>
      <c r="P347" s="882"/>
      <c r="Q347" s="888"/>
      <c r="R347" s="888"/>
      <c r="S347" s="882"/>
      <c r="T347" s="888"/>
      <c r="U347" s="882"/>
      <c r="V347" s="887"/>
      <c r="W347" s="888"/>
      <c r="X347" s="882"/>
      <c r="Y347" s="888"/>
      <c r="Z347" s="882"/>
      <c r="AA347" s="882"/>
      <c r="AB347" s="882">
        <v>2</v>
      </c>
      <c r="AC347" s="882"/>
      <c r="AD347" s="882"/>
      <c r="AE347" s="882">
        <v>3</v>
      </c>
      <c r="AF347" s="882"/>
      <c r="AG347" s="882"/>
      <c r="AH347" s="882"/>
      <c r="AI347" s="882"/>
      <c r="AJ347" s="882"/>
      <c r="AK347" s="882"/>
      <c r="AL347" s="889"/>
    </row>
    <row r="348" spans="1:38" s="890" customFormat="1">
      <c r="A348" s="882">
        <v>410</v>
      </c>
      <c r="B348" s="891">
        <f t="shared" ref="B348:B369" si="35">+A348-C348</f>
        <v>66</v>
      </c>
      <c r="C348" s="882">
        <f t="shared" si="33"/>
        <v>344</v>
      </c>
      <c r="D348" s="883">
        <v>3823</v>
      </c>
      <c r="E348" s="884" t="str">
        <f>IFERROR(VLOOKUP(Table2[[#This Row],[Player No]],Table10[[No]:[Province]],2,0),"")</f>
        <v>MC LEOD Ian</v>
      </c>
      <c r="F348" s="885" t="str">
        <f>IFERROR(VLOOKUP(Table2[[#This Row],[Player No]],Table10[[No]:[Province]],3,0),"")</f>
        <v>GN</v>
      </c>
      <c r="G348" s="892">
        <v>1.5</v>
      </c>
      <c r="H348" s="886">
        <f>(Table2[[#This Row],[Points 2025]]/2)+SUM(Table2[[#This Row],[O1  ADMIN 2026]:[P2    CAPE TOWN OPEN 2026 ]])</f>
        <v>1.75</v>
      </c>
      <c r="I348" s="880">
        <f t="shared" si="32"/>
        <v>1</v>
      </c>
      <c r="J348" s="882">
        <f t="shared" si="34"/>
        <v>0</v>
      </c>
      <c r="K348" s="887">
        <v>1</v>
      </c>
      <c r="L348" s="887" t="s">
        <v>6083</v>
      </c>
      <c r="M348" s="887" t="s">
        <v>6083</v>
      </c>
      <c r="N348" s="887"/>
      <c r="O348" s="882"/>
      <c r="P348" s="882"/>
      <c r="Q348" s="888"/>
      <c r="R348" s="888"/>
      <c r="S348" s="882"/>
      <c r="T348" s="888"/>
      <c r="U348" s="882"/>
      <c r="V348" s="887"/>
      <c r="W348" s="888"/>
      <c r="X348" s="882"/>
      <c r="Y348" s="888">
        <v>1</v>
      </c>
      <c r="Z348" s="882"/>
      <c r="AA348" s="882"/>
      <c r="AB348" s="882"/>
      <c r="AC348" s="882"/>
      <c r="AD348" s="882"/>
      <c r="AE348" s="882"/>
      <c r="AF348" s="882"/>
      <c r="AG348" s="882"/>
      <c r="AH348" s="882"/>
      <c r="AI348" s="882"/>
      <c r="AJ348" s="882">
        <v>1</v>
      </c>
      <c r="AK348" s="882"/>
      <c r="AL348" s="889"/>
    </row>
    <row r="349" spans="1:38" s="890" customFormat="1">
      <c r="A349" s="882">
        <v>414</v>
      </c>
      <c r="B349" s="891">
        <f t="shared" si="35"/>
        <v>69</v>
      </c>
      <c r="C349" s="882">
        <f t="shared" si="33"/>
        <v>345</v>
      </c>
      <c r="D349" s="883">
        <v>3827</v>
      </c>
      <c r="E349" s="884" t="str">
        <f>IFERROR(VLOOKUP(Table2[[#This Row],[Player No]],Table10[[No]:[Province]],2,0),"")</f>
        <v>MC LEOD Leonard</v>
      </c>
      <c r="F349" s="885" t="str">
        <f>IFERROR(VLOOKUP(Table2[[#This Row],[Player No]],Table10[[No]:[Province]],3,0),"")</f>
        <v>GN</v>
      </c>
      <c r="G349" s="892">
        <v>1.5</v>
      </c>
      <c r="H349" s="886">
        <f>(Table2[[#This Row],[Points 2025]]/2)+SUM(Table2[[#This Row],[O1  ADMIN 2026]:[P2    CAPE TOWN OPEN 2026 ]])</f>
        <v>1.75</v>
      </c>
      <c r="I349" s="880">
        <f t="shared" si="32"/>
        <v>1</v>
      </c>
      <c r="J349" s="882">
        <f t="shared" si="34"/>
        <v>0</v>
      </c>
      <c r="K349" s="887">
        <v>1</v>
      </c>
      <c r="L349" s="887" t="s">
        <v>6083</v>
      </c>
      <c r="M349" s="887" t="s">
        <v>6083</v>
      </c>
      <c r="N349" s="887"/>
      <c r="O349" s="882"/>
      <c r="P349" s="882"/>
      <c r="Q349" s="888"/>
      <c r="R349" s="888"/>
      <c r="S349" s="882"/>
      <c r="T349" s="888"/>
      <c r="U349" s="882"/>
      <c r="V349" s="887"/>
      <c r="W349" s="888"/>
      <c r="X349" s="882"/>
      <c r="Y349" s="888">
        <v>1</v>
      </c>
      <c r="Z349" s="882"/>
      <c r="AA349" s="882"/>
      <c r="AB349" s="882"/>
      <c r="AC349" s="882"/>
      <c r="AD349" s="882"/>
      <c r="AE349" s="882"/>
      <c r="AF349" s="882"/>
      <c r="AG349" s="882"/>
      <c r="AH349" s="882"/>
      <c r="AI349" s="882"/>
      <c r="AJ349" s="882">
        <v>1</v>
      </c>
      <c r="AK349" s="882"/>
      <c r="AL349" s="889"/>
    </row>
    <row r="350" spans="1:38" s="890" customFormat="1">
      <c r="A350" s="882">
        <v>268</v>
      </c>
      <c r="B350" s="891">
        <f t="shared" si="35"/>
        <v>-78</v>
      </c>
      <c r="C350" s="882">
        <f t="shared" si="33"/>
        <v>346</v>
      </c>
      <c r="D350" s="883">
        <v>1177</v>
      </c>
      <c r="E350" s="884" t="str">
        <f>IFERROR(VLOOKUP(Table2[[#This Row],[Player No]],Table10[[No]:[Province]],2,0),"")</f>
        <v>HEARNE Thomas</v>
      </c>
      <c r="F350" s="885" t="str">
        <f>IFERROR(VLOOKUP(Table2[[#This Row],[Player No]],Table10[[No]:[Province]],3,0),"")</f>
        <v>JTTA</v>
      </c>
      <c r="G350" s="892">
        <v>3.47265625</v>
      </c>
      <c r="H350" s="886">
        <f>(Table2[[#This Row],[Points 2025]]/2)+SUM(Table2[[#This Row],[O1  ADMIN 2026]:[P2    CAPE TOWN OPEN 2026 ]])</f>
        <v>1.736328125</v>
      </c>
      <c r="I350" s="880">
        <f t="shared" si="32"/>
        <v>0</v>
      </c>
      <c r="J350" s="882">
        <f t="shared" si="34"/>
        <v>0</v>
      </c>
      <c r="K350" s="887" t="s">
        <v>6083</v>
      </c>
      <c r="L350" s="887" t="s">
        <v>6083</v>
      </c>
      <c r="M350" s="887" t="s">
        <v>6083</v>
      </c>
      <c r="N350" s="887"/>
      <c r="O350" s="882"/>
      <c r="P350" s="882"/>
      <c r="Q350" s="888"/>
      <c r="R350" s="888"/>
      <c r="S350" s="882"/>
      <c r="T350" s="888"/>
      <c r="U350" s="882"/>
      <c r="V350" s="887"/>
      <c r="W350" s="888"/>
      <c r="X350" s="882"/>
      <c r="Y350" s="888"/>
      <c r="Z350" s="882"/>
      <c r="AA350" s="882"/>
      <c r="AB350" s="882"/>
      <c r="AC350" s="882"/>
      <c r="AD350" s="882"/>
      <c r="AE350" s="882"/>
      <c r="AF350" s="882"/>
      <c r="AG350" s="882"/>
      <c r="AH350" s="882">
        <v>2</v>
      </c>
      <c r="AI350" s="882">
        <v>2</v>
      </c>
      <c r="AJ350" s="882"/>
      <c r="AK350" s="882">
        <v>2</v>
      </c>
      <c r="AL350" s="889"/>
    </row>
    <row r="351" spans="1:38" s="890" customFormat="1">
      <c r="A351" s="882">
        <v>269</v>
      </c>
      <c r="B351" s="891">
        <f t="shared" si="35"/>
        <v>-78</v>
      </c>
      <c r="C351" s="882">
        <f t="shared" si="33"/>
        <v>347</v>
      </c>
      <c r="D351" s="883">
        <v>2555</v>
      </c>
      <c r="E351" s="884" t="str">
        <f>IFERROR(VLOOKUP(Table2[[#This Row],[Player No]],Table10[[No]:[Province]],2,0),"")</f>
        <v>ROCKMAN Roger</v>
      </c>
      <c r="F351" s="885" t="str">
        <f>IFERROR(VLOOKUP(Table2[[#This Row],[Player No]],Table10[[No]:[Province]],3,0),"")</f>
        <v>NMB</v>
      </c>
      <c r="G351" s="892">
        <v>3.46875</v>
      </c>
      <c r="H351" s="886">
        <f>(Table2[[#This Row],[Points 2025]]/2)+SUM(Table2[[#This Row],[O1  ADMIN 2026]:[P2    CAPE TOWN OPEN 2026 ]])</f>
        <v>1.734375</v>
      </c>
      <c r="I351" s="880">
        <f t="shared" si="32"/>
        <v>0</v>
      </c>
      <c r="J351" s="882">
        <f t="shared" si="34"/>
        <v>0</v>
      </c>
      <c r="K351" s="887" t="s">
        <v>6083</v>
      </c>
      <c r="L351" s="887" t="s">
        <v>6083</v>
      </c>
      <c r="M351" s="887" t="s">
        <v>6083</v>
      </c>
      <c r="N351" s="887"/>
      <c r="O351" s="882"/>
      <c r="P351" s="882"/>
      <c r="Q351" s="888"/>
      <c r="R351" s="888"/>
      <c r="S351" s="882"/>
      <c r="T351" s="888"/>
      <c r="U351" s="882"/>
      <c r="V351" s="887">
        <v>2</v>
      </c>
      <c r="W351" s="888"/>
      <c r="X351" s="882"/>
      <c r="Y351" s="888"/>
      <c r="Z351" s="882"/>
      <c r="AA351" s="882"/>
      <c r="AB351" s="882"/>
      <c r="AC351" s="882"/>
      <c r="AD351" s="882"/>
      <c r="AE351" s="882"/>
      <c r="AF351" s="882"/>
      <c r="AG351" s="882"/>
      <c r="AH351" s="882"/>
      <c r="AI351" s="882"/>
      <c r="AJ351" s="882"/>
      <c r="AK351" s="882"/>
      <c r="AL351" s="889"/>
    </row>
    <row r="352" spans="1:38" s="890" customFormat="1">
      <c r="A352" s="882">
        <v>342</v>
      </c>
      <c r="B352" s="891">
        <f t="shared" si="35"/>
        <v>-6</v>
      </c>
      <c r="C352" s="882">
        <f t="shared" si="33"/>
        <v>348</v>
      </c>
      <c r="D352" s="883">
        <v>2161</v>
      </c>
      <c r="E352" s="884" t="str">
        <f>IFERROR(VLOOKUP(Table2[[#This Row],[Player No]],Table10[[No]:[Province]],2,0),"")</f>
        <v>THERON Raywin</v>
      </c>
      <c r="F352" s="885" t="str">
        <f>IFERROR(VLOOKUP(Table2[[#This Row],[Player No]],Table10[[No]:[Province]],3,0),"")</f>
        <v>EDEN</v>
      </c>
      <c r="G352" s="892">
        <v>3.4375</v>
      </c>
      <c r="H352" s="886">
        <f>(Table2[[#This Row],[Points 2025]]/2)+SUM(Table2[[#This Row],[O1  ADMIN 2026]:[P2    CAPE TOWN OPEN 2026 ]])</f>
        <v>1.71875</v>
      </c>
      <c r="I352" s="880">
        <f t="shared" si="32"/>
        <v>0</v>
      </c>
      <c r="J352" s="882">
        <f t="shared" si="34"/>
        <v>0</v>
      </c>
      <c r="K352" s="887" t="s">
        <v>6083</v>
      </c>
      <c r="L352" s="887" t="s">
        <v>6083</v>
      </c>
      <c r="M352" s="887" t="s">
        <v>6083</v>
      </c>
      <c r="N352" s="887"/>
      <c r="O352" s="882"/>
      <c r="P352" s="882"/>
      <c r="Q352" s="888"/>
      <c r="R352" s="888"/>
      <c r="S352" s="882"/>
      <c r="T352" s="888"/>
      <c r="U352" s="882"/>
      <c r="V352" s="887"/>
      <c r="W352" s="888"/>
      <c r="X352" s="882"/>
      <c r="Y352" s="888"/>
      <c r="Z352" s="882"/>
      <c r="AA352" s="882"/>
      <c r="AB352" s="882"/>
      <c r="AC352" s="882"/>
      <c r="AD352" s="882"/>
      <c r="AE352" s="882">
        <v>2</v>
      </c>
      <c r="AF352" s="882">
        <v>5</v>
      </c>
      <c r="AG352" s="882"/>
      <c r="AH352" s="882"/>
      <c r="AI352" s="882"/>
      <c r="AJ352" s="882"/>
      <c r="AK352" s="882"/>
      <c r="AL352" s="889"/>
    </row>
    <row r="353" spans="1:38" s="890" customFormat="1">
      <c r="A353" s="882">
        <v>176</v>
      </c>
      <c r="B353" s="891">
        <f t="shared" si="35"/>
        <v>-173</v>
      </c>
      <c r="C353" s="882">
        <f t="shared" si="33"/>
        <v>349</v>
      </c>
      <c r="D353" s="883">
        <v>1008</v>
      </c>
      <c r="E353" s="884" t="str">
        <f>IFERROR(VLOOKUP(Table2[[#This Row],[Player No]],Table10[[No]:[Province]],2,0),"")</f>
        <v xml:space="preserve">RENSBURG Gary </v>
      </c>
      <c r="F353" s="885" t="str">
        <f>IFERROR(VLOOKUP(Table2[[#This Row],[Player No]],Table10[[No]:[Province]],3,0),"")</f>
        <v>CT</v>
      </c>
      <c r="G353" s="892">
        <v>3.43359375</v>
      </c>
      <c r="H353" s="886">
        <f>(Table2[[#This Row],[Points 2025]]/2)+SUM(Table2[[#This Row],[O1  ADMIN 2026]:[P2    CAPE TOWN OPEN 2026 ]])</f>
        <v>1.716796875</v>
      </c>
      <c r="I353" s="880">
        <f t="shared" si="32"/>
        <v>0</v>
      </c>
      <c r="J353" s="882">
        <f t="shared" si="34"/>
        <v>0</v>
      </c>
      <c r="K353" s="887" t="s">
        <v>6083</v>
      </c>
      <c r="L353" s="887" t="s">
        <v>6083</v>
      </c>
      <c r="M353" s="887" t="s">
        <v>6083</v>
      </c>
      <c r="N353" s="887"/>
      <c r="O353" s="882"/>
      <c r="P353" s="882"/>
      <c r="Q353" s="888"/>
      <c r="R353" s="888"/>
      <c r="S353" s="882"/>
      <c r="T353" s="888"/>
      <c r="U353" s="882"/>
      <c r="V353" s="887"/>
      <c r="W353" s="888"/>
      <c r="X353" s="882"/>
      <c r="Y353" s="888"/>
      <c r="Z353" s="882"/>
      <c r="AA353" s="882"/>
      <c r="AB353" s="882"/>
      <c r="AC353" s="882"/>
      <c r="AD353" s="882"/>
      <c r="AE353" s="882"/>
      <c r="AF353" s="882"/>
      <c r="AG353" s="882"/>
      <c r="AH353" s="882"/>
      <c r="AI353" s="882"/>
      <c r="AJ353" s="882"/>
      <c r="AK353" s="882"/>
      <c r="AL353" s="889"/>
    </row>
    <row r="354" spans="1:38" s="890" customFormat="1">
      <c r="A354" s="882">
        <v>215</v>
      </c>
      <c r="B354" s="891">
        <f t="shared" si="35"/>
        <v>-135</v>
      </c>
      <c r="C354" s="882">
        <f t="shared" si="33"/>
        <v>350</v>
      </c>
      <c r="D354" s="883">
        <v>2756</v>
      </c>
      <c r="E354" s="884" t="str">
        <f>IFERROR(VLOOKUP(Table2[[#This Row],[Player No]],Table10[[No]:[Province]],2,0),"")</f>
        <v>MANEY Vernon</v>
      </c>
      <c r="F354" s="885" t="str">
        <f>IFERROR(VLOOKUP(Table2[[#This Row],[Player No]],Table10[[No]:[Province]],3,0),"")</f>
        <v>JTTA</v>
      </c>
      <c r="G354" s="892">
        <v>3.375</v>
      </c>
      <c r="H354" s="886">
        <f>(Table2[[#This Row],[Points 2025]]/2)+SUM(Table2[[#This Row],[O1  ADMIN 2026]:[P2    CAPE TOWN OPEN 2026 ]])</f>
        <v>1.6875</v>
      </c>
      <c r="I354" s="880">
        <f t="shared" si="32"/>
        <v>0</v>
      </c>
      <c r="J354" s="882">
        <f t="shared" si="34"/>
        <v>0</v>
      </c>
      <c r="K354" s="887" t="s">
        <v>6083</v>
      </c>
      <c r="L354" s="887" t="s">
        <v>6083</v>
      </c>
      <c r="M354" s="887" t="s">
        <v>6083</v>
      </c>
      <c r="N354" s="887"/>
      <c r="O354" s="882"/>
      <c r="P354" s="882"/>
      <c r="Q354" s="888"/>
      <c r="R354" s="888"/>
      <c r="S354" s="882"/>
      <c r="T354" s="888"/>
      <c r="U354" s="882"/>
      <c r="V354" s="887"/>
      <c r="W354" s="888"/>
      <c r="X354" s="882"/>
      <c r="Y354" s="888"/>
      <c r="Z354" s="882"/>
      <c r="AA354" s="882"/>
      <c r="AB354" s="882"/>
      <c r="AC354" s="882"/>
      <c r="AD354" s="882"/>
      <c r="AE354" s="882"/>
      <c r="AF354" s="882"/>
      <c r="AG354" s="882"/>
      <c r="AH354" s="882"/>
      <c r="AI354" s="882">
        <v>2</v>
      </c>
      <c r="AJ354" s="882">
        <v>1</v>
      </c>
      <c r="AK354" s="882"/>
      <c r="AL354" s="889"/>
    </row>
    <row r="355" spans="1:38" s="890" customFormat="1">
      <c r="A355" s="882">
        <v>353</v>
      </c>
      <c r="B355" s="891">
        <f t="shared" si="35"/>
        <v>2</v>
      </c>
      <c r="C355" s="882">
        <f t="shared" si="33"/>
        <v>351</v>
      </c>
      <c r="D355" s="883">
        <v>1055</v>
      </c>
      <c r="E355" s="884" t="str">
        <f>IFERROR(VLOOKUP(Table2[[#This Row],[Player No]],Table10[[No]:[Province]],2,0),"")</f>
        <v xml:space="preserve">PATEL Bavik </v>
      </c>
      <c r="F355" s="885" t="str">
        <f>IFERROR(VLOOKUP(Table2[[#This Row],[Player No]],Table10[[No]:[Province]],3,0),"")</f>
        <v>JTTA</v>
      </c>
      <c r="G355" s="892">
        <v>3.30859375</v>
      </c>
      <c r="H355" s="886">
        <f>(Table2[[#This Row],[Points 2025]]/2)+SUM(Table2[[#This Row],[O1  ADMIN 2026]:[P2    CAPE TOWN OPEN 2026 ]])</f>
        <v>1.654296875</v>
      </c>
      <c r="I355" s="880">
        <f t="shared" si="32"/>
        <v>0</v>
      </c>
      <c r="J355" s="882">
        <f t="shared" si="34"/>
        <v>0</v>
      </c>
      <c r="K355" s="887" t="s">
        <v>6083</v>
      </c>
      <c r="L355" s="887" t="s">
        <v>6083</v>
      </c>
      <c r="M355" s="887" t="s">
        <v>6083</v>
      </c>
      <c r="N355" s="887"/>
      <c r="O355" s="882"/>
      <c r="P355" s="882"/>
      <c r="Q355" s="888"/>
      <c r="R355" s="888"/>
      <c r="S355" s="882"/>
      <c r="T355" s="888"/>
      <c r="U355" s="882"/>
      <c r="V355" s="887"/>
      <c r="W355" s="888"/>
      <c r="X355" s="882"/>
      <c r="Y355" s="888"/>
      <c r="Z355" s="882"/>
      <c r="AA355" s="882"/>
      <c r="AB355" s="882"/>
      <c r="AC355" s="882"/>
      <c r="AD355" s="882"/>
      <c r="AE355" s="882"/>
      <c r="AF355" s="882"/>
      <c r="AG355" s="882"/>
      <c r="AH355" s="882"/>
      <c r="AI355" s="882">
        <v>5</v>
      </c>
      <c r="AJ355" s="882"/>
      <c r="AK355" s="882"/>
      <c r="AL355" s="889"/>
    </row>
    <row r="356" spans="1:38" s="890" customFormat="1">
      <c r="A356" s="882">
        <v>177</v>
      </c>
      <c r="B356" s="891">
        <f t="shared" si="35"/>
        <v>-175</v>
      </c>
      <c r="C356" s="882">
        <f t="shared" si="33"/>
        <v>352</v>
      </c>
      <c r="D356" s="883">
        <v>1014</v>
      </c>
      <c r="E356" s="884" t="str">
        <f>IFERROR(VLOOKUP(Table2[[#This Row],[Player No]],Table10[[No]:[Province]],2,0),"")</f>
        <v xml:space="preserve">MOOSA Zakeer </v>
      </c>
      <c r="F356" s="885" t="str">
        <f>IFERROR(VLOOKUP(Table2[[#This Row],[Player No]],Table10[[No]:[Province]],3,0),"")</f>
        <v>CT</v>
      </c>
      <c r="G356" s="892">
        <v>3.26953125</v>
      </c>
      <c r="H356" s="886">
        <f>(Table2[[#This Row],[Points 2025]]/2)+SUM(Table2[[#This Row],[O1  ADMIN 2026]:[P2    CAPE TOWN OPEN 2026 ]])</f>
        <v>1.634765625</v>
      </c>
      <c r="I356" s="880">
        <f t="shared" si="32"/>
        <v>0</v>
      </c>
      <c r="J356" s="882">
        <f t="shared" si="34"/>
        <v>0</v>
      </c>
      <c r="K356" s="887" t="s">
        <v>6083</v>
      </c>
      <c r="L356" s="887" t="s">
        <v>6083</v>
      </c>
      <c r="M356" s="887" t="s">
        <v>6083</v>
      </c>
      <c r="N356" s="887"/>
      <c r="O356" s="882"/>
      <c r="P356" s="882"/>
      <c r="Q356" s="888"/>
      <c r="R356" s="888"/>
      <c r="S356" s="882"/>
      <c r="T356" s="888"/>
      <c r="U356" s="882"/>
      <c r="V356" s="887"/>
      <c r="W356" s="888"/>
      <c r="X356" s="882"/>
      <c r="Y356" s="888"/>
      <c r="Z356" s="882"/>
      <c r="AA356" s="882"/>
      <c r="AB356" s="882"/>
      <c r="AC356" s="882"/>
      <c r="AD356" s="882"/>
      <c r="AE356" s="882"/>
      <c r="AF356" s="882"/>
      <c r="AG356" s="882"/>
      <c r="AH356" s="882"/>
      <c r="AI356" s="882"/>
      <c r="AJ356" s="882"/>
      <c r="AK356" s="882"/>
      <c r="AL356" s="889"/>
    </row>
    <row r="357" spans="1:38" s="890" customFormat="1">
      <c r="A357" s="882">
        <v>485</v>
      </c>
      <c r="B357" s="891">
        <f t="shared" si="35"/>
        <v>132</v>
      </c>
      <c r="C357" s="882">
        <f t="shared" si="33"/>
        <v>353</v>
      </c>
      <c r="D357" s="883">
        <v>2595</v>
      </c>
      <c r="E357" s="884" t="str">
        <f>IFERROR(VLOOKUP(Table2[[#This Row],[Player No]],Table10[[No]:[Province]],2,0),"")</f>
        <v>BIGGAS Jared</v>
      </c>
      <c r="F357" s="885" t="str">
        <f>IFERROR(VLOOKUP(Table2[[#This Row],[Player No]],Table10[[No]:[Province]],3,0),"")</f>
        <v>ETTA</v>
      </c>
      <c r="G357" s="892">
        <v>3.25</v>
      </c>
      <c r="H357" s="886">
        <f>(Table2[[#This Row],[Points 2025]]/2)+SUM(Table2[[#This Row],[O1  ADMIN 2026]:[P2    CAPE TOWN OPEN 2026 ]])</f>
        <v>1.625</v>
      </c>
      <c r="I357" s="880">
        <f t="shared" si="32"/>
        <v>0</v>
      </c>
      <c r="J357" s="882">
        <f t="shared" si="34"/>
        <v>0</v>
      </c>
      <c r="K357" s="887" t="s">
        <v>6083</v>
      </c>
      <c r="L357" s="887" t="s">
        <v>6083</v>
      </c>
      <c r="M357" s="887" t="s">
        <v>6083</v>
      </c>
      <c r="N357" s="887"/>
      <c r="O357" s="882"/>
      <c r="P357" s="882"/>
      <c r="Q357" s="888"/>
      <c r="R357" s="888">
        <v>3</v>
      </c>
      <c r="S357" s="882"/>
      <c r="T357" s="888"/>
      <c r="U357" s="882"/>
      <c r="V357" s="887"/>
      <c r="W357" s="888"/>
      <c r="X357" s="882"/>
      <c r="Y357" s="888"/>
      <c r="Z357" s="882"/>
      <c r="AA357" s="882"/>
      <c r="AB357" s="882"/>
      <c r="AC357" s="882"/>
      <c r="AD357" s="882"/>
      <c r="AE357" s="882"/>
      <c r="AF357" s="882"/>
      <c r="AG357" s="882"/>
      <c r="AH357" s="882"/>
      <c r="AI357" s="882"/>
      <c r="AJ357" s="882"/>
      <c r="AK357" s="882"/>
      <c r="AL357" s="889"/>
    </row>
    <row r="358" spans="1:38" s="890" customFormat="1">
      <c r="A358" s="882">
        <v>180</v>
      </c>
      <c r="B358" s="891">
        <f t="shared" si="35"/>
        <v>-174</v>
      </c>
      <c r="C358" s="882">
        <f t="shared" si="33"/>
        <v>354</v>
      </c>
      <c r="D358" s="883">
        <v>3530</v>
      </c>
      <c r="E358" s="884" t="str">
        <f>IFERROR(VLOOKUP(Table2[[#This Row],[Player No]],Table10[[No]:[Province]],2,0),"")</f>
        <v>BESTER Benjie</v>
      </c>
      <c r="F358" s="885" t="str">
        <f>IFERROR(VLOOKUP(Table2[[#This Row],[Player No]],Table10[[No]:[Province]],3,0),"")</f>
        <v>FS</v>
      </c>
      <c r="G358" s="892">
        <v>3.25</v>
      </c>
      <c r="H358" s="886">
        <f>(Table2[[#This Row],[Points 2025]]/2)+SUM(Table2[[#This Row],[O1  ADMIN 2026]:[P2    CAPE TOWN OPEN 2026 ]])</f>
        <v>1.625</v>
      </c>
      <c r="I358" s="880">
        <f t="shared" si="32"/>
        <v>0</v>
      </c>
      <c r="J358" s="882">
        <f t="shared" si="34"/>
        <v>0</v>
      </c>
      <c r="K358" s="887" t="s">
        <v>6083</v>
      </c>
      <c r="L358" s="887" t="s">
        <v>6083</v>
      </c>
      <c r="M358" s="887" t="s">
        <v>6083</v>
      </c>
      <c r="N358" s="887"/>
      <c r="O358" s="882"/>
      <c r="P358" s="882"/>
      <c r="Q358" s="888"/>
      <c r="R358" s="888"/>
      <c r="S358" s="882"/>
      <c r="T358" s="888"/>
      <c r="U358" s="882"/>
      <c r="V358" s="887"/>
      <c r="W358" s="888"/>
      <c r="X358" s="882"/>
      <c r="Y358" s="888"/>
      <c r="Z358" s="882"/>
      <c r="AA358" s="882"/>
      <c r="AB358" s="882"/>
      <c r="AC358" s="882"/>
      <c r="AD358" s="882"/>
      <c r="AE358" s="882"/>
      <c r="AF358" s="882"/>
      <c r="AG358" s="882"/>
      <c r="AH358" s="882"/>
      <c r="AI358" s="882"/>
      <c r="AJ358" s="882">
        <v>1</v>
      </c>
      <c r="AK358" s="882"/>
      <c r="AL358" s="889"/>
    </row>
    <row r="359" spans="1:38" s="890" customFormat="1">
      <c r="A359" s="882">
        <v>183</v>
      </c>
      <c r="B359" s="891">
        <f t="shared" si="35"/>
        <v>-172</v>
      </c>
      <c r="C359" s="882">
        <f t="shared" si="33"/>
        <v>355</v>
      </c>
      <c r="D359" s="883">
        <v>3674</v>
      </c>
      <c r="E359" s="884" t="str">
        <f>IFERROR(VLOOKUP(Table2[[#This Row],[Player No]],Table10[[No]:[Province]],2,0),"")</f>
        <v>GOVENDER Nievasen</v>
      </c>
      <c r="F359" s="885" t="str">
        <f>IFERROR(VLOOKUP(Table2[[#This Row],[Player No]],Table10[[No]:[Province]],3,0),"")</f>
        <v>ETTA</v>
      </c>
      <c r="G359" s="892">
        <v>3.25</v>
      </c>
      <c r="H359" s="886">
        <f>(Table2[[#This Row],[Points 2025]]/2)+SUM(Table2[[#This Row],[O1  ADMIN 2026]:[P2    CAPE TOWN OPEN 2026 ]])</f>
        <v>1.625</v>
      </c>
      <c r="I359" s="880">
        <f t="shared" si="32"/>
        <v>0</v>
      </c>
      <c r="J359" s="882">
        <f t="shared" si="34"/>
        <v>0</v>
      </c>
      <c r="K359" s="887" t="s">
        <v>6083</v>
      </c>
      <c r="L359" s="887" t="s">
        <v>6083</v>
      </c>
      <c r="M359" s="887" t="s">
        <v>6083</v>
      </c>
      <c r="N359" s="887"/>
      <c r="O359" s="882"/>
      <c r="P359" s="882"/>
      <c r="Q359" s="888"/>
      <c r="R359" s="888"/>
      <c r="S359" s="882"/>
      <c r="T359" s="888"/>
      <c r="U359" s="882"/>
      <c r="V359" s="887"/>
      <c r="W359" s="888"/>
      <c r="X359" s="882"/>
      <c r="Y359" s="888"/>
      <c r="Z359" s="882"/>
      <c r="AA359" s="882"/>
      <c r="AB359" s="882"/>
      <c r="AC359" s="882">
        <v>2</v>
      </c>
      <c r="AD359" s="882">
        <v>2</v>
      </c>
      <c r="AE359" s="882"/>
      <c r="AF359" s="882"/>
      <c r="AG359" s="882"/>
      <c r="AH359" s="882"/>
      <c r="AI359" s="882"/>
      <c r="AJ359" s="882"/>
      <c r="AK359" s="882"/>
      <c r="AL359" s="889"/>
    </row>
    <row r="360" spans="1:38" s="890" customFormat="1">
      <c r="A360" s="882">
        <v>181</v>
      </c>
      <c r="B360" s="891">
        <f t="shared" si="35"/>
        <v>-175</v>
      </c>
      <c r="C360" s="882">
        <f t="shared" si="33"/>
        <v>356</v>
      </c>
      <c r="D360" s="883">
        <v>3721</v>
      </c>
      <c r="E360" s="884" t="str">
        <f>IFERROR(VLOOKUP(Table2[[#This Row],[Player No]],Table10[[No]:[Province]],2,0),"")</f>
        <v>LEWUS Liav</v>
      </c>
      <c r="F360" s="885" t="str">
        <f>IFERROR(VLOOKUP(Table2[[#This Row],[Player No]],Table10[[No]:[Province]],3,0),"")</f>
        <v>JTTA</v>
      </c>
      <c r="G360" s="892">
        <v>3.25</v>
      </c>
      <c r="H360" s="886">
        <f>(Table2[[#This Row],[Points 2025]]/2)+SUM(Table2[[#This Row],[O1  ADMIN 2026]:[P2    CAPE TOWN OPEN 2026 ]])</f>
        <v>1.625</v>
      </c>
      <c r="I360" s="880">
        <f t="shared" si="32"/>
        <v>0</v>
      </c>
      <c r="J360" s="882">
        <f t="shared" si="34"/>
        <v>0</v>
      </c>
      <c r="K360" s="887" t="s">
        <v>6083</v>
      </c>
      <c r="L360" s="887" t="s">
        <v>6083</v>
      </c>
      <c r="M360" s="887" t="s">
        <v>6083</v>
      </c>
      <c r="N360" s="887"/>
      <c r="O360" s="882"/>
      <c r="P360" s="882"/>
      <c r="Q360" s="888"/>
      <c r="R360" s="888"/>
      <c r="S360" s="882"/>
      <c r="T360" s="888"/>
      <c r="U360" s="882"/>
      <c r="V360" s="887"/>
      <c r="W360" s="888"/>
      <c r="X360" s="882"/>
      <c r="Y360" s="888"/>
      <c r="Z360" s="882"/>
      <c r="AA360" s="882"/>
      <c r="AB360" s="882"/>
      <c r="AC360" s="882"/>
      <c r="AD360" s="882"/>
      <c r="AE360" s="882"/>
      <c r="AF360" s="882"/>
      <c r="AG360" s="882"/>
      <c r="AH360" s="882"/>
      <c r="AI360" s="882"/>
      <c r="AJ360" s="882">
        <v>3</v>
      </c>
      <c r="AK360" s="882"/>
      <c r="AL360" s="889"/>
    </row>
    <row r="361" spans="1:38" s="890" customFormat="1">
      <c r="A361" s="882">
        <v>369</v>
      </c>
      <c r="B361" s="891">
        <f t="shared" si="35"/>
        <v>12</v>
      </c>
      <c r="C361" s="882">
        <f t="shared" si="33"/>
        <v>357</v>
      </c>
      <c r="D361" s="883">
        <v>3270</v>
      </c>
      <c r="E361" s="884" t="str">
        <f>IFERROR(VLOOKUP(Table2[[#This Row],[Player No]],Table10[[No]:[Province]],2,0),"")</f>
        <v xml:space="preserve">HENDRICKS Shakeel </v>
      </c>
      <c r="F361" s="885" t="str">
        <f>IFERROR(VLOOKUP(Table2[[#This Row],[Player No]],Table10[[No]:[Province]],3,0),"")</f>
        <v>CT</v>
      </c>
      <c r="G361" s="892">
        <v>3.1875</v>
      </c>
      <c r="H361" s="886">
        <f>(Table2[[#This Row],[Points 2025]]/2)+SUM(Table2[[#This Row],[O1  ADMIN 2026]:[P2    CAPE TOWN OPEN 2026 ]])</f>
        <v>1.59375</v>
      </c>
      <c r="I361" s="880">
        <f t="shared" si="32"/>
        <v>0</v>
      </c>
      <c r="J361" s="882">
        <f t="shared" ref="J361:J392" si="36">COUNTIF(O361:AK361,"&lt;0")</f>
        <v>0</v>
      </c>
      <c r="K361" s="887" t="s">
        <v>6083</v>
      </c>
      <c r="L361" s="887" t="s">
        <v>6083</v>
      </c>
      <c r="M361" s="887" t="s">
        <v>6083</v>
      </c>
      <c r="N361" s="887"/>
      <c r="O361" s="882"/>
      <c r="P361" s="882"/>
      <c r="Q361" s="888"/>
      <c r="R361" s="888"/>
      <c r="S361" s="882"/>
      <c r="T361" s="888"/>
      <c r="U361" s="882"/>
      <c r="V361" s="887"/>
      <c r="W361" s="888"/>
      <c r="X361" s="882"/>
      <c r="Y361" s="888"/>
      <c r="Z361" s="882"/>
      <c r="AA361" s="882"/>
      <c r="AB361" s="882">
        <v>2</v>
      </c>
      <c r="AC361" s="882"/>
      <c r="AD361" s="882"/>
      <c r="AE361" s="882">
        <v>1</v>
      </c>
      <c r="AF361" s="882"/>
      <c r="AG361" s="882"/>
      <c r="AH361" s="882"/>
      <c r="AI361" s="882"/>
      <c r="AJ361" s="882"/>
      <c r="AK361" s="882"/>
      <c r="AL361" s="889"/>
    </row>
    <row r="362" spans="1:38" s="890" customFormat="1">
      <c r="A362" s="882">
        <v>189</v>
      </c>
      <c r="B362" s="891">
        <f t="shared" si="35"/>
        <v>-169</v>
      </c>
      <c r="C362" s="882">
        <f t="shared" si="33"/>
        <v>358</v>
      </c>
      <c r="D362" s="883">
        <v>1039</v>
      </c>
      <c r="E362" s="884" t="str">
        <f>IFERROR(VLOOKUP(Table2[[#This Row],[Player No]],Table10[[No]:[Province]],2,0),"")</f>
        <v xml:space="preserve">CROTZ Eugene </v>
      </c>
      <c r="F362" s="885" t="str">
        <f>IFERROR(VLOOKUP(Table2[[#This Row],[Player No]],Table10[[No]:[Province]],3,0),"")</f>
        <v>CW</v>
      </c>
      <c r="G362" s="892">
        <v>3.0078125</v>
      </c>
      <c r="H362" s="886">
        <f>(Table2[[#This Row],[Points 2025]]/2)+SUM(Table2[[#This Row],[O1  ADMIN 2026]:[P2    CAPE TOWN OPEN 2026 ]])</f>
        <v>1.50390625</v>
      </c>
      <c r="I362" s="880">
        <f t="shared" si="32"/>
        <v>0</v>
      </c>
      <c r="J362" s="882">
        <f t="shared" si="36"/>
        <v>0</v>
      </c>
      <c r="K362" s="887" t="s">
        <v>6083</v>
      </c>
      <c r="L362" s="887" t="s">
        <v>6083</v>
      </c>
      <c r="M362" s="887" t="s">
        <v>6083</v>
      </c>
      <c r="N362" s="887"/>
      <c r="O362" s="882"/>
      <c r="P362" s="882"/>
      <c r="Q362" s="888"/>
      <c r="R362" s="888"/>
      <c r="S362" s="882"/>
      <c r="T362" s="888"/>
      <c r="U362" s="882"/>
      <c r="V362" s="887"/>
      <c r="W362" s="888"/>
      <c r="X362" s="882"/>
      <c r="Y362" s="888"/>
      <c r="Z362" s="882"/>
      <c r="AA362" s="882"/>
      <c r="AB362" s="882"/>
      <c r="AC362" s="882"/>
      <c r="AD362" s="882"/>
      <c r="AE362" s="882"/>
      <c r="AF362" s="882"/>
      <c r="AG362" s="882"/>
      <c r="AH362" s="882"/>
      <c r="AI362" s="882"/>
      <c r="AJ362" s="882"/>
      <c r="AK362" s="882"/>
      <c r="AL362" s="889"/>
    </row>
    <row r="363" spans="1:38" s="890" customFormat="1">
      <c r="A363" s="882">
        <v>190</v>
      </c>
      <c r="B363" s="891">
        <f t="shared" si="35"/>
        <v>-169</v>
      </c>
      <c r="C363" s="882">
        <f t="shared" si="33"/>
        <v>359</v>
      </c>
      <c r="D363" s="883">
        <v>3168</v>
      </c>
      <c r="E363" s="884" t="str">
        <f>IFERROR(VLOOKUP(Table2[[#This Row],[Player No]],Table10[[No]:[Province]],2,0),"")</f>
        <v>ROCKMAN Chris</v>
      </c>
      <c r="F363" s="885" t="str">
        <f>IFERROR(VLOOKUP(Table2[[#This Row],[Player No]],Table10[[No]:[Province]],3,0),"")</f>
        <v>NMB</v>
      </c>
      <c r="G363" s="892">
        <v>3</v>
      </c>
      <c r="H363" s="886">
        <f>(Table2[[#This Row],[Points 2025]]/2)+SUM(Table2[[#This Row],[O1  ADMIN 2026]:[P2    CAPE TOWN OPEN 2026 ]])</f>
        <v>1.5</v>
      </c>
      <c r="I363" s="880">
        <f t="shared" si="32"/>
        <v>0</v>
      </c>
      <c r="J363" s="882">
        <f t="shared" si="36"/>
        <v>0</v>
      </c>
      <c r="K363" s="887" t="s">
        <v>6083</v>
      </c>
      <c r="L363" s="887" t="s">
        <v>6083</v>
      </c>
      <c r="M363" s="887" t="s">
        <v>6083</v>
      </c>
      <c r="N363" s="887"/>
      <c r="O363" s="882"/>
      <c r="P363" s="882"/>
      <c r="Q363" s="888"/>
      <c r="R363" s="888"/>
      <c r="S363" s="882"/>
      <c r="T363" s="888"/>
      <c r="U363" s="882"/>
      <c r="V363" s="887"/>
      <c r="W363" s="888"/>
      <c r="X363" s="882"/>
      <c r="Y363" s="888"/>
      <c r="Z363" s="882"/>
      <c r="AA363" s="882"/>
      <c r="AB363" s="882"/>
      <c r="AC363" s="882"/>
      <c r="AD363" s="882"/>
      <c r="AE363" s="882"/>
      <c r="AF363" s="882"/>
      <c r="AG363" s="882"/>
      <c r="AH363" s="882"/>
      <c r="AI363" s="882"/>
      <c r="AJ363" s="882"/>
      <c r="AK363" s="882"/>
      <c r="AL363" s="889"/>
    </row>
    <row r="364" spans="1:38" s="890" customFormat="1">
      <c r="A364" s="882">
        <v>423</v>
      </c>
      <c r="B364" s="891">
        <f t="shared" si="35"/>
        <v>63</v>
      </c>
      <c r="C364" s="882">
        <f t="shared" si="33"/>
        <v>360</v>
      </c>
      <c r="D364" s="883">
        <v>3302</v>
      </c>
      <c r="E364" s="884" t="str">
        <f>IFERROR(VLOOKUP(Table2[[#This Row],[Player No]],Table10[[No]:[Province]],2,0),"")</f>
        <v>BUCHLING Eddy</v>
      </c>
      <c r="F364" s="885" t="str">
        <f>IFERROR(VLOOKUP(Table2[[#This Row],[Player No]],Table10[[No]:[Province]],3,0),"")</f>
        <v>JTTA</v>
      </c>
      <c r="G364" s="892">
        <v>3</v>
      </c>
      <c r="H364" s="886">
        <f>(Table2[[#This Row],[Points 2025]]/2)+SUM(Table2[[#This Row],[O1  ADMIN 2026]:[P2    CAPE TOWN OPEN 2026 ]])</f>
        <v>1.5</v>
      </c>
      <c r="I364" s="880">
        <f t="shared" si="32"/>
        <v>0</v>
      </c>
      <c r="J364" s="882">
        <f t="shared" si="36"/>
        <v>0</v>
      </c>
      <c r="K364" s="887" t="s">
        <v>6083</v>
      </c>
      <c r="L364" s="887" t="s">
        <v>6083</v>
      </c>
      <c r="M364" s="887" t="s">
        <v>6083</v>
      </c>
      <c r="N364" s="887"/>
      <c r="O364" s="882"/>
      <c r="P364" s="882"/>
      <c r="Q364" s="888"/>
      <c r="R364" s="888"/>
      <c r="S364" s="882"/>
      <c r="T364" s="888"/>
      <c r="U364" s="882"/>
      <c r="V364" s="887"/>
      <c r="W364" s="888"/>
      <c r="X364" s="882">
        <v>0.5</v>
      </c>
      <c r="Y364" s="888"/>
      <c r="Z364" s="882">
        <v>1</v>
      </c>
      <c r="AA364" s="882"/>
      <c r="AB364" s="882"/>
      <c r="AC364" s="882"/>
      <c r="AD364" s="882"/>
      <c r="AE364" s="882"/>
      <c r="AF364" s="882"/>
      <c r="AG364" s="882"/>
      <c r="AH364" s="882"/>
      <c r="AI364" s="882">
        <v>2</v>
      </c>
      <c r="AJ364" s="882"/>
      <c r="AK364" s="882">
        <v>1</v>
      </c>
      <c r="AL364" s="889"/>
    </row>
    <row r="365" spans="1:38" s="890" customFormat="1">
      <c r="A365" s="882">
        <v>193</v>
      </c>
      <c r="B365" s="891">
        <f t="shared" si="35"/>
        <v>-168</v>
      </c>
      <c r="C365" s="882">
        <f t="shared" si="33"/>
        <v>361</v>
      </c>
      <c r="D365" s="883">
        <v>3499</v>
      </c>
      <c r="E365" s="884" t="str">
        <f>IFERROR(VLOOKUP(Table2[[#This Row],[Player No]],Table10[[No]:[Province]],2,0),"")</f>
        <v>SINGH Virodh</v>
      </c>
      <c r="F365" s="885" t="str">
        <f>IFERROR(VLOOKUP(Table2[[#This Row],[Player No]],Table10[[No]:[Province]],3,0),"")</f>
        <v>UMG</v>
      </c>
      <c r="G365" s="892">
        <v>3</v>
      </c>
      <c r="H365" s="886">
        <f>(Table2[[#This Row],[Points 2025]]/2)+SUM(Table2[[#This Row],[O1  ADMIN 2026]:[P2    CAPE TOWN OPEN 2026 ]])</f>
        <v>1.5</v>
      </c>
      <c r="I365" s="880">
        <f t="shared" si="32"/>
        <v>0</v>
      </c>
      <c r="J365" s="882">
        <f t="shared" si="36"/>
        <v>0</v>
      </c>
      <c r="K365" s="887" t="s">
        <v>6083</v>
      </c>
      <c r="L365" s="887" t="s">
        <v>6083</v>
      </c>
      <c r="M365" s="887" t="s">
        <v>6083</v>
      </c>
      <c r="N365" s="887"/>
      <c r="O365" s="882"/>
      <c r="P365" s="882"/>
      <c r="Q365" s="888"/>
      <c r="R365" s="888"/>
      <c r="S365" s="882"/>
      <c r="T365" s="888"/>
      <c r="U365" s="882"/>
      <c r="V365" s="887"/>
      <c r="W365" s="888"/>
      <c r="X365" s="882"/>
      <c r="Y365" s="888"/>
      <c r="Z365" s="882"/>
      <c r="AA365" s="882"/>
      <c r="AB365" s="882"/>
      <c r="AC365" s="882"/>
      <c r="AD365" s="882">
        <v>1</v>
      </c>
      <c r="AE365" s="882"/>
      <c r="AF365" s="882"/>
      <c r="AG365" s="882"/>
      <c r="AH365" s="882"/>
      <c r="AI365" s="882"/>
      <c r="AJ365" s="882"/>
      <c r="AK365" s="882"/>
      <c r="AL365" s="889"/>
    </row>
    <row r="366" spans="1:38" s="890" customFormat="1">
      <c r="A366" s="882">
        <v>502</v>
      </c>
      <c r="B366" s="891">
        <f t="shared" si="35"/>
        <v>140</v>
      </c>
      <c r="C366" s="882">
        <f t="shared" si="33"/>
        <v>362</v>
      </c>
      <c r="D366" s="883">
        <v>3583</v>
      </c>
      <c r="E366" s="884" t="str">
        <f>IFERROR(VLOOKUP(Table2[[#This Row],[Player No]],Table10[[No]:[Province]],2,0),"")</f>
        <v>ADAMS Zondre'</v>
      </c>
      <c r="F366" s="885" t="str">
        <f>IFERROR(VLOOKUP(Table2[[#This Row],[Player No]],Table10[[No]:[Province]],3,0),"")</f>
        <v>CT</v>
      </c>
      <c r="G366" s="892">
        <v>3</v>
      </c>
      <c r="H366" s="886">
        <f>(Table2[[#This Row],[Points 2025]]/2)+SUM(Table2[[#This Row],[O1  ADMIN 2026]:[P2    CAPE TOWN OPEN 2026 ]])</f>
        <v>1.5</v>
      </c>
      <c r="I366" s="880">
        <f t="shared" si="32"/>
        <v>0</v>
      </c>
      <c r="J366" s="882">
        <f t="shared" si="36"/>
        <v>0</v>
      </c>
      <c r="K366" s="887" t="s">
        <v>6083</v>
      </c>
      <c r="L366" s="887" t="s">
        <v>6083</v>
      </c>
      <c r="M366" s="887" t="s">
        <v>6083</v>
      </c>
      <c r="N366" s="887"/>
      <c r="O366" s="882"/>
      <c r="P366" s="882"/>
      <c r="Q366" s="888"/>
      <c r="R366" s="888"/>
      <c r="S366" s="882"/>
      <c r="T366" s="888"/>
      <c r="U366" s="882"/>
      <c r="V366" s="887"/>
      <c r="W366" s="888"/>
      <c r="X366" s="882"/>
      <c r="Y366" s="888"/>
      <c r="Z366" s="882"/>
      <c r="AA366" s="882"/>
      <c r="AB366" s="882">
        <v>2</v>
      </c>
      <c r="AC366" s="882"/>
      <c r="AD366" s="882"/>
      <c r="AE366" s="882"/>
      <c r="AF366" s="882"/>
      <c r="AG366" s="882"/>
      <c r="AH366" s="882"/>
      <c r="AI366" s="882"/>
      <c r="AJ366" s="882"/>
      <c r="AK366" s="882"/>
      <c r="AL366" s="889"/>
    </row>
    <row r="367" spans="1:38" s="890" customFormat="1">
      <c r="A367" s="882">
        <v>413</v>
      </c>
      <c r="B367" s="891">
        <f t="shared" si="35"/>
        <v>50</v>
      </c>
      <c r="C367" s="882">
        <f t="shared" si="33"/>
        <v>363</v>
      </c>
      <c r="D367" s="883">
        <v>3826</v>
      </c>
      <c r="E367" s="884" t="str">
        <f>IFERROR(VLOOKUP(Table2[[#This Row],[Player No]],Table10[[No]:[Province]],2,0),"")</f>
        <v>NTEBELE Tlamelo</v>
      </c>
      <c r="F367" s="885" t="str">
        <f>IFERROR(VLOOKUP(Table2[[#This Row],[Player No]],Table10[[No]:[Province]],3,0),"")</f>
        <v>GN</v>
      </c>
      <c r="G367" s="892">
        <v>3</v>
      </c>
      <c r="H367" s="886">
        <f>(Table2[[#This Row],[Points 2025]]/2)+SUM(Table2[[#This Row],[O1  ADMIN 2026]:[P2    CAPE TOWN OPEN 2026 ]])</f>
        <v>1.5</v>
      </c>
      <c r="I367" s="880">
        <f t="shared" si="32"/>
        <v>0</v>
      </c>
      <c r="J367" s="882">
        <f t="shared" si="36"/>
        <v>0</v>
      </c>
      <c r="K367" s="887" t="s">
        <v>6083</v>
      </c>
      <c r="L367" s="887" t="s">
        <v>6083</v>
      </c>
      <c r="M367" s="887" t="s">
        <v>6083</v>
      </c>
      <c r="N367" s="887"/>
      <c r="O367" s="882"/>
      <c r="P367" s="882"/>
      <c r="Q367" s="888"/>
      <c r="R367" s="888"/>
      <c r="S367" s="882"/>
      <c r="T367" s="888"/>
      <c r="U367" s="882"/>
      <c r="V367" s="887"/>
      <c r="W367" s="888"/>
      <c r="X367" s="882"/>
      <c r="Y367" s="888"/>
      <c r="Z367" s="882"/>
      <c r="AA367" s="882"/>
      <c r="AB367" s="882"/>
      <c r="AC367" s="882"/>
      <c r="AD367" s="882"/>
      <c r="AE367" s="882"/>
      <c r="AF367" s="882"/>
      <c r="AG367" s="882">
        <v>5</v>
      </c>
      <c r="AH367" s="882"/>
      <c r="AI367" s="882"/>
      <c r="AJ367" s="882">
        <v>1</v>
      </c>
      <c r="AK367" s="882"/>
      <c r="AL367" s="889"/>
    </row>
    <row r="368" spans="1:38" s="890" customFormat="1">
      <c r="A368" s="882">
        <v>333</v>
      </c>
      <c r="B368" s="891">
        <f t="shared" si="35"/>
        <v>-31</v>
      </c>
      <c r="C368" s="882">
        <f t="shared" si="33"/>
        <v>364</v>
      </c>
      <c r="D368" s="883">
        <v>3855</v>
      </c>
      <c r="E368" s="884" t="str">
        <f>IFERROR(VLOOKUP(Table2[[#This Row],[Player No]],Table10[[No]:[Province]],2,0),"")</f>
        <v>NATHOO Ashish</v>
      </c>
      <c r="F368" s="885" t="str">
        <f>IFERROR(VLOOKUP(Table2[[#This Row],[Player No]],Table10[[No]:[Province]],3,0),"")</f>
        <v>JTTA</v>
      </c>
      <c r="G368" s="892">
        <v>3</v>
      </c>
      <c r="H368" s="886">
        <f>(Table2[[#This Row],[Points 2025]]/2)+SUM(Table2[[#This Row],[O1  ADMIN 2026]:[P2    CAPE TOWN OPEN 2026 ]])</f>
        <v>1.5</v>
      </c>
      <c r="I368" s="880">
        <f t="shared" si="32"/>
        <v>0</v>
      </c>
      <c r="J368" s="882">
        <f t="shared" si="36"/>
        <v>0</v>
      </c>
      <c r="K368" s="887" t="s">
        <v>6083</v>
      </c>
      <c r="L368" s="887" t="s">
        <v>6083</v>
      </c>
      <c r="M368" s="887" t="s">
        <v>6083</v>
      </c>
      <c r="N368" s="887"/>
      <c r="O368" s="882"/>
      <c r="P368" s="882"/>
      <c r="Q368" s="888"/>
      <c r="R368" s="888"/>
      <c r="S368" s="882"/>
      <c r="T368" s="888"/>
      <c r="U368" s="882"/>
      <c r="V368" s="887"/>
      <c r="W368" s="888"/>
      <c r="X368" s="882"/>
      <c r="Y368" s="888"/>
      <c r="Z368" s="882">
        <v>1</v>
      </c>
      <c r="AA368" s="882"/>
      <c r="AB368" s="882"/>
      <c r="AC368" s="882"/>
      <c r="AD368" s="882"/>
      <c r="AE368" s="882"/>
      <c r="AF368" s="882"/>
      <c r="AG368" s="882"/>
      <c r="AH368" s="882"/>
      <c r="AI368" s="882">
        <v>2</v>
      </c>
      <c r="AJ368" s="882"/>
      <c r="AK368" s="882">
        <v>2</v>
      </c>
      <c r="AL368" s="889"/>
    </row>
    <row r="369" spans="1:38" s="890" customFormat="1">
      <c r="A369" s="882">
        <v>905</v>
      </c>
      <c r="B369" s="891">
        <f t="shared" si="35"/>
        <v>540</v>
      </c>
      <c r="C369" s="882">
        <f t="shared" si="33"/>
        <v>365</v>
      </c>
      <c r="D369" s="883">
        <v>3887</v>
      </c>
      <c r="E369" s="884" t="str">
        <f>IFERROR(VLOOKUP(Table2[[#This Row],[Player No]],Table10[[No]:[Province]],2,0),"")</f>
        <v>GOUWS Burton</v>
      </c>
      <c r="F369" s="885" t="str">
        <f>IFERROR(VLOOKUP(Table2[[#This Row],[Player No]],Table10[[No]:[Province]],3,0),"")</f>
        <v>CW</v>
      </c>
      <c r="G369" s="892">
        <v>3</v>
      </c>
      <c r="H369" s="886">
        <f>(Table2[[#This Row],[Points 2025]]/2)+SUM(Table2[[#This Row],[O1  ADMIN 2026]:[P2    CAPE TOWN OPEN 2026 ]])</f>
        <v>1.5</v>
      </c>
      <c r="I369" s="880">
        <f t="shared" si="32"/>
        <v>0</v>
      </c>
      <c r="J369" s="882">
        <f t="shared" si="36"/>
        <v>0</v>
      </c>
      <c r="K369" s="887" t="s">
        <v>6083</v>
      </c>
      <c r="L369" s="887" t="s">
        <v>6083</v>
      </c>
      <c r="M369" s="887" t="s">
        <v>6083</v>
      </c>
      <c r="N369" s="887"/>
      <c r="O369" s="882"/>
      <c r="P369" s="882"/>
      <c r="Q369" s="888"/>
      <c r="R369" s="888"/>
      <c r="S369" s="882"/>
      <c r="T369" s="888"/>
      <c r="U369" s="882"/>
      <c r="V369" s="887"/>
      <c r="W369" s="888"/>
      <c r="X369" s="882"/>
      <c r="Y369" s="888"/>
      <c r="Z369" s="882"/>
      <c r="AA369" s="882"/>
      <c r="AB369" s="882"/>
      <c r="AC369" s="882"/>
      <c r="AD369" s="882"/>
      <c r="AE369" s="882">
        <v>1</v>
      </c>
      <c r="AF369" s="882">
        <v>5</v>
      </c>
      <c r="AG369" s="882"/>
      <c r="AH369" s="882"/>
      <c r="AI369" s="882"/>
      <c r="AJ369" s="882"/>
      <c r="AK369" s="882"/>
      <c r="AL369" s="889"/>
    </row>
    <row r="370" spans="1:38" s="890" customFormat="1">
      <c r="A370" s="882"/>
      <c r="B370" s="891"/>
      <c r="C370" s="882">
        <f t="shared" si="33"/>
        <v>366</v>
      </c>
      <c r="D370" s="883">
        <v>4064</v>
      </c>
      <c r="E370" s="884" t="str">
        <f>IFERROR(VLOOKUP(Table2[[#This Row],[Player No]],Table10[[No]:[Province]],2,0),"")</f>
        <v xml:space="preserve">MADIKIZA Lucky </v>
      </c>
      <c r="F370" s="885" t="str">
        <f>IFERROR(VLOOKUP(Table2[[#This Row],[Player No]],Table10[[No]:[Province]],3,0),"")</f>
        <v>GN</v>
      </c>
      <c r="G370" s="892">
        <v>3</v>
      </c>
      <c r="H370" s="886">
        <f>(Table2[[#This Row],[Points 2025]]/2)+SUM(Table2[[#This Row],[O1  ADMIN 2026]:[P2    CAPE TOWN OPEN 2026 ]])</f>
        <v>1.5</v>
      </c>
      <c r="I370" s="880">
        <f t="shared" si="32"/>
        <v>0</v>
      </c>
      <c r="J370" s="882">
        <f t="shared" si="36"/>
        <v>0</v>
      </c>
      <c r="K370" s="887">
        <v>0</v>
      </c>
      <c r="L370" s="887" t="s">
        <v>6083</v>
      </c>
      <c r="M370" s="887" t="s">
        <v>6083</v>
      </c>
      <c r="N370" s="887"/>
      <c r="O370" s="882"/>
      <c r="P370" s="882"/>
      <c r="Q370" s="888"/>
      <c r="R370" s="888"/>
      <c r="S370" s="882"/>
      <c r="T370" s="888"/>
      <c r="U370" s="882"/>
      <c r="V370" s="887"/>
      <c r="W370" s="888"/>
      <c r="X370" s="882"/>
      <c r="Y370" s="888">
        <v>2</v>
      </c>
      <c r="Z370" s="882"/>
      <c r="AA370" s="882"/>
      <c r="AB370" s="882"/>
      <c r="AC370" s="882"/>
      <c r="AD370" s="882"/>
      <c r="AE370" s="882"/>
      <c r="AF370" s="882"/>
      <c r="AG370" s="882"/>
      <c r="AH370" s="882">
        <v>2</v>
      </c>
      <c r="AI370" s="882"/>
      <c r="AJ370" s="882"/>
      <c r="AK370" s="882"/>
      <c r="AL370" s="889"/>
    </row>
    <row r="371" spans="1:38" s="890" customFormat="1">
      <c r="A371" s="882"/>
      <c r="B371" s="891"/>
      <c r="C371" s="882">
        <f t="shared" si="33"/>
        <v>367</v>
      </c>
      <c r="D371" s="883">
        <v>4286</v>
      </c>
      <c r="E371" s="884" t="str">
        <f>IFERROR(VLOOKUP(Table2[[#This Row],[Player No]],Table10[[No]:[Province]],2,0),"")</f>
        <v>Vuppala Prem</v>
      </c>
      <c r="F371" s="885" t="str">
        <f>IFERROR(VLOOKUP(Table2[[#This Row],[Player No]],Table10[[No]:[Province]],3,0),"")</f>
        <v>JTTA</v>
      </c>
      <c r="G371" s="892">
        <v>3</v>
      </c>
      <c r="H371" s="886">
        <f>(Table2[[#This Row],[Points 2025]]/2)+SUM(Table2[[#This Row],[O1  ADMIN 2026]:[P2    CAPE TOWN OPEN 2026 ]])</f>
        <v>1.5</v>
      </c>
      <c r="I371" s="880">
        <f t="shared" si="32"/>
        <v>0</v>
      </c>
      <c r="J371" s="882">
        <f t="shared" si="36"/>
        <v>0</v>
      </c>
      <c r="K371" s="887" t="s">
        <v>6083</v>
      </c>
      <c r="L371" s="887" t="s">
        <v>6083</v>
      </c>
      <c r="M371" s="887" t="s">
        <v>6083</v>
      </c>
      <c r="N371" s="887"/>
      <c r="O371" s="882"/>
      <c r="P371" s="882"/>
      <c r="Q371" s="888"/>
      <c r="R371" s="888"/>
      <c r="S371" s="882"/>
      <c r="T371" s="888"/>
      <c r="U371" s="882"/>
      <c r="V371" s="887"/>
      <c r="W371" s="888"/>
      <c r="X371" s="882"/>
      <c r="Y371" s="888"/>
      <c r="Z371" s="882">
        <v>3</v>
      </c>
      <c r="AA371" s="882"/>
      <c r="AB371" s="882"/>
      <c r="AC371" s="882"/>
      <c r="AD371" s="882"/>
      <c r="AE371" s="882"/>
      <c r="AF371" s="882"/>
      <c r="AG371" s="882"/>
      <c r="AH371" s="882"/>
      <c r="AI371" s="882"/>
      <c r="AJ371" s="882"/>
      <c r="AK371" s="882"/>
      <c r="AL371" s="889"/>
    </row>
    <row r="372" spans="1:38" s="890" customFormat="1">
      <c r="A372" s="882">
        <v>197</v>
      </c>
      <c r="B372" s="891">
        <f t="shared" ref="B372:B383" si="37">+A372-C372</f>
        <v>-171</v>
      </c>
      <c r="C372" s="882">
        <f t="shared" si="33"/>
        <v>368</v>
      </c>
      <c r="D372" s="883">
        <v>1145</v>
      </c>
      <c r="E372" s="884" t="str">
        <f>IFERROR(VLOOKUP(Table2[[#This Row],[Player No]],Table10[[No]:[Province]],2,0),"")</f>
        <v xml:space="preserve">NAIK Greg </v>
      </c>
      <c r="F372" s="885" t="str">
        <f>IFERROR(VLOOKUP(Table2[[#This Row],[Player No]],Table10[[No]:[Province]],3,0),"")</f>
        <v>SANDF</v>
      </c>
      <c r="G372" s="892">
        <v>2.966796875</v>
      </c>
      <c r="H372" s="886">
        <f>(Table2[[#This Row],[Points 2025]]/2)+SUM(Table2[[#This Row],[O1  ADMIN 2026]:[P2    CAPE TOWN OPEN 2026 ]])</f>
        <v>1.4833984375</v>
      </c>
      <c r="I372" s="880">
        <f t="shared" si="32"/>
        <v>0</v>
      </c>
      <c r="J372" s="882">
        <f t="shared" si="36"/>
        <v>0</v>
      </c>
      <c r="K372" s="887" t="s">
        <v>6083</v>
      </c>
      <c r="L372" s="887" t="s">
        <v>6083</v>
      </c>
      <c r="M372" s="887" t="s">
        <v>6083</v>
      </c>
      <c r="N372" s="887"/>
      <c r="O372" s="882"/>
      <c r="P372" s="882"/>
      <c r="Q372" s="888"/>
      <c r="R372" s="888"/>
      <c r="S372" s="882"/>
      <c r="T372" s="888"/>
      <c r="U372" s="882"/>
      <c r="V372" s="887"/>
      <c r="W372" s="888"/>
      <c r="X372" s="882"/>
      <c r="Y372" s="888"/>
      <c r="Z372" s="882"/>
      <c r="AA372" s="882"/>
      <c r="AB372" s="882"/>
      <c r="AC372" s="882"/>
      <c r="AD372" s="882"/>
      <c r="AE372" s="882"/>
      <c r="AF372" s="882"/>
      <c r="AG372" s="882"/>
      <c r="AH372" s="882"/>
      <c r="AI372" s="882"/>
      <c r="AJ372" s="882">
        <v>3</v>
      </c>
      <c r="AK372" s="882"/>
      <c r="AL372" s="889"/>
    </row>
    <row r="373" spans="1:38" s="890" customFormat="1">
      <c r="A373" s="882">
        <v>198</v>
      </c>
      <c r="B373" s="891">
        <f t="shared" si="37"/>
        <v>-171</v>
      </c>
      <c r="C373" s="882">
        <f t="shared" si="33"/>
        <v>369</v>
      </c>
      <c r="D373" s="883">
        <v>1106</v>
      </c>
      <c r="E373" s="884" t="str">
        <f>IFERROR(VLOOKUP(Table2[[#This Row],[Player No]],Table10[[No]:[Province]],2,0),"")</f>
        <v xml:space="preserve">RHYN Benedickt </v>
      </c>
      <c r="F373" s="885" t="str">
        <f>IFERROR(VLOOKUP(Table2[[#This Row],[Player No]],Table10[[No]:[Province]],3,0),"")</f>
        <v>SANDF</v>
      </c>
      <c r="G373" s="892">
        <v>2.9296875</v>
      </c>
      <c r="H373" s="886">
        <f>(Table2[[#This Row],[Points 2025]]/2)+SUM(Table2[[#This Row],[O1  ADMIN 2026]:[P2    CAPE TOWN OPEN 2026 ]])</f>
        <v>1.46484375</v>
      </c>
      <c r="I373" s="880">
        <f t="shared" si="32"/>
        <v>0</v>
      </c>
      <c r="J373" s="882">
        <f t="shared" si="36"/>
        <v>0</v>
      </c>
      <c r="K373" s="887" t="s">
        <v>6083</v>
      </c>
      <c r="L373" s="887" t="s">
        <v>6083</v>
      </c>
      <c r="M373" s="887" t="s">
        <v>6083</v>
      </c>
      <c r="N373" s="887"/>
      <c r="O373" s="882"/>
      <c r="P373" s="882"/>
      <c r="Q373" s="888"/>
      <c r="R373" s="888"/>
      <c r="S373" s="882"/>
      <c r="T373" s="888"/>
      <c r="U373" s="882"/>
      <c r="V373" s="887"/>
      <c r="W373" s="888"/>
      <c r="X373" s="882"/>
      <c r="Y373" s="888"/>
      <c r="Z373" s="882"/>
      <c r="AA373" s="882"/>
      <c r="AB373" s="882"/>
      <c r="AC373" s="882"/>
      <c r="AD373" s="882"/>
      <c r="AE373" s="882"/>
      <c r="AF373" s="882"/>
      <c r="AG373" s="882"/>
      <c r="AH373" s="882"/>
      <c r="AI373" s="882"/>
      <c r="AJ373" s="882"/>
      <c r="AK373" s="882"/>
      <c r="AL373" s="889"/>
    </row>
    <row r="374" spans="1:38" s="890" customFormat="1">
      <c r="A374" s="882">
        <v>199</v>
      </c>
      <c r="B374" s="891">
        <f t="shared" si="37"/>
        <v>-171</v>
      </c>
      <c r="C374" s="882">
        <f t="shared" si="33"/>
        <v>370</v>
      </c>
      <c r="D374" s="883">
        <v>1152</v>
      </c>
      <c r="E374" s="884" t="str">
        <f>IFERROR(VLOOKUP(Table2[[#This Row],[Player No]],Table10[[No]:[Province]],2,0),"")</f>
        <v xml:space="preserve">RAMNATH Udir </v>
      </c>
      <c r="F374" s="885" t="str">
        <f>IFERROR(VLOOKUP(Table2[[#This Row],[Player No]],Table10[[No]:[Province]],3,0),"")</f>
        <v>CT</v>
      </c>
      <c r="G374" s="892">
        <v>2.904296875</v>
      </c>
      <c r="H374" s="886">
        <f>(Table2[[#This Row],[Points 2025]]/2)+SUM(Table2[[#This Row],[O1  ADMIN 2026]:[P2    CAPE TOWN OPEN 2026 ]])</f>
        <v>1.4521484375</v>
      </c>
      <c r="I374" s="880">
        <f t="shared" si="32"/>
        <v>0</v>
      </c>
      <c r="J374" s="882">
        <f t="shared" si="36"/>
        <v>0</v>
      </c>
      <c r="K374" s="887" t="s">
        <v>6083</v>
      </c>
      <c r="L374" s="887" t="s">
        <v>6083</v>
      </c>
      <c r="M374" s="887" t="s">
        <v>6083</v>
      </c>
      <c r="N374" s="887"/>
      <c r="O374" s="882"/>
      <c r="P374" s="882"/>
      <c r="Q374" s="888"/>
      <c r="R374" s="888"/>
      <c r="S374" s="882"/>
      <c r="T374" s="888"/>
      <c r="U374" s="882"/>
      <c r="V374" s="887"/>
      <c r="W374" s="888"/>
      <c r="X374" s="882"/>
      <c r="Y374" s="888"/>
      <c r="Z374" s="882"/>
      <c r="AA374" s="882"/>
      <c r="AB374" s="882"/>
      <c r="AC374" s="882"/>
      <c r="AD374" s="882"/>
      <c r="AE374" s="882"/>
      <c r="AF374" s="882"/>
      <c r="AG374" s="882"/>
      <c r="AH374" s="882"/>
      <c r="AI374" s="882"/>
      <c r="AJ374" s="882"/>
      <c r="AK374" s="882"/>
      <c r="AL374" s="889"/>
    </row>
    <row r="375" spans="1:38" s="890" customFormat="1">
      <c r="A375" s="882">
        <v>213</v>
      </c>
      <c r="B375" s="891">
        <f t="shared" si="37"/>
        <v>-158</v>
      </c>
      <c r="C375" s="882">
        <f t="shared" si="33"/>
        <v>371</v>
      </c>
      <c r="D375" s="883">
        <v>1594</v>
      </c>
      <c r="E375" s="884" t="str">
        <f>IFERROR(VLOOKUP(Table2[[#This Row],[Player No]],Table10[[No]:[Province]],2,0),"")</f>
        <v xml:space="preserve">WILLEMSE Rubin </v>
      </c>
      <c r="F375" s="885" t="str">
        <f>IFERROR(VLOOKUP(Table2[[#This Row],[Player No]],Table10[[No]:[Province]],3,0),"")</f>
        <v>CT</v>
      </c>
      <c r="G375" s="892">
        <v>2.8984375</v>
      </c>
      <c r="H375" s="886">
        <f>(Table2[[#This Row],[Points 2025]]/2)+SUM(Table2[[#This Row],[O1  ADMIN 2026]:[P2    CAPE TOWN OPEN 2026 ]])</f>
        <v>1.44921875</v>
      </c>
      <c r="I375" s="880">
        <f t="shared" si="32"/>
        <v>0</v>
      </c>
      <c r="J375" s="882">
        <f t="shared" si="36"/>
        <v>0</v>
      </c>
      <c r="K375" s="887" t="s">
        <v>6083</v>
      </c>
      <c r="L375" s="887" t="s">
        <v>6083</v>
      </c>
      <c r="M375" s="887" t="s">
        <v>6083</v>
      </c>
      <c r="N375" s="887"/>
      <c r="O375" s="882"/>
      <c r="P375" s="882"/>
      <c r="Q375" s="888"/>
      <c r="R375" s="888"/>
      <c r="S375" s="882"/>
      <c r="T375" s="888"/>
      <c r="U375" s="882"/>
      <c r="V375" s="887"/>
      <c r="W375" s="888"/>
      <c r="X375" s="882"/>
      <c r="Y375" s="888"/>
      <c r="Z375" s="882"/>
      <c r="AA375" s="882"/>
      <c r="AB375" s="882"/>
      <c r="AC375" s="882"/>
      <c r="AD375" s="882"/>
      <c r="AE375" s="882">
        <v>1</v>
      </c>
      <c r="AF375" s="882"/>
      <c r="AG375" s="882"/>
      <c r="AH375" s="882"/>
      <c r="AI375" s="882"/>
      <c r="AJ375" s="882"/>
      <c r="AK375" s="882"/>
      <c r="AL375" s="889"/>
    </row>
    <row r="376" spans="1:38" s="890" customFormat="1">
      <c r="A376" s="882">
        <v>200</v>
      </c>
      <c r="B376" s="891">
        <f t="shared" si="37"/>
        <v>-172</v>
      </c>
      <c r="C376" s="882">
        <f t="shared" si="33"/>
        <v>372</v>
      </c>
      <c r="D376" s="883">
        <v>1705</v>
      </c>
      <c r="E376" s="884" t="str">
        <f>IFERROR(VLOOKUP(Table2[[#This Row],[Player No]],Table10[[No]:[Province]],2,0),"")</f>
        <v xml:space="preserve">LAMINIE Andrey </v>
      </c>
      <c r="F376" s="885" t="str">
        <f>IFERROR(VLOOKUP(Table2[[#This Row],[Player No]],Table10[[No]:[Province]],3,0),"")</f>
        <v>EDEN</v>
      </c>
      <c r="G376" s="892">
        <v>2.89453125</v>
      </c>
      <c r="H376" s="886">
        <f>(Table2[[#This Row],[Points 2025]]/2)+SUM(Table2[[#This Row],[O1  ADMIN 2026]:[P2    CAPE TOWN OPEN 2026 ]])</f>
        <v>1.447265625</v>
      </c>
      <c r="I376" s="880">
        <f t="shared" si="32"/>
        <v>0</v>
      </c>
      <c r="J376" s="882">
        <f t="shared" si="36"/>
        <v>0</v>
      </c>
      <c r="K376" s="887" t="s">
        <v>6083</v>
      </c>
      <c r="L376" s="887" t="s">
        <v>6083</v>
      </c>
      <c r="M376" s="887" t="s">
        <v>6083</v>
      </c>
      <c r="N376" s="887"/>
      <c r="O376" s="882"/>
      <c r="P376" s="882"/>
      <c r="Q376" s="888"/>
      <c r="R376" s="888"/>
      <c r="S376" s="882"/>
      <c r="T376" s="888"/>
      <c r="U376" s="882"/>
      <c r="V376" s="887"/>
      <c r="W376" s="888"/>
      <c r="X376" s="882"/>
      <c r="Y376" s="888"/>
      <c r="Z376" s="882"/>
      <c r="AA376" s="882"/>
      <c r="AB376" s="882"/>
      <c r="AC376" s="882"/>
      <c r="AD376" s="882"/>
      <c r="AE376" s="882"/>
      <c r="AF376" s="882"/>
      <c r="AG376" s="882"/>
      <c r="AH376" s="882"/>
      <c r="AI376" s="882"/>
      <c r="AJ376" s="882"/>
      <c r="AK376" s="882"/>
      <c r="AL376" s="889"/>
    </row>
    <row r="377" spans="1:38" s="890" customFormat="1">
      <c r="A377" s="882">
        <v>467</v>
      </c>
      <c r="B377" s="891">
        <f t="shared" si="37"/>
        <v>94</v>
      </c>
      <c r="C377" s="882">
        <f t="shared" si="33"/>
        <v>373</v>
      </c>
      <c r="D377" s="883">
        <v>2466</v>
      </c>
      <c r="E377" s="884" t="str">
        <f>IFERROR(VLOOKUP(Table2[[#This Row],[Player No]],Table10[[No]:[Province]],2,0),"")</f>
        <v>AFRIKA Dominique</v>
      </c>
      <c r="F377" s="885" t="str">
        <f>IFERROR(VLOOKUP(Table2[[#This Row],[Player No]],Table10[[No]:[Province]],3,0),"")</f>
        <v>WC</v>
      </c>
      <c r="G377" s="892">
        <v>2.8125</v>
      </c>
      <c r="H377" s="886">
        <f>(Table2[[#This Row],[Points 2025]]/2)+SUM(Table2[[#This Row],[O1  ADMIN 2026]:[P2    CAPE TOWN OPEN 2026 ]])</f>
        <v>1.40625</v>
      </c>
      <c r="I377" s="880">
        <f t="shared" si="32"/>
        <v>0</v>
      </c>
      <c r="J377" s="882">
        <f t="shared" si="36"/>
        <v>0</v>
      </c>
      <c r="K377" s="887" t="s">
        <v>6083</v>
      </c>
      <c r="L377" s="887" t="s">
        <v>6083</v>
      </c>
      <c r="M377" s="887" t="s">
        <v>6083</v>
      </c>
      <c r="N377" s="887"/>
      <c r="O377" s="882"/>
      <c r="P377" s="882"/>
      <c r="Q377" s="888"/>
      <c r="R377" s="888"/>
      <c r="S377" s="882"/>
      <c r="T377" s="888"/>
      <c r="U377" s="882"/>
      <c r="V377" s="887"/>
      <c r="W377" s="888">
        <v>0</v>
      </c>
      <c r="X377" s="882"/>
      <c r="Y377" s="888"/>
      <c r="Z377" s="882"/>
      <c r="AA377" s="882"/>
      <c r="AB377" s="882"/>
      <c r="AC377" s="882"/>
      <c r="AD377" s="882"/>
      <c r="AE377" s="882">
        <v>5</v>
      </c>
      <c r="AF377" s="882"/>
      <c r="AG377" s="882"/>
      <c r="AH377" s="882"/>
      <c r="AI377" s="882"/>
      <c r="AJ377" s="882"/>
      <c r="AK377" s="882"/>
      <c r="AL377" s="889"/>
    </row>
    <row r="378" spans="1:38" s="890" customFormat="1">
      <c r="A378" s="882">
        <v>220</v>
      </c>
      <c r="B378" s="891">
        <f t="shared" si="37"/>
        <v>-154</v>
      </c>
      <c r="C378" s="882">
        <f t="shared" si="33"/>
        <v>374</v>
      </c>
      <c r="D378" s="883">
        <v>1028</v>
      </c>
      <c r="E378" s="884" t="str">
        <f>IFERROR(VLOOKUP(Table2[[#This Row],[Player No]],Table10[[No]:[Province]],2,0),"")</f>
        <v xml:space="preserve">LYNERS Anver </v>
      </c>
      <c r="F378" s="885" t="str">
        <f>IFERROR(VLOOKUP(Table2[[#This Row],[Player No]],Table10[[No]:[Province]],3,0),"")</f>
        <v>CT</v>
      </c>
      <c r="G378" s="892">
        <v>2.7421875</v>
      </c>
      <c r="H378" s="886">
        <f>(Table2[[#This Row],[Points 2025]]/2)+SUM(Table2[[#This Row],[O1  ADMIN 2026]:[P2    CAPE TOWN OPEN 2026 ]])</f>
        <v>1.37109375</v>
      </c>
      <c r="I378" s="880">
        <f t="shared" si="32"/>
        <v>0</v>
      </c>
      <c r="J378" s="882">
        <f t="shared" si="36"/>
        <v>0</v>
      </c>
      <c r="K378" s="887" t="s">
        <v>6083</v>
      </c>
      <c r="L378" s="887" t="s">
        <v>6083</v>
      </c>
      <c r="M378" s="887" t="s">
        <v>6083</v>
      </c>
      <c r="N378" s="887"/>
      <c r="O378" s="882"/>
      <c r="P378" s="882"/>
      <c r="Q378" s="888"/>
      <c r="R378" s="888"/>
      <c r="S378" s="882"/>
      <c r="T378" s="888"/>
      <c r="U378" s="882"/>
      <c r="V378" s="887"/>
      <c r="W378" s="888"/>
      <c r="X378" s="882"/>
      <c r="Y378" s="888"/>
      <c r="Z378" s="882"/>
      <c r="AA378" s="882"/>
      <c r="AB378" s="882">
        <v>0</v>
      </c>
      <c r="AC378" s="882"/>
      <c r="AD378" s="882"/>
      <c r="AE378" s="882">
        <v>1</v>
      </c>
      <c r="AF378" s="882"/>
      <c r="AG378" s="882"/>
      <c r="AH378" s="882"/>
      <c r="AI378" s="882"/>
      <c r="AJ378" s="882"/>
      <c r="AK378" s="882"/>
      <c r="AL378" s="889"/>
    </row>
    <row r="379" spans="1:38" s="890" customFormat="1">
      <c r="A379" s="882">
        <v>578</v>
      </c>
      <c r="B379" s="891">
        <f t="shared" si="37"/>
        <v>203</v>
      </c>
      <c r="C379" s="882">
        <f t="shared" si="33"/>
        <v>375</v>
      </c>
      <c r="D379" s="883">
        <v>3299</v>
      </c>
      <c r="E379" s="884" t="str">
        <f>IFERROR(VLOOKUP(Table2[[#This Row],[Player No]],Table10[[No]:[Province]],2,0),"")</f>
        <v>JANSEN Randell</v>
      </c>
      <c r="F379" s="885" t="str">
        <f>IFERROR(VLOOKUP(Table2[[#This Row],[Player No]],Table10[[No]:[Province]],3,0),"")</f>
        <v>JTTA</v>
      </c>
      <c r="G379" s="892">
        <v>2.625</v>
      </c>
      <c r="H379" s="886">
        <f>(Table2[[#This Row],[Points 2025]]/2)+SUM(Table2[[#This Row],[O1  ADMIN 2026]:[P2    CAPE TOWN OPEN 2026 ]])</f>
        <v>1.3125</v>
      </c>
      <c r="I379" s="880">
        <f t="shared" si="32"/>
        <v>0</v>
      </c>
      <c r="J379" s="882">
        <f t="shared" si="36"/>
        <v>0</v>
      </c>
      <c r="K379" s="887" t="s">
        <v>6083</v>
      </c>
      <c r="L379" s="887" t="s">
        <v>6083</v>
      </c>
      <c r="M379" s="887" t="s">
        <v>6083</v>
      </c>
      <c r="N379" s="887"/>
      <c r="O379" s="882"/>
      <c r="P379" s="882"/>
      <c r="Q379" s="888"/>
      <c r="R379" s="888"/>
      <c r="S379" s="882"/>
      <c r="T379" s="888"/>
      <c r="U379" s="882"/>
      <c r="V379" s="887"/>
      <c r="W379" s="888"/>
      <c r="X379" s="882"/>
      <c r="Y379" s="888"/>
      <c r="Z379" s="882">
        <v>0</v>
      </c>
      <c r="AA379" s="882"/>
      <c r="AB379" s="882"/>
      <c r="AC379" s="882"/>
      <c r="AD379" s="882"/>
      <c r="AE379" s="882"/>
      <c r="AF379" s="882"/>
      <c r="AG379" s="882"/>
      <c r="AH379" s="882"/>
      <c r="AI379" s="882">
        <v>5</v>
      </c>
      <c r="AJ379" s="882"/>
      <c r="AK379" s="882"/>
      <c r="AL379" s="889"/>
    </row>
    <row r="380" spans="1:38" s="890" customFormat="1">
      <c r="A380" s="882">
        <v>563</v>
      </c>
      <c r="B380" s="891">
        <f t="shared" si="37"/>
        <v>187</v>
      </c>
      <c r="C380" s="882">
        <f t="shared" si="33"/>
        <v>376</v>
      </c>
      <c r="D380" s="883">
        <v>3352</v>
      </c>
      <c r="E380" s="884" t="str">
        <f>IFERROR(VLOOKUP(Table2[[#This Row],[Player No]],Table10[[No]:[Province]],2,0),"")</f>
        <v>CLARK Allan</v>
      </c>
      <c r="F380" s="885" t="str">
        <f>IFERROR(VLOOKUP(Table2[[#This Row],[Player No]],Table10[[No]:[Province]],3,0),"")</f>
        <v>CT</v>
      </c>
      <c r="G380" s="892">
        <v>2.625</v>
      </c>
      <c r="H380" s="886">
        <f>(Table2[[#This Row],[Points 2025]]/2)+SUM(Table2[[#This Row],[O1  ADMIN 2026]:[P2    CAPE TOWN OPEN 2026 ]])</f>
        <v>1.3125</v>
      </c>
      <c r="I380" s="880">
        <f t="shared" si="32"/>
        <v>0</v>
      </c>
      <c r="J380" s="882">
        <f t="shared" si="36"/>
        <v>0</v>
      </c>
      <c r="K380" s="887" t="s">
        <v>6083</v>
      </c>
      <c r="L380" s="887" t="s">
        <v>6083</v>
      </c>
      <c r="M380" s="887" t="s">
        <v>6083</v>
      </c>
      <c r="N380" s="887"/>
      <c r="O380" s="882"/>
      <c r="P380" s="882"/>
      <c r="Q380" s="888"/>
      <c r="R380" s="888"/>
      <c r="S380" s="882"/>
      <c r="T380" s="888"/>
      <c r="U380" s="882"/>
      <c r="V380" s="887"/>
      <c r="W380" s="888"/>
      <c r="X380" s="882"/>
      <c r="Y380" s="888"/>
      <c r="Z380" s="882"/>
      <c r="AA380" s="882"/>
      <c r="AB380" s="882"/>
      <c r="AC380" s="882"/>
      <c r="AD380" s="882"/>
      <c r="AE380" s="882">
        <v>5</v>
      </c>
      <c r="AF380" s="882"/>
      <c r="AG380" s="882"/>
      <c r="AH380" s="882"/>
      <c r="AI380" s="882"/>
      <c r="AJ380" s="882"/>
      <c r="AK380" s="882"/>
      <c r="AL380" s="889"/>
    </row>
    <row r="381" spans="1:38" s="890" customFormat="1">
      <c r="A381" s="882">
        <v>205</v>
      </c>
      <c r="B381" s="891">
        <f t="shared" si="37"/>
        <v>-172</v>
      </c>
      <c r="C381" s="882">
        <f t="shared" si="33"/>
        <v>377</v>
      </c>
      <c r="D381" s="883">
        <v>2882</v>
      </c>
      <c r="E381" s="884" t="str">
        <f>IFERROR(VLOOKUP(Table2[[#This Row],[Player No]],Table10[[No]:[Province]],2,0),"")</f>
        <v>OPPERMAN Charl</v>
      </c>
      <c r="F381" s="885" t="str">
        <f>IFERROR(VLOOKUP(Table2[[#This Row],[Player No]],Table10[[No]:[Province]],3,0),"")</f>
        <v>GN</v>
      </c>
      <c r="G381" s="892">
        <v>2.5625</v>
      </c>
      <c r="H381" s="886">
        <f>(Table2[[#This Row],[Points 2025]]/2)+SUM(Table2[[#This Row],[O1  ADMIN 2026]:[P2    CAPE TOWN OPEN 2026 ]])</f>
        <v>1.28125</v>
      </c>
      <c r="I381" s="880">
        <f t="shared" si="32"/>
        <v>0</v>
      </c>
      <c r="J381" s="882">
        <f t="shared" si="36"/>
        <v>0</v>
      </c>
      <c r="K381" s="887" t="s">
        <v>6083</v>
      </c>
      <c r="L381" s="887" t="s">
        <v>6083</v>
      </c>
      <c r="M381" s="887" t="s">
        <v>6083</v>
      </c>
      <c r="N381" s="887"/>
      <c r="O381" s="882"/>
      <c r="P381" s="882"/>
      <c r="Q381" s="888"/>
      <c r="R381" s="888"/>
      <c r="S381" s="882"/>
      <c r="T381" s="888"/>
      <c r="U381" s="882"/>
      <c r="V381" s="887"/>
      <c r="W381" s="888"/>
      <c r="X381" s="882"/>
      <c r="Y381" s="888"/>
      <c r="Z381" s="882"/>
      <c r="AA381" s="882"/>
      <c r="AB381" s="882"/>
      <c r="AC381" s="882"/>
      <c r="AD381" s="882"/>
      <c r="AE381" s="882"/>
      <c r="AF381" s="882"/>
      <c r="AG381" s="882"/>
      <c r="AH381" s="882"/>
      <c r="AI381" s="882"/>
      <c r="AJ381" s="882">
        <v>5</v>
      </c>
      <c r="AK381" s="882"/>
      <c r="AL381" s="889"/>
    </row>
    <row r="382" spans="1:38" s="890" customFormat="1">
      <c r="A382" s="882">
        <v>228</v>
      </c>
      <c r="B382" s="891">
        <f t="shared" si="37"/>
        <v>-150</v>
      </c>
      <c r="C382" s="882">
        <f t="shared" si="33"/>
        <v>378</v>
      </c>
      <c r="D382" s="883">
        <v>1069</v>
      </c>
      <c r="E382" s="884" t="str">
        <f>IFERROR(VLOOKUP(Table2[[#This Row],[Player No]],Table10[[No]:[Province]],2,0),"")</f>
        <v xml:space="preserve">DE SWART Jaco </v>
      </c>
      <c r="F382" s="885" t="str">
        <f>IFERROR(VLOOKUP(Table2[[#This Row],[Player No]],Table10[[No]:[Province]],3,0),"")</f>
        <v>CW</v>
      </c>
      <c r="G382" s="892">
        <v>2.533203125</v>
      </c>
      <c r="H382" s="886">
        <f>(Table2[[#This Row],[Points 2025]]/2)+SUM(Table2[[#This Row],[O1  ADMIN 2026]:[P2    CAPE TOWN OPEN 2026 ]])</f>
        <v>1.2666015625</v>
      </c>
      <c r="I382" s="880">
        <f t="shared" si="32"/>
        <v>0</v>
      </c>
      <c r="J382" s="882">
        <f t="shared" si="36"/>
        <v>0</v>
      </c>
      <c r="K382" s="887" t="s">
        <v>6083</v>
      </c>
      <c r="L382" s="887" t="s">
        <v>6083</v>
      </c>
      <c r="M382" s="887" t="s">
        <v>6083</v>
      </c>
      <c r="N382" s="887"/>
      <c r="O382" s="882"/>
      <c r="P382" s="882"/>
      <c r="Q382" s="888"/>
      <c r="R382" s="888"/>
      <c r="S382" s="882"/>
      <c r="T382" s="888"/>
      <c r="U382" s="882"/>
      <c r="V382" s="887"/>
      <c r="W382" s="888"/>
      <c r="X382" s="882"/>
      <c r="Y382" s="888"/>
      <c r="Z382" s="882"/>
      <c r="AA382" s="882"/>
      <c r="AB382" s="882"/>
      <c r="AC382" s="882"/>
      <c r="AD382" s="882"/>
      <c r="AE382" s="882">
        <v>1</v>
      </c>
      <c r="AF382" s="882"/>
      <c r="AG382" s="882">
        <v>0</v>
      </c>
      <c r="AH382" s="882"/>
      <c r="AI382" s="882"/>
      <c r="AJ382" s="882"/>
      <c r="AK382" s="882"/>
      <c r="AL382" s="889"/>
    </row>
    <row r="383" spans="1:38" s="890" customFormat="1">
      <c r="A383" s="882"/>
      <c r="B383" s="891">
        <f t="shared" si="37"/>
        <v>-379</v>
      </c>
      <c r="C383" s="882">
        <f t="shared" si="33"/>
        <v>379</v>
      </c>
      <c r="D383" s="883">
        <v>1189</v>
      </c>
      <c r="E383" s="884" t="str">
        <f>IFERROR(VLOOKUP(Table2[[#This Row],[Player No]],Table10[[No]:[Province]],2,0),"")</f>
        <v xml:space="preserve">MAROTA Thabiso </v>
      </c>
      <c r="F383" s="885" t="str">
        <f>IFERROR(VLOOKUP(Table2[[#This Row],[Player No]],Table10[[No]:[Province]],3,0),"")</f>
        <v>JTTA</v>
      </c>
      <c r="G383" s="892">
        <v>2.5</v>
      </c>
      <c r="H383" s="886">
        <f>(Table2[[#This Row],[Points 2025]]/2)+SUM(Table2[[#This Row],[O1  ADMIN 2026]:[P2    CAPE TOWN OPEN 2026 ]])</f>
        <v>1.25</v>
      </c>
      <c r="I383" s="880">
        <f t="shared" si="32"/>
        <v>0</v>
      </c>
      <c r="J383" s="882">
        <f t="shared" si="36"/>
        <v>0</v>
      </c>
      <c r="K383" s="887" t="s">
        <v>6083</v>
      </c>
      <c r="L383" s="887" t="s">
        <v>6083</v>
      </c>
      <c r="M383" s="887" t="s">
        <v>6083</v>
      </c>
      <c r="N383" s="887"/>
      <c r="O383" s="882"/>
      <c r="P383" s="882"/>
      <c r="Q383" s="888"/>
      <c r="R383" s="888"/>
      <c r="S383" s="882"/>
      <c r="T383" s="888"/>
      <c r="U383" s="882"/>
      <c r="V383" s="887"/>
      <c r="W383" s="888"/>
      <c r="X383" s="882"/>
      <c r="Y383" s="888"/>
      <c r="Z383" s="882"/>
      <c r="AA383" s="882"/>
      <c r="AB383" s="882"/>
      <c r="AC383" s="882"/>
      <c r="AD383" s="882"/>
      <c r="AE383" s="882"/>
      <c r="AF383" s="882"/>
      <c r="AG383" s="882"/>
      <c r="AH383" s="882"/>
      <c r="AI383" s="882">
        <v>5</v>
      </c>
      <c r="AJ383" s="882"/>
      <c r="AK383" s="882"/>
      <c r="AL383" s="889"/>
    </row>
    <row r="384" spans="1:38" s="890" customFormat="1">
      <c r="A384" s="882"/>
      <c r="B384" s="891"/>
      <c r="C384" s="882">
        <f t="shared" si="33"/>
        <v>380</v>
      </c>
      <c r="D384" s="883">
        <v>1238</v>
      </c>
      <c r="E384" s="884" t="str">
        <f>IFERROR(VLOOKUP(Table2[[#This Row],[Player No]],Table10[[No]:[Province]],2,0),"")</f>
        <v xml:space="preserve">LETSHWITI Mpho </v>
      </c>
      <c r="F384" s="885" t="str">
        <f>IFERROR(VLOOKUP(Table2[[#This Row],[Player No]],Table10[[No]:[Province]],3,0),"")</f>
        <v>NWP</v>
      </c>
      <c r="G384" s="892">
        <v>2.5</v>
      </c>
      <c r="H384" s="886">
        <f>(Table2[[#This Row],[Points 2025]]/2)+SUM(Table2[[#This Row],[O1  ADMIN 2026]:[P2    CAPE TOWN OPEN 2026 ]])</f>
        <v>1.25</v>
      </c>
      <c r="I384" s="880">
        <f t="shared" si="32"/>
        <v>0</v>
      </c>
      <c r="J384" s="882">
        <f t="shared" si="36"/>
        <v>0</v>
      </c>
      <c r="K384" s="887" t="s">
        <v>6083</v>
      </c>
      <c r="L384" s="887" t="s">
        <v>6083</v>
      </c>
      <c r="M384" s="887" t="s">
        <v>6083</v>
      </c>
      <c r="N384" s="887"/>
      <c r="O384" s="882"/>
      <c r="P384" s="882"/>
      <c r="Q384" s="888"/>
      <c r="R384" s="888"/>
      <c r="S384" s="882"/>
      <c r="T384" s="888"/>
      <c r="U384" s="882"/>
      <c r="V384" s="887"/>
      <c r="W384" s="888"/>
      <c r="X384" s="882"/>
      <c r="Y384" s="888"/>
      <c r="Z384" s="882"/>
      <c r="AA384" s="882"/>
      <c r="AB384" s="882"/>
      <c r="AC384" s="882"/>
      <c r="AD384" s="882"/>
      <c r="AE384" s="882"/>
      <c r="AF384" s="882"/>
      <c r="AG384" s="882">
        <v>5</v>
      </c>
      <c r="AH384" s="882"/>
      <c r="AI384" s="882"/>
      <c r="AJ384" s="882"/>
      <c r="AK384" s="882"/>
      <c r="AL384" s="889"/>
    </row>
    <row r="385" spans="1:38" s="890" customFormat="1">
      <c r="A385" s="882"/>
      <c r="B385" s="891"/>
      <c r="C385" s="882">
        <f t="shared" si="33"/>
        <v>381</v>
      </c>
      <c r="D385" s="883">
        <v>1563</v>
      </c>
      <c r="E385" s="884" t="str">
        <f>IFERROR(VLOOKUP(Table2[[#This Row],[Player No]],Table10[[No]:[Province]],2,0),"")</f>
        <v xml:space="preserve">DRACOULIDES Demos </v>
      </c>
      <c r="F385" s="885" t="str">
        <f>IFERROR(VLOOKUP(Table2[[#This Row],[Player No]],Table10[[No]:[Province]],3,0),"")</f>
        <v>CT</v>
      </c>
      <c r="G385" s="892">
        <v>2.5</v>
      </c>
      <c r="H385" s="886">
        <f>(Table2[[#This Row],[Points 2025]]/2)+SUM(Table2[[#This Row],[O1  ADMIN 2026]:[P2    CAPE TOWN OPEN 2026 ]])</f>
        <v>1.25</v>
      </c>
      <c r="I385" s="880">
        <f t="shared" si="32"/>
        <v>0</v>
      </c>
      <c r="J385" s="882">
        <f t="shared" si="36"/>
        <v>0</v>
      </c>
      <c r="K385" s="887" t="s">
        <v>6083</v>
      </c>
      <c r="L385" s="887" t="s">
        <v>6083</v>
      </c>
      <c r="M385" s="887" t="s">
        <v>6083</v>
      </c>
      <c r="N385" s="887"/>
      <c r="O385" s="882"/>
      <c r="P385" s="882"/>
      <c r="Q385" s="888"/>
      <c r="R385" s="888"/>
      <c r="S385" s="882"/>
      <c r="T385" s="888"/>
      <c r="U385" s="882"/>
      <c r="V385" s="887"/>
      <c r="W385" s="888"/>
      <c r="X385" s="882"/>
      <c r="Y385" s="888"/>
      <c r="Z385" s="882"/>
      <c r="AA385" s="882"/>
      <c r="AB385" s="882"/>
      <c r="AC385" s="882"/>
      <c r="AD385" s="882"/>
      <c r="AE385" s="882">
        <v>5</v>
      </c>
      <c r="AF385" s="882"/>
      <c r="AG385" s="882"/>
      <c r="AH385" s="882"/>
      <c r="AI385" s="882"/>
      <c r="AJ385" s="882"/>
      <c r="AK385" s="882"/>
      <c r="AL385" s="889"/>
    </row>
    <row r="386" spans="1:38" s="890" customFormat="1">
      <c r="A386" s="882"/>
      <c r="B386" s="891"/>
      <c r="C386" s="882">
        <f t="shared" si="33"/>
        <v>382</v>
      </c>
      <c r="D386" s="883">
        <v>1723</v>
      </c>
      <c r="E386" s="884" t="str">
        <f>IFERROR(VLOOKUP(Table2[[#This Row],[Player No]],Table10[[No]:[Province]],2,0),"")</f>
        <v>MOHATLE Kgothatso</v>
      </c>
      <c r="F386" s="885" t="str">
        <f>IFERROR(VLOOKUP(Table2[[#This Row],[Player No]],Table10[[No]:[Province]],3,0),"")</f>
        <v>LIM</v>
      </c>
      <c r="G386" s="892">
        <v>2.5</v>
      </c>
      <c r="H386" s="886">
        <f>(Table2[[#This Row],[Points 2025]]/2)+SUM(Table2[[#This Row],[O1  ADMIN 2026]:[P2    CAPE TOWN OPEN 2026 ]])</f>
        <v>1.25</v>
      </c>
      <c r="I386" s="880">
        <f t="shared" si="32"/>
        <v>0</v>
      </c>
      <c r="J386" s="882">
        <f t="shared" si="36"/>
        <v>0</v>
      </c>
      <c r="K386" s="887" t="s">
        <v>6083</v>
      </c>
      <c r="L386" s="887" t="s">
        <v>6083</v>
      </c>
      <c r="M386" s="887" t="s">
        <v>6083</v>
      </c>
      <c r="N386" s="887"/>
      <c r="O386" s="882"/>
      <c r="P386" s="882"/>
      <c r="Q386" s="888"/>
      <c r="R386" s="888"/>
      <c r="S386" s="882"/>
      <c r="T386" s="888"/>
      <c r="U386" s="882"/>
      <c r="V386" s="887"/>
      <c r="W386" s="888"/>
      <c r="X386" s="882"/>
      <c r="Y386" s="888"/>
      <c r="Z386" s="882"/>
      <c r="AA386" s="882"/>
      <c r="AB386" s="882"/>
      <c r="AC386" s="882"/>
      <c r="AD386" s="882"/>
      <c r="AE386" s="882"/>
      <c r="AF386" s="882"/>
      <c r="AG386" s="882">
        <v>5</v>
      </c>
      <c r="AH386" s="882"/>
      <c r="AI386" s="882"/>
      <c r="AJ386" s="882"/>
      <c r="AK386" s="882"/>
      <c r="AL386" s="889"/>
    </row>
    <row r="387" spans="1:38" s="890" customFormat="1">
      <c r="A387" s="882">
        <v>905</v>
      </c>
      <c r="B387" s="891">
        <f>+A387-C387</f>
        <v>522</v>
      </c>
      <c r="C387" s="882">
        <f t="shared" si="33"/>
        <v>383</v>
      </c>
      <c r="D387" s="883">
        <v>1815</v>
      </c>
      <c r="E387" s="884" t="str">
        <f>IFERROR(VLOOKUP(Table2[[#This Row],[Player No]],Table10[[No]:[Province]],2,0),"")</f>
        <v xml:space="preserve">CROUCH Daniel </v>
      </c>
      <c r="F387" s="885" t="str">
        <f>IFERROR(VLOOKUP(Table2[[#This Row],[Player No]],Table10[[No]:[Province]],3,0),"")</f>
        <v>CW</v>
      </c>
      <c r="G387" s="892">
        <v>2.5</v>
      </c>
      <c r="H387" s="886">
        <f>(Table2[[#This Row],[Points 2025]]/2)+SUM(Table2[[#This Row],[O1  ADMIN 2026]:[P2    CAPE TOWN OPEN 2026 ]])</f>
        <v>1.25</v>
      </c>
      <c r="I387" s="880">
        <f t="shared" si="32"/>
        <v>0</v>
      </c>
      <c r="J387" s="882">
        <f t="shared" si="36"/>
        <v>0</v>
      </c>
      <c r="K387" s="887" t="s">
        <v>6083</v>
      </c>
      <c r="L387" s="887" t="s">
        <v>6083</v>
      </c>
      <c r="M387" s="887" t="s">
        <v>6083</v>
      </c>
      <c r="N387" s="887"/>
      <c r="O387" s="882"/>
      <c r="P387" s="882"/>
      <c r="Q387" s="888"/>
      <c r="R387" s="888"/>
      <c r="S387" s="882"/>
      <c r="T387" s="888"/>
      <c r="U387" s="882"/>
      <c r="V387" s="887"/>
      <c r="W387" s="888"/>
      <c r="X387" s="882"/>
      <c r="Y387" s="888"/>
      <c r="Z387" s="882"/>
      <c r="AA387" s="882"/>
      <c r="AB387" s="882"/>
      <c r="AC387" s="882"/>
      <c r="AD387" s="882"/>
      <c r="AE387" s="882"/>
      <c r="AF387" s="882">
        <v>5</v>
      </c>
      <c r="AG387" s="882"/>
      <c r="AH387" s="882"/>
      <c r="AI387" s="882"/>
      <c r="AJ387" s="882"/>
      <c r="AK387" s="882"/>
      <c r="AL387" s="889"/>
    </row>
    <row r="388" spans="1:38" s="890" customFormat="1">
      <c r="A388" s="882">
        <v>905</v>
      </c>
      <c r="B388" s="891">
        <f>+A388-C388</f>
        <v>521</v>
      </c>
      <c r="C388" s="882">
        <f t="shared" si="33"/>
        <v>384</v>
      </c>
      <c r="D388" s="883">
        <v>1920</v>
      </c>
      <c r="E388" s="884" t="str">
        <f>IFERROR(VLOOKUP(Table2[[#This Row],[Player No]],Table10[[No]:[Province]],2,0),"")</f>
        <v>Ragado Leslie</v>
      </c>
      <c r="F388" s="885" t="str">
        <f>IFERROR(VLOOKUP(Table2[[#This Row],[Player No]],Table10[[No]:[Province]],3,0),"")</f>
        <v>EDEN</v>
      </c>
      <c r="G388" s="892">
        <v>2.5</v>
      </c>
      <c r="H388" s="886">
        <f>(Table2[[#This Row],[Points 2025]]/2)+SUM(Table2[[#This Row],[O1  ADMIN 2026]:[P2    CAPE TOWN OPEN 2026 ]])</f>
        <v>1.25</v>
      </c>
      <c r="I388" s="880">
        <f t="shared" si="32"/>
        <v>0</v>
      </c>
      <c r="J388" s="882">
        <f t="shared" si="36"/>
        <v>0</v>
      </c>
      <c r="K388" s="887" t="s">
        <v>6083</v>
      </c>
      <c r="L388" s="887" t="s">
        <v>6083</v>
      </c>
      <c r="M388" s="887" t="s">
        <v>6083</v>
      </c>
      <c r="N388" s="887"/>
      <c r="O388" s="882"/>
      <c r="P388" s="882"/>
      <c r="Q388" s="888"/>
      <c r="R388" s="888"/>
      <c r="S388" s="882"/>
      <c r="T388" s="888"/>
      <c r="U388" s="882"/>
      <c r="V388" s="887"/>
      <c r="W388" s="888"/>
      <c r="X388" s="882"/>
      <c r="Y388" s="888"/>
      <c r="Z388" s="882"/>
      <c r="AA388" s="882"/>
      <c r="AB388" s="882"/>
      <c r="AC388" s="882"/>
      <c r="AD388" s="882"/>
      <c r="AE388" s="882"/>
      <c r="AF388" s="882">
        <v>5</v>
      </c>
      <c r="AG388" s="882"/>
      <c r="AH388" s="882"/>
      <c r="AI388" s="882"/>
      <c r="AJ388" s="882"/>
      <c r="AK388" s="882"/>
      <c r="AL388" s="889"/>
    </row>
    <row r="389" spans="1:38" s="890" customFormat="1">
      <c r="A389" s="882"/>
      <c r="B389" s="891"/>
      <c r="C389" s="882">
        <f t="shared" si="33"/>
        <v>385</v>
      </c>
      <c r="D389" s="883">
        <v>2071</v>
      </c>
      <c r="E389" s="884" t="str">
        <f>IFERROR(VLOOKUP(Table2[[#This Row],[Player No]],Table10[[No]:[Province]],2,0),"")</f>
        <v xml:space="preserve">ANTHONY W. </v>
      </c>
      <c r="F389" s="885" t="str">
        <f>IFERROR(VLOOKUP(Table2[[#This Row],[Player No]],Table10[[No]:[Province]],3,0),"")</f>
        <v>SANDF</v>
      </c>
      <c r="G389" s="892">
        <v>2.5</v>
      </c>
      <c r="H389" s="886">
        <f>(Table2[[#This Row],[Points 2025]]/2)+SUM(Table2[[#This Row],[O1  ADMIN 2026]:[P2    CAPE TOWN OPEN 2026 ]])</f>
        <v>1.25</v>
      </c>
      <c r="I389" s="880">
        <f t="shared" ref="I389:I452" si="38">COUNTIF(K389:N389,"&gt;0")</f>
        <v>0</v>
      </c>
      <c r="J389" s="882">
        <f t="shared" si="36"/>
        <v>0</v>
      </c>
      <c r="K389" s="887" t="s">
        <v>6083</v>
      </c>
      <c r="L389" s="887" t="s">
        <v>6083</v>
      </c>
      <c r="M389" s="887" t="s">
        <v>6083</v>
      </c>
      <c r="N389" s="887"/>
      <c r="O389" s="882"/>
      <c r="P389" s="882"/>
      <c r="Q389" s="888"/>
      <c r="R389" s="888"/>
      <c r="S389" s="882"/>
      <c r="T389" s="888"/>
      <c r="U389" s="882"/>
      <c r="V389" s="887"/>
      <c r="W389" s="888"/>
      <c r="X389" s="882"/>
      <c r="Y389" s="888"/>
      <c r="Z389" s="882"/>
      <c r="AA389" s="882"/>
      <c r="AB389" s="882"/>
      <c r="AC389" s="882"/>
      <c r="AD389" s="882"/>
      <c r="AE389" s="882"/>
      <c r="AF389" s="882"/>
      <c r="AG389" s="882">
        <v>5</v>
      </c>
      <c r="AH389" s="882"/>
      <c r="AI389" s="882"/>
      <c r="AJ389" s="882"/>
      <c r="AK389" s="882"/>
      <c r="AL389" s="889"/>
    </row>
    <row r="390" spans="1:38" s="890" customFormat="1">
      <c r="A390" s="882">
        <v>211</v>
      </c>
      <c r="B390" s="891">
        <f>+A390-C390</f>
        <v>-175</v>
      </c>
      <c r="C390" s="882">
        <f t="shared" ref="C390:C453" si="39">C389+1</f>
        <v>386</v>
      </c>
      <c r="D390" s="883">
        <v>2165</v>
      </c>
      <c r="E390" s="884" t="str">
        <f>IFERROR(VLOOKUP(Table2[[#This Row],[Player No]],Table10[[No]:[Province]],2,0),"")</f>
        <v>Cheloane Riarorisa</v>
      </c>
      <c r="F390" s="885" t="str">
        <f>IFERROR(VLOOKUP(Table2[[#This Row],[Player No]],Table10[[No]:[Province]],3,0),"")</f>
        <v>EC</v>
      </c>
      <c r="G390" s="892">
        <v>2.5</v>
      </c>
      <c r="H390" s="886">
        <f>(Table2[[#This Row],[Points 2025]]/2)+SUM(Table2[[#This Row],[O1  ADMIN 2026]:[P2    CAPE TOWN OPEN 2026 ]])</f>
        <v>1.25</v>
      </c>
      <c r="I390" s="880">
        <f t="shared" si="38"/>
        <v>0</v>
      </c>
      <c r="J390" s="882">
        <f t="shared" si="36"/>
        <v>0</v>
      </c>
      <c r="K390" s="887" t="s">
        <v>6083</v>
      </c>
      <c r="L390" s="887" t="s">
        <v>6083</v>
      </c>
      <c r="M390" s="887" t="s">
        <v>6083</v>
      </c>
      <c r="N390" s="887"/>
      <c r="O390" s="882"/>
      <c r="P390" s="882"/>
      <c r="Q390" s="888"/>
      <c r="R390" s="888"/>
      <c r="S390" s="882"/>
      <c r="T390" s="888"/>
      <c r="U390" s="882"/>
      <c r="V390" s="887"/>
      <c r="W390" s="888"/>
      <c r="X390" s="882"/>
      <c r="Y390" s="888"/>
      <c r="Z390" s="882"/>
      <c r="AA390" s="882"/>
      <c r="AB390" s="882"/>
      <c r="AC390" s="882"/>
      <c r="AD390" s="882"/>
      <c r="AE390" s="882"/>
      <c r="AF390" s="882"/>
      <c r="AG390" s="882"/>
      <c r="AH390" s="882"/>
      <c r="AI390" s="882"/>
      <c r="AJ390" s="882">
        <v>5</v>
      </c>
      <c r="AK390" s="882"/>
      <c r="AL390" s="889"/>
    </row>
    <row r="391" spans="1:38" s="890" customFormat="1">
      <c r="A391" s="882"/>
      <c r="B391" s="891"/>
      <c r="C391" s="882">
        <f t="shared" si="39"/>
        <v>387</v>
      </c>
      <c r="D391" s="883">
        <v>2172</v>
      </c>
      <c r="E391" s="884" t="str">
        <f>IFERROR(VLOOKUP(Table2[[#This Row],[Player No]],Table10[[No]:[Province]],2,0),"")</f>
        <v>LETIMILE Thato</v>
      </c>
      <c r="F391" s="885" t="str">
        <f>IFERROR(VLOOKUP(Table2[[#This Row],[Player No]],Table10[[No]:[Province]],3,0),"")</f>
        <v>NWP</v>
      </c>
      <c r="G391" s="892">
        <v>2.5</v>
      </c>
      <c r="H391" s="886">
        <f>(Table2[[#This Row],[Points 2025]]/2)+SUM(Table2[[#This Row],[O1  ADMIN 2026]:[P2    CAPE TOWN OPEN 2026 ]])</f>
        <v>1.25</v>
      </c>
      <c r="I391" s="880">
        <f t="shared" si="38"/>
        <v>0</v>
      </c>
      <c r="J391" s="882">
        <f t="shared" si="36"/>
        <v>0</v>
      </c>
      <c r="K391" s="887" t="s">
        <v>6083</v>
      </c>
      <c r="L391" s="887" t="s">
        <v>6083</v>
      </c>
      <c r="M391" s="887" t="s">
        <v>6083</v>
      </c>
      <c r="N391" s="887"/>
      <c r="O391" s="882"/>
      <c r="P391" s="882"/>
      <c r="Q391" s="888"/>
      <c r="R391" s="888"/>
      <c r="S391" s="882"/>
      <c r="T391" s="888"/>
      <c r="U391" s="882"/>
      <c r="V391" s="887"/>
      <c r="W391" s="888"/>
      <c r="X391" s="882"/>
      <c r="Y391" s="888"/>
      <c r="Z391" s="882"/>
      <c r="AA391" s="882"/>
      <c r="AB391" s="882"/>
      <c r="AC391" s="882"/>
      <c r="AD391" s="882"/>
      <c r="AE391" s="882"/>
      <c r="AF391" s="882"/>
      <c r="AG391" s="882">
        <v>5</v>
      </c>
      <c r="AH391" s="882"/>
      <c r="AI391" s="882"/>
      <c r="AJ391" s="882"/>
      <c r="AK391" s="882"/>
      <c r="AL391" s="889"/>
    </row>
    <row r="392" spans="1:38" s="890" customFormat="1">
      <c r="A392" s="882">
        <v>209</v>
      </c>
      <c r="B392" s="891">
        <f t="shared" ref="B392:B398" si="40">+A392-C392</f>
        <v>-179</v>
      </c>
      <c r="C392" s="882">
        <f t="shared" si="39"/>
        <v>388</v>
      </c>
      <c r="D392" s="883">
        <v>2209</v>
      </c>
      <c r="E392" s="884" t="str">
        <f>IFERROR(VLOOKUP(Table2[[#This Row],[Player No]],Table10[[No]:[Province]],2,0),"")</f>
        <v>MOHATLI FORTUNATE</v>
      </c>
      <c r="F392" s="885" t="str">
        <f>IFERROR(VLOOKUP(Table2[[#This Row],[Player No]],Table10[[No]:[Province]],3,0),"")</f>
        <v>LIM</v>
      </c>
      <c r="G392" s="892">
        <v>2.5</v>
      </c>
      <c r="H392" s="886">
        <f>(Table2[[#This Row],[Points 2025]]/2)+SUM(Table2[[#This Row],[O1  ADMIN 2026]:[P2    CAPE TOWN OPEN 2026 ]])</f>
        <v>1.25</v>
      </c>
      <c r="I392" s="880">
        <f t="shared" si="38"/>
        <v>0</v>
      </c>
      <c r="J392" s="882">
        <f t="shared" si="36"/>
        <v>0</v>
      </c>
      <c r="K392" s="887" t="s">
        <v>6083</v>
      </c>
      <c r="L392" s="887" t="s">
        <v>6083</v>
      </c>
      <c r="M392" s="887" t="s">
        <v>6083</v>
      </c>
      <c r="N392" s="887"/>
      <c r="O392" s="882"/>
      <c r="P392" s="882"/>
      <c r="Q392" s="888"/>
      <c r="R392" s="888"/>
      <c r="S392" s="882"/>
      <c r="T392" s="888"/>
      <c r="U392" s="882"/>
      <c r="V392" s="887"/>
      <c r="W392" s="888"/>
      <c r="X392" s="882"/>
      <c r="Y392" s="888"/>
      <c r="Z392" s="882"/>
      <c r="AA392" s="882"/>
      <c r="AB392" s="882"/>
      <c r="AC392" s="882"/>
      <c r="AD392" s="882"/>
      <c r="AE392" s="882"/>
      <c r="AF392" s="882"/>
      <c r="AG392" s="882"/>
      <c r="AH392" s="882"/>
      <c r="AI392" s="882"/>
      <c r="AJ392" s="882"/>
      <c r="AK392" s="882"/>
      <c r="AL392" s="889"/>
    </row>
    <row r="393" spans="1:38" s="890" customFormat="1">
      <c r="A393" s="882">
        <v>243</v>
      </c>
      <c r="B393" s="891">
        <f t="shared" si="40"/>
        <v>-146</v>
      </c>
      <c r="C393" s="882">
        <f t="shared" si="39"/>
        <v>389</v>
      </c>
      <c r="D393" s="883">
        <v>3395</v>
      </c>
      <c r="E393" s="884" t="str">
        <f>IFERROR(VLOOKUP(Table2[[#This Row],[Player No]],Table10[[No]:[Province]],2,0),"")</f>
        <v>VOSTER Hermanique</v>
      </c>
      <c r="F393" s="885" t="str">
        <f>IFERROR(VLOOKUP(Table2[[#This Row],[Player No]],Table10[[No]:[Province]],3,0),"")</f>
        <v>CW</v>
      </c>
      <c r="G393" s="892">
        <v>2.5</v>
      </c>
      <c r="H393" s="886">
        <f>(Table2[[#This Row],[Points 2025]]/2)+SUM(Table2[[#This Row],[O1  ADMIN 2026]:[P2    CAPE TOWN OPEN 2026 ]])</f>
        <v>1.25</v>
      </c>
      <c r="I393" s="880">
        <f t="shared" si="38"/>
        <v>0</v>
      </c>
      <c r="J393" s="882">
        <f t="shared" ref="J393:J424" si="41">COUNTIF(O393:AK393,"&lt;0")</f>
        <v>0</v>
      </c>
      <c r="K393" s="887" t="s">
        <v>6083</v>
      </c>
      <c r="L393" s="887" t="s">
        <v>6083</v>
      </c>
      <c r="M393" s="887" t="s">
        <v>6083</v>
      </c>
      <c r="N393" s="887"/>
      <c r="O393" s="882"/>
      <c r="P393" s="882"/>
      <c r="Q393" s="888"/>
      <c r="R393" s="888"/>
      <c r="S393" s="882"/>
      <c r="T393" s="888"/>
      <c r="U393" s="882"/>
      <c r="V393" s="887"/>
      <c r="W393" s="888"/>
      <c r="X393" s="882"/>
      <c r="Y393" s="888"/>
      <c r="Z393" s="882"/>
      <c r="AA393" s="882"/>
      <c r="AB393" s="882"/>
      <c r="AC393" s="882"/>
      <c r="AD393" s="882"/>
      <c r="AE393" s="882"/>
      <c r="AF393" s="882"/>
      <c r="AG393" s="882"/>
      <c r="AH393" s="882"/>
      <c r="AI393" s="882"/>
      <c r="AJ393" s="882"/>
      <c r="AK393" s="882"/>
      <c r="AL393" s="889"/>
    </row>
    <row r="394" spans="1:38" s="890" customFormat="1">
      <c r="A394" s="882">
        <v>397</v>
      </c>
      <c r="B394" s="891">
        <f t="shared" si="40"/>
        <v>7</v>
      </c>
      <c r="C394" s="882">
        <f t="shared" si="39"/>
        <v>390</v>
      </c>
      <c r="D394" s="883">
        <v>3488</v>
      </c>
      <c r="E394" s="884" t="str">
        <f>IFERROR(VLOOKUP(Table2[[#This Row],[Player No]],Table10[[No]:[Province]],2,0),"")</f>
        <v>OLIVIER Jannie</v>
      </c>
      <c r="F394" s="885" t="str">
        <f>IFERROR(VLOOKUP(Table2[[#This Row],[Player No]],Table10[[No]:[Province]],3,0),"")</f>
        <v>GN</v>
      </c>
      <c r="G394" s="892">
        <v>2.5</v>
      </c>
      <c r="H394" s="886">
        <f>(Table2[[#This Row],[Points 2025]]/2)+SUM(Table2[[#This Row],[O1  ADMIN 2026]:[P2    CAPE TOWN OPEN 2026 ]])</f>
        <v>1.25</v>
      </c>
      <c r="I394" s="880">
        <f t="shared" si="38"/>
        <v>0</v>
      </c>
      <c r="J394" s="882">
        <f t="shared" si="41"/>
        <v>0</v>
      </c>
      <c r="K394" s="887" t="s">
        <v>6083</v>
      </c>
      <c r="L394" s="887" t="s">
        <v>6083</v>
      </c>
      <c r="M394" s="887" t="s">
        <v>6083</v>
      </c>
      <c r="N394" s="887"/>
      <c r="O394" s="882"/>
      <c r="P394" s="882"/>
      <c r="Q394" s="888"/>
      <c r="R394" s="888"/>
      <c r="S394" s="882"/>
      <c r="T394" s="888"/>
      <c r="U394" s="882"/>
      <c r="V394" s="887"/>
      <c r="W394" s="888"/>
      <c r="X394" s="882"/>
      <c r="Y394" s="888">
        <v>1</v>
      </c>
      <c r="Z394" s="882"/>
      <c r="AA394" s="882"/>
      <c r="AB394" s="882"/>
      <c r="AC394" s="882"/>
      <c r="AD394" s="882"/>
      <c r="AE394" s="882"/>
      <c r="AF394" s="882"/>
      <c r="AG394" s="882"/>
      <c r="AH394" s="882"/>
      <c r="AI394" s="882">
        <v>2</v>
      </c>
      <c r="AJ394" s="882"/>
      <c r="AK394" s="882"/>
      <c r="AL394" s="889"/>
    </row>
    <row r="395" spans="1:38" s="890" customFormat="1">
      <c r="A395" s="882">
        <v>206</v>
      </c>
      <c r="B395" s="891">
        <f t="shared" si="40"/>
        <v>-185</v>
      </c>
      <c r="C395" s="882">
        <f t="shared" si="39"/>
        <v>391</v>
      </c>
      <c r="D395" s="883">
        <v>3498</v>
      </c>
      <c r="E395" s="884" t="str">
        <f>IFERROR(VLOOKUP(Table2[[#This Row],[Player No]],Table10[[No]:[Province]],2,0),"")</f>
        <v>NAIDOO Evan</v>
      </c>
      <c r="F395" s="885" t="str">
        <f>IFERROR(VLOOKUP(Table2[[#This Row],[Player No]],Table10[[No]:[Province]],3,0),"")</f>
        <v>UMG</v>
      </c>
      <c r="G395" s="892">
        <v>2.5</v>
      </c>
      <c r="H395" s="886">
        <f>(Table2[[#This Row],[Points 2025]]/2)+SUM(Table2[[#This Row],[O1  ADMIN 2026]:[P2    CAPE TOWN OPEN 2026 ]])</f>
        <v>1.25</v>
      </c>
      <c r="I395" s="880">
        <f t="shared" si="38"/>
        <v>0</v>
      </c>
      <c r="J395" s="882">
        <f t="shared" si="41"/>
        <v>0</v>
      </c>
      <c r="K395" s="887" t="s">
        <v>6083</v>
      </c>
      <c r="L395" s="887" t="s">
        <v>6083</v>
      </c>
      <c r="M395" s="887" t="s">
        <v>6083</v>
      </c>
      <c r="N395" s="887"/>
      <c r="O395" s="882"/>
      <c r="P395" s="882"/>
      <c r="Q395" s="888"/>
      <c r="R395" s="888"/>
      <c r="S395" s="882"/>
      <c r="T395" s="888"/>
      <c r="U395" s="882"/>
      <c r="V395" s="887"/>
      <c r="W395" s="888"/>
      <c r="X395" s="882"/>
      <c r="Y395" s="888"/>
      <c r="Z395" s="882"/>
      <c r="AA395" s="882"/>
      <c r="AB395" s="882"/>
      <c r="AC395" s="882"/>
      <c r="AD395" s="882"/>
      <c r="AE395" s="882"/>
      <c r="AF395" s="882"/>
      <c r="AG395" s="882"/>
      <c r="AH395" s="882"/>
      <c r="AI395" s="882"/>
      <c r="AJ395" s="882"/>
      <c r="AK395" s="882"/>
      <c r="AL395" s="889"/>
    </row>
    <row r="396" spans="1:38" s="890" customFormat="1">
      <c r="A396" s="882">
        <v>208</v>
      </c>
      <c r="B396" s="891">
        <f t="shared" si="40"/>
        <v>-184</v>
      </c>
      <c r="C396" s="882">
        <f t="shared" si="39"/>
        <v>392</v>
      </c>
      <c r="D396" s="883">
        <v>3589</v>
      </c>
      <c r="E396" s="884" t="str">
        <f>IFERROR(VLOOKUP(Table2[[#This Row],[Player No]],Table10[[No]:[Province]],2,0),"")</f>
        <v>LETJOU Seetsa</v>
      </c>
      <c r="F396" s="885" t="str">
        <f>IFERROR(VLOOKUP(Table2[[#This Row],[Player No]],Table10[[No]:[Province]],3,0),"")</f>
        <v>LIM</v>
      </c>
      <c r="G396" s="892">
        <v>2.5</v>
      </c>
      <c r="H396" s="886">
        <f>(Table2[[#This Row],[Points 2025]]/2)+SUM(Table2[[#This Row],[O1  ADMIN 2026]:[P2    CAPE TOWN OPEN 2026 ]])</f>
        <v>1.25</v>
      </c>
      <c r="I396" s="880">
        <f t="shared" si="38"/>
        <v>0</v>
      </c>
      <c r="J396" s="882">
        <f t="shared" si="41"/>
        <v>0</v>
      </c>
      <c r="K396" s="887" t="s">
        <v>6083</v>
      </c>
      <c r="L396" s="887" t="s">
        <v>6083</v>
      </c>
      <c r="M396" s="887" t="s">
        <v>6083</v>
      </c>
      <c r="N396" s="887"/>
      <c r="O396" s="882"/>
      <c r="P396" s="882"/>
      <c r="Q396" s="888"/>
      <c r="R396" s="888"/>
      <c r="S396" s="882"/>
      <c r="T396" s="888"/>
      <c r="U396" s="882"/>
      <c r="V396" s="887"/>
      <c r="W396" s="888"/>
      <c r="X396" s="882"/>
      <c r="Y396" s="888"/>
      <c r="Z396" s="882"/>
      <c r="AA396" s="882"/>
      <c r="AB396" s="882"/>
      <c r="AC396" s="882"/>
      <c r="AD396" s="882"/>
      <c r="AE396" s="882"/>
      <c r="AF396" s="882"/>
      <c r="AG396" s="882"/>
      <c r="AH396" s="882"/>
      <c r="AI396" s="882"/>
      <c r="AJ396" s="882"/>
      <c r="AK396" s="882"/>
      <c r="AL396" s="889"/>
    </row>
    <row r="397" spans="1:38" s="890" customFormat="1">
      <c r="A397" s="882">
        <v>428</v>
      </c>
      <c r="B397" s="891">
        <f t="shared" si="40"/>
        <v>35</v>
      </c>
      <c r="C397" s="882">
        <f t="shared" si="39"/>
        <v>393</v>
      </c>
      <c r="D397" s="883">
        <v>3868</v>
      </c>
      <c r="E397" s="884" t="str">
        <f>IFERROR(VLOOKUP(Table2[[#This Row],[Player No]],Table10[[No]:[Province]],2,0),"")</f>
        <v>NATESAN Thiagen</v>
      </c>
      <c r="F397" s="885" t="str">
        <f>IFERROR(VLOOKUP(Table2[[#This Row],[Player No]],Table10[[No]:[Province]],3,0),"")</f>
        <v>ETTA</v>
      </c>
      <c r="G397" s="892">
        <v>2.5</v>
      </c>
      <c r="H397" s="886">
        <f>(Table2[[#This Row],[Points 2025]]/2)+SUM(Table2[[#This Row],[O1  ADMIN 2026]:[P2    CAPE TOWN OPEN 2026 ]])</f>
        <v>1.25</v>
      </c>
      <c r="I397" s="880">
        <f t="shared" si="38"/>
        <v>0</v>
      </c>
      <c r="J397" s="882">
        <f t="shared" si="41"/>
        <v>0</v>
      </c>
      <c r="K397" s="887" t="s">
        <v>6083</v>
      </c>
      <c r="L397" s="887" t="s">
        <v>6083</v>
      </c>
      <c r="M397" s="887" t="s">
        <v>6083</v>
      </c>
      <c r="N397" s="887"/>
      <c r="O397" s="882"/>
      <c r="P397" s="882"/>
      <c r="Q397" s="888">
        <v>1</v>
      </c>
      <c r="R397" s="888">
        <v>1</v>
      </c>
      <c r="S397" s="882"/>
      <c r="T397" s="888"/>
      <c r="U397" s="882"/>
      <c r="V397" s="887"/>
      <c r="W397" s="888"/>
      <c r="X397" s="882"/>
      <c r="Y397" s="888"/>
      <c r="Z397" s="882"/>
      <c r="AA397" s="882"/>
      <c r="AB397" s="882"/>
      <c r="AC397" s="882"/>
      <c r="AD397" s="882">
        <v>1</v>
      </c>
      <c r="AE397" s="882"/>
      <c r="AF397" s="882"/>
      <c r="AG397" s="882">
        <v>0</v>
      </c>
      <c r="AH397" s="882"/>
      <c r="AI397" s="882"/>
      <c r="AJ397" s="882"/>
      <c r="AK397" s="882"/>
      <c r="AL397" s="889"/>
    </row>
    <row r="398" spans="1:38" s="890" customFormat="1">
      <c r="A398" s="882">
        <v>905</v>
      </c>
      <c r="B398" s="891">
        <f t="shared" si="40"/>
        <v>511</v>
      </c>
      <c r="C398" s="882">
        <f t="shared" si="39"/>
        <v>394</v>
      </c>
      <c r="D398" s="883">
        <v>3946</v>
      </c>
      <c r="E398" s="884" t="str">
        <f>IFERROR(VLOOKUP(Table2[[#This Row],[Player No]],Table10[[No]:[Province]],2,0),"")</f>
        <v>STOLLS Gladwin</v>
      </c>
      <c r="F398" s="885" t="str">
        <f>IFERROR(VLOOKUP(Table2[[#This Row],[Player No]],Table10[[No]:[Province]],3,0),"")</f>
        <v>Eden</v>
      </c>
      <c r="G398" s="892">
        <v>2.5</v>
      </c>
      <c r="H398" s="886">
        <f>(Table2[[#This Row],[Points 2025]]/2)+SUM(Table2[[#This Row],[O1  ADMIN 2026]:[P2    CAPE TOWN OPEN 2026 ]])</f>
        <v>1.25</v>
      </c>
      <c r="I398" s="880">
        <f t="shared" si="38"/>
        <v>0</v>
      </c>
      <c r="J398" s="882">
        <f t="shared" si="41"/>
        <v>0</v>
      </c>
      <c r="K398" s="887" t="s">
        <v>6083</v>
      </c>
      <c r="L398" s="887" t="s">
        <v>6083</v>
      </c>
      <c r="M398" s="887" t="s">
        <v>6083</v>
      </c>
      <c r="N398" s="887"/>
      <c r="O398" s="882"/>
      <c r="P398" s="882"/>
      <c r="Q398" s="888"/>
      <c r="R398" s="888"/>
      <c r="S398" s="882"/>
      <c r="T398" s="888"/>
      <c r="U398" s="882"/>
      <c r="V398" s="887"/>
      <c r="W398" s="888"/>
      <c r="X398" s="882"/>
      <c r="Y398" s="888"/>
      <c r="Z398" s="882"/>
      <c r="AA398" s="882"/>
      <c r="AB398" s="882"/>
      <c r="AC398" s="882"/>
      <c r="AD398" s="882"/>
      <c r="AE398" s="882"/>
      <c r="AF398" s="882">
        <v>5</v>
      </c>
      <c r="AG398" s="882"/>
      <c r="AH398" s="882"/>
      <c r="AI398" s="882"/>
      <c r="AJ398" s="882"/>
      <c r="AK398" s="882"/>
      <c r="AL398" s="889"/>
    </row>
    <row r="399" spans="1:38" s="890" customFormat="1">
      <c r="A399" s="882"/>
      <c r="B399" s="891"/>
      <c r="C399" s="882">
        <f t="shared" si="39"/>
        <v>395</v>
      </c>
      <c r="D399" s="883">
        <v>4032</v>
      </c>
      <c r="E399" s="884" t="str">
        <f>IFERROR(VLOOKUP(Table2[[#This Row],[Player No]],Table10[[No]:[Province]],2,0),"")</f>
        <v>BAILEY Dean</v>
      </c>
      <c r="F399" s="885" t="str">
        <f>IFERROR(VLOOKUP(Table2[[#This Row],[Player No]],Table10[[No]:[Province]],3,0),"")</f>
        <v>NMB</v>
      </c>
      <c r="G399" s="892">
        <v>2.5</v>
      </c>
      <c r="H399" s="886">
        <f>(Table2[[#This Row],[Points 2025]]/2)+SUM(Table2[[#This Row],[O1  ADMIN 2026]:[P2    CAPE TOWN OPEN 2026 ]])</f>
        <v>1.25</v>
      </c>
      <c r="I399" s="880">
        <f t="shared" si="38"/>
        <v>0</v>
      </c>
      <c r="J399" s="882">
        <f t="shared" si="41"/>
        <v>0</v>
      </c>
      <c r="K399" s="887" t="s">
        <v>6083</v>
      </c>
      <c r="L399" s="887" t="s">
        <v>6083</v>
      </c>
      <c r="M399" s="887" t="s">
        <v>6083</v>
      </c>
      <c r="N399" s="887"/>
      <c r="O399" s="882"/>
      <c r="P399" s="882"/>
      <c r="Q399" s="888"/>
      <c r="R399" s="888"/>
      <c r="S399" s="882"/>
      <c r="T399" s="888"/>
      <c r="U399" s="882"/>
      <c r="V399" s="887"/>
      <c r="W399" s="888"/>
      <c r="X399" s="882"/>
      <c r="Y399" s="888"/>
      <c r="Z399" s="882"/>
      <c r="AA399" s="882"/>
      <c r="AB399" s="882"/>
      <c r="AC399" s="882"/>
      <c r="AD399" s="882"/>
      <c r="AE399" s="882"/>
      <c r="AF399" s="882"/>
      <c r="AG399" s="882">
        <v>5</v>
      </c>
      <c r="AH399" s="882"/>
      <c r="AI399" s="882"/>
      <c r="AJ399" s="882"/>
      <c r="AK399" s="882"/>
      <c r="AL399" s="889"/>
    </row>
    <row r="400" spans="1:38" s="890" customFormat="1">
      <c r="A400" s="882"/>
      <c r="B400" s="891"/>
      <c r="C400" s="882">
        <f t="shared" si="39"/>
        <v>396</v>
      </c>
      <c r="D400" s="883">
        <v>4130</v>
      </c>
      <c r="E400" s="884" t="str">
        <f>IFERROR(VLOOKUP(Table2[[#This Row],[Player No]],Table10[[No]:[Province]],2,0),"")</f>
        <v>Nkosana Tukule</v>
      </c>
      <c r="F400" s="885" t="str">
        <f>IFERROR(VLOOKUP(Table2[[#This Row],[Player No]],Table10[[No]:[Province]],3,0),"")</f>
        <v>JTTA</v>
      </c>
      <c r="G400" s="892">
        <v>2.5</v>
      </c>
      <c r="H400" s="886">
        <f>(Table2[[#This Row],[Points 2025]]/2)+SUM(Table2[[#This Row],[O1  ADMIN 2026]:[P2    CAPE TOWN OPEN 2026 ]])</f>
        <v>1.25</v>
      </c>
      <c r="I400" s="880">
        <f t="shared" si="38"/>
        <v>0</v>
      </c>
      <c r="J400" s="882">
        <f t="shared" si="41"/>
        <v>0</v>
      </c>
      <c r="K400" s="887" t="s">
        <v>6083</v>
      </c>
      <c r="L400" s="887" t="s">
        <v>6083</v>
      </c>
      <c r="M400" s="887" t="s">
        <v>6083</v>
      </c>
      <c r="N400" s="887"/>
      <c r="O400" s="882"/>
      <c r="P400" s="882"/>
      <c r="Q400" s="888"/>
      <c r="R400" s="888"/>
      <c r="S400" s="882"/>
      <c r="T400" s="888"/>
      <c r="U400" s="882"/>
      <c r="V400" s="887"/>
      <c r="W400" s="888"/>
      <c r="X400" s="882"/>
      <c r="Y400" s="888"/>
      <c r="Z400" s="882"/>
      <c r="AA400" s="882"/>
      <c r="AB400" s="882"/>
      <c r="AC400" s="882"/>
      <c r="AD400" s="882"/>
      <c r="AE400" s="882">
        <v>3</v>
      </c>
      <c r="AF400" s="882"/>
      <c r="AG400" s="882"/>
      <c r="AH400" s="882">
        <v>2</v>
      </c>
      <c r="AI400" s="882"/>
      <c r="AJ400" s="882"/>
      <c r="AK400" s="882"/>
      <c r="AL400" s="889"/>
    </row>
    <row r="401" spans="1:38" s="890" customFormat="1">
      <c r="A401" s="882">
        <v>428</v>
      </c>
      <c r="B401" s="891">
        <f t="shared" ref="B401:B415" si="42">+A401-C401</f>
        <v>31</v>
      </c>
      <c r="C401" s="882">
        <f t="shared" si="39"/>
        <v>397</v>
      </c>
      <c r="D401" s="893">
        <v>4144</v>
      </c>
      <c r="E401" s="884" t="str">
        <f>IFERROR(VLOOKUP(Table2[[#This Row],[Player No]],Table10[[No]:[Province]],2,0),"")</f>
        <v xml:space="preserve">PEPETA Liqawe </v>
      </c>
      <c r="F401" s="885" t="str">
        <f>IFERROR(VLOOKUP(Table2[[#This Row],[Player No]],Table10[[No]:[Province]],3,0),"")</f>
        <v>CT</v>
      </c>
      <c r="G401" s="892">
        <v>2.5</v>
      </c>
      <c r="H401" s="886">
        <f>(Table2[[#This Row],[Points 2025]]/2)+SUM(Table2[[#This Row],[O1  ADMIN 2026]:[P2    CAPE TOWN OPEN 2026 ]])</f>
        <v>1.25</v>
      </c>
      <c r="I401" s="880">
        <f t="shared" si="38"/>
        <v>0</v>
      </c>
      <c r="J401" s="882">
        <f t="shared" si="41"/>
        <v>0</v>
      </c>
      <c r="K401" s="887" t="s">
        <v>6083</v>
      </c>
      <c r="L401" s="887" t="s">
        <v>6083</v>
      </c>
      <c r="M401" s="887" t="s">
        <v>6083</v>
      </c>
      <c r="N401" s="887"/>
      <c r="O401" s="882"/>
      <c r="P401" s="882"/>
      <c r="Q401" s="888"/>
      <c r="R401" s="888"/>
      <c r="S401" s="882"/>
      <c r="T401" s="888"/>
      <c r="U401" s="882"/>
      <c r="V401" s="887"/>
      <c r="W401" s="888"/>
      <c r="X401" s="882"/>
      <c r="Y401" s="888"/>
      <c r="Z401" s="882"/>
      <c r="AA401" s="882"/>
      <c r="AB401" s="882">
        <v>2</v>
      </c>
      <c r="AC401" s="882"/>
      <c r="AD401" s="882"/>
      <c r="AE401" s="882">
        <v>1</v>
      </c>
      <c r="AF401" s="882"/>
      <c r="AG401" s="882"/>
      <c r="AH401" s="882"/>
      <c r="AI401" s="882"/>
      <c r="AJ401" s="882"/>
      <c r="AK401" s="882"/>
      <c r="AL401" s="889"/>
    </row>
    <row r="402" spans="1:38" s="890" customFormat="1">
      <c r="A402" s="882"/>
      <c r="B402" s="891">
        <f t="shared" si="42"/>
        <v>-398</v>
      </c>
      <c r="C402" s="882">
        <f t="shared" si="39"/>
        <v>398</v>
      </c>
      <c r="D402" s="883">
        <v>4502</v>
      </c>
      <c r="E402" s="884" t="str">
        <f>IFERROR(VLOOKUP(Table2[[#This Row],[Player No]],Table10[[No]:[Province]],2,0),"")</f>
        <v xml:space="preserve">NAGIN Jushiel </v>
      </c>
      <c r="F402" s="885" t="str">
        <f>IFERROR(VLOOKUP(Table2[[#This Row],[Player No]],Table10[[No]:[Province]],3,0),"")</f>
        <v>JTTA</v>
      </c>
      <c r="G402" s="892">
        <v>2.5</v>
      </c>
      <c r="H402" s="886">
        <f>(Table2[[#This Row],[Points 2025]]/2)+SUM(Table2[[#This Row],[O1  ADMIN 2026]:[P2    CAPE TOWN OPEN 2026 ]])</f>
        <v>1.25</v>
      </c>
      <c r="I402" s="880">
        <f t="shared" si="38"/>
        <v>0</v>
      </c>
      <c r="J402" s="882">
        <f t="shared" si="41"/>
        <v>0</v>
      </c>
      <c r="K402" s="887" t="s">
        <v>6083</v>
      </c>
      <c r="L402" s="887" t="s">
        <v>6083</v>
      </c>
      <c r="M402" s="887" t="s">
        <v>6083</v>
      </c>
      <c r="N402" s="887"/>
      <c r="O402" s="882"/>
      <c r="P402" s="882"/>
      <c r="Q402" s="888"/>
      <c r="R402" s="888"/>
      <c r="S402" s="882"/>
      <c r="T402" s="888"/>
      <c r="U402" s="882"/>
      <c r="V402" s="887"/>
      <c r="W402" s="888"/>
      <c r="X402" s="882"/>
      <c r="Y402" s="888"/>
      <c r="Z402" s="882"/>
      <c r="AA402" s="882"/>
      <c r="AB402" s="882"/>
      <c r="AC402" s="882"/>
      <c r="AD402" s="882"/>
      <c r="AE402" s="882"/>
      <c r="AF402" s="882"/>
      <c r="AG402" s="882"/>
      <c r="AH402" s="882"/>
      <c r="AI402" s="882">
        <v>5</v>
      </c>
      <c r="AJ402" s="882"/>
      <c r="AK402" s="882"/>
      <c r="AL402" s="889"/>
    </row>
    <row r="403" spans="1:38" s="890" customFormat="1">
      <c r="A403" s="882"/>
      <c r="B403" s="891">
        <f t="shared" si="42"/>
        <v>-399</v>
      </c>
      <c r="C403" s="882">
        <f t="shared" si="39"/>
        <v>399</v>
      </c>
      <c r="D403" s="883">
        <v>4503</v>
      </c>
      <c r="E403" s="884" t="str">
        <f>IFERROR(VLOOKUP(Table2[[#This Row],[Player No]],Table10[[No]:[Province]],2,0),"")</f>
        <v xml:space="preserve">MFENE Sanele </v>
      </c>
      <c r="F403" s="885" t="str">
        <f>IFERROR(VLOOKUP(Table2[[#This Row],[Player No]],Table10[[No]:[Province]],3,0),"")</f>
        <v>JTTA</v>
      </c>
      <c r="G403" s="892">
        <v>2.5</v>
      </c>
      <c r="H403" s="886">
        <f>(Table2[[#This Row],[Points 2025]]/2)+SUM(Table2[[#This Row],[O1  ADMIN 2026]:[P2    CAPE TOWN OPEN 2026 ]])</f>
        <v>1.25</v>
      </c>
      <c r="I403" s="880">
        <f t="shared" si="38"/>
        <v>0</v>
      </c>
      <c r="J403" s="882">
        <f t="shared" si="41"/>
        <v>0</v>
      </c>
      <c r="K403" s="887" t="s">
        <v>6083</v>
      </c>
      <c r="L403" s="887" t="s">
        <v>6083</v>
      </c>
      <c r="M403" s="887" t="s">
        <v>6083</v>
      </c>
      <c r="N403" s="887"/>
      <c r="O403" s="882"/>
      <c r="P403" s="882"/>
      <c r="Q403" s="888"/>
      <c r="R403" s="888"/>
      <c r="S403" s="882"/>
      <c r="T403" s="888"/>
      <c r="U403" s="882"/>
      <c r="V403" s="887"/>
      <c r="W403" s="888"/>
      <c r="X403" s="882"/>
      <c r="Y403" s="888"/>
      <c r="Z403" s="882"/>
      <c r="AA403" s="882"/>
      <c r="AB403" s="882"/>
      <c r="AC403" s="882"/>
      <c r="AD403" s="882"/>
      <c r="AE403" s="882"/>
      <c r="AF403" s="882"/>
      <c r="AG403" s="882"/>
      <c r="AH403" s="882"/>
      <c r="AI403" s="882">
        <v>5</v>
      </c>
      <c r="AJ403" s="882"/>
      <c r="AK403" s="882"/>
      <c r="AL403" s="889"/>
    </row>
    <row r="404" spans="1:38" s="890" customFormat="1">
      <c r="A404" s="882">
        <v>427</v>
      </c>
      <c r="B404" s="891">
        <f t="shared" si="42"/>
        <v>27</v>
      </c>
      <c r="C404" s="882">
        <f t="shared" si="39"/>
        <v>400</v>
      </c>
      <c r="D404" s="883">
        <v>3866</v>
      </c>
      <c r="E404" s="884" t="str">
        <f>IFERROR(VLOOKUP(Table2[[#This Row],[Player No]],Table10[[No]:[Province]],2,0),"")</f>
        <v>PARBHOODEEN Vishal</v>
      </c>
      <c r="F404" s="885" t="str">
        <f>IFERROR(VLOOKUP(Table2[[#This Row],[Player No]],Table10[[No]:[Province]],3,0),"")</f>
        <v>UMG</v>
      </c>
      <c r="G404" s="892">
        <v>0.5</v>
      </c>
      <c r="H404" s="886">
        <f>(Table2[[#This Row],[Points 2025]]/2)+SUM(Table2[[#This Row],[O1  ADMIN 2026]:[P2    CAPE TOWN OPEN 2026 ]])</f>
        <v>1.25</v>
      </c>
      <c r="I404" s="880">
        <f t="shared" si="38"/>
        <v>1</v>
      </c>
      <c r="J404" s="882">
        <f t="shared" si="41"/>
        <v>0</v>
      </c>
      <c r="K404" s="887" t="s">
        <v>6083</v>
      </c>
      <c r="L404" s="887">
        <v>1</v>
      </c>
      <c r="M404" s="887" t="s">
        <v>6083</v>
      </c>
      <c r="N404" s="887"/>
      <c r="O404" s="882"/>
      <c r="P404" s="882"/>
      <c r="Q404" s="888"/>
      <c r="R404" s="888"/>
      <c r="S404" s="882"/>
      <c r="T404" s="888"/>
      <c r="U404" s="882"/>
      <c r="V404" s="887"/>
      <c r="W404" s="888"/>
      <c r="X404" s="882"/>
      <c r="Y404" s="888"/>
      <c r="Z404" s="882"/>
      <c r="AA404" s="882"/>
      <c r="AB404" s="882"/>
      <c r="AC404" s="882"/>
      <c r="AD404" s="882">
        <v>1</v>
      </c>
      <c r="AE404" s="882"/>
      <c r="AF404" s="882"/>
      <c r="AG404" s="882"/>
      <c r="AH404" s="882"/>
      <c r="AI404" s="882"/>
      <c r="AJ404" s="882"/>
      <c r="AK404" s="882"/>
      <c r="AL404" s="889"/>
    </row>
    <row r="405" spans="1:38" s="890" customFormat="1">
      <c r="A405" s="882">
        <v>347</v>
      </c>
      <c r="B405" s="891">
        <f t="shared" si="42"/>
        <v>-54</v>
      </c>
      <c r="C405" s="882">
        <f t="shared" si="39"/>
        <v>401</v>
      </c>
      <c r="D405" s="883">
        <v>1162</v>
      </c>
      <c r="E405" s="884" t="str">
        <f>IFERROR(VLOOKUP(Table2[[#This Row],[Player No]],Table10[[No]:[Province]],2,0),"")</f>
        <v xml:space="preserve">WYNGAARD Darren </v>
      </c>
      <c r="F405" s="885" t="str">
        <f>IFERROR(VLOOKUP(Table2[[#This Row],[Player No]],Table10[[No]:[Province]],3,0),"")</f>
        <v>CT</v>
      </c>
      <c r="G405" s="892">
        <v>2.41015625</v>
      </c>
      <c r="H405" s="886">
        <f>(Table2[[#This Row],[Points 2025]]/2)+SUM(Table2[[#This Row],[O1  ADMIN 2026]:[P2    CAPE TOWN OPEN 2026 ]])</f>
        <v>1.205078125</v>
      </c>
      <c r="I405" s="880">
        <f t="shared" si="38"/>
        <v>0</v>
      </c>
      <c r="J405" s="882">
        <f t="shared" si="41"/>
        <v>0</v>
      </c>
      <c r="K405" s="887" t="s">
        <v>6083</v>
      </c>
      <c r="L405" s="887" t="s">
        <v>6083</v>
      </c>
      <c r="M405" s="887" t="s">
        <v>6083</v>
      </c>
      <c r="N405" s="887"/>
      <c r="O405" s="882"/>
      <c r="P405" s="882"/>
      <c r="Q405" s="888"/>
      <c r="R405" s="888"/>
      <c r="S405" s="882"/>
      <c r="T405" s="888"/>
      <c r="U405" s="882"/>
      <c r="V405" s="887"/>
      <c r="W405" s="888"/>
      <c r="X405" s="882"/>
      <c r="Y405" s="888"/>
      <c r="Z405" s="882"/>
      <c r="AA405" s="882"/>
      <c r="AB405" s="882"/>
      <c r="AC405" s="882"/>
      <c r="AD405" s="882"/>
      <c r="AE405" s="882">
        <v>3</v>
      </c>
      <c r="AF405" s="882"/>
      <c r="AG405" s="882"/>
      <c r="AH405" s="882"/>
      <c r="AI405" s="882"/>
      <c r="AJ405" s="882"/>
      <c r="AK405" s="882"/>
      <c r="AL405" s="889"/>
    </row>
    <row r="406" spans="1:38" s="890" customFormat="1">
      <c r="A406" s="882">
        <v>355</v>
      </c>
      <c r="B406" s="891">
        <f t="shared" si="42"/>
        <v>-47</v>
      </c>
      <c r="C406" s="882">
        <f t="shared" si="39"/>
        <v>402</v>
      </c>
      <c r="D406" s="883">
        <v>1586</v>
      </c>
      <c r="E406" s="884" t="str">
        <f>IFERROR(VLOOKUP(Table2[[#This Row],[Player No]],Table10[[No]:[Province]],2,0),"")</f>
        <v xml:space="preserve">MANUEL Yaaseen </v>
      </c>
      <c r="F406" s="885" t="str">
        <f>IFERROR(VLOOKUP(Table2[[#This Row],[Player No]],Table10[[No]:[Province]],3,0),"")</f>
        <v>CT</v>
      </c>
      <c r="G406" s="892">
        <v>2.25</v>
      </c>
      <c r="H406" s="886">
        <f>(Table2[[#This Row],[Points 2025]]/2)+SUM(Table2[[#This Row],[O1  ADMIN 2026]:[P2    CAPE TOWN OPEN 2026 ]])</f>
        <v>1.125</v>
      </c>
      <c r="I406" s="880">
        <f t="shared" si="38"/>
        <v>0</v>
      </c>
      <c r="J406" s="882">
        <f t="shared" si="41"/>
        <v>0</v>
      </c>
      <c r="K406" s="887" t="s">
        <v>6083</v>
      </c>
      <c r="L406" s="887" t="s">
        <v>6083</v>
      </c>
      <c r="M406" s="887" t="s">
        <v>6083</v>
      </c>
      <c r="N406" s="887"/>
      <c r="O406" s="882"/>
      <c r="P406" s="882"/>
      <c r="Q406" s="888"/>
      <c r="R406" s="888"/>
      <c r="S406" s="882"/>
      <c r="T406" s="888"/>
      <c r="U406" s="882"/>
      <c r="V406" s="887"/>
      <c r="W406" s="888"/>
      <c r="X406" s="882"/>
      <c r="Y406" s="888"/>
      <c r="Z406" s="882"/>
      <c r="AA406" s="882"/>
      <c r="AB406" s="882"/>
      <c r="AC406" s="882"/>
      <c r="AD406" s="882"/>
      <c r="AE406" s="882">
        <v>3</v>
      </c>
      <c r="AF406" s="882"/>
      <c r="AG406" s="882"/>
      <c r="AH406" s="882"/>
      <c r="AI406" s="882"/>
      <c r="AJ406" s="882"/>
      <c r="AK406" s="882"/>
      <c r="AL406" s="889"/>
    </row>
    <row r="407" spans="1:38" s="890" customFormat="1">
      <c r="A407" s="882">
        <v>287</v>
      </c>
      <c r="B407" s="891">
        <f t="shared" si="42"/>
        <v>-116</v>
      </c>
      <c r="C407" s="882">
        <f t="shared" si="39"/>
        <v>403</v>
      </c>
      <c r="D407" s="883">
        <v>1972</v>
      </c>
      <c r="E407" s="884" t="str">
        <f>IFERROR(VLOOKUP(Table2[[#This Row],[Player No]],Table10[[No]:[Province]],2,0),"")</f>
        <v>Ntsepo Lucky</v>
      </c>
      <c r="F407" s="885" t="str">
        <f>IFERROR(VLOOKUP(Table2[[#This Row],[Player No]],Table10[[No]:[Province]],3,0),"")</f>
        <v>EDEN</v>
      </c>
      <c r="G407" s="892">
        <v>2.25</v>
      </c>
      <c r="H407" s="886">
        <f>(Table2[[#This Row],[Points 2025]]/2)+SUM(Table2[[#This Row],[O1  ADMIN 2026]:[P2    CAPE TOWN OPEN 2026 ]])</f>
        <v>1.125</v>
      </c>
      <c r="I407" s="880">
        <f t="shared" si="38"/>
        <v>0</v>
      </c>
      <c r="J407" s="882">
        <f t="shared" si="41"/>
        <v>0</v>
      </c>
      <c r="K407" s="887" t="s">
        <v>6083</v>
      </c>
      <c r="L407" s="887" t="s">
        <v>6083</v>
      </c>
      <c r="M407" s="887" t="s">
        <v>6083</v>
      </c>
      <c r="N407" s="887"/>
      <c r="O407" s="882"/>
      <c r="P407" s="882"/>
      <c r="Q407" s="888"/>
      <c r="R407" s="888"/>
      <c r="S407" s="882"/>
      <c r="T407" s="888"/>
      <c r="U407" s="882"/>
      <c r="V407" s="887"/>
      <c r="W407" s="888"/>
      <c r="X407" s="882"/>
      <c r="Y407" s="888"/>
      <c r="Z407" s="882"/>
      <c r="AA407" s="882"/>
      <c r="AB407" s="882"/>
      <c r="AC407" s="882"/>
      <c r="AD407" s="882"/>
      <c r="AE407" s="882"/>
      <c r="AF407" s="882">
        <v>2</v>
      </c>
      <c r="AG407" s="882"/>
      <c r="AH407" s="882"/>
      <c r="AI407" s="882"/>
      <c r="AJ407" s="882"/>
      <c r="AK407" s="882"/>
      <c r="AL407" s="889"/>
    </row>
    <row r="408" spans="1:38" s="890" customFormat="1">
      <c r="A408" s="882">
        <v>219</v>
      </c>
      <c r="B408" s="891">
        <f t="shared" si="42"/>
        <v>-185</v>
      </c>
      <c r="C408" s="882">
        <f t="shared" si="39"/>
        <v>404</v>
      </c>
      <c r="D408" s="883">
        <v>3503</v>
      </c>
      <c r="E408" s="884" t="str">
        <f>IFERROR(VLOOKUP(Table2[[#This Row],[Player No]],Table10[[No]:[Province]],2,0),"")</f>
        <v>NAIKER Gonasagren</v>
      </c>
      <c r="F408" s="885" t="str">
        <f>IFERROR(VLOOKUP(Table2[[#This Row],[Player No]],Table10[[No]:[Province]],3,0),"")</f>
        <v>ETTA</v>
      </c>
      <c r="G408" s="892">
        <v>2.25</v>
      </c>
      <c r="H408" s="886">
        <f>(Table2[[#This Row],[Points 2025]]/2)+SUM(Table2[[#This Row],[O1  ADMIN 2026]:[P2    CAPE TOWN OPEN 2026 ]])</f>
        <v>1.125</v>
      </c>
      <c r="I408" s="880">
        <f t="shared" si="38"/>
        <v>0</v>
      </c>
      <c r="J408" s="882">
        <f t="shared" si="41"/>
        <v>0</v>
      </c>
      <c r="K408" s="887" t="s">
        <v>6083</v>
      </c>
      <c r="L408" s="887" t="s">
        <v>6083</v>
      </c>
      <c r="M408" s="887" t="s">
        <v>6083</v>
      </c>
      <c r="N408" s="887"/>
      <c r="O408" s="882"/>
      <c r="P408" s="882"/>
      <c r="Q408" s="888"/>
      <c r="R408" s="888"/>
      <c r="S408" s="882"/>
      <c r="T408" s="888"/>
      <c r="U408" s="882"/>
      <c r="V408" s="887"/>
      <c r="W408" s="888"/>
      <c r="X408" s="882"/>
      <c r="Y408" s="888"/>
      <c r="Z408" s="882"/>
      <c r="AA408" s="882"/>
      <c r="AB408" s="882"/>
      <c r="AC408" s="882">
        <v>2</v>
      </c>
      <c r="AD408" s="882">
        <v>2</v>
      </c>
      <c r="AE408" s="882"/>
      <c r="AF408" s="882"/>
      <c r="AG408" s="882"/>
      <c r="AH408" s="882"/>
      <c r="AI408" s="882"/>
      <c r="AJ408" s="882"/>
      <c r="AK408" s="882"/>
      <c r="AL408" s="889"/>
    </row>
    <row r="409" spans="1:38" s="890" customFormat="1">
      <c r="A409" s="882">
        <v>218</v>
      </c>
      <c r="B409" s="891">
        <f t="shared" si="42"/>
        <v>-187</v>
      </c>
      <c r="C409" s="882">
        <f t="shared" si="39"/>
        <v>405</v>
      </c>
      <c r="D409" s="883">
        <v>3682</v>
      </c>
      <c r="E409" s="884" t="str">
        <f>IFERROR(VLOOKUP(Table2[[#This Row],[Player No]],Table10[[No]:[Province]],2,0),"")</f>
        <v>SHIVARAJA Alexander</v>
      </c>
      <c r="F409" s="885" t="str">
        <f>IFERROR(VLOOKUP(Table2[[#This Row],[Player No]],Table10[[No]:[Province]],3,0),"")</f>
        <v>ETTA</v>
      </c>
      <c r="G409" s="892">
        <v>2.25</v>
      </c>
      <c r="H409" s="886">
        <f>(Table2[[#This Row],[Points 2025]]/2)+SUM(Table2[[#This Row],[O1  ADMIN 2026]:[P2    CAPE TOWN OPEN 2026 ]])</f>
        <v>1.125</v>
      </c>
      <c r="I409" s="880">
        <f t="shared" si="38"/>
        <v>0</v>
      </c>
      <c r="J409" s="882">
        <f t="shared" si="41"/>
        <v>0</v>
      </c>
      <c r="K409" s="887" t="s">
        <v>6083</v>
      </c>
      <c r="L409" s="887" t="s">
        <v>6083</v>
      </c>
      <c r="M409" s="887" t="s">
        <v>6083</v>
      </c>
      <c r="N409" s="887"/>
      <c r="O409" s="882"/>
      <c r="P409" s="882"/>
      <c r="Q409" s="888"/>
      <c r="R409" s="888"/>
      <c r="S409" s="882"/>
      <c r="T409" s="888"/>
      <c r="U409" s="882"/>
      <c r="V409" s="887"/>
      <c r="W409" s="888"/>
      <c r="X409" s="882"/>
      <c r="Y409" s="888"/>
      <c r="Z409" s="882"/>
      <c r="AA409" s="882"/>
      <c r="AB409" s="882"/>
      <c r="AC409" s="882">
        <v>2</v>
      </c>
      <c r="AD409" s="882"/>
      <c r="AE409" s="882"/>
      <c r="AF409" s="882"/>
      <c r="AG409" s="882"/>
      <c r="AH409" s="882"/>
      <c r="AI409" s="882"/>
      <c r="AJ409" s="882"/>
      <c r="AK409" s="882"/>
      <c r="AL409" s="889"/>
    </row>
    <row r="410" spans="1:38" s="890" customFormat="1">
      <c r="A410" s="882">
        <v>222</v>
      </c>
      <c r="B410" s="891">
        <f t="shared" si="42"/>
        <v>-184</v>
      </c>
      <c r="C410" s="882">
        <f t="shared" si="39"/>
        <v>406</v>
      </c>
      <c r="D410" s="883">
        <v>1710</v>
      </c>
      <c r="E410" s="884" t="str">
        <f>IFERROR(VLOOKUP(Table2[[#This Row],[Player No]],Table10[[No]:[Province]],2,0),"")</f>
        <v>LERATO Letsika</v>
      </c>
      <c r="F410" s="885" t="str">
        <f>IFERROR(VLOOKUP(Table2[[#This Row],[Player No]],Table10[[No]:[Province]],3,0),"")</f>
        <v>NWP</v>
      </c>
      <c r="G410" s="892">
        <v>2.2265625</v>
      </c>
      <c r="H410" s="886">
        <f>(Table2[[#This Row],[Points 2025]]/2)+SUM(Table2[[#This Row],[O1  ADMIN 2026]:[P2    CAPE TOWN OPEN 2026 ]])</f>
        <v>1.11328125</v>
      </c>
      <c r="I410" s="880">
        <f t="shared" si="38"/>
        <v>0</v>
      </c>
      <c r="J410" s="882">
        <f t="shared" si="41"/>
        <v>0</v>
      </c>
      <c r="K410" s="887" t="s">
        <v>6083</v>
      </c>
      <c r="L410" s="887" t="s">
        <v>6083</v>
      </c>
      <c r="M410" s="887" t="s">
        <v>6083</v>
      </c>
      <c r="N410" s="887"/>
      <c r="O410" s="882"/>
      <c r="P410" s="882"/>
      <c r="Q410" s="888"/>
      <c r="R410" s="888"/>
      <c r="S410" s="882"/>
      <c r="T410" s="888"/>
      <c r="U410" s="882"/>
      <c r="V410" s="887"/>
      <c r="W410" s="888"/>
      <c r="X410" s="882"/>
      <c r="Y410" s="888"/>
      <c r="Z410" s="882"/>
      <c r="AA410" s="882"/>
      <c r="AB410" s="882"/>
      <c r="AC410" s="882"/>
      <c r="AD410" s="882"/>
      <c r="AE410" s="882"/>
      <c r="AF410" s="882"/>
      <c r="AG410" s="882"/>
      <c r="AH410" s="882"/>
      <c r="AI410" s="882"/>
      <c r="AJ410" s="882"/>
      <c r="AK410" s="882"/>
      <c r="AL410" s="889"/>
    </row>
    <row r="411" spans="1:38" s="890" customFormat="1">
      <c r="A411" s="882">
        <v>366</v>
      </c>
      <c r="B411" s="891">
        <f t="shared" si="42"/>
        <v>-41</v>
      </c>
      <c r="C411" s="882">
        <f t="shared" si="39"/>
        <v>407</v>
      </c>
      <c r="D411" s="883">
        <v>1729</v>
      </c>
      <c r="E411" s="884" t="str">
        <f>IFERROR(VLOOKUP(Table2[[#This Row],[Player No]],Table10[[No]:[Province]],2,0),"")</f>
        <v xml:space="preserve">MATHEE Gielie </v>
      </c>
      <c r="F411" s="885" t="str">
        <f>IFERROR(VLOOKUP(Table2[[#This Row],[Player No]],Table10[[No]:[Province]],3,0),"")</f>
        <v>CT</v>
      </c>
      <c r="G411" s="892">
        <v>2.21875</v>
      </c>
      <c r="H411" s="886">
        <f>(Table2[[#This Row],[Points 2025]]/2)+SUM(Table2[[#This Row],[O1  ADMIN 2026]:[P2    CAPE TOWN OPEN 2026 ]])</f>
        <v>1.109375</v>
      </c>
      <c r="I411" s="880">
        <f t="shared" si="38"/>
        <v>0</v>
      </c>
      <c r="J411" s="882">
        <f t="shared" si="41"/>
        <v>0</v>
      </c>
      <c r="K411" s="887" t="s">
        <v>6083</v>
      </c>
      <c r="L411" s="887" t="s">
        <v>6083</v>
      </c>
      <c r="M411" s="887" t="s">
        <v>6083</v>
      </c>
      <c r="N411" s="887"/>
      <c r="O411" s="882"/>
      <c r="P411" s="882"/>
      <c r="Q411" s="888"/>
      <c r="R411" s="888"/>
      <c r="S411" s="882"/>
      <c r="T411" s="888"/>
      <c r="U411" s="882"/>
      <c r="V411" s="887"/>
      <c r="W411" s="888"/>
      <c r="X411" s="882"/>
      <c r="Y411" s="888"/>
      <c r="Z411" s="882"/>
      <c r="AA411" s="882"/>
      <c r="AB411" s="882"/>
      <c r="AC411" s="882"/>
      <c r="AD411" s="882"/>
      <c r="AE411" s="882">
        <v>3</v>
      </c>
      <c r="AF411" s="882"/>
      <c r="AG411" s="882"/>
      <c r="AH411" s="882"/>
      <c r="AI411" s="882"/>
      <c r="AJ411" s="882"/>
      <c r="AK411" s="882"/>
      <c r="AL411" s="889"/>
    </row>
    <row r="412" spans="1:38" s="890" customFormat="1">
      <c r="A412" s="882">
        <v>224</v>
      </c>
      <c r="B412" s="891">
        <f t="shared" si="42"/>
        <v>-184</v>
      </c>
      <c r="C412" s="882">
        <f t="shared" si="39"/>
        <v>408</v>
      </c>
      <c r="D412" s="883">
        <v>2465</v>
      </c>
      <c r="E412" s="884" t="str">
        <f>IFERROR(VLOOKUP(Table2[[#This Row],[Player No]],Table10[[No]:[Province]],2,0),"")</f>
        <v>AFRIKA Torique</v>
      </c>
      <c r="F412" s="885" t="str">
        <f>IFERROR(VLOOKUP(Table2[[#This Row],[Player No]],Table10[[No]:[Province]],3,0),"")</f>
        <v>WC</v>
      </c>
      <c r="G412" s="892">
        <v>2.21875</v>
      </c>
      <c r="H412" s="886">
        <f>(Table2[[#This Row],[Points 2025]]/2)+SUM(Table2[[#This Row],[O1  ADMIN 2026]:[P2    CAPE TOWN OPEN 2026 ]])</f>
        <v>1.109375</v>
      </c>
      <c r="I412" s="880">
        <f t="shared" si="38"/>
        <v>0</v>
      </c>
      <c r="J412" s="882">
        <f t="shared" si="41"/>
        <v>0</v>
      </c>
      <c r="K412" s="887" t="s">
        <v>6083</v>
      </c>
      <c r="L412" s="887" t="s">
        <v>6083</v>
      </c>
      <c r="M412" s="887" t="s">
        <v>6083</v>
      </c>
      <c r="N412" s="887"/>
      <c r="O412" s="882"/>
      <c r="P412" s="882"/>
      <c r="Q412" s="888"/>
      <c r="R412" s="888"/>
      <c r="S412" s="882"/>
      <c r="T412" s="888"/>
      <c r="U412" s="882"/>
      <c r="V412" s="887"/>
      <c r="W412" s="888"/>
      <c r="X412" s="882"/>
      <c r="Y412" s="888"/>
      <c r="Z412" s="882"/>
      <c r="AA412" s="882"/>
      <c r="AB412" s="882"/>
      <c r="AC412" s="882"/>
      <c r="AD412" s="882"/>
      <c r="AE412" s="882"/>
      <c r="AF412" s="882"/>
      <c r="AG412" s="882"/>
      <c r="AH412" s="882"/>
      <c r="AI412" s="882"/>
      <c r="AJ412" s="882"/>
      <c r="AK412" s="882"/>
      <c r="AL412" s="889"/>
    </row>
    <row r="413" spans="1:38" s="890" customFormat="1">
      <c r="A413" s="882">
        <v>225</v>
      </c>
      <c r="B413" s="891">
        <f t="shared" si="42"/>
        <v>-184</v>
      </c>
      <c r="C413" s="882">
        <f t="shared" si="39"/>
        <v>409</v>
      </c>
      <c r="D413" s="883">
        <v>1045</v>
      </c>
      <c r="E413" s="884" t="str">
        <f>IFERROR(VLOOKUP(Table2[[#This Row],[Player No]],Table10[[No]:[Province]],2,0),"")</f>
        <v xml:space="preserve">VAN DER BERG Weldon </v>
      </c>
      <c r="F413" s="885" t="str">
        <f>IFERROR(VLOOKUP(Table2[[#This Row],[Player No]],Table10[[No]:[Province]],3,0),"")</f>
        <v>GN</v>
      </c>
      <c r="G413" s="892">
        <v>2.20703125</v>
      </c>
      <c r="H413" s="886">
        <f>(Table2[[#This Row],[Points 2025]]/2)+SUM(Table2[[#This Row],[O1  ADMIN 2026]:[P2    CAPE TOWN OPEN 2026 ]])</f>
        <v>1.103515625</v>
      </c>
      <c r="I413" s="880">
        <f t="shared" si="38"/>
        <v>0</v>
      </c>
      <c r="J413" s="882">
        <f t="shared" si="41"/>
        <v>0</v>
      </c>
      <c r="K413" s="887" t="s">
        <v>6083</v>
      </c>
      <c r="L413" s="887" t="s">
        <v>6083</v>
      </c>
      <c r="M413" s="887" t="s">
        <v>6083</v>
      </c>
      <c r="N413" s="887"/>
      <c r="O413" s="882"/>
      <c r="P413" s="882"/>
      <c r="Q413" s="888"/>
      <c r="R413" s="888"/>
      <c r="S413" s="882"/>
      <c r="T413" s="888"/>
      <c r="U413" s="882"/>
      <c r="V413" s="887"/>
      <c r="W413" s="888"/>
      <c r="X413" s="882"/>
      <c r="Y413" s="888"/>
      <c r="Z413" s="882"/>
      <c r="AA413" s="882"/>
      <c r="AB413" s="882"/>
      <c r="AC413" s="882"/>
      <c r="AD413" s="882"/>
      <c r="AE413" s="882"/>
      <c r="AF413" s="882"/>
      <c r="AG413" s="882"/>
      <c r="AH413" s="882"/>
      <c r="AI413" s="882"/>
      <c r="AJ413" s="882"/>
      <c r="AK413" s="882"/>
      <c r="AL413" s="889"/>
    </row>
    <row r="414" spans="1:38" s="890" customFormat="1">
      <c r="A414" s="882">
        <v>227</v>
      </c>
      <c r="B414" s="891">
        <f t="shared" si="42"/>
        <v>-183</v>
      </c>
      <c r="C414" s="882">
        <f t="shared" si="39"/>
        <v>410</v>
      </c>
      <c r="D414" s="883">
        <v>2790</v>
      </c>
      <c r="E414" s="884" t="str">
        <f>IFERROR(VLOOKUP(Table2[[#This Row],[Player No]],Table10[[No]:[Province]],2,0),"")</f>
        <v>SAMUELS Ebrahim</v>
      </c>
      <c r="F414" s="885" t="str">
        <f>IFERROR(VLOOKUP(Table2[[#This Row],[Player No]],Table10[[No]:[Province]],3,0),"")</f>
        <v>WC</v>
      </c>
      <c r="G414" s="892">
        <v>2.125</v>
      </c>
      <c r="H414" s="886">
        <f>(Table2[[#This Row],[Points 2025]]/2)+SUM(Table2[[#This Row],[O1  ADMIN 2026]:[P2    CAPE TOWN OPEN 2026 ]])</f>
        <v>1.0625</v>
      </c>
      <c r="I414" s="880">
        <f t="shared" si="38"/>
        <v>0</v>
      </c>
      <c r="J414" s="882">
        <f t="shared" si="41"/>
        <v>0</v>
      </c>
      <c r="K414" s="887" t="s">
        <v>6083</v>
      </c>
      <c r="L414" s="887" t="s">
        <v>6083</v>
      </c>
      <c r="M414" s="887" t="s">
        <v>6083</v>
      </c>
      <c r="N414" s="887"/>
      <c r="O414" s="882"/>
      <c r="P414" s="882"/>
      <c r="Q414" s="888"/>
      <c r="R414" s="888"/>
      <c r="S414" s="882"/>
      <c r="T414" s="888"/>
      <c r="U414" s="882"/>
      <c r="V414" s="887"/>
      <c r="W414" s="888"/>
      <c r="X414" s="882"/>
      <c r="Y414" s="888"/>
      <c r="Z414" s="882"/>
      <c r="AA414" s="882"/>
      <c r="AB414" s="882"/>
      <c r="AC414" s="882"/>
      <c r="AD414" s="882"/>
      <c r="AE414" s="882"/>
      <c r="AF414" s="882"/>
      <c r="AG414" s="882"/>
      <c r="AH414" s="882"/>
      <c r="AI414" s="882"/>
      <c r="AJ414" s="882"/>
      <c r="AK414" s="882"/>
      <c r="AL414" s="889"/>
    </row>
    <row r="415" spans="1:38" s="890" customFormat="1">
      <c r="A415" s="882">
        <v>252</v>
      </c>
      <c r="B415" s="891">
        <f t="shared" si="42"/>
        <v>-159</v>
      </c>
      <c r="C415" s="882">
        <f t="shared" si="39"/>
        <v>411</v>
      </c>
      <c r="D415" s="883">
        <v>2460</v>
      </c>
      <c r="E415" s="884" t="str">
        <f>IFERROR(VLOOKUP(Table2[[#This Row],[Player No]],Table10[[No]:[Province]],2,0),"")</f>
        <v>MAASDORP Vereldo</v>
      </c>
      <c r="F415" s="885" t="str">
        <f>IFERROR(VLOOKUP(Table2[[#This Row],[Player No]],Table10[[No]:[Province]],3,0),"")</f>
        <v>WC</v>
      </c>
      <c r="G415" s="892">
        <v>2.0625</v>
      </c>
      <c r="H415" s="886">
        <f>(Table2[[#This Row],[Points 2025]]/2)+SUM(Table2[[#This Row],[O1  ADMIN 2026]:[P2    CAPE TOWN OPEN 2026 ]])</f>
        <v>1.03125</v>
      </c>
      <c r="I415" s="880">
        <f t="shared" si="38"/>
        <v>0</v>
      </c>
      <c r="J415" s="882">
        <f t="shared" si="41"/>
        <v>0</v>
      </c>
      <c r="K415" s="887" t="s">
        <v>6083</v>
      </c>
      <c r="L415" s="887" t="s">
        <v>6083</v>
      </c>
      <c r="M415" s="887" t="s">
        <v>6083</v>
      </c>
      <c r="N415" s="887"/>
      <c r="O415" s="882"/>
      <c r="P415" s="882"/>
      <c r="Q415" s="888"/>
      <c r="R415" s="888"/>
      <c r="S415" s="882"/>
      <c r="T415" s="888"/>
      <c r="U415" s="882"/>
      <c r="V415" s="887"/>
      <c r="W415" s="888">
        <v>0</v>
      </c>
      <c r="X415" s="882"/>
      <c r="Y415" s="888"/>
      <c r="Z415" s="882"/>
      <c r="AA415" s="882"/>
      <c r="AB415" s="882"/>
      <c r="AC415" s="882"/>
      <c r="AD415" s="882"/>
      <c r="AE415" s="882"/>
      <c r="AF415" s="882"/>
      <c r="AG415" s="882"/>
      <c r="AH415" s="882"/>
      <c r="AI415" s="882"/>
      <c r="AJ415" s="882"/>
      <c r="AK415" s="882"/>
      <c r="AL415" s="889"/>
    </row>
    <row r="416" spans="1:38" s="890" customFormat="1">
      <c r="A416" s="882"/>
      <c r="B416" s="891"/>
      <c r="C416" s="882">
        <f t="shared" si="39"/>
        <v>412</v>
      </c>
      <c r="D416" s="883">
        <v>1284</v>
      </c>
      <c r="E416" s="884" t="str">
        <f>IFERROR(VLOOKUP(Table2[[#This Row],[Player No]],Table10[[No]:[Province]],2,0),"")</f>
        <v xml:space="preserve">BANDU Yurav </v>
      </c>
      <c r="F416" s="885" t="str">
        <f>IFERROR(VLOOKUP(Table2[[#This Row],[Player No]],Table10[[No]:[Province]],3,0),"")</f>
        <v>UMG</v>
      </c>
      <c r="G416" s="892">
        <v>2</v>
      </c>
      <c r="H416" s="886">
        <f>(Table2[[#This Row],[Points 2025]]/2)+SUM(Table2[[#This Row],[O1  ADMIN 2026]:[P2    CAPE TOWN OPEN 2026 ]])</f>
        <v>1</v>
      </c>
      <c r="I416" s="880">
        <f t="shared" si="38"/>
        <v>0</v>
      </c>
      <c r="J416" s="882">
        <f t="shared" si="41"/>
        <v>0</v>
      </c>
      <c r="K416" s="887" t="s">
        <v>6083</v>
      </c>
      <c r="L416" s="887" t="s">
        <v>6083</v>
      </c>
      <c r="M416" s="887" t="s">
        <v>6083</v>
      </c>
      <c r="N416" s="887"/>
      <c r="O416" s="882"/>
      <c r="P416" s="882"/>
      <c r="Q416" s="888"/>
      <c r="R416" s="888"/>
      <c r="S416" s="882">
        <v>2</v>
      </c>
      <c r="T416" s="888"/>
      <c r="U416" s="882"/>
      <c r="V416" s="887"/>
      <c r="W416" s="888"/>
      <c r="X416" s="882"/>
      <c r="Y416" s="888"/>
      <c r="Z416" s="882"/>
      <c r="AA416" s="882"/>
      <c r="AB416" s="882"/>
      <c r="AC416" s="882"/>
      <c r="AD416" s="882"/>
      <c r="AE416" s="882"/>
      <c r="AF416" s="882"/>
      <c r="AG416" s="882"/>
      <c r="AH416" s="882"/>
      <c r="AI416" s="882"/>
      <c r="AJ416" s="882"/>
      <c r="AK416" s="882"/>
      <c r="AL416" s="889"/>
    </row>
    <row r="417" spans="1:38" s="890" customFormat="1">
      <c r="A417" s="882"/>
      <c r="B417" s="891"/>
      <c r="C417" s="882">
        <f t="shared" si="39"/>
        <v>413</v>
      </c>
      <c r="D417" s="883">
        <v>1329</v>
      </c>
      <c r="E417" s="884" t="str">
        <f>IFERROR(VLOOKUP(Table2[[#This Row],[Player No]],Table10[[No]:[Province]],2,0),"")</f>
        <v xml:space="preserve">MABASO Lethukuthula </v>
      </c>
      <c r="F417" s="885" t="str">
        <f>IFERROR(VLOOKUP(Table2[[#This Row],[Player No]],Table10[[No]:[Province]],3,0),"")</f>
        <v>UMG</v>
      </c>
      <c r="G417" s="892">
        <v>2</v>
      </c>
      <c r="H417" s="886">
        <f>(Table2[[#This Row],[Points 2025]]/2)+SUM(Table2[[#This Row],[O1  ADMIN 2026]:[P2    CAPE TOWN OPEN 2026 ]])</f>
        <v>1</v>
      </c>
      <c r="I417" s="880">
        <f t="shared" si="38"/>
        <v>0</v>
      </c>
      <c r="J417" s="882">
        <f t="shared" si="41"/>
        <v>0</v>
      </c>
      <c r="K417" s="887" t="s">
        <v>6083</v>
      </c>
      <c r="L417" s="887" t="s">
        <v>6083</v>
      </c>
      <c r="M417" s="887" t="s">
        <v>6083</v>
      </c>
      <c r="N417" s="887"/>
      <c r="O417" s="882"/>
      <c r="P417" s="882"/>
      <c r="Q417" s="888">
        <v>2</v>
      </c>
      <c r="R417" s="888"/>
      <c r="S417" s="882"/>
      <c r="T417" s="888"/>
      <c r="U417" s="882"/>
      <c r="V417" s="887"/>
      <c r="W417" s="888"/>
      <c r="X417" s="882"/>
      <c r="Y417" s="888"/>
      <c r="Z417" s="882"/>
      <c r="AA417" s="882"/>
      <c r="AB417" s="882"/>
      <c r="AC417" s="882"/>
      <c r="AD417" s="882"/>
      <c r="AE417" s="882"/>
      <c r="AF417" s="882"/>
      <c r="AG417" s="882"/>
      <c r="AH417" s="882"/>
      <c r="AI417" s="882"/>
      <c r="AJ417" s="882"/>
      <c r="AK417" s="882"/>
      <c r="AL417" s="889"/>
    </row>
    <row r="418" spans="1:38" s="890" customFormat="1">
      <c r="A418" s="882"/>
      <c r="B418" s="891"/>
      <c r="C418" s="882">
        <f t="shared" si="39"/>
        <v>414</v>
      </c>
      <c r="D418" s="883">
        <v>1565</v>
      </c>
      <c r="E418" s="884" t="str">
        <f>IFERROR(VLOOKUP(Table2[[#This Row],[Player No]],Table10[[No]:[Province]],2,0),"")</f>
        <v xml:space="preserve">ISAACS Jarret </v>
      </c>
      <c r="F418" s="885" t="str">
        <f>IFERROR(VLOOKUP(Table2[[#This Row],[Player No]],Table10[[No]:[Province]],3,0),"")</f>
        <v>CT</v>
      </c>
      <c r="G418" s="892">
        <v>2</v>
      </c>
      <c r="H418" s="886">
        <f>(Table2[[#This Row],[Points 2025]]/2)+SUM(Table2[[#This Row],[O1  ADMIN 2026]:[P2    CAPE TOWN OPEN 2026 ]])</f>
        <v>1</v>
      </c>
      <c r="I418" s="880">
        <f t="shared" si="38"/>
        <v>0</v>
      </c>
      <c r="J418" s="882">
        <f t="shared" si="41"/>
        <v>0</v>
      </c>
      <c r="K418" s="887" t="s">
        <v>6083</v>
      </c>
      <c r="L418" s="887" t="s">
        <v>6083</v>
      </c>
      <c r="M418" s="887" t="s">
        <v>6083</v>
      </c>
      <c r="N418" s="887"/>
      <c r="O418" s="882"/>
      <c r="P418" s="882"/>
      <c r="Q418" s="888"/>
      <c r="R418" s="888"/>
      <c r="S418" s="882"/>
      <c r="T418" s="888"/>
      <c r="U418" s="882"/>
      <c r="V418" s="887"/>
      <c r="W418" s="888"/>
      <c r="X418" s="882"/>
      <c r="Y418" s="888"/>
      <c r="Z418" s="882"/>
      <c r="AA418" s="882"/>
      <c r="AB418" s="882">
        <v>2</v>
      </c>
      <c r="AC418" s="882"/>
      <c r="AD418" s="882"/>
      <c r="AE418" s="882"/>
      <c r="AF418" s="882"/>
      <c r="AG418" s="882"/>
      <c r="AH418" s="882"/>
      <c r="AI418" s="882"/>
      <c r="AJ418" s="882"/>
      <c r="AK418" s="882"/>
      <c r="AL418" s="889"/>
    </row>
    <row r="419" spans="1:38" s="890" customFormat="1">
      <c r="A419" s="882"/>
      <c r="B419" s="891"/>
      <c r="C419" s="882">
        <f t="shared" si="39"/>
        <v>415</v>
      </c>
      <c r="D419" s="883">
        <v>1660</v>
      </c>
      <c r="E419" s="884" t="str">
        <f>IFERROR(VLOOKUP(Table2[[#This Row],[Player No]],Table10[[No]:[Province]],2,0),"")</f>
        <v xml:space="preserve">LAWACK Claude </v>
      </c>
      <c r="F419" s="885" t="str">
        <f>IFERROR(VLOOKUP(Table2[[#This Row],[Player No]],Table10[[No]:[Province]],3,0),"")</f>
        <v>EC</v>
      </c>
      <c r="G419" s="892">
        <v>2</v>
      </c>
      <c r="H419" s="886">
        <f>(Table2[[#This Row],[Points 2025]]/2)+SUM(Table2[[#This Row],[O1  ADMIN 2026]:[P2    CAPE TOWN OPEN 2026 ]])</f>
        <v>1</v>
      </c>
      <c r="I419" s="880">
        <f t="shared" si="38"/>
        <v>0</v>
      </c>
      <c r="J419" s="882">
        <f t="shared" si="41"/>
        <v>0</v>
      </c>
      <c r="K419" s="887" t="s">
        <v>6083</v>
      </c>
      <c r="L419" s="887" t="s">
        <v>6083</v>
      </c>
      <c r="M419" s="887" t="s">
        <v>6083</v>
      </c>
      <c r="N419" s="887"/>
      <c r="O419" s="882"/>
      <c r="P419" s="882"/>
      <c r="Q419" s="888"/>
      <c r="R419" s="888"/>
      <c r="S419" s="882"/>
      <c r="T419" s="888"/>
      <c r="U419" s="882"/>
      <c r="V419" s="887">
        <v>2</v>
      </c>
      <c r="W419" s="888"/>
      <c r="X419" s="882"/>
      <c r="Y419" s="888"/>
      <c r="Z419" s="882"/>
      <c r="AA419" s="882"/>
      <c r="AB419" s="882"/>
      <c r="AC419" s="882"/>
      <c r="AD419" s="882"/>
      <c r="AE419" s="882"/>
      <c r="AF419" s="882"/>
      <c r="AG419" s="882"/>
      <c r="AH419" s="882"/>
      <c r="AI419" s="882"/>
      <c r="AJ419" s="882"/>
      <c r="AK419" s="882"/>
      <c r="AL419" s="889"/>
    </row>
    <row r="420" spans="1:38" s="890" customFormat="1">
      <c r="A420" s="882"/>
      <c r="B420" s="891"/>
      <c r="C420" s="882">
        <f t="shared" si="39"/>
        <v>416</v>
      </c>
      <c r="D420" s="883">
        <v>2427</v>
      </c>
      <c r="E420" s="884" t="str">
        <f>IFERROR(VLOOKUP(Table2[[#This Row],[Player No]],Table10[[No]:[Province]],2,0),"")</f>
        <v>MBANJWA Mfanafuthi</v>
      </c>
      <c r="F420" s="885" t="str">
        <f>IFERROR(VLOOKUP(Table2[[#This Row],[Player No]],Table10[[No]:[Province]],3,0),"")</f>
        <v>ETTA</v>
      </c>
      <c r="G420" s="892">
        <v>2</v>
      </c>
      <c r="H420" s="886">
        <f>(Table2[[#This Row],[Points 2025]]/2)+SUM(Table2[[#This Row],[O1  ADMIN 2026]:[P2    CAPE TOWN OPEN 2026 ]])</f>
        <v>1</v>
      </c>
      <c r="I420" s="880">
        <f t="shared" si="38"/>
        <v>0</v>
      </c>
      <c r="J420" s="882">
        <f t="shared" si="41"/>
        <v>0</v>
      </c>
      <c r="K420" s="887" t="s">
        <v>6083</v>
      </c>
      <c r="L420" s="887" t="s">
        <v>6083</v>
      </c>
      <c r="M420" s="887" t="s">
        <v>6083</v>
      </c>
      <c r="N420" s="887"/>
      <c r="O420" s="882">
        <v>2</v>
      </c>
      <c r="P420" s="882"/>
      <c r="Q420" s="888"/>
      <c r="R420" s="888"/>
      <c r="S420" s="882"/>
      <c r="T420" s="888"/>
      <c r="U420" s="882"/>
      <c r="V420" s="887"/>
      <c r="W420" s="888"/>
      <c r="X420" s="882"/>
      <c r="Y420" s="888"/>
      <c r="Z420" s="882"/>
      <c r="AA420" s="882"/>
      <c r="AB420" s="882"/>
      <c r="AC420" s="882"/>
      <c r="AD420" s="882"/>
      <c r="AE420" s="882"/>
      <c r="AF420" s="882"/>
      <c r="AG420" s="882"/>
      <c r="AH420" s="882"/>
      <c r="AI420" s="882"/>
      <c r="AJ420" s="882"/>
      <c r="AK420" s="882"/>
      <c r="AL420" s="889"/>
    </row>
    <row r="421" spans="1:38" s="890" customFormat="1">
      <c r="A421" s="882">
        <v>428</v>
      </c>
      <c r="B421" s="891">
        <f>+A421-C421</f>
        <v>11</v>
      </c>
      <c r="C421" s="882">
        <f t="shared" si="39"/>
        <v>417</v>
      </c>
      <c r="D421" s="883">
        <v>2660</v>
      </c>
      <c r="E421" s="884" t="str">
        <f>IFERROR(VLOOKUP(Table2[[#This Row],[Player No]],Table10[[No]:[Province]],2,0),"")</f>
        <v>CRUYWAGEN Matthew</v>
      </c>
      <c r="F421" s="885" t="str">
        <f>IFERROR(VLOOKUP(Table2[[#This Row],[Player No]],Table10[[No]:[Province]],3,0),"")</f>
        <v>GNTTB</v>
      </c>
      <c r="G421" s="892">
        <v>2</v>
      </c>
      <c r="H421" s="886">
        <f>(Table2[[#This Row],[Points 2025]]/2)+SUM(Table2[[#This Row],[O1  ADMIN 2026]:[P2    CAPE TOWN OPEN 2026 ]])</f>
        <v>1</v>
      </c>
      <c r="I421" s="880">
        <f t="shared" si="38"/>
        <v>0</v>
      </c>
      <c r="J421" s="882">
        <f t="shared" si="41"/>
        <v>0</v>
      </c>
      <c r="K421" s="887" t="s">
        <v>6083</v>
      </c>
      <c r="L421" s="887" t="s">
        <v>6083</v>
      </c>
      <c r="M421" s="887" t="s">
        <v>6083</v>
      </c>
      <c r="N421" s="887"/>
      <c r="O421" s="882">
        <v>2</v>
      </c>
      <c r="P421" s="882"/>
      <c r="Q421" s="888"/>
      <c r="R421" s="888"/>
      <c r="S421" s="882"/>
      <c r="T421" s="888"/>
      <c r="U421" s="882"/>
      <c r="V421" s="887"/>
      <c r="W421" s="888"/>
      <c r="X421" s="882"/>
      <c r="Y421" s="888"/>
      <c r="Z421" s="882"/>
      <c r="AA421" s="882"/>
      <c r="AB421" s="882"/>
      <c r="AC421" s="882"/>
      <c r="AD421" s="882"/>
      <c r="AE421" s="882"/>
      <c r="AF421" s="882"/>
      <c r="AG421" s="882"/>
      <c r="AH421" s="882"/>
      <c r="AI421" s="882"/>
      <c r="AJ421" s="882"/>
      <c r="AK421" s="882"/>
      <c r="AL421" s="889"/>
    </row>
    <row r="422" spans="1:38" s="890" customFormat="1">
      <c r="A422" s="882"/>
      <c r="B422" s="891"/>
      <c r="C422" s="882">
        <f t="shared" si="39"/>
        <v>418</v>
      </c>
      <c r="D422" s="883">
        <v>2709</v>
      </c>
      <c r="E422" s="884" t="str">
        <f>IFERROR(VLOOKUP(Table2[[#This Row],[Player No]],Table10[[No]:[Province]],2,0),"")</f>
        <v>GREYBE Garth</v>
      </c>
      <c r="F422" s="885" t="str">
        <f>IFERROR(VLOOKUP(Table2[[#This Row],[Player No]],Table10[[No]:[Province]],3,0),"")</f>
        <v>CT</v>
      </c>
      <c r="G422" s="892">
        <v>2</v>
      </c>
      <c r="H422" s="886">
        <f>(Table2[[#This Row],[Points 2025]]/2)+SUM(Table2[[#This Row],[O1  ADMIN 2026]:[P2    CAPE TOWN OPEN 2026 ]])</f>
        <v>1</v>
      </c>
      <c r="I422" s="880">
        <f t="shared" si="38"/>
        <v>0</v>
      </c>
      <c r="J422" s="882">
        <f t="shared" si="41"/>
        <v>0</v>
      </c>
      <c r="K422" s="887" t="s">
        <v>6083</v>
      </c>
      <c r="L422" s="887" t="s">
        <v>6083</v>
      </c>
      <c r="M422" s="887" t="s">
        <v>6083</v>
      </c>
      <c r="N422" s="887"/>
      <c r="O422" s="882"/>
      <c r="P422" s="882"/>
      <c r="Q422" s="888"/>
      <c r="R422" s="888"/>
      <c r="S422" s="882"/>
      <c r="T422" s="888"/>
      <c r="U422" s="882"/>
      <c r="V422" s="887"/>
      <c r="W422" s="888"/>
      <c r="X422" s="882"/>
      <c r="Y422" s="888"/>
      <c r="Z422" s="882"/>
      <c r="AA422" s="882"/>
      <c r="AB422" s="882">
        <v>2</v>
      </c>
      <c r="AC422" s="882"/>
      <c r="AD422" s="882"/>
      <c r="AE422" s="882"/>
      <c r="AF422" s="882"/>
      <c r="AG422" s="882"/>
      <c r="AH422" s="882"/>
      <c r="AI422" s="882"/>
      <c r="AJ422" s="882"/>
      <c r="AK422" s="882"/>
      <c r="AL422" s="889"/>
    </row>
    <row r="423" spans="1:38" s="890" customFormat="1">
      <c r="A423" s="882"/>
      <c r="B423" s="891"/>
      <c r="C423" s="882">
        <f t="shared" si="39"/>
        <v>419</v>
      </c>
      <c r="D423" s="883">
        <v>2782</v>
      </c>
      <c r="E423" s="884" t="str">
        <f>IFERROR(VLOOKUP(Table2[[#This Row],[Player No]],Table10[[No]:[Province]],2,0),"")</f>
        <v>KOTZE Gershwin</v>
      </c>
      <c r="F423" s="885" t="str">
        <f>IFERROR(VLOOKUP(Table2[[#This Row],[Player No]],Table10[[No]:[Province]],3,0),"")</f>
        <v>WC</v>
      </c>
      <c r="G423" s="892">
        <v>2</v>
      </c>
      <c r="H423" s="886">
        <f>(Table2[[#This Row],[Points 2025]]/2)+SUM(Table2[[#This Row],[O1  ADMIN 2026]:[P2    CAPE TOWN OPEN 2026 ]])</f>
        <v>1</v>
      </c>
      <c r="I423" s="880">
        <f t="shared" si="38"/>
        <v>0</v>
      </c>
      <c r="J423" s="882">
        <f t="shared" si="41"/>
        <v>0</v>
      </c>
      <c r="K423" s="887" t="s">
        <v>6083</v>
      </c>
      <c r="L423" s="887" t="s">
        <v>6083</v>
      </c>
      <c r="M423" s="887" t="s">
        <v>6083</v>
      </c>
      <c r="N423" s="887"/>
      <c r="O423" s="882"/>
      <c r="P423" s="882"/>
      <c r="Q423" s="888"/>
      <c r="R423" s="888"/>
      <c r="S423" s="882"/>
      <c r="T423" s="888"/>
      <c r="U423" s="882"/>
      <c r="V423" s="887"/>
      <c r="W423" s="888">
        <v>0</v>
      </c>
      <c r="X423" s="882"/>
      <c r="Y423" s="888"/>
      <c r="Z423" s="882"/>
      <c r="AA423" s="882"/>
      <c r="AB423" s="882">
        <v>2</v>
      </c>
      <c r="AC423" s="882"/>
      <c r="AD423" s="882"/>
      <c r="AE423" s="882"/>
      <c r="AF423" s="882"/>
      <c r="AG423" s="882"/>
      <c r="AH423" s="882"/>
      <c r="AI423" s="882"/>
      <c r="AJ423" s="882"/>
      <c r="AK423" s="882"/>
      <c r="AL423" s="889"/>
    </row>
    <row r="424" spans="1:38" s="890" customFormat="1">
      <c r="A424" s="882"/>
      <c r="B424" s="891"/>
      <c r="C424" s="882">
        <f t="shared" si="39"/>
        <v>420</v>
      </c>
      <c r="D424" s="883">
        <v>3244</v>
      </c>
      <c r="E424" s="884" t="str">
        <f>IFERROR(VLOOKUP(Table2[[#This Row],[Player No]],Table10[[No]:[Province]],2,0),"")</f>
        <v>ROCKMAN Thegan</v>
      </c>
      <c r="F424" s="885" t="str">
        <f>IFERROR(VLOOKUP(Table2[[#This Row],[Player No]],Table10[[No]:[Province]],3,0),"")</f>
        <v>CT</v>
      </c>
      <c r="G424" s="892">
        <v>2</v>
      </c>
      <c r="H424" s="886">
        <f>(Table2[[#This Row],[Points 2025]]/2)+SUM(Table2[[#This Row],[O1  ADMIN 2026]:[P2    CAPE TOWN OPEN 2026 ]])</f>
        <v>1</v>
      </c>
      <c r="I424" s="880">
        <f t="shared" si="38"/>
        <v>0</v>
      </c>
      <c r="J424" s="882">
        <f t="shared" si="41"/>
        <v>0</v>
      </c>
      <c r="K424" s="887" t="s">
        <v>6083</v>
      </c>
      <c r="L424" s="887" t="s">
        <v>6083</v>
      </c>
      <c r="M424" s="887" t="s">
        <v>6083</v>
      </c>
      <c r="N424" s="887"/>
      <c r="O424" s="882"/>
      <c r="P424" s="882"/>
      <c r="Q424" s="888"/>
      <c r="R424" s="888"/>
      <c r="S424" s="882"/>
      <c r="T424" s="888"/>
      <c r="U424" s="882"/>
      <c r="V424" s="887">
        <v>2</v>
      </c>
      <c r="W424" s="888"/>
      <c r="X424" s="882"/>
      <c r="Y424" s="888"/>
      <c r="Z424" s="882"/>
      <c r="AA424" s="882"/>
      <c r="AB424" s="882"/>
      <c r="AC424" s="882"/>
      <c r="AD424" s="882"/>
      <c r="AE424" s="882"/>
      <c r="AF424" s="882"/>
      <c r="AG424" s="882"/>
      <c r="AH424" s="882"/>
      <c r="AI424" s="882"/>
      <c r="AJ424" s="882"/>
      <c r="AK424" s="882"/>
      <c r="AL424" s="889"/>
    </row>
    <row r="425" spans="1:38" s="890" customFormat="1">
      <c r="A425" s="882">
        <v>327</v>
      </c>
      <c r="B425" s="891">
        <f>+A425-C425</f>
        <v>-94</v>
      </c>
      <c r="C425" s="882">
        <f t="shared" si="39"/>
        <v>421</v>
      </c>
      <c r="D425" s="883">
        <v>3401</v>
      </c>
      <c r="E425" s="884" t="str">
        <f>IFERROR(VLOOKUP(Table2[[#This Row],[Player No]],Table10[[No]:[Province]],2,0),"")</f>
        <v>SWANEPOEL Shane</v>
      </c>
      <c r="F425" s="885" t="str">
        <f>IFERROR(VLOOKUP(Table2[[#This Row],[Player No]],Table10[[No]:[Province]],3,0),"")</f>
        <v>GN</v>
      </c>
      <c r="G425" s="892">
        <v>2</v>
      </c>
      <c r="H425" s="886">
        <f>(Table2[[#This Row],[Points 2025]]/2)+SUM(Table2[[#This Row],[O1  ADMIN 2026]:[P2    CAPE TOWN OPEN 2026 ]])</f>
        <v>1</v>
      </c>
      <c r="I425" s="880">
        <f t="shared" si="38"/>
        <v>0</v>
      </c>
      <c r="J425" s="882">
        <f t="shared" ref="J425:J451" si="43">COUNTIF(O425:AK425,"&lt;0")</f>
        <v>0</v>
      </c>
      <c r="K425" s="887" t="s">
        <v>6083</v>
      </c>
      <c r="L425" s="887" t="s">
        <v>6083</v>
      </c>
      <c r="M425" s="887" t="s">
        <v>6083</v>
      </c>
      <c r="N425" s="887"/>
      <c r="O425" s="882"/>
      <c r="P425" s="882"/>
      <c r="Q425" s="888"/>
      <c r="R425" s="888"/>
      <c r="S425" s="882"/>
      <c r="T425" s="888"/>
      <c r="U425" s="882"/>
      <c r="V425" s="887"/>
      <c r="W425" s="888"/>
      <c r="X425" s="882"/>
      <c r="Y425" s="888">
        <v>1</v>
      </c>
      <c r="Z425" s="882"/>
      <c r="AA425" s="882"/>
      <c r="AB425" s="882"/>
      <c r="AC425" s="882"/>
      <c r="AD425" s="882"/>
      <c r="AE425" s="882"/>
      <c r="AF425" s="882"/>
      <c r="AG425" s="882"/>
      <c r="AH425" s="882"/>
      <c r="AI425" s="882"/>
      <c r="AJ425" s="882">
        <v>1</v>
      </c>
      <c r="AK425" s="882"/>
      <c r="AL425" s="889"/>
    </row>
    <row r="426" spans="1:38" s="890" customFormat="1">
      <c r="A426" s="882">
        <v>232</v>
      </c>
      <c r="B426" s="891">
        <f>+A426-C426</f>
        <v>-190</v>
      </c>
      <c r="C426" s="882">
        <f t="shared" si="39"/>
        <v>422</v>
      </c>
      <c r="D426" s="883">
        <v>3486</v>
      </c>
      <c r="E426" s="884" t="str">
        <f>IFERROR(VLOOKUP(Table2[[#This Row],[Player No]],Table10[[No]:[Province]],2,0),"")</f>
        <v>BUTHALEZI Zahkele</v>
      </c>
      <c r="F426" s="885" t="str">
        <f>IFERROR(VLOOKUP(Table2[[#This Row],[Player No]],Table10[[No]:[Province]],3,0),"")</f>
        <v>EKU</v>
      </c>
      <c r="G426" s="892">
        <v>2</v>
      </c>
      <c r="H426" s="886">
        <f>(Table2[[#This Row],[Points 2025]]/2)+SUM(Table2[[#This Row],[O1  ADMIN 2026]:[P2    CAPE TOWN OPEN 2026 ]])</f>
        <v>1</v>
      </c>
      <c r="I426" s="880">
        <f t="shared" si="38"/>
        <v>0</v>
      </c>
      <c r="J426" s="882">
        <f t="shared" si="43"/>
        <v>0</v>
      </c>
      <c r="K426" s="887" t="s">
        <v>6083</v>
      </c>
      <c r="L426" s="887" t="s">
        <v>6083</v>
      </c>
      <c r="M426" s="887" t="s">
        <v>6083</v>
      </c>
      <c r="N426" s="887"/>
      <c r="O426" s="882"/>
      <c r="P426" s="882"/>
      <c r="Q426" s="888"/>
      <c r="R426" s="888"/>
      <c r="S426" s="882"/>
      <c r="T426" s="888"/>
      <c r="U426" s="882"/>
      <c r="V426" s="887"/>
      <c r="W426" s="888"/>
      <c r="X426" s="882"/>
      <c r="Y426" s="888"/>
      <c r="Z426" s="882"/>
      <c r="AA426" s="882"/>
      <c r="AB426" s="882"/>
      <c r="AC426" s="882"/>
      <c r="AD426" s="882"/>
      <c r="AE426" s="882"/>
      <c r="AF426" s="882"/>
      <c r="AG426" s="882"/>
      <c r="AH426" s="882"/>
      <c r="AI426" s="882"/>
      <c r="AJ426" s="882">
        <v>3</v>
      </c>
      <c r="AK426" s="882"/>
      <c r="AL426" s="889"/>
    </row>
    <row r="427" spans="1:38" s="890" customFormat="1">
      <c r="A427" s="882">
        <v>233</v>
      </c>
      <c r="B427" s="891">
        <f>+A427-C427</f>
        <v>-190</v>
      </c>
      <c r="C427" s="882">
        <f t="shared" si="39"/>
        <v>423</v>
      </c>
      <c r="D427" s="883">
        <v>3487</v>
      </c>
      <c r="E427" s="884" t="str">
        <f>IFERROR(VLOOKUP(Table2[[#This Row],[Player No]],Table10[[No]:[Province]],2,0),"")</f>
        <v>WEYERS Calvin</v>
      </c>
      <c r="F427" s="885" t="str">
        <f>IFERROR(VLOOKUP(Table2[[#This Row],[Player No]],Table10[[No]:[Province]],3,0),"")</f>
        <v>JTTA</v>
      </c>
      <c r="G427" s="892">
        <v>2</v>
      </c>
      <c r="H427" s="886">
        <f>(Table2[[#This Row],[Points 2025]]/2)+SUM(Table2[[#This Row],[O1  ADMIN 2026]:[P2    CAPE TOWN OPEN 2026 ]])</f>
        <v>1</v>
      </c>
      <c r="I427" s="880">
        <f t="shared" si="38"/>
        <v>0</v>
      </c>
      <c r="J427" s="882">
        <f t="shared" si="43"/>
        <v>0</v>
      </c>
      <c r="K427" s="887" t="s">
        <v>6083</v>
      </c>
      <c r="L427" s="887" t="s">
        <v>6083</v>
      </c>
      <c r="M427" s="887" t="s">
        <v>6083</v>
      </c>
      <c r="N427" s="887"/>
      <c r="O427" s="882"/>
      <c r="P427" s="882"/>
      <c r="Q427" s="888"/>
      <c r="R427" s="888"/>
      <c r="S427" s="882"/>
      <c r="T427" s="888"/>
      <c r="U427" s="882"/>
      <c r="V427" s="887"/>
      <c r="W427" s="888"/>
      <c r="X427" s="882"/>
      <c r="Y427" s="888"/>
      <c r="Z427" s="882"/>
      <c r="AA427" s="882"/>
      <c r="AB427" s="882"/>
      <c r="AC427" s="882"/>
      <c r="AD427" s="882"/>
      <c r="AE427" s="882"/>
      <c r="AF427" s="882"/>
      <c r="AG427" s="882"/>
      <c r="AH427" s="882"/>
      <c r="AI427" s="882"/>
      <c r="AJ427" s="882">
        <v>3</v>
      </c>
      <c r="AK427" s="882"/>
      <c r="AL427" s="889"/>
    </row>
    <row r="428" spans="1:38" s="890" customFormat="1">
      <c r="A428" s="882"/>
      <c r="B428" s="891"/>
      <c r="C428" s="882">
        <f t="shared" si="39"/>
        <v>424</v>
      </c>
      <c r="D428" s="883">
        <v>3511</v>
      </c>
      <c r="E428" s="884" t="str">
        <f>IFERROR(VLOOKUP(Table2[[#This Row],[Player No]],Table10[[No]:[Province]],2,0),"")</f>
        <v>GUMEDE Oluhle</v>
      </c>
      <c r="F428" s="885" t="str">
        <f>IFERROR(VLOOKUP(Table2[[#This Row],[Player No]],Table10[[No]:[Province]],3,0),"")</f>
        <v>ETTA</v>
      </c>
      <c r="G428" s="892">
        <v>2</v>
      </c>
      <c r="H428" s="886">
        <f>(Table2[[#This Row],[Points 2025]]/2)+SUM(Table2[[#This Row],[O1  ADMIN 2026]:[P2    CAPE TOWN OPEN 2026 ]])</f>
        <v>1</v>
      </c>
      <c r="I428" s="880">
        <f t="shared" si="38"/>
        <v>0</v>
      </c>
      <c r="J428" s="882">
        <f t="shared" si="43"/>
        <v>0</v>
      </c>
      <c r="K428" s="887" t="s">
        <v>6083</v>
      </c>
      <c r="L428" s="887" t="s">
        <v>6083</v>
      </c>
      <c r="M428" s="887" t="s">
        <v>6083</v>
      </c>
      <c r="N428" s="887"/>
      <c r="O428" s="882"/>
      <c r="P428" s="882"/>
      <c r="Q428" s="888"/>
      <c r="R428" s="888"/>
      <c r="S428" s="882">
        <v>2</v>
      </c>
      <c r="T428" s="888"/>
      <c r="U428" s="882"/>
      <c r="V428" s="887"/>
      <c r="W428" s="888"/>
      <c r="X428" s="882"/>
      <c r="Y428" s="888"/>
      <c r="Z428" s="882"/>
      <c r="AA428" s="882"/>
      <c r="AB428" s="882"/>
      <c r="AC428" s="882"/>
      <c r="AD428" s="882"/>
      <c r="AE428" s="882"/>
      <c r="AF428" s="882"/>
      <c r="AG428" s="882"/>
      <c r="AH428" s="882"/>
      <c r="AI428" s="882"/>
      <c r="AJ428" s="882"/>
      <c r="AK428" s="882"/>
      <c r="AL428" s="889"/>
    </row>
    <row r="429" spans="1:38" s="890" customFormat="1">
      <c r="A429" s="882">
        <v>231</v>
      </c>
      <c r="B429" s="891">
        <f>+A429-C429</f>
        <v>-194</v>
      </c>
      <c r="C429" s="882">
        <f t="shared" si="39"/>
        <v>425</v>
      </c>
      <c r="D429" s="883">
        <v>3518</v>
      </c>
      <c r="E429" s="884" t="str">
        <f>IFERROR(VLOOKUP(Table2[[#This Row],[Player No]],Table10[[No]:[Province]],2,0),"")</f>
        <v>PETERS Lindley</v>
      </c>
      <c r="F429" s="885" t="str">
        <f>IFERROR(VLOOKUP(Table2[[#This Row],[Player No]],Table10[[No]:[Province]],3,0),"")</f>
        <v>GN</v>
      </c>
      <c r="G429" s="892">
        <v>2</v>
      </c>
      <c r="H429" s="886">
        <f>(Table2[[#This Row],[Points 2025]]/2)+SUM(Table2[[#This Row],[O1  ADMIN 2026]:[P2    CAPE TOWN OPEN 2026 ]])</f>
        <v>1</v>
      </c>
      <c r="I429" s="880">
        <f t="shared" si="38"/>
        <v>0</v>
      </c>
      <c r="J429" s="882">
        <f t="shared" si="43"/>
        <v>0</v>
      </c>
      <c r="K429" s="887" t="s">
        <v>6083</v>
      </c>
      <c r="L429" s="887" t="s">
        <v>6083</v>
      </c>
      <c r="M429" s="887" t="s">
        <v>6083</v>
      </c>
      <c r="N429" s="887"/>
      <c r="O429" s="882"/>
      <c r="P429" s="882"/>
      <c r="Q429" s="888"/>
      <c r="R429" s="888"/>
      <c r="S429" s="882"/>
      <c r="T429" s="888"/>
      <c r="U429" s="882"/>
      <c r="V429" s="887"/>
      <c r="W429" s="888"/>
      <c r="X429" s="882"/>
      <c r="Y429" s="888"/>
      <c r="Z429" s="882"/>
      <c r="AA429" s="882"/>
      <c r="AB429" s="882"/>
      <c r="AC429" s="882"/>
      <c r="AD429" s="882"/>
      <c r="AE429" s="882"/>
      <c r="AF429" s="882"/>
      <c r="AG429" s="882"/>
      <c r="AH429" s="882"/>
      <c r="AI429" s="882"/>
      <c r="AJ429" s="882"/>
      <c r="AK429" s="882"/>
      <c r="AL429" s="889"/>
    </row>
    <row r="430" spans="1:38" s="890" customFormat="1">
      <c r="A430" s="882"/>
      <c r="B430" s="891"/>
      <c r="C430" s="882">
        <f t="shared" si="39"/>
        <v>426</v>
      </c>
      <c r="D430" s="883">
        <v>3635</v>
      </c>
      <c r="E430" s="884" t="str">
        <f>IFERROR(VLOOKUP(Table2[[#This Row],[Player No]],Table10[[No]:[Province]],2,0),"")</f>
        <v>DU PLESSIS John</v>
      </c>
      <c r="F430" s="885" t="str">
        <f>IFERROR(VLOOKUP(Table2[[#This Row],[Player No]],Table10[[No]:[Province]],3,0),"")</f>
        <v>NMB</v>
      </c>
      <c r="G430" s="892">
        <v>2</v>
      </c>
      <c r="H430" s="886">
        <f>(Table2[[#This Row],[Points 2025]]/2)+SUM(Table2[[#This Row],[O1  ADMIN 2026]:[P2    CAPE TOWN OPEN 2026 ]])</f>
        <v>1</v>
      </c>
      <c r="I430" s="880">
        <f t="shared" si="38"/>
        <v>0</v>
      </c>
      <c r="J430" s="882">
        <f t="shared" si="43"/>
        <v>0</v>
      </c>
      <c r="K430" s="887" t="s">
        <v>6083</v>
      </c>
      <c r="L430" s="887" t="s">
        <v>6083</v>
      </c>
      <c r="M430" s="887" t="s">
        <v>6083</v>
      </c>
      <c r="N430" s="887"/>
      <c r="O430" s="882"/>
      <c r="P430" s="882"/>
      <c r="Q430" s="888"/>
      <c r="R430" s="888"/>
      <c r="S430" s="882"/>
      <c r="T430" s="888"/>
      <c r="U430" s="882"/>
      <c r="V430" s="887">
        <v>2</v>
      </c>
      <c r="W430" s="888"/>
      <c r="X430" s="882"/>
      <c r="Y430" s="888"/>
      <c r="Z430" s="882"/>
      <c r="AA430" s="882"/>
      <c r="AB430" s="882"/>
      <c r="AC430" s="882"/>
      <c r="AD430" s="882"/>
      <c r="AE430" s="882"/>
      <c r="AF430" s="882"/>
      <c r="AG430" s="882"/>
      <c r="AH430" s="882"/>
      <c r="AI430" s="882"/>
      <c r="AJ430" s="882"/>
      <c r="AK430" s="882"/>
      <c r="AL430" s="889"/>
    </row>
    <row r="431" spans="1:38" s="890" customFormat="1">
      <c r="A431" s="882">
        <v>331</v>
      </c>
      <c r="B431" s="891">
        <f>+A431-C431</f>
        <v>-96</v>
      </c>
      <c r="C431" s="882">
        <f t="shared" si="39"/>
        <v>427</v>
      </c>
      <c r="D431" s="883">
        <v>3838</v>
      </c>
      <c r="E431" s="884" t="str">
        <f>IFERROR(VLOOKUP(Table2[[#This Row],[Player No]],Table10[[No]:[Province]],2,0),"")</f>
        <v>PAN Enjun</v>
      </c>
      <c r="F431" s="885" t="str">
        <f>IFERROR(VLOOKUP(Table2[[#This Row],[Player No]],Table10[[No]:[Province]],3,0),"")</f>
        <v>JTTA</v>
      </c>
      <c r="G431" s="892">
        <v>2</v>
      </c>
      <c r="H431" s="886">
        <f>(Table2[[#This Row],[Points 2025]]/2)+SUM(Table2[[#This Row],[O1  ADMIN 2026]:[P2    CAPE TOWN OPEN 2026 ]])</f>
        <v>1</v>
      </c>
      <c r="I431" s="880">
        <f t="shared" si="38"/>
        <v>0</v>
      </c>
      <c r="J431" s="882">
        <f t="shared" si="43"/>
        <v>0</v>
      </c>
      <c r="K431" s="887" t="s">
        <v>6083</v>
      </c>
      <c r="L431" s="887" t="s">
        <v>6083</v>
      </c>
      <c r="M431" s="887" t="s">
        <v>6083</v>
      </c>
      <c r="N431" s="887"/>
      <c r="O431" s="882"/>
      <c r="P431" s="882"/>
      <c r="Q431" s="888"/>
      <c r="R431" s="888"/>
      <c r="S431" s="882"/>
      <c r="T431" s="888"/>
      <c r="U431" s="882"/>
      <c r="V431" s="887"/>
      <c r="W431" s="888"/>
      <c r="X431" s="882"/>
      <c r="Y431" s="888"/>
      <c r="Z431" s="882"/>
      <c r="AA431" s="882"/>
      <c r="AB431" s="882"/>
      <c r="AC431" s="882"/>
      <c r="AD431" s="882"/>
      <c r="AE431" s="882"/>
      <c r="AF431" s="882"/>
      <c r="AG431" s="882"/>
      <c r="AH431" s="882"/>
      <c r="AI431" s="882">
        <v>2</v>
      </c>
      <c r="AJ431" s="882"/>
      <c r="AK431" s="882">
        <v>2</v>
      </c>
      <c r="AL431" s="889"/>
    </row>
    <row r="432" spans="1:38" s="890" customFormat="1">
      <c r="A432" s="882"/>
      <c r="B432" s="891"/>
      <c r="C432" s="882">
        <f t="shared" si="39"/>
        <v>428</v>
      </c>
      <c r="D432" s="883">
        <v>3918</v>
      </c>
      <c r="E432" s="884" t="str">
        <f>IFERROR(VLOOKUP(Table2[[#This Row],[Player No]],Table10[[No]:[Province]],2,0),"")</f>
        <v>MKONTWANE Simphiwe</v>
      </c>
      <c r="F432" s="885" t="str">
        <f>IFERROR(VLOOKUP(Table2[[#This Row],[Player No]],Table10[[No]:[Province]],3,0),"")</f>
        <v>ETTA</v>
      </c>
      <c r="G432" s="892">
        <v>2</v>
      </c>
      <c r="H432" s="886">
        <f>(Table2[[#This Row],[Points 2025]]/2)+SUM(Table2[[#This Row],[O1  ADMIN 2026]:[P2    CAPE TOWN OPEN 2026 ]])</f>
        <v>1</v>
      </c>
      <c r="I432" s="880">
        <f t="shared" si="38"/>
        <v>0</v>
      </c>
      <c r="J432" s="882">
        <f t="shared" si="43"/>
        <v>0</v>
      </c>
      <c r="K432" s="887" t="s">
        <v>6083</v>
      </c>
      <c r="L432" s="887" t="s">
        <v>6083</v>
      </c>
      <c r="M432" s="887" t="s">
        <v>6083</v>
      </c>
      <c r="N432" s="887"/>
      <c r="O432" s="882"/>
      <c r="P432" s="882"/>
      <c r="Q432" s="888"/>
      <c r="R432" s="888"/>
      <c r="S432" s="882">
        <v>2</v>
      </c>
      <c r="T432" s="888"/>
      <c r="U432" s="882"/>
      <c r="V432" s="887"/>
      <c r="W432" s="888"/>
      <c r="X432" s="882"/>
      <c r="Y432" s="888"/>
      <c r="Z432" s="882"/>
      <c r="AA432" s="882"/>
      <c r="AB432" s="882"/>
      <c r="AC432" s="882"/>
      <c r="AD432" s="882"/>
      <c r="AE432" s="882"/>
      <c r="AF432" s="882"/>
      <c r="AG432" s="882"/>
      <c r="AH432" s="882"/>
      <c r="AI432" s="882"/>
      <c r="AJ432" s="882"/>
      <c r="AK432" s="882"/>
      <c r="AL432" s="889"/>
    </row>
    <row r="433" spans="1:38" s="890" customFormat="1">
      <c r="A433" s="882"/>
      <c r="B433" s="891"/>
      <c r="C433" s="882">
        <f t="shared" si="39"/>
        <v>429</v>
      </c>
      <c r="D433" s="883">
        <v>4079</v>
      </c>
      <c r="E433" s="884" t="str">
        <f>IFERROR(VLOOKUP(Table2[[#This Row],[Player No]],Table10[[No]:[Province]],2,0),"")</f>
        <v xml:space="preserve">ESSAY Muhammed </v>
      </c>
      <c r="F433" s="885" t="str">
        <f>IFERROR(VLOOKUP(Table2[[#This Row],[Player No]],Table10[[No]:[Province]],3,0),"")</f>
        <v>NMB</v>
      </c>
      <c r="G433" s="892">
        <v>2</v>
      </c>
      <c r="H433" s="886">
        <f>(Table2[[#This Row],[Points 2025]]/2)+SUM(Table2[[#This Row],[O1  ADMIN 2026]:[P2    CAPE TOWN OPEN 2026 ]])</f>
        <v>1</v>
      </c>
      <c r="I433" s="880">
        <f t="shared" si="38"/>
        <v>0</v>
      </c>
      <c r="J433" s="882">
        <f t="shared" si="43"/>
        <v>0</v>
      </c>
      <c r="K433" s="887" t="s">
        <v>6083</v>
      </c>
      <c r="L433" s="887" t="s">
        <v>6083</v>
      </c>
      <c r="M433" s="887" t="s">
        <v>6083</v>
      </c>
      <c r="N433" s="887"/>
      <c r="O433" s="882"/>
      <c r="P433" s="882"/>
      <c r="Q433" s="888"/>
      <c r="R433" s="888"/>
      <c r="S433" s="882"/>
      <c r="T433" s="888"/>
      <c r="U433" s="882"/>
      <c r="V433" s="887">
        <v>2</v>
      </c>
      <c r="W433" s="888"/>
      <c r="X433" s="882"/>
      <c r="Y433" s="888"/>
      <c r="Z433" s="882"/>
      <c r="AA433" s="882"/>
      <c r="AB433" s="882"/>
      <c r="AC433" s="882"/>
      <c r="AD433" s="882"/>
      <c r="AE433" s="882"/>
      <c r="AF433" s="882"/>
      <c r="AG433" s="882"/>
      <c r="AH433" s="882"/>
      <c r="AI433" s="882"/>
      <c r="AJ433" s="882"/>
      <c r="AK433" s="882"/>
      <c r="AL433" s="889"/>
    </row>
    <row r="434" spans="1:38" s="890" customFormat="1">
      <c r="A434" s="882"/>
      <c r="B434" s="891"/>
      <c r="C434" s="882">
        <f t="shared" si="39"/>
        <v>430</v>
      </c>
      <c r="D434" s="883">
        <v>4088</v>
      </c>
      <c r="E434" s="884" t="str">
        <f>IFERROR(VLOOKUP(Table2[[#This Row],[Player No]],Table10[[No]:[Province]],2,0),"")</f>
        <v>ALAKHRAS Adam</v>
      </c>
      <c r="F434" s="885" t="str">
        <f>IFERROR(VLOOKUP(Table2[[#This Row],[Player No]],Table10[[No]:[Province]],3,0),"")</f>
        <v>NMB</v>
      </c>
      <c r="G434" s="892">
        <v>2</v>
      </c>
      <c r="H434" s="886">
        <f>(Table2[[#This Row],[Points 2025]]/2)+SUM(Table2[[#This Row],[O1  ADMIN 2026]:[P2    CAPE TOWN OPEN 2026 ]])</f>
        <v>1</v>
      </c>
      <c r="I434" s="880">
        <f t="shared" si="38"/>
        <v>0</v>
      </c>
      <c r="J434" s="882">
        <f t="shared" si="43"/>
        <v>0</v>
      </c>
      <c r="K434" s="887" t="s">
        <v>6083</v>
      </c>
      <c r="L434" s="887" t="s">
        <v>6083</v>
      </c>
      <c r="M434" s="887" t="s">
        <v>6083</v>
      </c>
      <c r="N434" s="887"/>
      <c r="O434" s="882"/>
      <c r="P434" s="882"/>
      <c r="Q434" s="888"/>
      <c r="R434" s="888"/>
      <c r="S434" s="882"/>
      <c r="T434" s="888"/>
      <c r="U434" s="882"/>
      <c r="V434" s="887">
        <v>2</v>
      </c>
      <c r="W434" s="888"/>
      <c r="X434" s="882"/>
      <c r="Y434" s="888"/>
      <c r="Z434" s="882"/>
      <c r="AA434" s="882"/>
      <c r="AB434" s="882"/>
      <c r="AC434" s="882"/>
      <c r="AD434" s="882"/>
      <c r="AE434" s="882"/>
      <c r="AF434" s="882"/>
      <c r="AG434" s="882"/>
      <c r="AH434" s="882"/>
      <c r="AI434" s="882"/>
      <c r="AJ434" s="882"/>
      <c r="AK434" s="882"/>
      <c r="AL434" s="889"/>
    </row>
    <row r="435" spans="1:38" s="890" customFormat="1">
      <c r="A435" s="882"/>
      <c r="B435" s="891"/>
      <c r="C435" s="882">
        <f t="shared" si="39"/>
        <v>431</v>
      </c>
      <c r="D435" s="883">
        <v>4093</v>
      </c>
      <c r="E435" s="884" t="str">
        <f>IFERROR(VLOOKUP(Table2[[#This Row],[Player No]],Table10[[No]:[Province]],2,0),"")</f>
        <v>ALQUDAH Malek</v>
      </c>
      <c r="F435" s="885" t="str">
        <f>IFERROR(VLOOKUP(Table2[[#This Row],[Player No]],Table10[[No]:[Province]],3,0),"")</f>
        <v>NMB</v>
      </c>
      <c r="G435" s="892">
        <v>2</v>
      </c>
      <c r="H435" s="886">
        <f>(Table2[[#This Row],[Points 2025]]/2)+SUM(Table2[[#This Row],[O1  ADMIN 2026]:[P2    CAPE TOWN OPEN 2026 ]])</f>
        <v>1</v>
      </c>
      <c r="I435" s="880">
        <f t="shared" si="38"/>
        <v>0</v>
      </c>
      <c r="J435" s="882">
        <f t="shared" si="43"/>
        <v>0</v>
      </c>
      <c r="K435" s="887" t="s">
        <v>6083</v>
      </c>
      <c r="L435" s="887" t="s">
        <v>6083</v>
      </c>
      <c r="M435" s="887" t="s">
        <v>6083</v>
      </c>
      <c r="N435" s="887"/>
      <c r="O435" s="882"/>
      <c r="P435" s="882"/>
      <c r="Q435" s="888"/>
      <c r="R435" s="888"/>
      <c r="S435" s="882"/>
      <c r="T435" s="888"/>
      <c r="U435" s="882"/>
      <c r="V435" s="887">
        <v>2</v>
      </c>
      <c r="W435" s="888"/>
      <c r="X435" s="882"/>
      <c r="Y435" s="888"/>
      <c r="Z435" s="882"/>
      <c r="AA435" s="882"/>
      <c r="AB435" s="882"/>
      <c r="AC435" s="882"/>
      <c r="AD435" s="882"/>
      <c r="AE435" s="882"/>
      <c r="AF435" s="882"/>
      <c r="AG435" s="882"/>
      <c r="AH435" s="882"/>
      <c r="AI435" s="882"/>
      <c r="AJ435" s="882"/>
      <c r="AK435" s="882"/>
      <c r="AL435" s="889"/>
    </row>
    <row r="436" spans="1:38" s="890" customFormat="1">
      <c r="A436" s="882"/>
      <c r="B436" s="891"/>
      <c r="C436" s="882">
        <f t="shared" si="39"/>
        <v>432</v>
      </c>
      <c r="D436" s="883">
        <v>4096</v>
      </c>
      <c r="E436" s="884" t="str">
        <f>IFERROR(VLOOKUP(Table2[[#This Row],[Player No]],Table10[[No]:[Province]],2,0),"")</f>
        <v>MAHLALO Eric</v>
      </c>
      <c r="F436" s="885" t="str">
        <f>IFERROR(VLOOKUP(Table2[[#This Row],[Player No]],Table10[[No]:[Province]],3,0),"")</f>
        <v>NMB</v>
      </c>
      <c r="G436" s="892">
        <v>2</v>
      </c>
      <c r="H436" s="886">
        <f>(Table2[[#This Row],[Points 2025]]/2)+SUM(Table2[[#This Row],[O1  ADMIN 2026]:[P2    CAPE TOWN OPEN 2026 ]])</f>
        <v>1</v>
      </c>
      <c r="I436" s="880">
        <f t="shared" si="38"/>
        <v>0</v>
      </c>
      <c r="J436" s="882">
        <f t="shared" si="43"/>
        <v>0</v>
      </c>
      <c r="K436" s="887" t="s">
        <v>6083</v>
      </c>
      <c r="L436" s="887" t="s">
        <v>6083</v>
      </c>
      <c r="M436" s="887" t="s">
        <v>6083</v>
      </c>
      <c r="N436" s="887"/>
      <c r="O436" s="882"/>
      <c r="P436" s="882"/>
      <c r="Q436" s="888"/>
      <c r="R436" s="888"/>
      <c r="S436" s="882"/>
      <c r="T436" s="888"/>
      <c r="U436" s="882"/>
      <c r="V436" s="887">
        <v>2</v>
      </c>
      <c r="W436" s="888"/>
      <c r="X436" s="882"/>
      <c r="Y436" s="888"/>
      <c r="Z436" s="882"/>
      <c r="AA436" s="882"/>
      <c r="AB436" s="882"/>
      <c r="AC436" s="882"/>
      <c r="AD436" s="882"/>
      <c r="AE436" s="882"/>
      <c r="AF436" s="882"/>
      <c r="AG436" s="882"/>
      <c r="AH436" s="882"/>
      <c r="AI436" s="882"/>
      <c r="AJ436" s="882"/>
      <c r="AK436" s="882"/>
      <c r="AL436" s="889"/>
    </row>
    <row r="437" spans="1:38" s="890" customFormat="1">
      <c r="A437" s="882"/>
      <c r="B437" s="891"/>
      <c r="C437" s="882">
        <f t="shared" si="39"/>
        <v>433</v>
      </c>
      <c r="D437" s="883">
        <v>4138</v>
      </c>
      <c r="E437" s="884" t="str">
        <f>IFERROR(VLOOKUP(Table2[[#This Row],[Player No]],Table10[[No]:[Province]],2,0),"")</f>
        <v>VAN EYK Wynand</v>
      </c>
      <c r="F437" s="885" t="str">
        <f>IFERROR(VLOOKUP(Table2[[#This Row],[Player No]],Table10[[No]:[Province]],3,0),"")</f>
        <v>NMB</v>
      </c>
      <c r="G437" s="892">
        <v>2</v>
      </c>
      <c r="H437" s="886">
        <f>(Table2[[#This Row],[Points 2025]]/2)+SUM(Table2[[#This Row],[O1  ADMIN 2026]:[P2    CAPE TOWN OPEN 2026 ]])</f>
        <v>1</v>
      </c>
      <c r="I437" s="880">
        <f t="shared" si="38"/>
        <v>0</v>
      </c>
      <c r="J437" s="882">
        <f t="shared" si="43"/>
        <v>0</v>
      </c>
      <c r="K437" s="887" t="s">
        <v>6083</v>
      </c>
      <c r="L437" s="887" t="s">
        <v>6083</v>
      </c>
      <c r="M437" s="887" t="s">
        <v>6083</v>
      </c>
      <c r="N437" s="887"/>
      <c r="O437" s="882"/>
      <c r="P437" s="882"/>
      <c r="Q437" s="888"/>
      <c r="R437" s="888"/>
      <c r="S437" s="882"/>
      <c r="T437" s="888"/>
      <c r="U437" s="882"/>
      <c r="V437" s="887">
        <v>2</v>
      </c>
      <c r="W437" s="888"/>
      <c r="X437" s="882"/>
      <c r="Y437" s="888"/>
      <c r="Z437" s="882"/>
      <c r="AA437" s="882"/>
      <c r="AB437" s="882"/>
      <c r="AC437" s="882"/>
      <c r="AD437" s="882"/>
      <c r="AE437" s="882"/>
      <c r="AF437" s="882"/>
      <c r="AG437" s="882"/>
      <c r="AH437" s="882"/>
      <c r="AI437" s="882"/>
      <c r="AJ437" s="882"/>
      <c r="AK437" s="882"/>
      <c r="AL437" s="889"/>
    </row>
    <row r="438" spans="1:38" s="890" customFormat="1">
      <c r="A438" s="882"/>
      <c r="B438" s="891"/>
      <c r="C438" s="882">
        <f t="shared" si="39"/>
        <v>434</v>
      </c>
      <c r="D438" s="894">
        <v>4265</v>
      </c>
      <c r="E438" s="884" t="str">
        <f>IFERROR(VLOOKUP(Table2[[#This Row],[Player No]],Table10[[No]:[Province]],2,0),"")</f>
        <v>Konrad Markus</v>
      </c>
      <c r="F438" s="885" t="str">
        <f>IFERROR(VLOOKUP(Table2[[#This Row],[Player No]],Table10[[No]:[Province]],3,0),"")</f>
        <v>JTTA</v>
      </c>
      <c r="G438" s="892">
        <v>2</v>
      </c>
      <c r="H438" s="886">
        <f>(Table2[[#This Row],[Points 2025]]/2)+SUM(Table2[[#This Row],[O1  ADMIN 2026]:[P2    CAPE TOWN OPEN 2026 ]])</f>
        <v>1</v>
      </c>
      <c r="I438" s="880">
        <f t="shared" si="38"/>
        <v>0</v>
      </c>
      <c r="J438" s="882">
        <f t="shared" si="43"/>
        <v>0</v>
      </c>
      <c r="K438" s="887" t="s">
        <v>6083</v>
      </c>
      <c r="L438" s="887" t="s">
        <v>6083</v>
      </c>
      <c r="M438" s="887" t="s">
        <v>6083</v>
      </c>
      <c r="N438" s="887"/>
      <c r="O438" s="882"/>
      <c r="P438" s="882"/>
      <c r="Q438" s="888"/>
      <c r="R438" s="888"/>
      <c r="S438" s="882"/>
      <c r="T438" s="888"/>
      <c r="U438" s="882"/>
      <c r="V438" s="887"/>
      <c r="W438" s="888"/>
      <c r="X438" s="882"/>
      <c r="Y438" s="888">
        <v>2</v>
      </c>
      <c r="Z438" s="882"/>
      <c r="AA438" s="882"/>
      <c r="AB438" s="882"/>
      <c r="AC438" s="882"/>
      <c r="AD438" s="882"/>
      <c r="AE438" s="882"/>
      <c r="AF438" s="882"/>
      <c r="AG438" s="882"/>
      <c r="AH438" s="882"/>
      <c r="AI438" s="882"/>
      <c r="AJ438" s="882"/>
      <c r="AK438" s="882"/>
      <c r="AL438" s="889"/>
    </row>
    <row r="439" spans="1:38" s="890" customFormat="1">
      <c r="A439" s="882"/>
      <c r="B439" s="891"/>
      <c r="C439" s="882">
        <f t="shared" si="39"/>
        <v>435</v>
      </c>
      <c r="D439" s="883">
        <v>4300</v>
      </c>
      <c r="E439" s="884" t="str">
        <f>IFERROR(VLOOKUP(Table2[[#This Row],[Player No]],Table10[[No]:[Province]],2,0),"")</f>
        <v>TROMP Megan</v>
      </c>
      <c r="F439" s="885" t="str">
        <f>IFERROR(VLOOKUP(Table2[[#This Row],[Player No]],Table10[[No]:[Province]],3,0),"")</f>
        <v>EC</v>
      </c>
      <c r="G439" s="892">
        <v>2</v>
      </c>
      <c r="H439" s="886">
        <f>(Table2[[#This Row],[Points 2025]]/2)+SUM(Table2[[#This Row],[O1  ADMIN 2026]:[P2    CAPE TOWN OPEN 2026 ]])</f>
        <v>1</v>
      </c>
      <c r="I439" s="880">
        <f t="shared" si="38"/>
        <v>0</v>
      </c>
      <c r="J439" s="882">
        <f t="shared" si="43"/>
        <v>0</v>
      </c>
      <c r="K439" s="887" t="s">
        <v>6083</v>
      </c>
      <c r="L439" s="887" t="s">
        <v>6083</v>
      </c>
      <c r="M439" s="887" t="s">
        <v>6083</v>
      </c>
      <c r="N439" s="887"/>
      <c r="O439" s="882"/>
      <c r="P439" s="882"/>
      <c r="Q439" s="888"/>
      <c r="R439" s="888"/>
      <c r="S439" s="882"/>
      <c r="T439" s="888"/>
      <c r="U439" s="882"/>
      <c r="V439" s="887">
        <v>2</v>
      </c>
      <c r="W439" s="888"/>
      <c r="X439" s="882"/>
      <c r="Y439" s="888"/>
      <c r="Z439" s="882"/>
      <c r="AA439" s="882"/>
      <c r="AB439" s="882"/>
      <c r="AC439" s="882"/>
      <c r="AD439" s="882"/>
      <c r="AE439" s="882"/>
      <c r="AF439" s="882"/>
      <c r="AG439" s="882"/>
      <c r="AH439" s="882"/>
      <c r="AI439" s="882"/>
      <c r="AJ439" s="882"/>
      <c r="AK439" s="882"/>
      <c r="AL439" s="889"/>
    </row>
    <row r="440" spans="1:38" s="890" customFormat="1">
      <c r="A440" s="882"/>
      <c r="B440" s="891"/>
      <c r="C440" s="882">
        <f t="shared" si="39"/>
        <v>436</v>
      </c>
      <c r="D440" s="883">
        <v>4319</v>
      </c>
      <c r="E440" s="884" t="str">
        <f>IFERROR(VLOOKUP(Table2[[#This Row],[Player No]],Table10[[No]:[Province]],2,0),"")</f>
        <v>HUI Zhibo</v>
      </c>
      <c r="F440" s="885" t="str">
        <f>IFERROR(VLOOKUP(Table2[[#This Row],[Player No]],Table10[[No]:[Province]],3,0),"")</f>
        <v>JTTA</v>
      </c>
      <c r="G440" s="892">
        <v>2</v>
      </c>
      <c r="H440" s="886">
        <f>(Table2[[#This Row],[Points 2025]]/2)+SUM(Table2[[#This Row],[O1  ADMIN 2026]:[P2    CAPE TOWN OPEN 2026 ]])</f>
        <v>1</v>
      </c>
      <c r="I440" s="880">
        <f t="shared" si="38"/>
        <v>0</v>
      </c>
      <c r="J440" s="882">
        <f t="shared" si="43"/>
        <v>0</v>
      </c>
      <c r="K440" s="887" t="s">
        <v>6083</v>
      </c>
      <c r="L440" s="887" t="s">
        <v>6083</v>
      </c>
      <c r="M440" s="887" t="s">
        <v>6083</v>
      </c>
      <c r="N440" s="887"/>
      <c r="O440" s="882"/>
      <c r="P440" s="882"/>
      <c r="Q440" s="888"/>
      <c r="R440" s="888"/>
      <c r="S440" s="882"/>
      <c r="T440" s="888"/>
      <c r="U440" s="882"/>
      <c r="V440" s="887"/>
      <c r="W440" s="888"/>
      <c r="X440" s="882"/>
      <c r="Y440" s="888">
        <v>1</v>
      </c>
      <c r="Z440" s="882">
        <v>1</v>
      </c>
      <c r="AA440" s="882"/>
      <c r="AB440" s="882"/>
      <c r="AC440" s="882"/>
      <c r="AD440" s="882"/>
      <c r="AE440" s="882"/>
      <c r="AF440" s="882"/>
      <c r="AG440" s="882"/>
      <c r="AH440" s="882"/>
      <c r="AI440" s="882"/>
      <c r="AJ440" s="882"/>
      <c r="AK440" s="882"/>
      <c r="AL440" s="889"/>
    </row>
    <row r="441" spans="1:38" s="890" customFormat="1">
      <c r="A441" s="882"/>
      <c r="B441" s="891"/>
      <c r="C441" s="882">
        <f t="shared" si="39"/>
        <v>437</v>
      </c>
      <c r="D441" s="883">
        <v>4383</v>
      </c>
      <c r="E441" s="884" t="str">
        <f>IFERROR(VLOOKUP(Table2[[#This Row],[Player No]],Table10[[No]:[Province]],2,0),"")</f>
        <v>MATHABELA Mxolisi</v>
      </c>
      <c r="F441" s="885" t="str">
        <f>IFERROR(VLOOKUP(Table2[[#This Row],[Player No]],Table10[[No]:[Province]],3,0),"")</f>
        <v>ETTA</v>
      </c>
      <c r="G441" s="892">
        <v>2</v>
      </c>
      <c r="H441" s="886">
        <f>(Table2[[#This Row],[Points 2025]]/2)+SUM(Table2[[#This Row],[O1  ADMIN 2026]:[P2    CAPE TOWN OPEN 2026 ]])</f>
        <v>1</v>
      </c>
      <c r="I441" s="880">
        <f t="shared" si="38"/>
        <v>0</v>
      </c>
      <c r="J441" s="882">
        <f t="shared" si="43"/>
        <v>0</v>
      </c>
      <c r="K441" s="887" t="s">
        <v>6083</v>
      </c>
      <c r="L441" s="887" t="s">
        <v>6083</v>
      </c>
      <c r="M441" s="887" t="s">
        <v>6083</v>
      </c>
      <c r="N441" s="887"/>
      <c r="O441" s="882"/>
      <c r="P441" s="882">
        <v>2</v>
      </c>
      <c r="Q441" s="888"/>
      <c r="R441" s="888"/>
      <c r="S441" s="882"/>
      <c r="T441" s="888"/>
      <c r="U441" s="882"/>
      <c r="V441" s="887"/>
      <c r="W441" s="888"/>
      <c r="X441" s="882"/>
      <c r="Y441" s="888"/>
      <c r="Z441" s="882"/>
      <c r="AA441" s="882"/>
      <c r="AB441" s="882"/>
      <c r="AC441" s="882"/>
      <c r="AD441" s="882"/>
      <c r="AE441" s="882"/>
      <c r="AF441" s="882"/>
      <c r="AG441" s="882"/>
      <c r="AH441" s="882"/>
      <c r="AI441" s="882"/>
      <c r="AJ441" s="882"/>
      <c r="AK441" s="882"/>
      <c r="AL441" s="889"/>
    </row>
    <row r="442" spans="1:38" s="890" customFormat="1">
      <c r="A442" s="882"/>
      <c r="B442" s="891"/>
      <c r="C442" s="882">
        <f t="shared" si="39"/>
        <v>438</v>
      </c>
      <c r="D442" s="883">
        <v>4458</v>
      </c>
      <c r="E442" s="884" t="str">
        <f>IFERROR(VLOOKUP(Table2[[#This Row],[Player No]],Table10[[No]:[Province]],2,0),"")</f>
        <v>RAZ Mohamed</v>
      </c>
      <c r="F442" s="885" t="str">
        <f>IFERROR(VLOOKUP(Table2[[#This Row],[Player No]],Table10[[No]:[Province]],3,0),"")</f>
        <v>ETTA</v>
      </c>
      <c r="G442" s="892">
        <v>2</v>
      </c>
      <c r="H442" s="886">
        <f>(Table2[[#This Row],[Points 2025]]/2)+SUM(Table2[[#This Row],[O1  ADMIN 2026]:[P2    CAPE TOWN OPEN 2026 ]])</f>
        <v>1</v>
      </c>
      <c r="I442" s="880">
        <f t="shared" si="38"/>
        <v>0</v>
      </c>
      <c r="J442" s="882">
        <f t="shared" si="43"/>
        <v>0</v>
      </c>
      <c r="K442" s="887" t="s">
        <v>6083</v>
      </c>
      <c r="L442" s="887" t="s">
        <v>6083</v>
      </c>
      <c r="M442" s="887" t="s">
        <v>6083</v>
      </c>
      <c r="N442" s="887"/>
      <c r="O442" s="882">
        <v>2</v>
      </c>
      <c r="P442" s="882"/>
      <c r="Q442" s="888"/>
      <c r="R442" s="888"/>
      <c r="S442" s="882"/>
      <c r="T442" s="888"/>
      <c r="U442" s="882"/>
      <c r="V442" s="887"/>
      <c r="W442" s="888"/>
      <c r="X442" s="882"/>
      <c r="Y442" s="888"/>
      <c r="Z442" s="882"/>
      <c r="AA442" s="882"/>
      <c r="AB442" s="882"/>
      <c r="AC442" s="882"/>
      <c r="AD442" s="882"/>
      <c r="AE442" s="882"/>
      <c r="AF442" s="882"/>
      <c r="AG442" s="882"/>
      <c r="AH442" s="882"/>
      <c r="AI442" s="882"/>
      <c r="AJ442" s="882"/>
      <c r="AK442" s="882"/>
      <c r="AL442" s="889"/>
    </row>
    <row r="443" spans="1:38" s="890" customFormat="1">
      <c r="A443" s="882"/>
      <c r="B443" s="891"/>
      <c r="C443" s="882">
        <f t="shared" si="39"/>
        <v>439</v>
      </c>
      <c r="D443" s="883">
        <v>4674</v>
      </c>
      <c r="E443" s="884" t="str">
        <f>IFERROR(VLOOKUP(Table2[[#This Row],[Player No]],Table10[[No]:[Province]],2,0),"")</f>
        <v xml:space="preserve">CELIK Cetinhan </v>
      </c>
      <c r="F443" s="885" t="str">
        <f>IFERROR(VLOOKUP(Table2[[#This Row],[Player No]],Table10[[No]:[Province]],3,0),"")</f>
        <v>CT</v>
      </c>
      <c r="G443" s="892">
        <v>2</v>
      </c>
      <c r="H443" s="886">
        <f>(Table2[[#This Row],[Points 2025]]/2)+SUM(Table2[[#This Row],[O1  ADMIN 2026]:[P2    CAPE TOWN OPEN 2026 ]])</f>
        <v>1</v>
      </c>
      <c r="I443" s="880">
        <f t="shared" si="38"/>
        <v>0</v>
      </c>
      <c r="J443" s="882">
        <f t="shared" si="43"/>
        <v>0</v>
      </c>
      <c r="K443" s="887" t="s">
        <v>6083</v>
      </c>
      <c r="L443" s="887" t="s">
        <v>6083</v>
      </c>
      <c r="M443" s="887" t="s">
        <v>6083</v>
      </c>
      <c r="N443" s="887"/>
      <c r="O443" s="882"/>
      <c r="P443" s="882"/>
      <c r="Q443" s="888"/>
      <c r="R443" s="888"/>
      <c r="S443" s="882"/>
      <c r="T443" s="888"/>
      <c r="U443" s="882"/>
      <c r="V443" s="887"/>
      <c r="W443" s="888"/>
      <c r="X443" s="882"/>
      <c r="Y443" s="888"/>
      <c r="Z443" s="882"/>
      <c r="AA443" s="882"/>
      <c r="AB443" s="882">
        <v>2</v>
      </c>
      <c r="AC443" s="882"/>
      <c r="AD443" s="882"/>
      <c r="AE443" s="882"/>
      <c r="AF443" s="882"/>
      <c r="AG443" s="882"/>
      <c r="AH443" s="882"/>
      <c r="AI443" s="882"/>
      <c r="AJ443" s="882"/>
      <c r="AK443" s="882"/>
      <c r="AL443" s="889"/>
    </row>
    <row r="444" spans="1:38" s="890" customFormat="1">
      <c r="A444" s="882"/>
      <c r="B444" s="891"/>
      <c r="C444" s="882">
        <f t="shared" si="39"/>
        <v>440</v>
      </c>
      <c r="D444" s="895">
        <v>4690</v>
      </c>
      <c r="E444" s="884" t="str">
        <f>IFERROR(VLOOKUP(Table2[[#This Row],[Player No]],Table10[[No]:[Province]],2,0),"")</f>
        <v xml:space="preserve"> FAMBIRA Tinotenda Walter</v>
      </c>
      <c r="F444" s="885" t="str">
        <f>IFERROR(VLOOKUP(Table2[[#This Row],[Player No]],Table10[[No]:[Province]],3,0),"")</f>
        <v>ZIM</v>
      </c>
      <c r="G444" s="892">
        <v>2</v>
      </c>
      <c r="H444" s="886">
        <f>(Table2[[#This Row],[Points 2025]]/2)+SUM(Table2[[#This Row],[O1  ADMIN 2026]:[P2    CAPE TOWN OPEN 2026 ]])</f>
        <v>1</v>
      </c>
      <c r="I444" s="880">
        <f t="shared" si="38"/>
        <v>0</v>
      </c>
      <c r="J444" s="882">
        <f t="shared" si="43"/>
        <v>0</v>
      </c>
      <c r="K444" s="887" t="s">
        <v>6083</v>
      </c>
      <c r="L444" s="887" t="s">
        <v>6083</v>
      </c>
      <c r="M444" s="887" t="s">
        <v>6083</v>
      </c>
      <c r="N444" s="887"/>
      <c r="O444" s="882"/>
      <c r="P444" s="882"/>
      <c r="Q444" s="888"/>
      <c r="R444" s="888"/>
      <c r="S444" s="882"/>
      <c r="T444" s="888"/>
      <c r="U444" s="882"/>
      <c r="V444" s="887"/>
      <c r="W444" s="888"/>
      <c r="X444" s="882"/>
      <c r="Y444" s="888">
        <v>2</v>
      </c>
      <c r="Z444" s="882"/>
      <c r="AA444" s="882"/>
      <c r="AB444" s="882"/>
      <c r="AC444" s="882"/>
      <c r="AD444" s="882"/>
      <c r="AE444" s="882"/>
      <c r="AF444" s="882"/>
      <c r="AG444" s="882"/>
      <c r="AH444" s="882"/>
      <c r="AI444" s="882"/>
      <c r="AJ444" s="882"/>
      <c r="AK444" s="882"/>
      <c r="AL444" s="889"/>
    </row>
    <row r="445" spans="1:38" s="890" customFormat="1">
      <c r="A445" s="882"/>
      <c r="B445" s="891"/>
      <c r="C445" s="882">
        <f t="shared" si="39"/>
        <v>441</v>
      </c>
      <c r="D445" s="883">
        <v>4691</v>
      </c>
      <c r="E445" s="884" t="str">
        <f>IFERROR(VLOOKUP(Table2[[#This Row],[Player No]],Table10[[No]:[Province]],2,0),"")</f>
        <v xml:space="preserve"> PARBHOO Gitesh</v>
      </c>
      <c r="F445" s="885" t="str">
        <f>IFERROR(VLOOKUP(Table2[[#This Row],[Player No]],Table10[[No]:[Province]],3,0),"")</f>
        <v>JTTA</v>
      </c>
      <c r="G445" s="892">
        <v>2</v>
      </c>
      <c r="H445" s="886">
        <f>(Table2[[#This Row],[Points 2025]]/2)+SUM(Table2[[#This Row],[O1  ADMIN 2026]:[P2    CAPE TOWN OPEN 2026 ]])</f>
        <v>1</v>
      </c>
      <c r="I445" s="880">
        <f t="shared" si="38"/>
        <v>0</v>
      </c>
      <c r="J445" s="882">
        <f t="shared" si="43"/>
        <v>0</v>
      </c>
      <c r="K445" s="887" t="s">
        <v>6083</v>
      </c>
      <c r="L445" s="887" t="s">
        <v>6083</v>
      </c>
      <c r="M445" s="887" t="s">
        <v>6083</v>
      </c>
      <c r="N445" s="887"/>
      <c r="O445" s="882"/>
      <c r="P445" s="882"/>
      <c r="Q445" s="888"/>
      <c r="R445" s="888"/>
      <c r="S445" s="882"/>
      <c r="T445" s="888"/>
      <c r="U445" s="882"/>
      <c r="V445" s="887"/>
      <c r="W445" s="888"/>
      <c r="X445" s="882"/>
      <c r="Y445" s="888"/>
      <c r="Z445" s="882"/>
      <c r="AA445" s="882"/>
      <c r="AB445" s="882">
        <v>2</v>
      </c>
      <c r="AC445" s="882"/>
      <c r="AD445" s="882"/>
      <c r="AE445" s="882"/>
      <c r="AF445" s="882"/>
      <c r="AG445" s="882"/>
      <c r="AH445" s="882"/>
      <c r="AI445" s="882"/>
      <c r="AJ445" s="882"/>
      <c r="AK445" s="882"/>
      <c r="AL445" s="889"/>
    </row>
    <row r="446" spans="1:38" s="890" customFormat="1">
      <c r="A446" s="882"/>
      <c r="B446" s="891"/>
      <c r="C446" s="882">
        <f t="shared" si="39"/>
        <v>442</v>
      </c>
      <c r="D446" s="883">
        <v>4692</v>
      </c>
      <c r="E446" s="884" t="str">
        <f>IFERROR(VLOOKUP(Table2[[#This Row],[Player No]],Table10[[No]:[Province]],2,0),"")</f>
        <v xml:space="preserve">FOSTER Jim </v>
      </c>
      <c r="F446" s="885" t="str">
        <f>IFERROR(VLOOKUP(Table2[[#This Row],[Player No]],Table10[[No]:[Province]],3,0),"")</f>
        <v>CT</v>
      </c>
      <c r="G446" s="892">
        <v>2</v>
      </c>
      <c r="H446" s="886">
        <f>(Table2[[#This Row],[Points 2025]]/2)+SUM(Table2[[#This Row],[O1  ADMIN 2026]:[P2    CAPE TOWN OPEN 2026 ]])</f>
        <v>1</v>
      </c>
      <c r="I446" s="880">
        <f t="shared" si="38"/>
        <v>0</v>
      </c>
      <c r="J446" s="882">
        <f t="shared" si="43"/>
        <v>0</v>
      </c>
      <c r="K446" s="887" t="s">
        <v>6083</v>
      </c>
      <c r="L446" s="887" t="s">
        <v>6083</v>
      </c>
      <c r="M446" s="887" t="s">
        <v>6083</v>
      </c>
      <c r="N446" s="887"/>
      <c r="O446" s="882"/>
      <c r="P446" s="882"/>
      <c r="Q446" s="888"/>
      <c r="R446" s="888"/>
      <c r="S446" s="882"/>
      <c r="T446" s="888"/>
      <c r="U446" s="882"/>
      <c r="V446" s="887"/>
      <c r="W446" s="888"/>
      <c r="X446" s="882"/>
      <c r="Y446" s="888"/>
      <c r="Z446" s="882"/>
      <c r="AA446" s="882"/>
      <c r="AB446" s="882">
        <v>2</v>
      </c>
      <c r="AC446" s="882"/>
      <c r="AD446" s="882"/>
      <c r="AE446" s="882"/>
      <c r="AF446" s="882"/>
      <c r="AG446" s="882"/>
      <c r="AH446" s="882"/>
      <c r="AI446" s="882"/>
      <c r="AJ446" s="882"/>
      <c r="AK446" s="882"/>
      <c r="AL446" s="889"/>
    </row>
    <row r="447" spans="1:38" s="890" customFormat="1">
      <c r="A447" s="882"/>
      <c r="B447" s="891"/>
      <c r="C447" s="882">
        <f t="shared" si="39"/>
        <v>443</v>
      </c>
      <c r="D447" s="883">
        <v>4733</v>
      </c>
      <c r="E447" s="884" t="str">
        <f>IFERROR(VLOOKUP(Table2[[#This Row],[Player No]],Table10[[No]:[Province]],2,0),"")</f>
        <v>MADVISI Akhona</v>
      </c>
      <c r="F447" s="885" t="str">
        <f>IFERROR(VLOOKUP(Table2[[#This Row],[Player No]],Table10[[No]:[Province]],3,0),"")</f>
        <v>EC</v>
      </c>
      <c r="G447" s="892">
        <v>2</v>
      </c>
      <c r="H447" s="886">
        <f>(Table2[[#This Row],[Points 2025]]/2)+SUM(Table2[[#This Row],[O1  ADMIN 2026]:[P2    CAPE TOWN OPEN 2026 ]])</f>
        <v>1</v>
      </c>
      <c r="I447" s="880">
        <f t="shared" si="38"/>
        <v>0</v>
      </c>
      <c r="J447" s="882">
        <f t="shared" si="43"/>
        <v>0</v>
      </c>
      <c r="K447" s="887" t="s">
        <v>6083</v>
      </c>
      <c r="L447" s="887" t="s">
        <v>6083</v>
      </c>
      <c r="M447" s="887" t="s">
        <v>6083</v>
      </c>
      <c r="N447" s="887"/>
      <c r="O447" s="882"/>
      <c r="P447" s="882"/>
      <c r="Q447" s="888"/>
      <c r="R447" s="888"/>
      <c r="S447" s="882"/>
      <c r="T447" s="888"/>
      <c r="U447" s="882"/>
      <c r="V447" s="887">
        <v>2</v>
      </c>
      <c r="W447" s="888"/>
      <c r="X447" s="882"/>
      <c r="Y447" s="888"/>
      <c r="Z447" s="882"/>
      <c r="AA447" s="882"/>
      <c r="AB447" s="882"/>
      <c r="AC447" s="882"/>
      <c r="AD447" s="882"/>
      <c r="AE447" s="882"/>
      <c r="AF447" s="882"/>
      <c r="AG447" s="882"/>
      <c r="AH447" s="882"/>
      <c r="AI447" s="882"/>
      <c r="AJ447" s="882"/>
      <c r="AK447" s="882"/>
      <c r="AL447" s="889"/>
    </row>
    <row r="448" spans="1:38" s="890" customFormat="1">
      <c r="A448" s="882"/>
      <c r="B448" s="891"/>
      <c r="C448" s="882">
        <f t="shared" si="39"/>
        <v>444</v>
      </c>
      <c r="D448" s="883">
        <v>4805</v>
      </c>
      <c r="E448" s="884" t="str">
        <f>IFERROR(VLOOKUP(Table2[[#This Row],[Player No]],Table10[[No]:[Province]],2,0),"")</f>
        <v xml:space="preserve">KUWAR Avesh </v>
      </c>
      <c r="F448" s="885" t="str">
        <f>IFERROR(VLOOKUP(Table2[[#This Row],[Player No]],Table10[[No]:[Province]],3,0),"")</f>
        <v>ETTA</v>
      </c>
      <c r="G448" s="892">
        <v>0</v>
      </c>
      <c r="H448" s="886">
        <f>(Table2[[#This Row],[Points 2025]]/2)+SUM(Table2[[#This Row],[O1  ADMIN 2026]:[P2    CAPE TOWN OPEN 2026 ]])</f>
        <v>1</v>
      </c>
      <c r="I448" s="880">
        <f t="shared" si="38"/>
        <v>1</v>
      </c>
      <c r="J448" s="882">
        <f t="shared" si="43"/>
        <v>0</v>
      </c>
      <c r="K448" s="887" t="s">
        <v>6083</v>
      </c>
      <c r="L448" s="887" t="s">
        <v>6083</v>
      </c>
      <c r="M448" s="887">
        <v>1</v>
      </c>
      <c r="N448" s="887"/>
      <c r="O448" s="882"/>
      <c r="P448" s="882"/>
      <c r="Q448" s="888"/>
      <c r="R448" s="888"/>
      <c r="S448" s="882"/>
      <c r="T448" s="888"/>
      <c r="U448" s="882"/>
      <c r="V448" s="887"/>
      <c r="W448" s="888"/>
      <c r="X448" s="882"/>
      <c r="Y448" s="888"/>
      <c r="Z448" s="882"/>
      <c r="AA448" s="882"/>
      <c r="AB448" s="882"/>
      <c r="AC448" s="882"/>
      <c r="AD448" s="882"/>
      <c r="AE448" s="882"/>
      <c r="AF448" s="882"/>
      <c r="AG448" s="882"/>
      <c r="AH448" s="882"/>
      <c r="AI448" s="882"/>
      <c r="AJ448" s="882"/>
      <c r="AK448" s="882"/>
      <c r="AL448" s="889"/>
    </row>
    <row r="449" spans="1:38" s="890" customFormat="1">
      <c r="A449" s="882"/>
      <c r="B449" s="891"/>
      <c r="C449" s="882">
        <f t="shared" si="39"/>
        <v>445</v>
      </c>
      <c r="D449" s="883">
        <v>4806</v>
      </c>
      <c r="E449" s="884" t="str">
        <f>IFERROR(VLOOKUP(Table2[[#This Row],[Player No]],Table10[[No]:[Province]],2,0),"")</f>
        <v>KHAN Muhammad</v>
      </c>
      <c r="F449" s="885" t="str">
        <f>IFERROR(VLOOKUP(Table2[[#This Row],[Player No]],Table10[[No]:[Province]],3,0),"")</f>
        <v>UMG</v>
      </c>
      <c r="G449" s="892">
        <v>0</v>
      </c>
      <c r="H449" s="886">
        <f>(Table2[[#This Row],[Points 2025]]/2)+SUM(Table2[[#This Row],[O1  ADMIN 2026]:[P2    CAPE TOWN OPEN 2026 ]])</f>
        <v>1</v>
      </c>
      <c r="I449" s="880">
        <f t="shared" si="38"/>
        <v>1</v>
      </c>
      <c r="J449" s="882">
        <f t="shared" si="43"/>
        <v>0</v>
      </c>
      <c r="K449" s="887" t="s">
        <v>6083</v>
      </c>
      <c r="L449" s="887" t="s">
        <v>6083</v>
      </c>
      <c r="M449" s="887">
        <v>1</v>
      </c>
      <c r="N449" s="887"/>
      <c r="O449" s="882"/>
      <c r="P449" s="882"/>
      <c r="Q449" s="888"/>
      <c r="R449" s="888"/>
      <c r="S449" s="882"/>
      <c r="T449" s="888"/>
      <c r="U449" s="882"/>
      <c r="V449" s="887"/>
      <c r="W449" s="888"/>
      <c r="X449" s="882"/>
      <c r="Y449" s="888"/>
      <c r="Z449" s="882"/>
      <c r="AA449" s="882"/>
      <c r="AB449" s="882"/>
      <c r="AC449" s="882"/>
      <c r="AD449" s="882"/>
      <c r="AE449" s="882"/>
      <c r="AF449" s="882"/>
      <c r="AG449" s="882"/>
      <c r="AH449" s="882"/>
      <c r="AI449" s="882"/>
      <c r="AJ449" s="882"/>
      <c r="AK449" s="882"/>
      <c r="AL449" s="889"/>
    </row>
    <row r="450" spans="1:38" s="890" customFormat="1">
      <c r="A450" s="882"/>
      <c r="B450" s="891"/>
      <c r="C450" s="882">
        <f t="shared" si="39"/>
        <v>446</v>
      </c>
      <c r="D450" s="883">
        <v>4807</v>
      </c>
      <c r="E450" s="884" t="str">
        <f>IFERROR(VLOOKUP(Table2[[#This Row],[Player No]],Table10[[No]:[Province]],2,0),"")</f>
        <v>NTLAKAZA Lungelo</v>
      </c>
      <c r="F450" s="885" t="str">
        <f>IFERROR(VLOOKUP(Table2[[#This Row],[Player No]],Table10[[No]:[Province]],3,0),"")</f>
        <v>ETTA</v>
      </c>
      <c r="G450" s="892">
        <v>0</v>
      </c>
      <c r="H450" s="886">
        <f>(Table2[[#This Row],[Points 2025]]/2)+SUM(Table2[[#This Row],[O1  ADMIN 2026]:[P2    CAPE TOWN OPEN 2026 ]])</f>
        <v>1</v>
      </c>
      <c r="I450" s="880">
        <f t="shared" si="38"/>
        <v>1</v>
      </c>
      <c r="J450" s="882">
        <f t="shared" si="43"/>
        <v>0</v>
      </c>
      <c r="K450" s="887" t="s">
        <v>6083</v>
      </c>
      <c r="L450" s="887" t="s">
        <v>6083</v>
      </c>
      <c r="M450" s="887">
        <v>1</v>
      </c>
      <c r="N450" s="887"/>
      <c r="O450" s="882"/>
      <c r="P450" s="882"/>
      <c r="Q450" s="888"/>
      <c r="R450" s="888"/>
      <c r="S450" s="882"/>
      <c r="T450" s="888"/>
      <c r="U450" s="882"/>
      <c r="V450" s="887"/>
      <c r="W450" s="888"/>
      <c r="X450" s="882"/>
      <c r="Y450" s="888"/>
      <c r="Z450" s="882"/>
      <c r="AA450" s="882"/>
      <c r="AB450" s="882"/>
      <c r="AC450" s="882"/>
      <c r="AD450" s="882"/>
      <c r="AE450" s="882"/>
      <c r="AF450" s="882"/>
      <c r="AG450" s="882"/>
      <c r="AH450" s="882"/>
      <c r="AI450" s="882"/>
      <c r="AJ450" s="882"/>
      <c r="AK450" s="882"/>
      <c r="AL450" s="889"/>
    </row>
    <row r="451" spans="1:38" s="890" customFormat="1">
      <c r="A451" s="882"/>
      <c r="B451" s="891"/>
      <c r="C451" s="882">
        <f t="shared" si="39"/>
        <v>447</v>
      </c>
      <c r="D451" s="883">
        <v>4808</v>
      </c>
      <c r="E451" s="884" t="str">
        <f>IFERROR(VLOOKUP(Table2[[#This Row],[Player No]],Table10[[No]:[Province]],2,0),"")</f>
        <v>NAIDOO Puven</v>
      </c>
      <c r="F451" s="885" t="str">
        <f>IFERROR(VLOOKUP(Table2[[#This Row],[Player No]],Table10[[No]:[Province]],3,0),"")</f>
        <v>ETTA</v>
      </c>
      <c r="G451" s="892">
        <v>0</v>
      </c>
      <c r="H451" s="886">
        <f>(Table2[[#This Row],[Points 2025]]/2)+SUM(Table2[[#This Row],[O1  ADMIN 2026]:[P2    CAPE TOWN OPEN 2026 ]])</f>
        <v>1</v>
      </c>
      <c r="I451" s="880">
        <f t="shared" si="38"/>
        <v>1</v>
      </c>
      <c r="J451" s="882">
        <f t="shared" si="43"/>
        <v>0</v>
      </c>
      <c r="K451" s="887" t="s">
        <v>6083</v>
      </c>
      <c r="L451" s="887" t="s">
        <v>6083</v>
      </c>
      <c r="M451" s="887">
        <v>1</v>
      </c>
      <c r="N451" s="887"/>
      <c r="O451" s="882"/>
      <c r="P451" s="882"/>
      <c r="Q451" s="888"/>
      <c r="R451" s="888"/>
      <c r="S451" s="882"/>
      <c r="T451" s="888"/>
      <c r="U451" s="882"/>
      <c r="V451" s="887"/>
      <c r="W451" s="888"/>
      <c r="X451" s="882"/>
      <c r="Y451" s="888"/>
      <c r="Z451" s="882"/>
      <c r="AA451" s="882"/>
      <c r="AB451" s="882"/>
      <c r="AC451" s="882"/>
      <c r="AD451" s="882"/>
      <c r="AE451" s="882"/>
      <c r="AF451" s="882"/>
      <c r="AG451" s="882"/>
      <c r="AH451" s="882"/>
      <c r="AI451" s="882"/>
      <c r="AJ451" s="882"/>
      <c r="AK451" s="882"/>
      <c r="AL451" s="889"/>
    </row>
    <row r="452" spans="1:38" s="890" customFormat="1">
      <c r="A452" s="1013"/>
      <c r="B452" s="1016">
        <f t="shared" ref="B452:B475" si="44">+A452-C452</f>
        <v>-448</v>
      </c>
      <c r="C452" s="882">
        <f t="shared" si="39"/>
        <v>448</v>
      </c>
      <c r="D452" s="1021">
        <v>4010</v>
      </c>
      <c r="E452" s="1025" t="str">
        <f>IFERROR(VLOOKUP(Table2[[#This Row],[Player No]],Table10[[No]:[Province]],2,0),"")</f>
        <v>RAMCHURRAN Diyaan</v>
      </c>
      <c r="F452" s="1027" t="str">
        <f>IFERROR(VLOOKUP(Table2[[#This Row],[Player No]],Table10[[No]:[Province]],3,0),"")</f>
        <v>UMG</v>
      </c>
      <c r="G452" s="1029">
        <v>0</v>
      </c>
      <c r="H452" s="1031">
        <f>(Table2[[#This Row],[Points 2025]]/2)+SUM(Table2[[#This Row],[O1  ADMIN 2026]:[P2    CAPE TOWN OPEN 2026 ]])</f>
        <v>1</v>
      </c>
      <c r="I452" s="1033">
        <f t="shared" si="38"/>
        <v>1</v>
      </c>
      <c r="J452" s="1013">
        <f t="shared" ref="J452:J465" si="45">COUNTIF(O452:AB452,"&lt;0")</f>
        <v>0</v>
      </c>
      <c r="K452" s="1034" t="str">
        <f>IFERROR(VALUE(IF(Table2[[#This Row],[Player No]]="","",IFERROR(VLOOKUP(Table2[[#This Row],[Player No]],[3]Men!$D$2:$E$48,2,FALSE)&amp;"",""))),"")</f>
        <v/>
      </c>
      <c r="L452" s="1035">
        <f>IFERROR(VALUE(IF(Table2[[#This Row],[Player No]]="","",IFERROR(VLOOKUP(Table2[[#This Row],[Player No]],[4]Men!$Z$14:$AB$62,2,FALSE)&amp;"",""))),"")</f>
        <v>1</v>
      </c>
      <c r="M452" s="1035" t="str">
        <f>IF(Table2[[#This Row],[Player No]]="","",IFERROR(VLOOKUP(Table2[[#This Row],[Player No]],[2]Men!$Z$14:$AB$96,2,FALSE)&amp;"",""))</f>
        <v/>
      </c>
      <c r="N452" s="1035"/>
      <c r="O452" s="1037"/>
      <c r="P452" s="1037"/>
      <c r="Q452" s="1038"/>
      <c r="R452" s="1038"/>
      <c r="S452" s="1037"/>
      <c r="T452" s="1038"/>
      <c r="U452" s="1037"/>
      <c r="V452" s="1035"/>
      <c r="W452" s="1038"/>
      <c r="X452" s="1037"/>
      <c r="Y452" s="1038"/>
      <c r="Z452" s="1037"/>
      <c r="AA452" s="1037"/>
      <c r="AB452" s="1037"/>
      <c r="AC452" s="1037"/>
      <c r="AD452" s="1037"/>
      <c r="AE452" s="1037"/>
      <c r="AF452" s="1037"/>
      <c r="AG452" s="1037"/>
      <c r="AH452" s="1037"/>
      <c r="AI452" s="1037"/>
      <c r="AJ452" s="1037"/>
      <c r="AK452" s="1037"/>
      <c r="AL452" s="889"/>
    </row>
    <row r="453" spans="1:38" s="890" customFormat="1">
      <c r="A453" s="1013"/>
      <c r="B453" s="1016">
        <f t="shared" si="44"/>
        <v>-449</v>
      </c>
      <c r="C453" s="882">
        <f t="shared" si="39"/>
        <v>449</v>
      </c>
      <c r="D453" s="1021">
        <v>3054</v>
      </c>
      <c r="E453" s="1025" t="str">
        <f>IFERROR(VLOOKUP(Table2[[#This Row],[Player No]],Table10[[No]:[Province]],2,0),"")</f>
        <v>KHAWULA Asanda</v>
      </c>
      <c r="F453" s="1027" t="str">
        <f>IFERROR(VLOOKUP(Table2[[#This Row],[Player No]],Table10[[No]:[Province]],3,0),"")</f>
        <v>ZL</v>
      </c>
      <c r="G453" s="1029">
        <v>0</v>
      </c>
      <c r="H453" s="1031">
        <f>(Table2[[#This Row],[Points 2025]]/2)+SUM(Table2[[#This Row],[O1  ADMIN 2026]:[P2    CAPE TOWN OPEN 2026 ]])</f>
        <v>1</v>
      </c>
      <c r="I453" s="1033">
        <f t="shared" ref="I453:I516" si="46">COUNTIF(K453:N453,"&gt;0")</f>
        <v>1</v>
      </c>
      <c r="J453" s="1013">
        <f t="shared" si="45"/>
        <v>0</v>
      </c>
      <c r="K453" s="1034" t="str">
        <f>IFERROR(VALUE(IF(Table2[[#This Row],[Player No]]="","",IFERROR(VLOOKUP(Table2[[#This Row],[Player No]],[3]Men!$D$2:$E$48,2,FALSE)&amp;"",""))),"")</f>
        <v/>
      </c>
      <c r="L453" s="1035">
        <f>IFERROR(VALUE(IF(Table2[[#This Row],[Player No]]="","",IFERROR(VLOOKUP(Table2[[#This Row],[Player No]],[4]Men!$Z$14:$AB$62,2,FALSE)&amp;"",""))),"")</f>
        <v>1</v>
      </c>
      <c r="M453" s="1035" t="str">
        <f>IF(Table2[[#This Row],[Player No]]="","",IFERROR(VLOOKUP(Table2[[#This Row],[Player No]],[2]Men!$Z$14:$AB$96,2,FALSE)&amp;"",""))</f>
        <v/>
      </c>
      <c r="N453" s="1035"/>
      <c r="O453" s="1037"/>
      <c r="P453" s="1037"/>
      <c r="Q453" s="1038"/>
      <c r="R453" s="1038"/>
      <c r="S453" s="1037"/>
      <c r="T453" s="1038"/>
      <c r="U453" s="1037"/>
      <c r="V453" s="1035"/>
      <c r="W453" s="1038"/>
      <c r="X453" s="1037"/>
      <c r="Y453" s="1038"/>
      <c r="Z453" s="1037"/>
      <c r="AA453" s="1037"/>
      <c r="AB453" s="1037"/>
      <c r="AC453" s="1037"/>
      <c r="AD453" s="1037"/>
      <c r="AE453" s="1037"/>
      <c r="AF453" s="1037"/>
      <c r="AG453" s="1037"/>
      <c r="AH453" s="1037"/>
      <c r="AI453" s="1037"/>
      <c r="AJ453" s="1037"/>
      <c r="AK453" s="1037"/>
      <c r="AL453" s="889"/>
    </row>
    <row r="454" spans="1:38" s="890" customFormat="1">
      <c r="A454" s="1013"/>
      <c r="B454" s="1016">
        <f t="shared" si="44"/>
        <v>-450</v>
      </c>
      <c r="C454" s="882">
        <f t="shared" ref="C454:C517" si="47">C453+1</f>
        <v>450</v>
      </c>
      <c r="D454" s="1021">
        <v>4242</v>
      </c>
      <c r="E454" s="1025" t="str">
        <f>IFERROR(VLOOKUP(Table2[[#This Row],[Player No]],Table10[[No]:[Province]],2,0),"")</f>
        <v>INCE Denver</v>
      </c>
      <c r="F454" s="1027" t="str">
        <f>IFERROR(VLOOKUP(Table2[[#This Row],[Player No]],Table10[[No]:[Province]],3,0),"")</f>
        <v>UMG</v>
      </c>
      <c r="G454" s="1029">
        <v>0</v>
      </c>
      <c r="H454" s="1031">
        <f>(Table2[[#This Row],[Points 2025]]/2)+SUM(Table2[[#This Row],[O1  ADMIN 2026]:[P2    CAPE TOWN OPEN 2026 ]])</f>
        <v>1</v>
      </c>
      <c r="I454" s="1033">
        <f t="shared" si="46"/>
        <v>1</v>
      </c>
      <c r="J454" s="1013">
        <f t="shared" si="45"/>
        <v>0</v>
      </c>
      <c r="K454" s="1034" t="str">
        <f>IFERROR(VALUE(IF(Table2[[#This Row],[Player No]]="","",IFERROR(VLOOKUP(Table2[[#This Row],[Player No]],[3]Men!$D$2:$E$48,2,FALSE)&amp;"",""))),"")</f>
        <v/>
      </c>
      <c r="L454" s="1035">
        <f>IFERROR(VALUE(IF(Table2[[#This Row],[Player No]]="","",IFERROR(VLOOKUP(Table2[[#This Row],[Player No]],[4]Men!$Z$14:$AB$62,2,FALSE)&amp;"",""))),"")</f>
        <v>1</v>
      </c>
      <c r="M454" s="1035" t="str">
        <f>IF(Table2[[#This Row],[Player No]]="","",IFERROR(VLOOKUP(Table2[[#This Row],[Player No]],[2]Men!$Z$14:$AB$96,2,FALSE)&amp;"",""))</f>
        <v>1</v>
      </c>
      <c r="N454" s="1035"/>
      <c r="O454" s="1037"/>
      <c r="P454" s="1037"/>
      <c r="Q454" s="1038"/>
      <c r="R454" s="1038"/>
      <c r="S454" s="1037"/>
      <c r="T454" s="1038"/>
      <c r="U454" s="1037"/>
      <c r="V454" s="1035"/>
      <c r="W454" s="1038"/>
      <c r="X454" s="1037"/>
      <c r="Y454" s="1038"/>
      <c r="Z454" s="1037"/>
      <c r="AA454" s="1037"/>
      <c r="AB454" s="1037"/>
      <c r="AC454" s="1037"/>
      <c r="AD454" s="1037"/>
      <c r="AE454" s="1037"/>
      <c r="AF454" s="1037"/>
      <c r="AG454" s="1037"/>
      <c r="AH454" s="1037"/>
      <c r="AI454" s="1037"/>
      <c r="AJ454" s="1037"/>
      <c r="AK454" s="1037"/>
      <c r="AL454" s="889"/>
    </row>
    <row r="455" spans="1:38" s="890" customFormat="1">
      <c r="A455" s="1013"/>
      <c r="B455" s="1016">
        <f t="shared" si="44"/>
        <v>-451</v>
      </c>
      <c r="C455" s="882">
        <f t="shared" si="47"/>
        <v>451</v>
      </c>
      <c r="D455" s="1021">
        <v>4381</v>
      </c>
      <c r="E455" s="1025" t="str">
        <f>IFERROR(VLOOKUP(Table2[[#This Row],[Player No]],Table10[[No]:[Province]],2,0),"")</f>
        <v>SEWLALL Jatin</v>
      </c>
      <c r="F455" s="1027" t="str">
        <f>IFERROR(VLOOKUP(Table2[[#This Row],[Player No]],Table10[[No]:[Province]],3,0),"")</f>
        <v>UMG</v>
      </c>
      <c r="G455" s="1029">
        <v>0</v>
      </c>
      <c r="H455" s="1031">
        <f>(Table2[[#This Row],[Points 2025]]/2)+SUM(Table2[[#This Row],[O1  ADMIN 2026]:[P2    CAPE TOWN OPEN 2026 ]])</f>
        <v>1</v>
      </c>
      <c r="I455" s="1033">
        <f t="shared" si="46"/>
        <v>1</v>
      </c>
      <c r="J455" s="1013">
        <f t="shared" si="45"/>
        <v>0</v>
      </c>
      <c r="K455" s="1034" t="str">
        <f>IFERROR(VALUE(IF(Table2[[#This Row],[Player No]]="","",IFERROR(VLOOKUP(Table2[[#This Row],[Player No]],[3]Men!$D$2:$E$48,2,FALSE)&amp;"",""))),"")</f>
        <v/>
      </c>
      <c r="L455" s="1035">
        <f>IFERROR(VALUE(IF(Table2[[#This Row],[Player No]]="","",IFERROR(VLOOKUP(Table2[[#This Row],[Player No]],[4]Men!$Z$14:$AB$62,2,FALSE)&amp;"",""))),"")</f>
        <v>1</v>
      </c>
      <c r="M455" s="1035" t="str">
        <f>IF(Table2[[#This Row],[Player No]]="","",IFERROR(VLOOKUP(Table2[[#This Row],[Player No]],[2]Men!$Z$14:$AB$96,2,FALSE)&amp;"",""))</f>
        <v>1</v>
      </c>
      <c r="N455" s="1035"/>
      <c r="O455" s="1037"/>
      <c r="P455" s="1037"/>
      <c r="Q455" s="1038"/>
      <c r="R455" s="1038"/>
      <c r="S455" s="1037"/>
      <c r="T455" s="1038"/>
      <c r="U455" s="1037"/>
      <c r="V455" s="1035"/>
      <c r="W455" s="1038"/>
      <c r="X455" s="1037"/>
      <c r="Y455" s="1038"/>
      <c r="Z455" s="1037"/>
      <c r="AA455" s="1037"/>
      <c r="AB455" s="1037"/>
      <c r="AC455" s="1037"/>
      <c r="AD455" s="1037"/>
      <c r="AE455" s="1037"/>
      <c r="AF455" s="1037"/>
      <c r="AG455" s="1037"/>
      <c r="AH455" s="1037"/>
      <c r="AI455" s="1037"/>
      <c r="AJ455" s="1037"/>
      <c r="AK455" s="1037"/>
      <c r="AL455" s="889"/>
    </row>
    <row r="456" spans="1:38" s="890" customFormat="1">
      <c r="A456" s="1013"/>
      <c r="B456" s="1016">
        <f t="shared" si="44"/>
        <v>-452</v>
      </c>
      <c r="C456" s="882">
        <f t="shared" si="47"/>
        <v>452</v>
      </c>
      <c r="D456" s="1021">
        <v>4007</v>
      </c>
      <c r="E456" s="1025" t="str">
        <f>IFERROR(VLOOKUP(Table2[[#This Row],[Player No]],Table10[[No]:[Province]],2,0),"")</f>
        <v>CHETTY Saerin</v>
      </c>
      <c r="F456" s="1027" t="str">
        <f>IFERROR(VLOOKUP(Table2[[#This Row],[Player No]],Table10[[No]:[Province]],3,0),"")</f>
        <v>UMG</v>
      </c>
      <c r="G456" s="1029">
        <v>0</v>
      </c>
      <c r="H456" s="1031">
        <f>(Table2[[#This Row],[Points 2025]]/2)+SUM(Table2[[#This Row],[O1  ADMIN 2026]:[P2    CAPE TOWN OPEN 2026 ]])</f>
        <v>1</v>
      </c>
      <c r="I456" s="1033">
        <f t="shared" si="46"/>
        <v>1</v>
      </c>
      <c r="J456" s="1013">
        <f t="shared" si="45"/>
        <v>0</v>
      </c>
      <c r="K456" s="1034" t="str">
        <f>IFERROR(VALUE(IF(Table2[[#This Row],[Player No]]="","",IFERROR(VLOOKUP(Table2[[#This Row],[Player No]],[3]Men!$D$2:$E$48,2,FALSE)&amp;"",""))),"")</f>
        <v/>
      </c>
      <c r="L456" s="1035">
        <f>IFERROR(VALUE(IF(Table2[[#This Row],[Player No]]="","",IFERROR(VLOOKUP(Table2[[#This Row],[Player No]],[4]Men!$Z$14:$AB$62,2,FALSE)&amp;"",""))),"")</f>
        <v>1</v>
      </c>
      <c r="M456" s="1035" t="str">
        <f>IF(Table2[[#This Row],[Player No]]="","",IFERROR(VLOOKUP(Table2[[#This Row],[Player No]],[2]Men!$Z$14:$AB$96,2,FALSE)&amp;"",""))</f>
        <v/>
      </c>
      <c r="N456" s="1035"/>
      <c r="O456" s="1037"/>
      <c r="P456" s="1037"/>
      <c r="Q456" s="1038"/>
      <c r="R456" s="1038"/>
      <c r="S456" s="1037"/>
      <c r="T456" s="1038"/>
      <c r="U456" s="1037"/>
      <c r="V456" s="1035"/>
      <c r="W456" s="1038"/>
      <c r="X456" s="1037"/>
      <c r="Y456" s="1038"/>
      <c r="Z456" s="1037"/>
      <c r="AA456" s="1037"/>
      <c r="AB456" s="1037"/>
      <c r="AC456" s="1037"/>
      <c r="AD456" s="1037"/>
      <c r="AE456" s="1037"/>
      <c r="AF456" s="1037"/>
      <c r="AG456" s="1037"/>
      <c r="AH456" s="1037"/>
      <c r="AI456" s="1037"/>
      <c r="AJ456" s="1037"/>
      <c r="AK456" s="1037"/>
      <c r="AL456" s="889"/>
    </row>
    <row r="457" spans="1:38" s="890" customFormat="1">
      <c r="A457" s="1013"/>
      <c r="B457" s="1016">
        <f t="shared" si="44"/>
        <v>-453</v>
      </c>
      <c r="C457" s="882">
        <f t="shared" si="47"/>
        <v>453</v>
      </c>
      <c r="D457" s="1021">
        <v>4810</v>
      </c>
      <c r="E457" s="1025" t="str">
        <f>IFERROR(VLOOKUP(Table2[[#This Row],[Player No]],Table10[[No]:[Province]],2,0),"")</f>
        <v>NAIDOO Justin</v>
      </c>
      <c r="F457" s="1027" t="str">
        <f>IFERROR(VLOOKUP(Table2[[#This Row],[Player No]],Table10[[No]:[Province]],3,0),"")</f>
        <v>ETTA</v>
      </c>
      <c r="G457" s="1029">
        <v>0</v>
      </c>
      <c r="H457" s="1031">
        <f>(Table2[[#This Row],[Points 2025]]/2)+SUM(Table2[[#This Row],[O1  ADMIN 2026]:[P2    CAPE TOWN OPEN 2026 ]])</f>
        <v>1</v>
      </c>
      <c r="I457" s="1033">
        <f t="shared" si="46"/>
        <v>1</v>
      </c>
      <c r="J457" s="1013">
        <f t="shared" si="45"/>
        <v>0</v>
      </c>
      <c r="K457" s="1034" t="str">
        <f>IFERROR(VALUE(IF(Table2[[#This Row],[Player No]]="","",IFERROR(VLOOKUP(Table2[[#This Row],[Player No]],[3]Men!$D$2:$E$48,2,FALSE)&amp;"",""))),"")</f>
        <v/>
      </c>
      <c r="L457" s="1035">
        <f>IFERROR(VALUE(IF(Table2[[#This Row],[Player No]]="","",IFERROR(VLOOKUP(Table2[[#This Row],[Player No]],[4]Men!$Z$14:$AB$62,2,FALSE)&amp;"",""))),"")</f>
        <v>1</v>
      </c>
      <c r="M457" s="1035" t="str">
        <f>IF(Table2[[#This Row],[Player No]]="","",IFERROR(VLOOKUP(Table2[[#This Row],[Player No]],[2]Men!$Z$14:$AB$96,2,FALSE)&amp;"",""))</f>
        <v/>
      </c>
      <c r="N457" s="1035"/>
      <c r="O457" s="1037"/>
      <c r="P457" s="1037"/>
      <c r="Q457" s="1038"/>
      <c r="R457" s="1038"/>
      <c r="S457" s="1037"/>
      <c r="T457" s="1038"/>
      <c r="U457" s="1037"/>
      <c r="V457" s="1035"/>
      <c r="W457" s="1038"/>
      <c r="X457" s="1037"/>
      <c r="Y457" s="1038"/>
      <c r="Z457" s="1037"/>
      <c r="AA457" s="1037"/>
      <c r="AB457" s="1037"/>
      <c r="AC457" s="1037"/>
      <c r="AD457" s="1037"/>
      <c r="AE457" s="1037"/>
      <c r="AF457" s="1037"/>
      <c r="AG457" s="1037"/>
      <c r="AH457" s="1037"/>
      <c r="AI457" s="1037"/>
      <c r="AJ457" s="1037"/>
      <c r="AK457" s="1037"/>
      <c r="AL457" s="889"/>
    </row>
    <row r="458" spans="1:38" s="890" customFormat="1">
      <c r="A458" s="1011"/>
      <c r="B458" s="1014">
        <f t="shared" si="44"/>
        <v>-454</v>
      </c>
      <c r="C458" s="882">
        <f t="shared" si="47"/>
        <v>454</v>
      </c>
      <c r="D458" s="1018">
        <v>4822</v>
      </c>
      <c r="E458" s="884" t="str">
        <f>IFERROR(VLOOKUP(Table2[[#This Row],[Player No]],Table10[[No]:[Province]],2,0),"")</f>
        <v>THULSIE Tuhin</v>
      </c>
      <c r="F458" s="885" t="str">
        <f>IFERROR(VLOOKUP(Table2[[#This Row],[Player No]],Table10[[No]:[Province]],3,0),"")</f>
        <v>JTTA</v>
      </c>
      <c r="G458" s="1029">
        <v>0</v>
      </c>
      <c r="H458" s="886">
        <f>(Table2[[#This Row],[Points 2025]]/2)+SUM(Table2[[#This Row],[O1  ADMIN 2026]:[P2    CAPE TOWN OPEN 2026 ]])</f>
        <v>1</v>
      </c>
      <c r="I458" s="1032">
        <f t="shared" si="46"/>
        <v>1</v>
      </c>
      <c r="J458" s="1011">
        <f t="shared" si="45"/>
        <v>0</v>
      </c>
      <c r="K458" s="1006">
        <f>IFERROR(VALUE(IF(Table2[[#This Row],[Player No]]="","",IFERROR(VLOOKUP(Table2[[#This Row],[Player No]],[3]Men!$D$2:$E$48,2,FALSE)&amp;"",""))),"")</f>
        <v>1</v>
      </c>
      <c r="L458" s="887" t="str">
        <f>IFERROR(VALUE(IF(Table2[[#This Row],[Player No]]="","",IFERROR(VLOOKUP(Table2[[#This Row],[Player No]],[4]Men!$Z$14:$AB$62,2,FALSE)&amp;"",""))),"")</f>
        <v/>
      </c>
      <c r="M458" s="887" t="str">
        <f>IF(Table2[[#This Row],[Player No]]="","",IFERROR(VLOOKUP(Table2[[#This Row],[Player No]],[2]Men!$Z$14:$AB$96,2,FALSE)&amp;"",""))</f>
        <v/>
      </c>
      <c r="N458" s="887"/>
      <c r="O458" s="882"/>
      <c r="P458" s="882"/>
      <c r="Q458" s="888"/>
      <c r="R458" s="888"/>
      <c r="S458" s="882"/>
      <c r="T458" s="888"/>
      <c r="U458" s="882"/>
      <c r="V458" s="887"/>
      <c r="W458" s="888"/>
      <c r="X458" s="882"/>
      <c r="Y458" s="888"/>
      <c r="Z458" s="882"/>
      <c r="AA458" s="882"/>
      <c r="AB458" s="882"/>
      <c r="AC458" s="882"/>
      <c r="AD458" s="882"/>
      <c r="AE458" s="882"/>
      <c r="AF458" s="882"/>
      <c r="AG458" s="882"/>
      <c r="AH458" s="882"/>
      <c r="AI458" s="882"/>
      <c r="AJ458" s="882"/>
      <c r="AK458" s="882"/>
      <c r="AL458" s="889"/>
    </row>
    <row r="459" spans="1:38" s="890" customFormat="1">
      <c r="A459" s="1011"/>
      <c r="B459" s="1014">
        <f t="shared" si="44"/>
        <v>-455</v>
      </c>
      <c r="C459" s="882">
        <f t="shared" si="47"/>
        <v>455</v>
      </c>
      <c r="D459" s="1018">
        <v>4496</v>
      </c>
      <c r="E459" s="884" t="str">
        <f>IFERROR(VLOOKUP(Table2[[#This Row],[Player No]],Table10[[No]:[Province]],2,0),"")</f>
        <v>Franco VAN STADEN</v>
      </c>
      <c r="F459" s="885" t="str">
        <f>IFERROR(VLOOKUP(Table2[[#This Row],[Player No]],Table10[[No]:[Province]],3,0),"")</f>
        <v>GN</v>
      </c>
      <c r="G459" s="1029">
        <v>0</v>
      </c>
      <c r="H459" s="886">
        <f>(Table2[[#This Row],[Points 2025]]/2)+SUM(Table2[[#This Row],[O1  ADMIN 2026]:[P2    CAPE TOWN OPEN 2026 ]])</f>
        <v>1</v>
      </c>
      <c r="I459" s="1032">
        <f t="shared" si="46"/>
        <v>1</v>
      </c>
      <c r="J459" s="1011">
        <f t="shared" si="45"/>
        <v>0</v>
      </c>
      <c r="K459" s="1006">
        <f>IFERROR(VALUE(IF(Table2[[#This Row],[Player No]]="","",IFERROR(VLOOKUP(Table2[[#This Row],[Player No]],[3]Men!$D$2:$E$48,2,FALSE)&amp;"",""))),"")</f>
        <v>1</v>
      </c>
      <c r="L459" s="887" t="str">
        <f>IFERROR(VALUE(IF(Table2[[#This Row],[Player No]]="","",IFERROR(VLOOKUP(Table2[[#This Row],[Player No]],[4]Men!$Z$14:$AB$62,2,FALSE)&amp;"",""))),"")</f>
        <v/>
      </c>
      <c r="M459" s="887" t="str">
        <f>IF(Table2[[#This Row],[Player No]]="","",IFERROR(VLOOKUP(Table2[[#This Row],[Player No]],[2]Men!$Z$14:$AB$96,2,FALSE)&amp;"",""))</f>
        <v/>
      </c>
      <c r="N459" s="887"/>
      <c r="O459" s="882"/>
      <c r="P459" s="882"/>
      <c r="Q459" s="888"/>
      <c r="R459" s="888"/>
      <c r="S459" s="882"/>
      <c r="T459" s="888"/>
      <c r="U459" s="882"/>
      <c r="V459" s="887"/>
      <c r="W459" s="888"/>
      <c r="X459" s="882"/>
      <c r="Y459" s="888"/>
      <c r="Z459" s="882"/>
      <c r="AA459" s="882"/>
      <c r="AB459" s="882"/>
      <c r="AC459" s="882"/>
      <c r="AD459" s="882"/>
      <c r="AE459" s="882"/>
      <c r="AF459" s="882"/>
      <c r="AG459" s="882"/>
      <c r="AH459" s="882"/>
      <c r="AI459" s="882"/>
      <c r="AJ459" s="882"/>
      <c r="AK459" s="882"/>
      <c r="AL459" s="889"/>
    </row>
    <row r="460" spans="1:38" s="890" customFormat="1">
      <c r="A460" s="1011"/>
      <c r="B460" s="1014">
        <f t="shared" si="44"/>
        <v>-456</v>
      </c>
      <c r="C460" s="882">
        <f t="shared" si="47"/>
        <v>456</v>
      </c>
      <c r="D460" s="1018">
        <v>4823</v>
      </c>
      <c r="E460" s="884" t="str">
        <f>IFERROR(VLOOKUP(Table2[[#This Row],[Player No]],Table10[[No]:[Province]],2,0),"")</f>
        <v>KHAN Talhah</v>
      </c>
      <c r="F460" s="885" t="str">
        <f>IFERROR(VLOOKUP(Table2[[#This Row],[Player No]],Table10[[No]:[Province]],3,0),"")</f>
        <v>JTTA</v>
      </c>
      <c r="G460" s="1029">
        <v>0</v>
      </c>
      <c r="H460" s="886">
        <f>(Table2[[#This Row],[Points 2025]]/2)+SUM(Table2[[#This Row],[O1  ADMIN 2026]:[P2    CAPE TOWN OPEN 2026 ]])</f>
        <v>1</v>
      </c>
      <c r="I460" s="1032">
        <f t="shared" si="46"/>
        <v>1</v>
      </c>
      <c r="J460" s="1011">
        <f t="shared" si="45"/>
        <v>0</v>
      </c>
      <c r="K460" s="1006">
        <f>IFERROR(VALUE(IF(Table2[[#This Row],[Player No]]="","",IFERROR(VLOOKUP(Table2[[#This Row],[Player No]],[3]Men!$D$2:$E$48,2,FALSE)&amp;"",""))),"")</f>
        <v>1</v>
      </c>
      <c r="L460" s="887" t="str">
        <f>IFERROR(VALUE(IF(Table2[[#This Row],[Player No]]="","",IFERROR(VLOOKUP(Table2[[#This Row],[Player No]],[4]Men!$Z$14:$AB$62,2,FALSE)&amp;"",""))),"")</f>
        <v/>
      </c>
      <c r="M460" s="887" t="str">
        <f>IF(Table2[[#This Row],[Player No]]="","",IFERROR(VLOOKUP(Table2[[#This Row],[Player No]],[2]Men!$Z$14:$AB$96,2,FALSE)&amp;"",""))</f>
        <v/>
      </c>
      <c r="N460" s="887"/>
      <c r="O460" s="882"/>
      <c r="P460" s="882"/>
      <c r="Q460" s="888"/>
      <c r="R460" s="888"/>
      <c r="S460" s="882"/>
      <c r="T460" s="888"/>
      <c r="U460" s="882"/>
      <c r="V460" s="887"/>
      <c r="W460" s="888"/>
      <c r="X460" s="882"/>
      <c r="Y460" s="888"/>
      <c r="Z460" s="882"/>
      <c r="AA460" s="882"/>
      <c r="AB460" s="882"/>
      <c r="AC460" s="882"/>
      <c r="AD460" s="882"/>
      <c r="AE460" s="882"/>
      <c r="AF460" s="882"/>
      <c r="AG460" s="882"/>
      <c r="AH460" s="882"/>
      <c r="AI460" s="882"/>
      <c r="AJ460" s="882"/>
      <c r="AK460" s="882"/>
      <c r="AL460" s="889"/>
    </row>
    <row r="461" spans="1:38" s="890" customFormat="1">
      <c r="A461" s="1011"/>
      <c r="B461" s="1014">
        <f t="shared" si="44"/>
        <v>-457</v>
      </c>
      <c r="C461" s="882">
        <f t="shared" si="47"/>
        <v>457</v>
      </c>
      <c r="D461" s="1018">
        <v>4074</v>
      </c>
      <c r="E461" s="884" t="str">
        <f>IFERROR(VLOOKUP(Table2[[#This Row],[Player No]],Table10[[No]:[Province]],2,0),"")</f>
        <v>KHAN Saad</v>
      </c>
      <c r="F461" s="885" t="str">
        <f>IFERROR(VLOOKUP(Table2[[#This Row],[Player No]],Table10[[No]:[Province]],3,0),"")</f>
        <v>JTTA</v>
      </c>
      <c r="G461" s="1029">
        <v>0</v>
      </c>
      <c r="H461" s="886">
        <f>(Table2[[#This Row],[Points 2025]]/2)+SUM(Table2[[#This Row],[O1  ADMIN 2026]:[P2    CAPE TOWN OPEN 2026 ]])</f>
        <v>1</v>
      </c>
      <c r="I461" s="1032">
        <f t="shared" si="46"/>
        <v>1</v>
      </c>
      <c r="J461" s="1011">
        <f t="shared" si="45"/>
        <v>0</v>
      </c>
      <c r="K461" s="1006">
        <f>IFERROR(VALUE(IF(Table2[[#This Row],[Player No]]="","",IFERROR(VLOOKUP(Table2[[#This Row],[Player No]],[3]Men!$D$2:$E$48,2,FALSE)&amp;"",""))),"")</f>
        <v>1</v>
      </c>
      <c r="L461" s="887" t="str">
        <f>IFERROR(VALUE(IF(Table2[[#This Row],[Player No]]="","",IFERROR(VLOOKUP(Table2[[#This Row],[Player No]],[4]Men!$Z$14:$AB$62,2,FALSE)&amp;"",""))),"")</f>
        <v/>
      </c>
      <c r="M461" s="887" t="str">
        <f>IF(Table2[[#This Row],[Player No]]="","",IFERROR(VLOOKUP(Table2[[#This Row],[Player No]],[2]Men!$Z$14:$AB$96,2,FALSE)&amp;"",""))</f>
        <v/>
      </c>
      <c r="N461" s="887"/>
      <c r="O461" s="882"/>
      <c r="P461" s="882"/>
      <c r="Q461" s="888"/>
      <c r="R461" s="888"/>
      <c r="S461" s="882"/>
      <c r="T461" s="888"/>
      <c r="U461" s="882"/>
      <c r="V461" s="887"/>
      <c r="W461" s="888"/>
      <c r="X461" s="882"/>
      <c r="Y461" s="888"/>
      <c r="Z461" s="882"/>
      <c r="AA461" s="882"/>
      <c r="AB461" s="882"/>
      <c r="AC461" s="882"/>
      <c r="AD461" s="882"/>
      <c r="AE461" s="882"/>
      <c r="AF461" s="882"/>
      <c r="AG461" s="882"/>
      <c r="AH461" s="882"/>
      <c r="AI461" s="882"/>
      <c r="AJ461" s="882"/>
      <c r="AK461" s="882"/>
      <c r="AL461" s="889"/>
    </row>
    <row r="462" spans="1:38" s="890" customFormat="1">
      <c r="A462" s="1011"/>
      <c r="B462" s="1014">
        <f t="shared" si="44"/>
        <v>-458</v>
      </c>
      <c r="C462" s="882">
        <f t="shared" si="47"/>
        <v>458</v>
      </c>
      <c r="D462" s="1018">
        <v>4824</v>
      </c>
      <c r="E462" s="884" t="str">
        <f>IFERROR(VLOOKUP(Table2[[#This Row],[Player No]],Table10[[No]:[Province]],2,0),"")</f>
        <v>MALAN Gys</v>
      </c>
      <c r="F462" s="885" t="str">
        <f>IFERROR(VLOOKUP(Table2[[#This Row],[Player No]],Table10[[No]:[Province]],3,0),"")</f>
        <v>GN</v>
      </c>
      <c r="G462" s="1029">
        <v>0</v>
      </c>
      <c r="H462" s="886">
        <f>(Table2[[#This Row],[Points 2025]]/2)+SUM(Table2[[#This Row],[O1  ADMIN 2026]:[P2    CAPE TOWN OPEN 2026 ]])</f>
        <v>1</v>
      </c>
      <c r="I462" s="1032">
        <f t="shared" si="46"/>
        <v>1</v>
      </c>
      <c r="J462" s="1011">
        <f t="shared" si="45"/>
        <v>0</v>
      </c>
      <c r="K462" s="1006">
        <f>IFERROR(VALUE(IF(Table2[[#This Row],[Player No]]="","",IFERROR(VLOOKUP(Table2[[#This Row],[Player No]],[3]Men!$D$2:$E$48,2,FALSE)&amp;"",""))),"")</f>
        <v>1</v>
      </c>
      <c r="L462" s="887" t="str">
        <f>IFERROR(VALUE(IF(Table2[[#This Row],[Player No]]="","",IFERROR(VLOOKUP(Table2[[#This Row],[Player No]],[4]Men!$Z$14:$AB$62,2,FALSE)&amp;"",""))),"")</f>
        <v/>
      </c>
      <c r="M462" s="887" t="str">
        <f>IF(Table2[[#This Row],[Player No]]="","",IFERROR(VLOOKUP(Table2[[#This Row],[Player No]],[2]Men!$Z$14:$AB$96,2,FALSE)&amp;"",""))</f>
        <v/>
      </c>
      <c r="N462" s="887"/>
      <c r="O462" s="882"/>
      <c r="P462" s="882"/>
      <c r="Q462" s="888"/>
      <c r="R462" s="888"/>
      <c r="S462" s="882"/>
      <c r="T462" s="888"/>
      <c r="U462" s="882"/>
      <c r="V462" s="887"/>
      <c r="W462" s="888"/>
      <c r="X462" s="882"/>
      <c r="Y462" s="888"/>
      <c r="Z462" s="882"/>
      <c r="AA462" s="882"/>
      <c r="AB462" s="882"/>
      <c r="AC462" s="882"/>
      <c r="AD462" s="882"/>
      <c r="AE462" s="882"/>
      <c r="AF462" s="882"/>
      <c r="AG462" s="882"/>
      <c r="AH462" s="882"/>
      <c r="AI462" s="882"/>
      <c r="AJ462" s="882"/>
      <c r="AK462" s="882"/>
      <c r="AL462" s="889"/>
    </row>
    <row r="463" spans="1:38" s="890" customFormat="1">
      <c r="A463" s="1011"/>
      <c r="B463" s="1014">
        <f t="shared" si="44"/>
        <v>-459</v>
      </c>
      <c r="C463" s="882">
        <f t="shared" si="47"/>
        <v>459</v>
      </c>
      <c r="D463" s="1018">
        <v>2862</v>
      </c>
      <c r="E463" s="884" t="str">
        <f>IFERROR(VLOOKUP(Table2[[#This Row],[Player No]],Table10[[No]:[Province]],2,0),"")</f>
        <v>FUNDA Luzuko</v>
      </c>
      <c r="F463" s="885" t="str">
        <f>IFERROR(VLOOKUP(Table2[[#This Row],[Player No]],Table10[[No]:[Province]],3,0),"")</f>
        <v>EC</v>
      </c>
      <c r="G463" s="1029">
        <v>0</v>
      </c>
      <c r="H463" s="886">
        <f>(Table2[[#This Row],[Points 2025]]/2)+SUM(Table2[[#This Row],[O1  ADMIN 2026]:[P2    CAPE TOWN OPEN 2026 ]])</f>
        <v>1</v>
      </c>
      <c r="I463" s="1032">
        <f t="shared" si="46"/>
        <v>1</v>
      </c>
      <c r="J463" s="1011">
        <f t="shared" si="45"/>
        <v>0</v>
      </c>
      <c r="K463" s="1006">
        <f>IFERROR(VALUE(IF(Table2[[#This Row],[Player No]]="","",IFERROR(VLOOKUP(Table2[[#This Row],[Player No]],[3]Men!$D$2:$E$48,2,FALSE)&amp;"",""))),"")</f>
        <v>1</v>
      </c>
      <c r="L463" s="887" t="str">
        <f>IFERROR(VALUE(IF(Table2[[#This Row],[Player No]]="","",IFERROR(VLOOKUP(Table2[[#This Row],[Player No]],[4]Men!$Z$14:$AB$62,2,FALSE)&amp;"",""))),"")</f>
        <v/>
      </c>
      <c r="M463" s="887" t="str">
        <f>IF(Table2[[#This Row],[Player No]]="","",IFERROR(VLOOKUP(Table2[[#This Row],[Player No]],[2]Men!$Z$14:$AB$96,2,FALSE)&amp;"",""))</f>
        <v/>
      </c>
      <c r="N463" s="887"/>
      <c r="O463" s="882"/>
      <c r="P463" s="882"/>
      <c r="Q463" s="888"/>
      <c r="R463" s="888"/>
      <c r="S463" s="882"/>
      <c r="T463" s="888"/>
      <c r="U463" s="882"/>
      <c r="V463" s="887"/>
      <c r="W463" s="888"/>
      <c r="X463" s="882"/>
      <c r="Y463" s="888"/>
      <c r="Z463" s="882"/>
      <c r="AA463" s="882"/>
      <c r="AB463" s="882"/>
      <c r="AC463" s="882"/>
      <c r="AD463" s="882"/>
      <c r="AE463" s="882"/>
      <c r="AF463" s="882"/>
      <c r="AG463" s="882"/>
      <c r="AH463" s="882"/>
      <c r="AI463" s="882"/>
      <c r="AJ463" s="882"/>
      <c r="AK463" s="882"/>
      <c r="AL463" s="889"/>
    </row>
    <row r="464" spans="1:38" s="890" customFormat="1">
      <c r="A464" s="1011"/>
      <c r="B464" s="1014">
        <f t="shared" si="44"/>
        <v>-460</v>
      </c>
      <c r="C464" s="882">
        <f t="shared" si="47"/>
        <v>460</v>
      </c>
      <c r="D464" s="1018">
        <v>2267</v>
      </c>
      <c r="E464" s="884" t="str">
        <f>IFERROR(VLOOKUP(Table2[[#This Row],[Player No]],Table10[[No]:[Province]],2,0),"")</f>
        <v>BUISETT Bernie</v>
      </c>
      <c r="F464" s="885" t="str">
        <f>IFERROR(VLOOKUP(Table2[[#This Row],[Player No]],Table10[[No]:[Province]],3,0),"")</f>
        <v>GN</v>
      </c>
      <c r="G464" s="1029">
        <v>0</v>
      </c>
      <c r="H464" s="886">
        <f>(Table2[[#This Row],[Points 2025]]/2)+SUM(Table2[[#This Row],[O1  ADMIN 2026]:[P2    CAPE TOWN OPEN 2026 ]])</f>
        <v>1</v>
      </c>
      <c r="I464" s="1032">
        <f t="shared" si="46"/>
        <v>1</v>
      </c>
      <c r="J464" s="1011">
        <f t="shared" si="45"/>
        <v>0</v>
      </c>
      <c r="K464" s="1006">
        <f>IFERROR(VALUE(IF(Table2[[#This Row],[Player No]]="","",IFERROR(VLOOKUP(Table2[[#This Row],[Player No]],[3]Men!$D$2:$E$48,2,FALSE)&amp;"",""))),"")</f>
        <v>1</v>
      </c>
      <c r="L464" s="887" t="str">
        <f>IFERROR(VALUE(IF(Table2[[#This Row],[Player No]]="","",IFERROR(VLOOKUP(Table2[[#This Row],[Player No]],[4]Men!$Z$14:$AB$62,2,FALSE)&amp;"",""))),"")</f>
        <v/>
      </c>
      <c r="M464" s="887" t="str">
        <f>IF(Table2[[#This Row],[Player No]]="","",IFERROR(VLOOKUP(Table2[[#This Row],[Player No]],[2]Men!$Z$14:$AB$96,2,FALSE)&amp;"",""))</f>
        <v/>
      </c>
      <c r="N464" s="887"/>
      <c r="O464" s="882"/>
      <c r="P464" s="882"/>
      <c r="Q464" s="888"/>
      <c r="R464" s="888"/>
      <c r="S464" s="882"/>
      <c r="T464" s="888"/>
      <c r="U464" s="882"/>
      <c r="V464" s="887"/>
      <c r="W464" s="888"/>
      <c r="X464" s="882"/>
      <c r="Y464" s="888"/>
      <c r="Z464" s="882"/>
      <c r="AA464" s="882"/>
      <c r="AB464" s="882"/>
      <c r="AC464" s="882"/>
      <c r="AD464" s="882"/>
      <c r="AE464" s="882"/>
      <c r="AF464" s="882"/>
      <c r="AG464" s="882"/>
      <c r="AH464" s="882"/>
      <c r="AI464" s="882"/>
      <c r="AJ464" s="882"/>
      <c r="AK464" s="882"/>
      <c r="AL464" s="889"/>
    </row>
    <row r="465" spans="1:38" s="890" customFormat="1">
      <c r="A465" s="1011"/>
      <c r="B465" s="1014">
        <f t="shared" si="44"/>
        <v>-461</v>
      </c>
      <c r="C465" s="882">
        <f t="shared" si="47"/>
        <v>461</v>
      </c>
      <c r="D465" s="1018">
        <v>4825</v>
      </c>
      <c r="E465" s="884" t="str">
        <f>IFERROR(VLOOKUP(Table2[[#This Row],[Player No]],Table10[[No]:[Province]],2,0),"")</f>
        <v>SANTANA Raymond</v>
      </c>
      <c r="F465" s="885" t="str">
        <f>IFERROR(VLOOKUP(Table2[[#This Row],[Player No]],Table10[[No]:[Province]],3,0),"")</f>
        <v>GN</v>
      </c>
      <c r="G465" s="1029">
        <v>0</v>
      </c>
      <c r="H465" s="886">
        <f>(Table2[[#This Row],[Points 2025]]/2)+SUM(Table2[[#This Row],[O1  ADMIN 2026]:[P2    CAPE TOWN OPEN 2026 ]])</f>
        <v>1</v>
      </c>
      <c r="I465" s="1032">
        <f t="shared" si="46"/>
        <v>1</v>
      </c>
      <c r="J465" s="1011">
        <f t="shared" si="45"/>
        <v>0</v>
      </c>
      <c r="K465" s="1006">
        <f>IFERROR(VALUE(IF(Table2[[#This Row],[Player No]]="","",IFERROR(VLOOKUP(Table2[[#This Row],[Player No]],[3]Men!$D$2:$E$48,2,FALSE)&amp;"",""))),"")</f>
        <v>1</v>
      </c>
      <c r="L465" s="887" t="str">
        <f>IFERROR(VALUE(IF(Table2[[#This Row],[Player No]]="","",IFERROR(VLOOKUP(Table2[[#This Row],[Player No]],[4]Men!$Z$14:$AB$62,2,FALSE)&amp;"",""))),"")</f>
        <v/>
      </c>
      <c r="M465" s="887" t="str">
        <f>IF(Table2[[#This Row],[Player No]]="","",IFERROR(VLOOKUP(Table2[[#This Row],[Player No]],[2]Men!$Z$14:$AB$96,2,FALSE)&amp;"",""))</f>
        <v/>
      </c>
      <c r="N465" s="887"/>
      <c r="O465" s="882"/>
      <c r="P465" s="882"/>
      <c r="Q465" s="888"/>
      <c r="R465" s="888"/>
      <c r="S465" s="882"/>
      <c r="T465" s="888"/>
      <c r="U465" s="882"/>
      <c r="V465" s="887"/>
      <c r="W465" s="888"/>
      <c r="X465" s="882"/>
      <c r="Y465" s="888"/>
      <c r="Z465" s="882"/>
      <c r="AA465" s="882"/>
      <c r="AB465" s="882"/>
      <c r="AC465" s="882"/>
      <c r="AD465" s="882"/>
      <c r="AE465" s="882"/>
      <c r="AF465" s="882"/>
      <c r="AG465" s="882"/>
      <c r="AH465" s="882"/>
      <c r="AI465" s="882"/>
      <c r="AJ465" s="882"/>
      <c r="AK465" s="882"/>
      <c r="AL465" s="889"/>
    </row>
    <row r="466" spans="1:38" s="890" customFormat="1">
      <c r="A466" s="882">
        <v>273</v>
      </c>
      <c r="B466" s="891">
        <f t="shared" si="44"/>
        <v>-189</v>
      </c>
      <c r="C466" s="882">
        <f t="shared" si="47"/>
        <v>462</v>
      </c>
      <c r="D466" s="883">
        <v>1178</v>
      </c>
      <c r="E466" s="884" t="str">
        <f>IFERROR(VLOOKUP(Table2[[#This Row],[Player No]],Table10[[No]:[Province]],2,0),"")</f>
        <v xml:space="preserve">HUTCHINSEN Ronald </v>
      </c>
      <c r="F466" s="885" t="str">
        <f>IFERROR(VLOOKUP(Table2[[#This Row],[Player No]],Table10[[No]:[Province]],3,0),"")</f>
        <v>CT</v>
      </c>
      <c r="G466" s="892">
        <v>1.908203125</v>
      </c>
      <c r="H466" s="886">
        <f>(Table2[[#This Row],[Points 2025]]/2)+SUM(Table2[[#This Row],[O1  ADMIN 2026]:[P2    CAPE TOWN OPEN 2026 ]])</f>
        <v>0.9541015625</v>
      </c>
      <c r="I466" s="880">
        <f t="shared" si="46"/>
        <v>0</v>
      </c>
      <c r="J466" s="882">
        <f t="shared" ref="J466:J497" si="48">COUNTIF(O466:AK466,"&lt;0")</f>
        <v>0</v>
      </c>
      <c r="K466" s="887" t="s">
        <v>6083</v>
      </c>
      <c r="L466" s="887" t="s">
        <v>6083</v>
      </c>
      <c r="M466" s="887" t="s">
        <v>6083</v>
      </c>
      <c r="N466" s="887"/>
      <c r="O466" s="882"/>
      <c r="P466" s="882"/>
      <c r="Q466" s="888"/>
      <c r="R466" s="888"/>
      <c r="S466" s="882"/>
      <c r="T466" s="888"/>
      <c r="U466" s="882"/>
      <c r="V466" s="887"/>
      <c r="W466" s="888"/>
      <c r="X466" s="882"/>
      <c r="Y466" s="888"/>
      <c r="Z466" s="882"/>
      <c r="AA466" s="882"/>
      <c r="AB466" s="882">
        <v>0</v>
      </c>
      <c r="AC466" s="882"/>
      <c r="AD466" s="882"/>
      <c r="AE466" s="882">
        <v>1</v>
      </c>
      <c r="AF466" s="882"/>
      <c r="AG466" s="882"/>
      <c r="AH466" s="882"/>
      <c r="AI466" s="882"/>
      <c r="AJ466" s="882"/>
      <c r="AK466" s="882"/>
      <c r="AL466" s="889"/>
    </row>
    <row r="467" spans="1:38" s="890" customFormat="1">
      <c r="A467" s="882">
        <v>239</v>
      </c>
      <c r="B467" s="891">
        <f t="shared" si="44"/>
        <v>-224</v>
      </c>
      <c r="C467" s="882">
        <f t="shared" si="47"/>
        <v>463</v>
      </c>
      <c r="D467" s="883">
        <v>1732</v>
      </c>
      <c r="E467" s="884" t="str">
        <f>IFERROR(VLOOKUP(Table2[[#This Row],[Player No]],Table10[[No]:[Province]],2,0),"")</f>
        <v>GROBBELAAR Charl</v>
      </c>
      <c r="F467" s="885" t="str">
        <f>IFERROR(VLOOKUP(Table2[[#This Row],[Player No]],Table10[[No]:[Province]],3,0),"")</f>
        <v>CT</v>
      </c>
      <c r="G467" s="892">
        <v>1.8203125</v>
      </c>
      <c r="H467" s="886">
        <f>(Table2[[#This Row],[Points 2025]]/2)+SUM(Table2[[#This Row],[O1  ADMIN 2026]:[P2    CAPE TOWN OPEN 2026 ]])</f>
        <v>0.91015625</v>
      </c>
      <c r="I467" s="880">
        <f t="shared" si="46"/>
        <v>0</v>
      </c>
      <c r="J467" s="882">
        <f t="shared" si="48"/>
        <v>0</v>
      </c>
      <c r="K467" s="887" t="s">
        <v>6083</v>
      </c>
      <c r="L467" s="887" t="s">
        <v>6083</v>
      </c>
      <c r="M467" s="887" t="s">
        <v>6083</v>
      </c>
      <c r="N467" s="887"/>
      <c r="O467" s="882"/>
      <c r="P467" s="882"/>
      <c r="Q467" s="888"/>
      <c r="R467" s="888"/>
      <c r="S467" s="882"/>
      <c r="T467" s="888"/>
      <c r="U467" s="882"/>
      <c r="V467" s="887"/>
      <c r="W467" s="888"/>
      <c r="X467" s="882"/>
      <c r="Y467" s="888"/>
      <c r="Z467" s="882"/>
      <c r="AA467" s="882"/>
      <c r="AB467" s="882"/>
      <c r="AC467" s="882"/>
      <c r="AD467" s="882"/>
      <c r="AE467" s="882"/>
      <c r="AF467" s="882"/>
      <c r="AG467" s="882"/>
      <c r="AH467" s="882"/>
      <c r="AI467" s="882"/>
      <c r="AJ467" s="882"/>
      <c r="AK467" s="882"/>
      <c r="AL467" s="889"/>
    </row>
    <row r="468" spans="1:38" s="890" customFormat="1">
      <c r="A468" s="882">
        <v>240</v>
      </c>
      <c r="B468" s="891">
        <f t="shared" si="44"/>
        <v>-224</v>
      </c>
      <c r="C468" s="882">
        <f t="shared" si="47"/>
        <v>464</v>
      </c>
      <c r="D468" s="883">
        <v>3752</v>
      </c>
      <c r="E468" s="884" t="str">
        <f>IFERROR(VLOOKUP(Table2[[#This Row],[Player No]],Table10[[No]:[Province]],2,0),"")</f>
        <v>REATILE Morapedi</v>
      </c>
      <c r="F468" s="885" t="str">
        <f>IFERROR(VLOOKUP(Table2[[#This Row],[Player No]],Table10[[No]:[Province]],3,0),"")</f>
        <v>BOT</v>
      </c>
      <c r="G468" s="892">
        <v>1.8046875</v>
      </c>
      <c r="H468" s="886">
        <f>(Table2[[#This Row],[Points 2025]]/2)+SUM(Table2[[#This Row],[O1  ADMIN 2026]:[P2    CAPE TOWN OPEN 2026 ]])</f>
        <v>0.90234375</v>
      </c>
      <c r="I468" s="880">
        <f t="shared" si="46"/>
        <v>0</v>
      </c>
      <c r="J468" s="882">
        <f t="shared" si="48"/>
        <v>0</v>
      </c>
      <c r="K468" s="887" t="s">
        <v>6083</v>
      </c>
      <c r="L468" s="887" t="s">
        <v>6083</v>
      </c>
      <c r="M468" s="887" t="s">
        <v>6083</v>
      </c>
      <c r="N468" s="887"/>
      <c r="O468" s="882"/>
      <c r="P468" s="882"/>
      <c r="Q468" s="888"/>
      <c r="R468" s="888"/>
      <c r="S468" s="882"/>
      <c r="T468" s="888"/>
      <c r="U468" s="882"/>
      <c r="V468" s="887"/>
      <c r="W468" s="888"/>
      <c r="X468" s="882"/>
      <c r="Y468" s="888"/>
      <c r="Z468" s="882"/>
      <c r="AA468" s="882"/>
      <c r="AB468" s="882"/>
      <c r="AC468" s="882"/>
      <c r="AD468" s="882"/>
      <c r="AE468" s="882"/>
      <c r="AF468" s="882"/>
      <c r="AG468" s="882"/>
      <c r="AH468" s="882"/>
      <c r="AI468" s="882"/>
      <c r="AJ468" s="882">
        <v>1</v>
      </c>
      <c r="AK468" s="882"/>
      <c r="AL468" s="889"/>
    </row>
    <row r="469" spans="1:38" s="890" customFormat="1">
      <c r="A469" s="882">
        <v>242</v>
      </c>
      <c r="B469" s="891">
        <f t="shared" si="44"/>
        <v>-223</v>
      </c>
      <c r="C469" s="882">
        <f t="shared" si="47"/>
        <v>465</v>
      </c>
      <c r="D469" s="883">
        <v>2132</v>
      </c>
      <c r="E469" s="884" t="str">
        <f>IFERROR(VLOOKUP(Table2[[#This Row],[Player No]],Table10[[No]:[Province]],2,0),"")</f>
        <v>NAICKER Hiren</v>
      </c>
      <c r="F469" s="885" t="str">
        <f>IFERROR(VLOOKUP(Table2[[#This Row],[Player No]],Table10[[No]:[Province]],3,0),"")</f>
        <v>ETTA</v>
      </c>
      <c r="G469" s="892">
        <v>1.7578125</v>
      </c>
      <c r="H469" s="886">
        <f>(Table2[[#This Row],[Points 2025]]/2)+SUM(Table2[[#This Row],[O1  ADMIN 2026]:[P2    CAPE TOWN OPEN 2026 ]])</f>
        <v>0.87890625</v>
      </c>
      <c r="I469" s="880">
        <f t="shared" si="46"/>
        <v>0</v>
      </c>
      <c r="J469" s="882">
        <f t="shared" si="48"/>
        <v>0</v>
      </c>
      <c r="K469" s="887" t="s">
        <v>6083</v>
      </c>
      <c r="L469" s="887" t="s">
        <v>6083</v>
      </c>
      <c r="M469" s="887" t="s">
        <v>6083</v>
      </c>
      <c r="N469" s="887"/>
      <c r="O469" s="882"/>
      <c r="P469" s="882"/>
      <c r="Q469" s="888"/>
      <c r="R469" s="888"/>
      <c r="S469" s="882"/>
      <c r="T469" s="888"/>
      <c r="U469" s="882"/>
      <c r="V469" s="887"/>
      <c r="W469" s="888"/>
      <c r="X469" s="882"/>
      <c r="Y469" s="888"/>
      <c r="Z469" s="882"/>
      <c r="AA469" s="882"/>
      <c r="AB469" s="882"/>
      <c r="AC469" s="882"/>
      <c r="AD469" s="882"/>
      <c r="AE469" s="882"/>
      <c r="AF469" s="882"/>
      <c r="AG469" s="882"/>
      <c r="AH469" s="882"/>
      <c r="AI469" s="882"/>
      <c r="AJ469" s="882"/>
      <c r="AK469" s="882"/>
      <c r="AL469" s="889"/>
    </row>
    <row r="470" spans="1:38" s="890" customFormat="1">
      <c r="A470" s="882">
        <v>244</v>
      </c>
      <c r="B470" s="891">
        <f t="shared" si="44"/>
        <v>-222</v>
      </c>
      <c r="C470" s="882">
        <f t="shared" si="47"/>
        <v>466</v>
      </c>
      <c r="D470" s="883">
        <v>2858</v>
      </c>
      <c r="E470" s="884" t="str">
        <f>IFERROR(VLOOKUP(Table2[[#This Row],[Player No]],Table10[[No]:[Province]],2,0),"")</f>
        <v>MNGOMA Lundi</v>
      </c>
      <c r="F470" s="885" t="str">
        <f>IFERROR(VLOOKUP(Table2[[#This Row],[Player No]],Table10[[No]:[Province]],3,0),"")</f>
        <v>EC</v>
      </c>
      <c r="G470" s="892">
        <v>1.75</v>
      </c>
      <c r="H470" s="886">
        <f>(Table2[[#This Row],[Points 2025]]/2)+SUM(Table2[[#This Row],[O1  ADMIN 2026]:[P2    CAPE TOWN OPEN 2026 ]])</f>
        <v>0.875</v>
      </c>
      <c r="I470" s="880">
        <f t="shared" si="46"/>
        <v>0</v>
      </c>
      <c r="J470" s="882">
        <f t="shared" si="48"/>
        <v>0</v>
      </c>
      <c r="K470" s="887" t="s">
        <v>6083</v>
      </c>
      <c r="L470" s="887" t="s">
        <v>6083</v>
      </c>
      <c r="M470" s="887" t="s">
        <v>6083</v>
      </c>
      <c r="N470" s="887"/>
      <c r="O470" s="882"/>
      <c r="P470" s="882"/>
      <c r="Q470" s="888"/>
      <c r="R470" s="888"/>
      <c r="S470" s="882"/>
      <c r="T470" s="888"/>
      <c r="U470" s="882"/>
      <c r="V470" s="887"/>
      <c r="W470" s="888"/>
      <c r="X470" s="882"/>
      <c r="Y470" s="888"/>
      <c r="Z470" s="882"/>
      <c r="AA470" s="882"/>
      <c r="AB470" s="882"/>
      <c r="AC470" s="882"/>
      <c r="AD470" s="882"/>
      <c r="AE470" s="882"/>
      <c r="AF470" s="882"/>
      <c r="AG470" s="882"/>
      <c r="AH470" s="882"/>
      <c r="AI470" s="882"/>
      <c r="AJ470" s="882"/>
      <c r="AK470" s="882"/>
      <c r="AL470" s="889"/>
    </row>
    <row r="471" spans="1:38" s="890" customFormat="1">
      <c r="A471" s="882">
        <v>246</v>
      </c>
      <c r="B471" s="891">
        <f t="shared" si="44"/>
        <v>-221</v>
      </c>
      <c r="C471" s="882">
        <f t="shared" si="47"/>
        <v>467</v>
      </c>
      <c r="D471" s="883">
        <v>3502</v>
      </c>
      <c r="E471" s="884" t="str">
        <f>IFERROR(VLOOKUP(Table2[[#This Row],[Player No]],Table10[[No]:[Province]],2,0),"")</f>
        <v>PATEL Nilesh</v>
      </c>
      <c r="F471" s="885" t="str">
        <f>IFERROR(VLOOKUP(Table2[[#This Row],[Player No]],Table10[[No]:[Province]],3,0),"")</f>
        <v>ETTA</v>
      </c>
      <c r="G471" s="892">
        <v>1.75</v>
      </c>
      <c r="H471" s="886">
        <f>(Table2[[#This Row],[Points 2025]]/2)+SUM(Table2[[#This Row],[O1  ADMIN 2026]:[P2    CAPE TOWN OPEN 2026 ]])</f>
        <v>0.875</v>
      </c>
      <c r="I471" s="880">
        <f t="shared" si="46"/>
        <v>0</v>
      </c>
      <c r="J471" s="882">
        <f t="shared" si="48"/>
        <v>0</v>
      </c>
      <c r="K471" s="887" t="s">
        <v>6083</v>
      </c>
      <c r="L471" s="887" t="s">
        <v>6083</v>
      </c>
      <c r="M471" s="887" t="s">
        <v>6083</v>
      </c>
      <c r="N471" s="887"/>
      <c r="O471" s="882"/>
      <c r="P471" s="882"/>
      <c r="Q471" s="888"/>
      <c r="R471" s="888"/>
      <c r="S471" s="882"/>
      <c r="T471" s="888"/>
      <c r="U471" s="882"/>
      <c r="V471" s="887"/>
      <c r="W471" s="888"/>
      <c r="X471" s="882"/>
      <c r="Y471" s="888"/>
      <c r="Z471" s="882"/>
      <c r="AA471" s="882"/>
      <c r="AB471" s="882"/>
      <c r="AC471" s="882">
        <v>2</v>
      </c>
      <c r="AD471" s="882">
        <v>1</v>
      </c>
      <c r="AE471" s="882"/>
      <c r="AF471" s="882"/>
      <c r="AG471" s="882"/>
      <c r="AH471" s="882"/>
      <c r="AI471" s="882"/>
      <c r="AJ471" s="882"/>
      <c r="AK471" s="882"/>
      <c r="AL471" s="889"/>
    </row>
    <row r="472" spans="1:38" s="890" customFormat="1">
      <c r="A472" s="882">
        <v>248</v>
      </c>
      <c r="B472" s="891">
        <f t="shared" si="44"/>
        <v>-220</v>
      </c>
      <c r="C472" s="882">
        <f t="shared" si="47"/>
        <v>468</v>
      </c>
      <c r="D472" s="883">
        <v>1099</v>
      </c>
      <c r="E472" s="884" t="str">
        <f>IFERROR(VLOOKUP(Table2[[#This Row],[Player No]],Table10[[No]:[Province]],2,0),"")</f>
        <v>MOODLEY Kyle</v>
      </c>
      <c r="F472" s="885" t="str">
        <f>IFERROR(VLOOKUP(Table2[[#This Row],[Player No]],Table10[[No]:[Province]],3,0),"")</f>
        <v>ETTA</v>
      </c>
      <c r="G472" s="892">
        <v>1.7265625</v>
      </c>
      <c r="H472" s="886">
        <f>(Table2[[#This Row],[Points 2025]]/2)+SUM(Table2[[#This Row],[O1  ADMIN 2026]:[P2    CAPE TOWN OPEN 2026 ]])</f>
        <v>0.86328125</v>
      </c>
      <c r="I472" s="880">
        <f t="shared" si="46"/>
        <v>0</v>
      </c>
      <c r="J472" s="882">
        <f t="shared" si="48"/>
        <v>0</v>
      </c>
      <c r="K472" s="887" t="s">
        <v>6083</v>
      </c>
      <c r="L472" s="887" t="s">
        <v>6083</v>
      </c>
      <c r="M472" s="887" t="s">
        <v>6083</v>
      </c>
      <c r="N472" s="887"/>
      <c r="O472" s="882"/>
      <c r="P472" s="882"/>
      <c r="Q472" s="888"/>
      <c r="R472" s="888"/>
      <c r="S472" s="882"/>
      <c r="T472" s="888"/>
      <c r="U472" s="882"/>
      <c r="V472" s="887"/>
      <c r="W472" s="888"/>
      <c r="X472" s="882"/>
      <c r="Y472" s="888"/>
      <c r="Z472" s="882"/>
      <c r="AA472" s="882"/>
      <c r="AB472" s="882"/>
      <c r="AC472" s="882"/>
      <c r="AD472" s="882"/>
      <c r="AE472" s="882"/>
      <c r="AF472" s="882"/>
      <c r="AG472" s="882"/>
      <c r="AH472" s="882"/>
      <c r="AI472" s="882"/>
      <c r="AJ472" s="882"/>
      <c r="AK472" s="882"/>
      <c r="AL472" s="889"/>
    </row>
    <row r="473" spans="1:38" s="890" customFormat="1">
      <c r="A473" s="882">
        <v>249</v>
      </c>
      <c r="B473" s="891">
        <f t="shared" si="44"/>
        <v>-220</v>
      </c>
      <c r="C473" s="882">
        <f t="shared" si="47"/>
        <v>469</v>
      </c>
      <c r="D473" s="883">
        <v>1049</v>
      </c>
      <c r="E473" s="884" t="str">
        <f>IFERROR(VLOOKUP(Table2[[#This Row],[Player No]],Table10[[No]:[Province]],2,0),"")</f>
        <v xml:space="preserve">BAILEY Cleef </v>
      </c>
      <c r="F473" s="885" t="str">
        <f>IFERROR(VLOOKUP(Table2[[#This Row],[Player No]],Table10[[No]:[Province]],3,0),"")</f>
        <v>JTTA</v>
      </c>
      <c r="G473" s="892">
        <v>1.607421875</v>
      </c>
      <c r="H473" s="886">
        <f>(Table2[[#This Row],[Points 2025]]/2)+SUM(Table2[[#This Row],[O1  ADMIN 2026]:[P2    CAPE TOWN OPEN 2026 ]])</f>
        <v>0.8037109375</v>
      </c>
      <c r="I473" s="880">
        <f t="shared" si="46"/>
        <v>0</v>
      </c>
      <c r="J473" s="882">
        <f t="shared" si="48"/>
        <v>0</v>
      </c>
      <c r="K473" s="887" t="s">
        <v>6083</v>
      </c>
      <c r="L473" s="887" t="s">
        <v>6083</v>
      </c>
      <c r="M473" s="887" t="s">
        <v>6083</v>
      </c>
      <c r="N473" s="887"/>
      <c r="O473" s="882"/>
      <c r="P473" s="882"/>
      <c r="Q473" s="888"/>
      <c r="R473" s="888"/>
      <c r="S473" s="882"/>
      <c r="T473" s="888"/>
      <c r="U473" s="882"/>
      <c r="V473" s="887"/>
      <c r="W473" s="888"/>
      <c r="X473" s="882"/>
      <c r="Y473" s="888"/>
      <c r="Z473" s="882"/>
      <c r="AA473" s="882"/>
      <c r="AB473" s="882"/>
      <c r="AC473" s="882"/>
      <c r="AD473" s="882"/>
      <c r="AE473" s="882"/>
      <c r="AF473" s="882"/>
      <c r="AG473" s="882"/>
      <c r="AH473" s="882"/>
      <c r="AI473" s="882"/>
      <c r="AJ473" s="882"/>
      <c r="AK473" s="882"/>
      <c r="AL473" s="889"/>
    </row>
    <row r="474" spans="1:38" s="890" customFormat="1">
      <c r="A474" s="882">
        <v>253</v>
      </c>
      <c r="B474" s="891">
        <f t="shared" si="44"/>
        <v>-217</v>
      </c>
      <c r="C474" s="882">
        <f t="shared" si="47"/>
        <v>470</v>
      </c>
      <c r="D474" s="883">
        <v>1517</v>
      </c>
      <c r="E474" s="884" t="str">
        <f>IFERROR(VLOOKUP(Table2[[#This Row],[Player No]],Table10[[No]:[Province]],2,0),"")</f>
        <v>ELS Frikkie</v>
      </c>
      <c r="F474" s="885">
        <f>IFERROR(VLOOKUP(Table2[[#This Row],[Player No]],Table10[[No]:[Province]],3,0),"")</f>
        <v>0</v>
      </c>
      <c r="G474" s="892">
        <v>1.55859375</v>
      </c>
      <c r="H474" s="886">
        <f>(Table2[[#This Row],[Points 2025]]/2)+SUM(Table2[[#This Row],[O1  ADMIN 2026]:[P2    CAPE TOWN OPEN 2026 ]])</f>
        <v>0.779296875</v>
      </c>
      <c r="I474" s="880">
        <f t="shared" si="46"/>
        <v>0</v>
      </c>
      <c r="J474" s="882">
        <f t="shared" si="48"/>
        <v>0</v>
      </c>
      <c r="K474" s="887" t="s">
        <v>6083</v>
      </c>
      <c r="L474" s="887" t="s">
        <v>6083</v>
      </c>
      <c r="M474" s="887" t="s">
        <v>6083</v>
      </c>
      <c r="N474" s="887"/>
      <c r="O474" s="882"/>
      <c r="P474" s="882"/>
      <c r="Q474" s="888"/>
      <c r="R474" s="888"/>
      <c r="S474" s="882"/>
      <c r="T474" s="888"/>
      <c r="U474" s="882"/>
      <c r="V474" s="887"/>
      <c r="W474" s="888"/>
      <c r="X474" s="882"/>
      <c r="Y474" s="888"/>
      <c r="Z474" s="882"/>
      <c r="AA474" s="882"/>
      <c r="AB474" s="882"/>
      <c r="AC474" s="882"/>
      <c r="AD474" s="882"/>
      <c r="AE474" s="882"/>
      <c r="AF474" s="882"/>
      <c r="AG474" s="882"/>
      <c r="AH474" s="882"/>
      <c r="AI474" s="882"/>
      <c r="AJ474" s="882">
        <v>1</v>
      </c>
      <c r="AK474" s="882"/>
      <c r="AL474" s="889"/>
    </row>
    <row r="475" spans="1:38" s="890" customFormat="1">
      <c r="A475" s="882">
        <v>255</v>
      </c>
      <c r="B475" s="891">
        <f t="shared" si="44"/>
        <v>-216</v>
      </c>
      <c r="C475" s="882">
        <f t="shared" si="47"/>
        <v>471</v>
      </c>
      <c r="D475" s="883">
        <v>2883</v>
      </c>
      <c r="E475" s="884" t="str">
        <f>IFERROR(VLOOKUP(Table2[[#This Row],[Player No]],Table10[[No]:[Province]],2,0),"")</f>
        <v>OPPERMAN Hennie</v>
      </c>
      <c r="F475" s="885" t="str">
        <f>IFERROR(VLOOKUP(Table2[[#This Row],[Player No]],Table10[[No]:[Province]],3,0),"")</f>
        <v>GN</v>
      </c>
      <c r="G475" s="892">
        <v>1.53125</v>
      </c>
      <c r="H475" s="886">
        <f>(Table2[[#This Row],[Points 2025]]/2)+SUM(Table2[[#This Row],[O1  ADMIN 2026]:[P2    CAPE TOWN OPEN 2026 ]])</f>
        <v>0.765625</v>
      </c>
      <c r="I475" s="880">
        <f t="shared" si="46"/>
        <v>0</v>
      </c>
      <c r="J475" s="882">
        <f t="shared" si="48"/>
        <v>0</v>
      </c>
      <c r="K475" s="887" t="s">
        <v>6083</v>
      </c>
      <c r="L475" s="887" t="s">
        <v>6083</v>
      </c>
      <c r="M475" s="887" t="s">
        <v>6083</v>
      </c>
      <c r="N475" s="887"/>
      <c r="O475" s="882"/>
      <c r="P475" s="882"/>
      <c r="Q475" s="888"/>
      <c r="R475" s="888"/>
      <c r="S475" s="882"/>
      <c r="T475" s="888"/>
      <c r="U475" s="882"/>
      <c r="V475" s="887"/>
      <c r="W475" s="888"/>
      <c r="X475" s="882"/>
      <c r="Y475" s="888"/>
      <c r="Z475" s="882"/>
      <c r="AA475" s="882"/>
      <c r="AB475" s="882"/>
      <c r="AC475" s="882"/>
      <c r="AD475" s="882"/>
      <c r="AE475" s="882"/>
      <c r="AF475" s="882"/>
      <c r="AG475" s="882"/>
      <c r="AH475" s="882"/>
      <c r="AI475" s="882"/>
      <c r="AJ475" s="882">
        <v>3</v>
      </c>
      <c r="AK475" s="882"/>
      <c r="AL475" s="889"/>
    </row>
    <row r="476" spans="1:38" s="890" customFormat="1">
      <c r="A476" s="882"/>
      <c r="B476" s="891"/>
      <c r="C476" s="882">
        <f t="shared" si="47"/>
        <v>472</v>
      </c>
      <c r="D476" s="883">
        <v>1237</v>
      </c>
      <c r="E476" s="884" t="str">
        <f>IFERROR(VLOOKUP(Table2[[#This Row],[Player No]],Table10[[No]:[Province]],2,0),"")</f>
        <v>VAN DER ROSS Benjamin</v>
      </c>
      <c r="F476" s="885" t="str">
        <f>IFERROR(VLOOKUP(Table2[[#This Row],[Player No]],Table10[[No]:[Province]],3,0),"")</f>
        <v>CT</v>
      </c>
      <c r="G476" s="892">
        <v>1.5</v>
      </c>
      <c r="H476" s="886">
        <f>(Table2[[#This Row],[Points 2025]]/2)+SUM(Table2[[#This Row],[O1  ADMIN 2026]:[P2    CAPE TOWN OPEN 2026 ]])</f>
        <v>0.75</v>
      </c>
      <c r="I476" s="880">
        <f t="shared" si="46"/>
        <v>0</v>
      </c>
      <c r="J476" s="882">
        <f t="shared" si="48"/>
        <v>0</v>
      </c>
      <c r="K476" s="887" t="s">
        <v>6083</v>
      </c>
      <c r="L476" s="887" t="s">
        <v>6083</v>
      </c>
      <c r="M476" s="887" t="s">
        <v>6083</v>
      </c>
      <c r="N476" s="887"/>
      <c r="O476" s="882"/>
      <c r="P476" s="882"/>
      <c r="Q476" s="888"/>
      <c r="R476" s="888"/>
      <c r="S476" s="882"/>
      <c r="T476" s="888"/>
      <c r="U476" s="882"/>
      <c r="V476" s="887"/>
      <c r="W476" s="888"/>
      <c r="X476" s="882"/>
      <c r="Y476" s="888"/>
      <c r="Z476" s="882"/>
      <c r="AA476" s="882"/>
      <c r="AB476" s="882"/>
      <c r="AC476" s="882"/>
      <c r="AD476" s="882"/>
      <c r="AE476" s="882">
        <v>3</v>
      </c>
      <c r="AF476" s="882"/>
      <c r="AG476" s="882"/>
      <c r="AH476" s="882"/>
      <c r="AI476" s="882"/>
      <c r="AJ476" s="882"/>
      <c r="AK476" s="882"/>
      <c r="AL476" s="889"/>
    </row>
    <row r="477" spans="1:38" s="890" customFormat="1">
      <c r="A477" s="882"/>
      <c r="B477" s="891"/>
      <c r="C477" s="882">
        <f t="shared" si="47"/>
        <v>473</v>
      </c>
      <c r="D477" s="883">
        <v>1602</v>
      </c>
      <c r="E477" s="884" t="str">
        <f>IFERROR(VLOOKUP(Table2[[#This Row],[Player No]],Table10[[No]:[Province]],2,0),"")</f>
        <v xml:space="preserve">ISAACS Keith </v>
      </c>
      <c r="F477" s="885" t="str">
        <f>IFERROR(VLOOKUP(Table2[[#This Row],[Player No]],Table10[[No]:[Province]],3,0),"")</f>
        <v>CT</v>
      </c>
      <c r="G477" s="892">
        <v>1.5</v>
      </c>
      <c r="H477" s="886">
        <f>(Table2[[#This Row],[Points 2025]]/2)+SUM(Table2[[#This Row],[O1  ADMIN 2026]:[P2    CAPE TOWN OPEN 2026 ]])</f>
        <v>0.75</v>
      </c>
      <c r="I477" s="880">
        <f t="shared" si="46"/>
        <v>0</v>
      </c>
      <c r="J477" s="882">
        <f t="shared" si="48"/>
        <v>0</v>
      </c>
      <c r="K477" s="887" t="s">
        <v>6083</v>
      </c>
      <c r="L477" s="887" t="s">
        <v>6083</v>
      </c>
      <c r="M477" s="887" t="s">
        <v>6083</v>
      </c>
      <c r="N477" s="887"/>
      <c r="O477" s="882"/>
      <c r="P477" s="882"/>
      <c r="Q477" s="888"/>
      <c r="R477" s="888"/>
      <c r="S477" s="882"/>
      <c r="T477" s="888"/>
      <c r="U477" s="882"/>
      <c r="V477" s="887"/>
      <c r="W477" s="888"/>
      <c r="X477" s="882"/>
      <c r="Y477" s="888"/>
      <c r="Z477" s="882"/>
      <c r="AA477" s="882"/>
      <c r="AB477" s="882"/>
      <c r="AC477" s="882"/>
      <c r="AD477" s="882"/>
      <c r="AE477" s="882">
        <v>3</v>
      </c>
      <c r="AF477" s="882"/>
      <c r="AG477" s="882"/>
      <c r="AH477" s="882"/>
      <c r="AI477" s="882"/>
      <c r="AJ477" s="882"/>
      <c r="AK477" s="882"/>
      <c r="AL477" s="889"/>
    </row>
    <row r="478" spans="1:38" s="890" customFormat="1">
      <c r="A478" s="882">
        <v>257</v>
      </c>
      <c r="B478" s="891">
        <f>+A478-C478</f>
        <v>-217</v>
      </c>
      <c r="C478" s="882">
        <f t="shared" si="47"/>
        <v>474</v>
      </c>
      <c r="D478" s="883">
        <v>1860</v>
      </c>
      <c r="E478" s="884" t="str">
        <f>IFERROR(VLOOKUP(Table2[[#This Row],[Player No]],Table10[[No]:[Province]],2,0),"")</f>
        <v xml:space="preserve">ISAACS Everard </v>
      </c>
      <c r="F478" s="885" t="str">
        <f>IFERROR(VLOOKUP(Table2[[#This Row],[Player No]],Table10[[No]:[Province]],3,0),"")</f>
        <v>WC</v>
      </c>
      <c r="G478" s="892">
        <v>1.5</v>
      </c>
      <c r="H478" s="886">
        <f>(Table2[[#This Row],[Points 2025]]/2)+SUM(Table2[[#This Row],[O1  ADMIN 2026]:[P2    CAPE TOWN OPEN 2026 ]])</f>
        <v>0.75</v>
      </c>
      <c r="I478" s="880">
        <f t="shared" si="46"/>
        <v>0</v>
      </c>
      <c r="J478" s="882">
        <f t="shared" si="48"/>
        <v>0</v>
      </c>
      <c r="K478" s="887" t="s">
        <v>6083</v>
      </c>
      <c r="L478" s="887" t="s">
        <v>6083</v>
      </c>
      <c r="M478" s="887" t="s">
        <v>6083</v>
      </c>
      <c r="N478" s="887"/>
      <c r="O478" s="882"/>
      <c r="P478" s="882"/>
      <c r="Q478" s="888"/>
      <c r="R478" s="888"/>
      <c r="S478" s="882"/>
      <c r="T478" s="888"/>
      <c r="U478" s="882"/>
      <c r="V478" s="887"/>
      <c r="W478" s="888"/>
      <c r="X478" s="882"/>
      <c r="Y478" s="888"/>
      <c r="Z478" s="882"/>
      <c r="AA478" s="882"/>
      <c r="AB478" s="882"/>
      <c r="AC478" s="882"/>
      <c r="AD478" s="882"/>
      <c r="AE478" s="882"/>
      <c r="AF478" s="882"/>
      <c r="AG478" s="882"/>
      <c r="AH478" s="882"/>
      <c r="AI478" s="882"/>
      <c r="AJ478" s="882"/>
      <c r="AK478" s="882"/>
      <c r="AL478" s="889"/>
    </row>
    <row r="479" spans="1:38" s="890" customFormat="1">
      <c r="A479" s="882"/>
      <c r="B479" s="891"/>
      <c r="C479" s="882">
        <f t="shared" si="47"/>
        <v>475</v>
      </c>
      <c r="D479" s="893">
        <v>2250</v>
      </c>
      <c r="E479" s="884" t="str">
        <f>IFERROR(VLOOKUP(Table2[[#This Row],[Player No]],Table10[[No]:[Province]],2,0),"")</f>
        <v xml:space="preserve">STEENKAMP Andries </v>
      </c>
      <c r="F479" s="885" t="str">
        <f>IFERROR(VLOOKUP(Table2[[#This Row],[Player No]],Table10[[No]:[Province]],3,0),"")</f>
        <v>CT</v>
      </c>
      <c r="G479" s="892">
        <v>1.5</v>
      </c>
      <c r="H479" s="886">
        <f>(Table2[[#This Row],[Points 2025]]/2)+SUM(Table2[[#This Row],[O1  ADMIN 2026]:[P2    CAPE TOWN OPEN 2026 ]])</f>
        <v>0.75</v>
      </c>
      <c r="I479" s="880">
        <f t="shared" si="46"/>
        <v>0</v>
      </c>
      <c r="J479" s="882">
        <f t="shared" si="48"/>
        <v>0</v>
      </c>
      <c r="K479" s="887" t="s">
        <v>6083</v>
      </c>
      <c r="L479" s="887" t="s">
        <v>6083</v>
      </c>
      <c r="M479" s="887" t="s">
        <v>6083</v>
      </c>
      <c r="N479" s="887"/>
      <c r="O479" s="882"/>
      <c r="P479" s="882"/>
      <c r="Q479" s="888"/>
      <c r="R479" s="888"/>
      <c r="S479" s="882"/>
      <c r="T479" s="888"/>
      <c r="U479" s="882"/>
      <c r="V479" s="887"/>
      <c r="W479" s="888"/>
      <c r="X479" s="882"/>
      <c r="Y479" s="888"/>
      <c r="Z479" s="882"/>
      <c r="AA479" s="882"/>
      <c r="AB479" s="882"/>
      <c r="AC479" s="882"/>
      <c r="AD479" s="882"/>
      <c r="AE479" s="882">
        <v>3</v>
      </c>
      <c r="AF479" s="882"/>
      <c r="AG479" s="882"/>
      <c r="AH479" s="882"/>
      <c r="AI479" s="882"/>
      <c r="AJ479" s="882"/>
      <c r="AK479" s="882"/>
      <c r="AL479" s="889"/>
    </row>
    <row r="480" spans="1:38" s="890" customFormat="1">
      <c r="A480" s="882">
        <v>408</v>
      </c>
      <c r="B480" s="891">
        <f>+A480-C480</f>
        <v>-68</v>
      </c>
      <c r="C480" s="882">
        <f t="shared" si="47"/>
        <v>476</v>
      </c>
      <c r="D480" s="883">
        <v>3529</v>
      </c>
      <c r="E480" s="884" t="str">
        <f>IFERROR(VLOOKUP(Table2[[#This Row],[Player No]],Table10[[No]:[Province]],2,0),"")</f>
        <v>MALAPANE Tebogo</v>
      </c>
      <c r="F480" s="885" t="str">
        <f>IFERROR(VLOOKUP(Table2[[#This Row],[Player No]],Table10[[No]:[Province]],3,0),"")</f>
        <v>JTTA</v>
      </c>
      <c r="G480" s="892">
        <v>1.5</v>
      </c>
      <c r="H480" s="886">
        <f>(Table2[[#This Row],[Points 2025]]/2)+SUM(Table2[[#This Row],[O1  ADMIN 2026]:[P2    CAPE TOWN OPEN 2026 ]])</f>
        <v>0.75</v>
      </c>
      <c r="I480" s="880">
        <f t="shared" si="46"/>
        <v>0</v>
      </c>
      <c r="J480" s="882">
        <f t="shared" si="48"/>
        <v>0</v>
      </c>
      <c r="K480" s="887" t="s">
        <v>6083</v>
      </c>
      <c r="L480" s="887" t="s">
        <v>6083</v>
      </c>
      <c r="M480" s="887" t="s">
        <v>6083</v>
      </c>
      <c r="N480" s="887"/>
      <c r="O480" s="882"/>
      <c r="P480" s="882"/>
      <c r="Q480" s="888"/>
      <c r="R480" s="888"/>
      <c r="S480" s="882"/>
      <c r="T480" s="888"/>
      <c r="U480" s="882"/>
      <c r="V480" s="887"/>
      <c r="W480" s="888"/>
      <c r="X480" s="882"/>
      <c r="Y480" s="888"/>
      <c r="Z480" s="882"/>
      <c r="AA480" s="882"/>
      <c r="AB480" s="882"/>
      <c r="AC480" s="882"/>
      <c r="AD480" s="882"/>
      <c r="AE480" s="882"/>
      <c r="AF480" s="882"/>
      <c r="AG480" s="882"/>
      <c r="AH480" s="882"/>
      <c r="AI480" s="882">
        <v>2</v>
      </c>
      <c r="AJ480" s="882"/>
      <c r="AK480" s="882"/>
      <c r="AL480" s="889"/>
    </row>
    <row r="481" spans="1:38" s="890" customFormat="1">
      <c r="A481" s="882"/>
      <c r="B481" s="891"/>
      <c r="C481" s="882">
        <f t="shared" si="47"/>
        <v>477</v>
      </c>
      <c r="D481" s="883">
        <v>3677</v>
      </c>
      <c r="E481" s="884" t="str">
        <f>IFERROR(VLOOKUP(Table2[[#This Row],[Player No]],Table10[[No]:[Province]],2,0),"")</f>
        <v>SOLOMONS Charl</v>
      </c>
      <c r="F481" s="885" t="str">
        <f>IFERROR(VLOOKUP(Table2[[#This Row],[Player No]],Table10[[No]:[Province]],3,0),"")</f>
        <v>CT</v>
      </c>
      <c r="G481" s="892">
        <v>1.5</v>
      </c>
      <c r="H481" s="886">
        <f>(Table2[[#This Row],[Points 2025]]/2)+SUM(Table2[[#This Row],[O1  ADMIN 2026]:[P2    CAPE TOWN OPEN 2026 ]])</f>
        <v>0.75</v>
      </c>
      <c r="I481" s="880">
        <f t="shared" si="46"/>
        <v>0</v>
      </c>
      <c r="J481" s="882">
        <f t="shared" si="48"/>
        <v>0</v>
      </c>
      <c r="K481" s="887" t="s">
        <v>6083</v>
      </c>
      <c r="L481" s="887" t="s">
        <v>6083</v>
      </c>
      <c r="M481" s="887" t="s">
        <v>6083</v>
      </c>
      <c r="N481" s="887"/>
      <c r="O481" s="882"/>
      <c r="P481" s="882"/>
      <c r="Q481" s="888"/>
      <c r="R481" s="888"/>
      <c r="S481" s="882"/>
      <c r="T481" s="888"/>
      <c r="U481" s="882"/>
      <c r="V481" s="887"/>
      <c r="W481" s="888"/>
      <c r="X481" s="882"/>
      <c r="Y481" s="888"/>
      <c r="Z481" s="882"/>
      <c r="AA481" s="882"/>
      <c r="AB481" s="882"/>
      <c r="AC481" s="882"/>
      <c r="AD481" s="882"/>
      <c r="AE481" s="882">
        <v>3</v>
      </c>
      <c r="AF481" s="882"/>
      <c r="AG481" s="882"/>
      <c r="AH481" s="882"/>
      <c r="AI481" s="882"/>
      <c r="AJ481" s="882"/>
      <c r="AK481" s="882"/>
      <c r="AL481" s="889"/>
    </row>
    <row r="482" spans="1:38" s="890" customFormat="1">
      <c r="A482" s="882">
        <v>258</v>
      </c>
      <c r="B482" s="891">
        <f>+A482-C482</f>
        <v>-220</v>
      </c>
      <c r="C482" s="882">
        <f t="shared" si="47"/>
        <v>478</v>
      </c>
      <c r="D482" s="883">
        <v>3816</v>
      </c>
      <c r="E482" s="884" t="str">
        <f>IFERROR(VLOOKUP(Table2[[#This Row],[Player No]],Table10[[No]:[Province]],2,0),"")</f>
        <v>LEE Daniel</v>
      </c>
      <c r="F482" s="885" t="str">
        <f>IFERROR(VLOOKUP(Table2[[#This Row],[Player No]],Table10[[No]:[Province]],3,0),"")</f>
        <v>JTTA</v>
      </c>
      <c r="G482" s="892">
        <v>1.5</v>
      </c>
      <c r="H482" s="886">
        <f>(Table2[[#This Row],[Points 2025]]/2)+SUM(Table2[[#This Row],[O1  ADMIN 2026]:[P2    CAPE TOWN OPEN 2026 ]])</f>
        <v>0.75</v>
      </c>
      <c r="I482" s="880">
        <f t="shared" si="46"/>
        <v>0</v>
      </c>
      <c r="J482" s="882">
        <f t="shared" si="48"/>
        <v>0</v>
      </c>
      <c r="K482" s="887" t="s">
        <v>6083</v>
      </c>
      <c r="L482" s="887" t="s">
        <v>6083</v>
      </c>
      <c r="M482" s="887" t="s">
        <v>6083</v>
      </c>
      <c r="N482" s="887"/>
      <c r="O482" s="882"/>
      <c r="P482" s="882"/>
      <c r="Q482" s="888"/>
      <c r="R482" s="888"/>
      <c r="S482" s="882"/>
      <c r="T482" s="888"/>
      <c r="U482" s="882"/>
      <c r="V482" s="887"/>
      <c r="W482" s="888"/>
      <c r="X482" s="882"/>
      <c r="Y482" s="888"/>
      <c r="Z482" s="882"/>
      <c r="AA482" s="882"/>
      <c r="AB482" s="882"/>
      <c r="AC482" s="882"/>
      <c r="AD482" s="882"/>
      <c r="AE482" s="882"/>
      <c r="AF482" s="882"/>
      <c r="AG482" s="882"/>
      <c r="AH482" s="882"/>
      <c r="AI482" s="882"/>
      <c r="AJ482" s="882">
        <v>3</v>
      </c>
      <c r="AK482" s="882"/>
      <c r="AL482" s="889"/>
    </row>
    <row r="483" spans="1:38" s="890" customFormat="1">
      <c r="A483" s="882">
        <v>259</v>
      </c>
      <c r="B483" s="891">
        <f>+A483-C483</f>
        <v>-220</v>
      </c>
      <c r="C483" s="882">
        <f t="shared" si="47"/>
        <v>479</v>
      </c>
      <c r="D483" s="883">
        <v>3817</v>
      </c>
      <c r="E483" s="884" t="str">
        <f>IFERROR(VLOOKUP(Table2[[#This Row],[Player No]],Table10[[No]:[Province]],2,0),"")</f>
        <v>VADODARIA Darshak</v>
      </c>
      <c r="F483" s="885" t="str">
        <f>IFERROR(VLOOKUP(Table2[[#This Row],[Player No]],Table10[[No]:[Province]],3,0),"")</f>
        <v>GN</v>
      </c>
      <c r="G483" s="892">
        <v>1.5</v>
      </c>
      <c r="H483" s="886">
        <f>(Table2[[#This Row],[Points 2025]]/2)+SUM(Table2[[#This Row],[O1  ADMIN 2026]:[P2    CAPE TOWN OPEN 2026 ]])</f>
        <v>0.75</v>
      </c>
      <c r="I483" s="880">
        <f t="shared" si="46"/>
        <v>0</v>
      </c>
      <c r="J483" s="882">
        <f t="shared" si="48"/>
        <v>0</v>
      </c>
      <c r="K483" s="887" t="s">
        <v>6083</v>
      </c>
      <c r="L483" s="887" t="s">
        <v>6083</v>
      </c>
      <c r="M483" s="887" t="s">
        <v>6083</v>
      </c>
      <c r="N483" s="887"/>
      <c r="O483" s="882"/>
      <c r="P483" s="882"/>
      <c r="Q483" s="888"/>
      <c r="R483" s="888"/>
      <c r="S483" s="882"/>
      <c r="T483" s="888"/>
      <c r="U483" s="882"/>
      <c r="V483" s="887"/>
      <c r="W483" s="888"/>
      <c r="X483" s="882"/>
      <c r="Y483" s="888"/>
      <c r="Z483" s="882"/>
      <c r="AA483" s="882"/>
      <c r="AB483" s="882"/>
      <c r="AC483" s="882"/>
      <c r="AD483" s="882"/>
      <c r="AE483" s="882"/>
      <c r="AF483" s="882"/>
      <c r="AG483" s="882"/>
      <c r="AH483" s="882"/>
      <c r="AI483" s="882"/>
      <c r="AJ483" s="882">
        <v>3</v>
      </c>
      <c r="AK483" s="882"/>
      <c r="AL483" s="889"/>
    </row>
    <row r="484" spans="1:38" s="890" customFormat="1">
      <c r="A484" s="882">
        <v>260</v>
      </c>
      <c r="B484" s="891">
        <f>+A484-C484</f>
        <v>-220</v>
      </c>
      <c r="C484" s="882">
        <f t="shared" si="47"/>
        <v>480</v>
      </c>
      <c r="D484" s="883">
        <v>3818</v>
      </c>
      <c r="E484" s="884" t="str">
        <f>IFERROR(VLOOKUP(Table2[[#This Row],[Player No]],Table10[[No]:[Province]],2,0),"")</f>
        <v>SANQELA Xola</v>
      </c>
      <c r="F484" s="885" t="str">
        <f>IFERROR(VLOOKUP(Table2[[#This Row],[Player No]],Table10[[No]:[Province]],3,0),"")</f>
        <v>JTTA</v>
      </c>
      <c r="G484" s="892">
        <v>1.5</v>
      </c>
      <c r="H484" s="886">
        <f>(Table2[[#This Row],[Points 2025]]/2)+SUM(Table2[[#This Row],[O1  ADMIN 2026]:[P2    CAPE TOWN OPEN 2026 ]])</f>
        <v>0.75</v>
      </c>
      <c r="I484" s="880">
        <f t="shared" si="46"/>
        <v>0</v>
      </c>
      <c r="J484" s="882">
        <f t="shared" si="48"/>
        <v>0</v>
      </c>
      <c r="K484" s="887" t="s">
        <v>6083</v>
      </c>
      <c r="L484" s="887" t="s">
        <v>6083</v>
      </c>
      <c r="M484" s="887" t="s">
        <v>6083</v>
      </c>
      <c r="N484" s="887"/>
      <c r="O484" s="882"/>
      <c r="P484" s="882"/>
      <c r="Q484" s="888"/>
      <c r="R484" s="888"/>
      <c r="S484" s="882"/>
      <c r="T484" s="888"/>
      <c r="U484" s="882"/>
      <c r="V484" s="887"/>
      <c r="W484" s="888"/>
      <c r="X484" s="882"/>
      <c r="Y484" s="888"/>
      <c r="Z484" s="882"/>
      <c r="AA484" s="882"/>
      <c r="AB484" s="882"/>
      <c r="AC484" s="882"/>
      <c r="AD484" s="882"/>
      <c r="AE484" s="882"/>
      <c r="AF484" s="882"/>
      <c r="AG484" s="882"/>
      <c r="AH484" s="882"/>
      <c r="AI484" s="882"/>
      <c r="AJ484" s="882">
        <v>3</v>
      </c>
      <c r="AK484" s="882"/>
      <c r="AL484" s="889"/>
    </row>
    <row r="485" spans="1:38" s="890" customFormat="1">
      <c r="A485" s="882">
        <v>261</v>
      </c>
      <c r="B485" s="891">
        <f>+A485-C485</f>
        <v>-220</v>
      </c>
      <c r="C485" s="882">
        <f t="shared" si="47"/>
        <v>481</v>
      </c>
      <c r="D485" s="883">
        <v>3819</v>
      </c>
      <c r="E485" s="884" t="str">
        <f>IFERROR(VLOOKUP(Table2[[#This Row],[Player No]],Table10[[No]:[Province]],2,0),"")</f>
        <v>WESSELS Johannes</v>
      </c>
      <c r="F485" s="885" t="str">
        <f>IFERROR(VLOOKUP(Table2[[#This Row],[Player No]],Table10[[No]:[Province]],3,0),"")</f>
        <v>JTTA</v>
      </c>
      <c r="G485" s="892">
        <v>1.5</v>
      </c>
      <c r="H485" s="886">
        <f>(Table2[[#This Row],[Points 2025]]/2)+SUM(Table2[[#This Row],[O1  ADMIN 2026]:[P2    CAPE TOWN OPEN 2026 ]])</f>
        <v>0.75</v>
      </c>
      <c r="I485" s="880">
        <f t="shared" si="46"/>
        <v>0</v>
      </c>
      <c r="J485" s="882">
        <f t="shared" si="48"/>
        <v>0</v>
      </c>
      <c r="K485" s="887" t="s">
        <v>6083</v>
      </c>
      <c r="L485" s="887" t="s">
        <v>6083</v>
      </c>
      <c r="M485" s="887" t="s">
        <v>6083</v>
      </c>
      <c r="N485" s="887"/>
      <c r="O485" s="882"/>
      <c r="P485" s="882"/>
      <c r="Q485" s="888"/>
      <c r="R485" s="888"/>
      <c r="S485" s="882"/>
      <c r="T485" s="888"/>
      <c r="U485" s="882"/>
      <c r="V485" s="887"/>
      <c r="W485" s="888"/>
      <c r="X485" s="882"/>
      <c r="Y485" s="888"/>
      <c r="Z485" s="882"/>
      <c r="AA485" s="882"/>
      <c r="AB485" s="882"/>
      <c r="AC485" s="882"/>
      <c r="AD485" s="882"/>
      <c r="AE485" s="882"/>
      <c r="AF485" s="882"/>
      <c r="AG485" s="882"/>
      <c r="AH485" s="882"/>
      <c r="AI485" s="882"/>
      <c r="AJ485" s="882">
        <v>3</v>
      </c>
      <c r="AK485" s="882"/>
      <c r="AL485" s="889"/>
    </row>
    <row r="486" spans="1:38" s="890" customFormat="1">
      <c r="A486" s="882">
        <v>265</v>
      </c>
      <c r="B486" s="891">
        <f>+A486-C486</f>
        <v>-217</v>
      </c>
      <c r="C486" s="882">
        <f t="shared" si="47"/>
        <v>482</v>
      </c>
      <c r="D486" s="883">
        <v>3832</v>
      </c>
      <c r="E486" s="884" t="str">
        <f>IFERROR(VLOOKUP(Table2[[#This Row],[Player No]],Table10[[No]:[Province]],2,0),"")</f>
        <v>CHIBA Ajay</v>
      </c>
      <c r="F486" s="885" t="str">
        <f>IFERROR(VLOOKUP(Table2[[#This Row],[Player No]],Table10[[No]:[Province]],3,0),"")</f>
        <v>JTTA</v>
      </c>
      <c r="G486" s="892">
        <v>1.5</v>
      </c>
      <c r="H486" s="886">
        <f>(Table2[[#This Row],[Points 2025]]/2)+SUM(Table2[[#This Row],[O1  ADMIN 2026]:[P2    CAPE TOWN OPEN 2026 ]])</f>
        <v>0.75</v>
      </c>
      <c r="I486" s="880">
        <f t="shared" si="46"/>
        <v>0</v>
      </c>
      <c r="J486" s="882">
        <f t="shared" si="48"/>
        <v>0</v>
      </c>
      <c r="K486" s="887" t="s">
        <v>6083</v>
      </c>
      <c r="L486" s="887" t="s">
        <v>6083</v>
      </c>
      <c r="M486" s="887" t="s">
        <v>6083</v>
      </c>
      <c r="N486" s="887"/>
      <c r="O486" s="882"/>
      <c r="P486" s="882"/>
      <c r="Q486" s="888"/>
      <c r="R486" s="888"/>
      <c r="S486" s="882"/>
      <c r="T486" s="888"/>
      <c r="U486" s="882"/>
      <c r="V486" s="887"/>
      <c r="W486" s="888"/>
      <c r="X486" s="882"/>
      <c r="Y486" s="888"/>
      <c r="Z486" s="882"/>
      <c r="AA486" s="882"/>
      <c r="AB486" s="882"/>
      <c r="AC486" s="882"/>
      <c r="AD486" s="882"/>
      <c r="AE486" s="882"/>
      <c r="AF486" s="882"/>
      <c r="AG486" s="882"/>
      <c r="AH486" s="882"/>
      <c r="AI486" s="882"/>
      <c r="AJ486" s="882">
        <v>1</v>
      </c>
      <c r="AK486" s="882">
        <v>2</v>
      </c>
      <c r="AL486" s="889"/>
    </row>
    <row r="487" spans="1:38" s="890" customFormat="1">
      <c r="A487" s="882"/>
      <c r="B487" s="891"/>
      <c r="C487" s="882">
        <f t="shared" si="47"/>
        <v>483</v>
      </c>
      <c r="D487" s="883">
        <v>3935</v>
      </c>
      <c r="E487" s="884" t="str">
        <f>IFERROR(VLOOKUP(Table2[[#This Row],[Player No]],Table10[[No]:[Province]],2,0),"")</f>
        <v>SINGH Mungal Keshav</v>
      </c>
      <c r="F487" s="885" t="str">
        <f>IFERROR(VLOOKUP(Table2[[#This Row],[Player No]],Table10[[No]:[Province]],3,0),"")</f>
        <v>JTTA</v>
      </c>
      <c r="G487" s="892">
        <v>1.5</v>
      </c>
      <c r="H487" s="886">
        <f>(Table2[[#This Row],[Points 2025]]/2)+SUM(Table2[[#This Row],[O1  ADMIN 2026]:[P2    CAPE TOWN OPEN 2026 ]])</f>
        <v>0.75</v>
      </c>
      <c r="I487" s="880">
        <f t="shared" si="46"/>
        <v>0</v>
      </c>
      <c r="J487" s="882">
        <f t="shared" si="48"/>
        <v>0</v>
      </c>
      <c r="K487" s="887" t="s">
        <v>6083</v>
      </c>
      <c r="L487" s="887" t="s">
        <v>6083</v>
      </c>
      <c r="M487" s="887" t="s">
        <v>6083</v>
      </c>
      <c r="N487" s="887"/>
      <c r="O487" s="882"/>
      <c r="P487" s="882"/>
      <c r="Q487" s="888"/>
      <c r="R487" s="888"/>
      <c r="S487" s="882"/>
      <c r="T487" s="888">
        <v>1</v>
      </c>
      <c r="U487" s="882"/>
      <c r="V487" s="887"/>
      <c r="W487" s="888"/>
      <c r="X487" s="882">
        <v>0.5</v>
      </c>
      <c r="Y487" s="888"/>
      <c r="Z487" s="882"/>
      <c r="AA487" s="882"/>
      <c r="AB487" s="882"/>
      <c r="AC487" s="882"/>
      <c r="AD487" s="882"/>
      <c r="AE487" s="882"/>
      <c r="AF487" s="882"/>
      <c r="AG487" s="882"/>
      <c r="AH487" s="882"/>
      <c r="AI487" s="882"/>
      <c r="AJ487" s="882"/>
      <c r="AK487" s="882"/>
      <c r="AL487" s="889"/>
    </row>
    <row r="488" spans="1:38" s="890" customFormat="1">
      <c r="A488" s="882"/>
      <c r="B488" s="891"/>
      <c r="C488" s="882">
        <f t="shared" si="47"/>
        <v>484</v>
      </c>
      <c r="D488" s="893">
        <v>4135</v>
      </c>
      <c r="E488" s="884" t="str">
        <f>IFERROR(VLOOKUP(Table2[[#This Row],[Player No]],Table10[[No]:[Province]],2,0),"")</f>
        <v xml:space="preserve">ALBERTYNE Jason </v>
      </c>
      <c r="F488" s="885" t="str">
        <f>IFERROR(VLOOKUP(Table2[[#This Row],[Player No]],Table10[[No]:[Province]],3,0),"")</f>
        <v>CT</v>
      </c>
      <c r="G488" s="892">
        <v>1.5</v>
      </c>
      <c r="H488" s="886">
        <f>(Table2[[#This Row],[Points 2025]]/2)+SUM(Table2[[#This Row],[O1  ADMIN 2026]:[P2    CAPE TOWN OPEN 2026 ]])</f>
        <v>0.75</v>
      </c>
      <c r="I488" s="880">
        <f t="shared" si="46"/>
        <v>0</v>
      </c>
      <c r="J488" s="882">
        <f t="shared" si="48"/>
        <v>0</v>
      </c>
      <c r="K488" s="887" t="s">
        <v>6083</v>
      </c>
      <c r="L488" s="887" t="s">
        <v>6083</v>
      </c>
      <c r="M488" s="887" t="s">
        <v>6083</v>
      </c>
      <c r="N488" s="887"/>
      <c r="O488" s="882"/>
      <c r="P488" s="882"/>
      <c r="Q488" s="888"/>
      <c r="R488" s="888"/>
      <c r="S488" s="882"/>
      <c r="T488" s="888"/>
      <c r="U488" s="882"/>
      <c r="V488" s="887"/>
      <c r="W488" s="888"/>
      <c r="X488" s="882"/>
      <c r="Y488" s="888"/>
      <c r="Z488" s="882"/>
      <c r="AA488" s="882"/>
      <c r="AB488" s="882"/>
      <c r="AC488" s="882"/>
      <c r="AD488" s="882"/>
      <c r="AE488" s="882">
        <v>3</v>
      </c>
      <c r="AF488" s="882"/>
      <c r="AG488" s="882"/>
      <c r="AH488" s="882"/>
      <c r="AI488" s="882"/>
      <c r="AJ488" s="882"/>
      <c r="AK488" s="882"/>
      <c r="AL488" s="889"/>
    </row>
    <row r="489" spans="1:38" s="890" customFormat="1">
      <c r="A489" s="882"/>
      <c r="B489" s="891"/>
      <c r="C489" s="882">
        <f t="shared" si="47"/>
        <v>485</v>
      </c>
      <c r="D489" s="893">
        <v>4136</v>
      </c>
      <c r="E489" s="884" t="str">
        <f>IFERROR(VLOOKUP(Table2[[#This Row],[Player No]],Table10[[No]:[Province]],2,0),"")</f>
        <v xml:space="preserve">SABAD Timothy </v>
      </c>
      <c r="F489" s="885" t="str">
        <f>IFERROR(VLOOKUP(Table2[[#This Row],[Player No]],Table10[[No]:[Province]],3,0),"")</f>
        <v>CT</v>
      </c>
      <c r="G489" s="892">
        <v>1.5</v>
      </c>
      <c r="H489" s="886">
        <f>(Table2[[#This Row],[Points 2025]]/2)+SUM(Table2[[#This Row],[O1  ADMIN 2026]:[P2    CAPE TOWN OPEN 2026 ]])</f>
        <v>0.75</v>
      </c>
      <c r="I489" s="880">
        <f t="shared" si="46"/>
        <v>0</v>
      </c>
      <c r="J489" s="882">
        <f t="shared" si="48"/>
        <v>0</v>
      </c>
      <c r="K489" s="887" t="s">
        <v>6083</v>
      </c>
      <c r="L489" s="887" t="s">
        <v>6083</v>
      </c>
      <c r="M489" s="887" t="s">
        <v>6083</v>
      </c>
      <c r="N489" s="887"/>
      <c r="O489" s="882"/>
      <c r="P489" s="882"/>
      <c r="Q489" s="888"/>
      <c r="R489" s="888"/>
      <c r="S489" s="882"/>
      <c r="T489" s="888"/>
      <c r="U489" s="882"/>
      <c r="V489" s="887"/>
      <c r="W489" s="888"/>
      <c r="X489" s="882"/>
      <c r="Y489" s="888"/>
      <c r="Z489" s="882"/>
      <c r="AA489" s="882"/>
      <c r="AB489" s="882">
        <v>0</v>
      </c>
      <c r="AC489" s="882"/>
      <c r="AD489" s="882"/>
      <c r="AE489" s="882">
        <v>3</v>
      </c>
      <c r="AF489" s="882"/>
      <c r="AG489" s="882"/>
      <c r="AH489" s="882"/>
      <c r="AI489" s="882"/>
      <c r="AJ489" s="882"/>
      <c r="AK489" s="882"/>
      <c r="AL489" s="889"/>
    </row>
    <row r="490" spans="1:38" s="890" customFormat="1">
      <c r="A490" s="882"/>
      <c r="B490" s="891"/>
      <c r="C490" s="882">
        <f t="shared" si="47"/>
        <v>486</v>
      </c>
      <c r="D490" s="893">
        <v>4152</v>
      </c>
      <c r="E490" s="884" t="str">
        <f>IFERROR(VLOOKUP(Table2[[#This Row],[Player No]],Table10[[No]:[Province]],2,0),"")</f>
        <v xml:space="preserve">LOMBARD Kenwin </v>
      </c>
      <c r="F490" s="885" t="str">
        <f>IFERROR(VLOOKUP(Table2[[#This Row],[Player No]],Table10[[No]:[Province]],3,0),"")</f>
        <v>CW</v>
      </c>
      <c r="G490" s="892">
        <v>1.5</v>
      </c>
      <c r="H490" s="886">
        <f>(Table2[[#This Row],[Points 2025]]/2)+SUM(Table2[[#This Row],[O1  ADMIN 2026]:[P2    CAPE TOWN OPEN 2026 ]])</f>
        <v>0.75</v>
      </c>
      <c r="I490" s="880">
        <f t="shared" si="46"/>
        <v>0</v>
      </c>
      <c r="J490" s="882">
        <f t="shared" si="48"/>
        <v>0</v>
      </c>
      <c r="K490" s="887" t="s">
        <v>6083</v>
      </c>
      <c r="L490" s="887" t="s">
        <v>6083</v>
      </c>
      <c r="M490" s="887" t="s">
        <v>6083</v>
      </c>
      <c r="N490" s="887"/>
      <c r="O490" s="882"/>
      <c r="P490" s="882"/>
      <c r="Q490" s="888"/>
      <c r="R490" s="888"/>
      <c r="S490" s="882"/>
      <c r="T490" s="888"/>
      <c r="U490" s="882"/>
      <c r="V490" s="887"/>
      <c r="W490" s="888"/>
      <c r="X490" s="882"/>
      <c r="Y490" s="888"/>
      <c r="Z490" s="882"/>
      <c r="AA490" s="882"/>
      <c r="AB490" s="882"/>
      <c r="AC490" s="882"/>
      <c r="AD490" s="882"/>
      <c r="AE490" s="882">
        <v>3</v>
      </c>
      <c r="AF490" s="882"/>
      <c r="AG490" s="882"/>
      <c r="AH490" s="882"/>
      <c r="AI490" s="882"/>
      <c r="AJ490" s="882"/>
      <c r="AK490" s="882"/>
      <c r="AL490" s="889"/>
    </row>
    <row r="491" spans="1:38" s="890" customFormat="1">
      <c r="A491" s="882"/>
      <c r="B491" s="891"/>
      <c r="C491" s="882">
        <f t="shared" si="47"/>
        <v>487</v>
      </c>
      <c r="D491" s="893">
        <v>4153</v>
      </c>
      <c r="E491" s="884" t="str">
        <f>IFERROR(VLOOKUP(Table2[[#This Row],[Player No]],Table10[[No]:[Province]],2,0),"")</f>
        <v xml:space="preserve">MUKWEREWER Jonathan </v>
      </c>
      <c r="F491" s="885" t="str">
        <f>IFERROR(VLOOKUP(Table2[[#This Row],[Player No]],Table10[[No]:[Province]],3,0),"")</f>
        <v>CT</v>
      </c>
      <c r="G491" s="892">
        <v>1.5</v>
      </c>
      <c r="H491" s="886">
        <f>(Table2[[#This Row],[Points 2025]]/2)+SUM(Table2[[#This Row],[O1  ADMIN 2026]:[P2    CAPE TOWN OPEN 2026 ]])</f>
        <v>0.75</v>
      </c>
      <c r="I491" s="880">
        <f t="shared" si="46"/>
        <v>0</v>
      </c>
      <c r="J491" s="882">
        <f t="shared" si="48"/>
        <v>0</v>
      </c>
      <c r="K491" s="887" t="s">
        <v>6083</v>
      </c>
      <c r="L491" s="887" t="s">
        <v>6083</v>
      </c>
      <c r="M491" s="887" t="s">
        <v>6083</v>
      </c>
      <c r="N491" s="887"/>
      <c r="O491" s="882"/>
      <c r="P491" s="882"/>
      <c r="Q491" s="888"/>
      <c r="R491" s="888"/>
      <c r="S491" s="882"/>
      <c r="T491" s="888"/>
      <c r="U491" s="882"/>
      <c r="V491" s="887"/>
      <c r="W491" s="888"/>
      <c r="X491" s="882"/>
      <c r="Y491" s="888"/>
      <c r="Z491" s="882"/>
      <c r="AA491" s="882"/>
      <c r="AB491" s="882"/>
      <c r="AC491" s="882"/>
      <c r="AD491" s="882"/>
      <c r="AE491" s="882">
        <v>3</v>
      </c>
      <c r="AF491" s="882"/>
      <c r="AG491" s="882"/>
      <c r="AH491" s="882"/>
      <c r="AI491" s="882"/>
      <c r="AJ491" s="882"/>
      <c r="AK491" s="882"/>
      <c r="AL491" s="889"/>
    </row>
    <row r="492" spans="1:38" s="890" customFormat="1">
      <c r="A492" s="882"/>
      <c r="B492" s="891"/>
      <c r="C492" s="882">
        <f t="shared" si="47"/>
        <v>488</v>
      </c>
      <c r="D492" s="883">
        <v>4260</v>
      </c>
      <c r="E492" s="884" t="str">
        <f>IFERROR(VLOOKUP(Table2[[#This Row],[Player No]],Table10[[No]:[Province]],2,0),"")</f>
        <v>Gounden Driasin</v>
      </c>
      <c r="F492" s="885" t="str">
        <f>IFERROR(VLOOKUP(Table2[[#This Row],[Player No]],Table10[[No]:[Province]],3,0),"")</f>
        <v>JTTA</v>
      </c>
      <c r="G492" s="892">
        <v>1.5</v>
      </c>
      <c r="H492" s="886">
        <f>(Table2[[#This Row],[Points 2025]]/2)+SUM(Table2[[#This Row],[O1  ADMIN 2026]:[P2    CAPE TOWN OPEN 2026 ]])</f>
        <v>0.75</v>
      </c>
      <c r="I492" s="880">
        <f t="shared" si="46"/>
        <v>0</v>
      </c>
      <c r="J492" s="882">
        <f t="shared" si="48"/>
        <v>0</v>
      </c>
      <c r="K492" s="887" t="s">
        <v>6083</v>
      </c>
      <c r="L492" s="887" t="s">
        <v>6083</v>
      </c>
      <c r="M492" s="887" t="s">
        <v>6083</v>
      </c>
      <c r="N492" s="887"/>
      <c r="O492" s="882"/>
      <c r="P492" s="882"/>
      <c r="Q492" s="888"/>
      <c r="R492" s="888"/>
      <c r="S492" s="882"/>
      <c r="T492" s="888"/>
      <c r="U492" s="882"/>
      <c r="V492" s="887"/>
      <c r="W492" s="888"/>
      <c r="X492" s="882">
        <v>0.5</v>
      </c>
      <c r="Y492" s="888"/>
      <c r="Z492" s="882">
        <v>1</v>
      </c>
      <c r="AA492" s="882"/>
      <c r="AB492" s="882"/>
      <c r="AC492" s="882"/>
      <c r="AD492" s="882"/>
      <c r="AE492" s="882"/>
      <c r="AF492" s="882"/>
      <c r="AG492" s="882"/>
      <c r="AH492" s="882"/>
      <c r="AI492" s="882"/>
      <c r="AJ492" s="882"/>
      <c r="AK492" s="882"/>
      <c r="AL492" s="889"/>
    </row>
    <row r="493" spans="1:38" s="890" customFormat="1">
      <c r="A493" s="882"/>
      <c r="B493" s="891"/>
      <c r="C493" s="882">
        <f t="shared" si="47"/>
        <v>489</v>
      </c>
      <c r="D493" s="883">
        <v>4501</v>
      </c>
      <c r="E493" s="884" t="str">
        <f>IFERROR(VLOOKUP(Table2[[#This Row],[Player No]],Table10[[No]:[Province]],2,0),"")</f>
        <v xml:space="preserve">ZIKALALA Nkululeko </v>
      </c>
      <c r="F493" s="885" t="str">
        <f>IFERROR(VLOOKUP(Table2[[#This Row],[Player No]],Table10[[No]:[Province]],3,0),"")</f>
        <v>JTTA</v>
      </c>
      <c r="G493" s="892">
        <v>1.5</v>
      </c>
      <c r="H493" s="886">
        <f>(Table2[[#This Row],[Points 2025]]/2)+SUM(Table2[[#This Row],[O1  ADMIN 2026]:[P2    CAPE TOWN OPEN 2026 ]])</f>
        <v>0.75</v>
      </c>
      <c r="I493" s="880">
        <f t="shared" si="46"/>
        <v>0</v>
      </c>
      <c r="J493" s="882">
        <f t="shared" si="48"/>
        <v>0</v>
      </c>
      <c r="K493" s="887" t="s">
        <v>6083</v>
      </c>
      <c r="L493" s="887" t="s">
        <v>6083</v>
      </c>
      <c r="M493" s="887" t="s">
        <v>6083</v>
      </c>
      <c r="N493" s="887"/>
      <c r="O493" s="882"/>
      <c r="P493" s="882"/>
      <c r="Q493" s="888"/>
      <c r="R493" s="888"/>
      <c r="S493" s="882"/>
      <c r="T493" s="888"/>
      <c r="U493" s="882"/>
      <c r="V493" s="887"/>
      <c r="W493" s="888"/>
      <c r="X493" s="882"/>
      <c r="Y493" s="888"/>
      <c r="Z493" s="882">
        <v>0</v>
      </c>
      <c r="AA493" s="882">
        <v>0.5</v>
      </c>
      <c r="AB493" s="882"/>
      <c r="AC493" s="882"/>
      <c r="AD493" s="882"/>
      <c r="AE493" s="882"/>
      <c r="AF493" s="882"/>
      <c r="AG493" s="882"/>
      <c r="AH493" s="882"/>
      <c r="AI493" s="882">
        <v>2</v>
      </c>
      <c r="AJ493" s="882"/>
      <c r="AK493" s="882"/>
      <c r="AL493" s="889"/>
    </row>
    <row r="494" spans="1:38" s="890" customFormat="1">
      <c r="A494" s="882">
        <v>267</v>
      </c>
      <c r="B494" s="891">
        <f t="shared" ref="B494:B525" si="49">+A494-C494</f>
        <v>-223</v>
      </c>
      <c r="C494" s="882">
        <f t="shared" si="47"/>
        <v>490</v>
      </c>
      <c r="D494" s="883">
        <v>2404</v>
      </c>
      <c r="E494" s="884" t="str">
        <f>IFERROR(VLOOKUP(Table2[[#This Row],[Player No]],Table10[[No]:[Province]],2,0),"")</f>
        <v>PARKER Neville</v>
      </c>
      <c r="F494" s="885" t="str">
        <f>IFERROR(VLOOKUP(Table2[[#This Row],[Player No]],Table10[[No]:[Province]],3,0),"")</f>
        <v>NC</v>
      </c>
      <c r="G494" s="892">
        <v>1.484375</v>
      </c>
      <c r="H494" s="886">
        <f>(Table2[[#This Row],[Points 2025]]/2)+SUM(Table2[[#This Row],[O1  ADMIN 2026]:[P2    CAPE TOWN OPEN 2026 ]])</f>
        <v>0.7421875</v>
      </c>
      <c r="I494" s="880">
        <f t="shared" si="46"/>
        <v>0</v>
      </c>
      <c r="J494" s="882">
        <f t="shared" si="48"/>
        <v>0</v>
      </c>
      <c r="K494" s="887" t="s">
        <v>6083</v>
      </c>
      <c r="L494" s="887" t="s">
        <v>6083</v>
      </c>
      <c r="M494" s="887" t="s">
        <v>6083</v>
      </c>
      <c r="N494" s="887"/>
      <c r="O494" s="882"/>
      <c r="P494" s="882"/>
      <c r="Q494" s="888"/>
      <c r="R494" s="888"/>
      <c r="S494" s="882"/>
      <c r="T494" s="888"/>
      <c r="U494" s="882"/>
      <c r="V494" s="887"/>
      <c r="W494" s="888"/>
      <c r="X494" s="882"/>
      <c r="Y494" s="888"/>
      <c r="Z494" s="882"/>
      <c r="AA494" s="882"/>
      <c r="AB494" s="882"/>
      <c r="AC494" s="882"/>
      <c r="AD494" s="882"/>
      <c r="AE494" s="882"/>
      <c r="AF494" s="882"/>
      <c r="AG494" s="882"/>
      <c r="AH494" s="882"/>
      <c r="AI494" s="882"/>
      <c r="AJ494" s="882"/>
      <c r="AK494" s="882"/>
      <c r="AL494" s="889"/>
    </row>
    <row r="495" spans="1:38" s="890" customFormat="1">
      <c r="A495" s="882">
        <v>271</v>
      </c>
      <c r="B495" s="891">
        <f t="shared" si="49"/>
        <v>-220</v>
      </c>
      <c r="C495" s="882">
        <f t="shared" si="47"/>
        <v>491</v>
      </c>
      <c r="D495" s="883">
        <v>1764</v>
      </c>
      <c r="E495" s="884" t="str">
        <f>IFERROR(VLOOKUP(Table2[[#This Row],[Player No]],Table10[[No]:[Province]],2,0),"")</f>
        <v xml:space="preserve">ABRAHAMS Tofeeq </v>
      </c>
      <c r="F495" s="885" t="str">
        <f>IFERROR(VLOOKUP(Table2[[#This Row],[Player No]],Table10[[No]:[Province]],3,0),"")</f>
        <v>CT</v>
      </c>
      <c r="G495" s="892">
        <v>1.4375</v>
      </c>
      <c r="H495" s="886">
        <f>(Table2[[#This Row],[Points 2025]]/2)+SUM(Table2[[#This Row],[O1  ADMIN 2026]:[P2    CAPE TOWN OPEN 2026 ]])</f>
        <v>0.71875</v>
      </c>
      <c r="I495" s="880">
        <f t="shared" si="46"/>
        <v>0</v>
      </c>
      <c r="J495" s="882">
        <f t="shared" si="48"/>
        <v>0</v>
      </c>
      <c r="K495" s="887" t="s">
        <v>6083</v>
      </c>
      <c r="L495" s="887" t="s">
        <v>6083</v>
      </c>
      <c r="M495" s="887" t="s">
        <v>6083</v>
      </c>
      <c r="N495" s="887"/>
      <c r="O495" s="882"/>
      <c r="P495" s="882"/>
      <c r="Q495" s="888"/>
      <c r="R495" s="888"/>
      <c r="S495" s="882"/>
      <c r="T495" s="888"/>
      <c r="U495" s="882"/>
      <c r="V495" s="887"/>
      <c r="W495" s="888"/>
      <c r="X495" s="882"/>
      <c r="Y495" s="888"/>
      <c r="Z495" s="882"/>
      <c r="AA495" s="882"/>
      <c r="AB495" s="882"/>
      <c r="AC495" s="882"/>
      <c r="AD495" s="882"/>
      <c r="AE495" s="882"/>
      <c r="AF495" s="882"/>
      <c r="AG495" s="882"/>
      <c r="AH495" s="882"/>
      <c r="AI495" s="882"/>
      <c r="AJ495" s="882"/>
      <c r="AK495" s="882"/>
      <c r="AL495" s="889"/>
    </row>
    <row r="496" spans="1:38" s="890" customFormat="1">
      <c r="A496" s="882">
        <v>454</v>
      </c>
      <c r="B496" s="891">
        <f t="shared" si="49"/>
        <v>-38</v>
      </c>
      <c r="C496" s="882">
        <f t="shared" si="47"/>
        <v>492</v>
      </c>
      <c r="D496" s="883">
        <v>3284</v>
      </c>
      <c r="E496" s="884" t="str">
        <f>IFERROR(VLOOKUP(Table2[[#This Row],[Player No]],Table10[[No]:[Province]],2,0),"")</f>
        <v>ESTERHUIZEN Antheny</v>
      </c>
      <c r="F496" s="885" t="str">
        <f>IFERROR(VLOOKUP(Table2[[#This Row],[Player No]],Table10[[No]:[Province]],3,0),"")</f>
        <v>FS</v>
      </c>
      <c r="G496" s="892">
        <v>1.375</v>
      </c>
      <c r="H496" s="886">
        <f>(Table2[[#This Row],[Points 2025]]/2)+SUM(Table2[[#This Row],[O1  ADMIN 2026]:[P2    CAPE TOWN OPEN 2026 ]])</f>
        <v>0.6875</v>
      </c>
      <c r="I496" s="880">
        <f t="shared" si="46"/>
        <v>0</v>
      </c>
      <c r="J496" s="882">
        <f t="shared" si="48"/>
        <v>0</v>
      </c>
      <c r="K496" s="887" t="s">
        <v>6083</v>
      </c>
      <c r="L496" s="887" t="s">
        <v>6083</v>
      </c>
      <c r="M496" s="887" t="s">
        <v>6083</v>
      </c>
      <c r="N496" s="887"/>
      <c r="O496" s="882"/>
      <c r="P496" s="882"/>
      <c r="Q496" s="888"/>
      <c r="R496" s="888"/>
      <c r="S496" s="882"/>
      <c r="T496" s="888">
        <v>1</v>
      </c>
      <c r="U496" s="882"/>
      <c r="V496" s="887"/>
      <c r="W496" s="888"/>
      <c r="X496" s="882"/>
      <c r="Y496" s="888"/>
      <c r="Z496" s="882"/>
      <c r="AA496" s="882"/>
      <c r="AB496" s="882"/>
      <c r="AC496" s="882"/>
      <c r="AD496" s="882"/>
      <c r="AE496" s="882"/>
      <c r="AF496" s="882"/>
      <c r="AG496" s="882"/>
      <c r="AH496" s="882"/>
      <c r="AI496" s="882"/>
      <c r="AJ496" s="882"/>
      <c r="AK496" s="882"/>
      <c r="AL496" s="889"/>
    </row>
    <row r="497" spans="1:38" s="890" customFormat="1">
      <c r="A497" s="882">
        <v>276</v>
      </c>
      <c r="B497" s="891">
        <f t="shared" si="49"/>
        <v>-217</v>
      </c>
      <c r="C497" s="882">
        <f t="shared" si="47"/>
        <v>493</v>
      </c>
      <c r="D497" s="883">
        <v>3344</v>
      </c>
      <c r="E497" s="884" t="str">
        <f>IFERROR(VLOOKUP(Table2[[#This Row],[Player No]],Table10[[No]:[Province]],2,0),"")</f>
        <v>ESAU Valentino</v>
      </c>
      <c r="F497" s="885" t="str">
        <f>IFERROR(VLOOKUP(Table2[[#This Row],[Player No]],Table10[[No]:[Province]],3,0),"")</f>
        <v>CT</v>
      </c>
      <c r="G497" s="892">
        <v>1.375</v>
      </c>
      <c r="H497" s="886">
        <f>(Table2[[#This Row],[Points 2025]]/2)+SUM(Table2[[#This Row],[O1  ADMIN 2026]:[P2    CAPE TOWN OPEN 2026 ]])</f>
        <v>0.6875</v>
      </c>
      <c r="I497" s="880">
        <f t="shared" si="46"/>
        <v>0</v>
      </c>
      <c r="J497" s="882">
        <f t="shared" si="48"/>
        <v>0</v>
      </c>
      <c r="K497" s="887" t="s">
        <v>6083</v>
      </c>
      <c r="L497" s="887" t="s">
        <v>6083</v>
      </c>
      <c r="M497" s="887" t="s">
        <v>6083</v>
      </c>
      <c r="N497" s="887"/>
      <c r="O497" s="882"/>
      <c r="P497" s="882"/>
      <c r="Q497" s="888"/>
      <c r="R497" s="888"/>
      <c r="S497" s="882"/>
      <c r="T497" s="888"/>
      <c r="U497" s="882"/>
      <c r="V497" s="887"/>
      <c r="W497" s="888"/>
      <c r="X497" s="882"/>
      <c r="Y497" s="888"/>
      <c r="Z497" s="882"/>
      <c r="AA497" s="882"/>
      <c r="AB497" s="882"/>
      <c r="AC497" s="882"/>
      <c r="AD497" s="882"/>
      <c r="AE497" s="882"/>
      <c r="AF497" s="882"/>
      <c r="AG497" s="882"/>
      <c r="AH497" s="882"/>
      <c r="AI497" s="882"/>
      <c r="AJ497" s="882"/>
      <c r="AK497" s="882"/>
      <c r="AL497" s="889"/>
    </row>
    <row r="498" spans="1:38" s="890" customFormat="1">
      <c r="A498" s="882">
        <v>274</v>
      </c>
      <c r="B498" s="891">
        <f t="shared" si="49"/>
        <v>-220</v>
      </c>
      <c r="C498" s="882">
        <f t="shared" si="47"/>
        <v>494</v>
      </c>
      <c r="D498" s="883">
        <v>3353</v>
      </c>
      <c r="E498" s="884" t="str">
        <f>IFERROR(VLOOKUP(Table2[[#This Row],[Player No]],Table10[[No]:[Province]],2,0),"")</f>
        <v>PHILSZ Alexander</v>
      </c>
      <c r="F498" s="885" t="str">
        <f>IFERROR(VLOOKUP(Table2[[#This Row],[Player No]],Table10[[No]:[Province]],3,0),"")</f>
        <v>CT</v>
      </c>
      <c r="G498" s="892">
        <v>1.375</v>
      </c>
      <c r="H498" s="886">
        <f>(Table2[[#This Row],[Points 2025]]/2)+SUM(Table2[[#This Row],[O1  ADMIN 2026]:[P2    CAPE TOWN OPEN 2026 ]])</f>
        <v>0.6875</v>
      </c>
      <c r="I498" s="880">
        <f t="shared" si="46"/>
        <v>0</v>
      </c>
      <c r="J498" s="882">
        <f t="shared" ref="J498:J529" si="50">COUNTIF(O498:AK498,"&lt;0")</f>
        <v>0</v>
      </c>
      <c r="K498" s="887" t="s">
        <v>6083</v>
      </c>
      <c r="L498" s="887" t="s">
        <v>6083</v>
      </c>
      <c r="M498" s="887" t="s">
        <v>6083</v>
      </c>
      <c r="N498" s="887"/>
      <c r="O498" s="882"/>
      <c r="P498" s="882"/>
      <c r="Q498" s="888"/>
      <c r="R498" s="888"/>
      <c r="S498" s="882"/>
      <c r="T498" s="888"/>
      <c r="U498" s="882"/>
      <c r="V498" s="887"/>
      <c r="W498" s="888"/>
      <c r="X498" s="882"/>
      <c r="Y498" s="888"/>
      <c r="Z498" s="882"/>
      <c r="AA498" s="882"/>
      <c r="AB498" s="882"/>
      <c r="AC498" s="882"/>
      <c r="AD498" s="882"/>
      <c r="AE498" s="882"/>
      <c r="AF498" s="882"/>
      <c r="AG498" s="882"/>
      <c r="AH498" s="882"/>
      <c r="AI498" s="882"/>
      <c r="AJ498" s="882"/>
      <c r="AK498" s="882"/>
      <c r="AL498" s="889"/>
    </row>
    <row r="499" spans="1:38" s="890" customFormat="1">
      <c r="A499" s="882">
        <v>277</v>
      </c>
      <c r="B499" s="891">
        <f t="shared" si="49"/>
        <v>-218</v>
      </c>
      <c r="C499" s="882">
        <f t="shared" si="47"/>
        <v>495</v>
      </c>
      <c r="D499" s="883">
        <v>1062</v>
      </c>
      <c r="E499" s="884" t="str">
        <f>IFERROR(VLOOKUP(Table2[[#This Row],[Player No]],Table10[[No]:[Province]],2,0),"")</f>
        <v xml:space="preserve">SMITH Rogan </v>
      </c>
      <c r="F499" s="885" t="str">
        <f>IFERROR(VLOOKUP(Table2[[#This Row],[Player No]],Table10[[No]:[Province]],3,0),"")</f>
        <v>CT</v>
      </c>
      <c r="G499" s="892">
        <v>1.3515625</v>
      </c>
      <c r="H499" s="886">
        <f>(Table2[[#This Row],[Points 2025]]/2)+SUM(Table2[[#This Row],[O1  ADMIN 2026]:[P2    CAPE TOWN OPEN 2026 ]])</f>
        <v>0.67578125</v>
      </c>
      <c r="I499" s="880">
        <f t="shared" si="46"/>
        <v>0</v>
      </c>
      <c r="J499" s="882">
        <f t="shared" si="50"/>
        <v>0</v>
      </c>
      <c r="K499" s="887" t="s">
        <v>6083</v>
      </c>
      <c r="L499" s="887" t="s">
        <v>6083</v>
      </c>
      <c r="M499" s="887" t="s">
        <v>6083</v>
      </c>
      <c r="N499" s="887"/>
      <c r="O499" s="882"/>
      <c r="P499" s="882"/>
      <c r="Q499" s="888"/>
      <c r="R499" s="888"/>
      <c r="S499" s="882"/>
      <c r="T499" s="888"/>
      <c r="U499" s="882"/>
      <c r="V499" s="887"/>
      <c r="W499" s="888"/>
      <c r="X499" s="882"/>
      <c r="Y499" s="888"/>
      <c r="Z499" s="882"/>
      <c r="AA499" s="882"/>
      <c r="AB499" s="882"/>
      <c r="AC499" s="882"/>
      <c r="AD499" s="882"/>
      <c r="AE499" s="882"/>
      <c r="AF499" s="882"/>
      <c r="AG499" s="882"/>
      <c r="AH499" s="882"/>
      <c r="AI499" s="882"/>
      <c r="AJ499" s="882"/>
      <c r="AK499" s="882"/>
      <c r="AL499" s="889"/>
    </row>
    <row r="500" spans="1:38" s="890" customFormat="1">
      <c r="A500" s="882">
        <v>278</v>
      </c>
      <c r="B500" s="891">
        <f t="shared" si="49"/>
        <v>-218</v>
      </c>
      <c r="C500" s="882">
        <f t="shared" si="47"/>
        <v>496</v>
      </c>
      <c r="D500" s="883">
        <v>2727</v>
      </c>
      <c r="E500" s="884" t="str">
        <f>IFERROR(VLOOKUP(Table2[[#This Row],[Player No]],Table10[[No]:[Province]],2,0),"")</f>
        <v>AKPOBARO Emmanuel</v>
      </c>
      <c r="F500" s="885" t="str">
        <f>IFERROR(VLOOKUP(Table2[[#This Row],[Player No]],Table10[[No]:[Province]],3,0),"")</f>
        <v>JTTA</v>
      </c>
      <c r="G500" s="892">
        <v>1.34375</v>
      </c>
      <c r="H500" s="886">
        <f>(Table2[[#This Row],[Points 2025]]/2)+SUM(Table2[[#This Row],[O1  ADMIN 2026]:[P2    CAPE TOWN OPEN 2026 ]])</f>
        <v>0.671875</v>
      </c>
      <c r="I500" s="880">
        <f t="shared" si="46"/>
        <v>0</v>
      </c>
      <c r="J500" s="882">
        <f t="shared" si="50"/>
        <v>0</v>
      </c>
      <c r="K500" s="887" t="s">
        <v>6083</v>
      </c>
      <c r="L500" s="887" t="s">
        <v>6083</v>
      </c>
      <c r="M500" s="887" t="s">
        <v>6083</v>
      </c>
      <c r="N500" s="887"/>
      <c r="O500" s="882"/>
      <c r="P500" s="882"/>
      <c r="Q500" s="888"/>
      <c r="R500" s="888"/>
      <c r="S500" s="882"/>
      <c r="T500" s="888"/>
      <c r="U500" s="882"/>
      <c r="V500" s="887"/>
      <c r="W500" s="888"/>
      <c r="X500" s="882"/>
      <c r="Y500" s="888"/>
      <c r="Z500" s="882"/>
      <c r="AA500" s="882"/>
      <c r="AB500" s="882"/>
      <c r="AC500" s="882"/>
      <c r="AD500" s="882"/>
      <c r="AE500" s="882"/>
      <c r="AF500" s="882"/>
      <c r="AG500" s="882"/>
      <c r="AH500" s="882"/>
      <c r="AI500" s="882"/>
      <c r="AJ500" s="882"/>
      <c r="AK500" s="882"/>
      <c r="AL500" s="889"/>
    </row>
    <row r="501" spans="1:38" s="890" customFormat="1">
      <c r="A501" s="882">
        <v>349</v>
      </c>
      <c r="B501" s="891">
        <f t="shared" si="49"/>
        <v>-148</v>
      </c>
      <c r="C501" s="882">
        <f t="shared" si="47"/>
        <v>497</v>
      </c>
      <c r="D501" s="883">
        <v>1841</v>
      </c>
      <c r="E501" s="884" t="str">
        <f>IFERROR(VLOOKUP(Table2[[#This Row],[Player No]],Table10[[No]:[Province]],2,0),"")</f>
        <v xml:space="preserve">FATAGODIEN Riedwaan </v>
      </c>
      <c r="F501" s="885" t="str">
        <f>IFERROR(VLOOKUP(Table2[[#This Row],[Player No]],Table10[[No]:[Province]],3,0),"")</f>
        <v>CW</v>
      </c>
      <c r="G501" s="892">
        <v>1.328125</v>
      </c>
      <c r="H501" s="886">
        <f>(Table2[[#This Row],[Points 2025]]/2)+SUM(Table2[[#This Row],[O1  ADMIN 2026]:[P2    CAPE TOWN OPEN 2026 ]])</f>
        <v>0.6640625</v>
      </c>
      <c r="I501" s="880">
        <f t="shared" si="46"/>
        <v>0</v>
      </c>
      <c r="J501" s="882">
        <f t="shared" si="50"/>
        <v>0</v>
      </c>
      <c r="K501" s="887" t="s">
        <v>6083</v>
      </c>
      <c r="L501" s="887" t="s">
        <v>6083</v>
      </c>
      <c r="M501" s="887" t="s">
        <v>6083</v>
      </c>
      <c r="N501" s="887"/>
      <c r="O501" s="882"/>
      <c r="P501" s="882"/>
      <c r="Q501" s="888"/>
      <c r="R501" s="888"/>
      <c r="S501" s="882"/>
      <c r="T501" s="888"/>
      <c r="U501" s="882"/>
      <c r="V501" s="887"/>
      <c r="W501" s="888"/>
      <c r="X501" s="882"/>
      <c r="Y501" s="888"/>
      <c r="Z501" s="882"/>
      <c r="AA501" s="882"/>
      <c r="AB501" s="882"/>
      <c r="AC501" s="882"/>
      <c r="AD501" s="882"/>
      <c r="AE501" s="882">
        <v>1</v>
      </c>
      <c r="AF501" s="882"/>
      <c r="AG501" s="882"/>
      <c r="AH501" s="882"/>
      <c r="AI501" s="882"/>
      <c r="AJ501" s="882"/>
      <c r="AK501" s="882"/>
      <c r="AL501" s="889"/>
    </row>
    <row r="502" spans="1:38" s="890" customFormat="1">
      <c r="A502" s="882">
        <v>280</v>
      </c>
      <c r="B502" s="891">
        <f t="shared" si="49"/>
        <v>-218</v>
      </c>
      <c r="C502" s="882">
        <f t="shared" si="47"/>
        <v>498</v>
      </c>
      <c r="D502" s="883">
        <v>2581</v>
      </c>
      <c r="E502" s="884" t="str">
        <f>IFERROR(VLOOKUP(Table2[[#This Row],[Player No]],Table10[[No]:[Province]],2,0),"")</f>
        <v>YUSUF Zaheer</v>
      </c>
      <c r="F502" s="885" t="str">
        <f>IFERROR(VLOOKUP(Table2[[#This Row],[Player No]],Table10[[No]:[Province]],3,0),"")</f>
        <v>CT</v>
      </c>
      <c r="G502" s="892">
        <v>1.3125</v>
      </c>
      <c r="H502" s="886">
        <f>(Table2[[#This Row],[Points 2025]]/2)+SUM(Table2[[#This Row],[O1  ADMIN 2026]:[P2    CAPE TOWN OPEN 2026 ]])</f>
        <v>0.65625</v>
      </c>
      <c r="I502" s="880">
        <f t="shared" si="46"/>
        <v>0</v>
      </c>
      <c r="J502" s="882">
        <f t="shared" si="50"/>
        <v>0</v>
      </c>
      <c r="K502" s="887" t="s">
        <v>6083</v>
      </c>
      <c r="L502" s="887" t="s">
        <v>6083</v>
      </c>
      <c r="M502" s="887" t="s">
        <v>6083</v>
      </c>
      <c r="N502" s="887"/>
      <c r="O502" s="882"/>
      <c r="P502" s="882"/>
      <c r="Q502" s="888"/>
      <c r="R502" s="888"/>
      <c r="S502" s="882"/>
      <c r="T502" s="888"/>
      <c r="U502" s="882"/>
      <c r="V502" s="887"/>
      <c r="W502" s="888"/>
      <c r="X502" s="882"/>
      <c r="Y502" s="888"/>
      <c r="Z502" s="882"/>
      <c r="AA502" s="882"/>
      <c r="AB502" s="882"/>
      <c r="AC502" s="882"/>
      <c r="AD502" s="882"/>
      <c r="AE502" s="882"/>
      <c r="AF502" s="882"/>
      <c r="AG502" s="882"/>
      <c r="AH502" s="882"/>
      <c r="AI502" s="882"/>
      <c r="AJ502" s="882"/>
      <c r="AK502" s="882"/>
      <c r="AL502" s="889"/>
    </row>
    <row r="503" spans="1:38" s="890" customFormat="1">
      <c r="A503" s="882">
        <v>281</v>
      </c>
      <c r="B503" s="891">
        <f t="shared" si="49"/>
        <v>-218</v>
      </c>
      <c r="C503" s="882">
        <f t="shared" si="47"/>
        <v>499</v>
      </c>
      <c r="D503" s="883">
        <v>3753</v>
      </c>
      <c r="E503" s="884" t="str">
        <f>IFERROR(VLOOKUP(Table2[[#This Row],[Player No]],Table10[[No]:[Province]],2,0),"")</f>
        <v>SEBOLOKOLODI Brown</v>
      </c>
      <c r="F503" s="885" t="str">
        <f>IFERROR(VLOOKUP(Table2[[#This Row],[Player No]],Table10[[No]:[Province]],3,0),"")</f>
        <v>BOT</v>
      </c>
      <c r="G503" s="892">
        <v>1.3046875</v>
      </c>
      <c r="H503" s="886">
        <f>(Table2[[#This Row],[Points 2025]]/2)+SUM(Table2[[#This Row],[O1  ADMIN 2026]:[P2    CAPE TOWN OPEN 2026 ]])</f>
        <v>0.65234375</v>
      </c>
      <c r="I503" s="880">
        <f t="shared" si="46"/>
        <v>0</v>
      </c>
      <c r="J503" s="882">
        <f t="shared" si="50"/>
        <v>0</v>
      </c>
      <c r="K503" s="887" t="s">
        <v>6083</v>
      </c>
      <c r="L503" s="887" t="s">
        <v>6083</v>
      </c>
      <c r="M503" s="887" t="s">
        <v>6083</v>
      </c>
      <c r="N503" s="887"/>
      <c r="O503" s="882"/>
      <c r="P503" s="882"/>
      <c r="Q503" s="888"/>
      <c r="R503" s="888"/>
      <c r="S503" s="882"/>
      <c r="T503" s="888"/>
      <c r="U503" s="882"/>
      <c r="V503" s="887"/>
      <c r="W503" s="888"/>
      <c r="X503" s="882"/>
      <c r="Y503" s="888"/>
      <c r="Z503" s="882"/>
      <c r="AA503" s="882"/>
      <c r="AB503" s="882"/>
      <c r="AC503" s="882"/>
      <c r="AD503" s="882"/>
      <c r="AE503" s="882"/>
      <c r="AF503" s="882"/>
      <c r="AG503" s="882"/>
      <c r="AH503" s="882"/>
      <c r="AI503" s="882"/>
      <c r="AJ503" s="882"/>
      <c r="AK503" s="882"/>
      <c r="AL503" s="889"/>
    </row>
    <row r="504" spans="1:38" s="890" customFormat="1">
      <c r="A504" s="882">
        <v>282</v>
      </c>
      <c r="B504" s="891">
        <f t="shared" si="49"/>
        <v>-218</v>
      </c>
      <c r="C504" s="882">
        <f t="shared" si="47"/>
        <v>500</v>
      </c>
      <c r="D504" s="883">
        <v>2650</v>
      </c>
      <c r="E504" s="884" t="str">
        <f>IFERROR(VLOOKUP(Table2[[#This Row],[Player No]],Table10[[No]:[Province]],2,0),"")</f>
        <v>MALINGA Itumaleng</v>
      </c>
      <c r="F504" s="885" t="str">
        <f>IFERROR(VLOOKUP(Table2[[#This Row],[Player No]],Table10[[No]:[Province]],3,0),"")</f>
        <v>FS</v>
      </c>
      <c r="G504" s="892">
        <v>1.296875</v>
      </c>
      <c r="H504" s="886">
        <f>(Table2[[#This Row],[Points 2025]]/2)+SUM(Table2[[#This Row],[O1  ADMIN 2026]:[P2    CAPE TOWN OPEN 2026 ]])</f>
        <v>0.6484375</v>
      </c>
      <c r="I504" s="880">
        <f t="shared" si="46"/>
        <v>0</v>
      </c>
      <c r="J504" s="882">
        <f t="shared" si="50"/>
        <v>0</v>
      </c>
      <c r="K504" s="887" t="s">
        <v>6083</v>
      </c>
      <c r="L504" s="887" t="s">
        <v>6083</v>
      </c>
      <c r="M504" s="887" t="s">
        <v>6083</v>
      </c>
      <c r="N504" s="887"/>
      <c r="O504" s="882"/>
      <c r="P504" s="882"/>
      <c r="Q504" s="888"/>
      <c r="R504" s="888"/>
      <c r="S504" s="882"/>
      <c r="T504" s="888"/>
      <c r="U504" s="882"/>
      <c r="V504" s="887"/>
      <c r="W504" s="888"/>
      <c r="X504" s="882"/>
      <c r="Y504" s="888"/>
      <c r="Z504" s="882"/>
      <c r="AA504" s="882"/>
      <c r="AB504" s="882"/>
      <c r="AC504" s="882"/>
      <c r="AD504" s="882"/>
      <c r="AE504" s="882"/>
      <c r="AF504" s="882"/>
      <c r="AG504" s="882"/>
      <c r="AH504" s="882"/>
      <c r="AI504" s="882"/>
      <c r="AJ504" s="882"/>
      <c r="AK504" s="882"/>
      <c r="AL504" s="889"/>
    </row>
    <row r="505" spans="1:38" s="890" customFormat="1">
      <c r="A505" s="882">
        <v>283</v>
      </c>
      <c r="B505" s="891">
        <f t="shared" si="49"/>
        <v>-218</v>
      </c>
      <c r="C505" s="882">
        <f t="shared" si="47"/>
        <v>501</v>
      </c>
      <c r="D505" s="883">
        <v>1724</v>
      </c>
      <c r="E505" s="884" t="str">
        <f>IFERROR(VLOOKUP(Table2[[#This Row],[Player No]],Table10[[No]:[Province]],2,0),"")</f>
        <v xml:space="preserve">PHEKONYANE Seshupo </v>
      </c>
      <c r="F505" s="885" t="str">
        <f>IFERROR(VLOOKUP(Table2[[#This Row],[Player No]],Table10[[No]:[Province]],3,0),"")</f>
        <v>FS</v>
      </c>
      <c r="G505" s="892">
        <v>1.2890625</v>
      </c>
      <c r="H505" s="886">
        <f>(Table2[[#This Row],[Points 2025]]/2)+SUM(Table2[[#This Row],[O1  ADMIN 2026]:[P2    CAPE TOWN OPEN 2026 ]])</f>
        <v>0.64453125</v>
      </c>
      <c r="I505" s="880">
        <f t="shared" si="46"/>
        <v>0</v>
      </c>
      <c r="J505" s="882">
        <f t="shared" si="50"/>
        <v>0</v>
      </c>
      <c r="K505" s="887" t="s">
        <v>6083</v>
      </c>
      <c r="L505" s="887" t="s">
        <v>6083</v>
      </c>
      <c r="M505" s="887" t="s">
        <v>6083</v>
      </c>
      <c r="N505" s="887"/>
      <c r="O505" s="882"/>
      <c r="P505" s="882"/>
      <c r="Q505" s="888"/>
      <c r="R505" s="888"/>
      <c r="S505" s="882"/>
      <c r="T505" s="888"/>
      <c r="U505" s="882"/>
      <c r="V505" s="887"/>
      <c r="W505" s="888"/>
      <c r="X505" s="882"/>
      <c r="Y505" s="888"/>
      <c r="Z505" s="882"/>
      <c r="AA505" s="882"/>
      <c r="AB505" s="882"/>
      <c r="AC505" s="882"/>
      <c r="AD505" s="882"/>
      <c r="AE505" s="882"/>
      <c r="AF505" s="882"/>
      <c r="AG505" s="882"/>
      <c r="AH505" s="882"/>
      <c r="AI505" s="882"/>
      <c r="AJ505" s="882"/>
      <c r="AK505" s="882"/>
      <c r="AL505" s="889"/>
    </row>
    <row r="506" spans="1:38" s="890" customFormat="1">
      <c r="A506" s="882">
        <v>285</v>
      </c>
      <c r="B506" s="891">
        <f t="shared" si="49"/>
        <v>-217</v>
      </c>
      <c r="C506" s="882">
        <f t="shared" si="47"/>
        <v>502</v>
      </c>
      <c r="D506" s="883">
        <v>1218</v>
      </c>
      <c r="E506" s="884" t="str">
        <f>IFERROR(VLOOKUP(Table2[[#This Row],[Player No]],Table10[[No]:[Province]],2,0),"")</f>
        <v xml:space="preserve">SIMONS Cohl </v>
      </c>
      <c r="F506" s="885" t="str">
        <f>IFERROR(VLOOKUP(Table2[[#This Row],[Player No]],Table10[[No]:[Province]],3,0),"")</f>
        <v>EC</v>
      </c>
      <c r="G506" s="892">
        <v>1.28125</v>
      </c>
      <c r="H506" s="886">
        <f>(Table2[[#This Row],[Points 2025]]/2)+SUM(Table2[[#This Row],[O1  ADMIN 2026]:[P2    CAPE TOWN OPEN 2026 ]])</f>
        <v>0.640625</v>
      </c>
      <c r="I506" s="880">
        <f t="shared" si="46"/>
        <v>0</v>
      </c>
      <c r="J506" s="882">
        <f t="shared" si="50"/>
        <v>0</v>
      </c>
      <c r="K506" s="887" t="s">
        <v>6083</v>
      </c>
      <c r="L506" s="887" t="s">
        <v>6083</v>
      </c>
      <c r="M506" s="887" t="s">
        <v>6083</v>
      </c>
      <c r="N506" s="887"/>
      <c r="O506" s="882"/>
      <c r="P506" s="882"/>
      <c r="Q506" s="888"/>
      <c r="R506" s="888"/>
      <c r="S506" s="882"/>
      <c r="T506" s="888"/>
      <c r="U506" s="882"/>
      <c r="V506" s="887"/>
      <c r="W506" s="888"/>
      <c r="X506" s="882"/>
      <c r="Y506" s="888"/>
      <c r="Z506" s="882"/>
      <c r="AA506" s="882"/>
      <c r="AB506" s="882"/>
      <c r="AC506" s="882"/>
      <c r="AD506" s="882"/>
      <c r="AE506" s="882"/>
      <c r="AF506" s="882"/>
      <c r="AG506" s="882"/>
      <c r="AH506" s="882"/>
      <c r="AI506" s="882"/>
      <c r="AJ506" s="882">
        <v>1</v>
      </c>
      <c r="AK506" s="882"/>
      <c r="AL506" s="889"/>
    </row>
    <row r="507" spans="1:38" s="890" customFormat="1">
      <c r="A507" s="882">
        <v>284</v>
      </c>
      <c r="B507" s="891">
        <f t="shared" si="49"/>
        <v>-219</v>
      </c>
      <c r="C507" s="882">
        <f t="shared" si="47"/>
        <v>503</v>
      </c>
      <c r="D507" s="883">
        <v>1301</v>
      </c>
      <c r="E507" s="884" t="str">
        <f>IFERROR(VLOOKUP(Table2[[#This Row],[Player No]],Table10[[No]:[Province]],2,0),"")</f>
        <v xml:space="preserve">NYOKONG Thebogo </v>
      </c>
      <c r="F507" s="885" t="str">
        <f>IFERROR(VLOOKUP(Table2[[#This Row],[Player No]],Table10[[No]:[Province]],3,0),"")</f>
        <v>FS</v>
      </c>
      <c r="G507" s="892">
        <v>1.28125</v>
      </c>
      <c r="H507" s="886">
        <f>(Table2[[#This Row],[Points 2025]]/2)+SUM(Table2[[#This Row],[O1  ADMIN 2026]:[P2    CAPE TOWN OPEN 2026 ]])</f>
        <v>0.640625</v>
      </c>
      <c r="I507" s="880">
        <f t="shared" si="46"/>
        <v>0</v>
      </c>
      <c r="J507" s="882">
        <f t="shared" si="50"/>
        <v>0</v>
      </c>
      <c r="K507" s="887" t="s">
        <v>6083</v>
      </c>
      <c r="L507" s="887" t="s">
        <v>6083</v>
      </c>
      <c r="M507" s="887" t="s">
        <v>6083</v>
      </c>
      <c r="N507" s="887"/>
      <c r="O507" s="882"/>
      <c r="P507" s="882"/>
      <c r="Q507" s="888"/>
      <c r="R507" s="888"/>
      <c r="S507" s="882"/>
      <c r="T507" s="888"/>
      <c r="U507" s="882"/>
      <c r="V507" s="887"/>
      <c r="W507" s="888"/>
      <c r="X507" s="882"/>
      <c r="Y507" s="888"/>
      <c r="Z507" s="882"/>
      <c r="AA507" s="882"/>
      <c r="AB507" s="882"/>
      <c r="AC507" s="882"/>
      <c r="AD507" s="882"/>
      <c r="AE507" s="882"/>
      <c r="AF507" s="882"/>
      <c r="AG507" s="882"/>
      <c r="AH507" s="882"/>
      <c r="AI507" s="882"/>
      <c r="AJ507" s="882"/>
      <c r="AK507" s="882"/>
      <c r="AL507" s="889"/>
    </row>
    <row r="508" spans="1:38" s="890" customFormat="1">
      <c r="A508" s="882">
        <v>286</v>
      </c>
      <c r="B508" s="891">
        <f t="shared" si="49"/>
        <v>-218</v>
      </c>
      <c r="C508" s="882">
        <f t="shared" si="47"/>
        <v>504</v>
      </c>
      <c r="D508" s="883">
        <v>1100</v>
      </c>
      <c r="E508" s="884" t="str">
        <f>IFERROR(VLOOKUP(Table2[[#This Row],[Player No]],Table10[[No]:[Province]],2,0),"")</f>
        <v>NAIDOO Kodeshan</v>
      </c>
      <c r="F508" s="885" t="str">
        <f>IFERROR(VLOOKUP(Table2[[#This Row],[Player No]],Table10[[No]:[Province]],3,0),"")</f>
        <v>ETTA</v>
      </c>
      <c r="G508" s="892">
        <v>1.279296875</v>
      </c>
      <c r="H508" s="886">
        <f>(Table2[[#This Row],[Points 2025]]/2)+SUM(Table2[[#This Row],[O1  ADMIN 2026]:[P2    CAPE TOWN OPEN 2026 ]])</f>
        <v>0.6396484375</v>
      </c>
      <c r="I508" s="880">
        <f t="shared" si="46"/>
        <v>0</v>
      </c>
      <c r="J508" s="882">
        <f t="shared" si="50"/>
        <v>0</v>
      </c>
      <c r="K508" s="887" t="s">
        <v>6083</v>
      </c>
      <c r="L508" s="887" t="s">
        <v>6083</v>
      </c>
      <c r="M508" s="887" t="s">
        <v>6083</v>
      </c>
      <c r="N508" s="887"/>
      <c r="O508" s="882"/>
      <c r="P508" s="882"/>
      <c r="Q508" s="888"/>
      <c r="R508" s="888"/>
      <c r="S508" s="882"/>
      <c r="T508" s="888"/>
      <c r="U508" s="882"/>
      <c r="V508" s="887"/>
      <c r="W508" s="888"/>
      <c r="X508" s="882"/>
      <c r="Y508" s="888"/>
      <c r="Z508" s="882"/>
      <c r="AA508" s="882"/>
      <c r="AB508" s="882"/>
      <c r="AC508" s="882"/>
      <c r="AD508" s="882"/>
      <c r="AE508" s="882"/>
      <c r="AF508" s="882"/>
      <c r="AG508" s="882"/>
      <c r="AH508" s="882"/>
      <c r="AI508" s="882"/>
      <c r="AJ508" s="882"/>
      <c r="AK508" s="882"/>
      <c r="AL508" s="889"/>
    </row>
    <row r="509" spans="1:38" s="890" customFormat="1">
      <c r="A509" s="882">
        <v>309</v>
      </c>
      <c r="B509" s="891">
        <f t="shared" si="49"/>
        <v>-196</v>
      </c>
      <c r="C509" s="882">
        <f t="shared" si="47"/>
        <v>505</v>
      </c>
      <c r="D509" s="883">
        <v>1437</v>
      </c>
      <c r="E509" s="884" t="str">
        <f>IFERROR(VLOOKUP(Table2[[#This Row],[Player No]],Table10[[No]:[Province]],2,0),"")</f>
        <v xml:space="preserve">DU PLESIS Stirvion </v>
      </c>
      <c r="F509" s="885" t="str">
        <f>IFERROR(VLOOKUP(Table2[[#This Row],[Player No]],Table10[[No]:[Province]],3,0),"")</f>
        <v>EC</v>
      </c>
      <c r="G509" s="892">
        <v>1.25</v>
      </c>
      <c r="H509" s="886">
        <f>(Table2[[#This Row],[Points 2025]]/2)+SUM(Table2[[#This Row],[O1  ADMIN 2026]:[P2    CAPE TOWN OPEN 2026 ]])</f>
        <v>0.625</v>
      </c>
      <c r="I509" s="880">
        <f t="shared" si="46"/>
        <v>0</v>
      </c>
      <c r="J509" s="882">
        <f t="shared" si="50"/>
        <v>0</v>
      </c>
      <c r="K509" s="887" t="s">
        <v>6083</v>
      </c>
      <c r="L509" s="887" t="s">
        <v>6083</v>
      </c>
      <c r="M509" s="887" t="s">
        <v>6083</v>
      </c>
      <c r="N509" s="887"/>
      <c r="O509" s="882"/>
      <c r="P509" s="882"/>
      <c r="Q509" s="888"/>
      <c r="R509" s="888"/>
      <c r="S509" s="882"/>
      <c r="T509" s="888"/>
      <c r="U509" s="882"/>
      <c r="V509" s="887"/>
      <c r="W509" s="888"/>
      <c r="X509" s="882"/>
      <c r="Y509" s="888"/>
      <c r="Z509" s="882"/>
      <c r="AA509" s="882"/>
      <c r="AB509" s="882"/>
      <c r="AC509" s="882"/>
      <c r="AD509" s="882"/>
      <c r="AE509" s="882"/>
      <c r="AF509" s="882"/>
      <c r="AG509" s="882"/>
      <c r="AH509" s="882"/>
      <c r="AI509" s="882"/>
      <c r="AJ509" s="882"/>
      <c r="AK509" s="882"/>
      <c r="AL509" s="889"/>
    </row>
    <row r="510" spans="1:38" s="890" customFormat="1">
      <c r="A510" s="882">
        <v>312</v>
      </c>
      <c r="B510" s="891">
        <f t="shared" si="49"/>
        <v>-194</v>
      </c>
      <c r="C510" s="882">
        <f t="shared" si="47"/>
        <v>506</v>
      </c>
      <c r="D510" s="883">
        <v>1443</v>
      </c>
      <c r="E510" s="884" t="str">
        <f>IFERROR(VLOOKUP(Table2[[#This Row],[Player No]],Table10[[No]:[Province]],2,0),"")</f>
        <v xml:space="preserve">MAKHUNGA Sandile </v>
      </c>
      <c r="F510" s="885" t="str">
        <f>IFERROR(VLOOKUP(Table2[[#This Row],[Player No]],Table10[[No]:[Province]],3,0),"")</f>
        <v>UMG</v>
      </c>
      <c r="G510" s="892">
        <v>1.25</v>
      </c>
      <c r="H510" s="886">
        <f>(Table2[[#This Row],[Points 2025]]/2)+SUM(Table2[[#This Row],[O1  ADMIN 2026]:[P2    CAPE TOWN OPEN 2026 ]])</f>
        <v>0.625</v>
      </c>
      <c r="I510" s="880">
        <f t="shared" si="46"/>
        <v>0</v>
      </c>
      <c r="J510" s="882">
        <f t="shared" si="50"/>
        <v>0</v>
      </c>
      <c r="K510" s="887" t="s">
        <v>6083</v>
      </c>
      <c r="L510" s="887" t="s">
        <v>6083</v>
      </c>
      <c r="M510" s="887" t="s">
        <v>6083</v>
      </c>
      <c r="N510" s="887"/>
      <c r="O510" s="882"/>
      <c r="P510" s="882"/>
      <c r="Q510" s="888"/>
      <c r="R510" s="888"/>
      <c r="S510" s="882"/>
      <c r="T510" s="888"/>
      <c r="U510" s="882"/>
      <c r="V510" s="887"/>
      <c r="W510" s="888"/>
      <c r="X510" s="882"/>
      <c r="Y510" s="888"/>
      <c r="Z510" s="882"/>
      <c r="AA510" s="882"/>
      <c r="AB510" s="882"/>
      <c r="AC510" s="882"/>
      <c r="AD510" s="882"/>
      <c r="AE510" s="882"/>
      <c r="AF510" s="882"/>
      <c r="AG510" s="882"/>
      <c r="AH510" s="882"/>
      <c r="AI510" s="882"/>
      <c r="AJ510" s="882"/>
      <c r="AK510" s="882"/>
      <c r="AL510" s="889"/>
    </row>
    <row r="511" spans="1:38" s="890" customFormat="1">
      <c r="A511" s="882">
        <v>290</v>
      </c>
      <c r="B511" s="891">
        <f t="shared" si="49"/>
        <v>-217</v>
      </c>
      <c r="C511" s="882">
        <f t="shared" si="47"/>
        <v>507</v>
      </c>
      <c r="D511" s="883">
        <v>1480</v>
      </c>
      <c r="E511" s="884" t="str">
        <f>IFERROR(VLOOKUP(Table2[[#This Row],[Player No]],Table10[[No]:[Province]],2,0),"")</f>
        <v xml:space="preserve">TATISI Tshireletso </v>
      </c>
      <c r="F511" s="885" t="str">
        <f>IFERROR(VLOOKUP(Table2[[#This Row],[Player No]],Table10[[No]:[Province]],3,0),"")</f>
        <v>NC</v>
      </c>
      <c r="G511" s="892">
        <v>1.25</v>
      </c>
      <c r="H511" s="886">
        <f>(Table2[[#This Row],[Points 2025]]/2)+SUM(Table2[[#This Row],[O1  ADMIN 2026]:[P2    CAPE TOWN OPEN 2026 ]])</f>
        <v>0.625</v>
      </c>
      <c r="I511" s="880">
        <f t="shared" si="46"/>
        <v>0</v>
      </c>
      <c r="J511" s="882">
        <f t="shared" si="50"/>
        <v>0</v>
      </c>
      <c r="K511" s="887" t="s">
        <v>6083</v>
      </c>
      <c r="L511" s="887" t="s">
        <v>6083</v>
      </c>
      <c r="M511" s="887" t="s">
        <v>6083</v>
      </c>
      <c r="N511" s="887"/>
      <c r="O511" s="882"/>
      <c r="P511" s="882"/>
      <c r="Q511" s="888"/>
      <c r="R511" s="888"/>
      <c r="S511" s="882"/>
      <c r="T511" s="888"/>
      <c r="U511" s="882"/>
      <c r="V511" s="887"/>
      <c r="W511" s="888"/>
      <c r="X511" s="882"/>
      <c r="Y511" s="888"/>
      <c r="Z511" s="882"/>
      <c r="AA511" s="882"/>
      <c r="AB511" s="882"/>
      <c r="AC511" s="882"/>
      <c r="AD511" s="882"/>
      <c r="AE511" s="882"/>
      <c r="AF511" s="882"/>
      <c r="AG511" s="882"/>
      <c r="AH511" s="882"/>
      <c r="AI511" s="882"/>
      <c r="AJ511" s="882"/>
      <c r="AK511" s="882"/>
      <c r="AL511" s="889"/>
    </row>
    <row r="512" spans="1:38" s="890" customFormat="1">
      <c r="A512" s="882">
        <v>301</v>
      </c>
      <c r="B512" s="891">
        <f t="shared" si="49"/>
        <v>-207</v>
      </c>
      <c r="C512" s="882">
        <f t="shared" si="47"/>
        <v>508</v>
      </c>
      <c r="D512" s="883">
        <v>1529</v>
      </c>
      <c r="E512" s="884" t="str">
        <f>IFERROR(VLOOKUP(Table2[[#This Row],[Player No]],Table10[[No]:[Province]],2,0),"")</f>
        <v>MCKENZIE Kurt</v>
      </c>
      <c r="F512" s="885" t="str">
        <f>IFERROR(VLOOKUP(Table2[[#This Row],[Player No]],Table10[[No]:[Province]],3,0),"")</f>
        <v>FS</v>
      </c>
      <c r="G512" s="892">
        <v>1.25</v>
      </c>
      <c r="H512" s="886">
        <f>(Table2[[#This Row],[Points 2025]]/2)+SUM(Table2[[#This Row],[O1  ADMIN 2026]:[P2    CAPE TOWN OPEN 2026 ]])</f>
        <v>0.625</v>
      </c>
      <c r="I512" s="880">
        <f t="shared" si="46"/>
        <v>0</v>
      </c>
      <c r="J512" s="882">
        <f t="shared" si="50"/>
        <v>0</v>
      </c>
      <c r="K512" s="887" t="s">
        <v>6083</v>
      </c>
      <c r="L512" s="887" t="s">
        <v>6083</v>
      </c>
      <c r="M512" s="887" t="s">
        <v>6083</v>
      </c>
      <c r="N512" s="887"/>
      <c r="O512" s="882"/>
      <c r="P512" s="882"/>
      <c r="Q512" s="888"/>
      <c r="R512" s="888"/>
      <c r="S512" s="882"/>
      <c r="T512" s="888"/>
      <c r="U512" s="882"/>
      <c r="V512" s="887"/>
      <c r="W512" s="888"/>
      <c r="X512" s="882"/>
      <c r="Y512" s="888"/>
      <c r="Z512" s="882"/>
      <c r="AA512" s="882"/>
      <c r="AB512" s="882"/>
      <c r="AC512" s="882"/>
      <c r="AD512" s="882"/>
      <c r="AE512" s="882"/>
      <c r="AF512" s="882"/>
      <c r="AG512" s="882"/>
      <c r="AH512" s="882"/>
      <c r="AI512" s="882"/>
      <c r="AJ512" s="882"/>
      <c r="AK512" s="882"/>
      <c r="AL512" s="889"/>
    </row>
    <row r="513" spans="1:38" s="890" customFormat="1">
      <c r="A513" s="882">
        <v>307</v>
      </c>
      <c r="B513" s="891">
        <f t="shared" si="49"/>
        <v>-202</v>
      </c>
      <c r="C513" s="882">
        <f t="shared" si="47"/>
        <v>509</v>
      </c>
      <c r="D513" s="883">
        <v>1798</v>
      </c>
      <c r="E513" s="884" t="str">
        <f>IFERROR(VLOOKUP(Table2[[#This Row],[Player No]],Table10[[No]:[Province]],2,0),"")</f>
        <v xml:space="preserve">BOCKS Denven </v>
      </c>
      <c r="F513" s="885" t="str">
        <f>IFERROR(VLOOKUP(Table2[[#This Row],[Player No]],Table10[[No]:[Province]],3,0),"")</f>
        <v>WC</v>
      </c>
      <c r="G513" s="892">
        <v>1.25</v>
      </c>
      <c r="H513" s="886">
        <f>(Table2[[#This Row],[Points 2025]]/2)+SUM(Table2[[#This Row],[O1  ADMIN 2026]:[P2    CAPE TOWN OPEN 2026 ]])</f>
        <v>0.625</v>
      </c>
      <c r="I513" s="880">
        <f t="shared" si="46"/>
        <v>0</v>
      </c>
      <c r="J513" s="882">
        <f t="shared" si="50"/>
        <v>0</v>
      </c>
      <c r="K513" s="887" t="s">
        <v>6083</v>
      </c>
      <c r="L513" s="887" t="s">
        <v>6083</v>
      </c>
      <c r="M513" s="887" t="s">
        <v>6083</v>
      </c>
      <c r="N513" s="887"/>
      <c r="O513" s="882"/>
      <c r="P513" s="882"/>
      <c r="Q513" s="888"/>
      <c r="R513" s="888"/>
      <c r="S513" s="882"/>
      <c r="T513" s="888"/>
      <c r="U513" s="882"/>
      <c r="V513" s="887"/>
      <c r="W513" s="888"/>
      <c r="X513" s="882"/>
      <c r="Y513" s="888"/>
      <c r="Z513" s="882"/>
      <c r="AA513" s="882"/>
      <c r="AB513" s="882"/>
      <c r="AC513" s="882"/>
      <c r="AD513" s="882"/>
      <c r="AE513" s="882"/>
      <c r="AF513" s="882"/>
      <c r="AG513" s="882"/>
      <c r="AH513" s="882"/>
      <c r="AI513" s="882"/>
      <c r="AJ513" s="882"/>
      <c r="AK513" s="882"/>
      <c r="AL513" s="889"/>
    </row>
    <row r="514" spans="1:38" s="890" customFormat="1">
      <c r="A514" s="882">
        <v>288</v>
      </c>
      <c r="B514" s="891">
        <f t="shared" si="49"/>
        <v>-222</v>
      </c>
      <c r="C514" s="882">
        <f t="shared" si="47"/>
        <v>510</v>
      </c>
      <c r="D514" s="883">
        <v>1981</v>
      </c>
      <c r="E514" s="884" t="str">
        <f>IFERROR(VLOOKUP(Table2[[#This Row],[Player No]],Table10[[No]:[Province]],2,0),"")</f>
        <v>PADAYACHEE Dasan</v>
      </c>
      <c r="F514" s="885" t="str">
        <f>IFERROR(VLOOKUP(Table2[[#This Row],[Player No]],Table10[[No]:[Province]],3,0),"")</f>
        <v>ETTA</v>
      </c>
      <c r="G514" s="892">
        <v>1.25</v>
      </c>
      <c r="H514" s="886">
        <f>(Table2[[#This Row],[Points 2025]]/2)+SUM(Table2[[#This Row],[O1  ADMIN 2026]:[P2    CAPE TOWN OPEN 2026 ]])</f>
        <v>0.625</v>
      </c>
      <c r="I514" s="880">
        <f t="shared" si="46"/>
        <v>0</v>
      </c>
      <c r="J514" s="882">
        <f t="shared" si="50"/>
        <v>0</v>
      </c>
      <c r="K514" s="887" t="s">
        <v>6083</v>
      </c>
      <c r="L514" s="887" t="s">
        <v>6083</v>
      </c>
      <c r="M514" s="887" t="s">
        <v>6083</v>
      </c>
      <c r="N514" s="887"/>
      <c r="O514" s="882"/>
      <c r="P514" s="882"/>
      <c r="Q514" s="888"/>
      <c r="R514" s="888"/>
      <c r="S514" s="882"/>
      <c r="T514" s="888"/>
      <c r="U514" s="882"/>
      <c r="V514" s="887"/>
      <c r="W514" s="888"/>
      <c r="X514" s="882"/>
      <c r="Y514" s="888"/>
      <c r="Z514" s="882"/>
      <c r="AA514" s="882"/>
      <c r="AB514" s="882"/>
      <c r="AC514" s="882"/>
      <c r="AD514" s="882"/>
      <c r="AE514" s="882"/>
      <c r="AF514" s="882"/>
      <c r="AG514" s="882"/>
      <c r="AH514" s="882"/>
      <c r="AI514" s="882"/>
      <c r="AJ514" s="882"/>
      <c r="AK514" s="882"/>
      <c r="AL514" s="889"/>
    </row>
    <row r="515" spans="1:38" s="890" customFormat="1">
      <c r="A515" s="882">
        <v>298</v>
      </c>
      <c r="B515" s="891">
        <f t="shared" si="49"/>
        <v>-213</v>
      </c>
      <c r="C515" s="882">
        <f t="shared" si="47"/>
        <v>511</v>
      </c>
      <c r="D515" s="883">
        <v>2221</v>
      </c>
      <c r="E515" s="884" t="str">
        <f>IFERROR(VLOOKUP(Table2[[#This Row],[Player No]],Table10[[No]:[Province]],2,0),"")</f>
        <v>TONGWANE Kaone Phenyo</v>
      </c>
      <c r="F515" s="885" t="str">
        <f>IFERROR(VLOOKUP(Table2[[#This Row],[Player No]],Table10[[No]:[Province]],3,0),"")</f>
        <v>NC</v>
      </c>
      <c r="G515" s="892">
        <v>1.25</v>
      </c>
      <c r="H515" s="886">
        <f>(Table2[[#This Row],[Points 2025]]/2)+SUM(Table2[[#This Row],[O1  ADMIN 2026]:[P2    CAPE TOWN OPEN 2026 ]])</f>
        <v>0.625</v>
      </c>
      <c r="I515" s="880">
        <f t="shared" si="46"/>
        <v>0</v>
      </c>
      <c r="J515" s="882">
        <f t="shared" si="50"/>
        <v>0</v>
      </c>
      <c r="K515" s="887" t="s">
        <v>6083</v>
      </c>
      <c r="L515" s="887" t="s">
        <v>6083</v>
      </c>
      <c r="M515" s="887" t="s">
        <v>6083</v>
      </c>
      <c r="N515" s="887"/>
      <c r="O515" s="882"/>
      <c r="P515" s="882"/>
      <c r="Q515" s="888"/>
      <c r="R515" s="888"/>
      <c r="S515" s="882"/>
      <c r="T515" s="888"/>
      <c r="U515" s="882"/>
      <c r="V515" s="887"/>
      <c r="W515" s="888"/>
      <c r="X515" s="882"/>
      <c r="Y515" s="888"/>
      <c r="Z515" s="882"/>
      <c r="AA515" s="882"/>
      <c r="AB515" s="882"/>
      <c r="AC515" s="882"/>
      <c r="AD515" s="882"/>
      <c r="AE515" s="882"/>
      <c r="AF515" s="882"/>
      <c r="AG515" s="882"/>
      <c r="AH515" s="882"/>
      <c r="AI515" s="882"/>
      <c r="AJ515" s="882"/>
      <c r="AK515" s="882"/>
      <c r="AL515" s="889"/>
    </row>
    <row r="516" spans="1:38" s="890" customFormat="1">
      <c r="A516" s="882">
        <v>305</v>
      </c>
      <c r="B516" s="891">
        <f t="shared" si="49"/>
        <v>-207</v>
      </c>
      <c r="C516" s="882">
        <f t="shared" si="47"/>
        <v>512</v>
      </c>
      <c r="D516" s="883">
        <v>2569</v>
      </c>
      <c r="E516" s="884" t="str">
        <f>IFERROR(VLOOKUP(Table2[[#This Row],[Player No]],Table10[[No]:[Province]],2,0),"")</f>
        <v>DAVIDS Liam</v>
      </c>
      <c r="F516" s="885" t="str">
        <f>IFERROR(VLOOKUP(Table2[[#This Row],[Player No]],Table10[[No]:[Province]],3,0),"")</f>
        <v>CT</v>
      </c>
      <c r="G516" s="892">
        <v>1.25</v>
      </c>
      <c r="H516" s="886">
        <f>(Table2[[#This Row],[Points 2025]]/2)+SUM(Table2[[#This Row],[O1  ADMIN 2026]:[P2    CAPE TOWN OPEN 2026 ]])</f>
        <v>0.625</v>
      </c>
      <c r="I516" s="880">
        <f t="shared" si="46"/>
        <v>0</v>
      </c>
      <c r="J516" s="882">
        <f t="shared" si="50"/>
        <v>0</v>
      </c>
      <c r="K516" s="887" t="s">
        <v>6083</v>
      </c>
      <c r="L516" s="887" t="s">
        <v>6083</v>
      </c>
      <c r="M516" s="887" t="s">
        <v>6083</v>
      </c>
      <c r="N516" s="887"/>
      <c r="O516" s="882"/>
      <c r="P516" s="882"/>
      <c r="Q516" s="888"/>
      <c r="R516" s="888"/>
      <c r="S516" s="882"/>
      <c r="T516" s="888"/>
      <c r="U516" s="882"/>
      <c r="V516" s="887"/>
      <c r="W516" s="888"/>
      <c r="X516" s="882"/>
      <c r="Y516" s="888"/>
      <c r="Z516" s="882"/>
      <c r="AA516" s="882"/>
      <c r="AB516" s="882"/>
      <c r="AC516" s="882"/>
      <c r="AD516" s="882"/>
      <c r="AE516" s="882"/>
      <c r="AF516" s="882"/>
      <c r="AG516" s="882"/>
      <c r="AH516" s="882"/>
      <c r="AI516" s="882"/>
      <c r="AJ516" s="882"/>
      <c r="AK516" s="882"/>
      <c r="AL516" s="889"/>
    </row>
    <row r="517" spans="1:38" s="890" customFormat="1">
      <c r="A517" s="882">
        <v>299</v>
      </c>
      <c r="B517" s="891">
        <f t="shared" si="49"/>
        <v>-214</v>
      </c>
      <c r="C517" s="882">
        <f t="shared" si="47"/>
        <v>513</v>
      </c>
      <c r="D517" s="883">
        <v>2884</v>
      </c>
      <c r="E517" s="884" t="str">
        <f>IFERROR(VLOOKUP(Table2[[#This Row],[Player No]],Table10[[No]:[Province]],2,0),"")</f>
        <v>FRANCIS Saun</v>
      </c>
      <c r="F517" s="885" t="str">
        <f>IFERROR(VLOOKUP(Table2[[#This Row],[Player No]],Table10[[No]:[Province]],3,0),"")</f>
        <v>GN</v>
      </c>
      <c r="G517" s="892">
        <v>1.25</v>
      </c>
      <c r="H517" s="886">
        <f>(Table2[[#This Row],[Points 2025]]/2)+SUM(Table2[[#This Row],[O1  ADMIN 2026]:[P2    CAPE TOWN OPEN 2026 ]])</f>
        <v>0.625</v>
      </c>
      <c r="I517" s="880">
        <f t="shared" ref="I517:I580" si="51">COUNTIF(K517:N517,"&gt;0")</f>
        <v>0</v>
      </c>
      <c r="J517" s="882">
        <f t="shared" si="50"/>
        <v>0</v>
      </c>
      <c r="K517" s="887" t="s">
        <v>6083</v>
      </c>
      <c r="L517" s="887" t="s">
        <v>6083</v>
      </c>
      <c r="M517" s="887" t="s">
        <v>6083</v>
      </c>
      <c r="N517" s="887"/>
      <c r="O517" s="882"/>
      <c r="P517" s="882"/>
      <c r="Q517" s="888"/>
      <c r="R517" s="888"/>
      <c r="S517" s="882"/>
      <c r="T517" s="888"/>
      <c r="U517" s="882"/>
      <c r="V517" s="887"/>
      <c r="W517" s="888"/>
      <c r="X517" s="882"/>
      <c r="Y517" s="888"/>
      <c r="Z517" s="882"/>
      <c r="AA517" s="882"/>
      <c r="AB517" s="882"/>
      <c r="AC517" s="882"/>
      <c r="AD517" s="882"/>
      <c r="AE517" s="882"/>
      <c r="AF517" s="882"/>
      <c r="AG517" s="882"/>
      <c r="AH517" s="882"/>
      <c r="AI517" s="882"/>
      <c r="AJ517" s="882"/>
      <c r="AK517" s="882"/>
      <c r="AL517" s="889"/>
    </row>
    <row r="518" spans="1:38" s="890" customFormat="1">
      <c r="A518" s="882">
        <v>300</v>
      </c>
      <c r="B518" s="891">
        <f t="shared" si="49"/>
        <v>-214</v>
      </c>
      <c r="C518" s="882">
        <f t="shared" ref="C518:C581" si="52">C517+1</f>
        <v>514</v>
      </c>
      <c r="D518" s="883">
        <v>2973</v>
      </c>
      <c r="E518" s="884" t="str">
        <f>IFERROR(VLOOKUP(Table2[[#This Row],[Player No]],Table10[[No]:[Province]],2,0),"")</f>
        <v>SEKAMOENG Thato</v>
      </c>
      <c r="F518" s="885" t="str">
        <f>IFERROR(VLOOKUP(Table2[[#This Row],[Player No]],Table10[[No]:[Province]],3,0),"")</f>
        <v>NC</v>
      </c>
      <c r="G518" s="892">
        <v>1.25</v>
      </c>
      <c r="H518" s="886">
        <f>(Table2[[#This Row],[Points 2025]]/2)+SUM(Table2[[#This Row],[O1  ADMIN 2026]:[P2    CAPE TOWN OPEN 2026 ]])</f>
        <v>0.625</v>
      </c>
      <c r="I518" s="880">
        <f t="shared" si="51"/>
        <v>0</v>
      </c>
      <c r="J518" s="882">
        <f t="shared" si="50"/>
        <v>0</v>
      </c>
      <c r="K518" s="887" t="s">
        <v>6083</v>
      </c>
      <c r="L518" s="887" t="s">
        <v>6083</v>
      </c>
      <c r="M518" s="887" t="s">
        <v>6083</v>
      </c>
      <c r="N518" s="887"/>
      <c r="O518" s="882"/>
      <c r="P518" s="882"/>
      <c r="Q518" s="888"/>
      <c r="R518" s="888"/>
      <c r="S518" s="882"/>
      <c r="T518" s="888"/>
      <c r="U518" s="882"/>
      <c r="V518" s="887"/>
      <c r="W518" s="888">
        <v>0</v>
      </c>
      <c r="X518" s="882"/>
      <c r="Y518" s="888"/>
      <c r="Z518" s="882"/>
      <c r="AA518" s="882"/>
      <c r="AB518" s="882"/>
      <c r="AC518" s="882"/>
      <c r="AD518" s="882"/>
      <c r="AE518" s="882"/>
      <c r="AF518" s="882"/>
      <c r="AG518" s="882"/>
      <c r="AH518" s="882"/>
      <c r="AI518" s="882"/>
      <c r="AJ518" s="882"/>
      <c r="AK518" s="882"/>
      <c r="AL518" s="889"/>
    </row>
    <row r="519" spans="1:38" s="890" customFormat="1">
      <c r="A519" s="882">
        <v>310</v>
      </c>
      <c r="B519" s="891">
        <f t="shared" si="49"/>
        <v>-205</v>
      </c>
      <c r="C519" s="882">
        <f t="shared" si="52"/>
        <v>515</v>
      </c>
      <c r="D519" s="883">
        <v>3405</v>
      </c>
      <c r="E519" s="884" t="str">
        <f>IFERROR(VLOOKUP(Table2[[#This Row],[Player No]],Table10[[No]:[Province]],2,0),"")</f>
        <v>NAIKER Uveshan</v>
      </c>
      <c r="F519" s="885" t="str">
        <f>IFERROR(VLOOKUP(Table2[[#This Row],[Player No]],Table10[[No]:[Province]],3,0),"")</f>
        <v>ETTA</v>
      </c>
      <c r="G519" s="892">
        <v>1.25</v>
      </c>
      <c r="H519" s="886">
        <f>(Table2[[#This Row],[Points 2025]]/2)+SUM(Table2[[#This Row],[O1  ADMIN 2026]:[P2    CAPE TOWN OPEN 2026 ]])</f>
        <v>0.625</v>
      </c>
      <c r="I519" s="880">
        <f t="shared" si="51"/>
        <v>0</v>
      </c>
      <c r="J519" s="882">
        <f t="shared" si="50"/>
        <v>0</v>
      </c>
      <c r="K519" s="887" t="s">
        <v>6083</v>
      </c>
      <c r="L519" s="887" t="s">
        <v>6083</v>
      </c>
      <c r="M519" s="887" t="s">
        <v>6083</v>
      </c>
      <c r="N519" s="887"/>
      <c r="O519" s="882"/>
      <c r="P519" s="882"/>
      <c r="Q519" s="888"/>
      <c r="R519" s="888"/>
      <c r="S519" s="882"/>
      <c r="T519" s="888"/>
      <c r="U519" s="882"/>
      <c r="V519" s="887"/>
      <c r="W519" s="888"/>
      <c r="X519" s="882"/>
      <c r="Y519" s="888"/>
      <c r="Z519" s="882"/>
      <c r="AA519" s="882"/>
      <c r="AB519" s="882"/>
      <c r="AC519" s="882"/>
      <c r="AD519" s="882"/>
      <c r="AE519" s="882"/>
      <c r="AF519" s="882"/>
      <c r="AG519" s="882"/>
      <c r="AH519" s="882"/>
      <c r="AI519" s="882"/>
      <c r="AJ519" s="882"/>
      <c r="AK519" s="882"/>
      <c r="AL519" s="889"/>
    </row>
    <row r="520" spans="1:38" s="890" customFormat="1">
      <c r="A520" s="882">
        <v>360</v>
      </c>
      <c r="B520" s="891">
        <f t="shared" si="49"/>
        <v>-156</v>
      </c>
      <c r="C520" s="882">
        <f t="shared" si="52"/>
        <v>516</v>
      </c>
      <c r="D520" s="883">
        <v>3423</v>
      </c>
      <c r="E520" s="884" t="str">
        <f>IFERROR(VLOOKUP(Table2[[#This Row],[Player No]],Table10[[No]:[Province]],2,0),"")</f>
        <v>PARKER Sameer</v>
      </c>
      <c r="F520" s="885" t="str">
        <f>IFERROR(VLOOKUP(Table2[[#This Row],[Player No]],Table10[[No]:[Province]],3,0),"")</f>
        <v>CT</v>
      </c>
      <c r="G520" s="892">
        <v>1.25</v>
      </c>
      <c r="H520" s="886">
        <f>(Table2[[#This Row],[Points 2025]]/2)+SUM(Table2[[#This Row],[O1  ADMIN 2026]:[P2    CAPE TOWN OPEN 2026 ]])</f>
        <v>0.625</v>
      </c>
      <c r="I520" s="880">
        <f t="shared" si="51"/>
        <v>0</v>
      </c>
      <c r="J520" s="882">
        <f t="shared" si="50"/>
        <v>0</v>
      </c>
      <c r="K520" s="887" t="s">
        <v>6083</v>
      </c>
      <c r="L520" s="887" t="s">
        <v>6083</v>
      </c>
      <c r="M520" s="887" t="s">
        <v>6083</v>
      </c>
      <c r="N520" s="887"/>
      <c r="O520" s="882"/>
      <c r="P520" s="882"/>
      <c r="Q520" s="888"/>
      <c r="R520" s="888"/>
      <c r="S520" s="882"/>
      <c r="T520" s="888"/>
      <c r="U520" s="882"/>
      <c r="V520" s="887"/>
      <c r="W520" s="888"/>
      <c r="X520" s="882"/>
      <c r="Y520" s="888"/>
      <c r="Z520" s="882"/>
      <c r="AA520" s="882"/>
      <c r="AB520" s="882"/>
      <c r="AC520" s="882"/>
      <c r="AD520" s="882"/>
      <c r="AE520" s="882">
        <v>1</v>
      </c>
      <c r="AF520" s="882"/>
      <c r="AG520" s="882"/>
      <c r="AH520" s="882"/>
      <c r="AI520" s="882"/>
      <c r="AJ520" s="882"/>
      <c r="AK520" s="882"/>
      <c r="AL520" s="889"/>
    </row>
    <row r="521" spans="1:38" s="890" customFormat="1">
      <c r="A521" s="882">
        <v>306</v>
      </c>
      <c r="B521" s="891">
        <f t="shared" si="49"/>
        <v>-211</v>
      </c>
      <c r="C521" s="882">
        <f t="shared" si="52"/>
        <v>517</v>
      </c>
      <c r="D521" s="883">
        <v>3435</v>
      </c>
      <c r="E521" s="884" t="str">
        <f>IFERROR(VLOOKUP(Table2[[#This Row],[Player No]],Table10[[No]:[Province]],2,0),"")</f>
        <v>BROWN Evan</v>
      </c>
      <c r="F521" s="885" t="str">
        <f>IFERROR(VLOOKUP(Table2[[#This Row],[Player No]],Table10[[No]:[Province]],3,0),"")</f>
        <v>GN</v>
      </c>
      <c r="G521" s="892">
        <v>1.25</v>
      </c>
      <c r="H521" s="886">
        <f>(Table2[[#This Row],[Points 2025]]/2)+SUM(Table2[[#This Row],[O1  ADMIN 2026]:[P2    CAPE TOWN OPEN 2026 ]])</f>
        <v>0.625</v>
      </c>
      <c r="I521" s="880">
        <f t="shared" si="51"/>
        <v>0</v>
      </c>
      <c r="J521" s="882">
        <f t="shared" si="50"/>
        <v>0</v>
      </c>
      <c r="K521" s="887" t="s">
        <v>6083</v>
      </c>
      <c r="L521" s="887" t="s">
        <v>6083</v>
      </c>
      <c r="M521" s="887" t="s">
        <v>6083</v>
      </c>
      <c r="N521" s="887"/>
      <c r="O521" s="882"/>
      <c r="P521" s="882"/>
      <c r="Q521" s="888"/>
      <c r="R521" s="888"/>
      <c r="S521" s="882"/>
      <c r="T521" s="888"/>
      <c r="U521" s="882"/>
      <c r="V521" s="887"/>
      <c r="W521" s="888"/>
      <c r="X521" s="882"/>
      <c r="Y521" s="888"/>
      <c r="Z521" s="882"/>
      <c r="AA521" s="882"/>
      <c r="AB521" s="882"/>
      <c r="AC521" s="882"/>
      <c r="AD521" s="882"/>
      <c r="AE521" s="882"/>
      <c r="AF521" s="882"/>
      <c r="AG521" s="882"/>
      <c r="AH521" s="882"/>
      <c r="AI521" s="882"/>
      <c r="AJ521" s="882"/>
      <c r="AK521" s="882"/>
      <c r="AL521" s="889"/>
    </row>
    <row r="522" spans="1:38" s="890" customFormat="1">
      <c r="A522" s="882">
        <v>291</v>
      </c>
      <c r="B522" s="891">
        <f t="shared" si="49"/>
        <v>-227</v>
      </c>
      <c r="C522" s="882">
        <f t="shared" si="52"/>
        <v>518</v>
      </c>
      <c r="D522" s="883">
        <v>3519</v>
      </c>
      <c r="E522" s="884" t="str">
        <f>IFERROR(VLOOKUP(Table2[[#This Row],[Player No]],Table10[[No]:[Province]],2,0),"")</f>
        <v>LAWRENCE Ronald</v>
      </c>
      <c r="F522" s="885" t="str">
        <f>IFERROR(VLOOKUP(Table2[[#This Row],[Player No]],Table10[[No]:[Province]],3,0),"")</f>
        <v>GN</v>
      </c>
      <c r="G522" s="892">
        <v>1.25</v>
      </c>
      <c r="H522" s="886">
        <f>(Table2[[#This Row],[Points 2025]]/2)+SUM(Table2[[#This Row],[O1  ADMIN 2026]:[P2    CAPE TOWN OPEN 2026 ]])</f>
        <v>0.625</v>
      </c>
      <c r="I522" s="880">
        <f t="shared" si="51"/>
        <v>0</v>
      </c>
      <c r="J522" s="882">
        <f t="shared" si="50"/>
        <v>0</v>
      </c>
      <c r="K522" s="887" t="s">
        <v>6083</v>
      </c>
      <c r="L522" s="887" t="s">
        <v>6083</v>
      </c>
      <c r="M522" s="887" t="s">
        <v>6083</v>
      </c>
      <c r="N522" s="887"/>
      <c r="O522" s="882"/>
      <c r="P522" s="882"/>
      <c r="Q522" s="888"/>
      <c r="R522" s="888"/>
      <c r="S522" s="882"/>
      <c r="T522" s="888"/>
      <c r="U522" s="882"/>
      <c r="V522" s="887"/>
      <c r="W522" s="888"/>
      <c r="X522" s="882"/>
      <c r="Y522" s="888"/>
      <c r="Z522" s="882"/>
      <c r="AA522" s="882"/>
      <c r="AB522" s="882"/>
      <c r="AC522" s="882"/>
      <c r="AD522" s="882"/>
      <c r="AE522" s="882"/>
      <c r="AF522" s="882"/>
      <c r="AG522" s="882"/>
      <c r="AH522" s="882"/>
      <c r="AI522" s="882"/>
      <c r="AJ522" s="882"/>
      <c r="AK522" s="882"/>
      <c r="AL522" s="889"/>
    </row>
    <row r="523" spans="1:38" s="890" customFormat="1">
      <c r="A523" s="882">
        <v>292</v>
      </c>
      <c r="B523" s="891">
        <f t="shared" si="49"/>
        <v>-227</v>
      </c>
      <c r="C523" s="882">
        <f t="shared" si="52"/>
        <v>519</v>
      </c>
      <c r="D523" s="883">
        <v>3520</v>
      </c>
      <c r="E523" s="884" t="str">
        <f>IFERROR(VLOOKUP(Table2[[#This Row],[Player No]],Table10[[No]:[Province]],2,0),"")</f>
        <v>DLAMINI Sammy</v>
      </c>
      <c r="F523" s="885" t="str">
        <f>IFERROR(VLOOKUP(Table2[[#This Row],[Player No]],Table10[[No]:[Province]],3,0),"")</f>
        <v>FS</v>
      </c>
      <c r="G523" s="892">
        <v>1.25</v>
      </c>
      <c r="H523" s="886">
        <f>(Table2[[#This Row],[Points 2025]]/2)+SUM(Table2[[#This Row],[O1  ADMIN 2026]:[P2    CAPE TOWN OPEN 2026 ]])</f>
        <v>0.625</v>
      </c>
      <c r="I523" s="880">
        <f t="shared" si="51"/>
        <v>0</v>
      </c>
      <c r="J523" s="882">
        <f t="shared" si="50"/>
        <v>0</v>
      </c>
      <c r="K523" s="887" t="s">
        <v>6083</v>
      </c>
      <c r="L523" s="887" t="s">
        <v>6083</v>
      </c>
      <c r="M523" s="887" t="s">
        <v>6083</v>
      </c>
      <c r="N523" s="887"/>
      <c r="O523" s="882"/>
      <c r="P523" s="882"/>
      <c r="Q523" s="888"/>
      <c r="R523" s="888"/>
      <c r="S523" s="882"/>
      <c r="T523" s="888"/>
      <c r="U523" s="882"/>
      <c r="V523" s="887"/>
      <c r="W523" s="888"/>
      <c r="X523" s="882"/>
      <c r="Y523" s="888"/>
      <c r="Z523" s="882"/>
      <c r="AA523" s="882"/>
      <c r="AB523" s="882"/>
      <c r="AC523" s="882"/>
      <c r="AD523" s="882"/>
      <c r="AE523" s="882"/>
      <c r="AF523" s="882"/>
      <c r="AG523" s="882"/>
      <c r="AH523" s="882"/>
      <c r="AI523" s="882"/>
      <c r="AJ523" s="882"/>
      <c r="AK523" s="882"/>
      <c r="AL523" s="889"/>
    </row>
    <row r="524" spans="1:38" s="890" customFormat="1">
      <c r="A524" s="882">
        <v>293</v>
      </c>
      <c r="B524" s="891">
        <f t="shared" si="49"/>
        <v>-227</v>
      </c>
      <c r="C524" s="882">
        <f t="shared" si="52"/>
        <v>520</v>
      </c>
      <c r="D524" s="883">
        <v>3521</v>
      </c>
      <c r="E524" s="884" t="str">
        <f>IFERROR(VLOOKUP(Table2[[#This Row],[Player No]],Table10[[No]:[Province]],2,0),"")</f>
        <v>KOLOBE Ishmael</v>
      </c>
      <c r="F524" s="885" t="str">
        <f>IFERROR(VLOOKUP(Table2[[#This Row],[Player No]],Table10[[No]:[Province]],3,0),"")</f>
        <v>FS</v>
      </c>
      <c r="G524" s="892">
        <v>1.25</v>
      </c>
      <c r="H524" s="886">
        <f>(Table2[[#This Row],[Points 2025]]/2)+SUM(Table2[[#This Row],[O1  ADMIN 2026]:[P2    CAPE TOWN OPEN 2026 ]])</f>
        <v>0.625</v>
      </c>
      <c r="I524" s="880">
        <f t="shared" si="51"/>
        <v>0</v>
      </c>
      <c r="J524" s="882">
        <f t="shared" si="50"/>
        <v>0</v>
      </c>
      <c r="K524" s="887" t="s">
        <v>6083</v>
      </c>
      <c r="L524" s="887" t="s">
        <v>6083</v>
      </c>
      <c r="M524" s="887" t="s">
        <v>6083</v>
      </c>
      <c r="N524" s="887"/>
      <c r="O524" s="882"/>
      <c r="P524" s="882"/>
      <c r="Q524" s="888"/>
      <c r="R524" s="888"/>
      <c r="S524" s="882"/>
      <c r="T524" s="888"/>
      <c r="U524" s="882"/>
      <c r="V524" s="887"/>
      <c r="W524" s="888"/>
      <c r="X524" s="882"/>
      <c r="Y524" s="888"/>
      <c r="Z524" s="882"/>
      <c r="AA524" s="882"/>
      <c r="AB524" s="882"/>
      <c r="AC524" s="882"/>
      <c r="AD524" s="882"/>
      <c r="AE524" s="882"/>
      <c r="AF524" s="882"/>
      <c r="AG524" s="882"/>
      <c r="AH524" s="882"/>
      <c r="AI524" s="882"/>
      <c r="AJ524" s="882"/>
      <c r="AK524" s="882"/>
      <c r="AL524" s="889"/>
    </row>
    <row r="525" spans="1:38" s="890" customFormat="1">
      <c r="A525" s="882">
        <v>294</v>
      </c>
      <c r="B525" s="891">
        <f t="shared" si="49"/>
        <v>-227</v>
      </c>
      <c r="C525" s="882">
        <f t="shared" si="52"/>
        <v>521</v>
      </c>
      <c r="D525" s="883">
        <v>3522</v>
      </c>
      <c r="E525" s="884" t="str">
        <f>IFERROR(VLOOKUP(Table2[[#This Row],[Player No]],Table10[[No]:[Province]],2,0),"")</f>
        <v>ZHANG Henry</v>
      </c>
      <c r="F525" s="885" t="str">
        <f>IFERROR(VLOOKUP(Table2[[#This Row],[Player No]],Table10[[No]:[Province]],3,0),"")</f>
        <v>FS</v>
      </c>
      <c r="G525" s="892">
        <v>1.25</v>
      </c>
      <c r="H525" s="886">
        <f>(Table2[[#This Row],[Points 2025]]/2)+SUM(Table2[[#This Row],[O1  ADMIN 2026]:[P2    CAPE TOWN OPEN 2026 ]])</f>
        <v>0.625</v>
      </c>
      <c r="I525" s="880">
        <f t="shared" si="51"/>
        <v>0</v>
      </c>
      <c r="J525" s="882">
        <f t="shared" si="50"/>
        <v>0</v>
      </c>
      <c r="K525" s="887" t="s">
        <v>6083</v>
      </c>
      <c r="L525" s="887" t="s">
        <v>6083</v>
      </c>
      <c r="M525" s="887" t="s">
        <v>6083</v>
      </c>
      <c r="N525" s="887"/>
      <c r="O525" s="882"/>
      <c r="P525" s="882"/>
      <c r="Q525" s="888"/>
      <c r="R525" s="888"/>
      <c r="S525" s="882"/>
      <c r="T525" s="888"/>
      <c r="U525" s="882"/>
      <c r="V525" s="887"/>
      <c r="W525" s="888"/>
      <c r="X525" s="882"/>
      <c r="Y525" s="888"/>
      <c r="Z525" s="882"/>
      <c r="AA525" s="882"/>
      <c r="AB525" s="882"/>
      <c r="AC525" s="882"/>
      <c r="AD525" s="882"/>
      <c r="AE525" s="882"/>
      <c r="AF525" s="882"/>
      <c r="AG525" s="882"/>
      <c r="AH525" s="882"/>
      <c r="AI525" s="882"/>
      <c r="AJ525" s="882"/>
      <c r="AK525" s="882"/>
      <c r="AL525" s="889"/>
    </row>
    <row r="526" spans="1:38" s="890" customFormat="1">
      <c r="A526" s="882">
        <v>295</v>
      </c>
      <c r="B526" s="891">
        <f t="shared" ref="B526:B546" si="53">+A526-C526</f>
        <v>-227</v>
      </c>
      <c r="C526" s="882">
        <f t="shared" si="52"/>
        <v>522</v>
      </c>
      <c r="D526" s="883">
        <v>3523</v>
      </c>
      <c r="E526" s="884" t="str">
        <f>IFERROR(VLOOKUP(Table2[[#This Row],[Player No]],Table10[[No]:[Province]],2,0),"")</f>
        <v>DLAMINI Teboho</v>
      </c>
      <c r="F526" s="885" t="str">
        <f>IFERROR(VLOOKUP(Table2[[#This Row],[Player No]],Table10[[No]:[Province]],3,0),"")</f>
        <v>FS</v>
      </c>
      <c r="G526" s="892">
        <v>1.25</v>
      </c>
      <c r="H526" s="886">
        <f>(Table2[[#This Row],[Points 2025]]/2)+SUM(Table2[[#This Row],[O1  ADMIN 2026]:[P2    CAPE TOWN OPEN 2026 ]])</f>
        <v>0.625</v>
      </c>
      <c r="I526" s="880">
        <f t="shared" si="51"/>
        <v>0</v>
      </c>
      <c r="J526" s="882">
        <f t="shared" si="50"/>
        <v>0</v>
      </c>
      <c r="K526" s="887" t="s">
        <v>6083</v>
      </c>
      <c r="L526" s="887" t="s">
        <v>6083</v>
      </c>
      <c r="M526" s="887" t="s">
        <v>6083</v>
      </c>
      <c r="N526" s="887"/>
      <c r="O526" s="882"/>
      <c r="P526" s="882"/>
      <c r="Q526" s="888"/>
      <c r="R526" s="888"/>
      <c r="S526" s="882"/>
      <c r="T526" s="888"/>
      <c r="U526" s="882"/>
      <c r="V526" s="887"/>
      <c r="W526" s="888"/>
      <c r="X526" s="882"/>
      <c r="Y526" s="888"/>
      <c r="Z526" s="882"/>
      <c r="AA526" s="882"/>
      <c r="AB526" s="882"/>
      <c r="AC526" s="882"/>
      <c r="AD526" s="882"/>
      <c r="AE526" s="882"/>
      <c r="AF526" s="882"/>
      <c r="AG526" s="882"/>
      <c r="AH526" s="882"/>
      <c r="AI526" s="882"/>
      <c r="AJ526" s="882"/>
      <c r="AK526" s="882"/>
      <c r="AL526" s="889"/>
    </row>
    <row r="527" spans="1:38" s="890" customFormat="1">
      <c r="A527" s="882">
        <v>296</v>
      </c>
      <c r="B527" s="891">
        <f t="shared" si="53"/>
        <v>-227</v>
      </c>
      <c r="C527" s="882">
        <f t="shared" si="52"/>
        <v>523</v>
      </c>
      <c r="D527" s="883">
        <v>3524</v>
      </c>
      <c r="E527" s="884" t="str">
        <f>IFERROR(VLOOKUP(Table2[[#This Row],[Player No]],Table10[[No]:[Province]],2,0),"")</f>
        <v>MORENNE Koketso</v>
      </c>
      <c r="F527" s="885" t="str">
        <f>IFERROR(VLOOKUP(Table2[[#This Row],[Player No]],Table10[[No]:[Province]],3,0),"")</f>
        <v>NC</v>
      </c>
      <c r="G527" s="892">
        <v>1.25</v>
      </c>
      <c r="H527" s="886">
        <f>(Table2[[#This Row],[Points 2025]]/2)+SUM(Table2[[#This Row],[O1  ADMIN 2026]:[P2    CAPE TOWN OPEN 2026 ]])</f>
        <v>0.625</v>
      </c>
      <c r="I527" s="880">
        <f t="shared" si="51"/>
        <v>0</v>
      </c>
      <c r="J527" s="882">
        <f t="shared" si="50"/>
        <v>0</v>
      </c>
      <c r="K527" s="887" t="s">
        <v>6083</v>
      </c>
      <c r="L527" s="887" t="s">
        <v>6083</v>
      </c>
      <c r="M527" s="887" t="s">
        <v>6083</v>
      </c>
      <c r="N527" s="887"/>
      <c r="O527" s="882"/>
      <c r="P527" s="882"/>
      <c r="Q527" s="888"/>
      <c r="R527" s="888"/>
      <c r="S527" s="882"/>
      <c r="T527" s="888"/>
      <c r="U527" s="882"/>
      <c r="V527" s="887"/>
      <c r="W527" s="888"/>
      <c r="X527" s="882"/>
      <c r="Y527" s="888"/>
      <c r="Z527" s="882"/>
      <c r="AA527" s="882"/>
      <c r="AB527" s="882"/>
      <c r="AC527" s="882"/>
      <c r="AD527" s="882"/>
      <c r="AE527" s="882"/>
      <c r="AF527" s="882"/>
      <c r="AG527" s="882"/>
      <c r="AH527" s="882"/>
      <c r="AI527" s="882"/>
      <c r="AJ527" s="882"/>
      <c r="AK527" s="882"/>
      <c r="AL527" s="889"/>
    </row>
    <row r="528" spans="1:38" s="890" customFormat="1">
      <c r="A528" s="882">
        <v>302</v>
      </c>
      <c r="B528" s="891">
        <f t="shared" si="53"/>
        <v>-222</v>
      </c>
      <c r="C528" s="882">
        <f t="shared" si="52"/>
        <v>524</v>
      </c>
      <c r="D528" s="883">
        <v>3526</v>
      </c>
      <c r="E528" s="884" t="str">
        <f>IFERROR(VLOOKUP(Table2[[#This Row],[Player No]],Table10[[No]:[Province]],2,0),"")</f>
        <v>VAN DER WESTHUIZEN Amos</v>
      </c>
      <c r="F528" s="885" t="str">
        <f>IFERROR(VLOOKUP(Table2[[#This Row],[Player No]],Table10[[No]:[Province]],3,0),"")</f>
        <v>FS</v>
      </c>
      <c r="G528" s="892">
        <v>1.25</v>
      </c>
      <c r="H528" s="886">
        <f>(Table2[[#This Row],[Points 2025]]/2)+SUM(Table2[[#This Row],[O1  ADMIN 2026]:[P2    CAPE TOWN OPEN 2026 ]])</f>
        <v>0.625</v>
      </c>
      <c r="I528" s="880">
        <f t="shared" si="51"/>
        <v>0</v>
      </c>
      <c r="J528" s="882">
        <f t="shared" si="50"/>
        <v>0</v>
      </c>
      <c r="K528" s="887" t="s">
        <v>6083</v>
      </c>
      <c r="L528" s="887" t="s">
        <v>6083</v>
      </c>
      <c r="M528" s="887" t="s">
        <v>6083</v>
      </c>
      <c r="N528" s="887"/>
      <c r="O528" s="882"/>
      <c r="P528" s="882"/>
      <c r="Q528" s="888"/>
      <c r="R528" s="888"/>
      <c r="S528" s="882"/>
      <c r="T528" s="888"/>
      <c r="U528" s="882"/>
      <c r="V528" s="887"/>
      <c r="W528" s="888"/>
      <c r="X528" s="882"/>
      <c r="Y528" s="888"/>
      <c r="Z528" s="882"/>
      <c r="AA528" s="882"/>
      <c r="AB528" s="882"/>
      <c r="AC528" s="882"/>
      <c r="AD528" s="882"/>
      <c r="AE528" s="882"/>
      <c r="AF528" s="882"/>
      <c r="AG528" s="882"/>
      <c r="AH528" s="882"/>
      <c r="AI528" s="882"/>
      <c r="AJ528" s="882"/>
      <c r="AK528" s="882"/>
      <c r="AL528" s="889"/>
    </row>
    <row r="529" spans="1:38" s="890" customFormat="1">
      <c r="A529" s="882">
        <v>303</v>
      </c>
      <c r="B529" s="891">
        <f t="shared" si="53"/>
        <v>-222</v>
      </c>
      <c r="C529" s="882">
        <f t="shared" si="52"/>
        <v>525</v>
      </c>
      <c r="D529" s="883">
        <v>3527</v>
      </c>
      <c r="E529" s="884" t="str">
        <f>IFERROR(VLOOKUP(Table2[[#This Row],[Player No]],Table10[[No]:[Province]],2,0),"")</f>
        <v>DABETHE Swai</v>
      </c>
      <c r="F529" s="885" t="str">
        <f>IFERROR(VLOOKUP(Table2[[#This Row],[Player No]],Table10[[No]:[Province]],3,0),"")</f>
        <v>FS</v>
      </c>
      <c r="G529" s="892">
        <v>1.25</v>
      </c>
      <c r="H529" s="886">
        <f>(Table2[[#This Row],[Points 2025]]/2)+SUM(Table2[[#This Row],[O1  ADMIN 2026]:[P2    CAPE TOWN OPEN 2026 ]])</f>
        <v>0.625</v>
      </c>
      <c r="I529" s="880">
        <f t="shared" si="51"/>
        <v>0</v>
      </c>
      <c r="J529" s="882">
        <f t="shared" si="50"/>
        <v>0</v>
      </c>
      <c r="K529" s="887" t="s">
        <v>6083</v>
      </c>
      <c r="L529" s="887" t="s">
        <v>6083</v>
      </c>
      <c r="M529" s="887" t="s">
        <v>6083</v>
      </c>
      <c r="N529" s="887"/>
      <c r="O529" s="882"/>
      <c r="P529" s="882"/>
      <c r="Q529" s="888"/>
      <c r="R529" s="888"/>
      <c r="S529" s="882"/>
      <c r="T529" s="888"/>
      <c r="U529" s="882"/>
      <c r="V529" s="887"/>
      <c r="W529" s="888"/>
      <c r="X529" s="882"/>
      <c r="Y529" s="888"/>
      <c r="Z529" s="882"/>
      <c r="AA529" s="882"/>
      <c r="AB529" s="882"/>
      <c r="AC529" s="882"/>
      <c r="AD529" s="882"/>
      <c r="AE529" s="882"/>
      <c r="AF529" s="882"/>
      <c r="AG529" s="882"/>
      <c r="AH529" s="882"/>
      <c r="AI529" s="882"/>
      <c r="AJ529" s="882"/>
      <c r="AK529" s="882"/>
      <c r="AL529" s="889"/>
    </row>
    <row r="530" spans="1:38" s="890" customFormat="1">
      <c r="A530" s="882">
        <v>304</v>
      </c>
      <c r="B530" s="891">
        <f t="shared" si="53"/>
        <v>-222</v>
      </c>
      <c r="C530" s="882">
        <f t="shared" si="52"/>
        <v>526</v>
      </c>
      <c r="D530" s="883">
        <v>3528</v>
      </c>
      <c r="E530" s="884" t="str">
        <f>IFERROR(VLOOKUP(Table2[[#This Row],[Player No]],Table10[[No]:[Province]],2,0),"")</f>
        <v>VAVA S</v>
      </c>
      <c r="F530" s="885" t="str">
        <f>IFERROR(VLOOKUP(Table2[[#This Row],[Player No]],Table10[[No]:[Province]],3,0),"")</f>
        <v>NC</v>
      </c>
      <c r="G530" s="892">
        <v>1.25</v>
      </c>
      <c r="H530" s="886">
        <f>(Table2[[#This Row],[Points 2025]]/2)+SUM(Table2[[#This Row],[O1  ADMIN 2026]:[P2    CAPE TOWN OPEN 2026 ]])</f>
        <v>0.625</v>
      </c>
      <c r="I530" s="880">
        <f t="shared" si="51"/>
        <v>0</v>
      </c>
      <c r="J530" s="882">
        <f t="shared" ref="J530:J556" si="54">COUNTIF(O530:AK530,"&lt;0")</f>
        <v>0</v>
      </c>
      <c r="K530" s="887" t="s">
        <v>6083</v>
      </c>
      <c r="L530" s="887" t="s">
        <v>6083</v>
      </c>
      <c r="M530" s="887" t="s">
        <v>6083</v>
      </c>
      <c r="N530" s="887"/>
      <c r="O530" s="882"/>
      <c r="P530" s="882"/>
      <c r="Q530" s="888"/>
      <c r="R530" s="888"/>
      <c r="S530" s="882"/>
      <c r="T530" s="888"/>
      <c r="U530" s="882"/>
      <c r="V530" s="887"/>
      <c r="W530" s="888"/>
      <c r="X530" s="882"/>
      <c r="Y530" s="888"/>
      <c r="Z530" s="882"/>
      <c r="AA530" s="882"/>
      <c r="AB530" s="882"/>
      <c r="AC530" s="882"/>
      <c r="AD530" s="882"/>
      <c r="AE530" s="882"/>
      <c r="AF530" s="882"/>
      <c r="AG530" s="882"/>
      <c r="AH530" s="882"/>
      <c r="AI530" s="882"/>
      <c r="AJ530" s="882"/>
      <c r="AK530" s="882"/>
      <c r="AL530" s="889"/>
    </row>
    <row r="531" spans="1:38" s="890" customFormat="1">
      <c r="A531" s="882">
        <v>491</v>
      </c>
      <c r="B531" s="891">
        <f t="shared" si="53"/>
        <v>-36</v>
      </c>
      <c r="C531" s="882">
        <f t="shared" si="52"/>
        <v>527</v>
      </c>
      <c r="D531" s="883">
        <v>3536</v>
      </c>
      <c r="E531" s="884" t="str">
        <f>IFERROR(VLOOKUP(Table2[[#This Row],[Player No]],Table10[[No]:[Province]],2,0),"")</f>
        <v>ALCOCK Ashley</v>
      </c>
      <c r="F531" s="885" t="str">
        <f>IFERROR(VLOOKUP(Table2[[#This Row],[Player No]],Table10[[No]:[Province]],3,0),"")</f>
        <v>SANDF</v>
      </c>
      <c r="G531" s="892">
        <v>1.25</v>
      </c>
      <c r="H531" s="886">
        <f>(Table2[[#This Row],[Points 2025]]/2)+SUM(Table2[[#This Row],[O1  ADMIN 2026]:[P2    CAPE TOWN OPEN 2026 ]])</f>
        <v>0.625</v>
      </c>
      <c r="I531" s="880">
        <f t="shared" si="51"/>
        <v>0</v>
      </c>
      <c r="J531" s="882">
        <f t="shared" si="54"/>
        <v>0</v>
      </c>
      <c r="K531" s="887" t="s">
        <v>6083</v>
      </c>
      <c r="L531" s="887" t="s">
        <v>6083</v>
      </c>
      <c r="M531" s="887" t="s">
        <v>6083</v>
      </c>
      <c r="N531" s="887"/>
      <c r="O531" s="882"/>
      <c r="P531" s="882"/>
      <c r="Q531" s="888"/>
      <c r="R531" s="888"/>
      <c r="S531" s="882"/>
      <c r="T531" s="888">
        <v>1</v>
      </c>
      <c r="U531" s="882"/>
      <c r="V531" s="887"/>
      <c r="W531" s="888"/>
      <c r="X531" s="882"/>
      <c r="Y531" s="888"/>
      <c r="Z531" s="882"/>
      <c r="AA531" s="882"/>
      <c r="AB531" s="882"/>
      <c r="AC531" s="882"/>
      <c r="AD531" s="882"/>
      <c r="AE531" s="882"/>
      <c r="AF531" s="882"/>
      <c r="AG531" s="882"/>
      <c r="AH531" s="882"/>
      <c r="AI531" s="882"/>
      <c r="AJ531" s="882"/>
      <c r="AK531" s="882"/>
      <c r="AL531" s="889"/>
    </row>
    <row r="532" spans="1:38" s="890" customFormat="1">
      <c r="A532" s="882">
        <v>308</v>
      </c>
      <c r="B532" s="891">
        <f t="shared" si="53"/>
        <v>-220</v>
      </c>
      <c r="C532" s="882">
        <f t="shared" si="52"/>
        <v>528</v>
      </c>
      <c r="D532" s="883">
        <v>3632</v>
      </c>
      <c r="E532" s="884" t="str">
        <f>IFERROR(VLOOKUP(Table2[[#This Row],[Player No]],Table10[[No]:[Province]],2,0),"")</f>
        <v>DALINYEOBO Babalwa</v>
      </c>
      <c r="F532" s="885" t="str">
        <f>IFERROR(VLOOKUP(Table2[[#This Row],[Player No]],Table10[[No]:[Province]],3,0),"")</f>
        <v>CW</v>
      </c>
      <c r="G532" s="892">
        <v>1.25</v>
      </c>
      <c r="H532" s="886">
        <f>(Table2[[#This Row],[Points 2025]]/2)+SUM(Table2[[#This Row],[O1  ADMIN 2026]:[P2    CAPE TOWN OPEN 2026 ]])</f>
        <v>0.625</v>
      </c>
      <c r="I532" s="880">
        <f t="shared" si="51"/>
        <v>0</v>
      </c>
      <c r="J532" s="882">
        <f t="shared" si="54"/>
        <v>0</v>
      </c>
      <c r="K532" s="887" t="s">
        <v>6083</v>
      </c>
      <c r="L532" s="887" t="s">
        <v>6083</v>
      </c>
      <c r="M532" s="887" t="s">
        <v>6083</v>
      </c>
      <c r="N532" s="887"/>
      <c r="O532" s="882"/>
      <c r="P532" s="882"/>
      <c r="Q532" s="888"/>
      <c r="R532" s="888"/>
      <c r="S532" s="882"/>
      <c r="T532" s="888"/>
      <c r="U532" s="882"/>
      <c r="V532" s="887"/>
      <c r="W532" s="888"/>
      <c r="X532" s="882"/>
      <c r="Y532" s="888"/>
      <c r="Z532" s="882"/>
      <c r="AA532" s="882"/>
      <c r="AB532" s="882"/>
      <c r="AC532" s="882"/>
      <c r="AD532" s="882"/>
      <c r="AE532" s="882"/>
      <c r="AF532" s="882"/>
      <c r="AG532" s="882"/>
      <c r="AH532" s="882"/>
      <c r="AI532" s="882"/>
      <c r="AJ532" s="882"/>
      <c r="AK532" s="882"/>
      <c r="AL532" s="889"/>
    </row>
    <row r="533" spans="1:38" s="890" customFormat="1">
      <c r="A533" s="882">
        <v>311</v>
      </c>
      <c r="B533" s="891">
        <f t="shared" si="53"/>
        <v>-218</v>
      </c>
      <c r="C533" s="882">
        <f t="shared" si="52"/>
        <v>529</v>
      </c>
      <c r="D533" s="883">
        <v>3750</v>
      </c>
      <c r="E533" s="884" t="str">
        <f>IFERROR(VLOOKUP(Table2[[#This Row],[Player No]],Table10[[No]:[Province]],2,0),"")</f>
        <v>NAIKER Myron</v>
      </c>
      <c r="F533" s="885" t="str">
        <f>IFERROR(VLOOKUP(Table2[[#This Row],[Player No]],Table10[[No]:[Province]],3,0),"")</f>
        <v>Ilembe</v>
      </c>
      <c r="G533" s="892">
        <v>1.25</v>
      </c>
      <c r="H533" s="886">
        <f>(Table2[[#This Row],[Points 2025]]/2)+SUM(Table2[[#This Row],[O1  ADMIN 2026]:[P2    CAPE TOWN OPEN 2026 ]])</f>
        <v>0.625</v>
      </c>
      <c r="I533" s="880">
        <f t="shared" si="51"/>
        <v>0</v>
      </c>
      <c r="J533" s="882">
        <f t="shared" si="54"/>
        <v>0</v>
      </c>
      <c r="K533" s="887" t="s">
        <v>6083</v>
      </c>
      <c r="L533" s="887" t="s">
        <v>6083</v>
      </c>
      <c r="M533" s="887" t="s">
        <v>6083</v>
      </c>
      <c r="N533" s="887"/>
      <c r="O533" s="882"/>
      <c r="P533" s="882"/>
      <c r="Q533" s="888"/>
      <c r="R533" s="888"/>
      <c r="S533" s="882"/>
      <c r="T533" s="888"/>
      <c r="U533" s="882"/>
      <c r="V533" s="887"/>
      <c r="W533" s="888"/>
      <c r="X533" s="882"/>
      <c r="Y533" s="888"/>
      <c r="Z533" s="882"/>
      <c r="AA533" s="882"/>
      <c r="AB533" s="882"/>
      <c r="AC533" s="882"/>
      <c r="AD533" s="882"/>
      <c r="AE533" s="882"/>
      <c r="AF533" s="882"/>
      <c r="AG533" s="882"/>
      <c r="AH533" s="882"/>
      <c r="AI533" s="882"/>
      <c r="AJ533" s="882"/>
      <c r="AK533" s="882"/>
      <c r="AL533" s="889"/>
    </row>
    <row r="534" spans="1:38" s="890" customFormat="1">
      <c r="A534" s="882">
        <v>313</v>
      </c>
      <c r="B534" s="891">
        <f t="shared" si="53"/>
        <v>-217</v>
      </c>
      <c r="C534" s="882">
        <f t="shared" si="52"/>
        <v>530</v>
      </c>
      <c r="D534" s="883">
        <v>3776</v>
      </c>
      <c r="E534" s="884" t="str">
        <f>IFERROR(VLOOKUP(Table2[[#This Row],[Player No]],Table10[[No]:[Province]],2,0),"")</f>
        <v>TUKULE Nkosana</v>
      </c>
      <c r="F534" s="885" t="str">
        <f>IFERROR(VLOOKUP(Table2[[#This Row],[Player No]],Table10[[No]:[Province]],3,0),"")</f>
        <v>JTTA</v>
      </c>
      <c r="G534" s="892">
        <v>1.25</v>
      </c>
      <c r="H534" s="886">
        <f>(Table2[[#This Row],[Points 2025]]/2)+SUM(Table2[[#This Row],[O1  ADMIN 2026]:[P2    CAPE TOWN OPEN 2026 ]])</f>
        <v>0.625</v>
      </c>
      <c r="I534" s="880">
        <f t="shared" si="51"/>
        <v>0</v>
      </c>
      <c r="J534" s="882">
        <f t="shared" si="54"/>
        <v>0</v>
      </c>
      <c r="K534" s="887" t="s">
        <v>6083</v>
      </c>
      <c r="L534" s="887" t="s">
        <v>6083</v>
      </c>
      <c r="M534" s="887" t="s">
        <v>6083</v>
      </c>
      <c r="N534" s="887"/>
      <c r="O534" s="882"/>
      <c r="P534" s="882"/>
      <c r="Q534" s="888"/>
      <c r="R534" s="888"/>
      <c r="S534" s="882"/>
      <c r="T534" s="888"/>
      <c r="U534" s="882"/>
      <c r="V534" s="887"/>
      <c r="W534" s="888"/>
      <c r="X534" s="882"/>
      <c r="Y534" s="888"/>
      <c r="Z534" s="882"/>
      <c r="AA534" s="882"/>
      <c r="AB534" s="882"/>
      <c r="AC534" s="882"/>
      <c r="AD534" s="882"/>
      <c r="AE534" s="882"/>
      <c r="AF534" s="882"/>
      <c r="AG534" s="882"/>
      <c r="AH534" s="882"/>
      <c r="AI534" s="882"/>
      <c r="AJ534" s="882"/>
      <c r="AK534" s="882"/>
      <c r="AL534" s="889"/>
    </row>
    <row r="535" spans="1:38" s="890" customFormat="1">
      <c r="A535" s="882">
        <v>315</v>
      </c>
      <c r="B535" s="891">
        <f t="shared" si="53"/>
        <v>-216</v>
      </c>
      <c r="C535" s="882">
        <f t="shared" si="52"/>
        <v>531</v>
      </c>
      <c r="D535" s="883">
        <v>1222</v>
      </c>
      <c r="E535" s="884" t="str">
        <f>IFERROR(VLOOKUP(Table2[[#This Row],[Player No]],Table10[[No]:[Province]],2,0),"")</f>
        <v xml:space="preserve">HEARN Richard </v>
      </c>
      <c r="F535" s="885" t="str">
        <f>IFERROR(VLOOKUP(Table2[[#This Row],[Player No]],Table10[[No]:[Province]],3,0),"")</f>
        <v>JTTA</v>
      </c>
      <c r="G535" s="892">
        <v>1.2421875</v>
      </c>
      <c r="H535" s="886">
        <f>(Table2[[#This Row],[Points 2025]]/2)+SUM(Table2[[#This Row],[O1  ADMIN 2026]:[P2    CAPE TOWN OPEN 2026 ]])</f>
        <v>0.62109375</v>
      </c>
      <c r="I535" s="880">
        <f t="shared" si="51"/>
        <v>0</v>
      </c>
      <c r="J535" s="882">
        <f t="shared" si="54"/>
        <v>0</v>
      </c>
      <c r="K535" s="887" t="s">
        <v>6083</v>
      </c>
      <c r="L535" s="887" t="s">
        <v>6083</v>
      </c>
      <c r="M535" s="887" t="s">
        <v>6083</v>
      </c>
      <c r="N535" s="887"/>
      <c r="O535" s="882"/>
      <c r="P535" s="882"/>
      <c r="Q535" s="888"/>
      <c r="R535" s="888"/>
      <c r="S535" s="882"/>
      <c r="T535" s="888"/>
      <c r="U535" s="882"/>
      <c r="V535" s="887"/>
      <c r="W535" s="888"/>
      <c r="X535" s="882"/>
      <c r="Y535" s="888"/>
      <c r="Z535" s="882"/>
      <c r="AA535" s="882"/>
      <c r="AB535" s="882"/>
      <c r="AC535" s="882"/>
      <c r="AD535" s="882"/>
      <c r="AE535" s="882"/>
      <c r="AF535" s="882"/>
      <c r="AG535" s="882"/>
      <c r="AH535" s="882"/>
      <c r="AI535" s="882"/>
      <c r="AJ535" s="882"/>
      <c r="AK535" s="882"/>
      <c r="AL535" s="889"/>
    </row>
    <row r="536" spans="1:38" s="890" customFormat="1">
      <c r="A536" s="882">
        <v>528</v>
      </c>
      <c r="B536" s="891">
        <f t="shared" si="53"/>
        <v>-4</v>
      </c>
      <c r="C536" s="882">
        <f t="shared" si="52"/>
        <v>532</v>
      </c>
      <c r="D536" s="883">
        <v>1509</v>
      </c>
      <c r="E536" s="884" t="str">
        <f>IFERROR(VLOOKUP(Table2[[#This Row],[Player No]],Table10[[No]:[Province]],2,0),"")</f>
        <v>OJO  John Olatunde</v>
      </c>
      <c r="F536" s="885" t="str">
        <f>IFERROR(VLOOKUP(Table2[[#This Row],[Player No]],Table10[[No]:[Province]],3,0),"")</f>
        <v>JTTA</v>
      </c>
      <c r="G536" s="892">
        <v>1.18359375</v>
      </c>
      <c r="H536" s="886">
        <f>(Table2[[#This Row],[Points 2025]]/2)+SUM(Table2[[#This Row],[O1  ADMIN 2026]:[P2    CAPE TOWN OPEN 2026 ]])</f>
        <v>0.591796875</v>
      </c>
      <c r="I536" s="880">
        <f t="shared" si="51"/>
        <v>0</v>
      </c>
      <c r="J536" s="882">
        <f t="shared" si="54"/>
        <v>0</v>
      </c>
      <c r="K536" s="887" t="s">
        <v>6083</v>
      </c>
      <c r="L536" s="887" t="s">
        <v>6083</v>
      </c>
      <c r="M536" s="887" t="s">
        <v>6083</v>
      </c>
      <c r="N536" s="887"/>
      <c r="O536" s="882"/>
      <c r="P536" s="882"/>
      <c r="Q536" s="888"/>
      <c r="R536" s="888"/>
      <c r="S536" s="882"/>
      <c r="T536" s="888"/>
      <c r="U536" s="882"/>
      <c r="V536" s="887"/>
      <c r="W536" s="888"/>
      <c r="X536" s="882"/>
      <c r="Y536" s="888"/>
      <c r="Z536" s="882"/>
      <c r="AA536" s="882"/>
      <c r="AB536" s="882"/>
      <c r="AC536" s="882"/>
      <c r="AD536" s="882"/>
      <c r="AE536" s="882"/>
      <c r="AF536" s="882"/>
      <c r="AG536" s="882"/>
      <c r="AH536" s="882"/>
      <c r="AI536" s="882">
        <v>2</v>
      </c>
      <c r="AJ536" s="882"/>
      <c r="AK536" s="882"/>
      <c r="AL536" s="889"/>
    </row>
    <row r="537" spans="1:38" s="890" customFormat="1">
      <c r="A537" s="882">
        <v>318</v>
      </c>
      <c r="B537" s="891">
        <f t="shared" si="53"/>
        <v>-215</v>
      </c>
      <c r="C537" s="882">
        <f t="shared" si="52"/>
        <v>533</v>
      </c>
      <c r="D537" s="883">
        <v>1572</v>
      </c>
      <c r="E537" s="884" t="str">
        <f>IFERROR(VLOOKUP(Table2[[#This Row],[Player No]],Table10[[No]:[Province]],2,0),"")</f>
        <v xml:space="preserve">HAUPT Lorenzo </v>
      </c>
      <c r="F537" s="885" t="str">
        <f>IFERROR(VLOOKUP(Table2[[#This Row],[Player No]],Table10[[No]:[Province]],3,0),"")</f>
        <v>CT</v>
      </c>
      <c r="G537" s="892">
        <v>1.1640625</v>
      </c>
      <c r="H537" s="886">
        <f>(Table2[[#This Row],[Points 2025]]/2)+SUM(Table2[[#This Row],[O1  ADMIN 2026]:[P2    CAPE TOWN OPEN 2026 ]])</f>
        <v>0.58203125</v>
      </c>
      <c r="I537" s="880">
        <f t="shared" si="51"/>
        <v>0</v>
      </c>
      <c r="J537" s="882">
        <f t="shared" si="54"/>
        <v>0</v>
      </c>
      <c r="K537" s="887" t="s">
        <v>6083</v>
      </c>
      <c r="L537" s="887" t="s">
        <v>6083</v>
      </c>
      <c r="M537" s="887" t="s">
        <v>6083</v>
      </c>
      <c r="N537" s="887"/>
      <c r="O537" s="882"/>
      <c r="P537" s="882"/>
      <c r="Q537" s="888"/>
      <c r="R537" s="888"/>
      <c r="S537" s="882"/>
      <c r="T537" s="888"/>
      <c r="U537" s="882"/>
      <c r="V537" s="887"/>
      <c r="W537" s="888"/>
      <c r="X537" s="882"/>
      <c r="Y537" s="888"/>
      <c r="Z537" s="882"/>
      <c r="AA537" s="882"/>
      <c r="AB537" s="882"/>
      <c r="AC537" s="882"/>
      <c r="AD537" s="882"/>
      <c r="AE537" s="882"/>
      <c r="AF537" s="882"/>
      <c r="AG537" s="882"/>
      <c r="AH537" s="882"/>
      <c r="AI537" s="882"/>
      <c r="AJ537" s="882"/>
      <c r="AK537" s="882"/>
      <c r="AL537" s="889"/>
    </row>
    <row r="538" spans="1:38" s="890" customFormat="1">
      <c r="A538" s="882">
        <v>319</v>
      </c>
      <c r="B538" s="891">
        <f t="shared" si="53"/>
        <v>-215</v>
      </c>
      <c r="C538" s="882">
        <f t="shared" si="52"/>
        <v>534</v>
      </c>
      <c r="D538" s="883">
        <v>2494</v>
      </c>
      <c r="E538" s="884" t="str">
        <f>IFERROR(VLOOKUP(Table2[[#This Row],[Player No]],Table10[[No]:[Province]],2,0),"")</f>
        <v>DAVIS Craig</v>
      </c>
      <c r="F538" s="885" t="str">
        <f>IFERROR(VLOOKUP(Table2[[#This Row],[Player No]],Table10[[No]:[Province]],3,0),"")</f>
        <v>CT</v>
      </c>
      <c r="G538" s="892">
        <v>1.09375</v>
      </c>
      <c r="H538" s="886">
        <f>(Table2[[#This Row],[Points 2025]]/2)+SUM(Table2[[#This Row],[O1  ADMIN 2026]:[P2    CAPE TOWN OPEN 2026 ]])</f>
        <v>0.546875</v>
      </c>
      <c r="I538" s="880">
        <f t="shared" si="51"/>
        <v>0</v>
      </c>
      <c r="J538" s="882">
        <f t="shared" si="54"/>
        <v>0</v>
      </c>
      <c r="K538" s="887" t="s">
        <v>6083</v>
      </c>
      <c r="L538" s="887" t="s">
        <v>6083</v>
      </c>
      <c r="M538" s="887" t="s">
        <v>6083</v>
      </c>
      <c r="N538" s="887"/>
      <c r="O538" s="882"/>
      <c r="P538" s="882"/>
      <c r="Q538" s="888"/>
      <c r="R538" s="888"/>
      <c r="S538" s="882"/>
      <c r="T538" s="888"/>
      <c r="U538" s="882"/>
      <c r="V538" s="887"/>
      <c r="W538" s="888"/>
      <c r="X538" s="882"/>
      <c r="Y538" s="888"/>
      <c r="Z538" s="882"/>
      <c r="AA538" s="882"/>
      <c r="AB538" s="882"/>
      <c r="AC538" s="882"/>
      <c r="AD538" s="882"/>
      <c r="AE538" s="882"/>
      <c r="AF538" s="882"/>
      <c r="AG538" s="882"/>
      <c r="AH538" s="882"/>
      <c r="AI538" s="882"/>
      <c r="AJ538" s="882"/>
      <c r="AK538" s="882"/>
      <c r="AL538" s="889"/>
    </row>
    <row r="539" spans="1:38" s="890" customFormat="1">
      <c r="A539" s="882">
        <v>681</v>
      </c>
      <c r="B539" s="891">
        <f t="shared" si="53"/>
        <v>146</v>
      </c>
      <c r="C539" s="882">
        <f t="shared" si="52"/>
        <v>535</v>
      </c>
      <c r="D539" s="883">
        <v>3120</v>
      </c>
      <c r="E539" s="884" t="str">
        <f>IFERROR(VLOOKUP(Table2[[#This Row],[Player No]],Table10[[No]:[Province]],2,0),"")</f>
        <v>WOLHUTER Riezaro</v>
      </c>
      <c r="F539" s="885" t="str">
        <f>IFERROR(VLOOKUP(Table2[[#This Row],[Player No]],Table10[[No]:[Province]],3,0),"")</f>
        <v>EDEN</v>
      </c>
      <c r="G539" s="892">
        <v>1.0625</v>
      </c>
      <c r="H539" s="886">
        <f>(Table2[[#This Row],[Points 2025]]/2)+SUM(Table2[[#This Row],[O1  ADMIN 2026]:[P2    CAPE TOWN OPEN 2026 ]])</f>
        <v>0.53125</v>
      </c>
      <c r="I539" s="880">
        <f t="shared" si="51"/>
        <v>0</v>
      </c>
      <c r="J539" s="882">
        <f t="shared" si="54"/>
        <v>0</v>
      </c>
      <c r="K539" s="887" t="s">
        <v>6083</v>
      </c>
      <c r="L539" s="887" t="s">
        <v>6083</v>
      </c>
      <c r="M539" s="887" t="s">
        <v>6083</v>
      </c>
      <c r="N539" s="887"/>
      <c r="O539" s="882"/>
      <c r="P539" s="882"/>
      <c r="Q539" s="888"/>
      <c r="R539" s="888"/>
      <c r="S539" s="882"/>
      <c r="T539" s="888"/>
      <c r="U539" s="882"/>
      <c r="V539" s="887"/>
      <c r="W539" s="888"/>
      <c r="X539" s="882"/>
      <c r="Y539" s="888"/>
      <c r="Z539" s="882"/>
      <c r="AA539" s="882"/>
      <c r="AB539" s="882"/>
      <c r="AC539" s="882"/>
      <c r="AD539" s="882"/>
      <c r="AE539" s="882"/>
      <c r="AF539" s="882">
        <v>2</v>
      </c>
      <c r="AG539" s="882"/>
      <c r="AH539" s="882"/>
      <c r="AI539" s="882"/>
      <c r="AJ539" s="882"/>
      <c r="AK539" s="882"/>
      <c r="AL539" s="889"/>
    </row>
    <row r="540" spans="1:38" s="890" customFormat="1">
      <c r="A540" s="882">
        <v>320</v>
      </c>
      <c r="B540" s="891">
        <f t="shared" si="53"/>
        <v>-216</v>
      </c>
      <c r="C540" s="882">
        <f t="shared" si="52"/>
        <v>536</v>
      </c>
      <c r="D540" s="883">
        <v>3178</v>
      </c>
      <c r="E540" s="884" t="str">
        <f>IFERROR(VLOOKUP(Table2[[#This Row],[Player No]],Table10[[No]:[Province]],2,0),"")</f>
        <v>OLANIPEKUN Olusegun</v>
      </c>
      <c r="F540" s="885" t="str">
        <f>IFERROR(VLOOKUP(Table2[[#This Row],[Player No]],Table10[[No]:[Province]],3,0),"")</f>
        <v>GN</v>
      </c>
      <c r="G540" s="892">
        <v>1.0625</v>
      </c>
      <c r="H540" s="886">
        <f>(Table2[[#This Row],[Points 2025]]/2)+SUM(Table2[[#This Row],[O1  ADMIN 2026]:[P2    CAPE TOWN OPEN 2026 ]])</f>
        <v>0.53125</v>
      </c>
      <c r="I540" s="880">
        <f t="shared" si="51"/>
        <v>0</v>
      </c>
      <c r="J540" s="882">
        <f t="shared" si="54"/>
        <v>0</v>
      </c>
      <c r="K540" s="887" t="s">
        <v>6083</v>
      </c>
      <c r="L540" s="887" t="s">
        <v>6083</v>
      </c>
      <c r="M540" s="887" t="s">
        <v>6083</v>
      </c>
      <c r="N540" s="887"/>
      <c r="O540" s="882"/>
      <c r="P540" s="882"/>
      <c r="Q540" s="888"/>
      <c r="R540" s="888"/>
      <c r="S540" s="882"/>
      <c r="T540" s="888"/>
      <c r="U540" s="882"/>
      <c r="V540" s="887"/>
      <c r="W540" s="888"/>
      <c r="X540" s="882"/>
      <c r="Y540" s="888"/>
      <c r="Z540" s="882"/>
      <c r="AA540" s="882"/>
      <c r="AB540" s="882"/>
      <c r="AC540" s="882"/>
      <c r="AD540" s="882"/>
      <c r="AE540" s="882"/>
      <c r="AF540" s="882"/>
      <c r="AG540" s="882"/>
      <c r="AH540" s="882"/>
      <c r="AI540" s="882"/>
      <c r="AJ540" s="882"/>
      <c r="AK540" s="882"/>
      <c r="AL540" s="889"/>
    </row>
    <row r="541" spans="1:38" s="890" customFormat="1">
      <c r="A541" s="882">
        <v>321</v>
      </c>
      <c r="B541" s="891">
        <f t="shared" si="53"/>
        <v>-216</v>
      </c>
      <c r="C541" s="882">
        <f t="shared" si="52"/>
        <v>537</v>
      </c>
      <c r="D541" s="883">
        <v>1518</v>
      </c>
      <c r="E541" s="884" t="str">
        <f>IFERROR(VLOOKUP(Table2[[#This Row],[Player No]],Table10[[No]:[Province]],2,0),"")</f>
        <v xml:space="preserve">Meyer Craig </v>
      </c>
      <c r="F541" s="885" t="str">
        <f>IFERROR(VLOOKUP(Table2[[#This Row],[Player No]],Table10[[No]:[Province]],3,0),"")</f>
        <v>CT</v>
      </c>
      <c r="G541" s="892">
        <v>1.05859375</v>
      </c>
      <c r="H541" s="886">
        <f>(Table2[[#This Row],[Points 2025]]/2)+SUM(Table2[[#This Row],[O1  ADMIN 2026]:[P2    CAPE TOWN OPEN 2026 ]])</f>
        <v>0.529296875</v>
      </c>
      <c r="I541" s="880">
        <f t="shared" si="51"/>
        <v>0</v>
      </c>
      <c r="J541" s="882">
        <f t="shared" si="54"/>
        <v>0</v>
      </c>
      <c r="K541" s="887" t="s">
        <v>6083</v>
      </c>
      <c r="L541" s="887" t="s">
        <v>6083</v>
      </c>
      <c r="M541" s="887" t="s">
        <v>6083</v>
      </c>
      <c r="N541" s="887"/>
      <c r="O541" s="882"/>
      <c r="P541" s="882"/>
      <c r="Q541" s="888"/>
      <c r="R541" s="888"/>
      <c r="S541" s="882"/>
      <c r="T541" s="888"/>
      <c r="U541" s="882"/>
      <c r="V541" s="887"/>
      <c r="W541" s="888"/>
      <c r="X541" s="882"/>
      <c r="Y541" s="888"/>
      <c r="Z541" s="882"/>
      <c r="AA541" s="882"/>
      <c r="AB541" s="882"/>
      <c r="AC541" s="882"/>
      <c r="AD541" s="882"/>
      <c r="AE541" s="882"/>
      <c r="AF541" s="882"/>
      <c r="AG541" s="882"/>
      <c r="AH541" s="882"/>
      <c r="AI541" s="882"/>
      <c r="AJ541" s="882"/>
      <c r="AK541" s="882"/>
      <c r="AL541" s="889"/>
    </row>
    <row r="542" spans="1:38" s="890" customFormat="1">
      <c r="A542" s="882">
        <v>736</v>
      </c>
      <c r="B542" s="891">
        <f t="shared" si="53"/>
        <v>198</v>
      </c>
      <c r="C542" s="882">
        <f t="shared" si="52"/>
        <v>538</v>
      </c>
      <c r="D542" s="883">
        <v>1067</v>
      </c>
      <c r="E542" s="884" t="str">
        <f>IFERROR(VLOOKUP(Table2[[#This Row],[Player No]],Table10[[No]:[Province]],2,0),"")</f>
        <v xml:space="preserve">PRETORIUS Mornay </v>
      </c>
      <c r="F542" s="885" t="str">
        <f>IFERROR(VLOOKUP(Table2[[#This Row],[Player No]],Table10[[No]:[Province]],3,0),"")</f>
        <v>CW</v>
      </c>
      <c r="G542" s="892">
        <v>1.0390625</v>
      </c>
      <c r="H542" s="886">
        <f>(Table2[[#This Row],[Points 2025]]/2)+SUM(Table2[[#This Row],[O1  ADMIN 2026]:[P2    CAPE TOWN OPEN 2026 ]])</f>
        <v>0.51953125</v>
      </c>
      <c r="I542" s="880">
        <f t="shared" si="51"/>
        <v>0</v>
      </c>
      <c r="J542" s="882">
        <f t="shared" si="54"/>
        <v>0</v>
      </c>
      <c r="K542" s="887" t="s">
        <v>6083</v>
      </c>
      <c r="L542" s="887" t="s">
        <v>6083</v>
      </c>
      <c r="M542" s="887" t="s">
        <v>6083</v>
      </c>
      <c r="N542" s="887"/>
      <c r="O542" s="882"/>
      <c r="P542" s="882"/>
      <c r="Q542" s="888"/>
      <c r="R542" s="888"/>
      <c r="S542" s="882"/>
      <c r="T542" s="888"/>
      <c r="U542" s="882"/>
      <c r="V542" s="887"/>
      <c r="W542" s="888"/>
      <c r="X542" s="882"/>
      <c r="Y542" s="888"/>
      <c r="Z542" s="882"/>
      <c r="AA542" s="882"/>
      <c r="AB542" s="882"/>
      <c r="AC542" s="882"/>
      <c r="AD542" s="882"/>
      <c r="AE542" s="882"/>
      <c r="AF542" s="882">
        <v>2</v>
      </c>
      <c r="AG542" s="882"/>
      <c r="AH542" s="882"/>
      <c r="AI542" s="882"/>
      <c r="AJ542" s="882"/>
      <c r="AK542" s="882"/>
      <c r="AL542" s="889"/>
    </row>
    <row r="543" spans="1:38" s="890" customFormat="1">
      <c r="A543" s="882">
        <v>748</v>
      </c>
      <c r="B543" s="891">
        <f t="shared" si="53"/>
        <v>209</v>
      </c>
      <c r="C543" s="882">
        <f t="shared" si="52"/>
        <v>539</v>
      </c>
      <c r="D543" s="883">
        <v>2579</v>
      </c>
      <c r="E543" s="884" t="str">
        <f>IFERROR(VLOOKUP(Table2[[#This Row],[Player No]],Table10[[No]:[Province]],2,0),"")</f>
        <v>MACKRILL Michael</v>
      </c>
      <c r="F543" s="885" t="str">
        <f>IFERROR(VLOOKUP(Table2[[#This Row],[Player No]],Table10[[No]:[Province]],3,0),"")</f>
        <v>CT</v>
      </c>
      <c r="G543" s="892">
        <v>1.03125</v>
      </c>
      <c r="H543" s="886">
        <f>(Table2[[#This Row],[Points 2025]]/2)+SUM(Table2[[#This Row],[O1  ADMIN 2026]:[P2    CAPE TOWN OPEN 2026 ]])</f>
        <v>0.515625</v>
      </c>
      <c r="I543" s="880">
        <f t="shared" si="51"/>
        <v>0</v>
      </c>
      <c r="J543" s="882">
        <f t="shared" si="54"/>
        <v>0</v>
      </c>
      <c r="K543" s="887" t="s">
        <v>6083</v>
      </c>
      <c r="L543" s="887" t="s">
        <v>6083</v>
      </c>
      <c r="M543" s="887" t="s">
        <v>6083</v>
      </c>
      <c r="N543" s="887"/>
      <c r="O543" s="882"/>
      <c r="P543" s="882"/>
      <c r="Q543" s="888"/>
      <c r="R543" s="888"/>
      <c r="S543" s="882"/>
      <c r="T543" s="888"/>
      <c r="U543" s="882"/>
      <c r="V543" s="887"/>
      <c r="W543" s="888"/>
      <c r="X543" s="882"/>
      <c r="Y543" s="888"/>
      <c r="Z543" s="882"/>
      <c r="AA543" s="882"/>
      <c r="AB543" s="882"/>
      <c r="AC543" s="882"/>
      <c r="AD543" s="882"/>
      <c r="AE543" s="882"/>
      <c r="AF543" s="882">
        <v>2</v>
      </c>
      <c r="AG543" s="882"/>
      <c r="AH543" s="882"/>
      <c r="AI543" s="882"/>
      <c r="AJ543" s="882"/>
      <c r="AK543" s="882"/>
      <c r="AL543" s="889"/>
    </row>
    <row r="544" spans="1:38" s="890" customFormat="1">
      <c r="A544" s="882">
        <v>322</v>
      </c>
      <c r="B544" s="891">
        <f t="shared" si="53"/>
        <v>-218</v>
      </c>
      <c r="C544" s="882">
        <f t="shared" si="52"/>
        <v>540</v>
      </c>
      <c r="D544" s="883">
        <v>1524</v>
      </c>
      <c r="E544" s="884" t="str">
        <f>IFERROR(VLOOKUP(Table2[[#This Row],[Player No]],Table10[[No]:[Province]],2,0),"")</f>
        <v>VAN ZYL Melvin</v>
      </c>
      <c r="F544" s="885" t="str">
        <f>IFERROR(VLOOKUP(Table2[[#This Row],[Player No]],Table10[[No]:[Province]],3,0),"")</f>
        <v>JTTA</v>
      </c>
      <c r="G544" s="892">
        <v>1.0078125</v>
      </c>
      <c r="H544" s="886">
        <f>(Table2[[#This Row],[Points 2025]]/2)+SUM(Table2[[#This Row],[O1  ADMIN 2026]:[P2    CAPE TOWN OPEN 2026 ]])</f>
        <v>0.50390625</v>
      </c>
      <c r="I544" s="880">
        <f t="shared" si="51"/>
        <v>0</v>
      </c>
      <c r="J544" s="882">
        <f t="shared" si="54"/>
        <v>0</v>
      </c>
      <c r="K544" s="887" t="s">
        <v>6083</v>
      </c>
      <c r="L544" s="887" t="s">
        <v>6083</v>
      </c>
      <c r="M544" s="887" t="s">
        <v>6083</v>
      </c>
      <c r="N544" s="887"/>
      <c r="O544" s="882"/>
      <c r="P544" s="882"/>
      <c r="Q544" s="888"/>
      <c r="R544" s="888"/>
      <c r="S544" s="882"/>
      <c r="T544" s="888"/>
      <c r="U544" s="882"/>
      <c r="V544" s="887"/>
      <c r="W544" s="888"/>
      <c r="X544" s="882"/>
      <c r="Y544" s="888"/>
      <c r="Z544" s="882"/>
      <c r="AA544" s="882"/>
      <c r="AB544" s="882"/>
      <c r="AC544" s="882"/>
      <c r="AD544" s="882"/>
      <c r="AE544" s="882"/>
      <c r="AF544" s="882"/>
      <c r="AG544" s="882"/>
      <c r="AH544" s="882"/>
      <c r="AI544" s="882"/>
      <c r="AJ544" s="882"/>
      <c r="AK544" s="882">
        <v>2</v>
      </c>
      <c r="AL544" s="889"/>
    </row>
    <row r="545" spans="1:38" s="890" customFormat="1">
      <c r="A545" s="882">
        <v>323</v>
      </c>
      <c r="B545" s="891">
        <f t="shared" si="53"/>
        <v>-218</v>
      </c>
      <c r="C545" s="882">
        <f t="shared" si="52"/>
        <v>541</v>
      </c>
      <c r="D545" s="883">
        <v>1521</v>
      </c>
      <c r="E545" s="884" t="str">
        <f>IFERROR(VLOOKUP(Table2[[#This Row],[Player No]],Table10[[No]:[Province]],2,0),"")</f>
        <v>BYLOS George</v>
      </c>
      <c r="F545" s="885">
        <f>IFERROR(VLOOKUP(Table2[[#This Row],[Player No]],Table10[[No]:[Province]],3,0),"")</f>
        <v>0</v>
      </c>
      <c r="G545" s="892">
        <v>1.00390625</v>
      </c>
      <c r="H545" s="886">
        <f>(Table2[[#This Row],[Points 2025]]/2)+SUM(Table2[[#This Row],[O1  ADMIN 2026]:[P2    CAPE TOWN OPEN 2026 ]])</f>
        <v>0.501953125</v>
      </c>
      <c r="I545" s="880">
        <f t="shared" si="51"/>
        <v>0</v>
      </c>
      <c r="J545" s="882">
        <f t="shared" si="54"/>
        <v>0</v>
      </c>
      <c r="K545" s="887" t="s">
        <v>6083</v>
      </c>
      <c r="L545" s="887" t="s">
        <v>6083</v>
      </c>
      <c r="M545" s="887" t="s">
        <v>6083</v>
      </c>
      <c r="N545" s="887"/>
      <c r="O545" s="882"/>
      <c r="P545" s="882"/>
      <c r="Q545" s="888"/>
      <c r="R545" s="888"/>
      <c r="S545" s="882"/>
      <c r="T545" s="888"/>
      <c r="U545" s="882"/>
      <c r="V545" s="887"/>
      <c r="W545" s="888"/>
      <c r="X545" s="882"/>
      <c r="Y545" s="888"/>
      <c r="Z545" s="882"/>
      <c r="AA545" s="882"/>
      <c r="AB545" s="882"/>
      <c r="AC545" s="882"/>
      <c r="AD545" s="882"/>
      <c r="AE545" s="882"/>
      <c r="AF545" s="882"/>
      <c r="AG545" s="882"/>
      <c r="AH545" s="882"/>
      <c r="AI545" s="882"/>
      <c r="AJ545" s="882"/>
      <c r="AK545" s="882"/>
      <c r="AL545" s="889"/>
    </row>
    <row r="546" spans="1:38" s="890" customFormat="1">
      <c r="A546" s="882">
        <v>905</v>
      </c>
      <c r="B546" s="891">
        <f t="shared" si="53"/>
        <v>363</v>
      </c>
      <c r="C546" s="882">
        <f t="shared" si="52"/>
        <v>542</v>
      </c>
      <c r="D546" s="883">
        <v>1054</v>
      </c>
      <c r="E546" s="884" t="str">
        <f>IFERROR(VLOOKUP(Table2[[#This Row],[Player No]],Table10[[No]:[Province]],2,0),"")</f>
        <v>SCHRIEFF Gerard</v>
      </c>
      <c r="F546" s="885" t="str">
        <f>IFERROR(VLOOKUP(Table2[[#This Row],[Player No]],Table10[[No]:[Province]],3,0),"")</f>
        <v>CT</v>
      </c>
      <c r="G546" s="892">
        <v>1</v>
      </c>
      <c r="H546" s="886">
        <f>(Table2[[#This Row],[Points 2025]]/2)+SUM(Table2[[#This Row],[O1  ADMIN 2026]:[P2    CAPE TOWN OPEN 2026 ]])</f>
        <v>0.5</v>
      </c>
      <c r="I546" s="880">
        <f t="shared" si="51"/>
        <v>0</v>
      </c>
      <c r="J546" s="882">
        <f t="shared" si="54"/>
        <v>0</v>
      </c>
      <c r="K546" s="887" t="s">
        <v>6083</v>
      </c>
      <c r="L546" s="887" t="s">
        <v>6083</v>
      </c>
      <c r="M546" s="887" t="s">
        <v>6083</v>
      </c>
      <c r="N546" s="887"/>
      <c r="O546" s="882"/>
      <c r="P546" s="882"/>
      <c r="Q546" s="888"/>
      <c r="R546" s="888"/>
      <c r="S546" s="882"/>
      <c r="T546" s="888"/>
      <c r="U546" s="882"/>
      <c r="V546" s="887"/>
      <c r="W546" s="888"/>
      <c r="X546" s="882"/>
      <c r="Y546" s="888"/>
      <c r="Z546" s="882"/>
      <c r="AA546" s="882"/>
      <c r="AB546" s="882"/>
      <c r="AC546" s="882"/>
      <c r="AD546" s="882"/>
      <c r="AE546" s="882"/>
      <c r="AF546" s="882">
        <v>2</v>
      </c>
      <c r="AG546" s="882"/>
      <c r="AH546" s="882"/>
      <c r="AI546" s="882"/>
      <c r="AJ546" s="882"/>
      <c r="AK546" s="882"/>
      <c r="AL546" s="889"/>
    </row>
    <row r="547" spans="1:38" s="890" customFormat="1">
      <c r="A547" s="882"/>
      <c r="B547" s="891"/>
      <c r="C547" s="882">
        <f t="shared" si="52"/>
        <v>543</v>
      </c>
      <c r="D547" s="883">
        <v>1104</v>
      </c>
      <c r="E547" s="884" t="str">
        <f>IFERROR(VLOOKUP(Table2[[#This Row],[Player No]],Table10[[No]:[Province]],2,0),"")</f>
        <v xml:space="preserve">PILLAY Kael </v>
      </c>
      <c r="F547" s="885" t="str">
        <f>IFERROR(VLOOKUP(Table2[[#This Row],[Player No]],Table10[[No]:[Province]],3,0),"")</f>
        <v>UMG</v>
      </c>
      <c r="G547" s="892">
        <v>1</v>
      </c>
      <c r="H547" s="886">
        <f>(Table2[[#This Row],[Points 2025]]/2)+SUM(Table2[[#This Row],[O1  ADMIN 2026]:[P2    CAPE TOWN OPEN 2026 ]])</f>
        <v>0.5</v>
      </c>
      <c r="I547" s="880">
        <f t="shared" si="51"/>
        <v>0</v>
      </c>
      <c r="J547" s="882">
        <f t="shared" si="54"/>
        <v>0</v>
      </c>
      <c r="K547" s="887" t="s">
        <v>6083</v>
      </c>
      <c r="L547" s="887" t="s">
        <v>6083</v>
      </c>
      <c r="M547" s="887" t="s">
        <v>6083</v>
      </c>
      <c r="N547" s="887"/>
      <c r="O547" s="882"/>
      <c r="P547" s="882">
        <v>1</v>
      </c>
      <c r="Q547" s="888"/>
      <c r="R547" s="888"/>
      <c r="S547" s="882"/>
      <c r="T547" s="888"/>
      <c r="U547" s="882"/>
      <c r="V547" s="887"/>
      <c r="W547" s="888"/>
      <c r="X547" s="882"/>
      <c r="Y547" s="888"/>
      <c r="Z547" s="882"/>
      <c r="AA547" s="882"/>
      <c r="AB547" s="882"/>
      <c r="AC547" s="882"/>
      <c r="AD547" s="882"/>
      <c r="AE547" s="882"/>
      <c r="AF547" s="882"/>
      <c r="AG547" s="882"/>
      <c r="AH547" s="882"/>
      <c r="AI547" s="882"/>
      <c r="AJ547" s="882"/>
      <c r="AK547" s="882"/>
      <c r="AL547" s="889"/>
    </row>
    <row r="548" spans="1:38" s="890" customFormat="1">
      <c r="A548" s="882"/>
      <c r="B548" s="891"/>
      <c r="C548" s="882">
        <f t="shared" si="52"/>
        <v>544</v>
      </c>
      <c r="D548" s="894">
        <v>1531</v>
      </c>
      <c r="E548" s="884" t="str">
        <f>IFERROR(VLOOKUP(Table2[[#This Row],[Player No]],Table10[[No]:[Province]],2,0),"")</f>
        <v>PATEL Bilaal</v>
      </c>
      <c r="F548" s="885" t="str">
        <f>IFERROR(VLOOKUP(Table2[[#This Row],[Player No]],Table10[[No]:[Province]],3,0),"")</f>
        <v>JTTA</v>
      </c>
      <c r="G548" s="892">
        <v>1</v>
      </c>
      <c r="H548" s="886">
        <f>(Table2[[#This Row],[Points 2025]]/2)+SUM(Table2[[#This Row],[O1  ADMIN 2026]:[P2    CAPE TOWN OPEN 2026 ]])</f>
        <v>0.5</v>
      </c>
      <c r="I548" s="880">
        <f t="shared" si="51"/>
        <v>0</v>
      </c>
      <c r="J548" s="882">
        <f t="shared" si="54"/>
        <v>0</v>
      </c>
      <c r="K548" s="887" t="s">
        <v>6083</v>
      </c>
      <c r="L548" s="887" t="s">
        <v>6083</v>
      </c>
      <c r="M548" s="887" t="s">
        <v>6083</v>
      </c>
      <c r="N548" s="887"/>
      <c r="O548" s="882"/>
      <c r="P548" s="882"/>
      <c r="Q548" s="888"/>
      <c r="R548" s="888"/>
      <c r="S548" s="882"/>
      <c r="T548" s="888"/>
      <c r="U548" s="882"/>
      <c r="V548" s="887"/>
      <c r="W548" s="888"/>
      <c r="X548" s="882"/>
      <c r="Y548" s="888">
        <v>1</v>
      </c>
      <c r="Z548" s="882"/>
      <c r="AA548" s="882"/>
      <c r="AB548" s="882"/>
      <c r="AC548" s="882"/>
      <c r="AD548" s="882"/>
      <c r="AE548" s="882"/>
      <c r="AF548" s="882"/>
      <c r="AG548" s="882"/>
      <c r="AH548" s="882"/>
      <c r="AI548" s="882"/>
      <c r="AJ548" s="882"/>
      <c r="AK548" s="882"/>
      <c r="AL548" s="889"/>
    </row>
    <row r="549" spans="1:38" s="890" customFormat="1">
      <c r="A549" s="882"/>
      <c r="B549" s="891"/>
      <c r="C549" s="882">
        <f t="shared" si="52"/>
        <v>545</v>
      </c>
      <c r="D549" s="883">
        <v>1587</v>
      </c>
      <c r="E549" s="884" t="str">
        <f>IFERROR(VLOOKUP(Table2[[#This Row],[Player No]],Table10[[No]:[Province]],2,0),"")</f>
        <v>ZAIN EDDIN Kareem</v>
      </c>
      <c r="F549" s="885" t="str">
        <f>IFERROR(VLOOKUP(Table2[[#This Row],[Player No]],Table10[[No]:[Province]],3,0),"")</f>
        <v>GN</v>
      </c>
      <c r="G549" s="892">
        <v>1</v>
      </c>
      <c r="H549" s="886">
        <f>(Table2[[#This Row],[Points 2025]]/2)+SUM(Table2[[#This Row],[O1  ADMIN 2026]:[P2    CAPE TOWN OPEN 2026 ]])</f>
        <v>0.5</v>
      </c>
      <c r="I549" s="880">
        <f t="shared" si="51"/>
        <v>0</v>
      </c>
      <c r="J549" s="882">
        <f t="shared" si="54"/>
        <v>0</v>
      </c>
      <c r="K549" s="887" t="s">
        <v>6083</v>
      </c>
      <c r="L549" s="887" t="s">
        <v>6083</v>
      </c>
      <c r="M549" s="887" t="s">
        <v>6083</v>
      </c>
      <c r="N549" s="887"/>
      <c r="O549" s="882"/>
      <c r="P549" s="882"/>
      <c r="Q549" s="888"/>
      <c r="R549" s="888"/>
      <c r="S549" s="882"/>
      <c r="T549" s="888"/>
      <c r="U549" s="882"/>
      <c r="V549" s="887"/>
      <c r="W549" s="888"/>
      <c r="X549" s="882">
        <v>1</v>
      </c>
      <c r="Y549" s="888"/>
      <c r="Z549" s="882"/>
      <c r="AA549" s="882"/>
      <c r="AB549" s="882"/>
      <c r="AC549" s="882"/>
      <c r="AD549" s="882"/>
      <c r="AE549" s="882"/>
      <c r="AF549" s="882"/>
      <c r="AG549" s="882"/>
      <c r="AH549" s="882"/>
      <c r="AI549" s="882"/>
      <c r="AJ549" s="882"/>
      <c r="AK549" s="882"/>
      <c r="AL549" s="889"/>
    </row>
    <row r="550" spans="1:38" s="890" customFormat="1">
      <c r="A550" s="882">
        <v>338</v>
      </c>
      <c r="B550" s="891">
        <f>+A550-C550</f>
        <v>-208</v>
      </c>
      <c r="C550" s="882">
        <f t="shared" si="52"/>
        <v>546</v>
      </c>
      <c r="D550" s="883">
        <v>2109</v>
      </c>
      <c r="E550" s="884" t="str">
        <f>IFERROR(VLOOKUP(Table2[[#This Row],[Player No]],Table10[[No]:[Province]],2,0),"")</f>
        <v>OSMAN Anwar</v>
      </c>
      <c r="F550" s="885" t="str">
        <f>IFERROR(VLOOKUP(Table2[[#This Row],[Player No]],Table10[[No]:[Province]],3,0),"")</f>
        <v>UMG</v>
      </c>
      <c r="G550" s="892">
        <v>1</v>
      </c>
      <c r="H550" s="886">
        <f>(Table2[[#This Row],[Points 2025]]/2)+SUM(Table2[[#This Row],[O1  ADMIN 2026]:[P2    CAPE TOWN OPEN 2026 ]])</f>
        <v>0.5</v>
      </c>
      <c r="I550" s="880">
        <f t="shared" si="51"/>
        <v>0</v>
      </c>
      <c r="J550" s="882">
        <f t="shared" si="54"/>
        <v>0</v>
      </c>
      <c r="K550" s="887" t="s">
        <v>6083</v>
      </c>
      <c r="L550" s="887" t="s">
        <v>6083</v>
      </c>
      <c r="M550" s="887" t="s">
        <v>6083</v>
      </c>
      <c r="N550" s="887"/>
      <c r="O550" s="882"/>
      <c r="P550" s="882"/>
      <c r="Q550" s="888"/>
      <c r="R550" s="888"/>
      <c r="S550" s="882"/>
      <c r="T550" s="888"/>
      <c r="U550" s="882"/>
      <c r="V550" s="887"/>
      <c r="W550" s="888"/>
      <c r="X550" s="882"/>
      <c r="Y550" s="888"/>
      <c r="Z550" s="882"/>
      <c r="AA550" s="882"/>
      <c r="AB550" s="882"/>
      <c r="AC550" s="882">
        <v>2</v>
      </c>
      <c r="AD550" s="882"/>
      <c r="AE550" s="882"/>
      <c r="AF550" s="882"/>
      <c r="AG550" s="882"/>
      <c r="AH550" s="882"/>
      <c r="AI550" s="882"/>
      <c r="AJ550" s="882"/>
      <c r="AK550" s="882"/>
      <c r="AL550" s="889"/>
    </row>
    <row r="551" spans="1:38" s="890" customFormat="1">
      <c r="A551" s="882">
        <v>332</v>
      </c>
      <c r="B551" s="891">
        <f>+A551-C551</f>
        <v>-215</v>
      </c>
      <c r="C551" s="882">
        <f t="shared" si="52"/>
        <v>547</v>
      </c>
      <c r="D551" s="883">
        <v>2202</v>
      </c>
      <c r="E551" s="884" t="str">
        <f>IFERROR(VLOOKUP(Table2[[#This Row],[Player No]],Table10[[No]:[Province]],2,0),"")</f>
        <v>SZTAB Rainer</v>
      </c>
      <c r="F551" s="885" t="str">
        <f>IFERROR(VLOOKUP(Table2[[#This Row],[Player No]],Table10[[No]:[Province]],3,0),"")</f>
        <v>JTTA</v>
      </c>
      <c r="G551" s="892">
        <v>1</v>
      </c>
      <c r="H551" s="886">
        <f>(Table2[[#This Row],[Points 2025]]/2)+SUM(Table2[[#This Row],[O1  ADMIN 2026]:[P2    CAPE TOWN OPEN 2026 ]])</f>
        <v>0.5</v>
      </c>
      <c r="I551" s="880">
        <f t="shared" si="51"/>
        <v>0</v>
      </c>
      <c r="J551" s="882">
        <f t="shared" si="54"/>
        <v>0</v>
      </c>
      <c r="K551" s="887" t="s">
        <v>6083</v>
      </c>
      <c r="L551" s="887" t="s">
        <v>6083</v>
      </c>
      <c r="M551" s="887" t="s">
        <v>6083</v>
      </c>
      <c r="N551" s="887"/>
      <c r="O551" s="882"/>
      <c r="P551" s="882"/>
      <c r="Q551" s="888"/>
      <c r="R551" s="888"/>
      <c r="S551" s="882"/>
      <c r="T551" s="888"/>
      <c r="U551" s="882"/>
      <c r="V551" s="887"/>
      <c r="W551" s="888"/>
      <c r="X551" s="882"/>
      <c r="Y551" s="888"/>
      <c r="Z551" s="882"/>
      <c r="AA551" s="882"/>
      <c r="AB551" s="882"/>
      <c r="AC551" s="882"/>
      <c r="AD551" s="882"/>
      <c r="AE551" s="882"/>
      <c r="AF551" s="882"/>
      <c r="AG551" s="882"/>
      <c r="AH551" s="882"/>
      <c r="AI551" s="882"/>
      <c r="AJ551" s="882"/>
      <c r="AK551" s="882">
        <v>2</v>
      </c>
      <c r="AL551" s="889"/>
    </row>
    <row r="552" spans="1:38" s="890" customFormat="1">
      <c r="A552" s="882"/>
      <c r="B552" s="891"/>
      <c r="C552" s="882">
        <f t="shared" si="52"/>
        <v>548</v>
      </c>
      <c r="D552" s="883">
        <v>2508</v>
      </c>
      <c r="E552" s="884" t="str">
        <f>IFERROR(VLOOKUP(Table2[[#This Row],[Player No]],Table10[[No]:[Province]],2,0),"")</f>
        <v>MORAILE Oreneile</v>
      </c>
      <c r="F552" s="885" t="str">
        <f>IFERROR(VLOOKUP(Table2[[#This Row],[Player No]],Table10[[No]:[Province]],3,0),"")</f>
        <v>FS</v>
      </c>
      <c r="G552" s="892">
        <v>1</v>
      </c>
      <c r="H552" s="886">
        <f>(Table2[[#This Row],[Points 2025]]/2)+SUM(Table2[[#This Row],[O1  ADMIN 2026]:[P2    CAPE TOWN OPEN 2026 ]])</f>
        <v>0.5</v>
      </c>
      <c r="I552" s="880">
        <f t="shared" si="51"/>
        <v>0</v>
      </c>
      <c r="J552" s="882">
        <f t="shared" si="54"/>
        <v>0</v>
      </c>
      <c r="K552" s="887" t="s">
        <v>6083</v>
      </c>
      <c r="L552" s="887" t="s">
        <v>6083</v>
      </c>
      <c r="M552" s="887" t="s">
        <v>6083</v>
      </c>
      <c r="N552" s="887"/>
      <c r="O552" s="882"/>
      <c r="P552" s="882"/>
      <c r="Q552" s="888"/>
      <c r="R552" s="888"/>
      <c r="S552" s="882"/>
      <c r="T552" s="888"/>
      <c r="U552" s="882"/>
      <c r="V552" s="887"/>
      <c r="W552" s="888"/>
      <c r="X552" s="882"/>
      <c r="Y552" s="888"/>
      <c r="Z552" s="882">
        <v>1</v>
      </c>
      <c r="AA552" s="882"/>
      <c r="AB552" s="882"/>
      <c r="AC552" s="882"/>
      <c r="AD552" s="882"/>
      <c r="AE552" s="882"/>
      <c r="AF552" s="882"/>
      <c r="AG552" s="882"/>
      <c r="AH552" s="882"/>
      <c r="AI552" s="882"/>
      <c r="AJ552" s="882"/>
      <c r="AK552" s="882"/>
      <c r="AL552" s="889"/>
    </row>
    <row r="553" spans="1:38" s="890" customFormat="1">
      <c r="A553" s="882">
        <v>335</v>
      </c>
      <c r="B553" s="891">
        <f>+A553-C553</f>
        <v>-214</v>
      </c>
      <c r="C553" s="882">
        <f t="shared" si="52"/>
        <v>549</v>
      </c>
      <c r="D553" s="883">
        <v>2598</v>
      </c>
      <c r="E553" s="884" t="str">
        <f>IFERROR(VLOOKUP(Table2[[#This Row],[Player No]],Table10[[No]:[Province]],2,0),"")</f>
        <v>NAIDOO Dev</v>
      </c>
      <c r="F553" s="885" t="str">
        <f>IFERROR(VLOOKUP(Table2[[#This Row],[Player No]],Table10[[No]:[Province]],3,0),"")</f>
        <v>UMG</v>
      </c>
      <c r="G553" s="892">
        <v>1</v>
      </c>
      <c r="H553" s="886">
        <f>(Table2[[#This Row],[Points 2025]]/2)+SUM(Table2[[#This Row],[O1  ADMIN 2026]:[P2    CAPE TOWN OPEN 2026 ]])</f>
        <v>0.5</v>
      </c>
      <c r="I553" s="880">
        <f t="shared" si="51"/>
        <v>0</v>
      </c>
      <c r="J553" s="882">
        <f t="shared" si="54"/>
        <v>0</v>
      </c>
      <c r="K553" s="887" t="s">
        <v>6083</v>
      </c>
      <c r="L553" s="887" t="s">
        <v>6083</v>
      </c>
      <c r="M553" s="887" t="s">
        <v>6083</v>
      </c>
      <c r="N553" s="887"/>
      <c r="O553" s="882"/>
      <c r="P553" s="882"/>
      <c r="Q553" s="888"/>
      <c r="R553" s="888"/>
      <c r="S553" s="882"/>
      <c r="T553" s="888"/>
      <c r="U553" s="882"/>
      <c r="V553" s="887"/>
      <c r="W553" s="888"/>
      <c r="X553" s="882"/>
      <c r="Y553" s="888"/>
      <c r="Z553" s="882"/>
      <c r="AA553" s="882"/>
      <c r="AB553" s="882"/>
      <c r="AC553" s="882">
        <v>2</v>
      </c>
      <c r="AD553" s="882"/>
      <c r="AE553" s="882"/>
      <c r="AF553" s="882"/>
      <c r="AG553" s="882"/>
      <c r="AH553" s="882"/>
      <c r="AI553" s="882"/>
      <c r="AJ553" s="882"/>
      <c r="AK553" s="882"/>
      <c r="AL553" s="889"/>
    </row>
    <row r="554" spans="1:38" s="890" customFormat="1">
      <c r="A554" s="882"/>
      <c r="B554" s="891"/>
      <c r="C554" s="882">
        <f t="shared" si="52"/>
        <v>550</v>
      </c>
      <c r="D554" s="883">
        <v>2618</v>
      </c>
      <c r="E554" s="884" t="str">
        <f>IFERROR(VLOOKUP(Table2[[#This Row],[Player No]],Table10[[No]:[Province]],2,0),"")</f>
        <v xml:space="preserve">KGABALE David </v>
      </c>
      <c r="F554" s="885" t="str">
        <f>IFERROR(VLOOKUP(Table2[[#This Row],[Player No]],Table10[[No]:[Province]],3,0),"")</f>
        <v>FS</v>
      </c>
      <c r="G554" s="892">
        <v>1</v>
      </c>
      <c r="H554" s="886">
        <f>(Table2[[#This Row],[Points 2025]]/2)+SUM(Table2[[#This Row],[O1  ADMIN 2026]:[P2    CAPE TOWN OPEN 2026 ]])</f>
        <v>0.5</v>
      </c>
      <c r="I554" s="880">
        <f t="shared" si="51"/>
        <v>0</v>
      </c>
      <c r="J554" s="882">
        <f t="shared" si="54"/>
        <v>0</v>
      </c>
      <c r="K554" s="887" t="s">
        <v>6083</v>
      </c>
      <c r="L554" s="887" t="s">
        <v>6083</v>
      </c>
      <c r="M554" s="887" t="s">
        <v>6083</v>
      </c>
      <c r="N554" s="887"/>
      <c r="O554" s="882"/>
      <c r="P554" s="882"/>
      <c r="Q554" s="888"/>
      <c r="R554" s="888"/>
      <c r="S554" s="882"/>
      <c r="T554" s="888"/>
      <c r="U554" s="882">
        <v>1</v>
      </c>
      <c r="V554" s="887"/>
      <c r="W554" s="888"/>
      <c r="X554" s="882"/>
      <c r="Y554" s="888"/>
      <c r="Z554" s="882"/>
      <c r="AA554" s="882"/>
      <c r="AB554" s="882"/>
      <c r="AC554" s="882"/>
      <c r="AD554" s="882"/>
      <c r="AE554" s="882"/>
      <c r="AF554" s="882"/>
      <c r="AG554" s="882"/>
      <c r="AH554" s="882"/>
      <c r="AI554" s="882"/>
      <c r="AJ554" s="882"/>
      <c r="AK554" s="882"/>
      <c r="AL554" s="889"/>
    </row>
    <row r="555" spans="1:38" s="890" customFormat="1">
      <c r="A555" s="882"/>
      <c r="B555" s="891"/>
      <c r="C555" s="882">
        <f t="shared" si="52"/>
        <v>551</v>
      </c>
      <c r="D555" s="883">
        <v>2736</v>
      </c>
      <c r="E555" s="884" t="str">
        <f>IFERROR(VLOOKUP(Table2[[#This Row],[Player No]],Table10[[No]:[Province]],2,0),"")</f>
        <v>DU PREEZ Neil</v>
      </c>
      <c r="F555" s="885" t="str">
        <f>IFERROR(VLOOKUP(Table2[[#This Row],[Player No]],Table10[[No]:[Province]],3,0),"")</f>
        <v>JTTA</v>
      </c>
      <c r="G555" s="892">
        <v>1</v>
      </c>
      <c r="H555" s="886">
        <f>(Table2[[#This Row],[Points 2025]]/2)+SUM(Table2[[#This Row],[O1  ADMIN 2026]:[P2    CAPE TOWN OPEN 2026 ]])</f>
        <v>0.5</v>
      </c>
      <c r="I555" s="880">
        <f t="shared" si="51"/>
        <v>0</v>
      </c>
      <c r="J555" s="882">
        <f t="shared" si="54"/>
        <v>0</v>
      </c>
      <c r="K555" s="887" t="s">
        <v>6083</v>
      </c>
      <c r="L555" s="887" t="s">
        <v>6083</v>
      </c>
      <c r="M555" s="887" t="s">
        <v>6083</v>
      </c>
      <c r="N555" s="887"/>
      <c r="O555" s="882"/>
      <c r="P555" s="882"/>
      <c r="Q555" s="888"/>
      <c r="R555" s="888"/>
      <c r="S555" s="882"/>
      <c r="T555" s="888"/>
      <c r="U555" s="882"/>
      <c r="V555" s="887"/>
      <c r="W555" s="888"/>
      <c r="X555" s="882"/>
      <c r="Y555" s="888"/>
      <c r="Z555" s="882">
        <v>1</v>
      </c>
      <c r="AA555" s="882"/>
      <c r="AB555" s="882"/>
      <c r="AC555" s="882"/>
      <c r="AD555" s="882"/>
      <c r="AE555" s="882"/>
      <c r="AF555" s="882"/>
      <c r="AG555" s="882"/>
      <c r="AH555" s="882"/>
      <c r="AI555" s="882"/>
      <c r="AJ555" s="882"/>
      <c r="AK555" s="882"/>
      <c r="AL555" s="889"/>
    </row>
    <row r="556" spans="1:38" s="890" customFormat="1">
      <c r="A556" s="882">
        <v>415</v>
      </c>
      <c r="B556" s="891">
        <f>+A556-C556</f>
        <v>-137</v>
      </c>
      <c r="C556" s="882">
        <f t="shared" si="52"/>
        <v>552</v>
      </c>
      <c r="D556" s="883">
        <v>2861</v>
      </c>
      <c r="E556" s="884" t="str">
        <f>IFERROR(VLOOKUP(Table2[[#This Row],[Player No]],Table10[[No]:[Province]],2,0),"")</f>
        <v>MWEZENI Yambesa</v>
      </c>
      <c r="F556" s="885" t="str">
        <f>IFERROR(VLOOKUP(Table2[[#This Row],[Player No]],Table10[[No]:[Province]],3,0),"")</f>
        <v>EC</v>
      </c>
      <c r="G556" s="892">
        <v>1</v>
      </c>
      <c r="H556" s="886">
        <f>(Table2[[#This Row],[Points 2025]]/2)+SUM(Table2[[#This Row],[O1  ADMIN 2026]:[P2    CAPE TOWN OPEN 2026 ]])</f>
        <v>0.5</v>
      </c>
      <c r="I556" s="880">
        <f t="shared" si="51"/>
        <v>0</v>
      </c>
      <c r="J556" s="882">
        <f t="shared" si="54"/>
        <v>0</v>
      </c>
      <c r="K556" s="887" t="s">
        <v>6083</v>
      </c>
      <c r="L556" s="887" t="s">
        <v>6083</v>
      </c>
      <c r="M556" s="887" t="s">
        <v>6083</v>
      </c>
      <c r="N556" s="887"/>
      <c r="O556" s="882"/>
      <c r="P556" s="882"/>
      <c r="Q556" s="888"/>
      <c r="R556" s="888"/>
      <c r="S556" s="882"/>
      <c r="T556" s="888"/>
      <c r="U556" s="882"/>
      <c r="V556" s="887"/>
      <c r="W556" s="888"/>
      <c r="X556" s="882"/>
      <c r="Y556" s="888"/>
      <c r="Z556" s="882"/>
      <c r="AA556" s="882"/>
      <c r="AB556" s="882"/>
      <c r="AC556" s="882"/>
      <c r="AD556" s="882"/>
      <c r="AE556" s="882"/>
      <c r="AF556" s="882"/>
      <c r="AG556" s="882">
        <v>1</v>
      </c>
      <c r="AH556" s="882"/>
      <c r="AI556" s="882"/>
      <c r="AJ556" s="882">
        <v>1</v>
      </c>
      <c r="AK556" s="882"/>
      <c r="AL556" s="889"/>
    </row>
    <row r="557" spans="1:38" s="890" customFormat="1">
      <c r="A557" s="882">
        <v>905</v>
      </c>
      <c r="B557" s="891">
        <f>+A557-C557</f>
        <v>352</v>
      </c>
      <c r="C557" s="882">
        <f t="shared" si="52"/>
        <v>553</v>
      </c>
      <c r="D557" s="883">
        <v>2944</v>
      </c>
      <c r="E557" s="884" t="str">
        <f>IFERROR(VLOOKUP(Table2[[#This Row],[Player No]],Table10[[No]:[Province]],2,0),"")</f>
        <v>HENDRICKS Leighton</v>
      </c>
      <c r="F557" s="885" t="str">
        <f>IFERROR(VLOOKUP(Table2[[#This Row],[Player No]],Table10[[No]:[Province]],3,0),"")</f>
        <v>CW</v>
      </c>
      <c r="G557" s="892">
        <v>1</v>
      </c>
      <c r="H557" s="886">
        <f>(Table2[[#This Row],[Points 2025]]/2)+SUM(Table2[[#This Row],[O1  ADMIN 2026]:[P2    CAPE TOWN OPEN 2026 ]])</f>
        <v>0.5</v>
      </c>
      <c r="I557" s="880">
        <f t="shared" si="51"/>
        <v>0</v>
      </c>
      <c r="J557" s="882">
        <f t="shared" ref="J557:J562" si="55">COUNTIF(O557:AB557,"&lt;0")</f>
        <v>0</v>
      </c>
      <c r="K557" s="887" t="s">
        <v>6083</v>
      </c>
      <c r="L557" s="887" t="s">
        <v>6083</v>
      </c>
      <c r="M557" s="887" t="s">
        <v>6083</v>
      </c>
      <c r="N557" s="887"/>
      <c r="O557" s="882"/>
      <c r="P557" s="882"/>
      <c r="Q557" s="888"/>
      <c r="R557" s="888"/>
      <c r="S557" s="882"/>
      <c r="T557" s="888"/>
      <c r="U557" s="882"/>
      <c r="V557" s="887"/>
      <c r="W557" s="888"/>
      <c r="X557" s="882"/>
      <c r="Y557" s="888"/>
      <c r="Z557" s="882"/>
      <c r="AA557" s="882"/>
      <c r="AB557" s="882"/>
      <c r="AC557" s="882"/>
      <c r="AD557" s="882"/>
      <c r="AE557" s="882"/>
      <c r="AF557" s="882">
        <v>2</v>
      </c>
      <c r="AG557" s="882"/>
      <c r="AH557" s="882"/>
      <c r="AI557" s="882"/>
      <c r="AJ557" s="882"/>
      <c r="AK557" s="882"/>
      <c r="AL557" s="889"/>
    </row>
    <row r="558" spans="1:38" s="890" customFormat="1">
      <c r="A558" s="882">
        <v>329</v>
      </c>
      <c r="B558" s="891">
        <f>+A558-C558</f>
        <v>-225</v>
      </c>
      <c r="C558" s="882">
        <f t="shared" si="52"/>
        <v>554</v>
      </c>
      <c r="D558" s="883">
        <v>3216</v>
      </c>
      <c r="E558" s="884" t="str">
        <f>IFERROR(VLOOKUP(Table2[[#This Row],[Player No]],Table10[[No]:[Province]],2,0),"")</f>
        <v>ABRAHAMS Asher Eli</v>
      </c>
      <c r="F558" s="885" t="str">
        <f>IFERROR(VLOOKUP(Table2[[#This Row],[Player No]],Table10[[No]:[Province]],3,0),"")</f>
        <v>JTTA</v>
      </c>
      <c r="G558" s="892">
        <v>1</v>
      </c>
      <c r="H558" s="886">
        <f>(Table2[[#This Row],[Points 2025]]/2)+SUM(Table2[[#This Row],[O1  ADMIN 2026]:[P2    CAPE TOWN OPEN 2026 ]])</f>
        <v>0.5</v>
      </c>
      <c r="I558" s="880">
        <f t="shared" si="51"/>
        <v>0</v>
      </c>
      <c r="J558" s="882">
        <f t="shared" si="55"/>
        <v>0</v>
      </c>
      <c r="K558" s="887" t="s">
        <v>6083</v>
      </c>
      <c r="L558" s="887" t="s">
        <v>6083</v>
      </c>
      <c r="M558" s="887" t="s">
        <v>6083</v>
      </c>
      <c r="N558" s="887"/>
      <c r="O558" s="882"/>
      <c r="P558" s="882"/>
      <c r="Q558" s="888"/>
      <c r="R558" s="888"/>
      <c r="S558" s="882"/>
      <c r="T558" s="888"/>
      <c r="U558" s="882"/>
      <c r="V558" s="887"/>
      <c r="W558" s="888"/>
      <c r="X558" s="882"/>
      <c r="Y558" s="888"/>
      <c r="Z558" s="882"/>
      <c r="AA558" s="882"/>
      <c r="AB558" s="882"/>
      <c r="AC558" s="882"/>
      <c r="AD558" s="882"/>
      <c r="AE558" s="882"/>
      <c r="AF558" s="882"/>
      <c r="AG558" s="882"/>
      <c r="AH558" s="882"/>
      <c r="AI558" s="882"/>
      <c r="AJ558" s="882"/>
      <c r="AK558" s="882">
        <v>2</v>
      </c>
      <c r="AL558" s="889"/>
    </row>
    <row r="559" spans="1:38" s="890" customFormat="1">
      <c r="A559" s="882">
        <v>324</v>
      </c>
      <c r="B559" s="891">
        <f>+A559-C559</f>
        <v>-231</v>
      </c>
      <c r="C559" s="882">
        <f t="shared" si="52"/>
        <v>555</v>
      </c>
      <c r="D559" s="883">
        <v>3402</v>
      </c>
      <c r="E559" s="884" t="str">
        <f>IFERROR(VLOOKUP(Table2[[#This Row],[Player No]],Table10[[No]:[Province]],2,0),"")</f>
        <v>LE ROUX Shane</v>
      </c>
      <c r="F559" s="885" t="str">
        <f>IFERROR(VLOOKUP(Table2[[#This Row],[Player No]],Table10[[No]:[Province]],3,0),"")</f>
        <v>CW</v>
      </c>
      <c r="G559" s="892">
        <v>1</v>
      </c>
      <c r="H559" s="886">
        <f>(Table2[[#This Row],[Points 2025]]/2)+SUM(Table2[[#This Row],[O1  ADMIN 2026]:[P2    CAPE TOWN OPEN 2026 ]])</f>
        <v>0.5</v>
      </c>
      <c r="I559" s="880">
        <f t="shared" si="51"/>
        <v>0</v>
      </c>
      <c r="J559" s="882">
        <f t="shared" si="55"/>
        <v>0</v>
      </c>
      <c r="K559" s="887" t="s">
        <v>6083</v>
      </c>
      <c r="L559" s="887" t="s">
        <v>6083</v>
      </c>
      <c r="M559" s="887" t="s">
        <v>6083</v>
      </c>
      <c r="N559" s="887"/>
      <c r="O559" s="882"/>
      <c r="P559" s="882"/>
      <c r="Q559" s="888"/>
      <c r="R559" s="888"/>
      <c r="S559" s="882"/>
      <c r="T559" s="888"/>
      <c r="U559" s="882"/>
      <c r="V559" s="887"/>
      <c r="W559" s="888"/>
      <c r="X559" s="882"/>
      <c r="Y559" s="888"/>
      <c r="Z559" s="882"/>
      <c r="AA559" s="882"/>
      <c r="AB559" s="882"/>
      <c r="AC559" s="882"/>
      <c r="AD559" s="882"/>
      <c r="AE559" s="882"/>
      <c r="AF559" s="882"/>
      <c r="AG559" s="882"/>
      <c r="AH559" s="882"/>
      <c r="AI559" s="882"/>
      <c r="AJ559" s="882"/>
      <c r="AK559" s="882"/>
      <c r="AL559" s="889"/>
    </row>
    <row r="560" spans="1:38" s="890" customFormat="1">
      <c r="A560" s="882"/>
      <c r="B560" s="891"/>
      <c r="C560" s="882">
        <f t="shared" si="52"/>
        <v>556</v>
      </c>
      <c r="D560" s="883">
        <v>3450</v>
      </c>
      <c r="E560" s="884" t="str">
        <f>IFERROR(VLOOKUP(Table2[[#This Row],[Player No]],Table10[[No]:[Province]],2,0),"")</f>
        <v>DE KOCK Derrick</v>
      </c>
      <c r="F560" s="885" t="str">
        <f>IFERROR(VLOOKUP(Table2[[#This Row],[Player No]],Table10[[No]:[Province]],3,0),"")</f>
        <v>GN</v>
      </c>
      <c r="G560" s="892">
        <v>1</v>
      </c>
      <c r="H560" s="886">
        <f>(Table2[[#This Row],[Points 2025]]/2)+SUM(Table2[[#This Row],[O1  ADMIN 2026]:[P2    CAPE TOWN OPEN 2026 ]])</f>
        <v>0.5</v>
      </c>
      <c r="I560" s="880">
        <f t="shared" si="51"/>
        <v>0</v>
      </c>
      <c r="J560" s="882">
        <f t="shared" si="55"/>
        <v>0</v>
      </c>
      <c r="K560" s="887" t="s">
        <v>6083</v>
      </c>
      <c r="L560" s="887" t="s">
        <v>6083</v>
      </c>
      <c r="M560" s="887" t="s">
        <v>6083</v>
      </c>
      <c r="N560" s="887"/>
      <c r="O560" s="882"/>
      <c r="P560" s="882"/>
      <c r="Q560" s="888"/>
      <c r="R560" s="888"/>
      <c r="S560" s="882"/>
      <c r="T560" s="888"/>
      <c r="U560" s="882"/>
      <c r="V560" s="887"/>
      <c r="W560" s="888"/>
      <c r="X560" s="882"/>
      <c r="Y560" s="888">
        <v>1</v>
      </c>
      <c r="Z560" s="882"/>
      <c r="AA560" s="882"/>
      <c r="AB560" s="882"/>
      <c r="AC560" s="882"/>
      <c r="AD560" s="882"/>
      <c r="AE560" s="882"/>
      <c r="AF560" s="882"/>
      <c r="AG560" s="882"/>
      <c r="AH560" s="882"/>
      <c r="AI560" s="882"/>
      <c r="AJ560" s="882"/>
      <c r="AK560" s="882"/>
      <c r="AL560" s="889"/>
    </row>
    <row r="561" spans="1:38" s="890" customFormat="1">
      <c r="A561" s="882"/>
      <c r="B561" s="891"/>
      <c r="C561" s="882">
        <f t="shared" si="52"/>
        <v>557</v>
      </c>
      <c r="D561" s="894">
        <v>3464</v>
      </c>
      <c r="E561" s="884" t="str">
        <f>IFERROR(VLOOKUP(Table2[[#This Row],[Player No]],Table10[[No]:[Province]],2,0),"")</f>
        <v>KRUGER Luan</v>
      </c>
      <c r="F561" s="885" t="str">
        <f>IFERROR(VLOOKUP(Table2[[#This Row],[Player No]],Table10[[No]:[Province]],3,0),"")</f>
        <v>GN</v>
      </c>
      <c r="G561" s="892">
        <v>1</v>
      </c>
      <c r="H561" s="886">
        <f>(Table2[[#This Row],[Points 2025]]/2)+SUM(Table2[[#This Row],[O1  ADMIN 2026]:[P2    CAPE TOWN OPEN 2026 ]])</f>
        <v>0.5</v>
      </c>
      <c r="I561" s="880">
        <f t="shared" si="51"/>
        <v>0</v>
      </c>
      <c r="J561" s="882">
        <f t="shared" si="55"/>
        <v>0</v>
      </c>
      <c r="K561" s="887" t="s">
        <v>6083</v>
      </c>
      <c r="L561" s="887" t="s">
        <v>6083</v>
      </c>
      <c r="M561" s="887" t="s">
        <v>6083</v>
      </c>
      <c r="N561" s="887"/>
      <c r="O561" s="882"/>
      <c r="P561" s="882"/>
      <c r="Q561" s="888"/>
      <c r="R561" s="888"/>
      <c r="S561" s="882"/>
      <c r="T561" s="888"/>
      <c r="U561" s="882"/>
      <c r="V561" s="887"/>
      <c r="W561" s="888"/>
      <c r="X561" s="882"/>
      <c r="Y561" s="888">
        <v>1</v>
      </c>
      <c r="Z561" s="882"/>
      <c r="AA561" s="882"/>
      <c r="AB561" s="882"/>
      <c r="AC561" s="882"/>
      <c r="AD561" s="882"/>
      <c r="AE561" s="882"/>
      <c r="AF561" s="882"/>
      <c r="AG561" s="882"/>
      <c r="AH561" s="882"/>
      <c r="AI561" s="882"/>
      <c r="AJ561" s="882"/>
      <c r="AK561" s="882"/>
      <c r="AL561" s="889"/>
    </row>
    <row r="562" spans="1:38" s="890" customFormat="1">
      <c r="A562" s="882">
        <v>337</v>
      </c>
      <c r="B562" s="891">
        <f>+A562-C562</f>
        <v>-221</v>
      </c>
      <c r="C562" s="882">
        <f t="shared" si="52"/>
        <v>558</v>
      </c>
      <c r="D562" s="883">
        <v>3672</v>
      </c>
      <c r="E562" s="884" t="str">
        <f>IFERROR(VLOOKUP(Table2[[#This Row],[Player No]],Table10[[No]:[Province]],2,0),"")</f>
        <v>RAGHUNAN Ronan</v>
      </c>
      <c r="F562" s="885" t="str">
        <f>IFERROR(VLOOKUP(Table2[[#This Row],[Player No]],Table10[[No]:[Province]],3,0),"")</f>
        <v>ETTA</v>
      </c>
      <c r="G562" s="892">
        <v>1</v>
      </c>
      <c r="H562" s="886">
        <f>(Table2[[#This Row],[Points 2025]]/2)+SUM(Table2[[#This Row],[O1  ADMIN 2026]:[P2    CAPE TOWN OPEN 2026 ]])</f>
        <v>0.5</v>
      </c>
      <c r="I562" s="880">
        <f t="shared" si="51"/>
        <v>0</v>
      </c>
      <c r="J562" s="882">
        <f t="shared" si="55"/>
        <v>0</v>
      </c>
      <c r="K562" s="887" t="s">
        <v>6083</v>
      </c>
      <c r="L562" s="887" t="s">
        <v>6083</v>
      </c>
      <c r="M562" s="887" t="s">
        <v>6083</v>
      </c>
      <c r="N562" s="887"/>
      <c r="O562" s="882"/>
      <c r="P562" s="882"/>
      <c r="Q562" s="888"/>
      <c r="R562" s="888"/>
      <c r="S562" s="882"/>
      <c r="T562" s="888"/>
      <c r="U562" s="882"/>
      <c r="V562" s="887"/>
      <c r="W562" s="888"/>
      <c r="X562" s="882"/>
      <c r="Y562" s="888"/>
      <c r="Z562" s="882"/>
      <c r="AA562" s="882"/>
      <c r="AB562" s="882"/>
      <c r="AC562" s="882">
        <v>2</v>
      </c>
      <c r="AD562" s="882"/>
      <c r="AE562" s="882"/>
      <c r="AF562" s="882"/>
      <c r="AG562" s="882"/>
      <c r="AH562" s="882"/>
      <c r="AI562" s="882"/>
      <c r="AJ562" s="882"/>
      <c r="AK562" s="882"/>
      <c r="AL562" s="889"/>
    </row>
    <row r="563" spans="1:38" s="890" customFormat="1">
      <c r="A563" s="882"/>
      <c r="B563" s="891">
        <f>+A563-C563</f>
        <v>-559</v>
      </c>
      <c r="C563" s="882">
        <f t="shared" si="52"/>
        <v>559</v>
      </c>
      <c r="D563" s="883">
        <v>3719</v>
      </c>
      <c r="E563" s="884" t="str">
        <f>IFERROR(VLOOKUP(Table2[[#This Row],[Player No]],Table10[[No]:[Province]],2,0),"")</f>
        <v>KADAVIALEI Fahim</v>
      </c>
      <c r="F563" s="885" t="str">
        <f>IFERROR(VLOOKUP(Table2[[#This Row],[Player No]],Table10[[No]:[Province]],3,0),"")</f>
        <v>JTTA</v>
      </c>
      <c r="G563" s="892">
        <v>1</v>
      </c>
      <c r="H563" s="886">
        <f>(Table2[[#This Row],[Points 2025]]/2)+SUM(Table2[[#This Row],[O1  ADMIN 2026]:[P2    CAPE TOWN OPEN 2026 ]])</f>
        <v>0.5</v>
      </c>
      <c r="I563" s="880">
        <f t="shared" si="51"/>
        <v>0</v>
      </c>
      <c r="J563" s="882">
        <f t="shared" ref="J563:J568" si="56">COUNTIF(O563:AK563,"&lt;0")</f>
        <v>0</v>
      </c>
      <c r="K563" s="887" t="s">
        <v>6083</v>
      </c>
      <c r="L563" s="887" t="s">
        <v>6083</v>
      </c>
      <c r="M563" s="887" t="s">
        <v>6083</v>
      </c>
      <c r="N563" s="887"/>
      <c r="O563" s="882"/>
      <c r="P563" s="882"/>
      <c r="Q563" s="888"/>
      <c r="R563" s="888"/>
      <c r="S563" s="882"/>
      <c r="T563" s="888"/>
      <c r="U563" s="882"/>
      <c r="V563" s="887"/>
      <c r="W563" s="888"/>
      <c r="X563" s="882"/>
      <c r="Y563" s="888"/>
      <c r="Z563" s="882">
        <v>0</v>
      </c>
      <c r="AA563" s="882"/>
      <c r="AB563" s="882"/>
      <c r="AC563" s="882"/>
      <c r="AD563" s="882"/>
      <c r="AE563" s="882"/>
      <c r="AF563" s="882"/>
      <c r="AG563" s="882"/>
      <c r="AH563" s="882"/>
      <c r="AI563" s="882">
        <v>2</v>
      </c>
      <c r="AJ563" s="882"/>
      <c r="AK563" s="882"/>
      <c r="AL563" s="889"/>
    </row>
    <row r="564" spans="1:38" s="890" customFormat="1">
      <c r="A564" s="882">
        <v>340</v>
      </c>
      <c r="B564" s="891">
        <f>+A564-C564</f>
        <v>-220</v>
      </c>
      <c r="C564" s="882">
        <f t="shared" si="52"/>
        <v>560</v>
      </c>
      <c r="D564" s="883">
        <v>3786</v>
      </c>
      <c r="E564" s="884" t="str">
        <f>IFERROR(VLOOKUP(Table2[[#This Row],[Player No]],Table10[[No]:[Province]],2,0),"")</f>
        <v>ASHANAND Ashley</v>
      </c>
      <c r="F564" s="885" t="str">
        <f>IFERROR(VLOOKUP(Table2[[#This Row],[Player No]],Table10[[No]:[Province]],3,0),"")</f>
        <v>ETTA</v>
      </c>
      <c r="G564" s="892">
        <v>1</v>
      </c>
      <c r="H564" s="886">
        <f>(Table2[[#This Row],[Points 2025]]/2)+SUM(Table2[[#This Row],[O1  ADMIN 2026]:[P2    CAPE TOWN OPEN 2026 ]])</f>
        <v>0.5</v>
      </c>
      <c r="I564" s="880">
        <f t="shared" si="51"/>
        <v>0</v>
      </c>
      <c r="J564" s="882">
        <f t="shared" si="56"/>
        <v>0</v>
      </c>
      <c r="K564" s="887" t="s">
        <v>6083</v>
      </c>
      <c r="L564" s="887" t="s">
        <v>6083</v>
      </c>
      <c r="M564" s="887" t="s">
        <v>6083</v>
      </c>
      <c r="N564" s="887"/>
      <c r="O564" s="882"/>
      <c r="P564" s="882"/>
      <c r="Q564" s="888"/>
      <c r="R564" s="888"/>
      <c r="S564" s="882"/>
      <c r="T564" s="888"/>
      <c r="U564" s="882"/>
      <c r="V564" s="887"/>
      <c r="W564" s="888"/>
      <c r="X564" s="882"/>
      <c r="Y564" s="888"/>
      <c r="Z564" s="882"/>
      <c r="AA564" s="882"/>
      <c r="AB564" s="882"/>
      <c r="AC564" s="882">
        <v>2</v>
      </c>
      <c r="AD564" s="882"/>
      <c r="AE564" s="882"/>
      <c r="AF564" s="882"/>
      <c r="AG564" s="882"/>
      <c r="AH564" s="882"/>
      <c r="AI564" s="882"/>
      <c r="AJ564" s="882"/>
      <c r="AK564" s="882"/>
      <c r="AL564" s="889"/>
    </row>
    <row r="565" spans="1:38" s="890" customFormat="1">
      <c r="A565" s="882"/>
      <c r="B565" s="891"/>
      <c r="C565" s="882">
        <f t="shared" si="52"/>
        <v>561</v>
      </c>
      <c r="D565" s="894">
        <v>3799</v>
      </c>
      <c r="E565" s="884" t="str">
        <f>IFERROR(VLOOKUP(Table2[[#This Row],[Player No]],Table10[[No]:[Province]],2,0),"")</f>
        <v>CELE Sbongakonke Wandile</v>
      </c>
      <c r="F565" s="885" t="str">
        <f>IFERROR(VLOOKUP(Table2[[#This Row],[Player No]],Table10[[No]:[Province]],3,0),"")</f>
        <v>ETTA</v>
      </c>
      <c r="G565" s="892">
        <v>1</v>
      </c>
      <c r="H565" s="886">
        <f>(Table2[[#This Row],[Points 2025]]/2)+SUM(Table2[[#This Row],[O1  ADMIN 2026]:[P2    CAPE TOWN OPEN 2026 ]])</f>
        <v>0.5</v>
      </c>
      <c r="I565" s="880">
        <f t="shared" si="51"/>
        <v>0</v>
      </c>
      <c r="J565" s="882">
        <f t="shared" si="56"/>
        <v>0</v>
      </c>
      <c r="K565" s="887" t="s">
        <v>6083</v>
      </c>
      <c r="L565" s="887" t="s">
        <v>6083</v>
      </c>
      <c r="M565" s="887" t="s">
        <v>6083</v>
      </c>
      <c r="N565" s="887"/>
      <c r="O565" s="882"/>
      <c r="P565" s="882"/>
      <c r="Q565" s="888"/>
      <c r="R565" s="888">
        <v>1</v>
      </c>
      <c r="S565" s="882"/>
      <c r="T565" s="888"/>
      <c r="U565" s="882"/>
      <c r="V565" s="887"/>
      <c r="W565" s="888"/>
      <c r="X565" s="882"/>
      <c r="Y565" s="888"/>
      <c r="Z565" s="882"/>
      <c r="AA565" s="882"/>
      <c r="AB565" s="882"/>
      <c r="AC565" s="882"/>
      <c r="AD565" s="882"/>
      <c r="AE565" s="882"/>
      <c r="AF565" s="882"/>
      <c r="AG565" s="882"/>
      <c r="AH565" s="882"/>
      <c r="AI565" s="882"/>
      <c r="AJ565" s="882"/>
      <c r="AK565" s="882"/>
      <c r="AL565" s="889"/>
    </row>
    <row r="566" spans="1:38" s="890" customFormat="1">
      <c r="A566" s="882"/>
      <c r="B566" s="891"/>
      <c r="C566" s="882">
        <f t="shared" si="52"/>
        <v>562</v>
      </c>
      <c r="D566" s="883">
        <v>3840</v>
      </c>
      <c r="E566" s="884" t="str">
        <f>IFERROR(VLOOKUP(Table2[[#This Row],[Player No]],Table10[[No]:[Province]],2,0),"")</f>
        <v>SIBANGO Liso</v>
      </c>
      <c r="F566" s="885" t="str">
        <f>IFERROR(VLOOKUP(Table2[[#This Row],[Player No]],Table10[[No]:[Province]],3,0),"")</f>
        <v>JTTA</v>
      </c>
      <c r="G566" s="892">
        <v>1</v>
      </c>
      <c r="H566" s="886">
        <f>(Table2[[#This Row],[Points 2025]]/2)+SUM(Table2[[#This Row],[O1  ADMIN 2026]:[P2    CAPE TOWN OPEN 2026 ]])</f>
        <v>0.5</v>
      </c>
      <c r="I566" s="880">
        <f t="shared" si="51"/>
        <v>0</v>
      </c>
      <c r="J566" s="882">
        <f t="shared" si="56"/>
        <v>0</v>
      </c>
      <c r="K566" s="887" t="s">
        <v>6083</v>
      </c>
      <c r="L566" s="887" t="s">
        <v>6083</v>
      </c>
      <c r="M566" s="887" t="s">
        <v>6083</v>
      </c>
      <c r="N566" s="887"/>
      <c r="O566" s="882"/>
      <c r="P566" s="882"/>
      <c r="Q566" s="888"/>
      <c r="R566" s="888"/>
      <c r="S566" s="882"/>
      <c r="T566" s="888"/>
      <c r="U566" s="882"/>
      <c r="V566" s="887"/>
      <c r="W566" s="888"/>
      <c r="X566" s="882"/>
      <c r="Y566" s="888"/>
      <c r="Z566" s="882">
        <v>1</v>
      </c>
      <c r="AA566" s="882"/>
      <c r="AB566" s="882"/>
      <c r="AC566" s="882"/>
      <c r="AD566" s="882"/>
      <c r="AE566" s="882"/>
      <c r="AF566" s="882"/>
      <c r="AG566" s="882"/>
      <c r="AH566" s="882"/>
      <c r="AI566" s="882"/>
      <c r="AJ566" s="882"/>
      <c r="AK566" s="882"/>
      <c r="AL566" s="889"/>
    </row>
    <row r="567" spans="1:38" s="890" customFormat="1">
      <c r="A567" s="882">
        <v>330</v>
      </c>
      <c r="B567" s="891">
        <f t="shared" ref="B567:B576" si="57">+A567-C567</f>
        <v>-233</v>
      </c>
      <c r="C567" s="882">
        <f t="shared" si="52"/>
        <v>563</v>
      </c>
      <c r="D567" s="883">
        <v>3854</v>
      </c>
      <c r="E567" s="884" t="str">
        <f>IFERROR(VLOOKUP(Table2[[#This Row],[Player No]],Table10[[No]:[Province]],2,0),"")</f>
        <v>GROSSMAN Jason</v>
      </c>
      <c r="F567" s="885" t="str">
        <f>IFERROR(VLOOKUP(Table2[[#This Row],[Player No]],Table10[[No]:[Province]],3,0),"")</f>
        <v>JTTA</v>
      </c>
      <c r="G567" s="892">
        <v>1</v>
      </c>
      <c r="H567" s="886">
        <f>(Table2[[#This Row],[Points 2025]]/2)+SUM(Table2[[#This Row],[O1  ADMIN 2026]:[P2    CAPE TOWN OPEN 2026 ]])</f>
        <v>0.5</v>
      </c>
      <c r="I567" s="880">
        <f t="shared" si="51"/>
        <v>0</v>
      </c>
      <c r="J567" s="882">
        <f t="shared" si="56"/>
        <v>0</v>
      </c>
      <c r="K567" s="887" t="s">
        <v>6083</v>
      </c>
      <c r="L567" s="887" t="s">
        <v>6083</v>
      </c>
      <c r="M567" s="887" t="s">
        <v>6083</v>
      </c>
      <c r="N567" s="887"/>
      <c r="O567" s="882"/>
      <c r="P567" s="882"/>
      <c r="Q567" s="888"/>
      <c r="R567" s="888"/>
      <c r="S567" s="882"/>
      <c r="T567" s="888"/>
      <c r="U567" s="882"/>
      <c r="V567" s="887"/>
      <c r="W567" s="888"/>
      <c r="X567" s="882"/>
      <c r="Y567" s="888"/>
      <c r="Z567" s="882"/>
      <c r="AA567" s="882"/>
      <c r="AB567" s="882"/>
      <c r="AC567" s="882"/>
      <c r="AD567" s="882"/>
      <c r="AE567" s="882"/>
      <c r="AF567" s="882"/>
      <c r="AG567" s="882"/>
      <c r="AH567" s="882"/>
      <c r="AI567" s="882"/>
      <c r="AJ567" s="882"/>
      <c r="AK567" s="882">
        <v>2</v>
      </c>
      <c r="AL567" s="889"/>
    </row>
    <row r="568" spans="1:38" s="890" customFormat="1">
      <c r="A568" s="882">
        <v>905</v>
      </c>
      <c r="B568" s="891">
        <f t="shared" si="57"/>
        <v>341</v>
      </c>
      <c r="C568" s="882">
        <f t="shared" si="52"/>
        <v>564</v>
      </c>
      <c r="D568" s="883">
        <v>3884</v>
      </c>
      <c r="E568" s="884" t="str">
        <f>IFERROR(VLOOKUP(Table2[[#This Row],[Player No]],Table10[[No]:[Province]],2,0),"")</f>
        <v>PHILANDER Deagan</v>
      </c>
      <c r="F568" s="885" t="str">
        <f>IFERROR(VLOOKUP(Table2[[#This Row],[Player No]],Table10[[No]:[Province]],3,0),"")</f>
        <v>CW</v>
      </c>
      <c r="G568" s="892">
        <v>1</v>
      </c>
      <c r="H568" s="886">
        <f>(Table2[[#This Row],[Points 2025]]/2)+SUM(Table2[[#This Row],[O1  ADMIN 2026]:[P2    CAPE TOWN OPEN 2026 ]])</f>
        <v>0.5</v>
      </c>
      <c r="I568" s="880">
        <f t="shared" si="51"/>
        <v>0</v>
      </c>
      <c r="J568" s="882">
        <f t="shared" si="56"/>
        <v>0</v>
      </c>
      <c r="K568" s="887" t="s">
        <v>6083</v>
      </c>
      <c r="L568" s="887" t="s">
        <v>6083</v>
      </c>
      <c r="M568" s="887" t="s">
        <v>6083</v>
      </c>
      <c r="N568" s="887"/>
      <c r="O568" s="882"/>
      <c r="P568" s="882"/>
      <c r="Q568" s="888"/>
      <c r="R568" s="888"/>
      <c r="S568" s="882"/>
      <c r="T568" s="888"/>
      <c r="U568" s="882"/>
      <c r="V568" s="887"/>
      <c r="W568" s="888"/>
      <c r="X568" s="882"/>
      <c r="Y568" s="888"/>
      <c r="Z568" s="882"/>
      <c r="AA568" s="882"/>
      <c r="AB568" s="882"/>
      <c r="AC568" s="882"/>
      <c r="AD568" s="882"/>
      <c r="AE568" s="882"/>
      <c r="AF568" s="882">
        <v>2</v>
      </c>
      <c r="AG568" s="882"/>
      <c r="AH568" s="882"/>
      <c r="AI568" s="882"/>
      <c r="AJ568" s="882"/>
      <c r="AK568" s="882"/>
      <c r="AL568" s="889"/>
    </row>
    <row r="569" spans="1:38" s="890" customFormat="1">
      <c r="A569" s="882">
        <v>905</v>
      </c>
      <c r="B569" s="891">
        <f t="shared" si="57"/>
        <v>340</v>
      </c>
      <c r="C569" s="882">
        <f t="shared" si="52"/>
        <v>565</v>
      </c>
      <c r="D569" s="883">
        <v>3942</v>
      </c>
      <c r="E569" s="884" t="str">
        <f>IFERROR(VLOOKUP(Table2[[#This Row],[Player No]],Table10[[No]:[Province]],2,0),"")</f>
        <v>MULLER Ashwell</v>
      </c>
      <c r="F569" s="885" t="str">
        <f>IFERROR(VLOOKUP(Table2[[#This Row],[Player No]],Table10[[No]:[Province]],3,0),"")</f>
        <v>Eden</v>
      </c>
      <c r="G569" s="892">
        <v>1</v>
      </c>
      <c r="H569" s="886">
        <f>(Table2[[#This Row],[Points 2025]]/2)+SUM(Table2[[#This Row],[O1  ADMIN 2026]:[P2    CAPE TOWN OPEN 2026 ]])</f>
        <v>0.5</v>
      </c>
      <c r="I569" s="880">
        <f t="shared" si="51"/>
        <v>0</v>
      </c>
      <c r="J569" s="882">
        <f t="shared" ref="J569:J590" si="58">COUNTIF(O569:AB569,"&lt;0")</f>
        <v>0</v>
      </c>
      <c r="K569" s="887" t="s">
        <v>6083</v>
      </c>
      <c r="L569" s="887" t="s">
        <v>6083</v>
      </c>
      <c r="M569" s="887" t="s">
        <v>6083</v>
      </c>
      <c r="N569" s="887"/>
      <c r="O569" s="882"/>
      <c r="P569" s="882"/>
      <c r="Q569" s="888"/>
      <c r="R569" s="888"/>
      <c r="S569" s="882"/>
      <c r="T569" s="888"/>
      <c r="U569" s="882"/>
      <c r="V569" s="887"/>
      <c r="W569" s="888"/>
      <c r="X569" s="882"/>
      <c r="Y569" s="888"/>
      <c r="Z569" s="882"/>
      <c r="AA569" s="882"/>
      <c r="AB569" s="882"/>
      <c r="AC569" s="882"/>
      <c r="AD569" s="882"/>
      <c r="AE569" s="882"/>
      <c r="AF569" s="882">
        <v>2</v>
      </c>
      <c r="AG569" s="882"/>
      <c r="AH569" s="882"/>
      <c r="AI569" s="882"/>
      <c r="AJ569" s="882"/>
      <c r="AK569" s="882"/>
      <c r="AL569" s="889"/>
    </row>
    <row r="570" spans="1:38" s="890" customFormat="1">
      <c r="A570" s="882">
        <v>905</v>
      </c>
      <c r="B570" s="891">
        <f t="shared" si="57"/>
        <v>339</v>
      </c>
      <c r="C570" s="882">
        <f t="shared" si="52"/>
        <v>566</v>
      </c>
      <c r="D570" s="883">
        <v>3943</v>
      </c>
      <c r="E570" s="884" t="str">
        <f>IFERROR(VLOOKUP(Table2[[#This Row],[Player No]],Table10[[No]:[Province]],2,0),"")</f>
        <v>JANTJIES Cheslin</v>
      </c>
      <c r="F570" s="885" t="str">
        <f>IFERROR(VLOOKUP(Table2[[#This Row],[Player No]],Table10[[No]:[Province]],3,0),"")</f>
        <v>Eden</v>
      </c>
      <c r="G570" s="892">
        <v>1</v>
      </c>
      <c r="H570" s="886">
        <f>(Table2[[#This Row],[Points 2025]]/2)+SUM(Table2[[#This Row],[O1  ADMIN 2026]:[P2    CAPE TOWN OPEN 2026 ]])</f>
        <v>0.5</v>
      </c>
      <c r="I570" s="880">
        <f t="shared" si="51"/>
        <v>0</v>
      </c>
      <c r="J570" s="882">
        <f t="shared" si="58"/>
        <v>0</v>
      </c>
      <c r="K570" s="887" t="s">
        <v>6083</v>
      </c>
      <c r="L570" s="887" t="s">
        <v>6083</v>
      </c>
      <c r="M570" s="887" t="s">
        <v>6083</v>
      </c>
      <c r="N570" s="887"/>
      <c r="O570" s="882"/>
      <c r="P570" s="882"/>
      <c r="Q570" s="888"/>
      <c r="R570" s="888"/>
      <c r="S570" s="882"/>
      <c r="T570" s="888"/>
      <c r="U570" s="882"/>
      <c r="V570" s="887"/>
      <c r="W570" s="888"/>
      <c r="X570" s="882"/>
      <c r="Y570" s="888"/>
      <c r="Z570" s="882"/>
      <c r="AA570" s="882"/>
      <c r="AB570" s="882"/>
      <c r="AC570" s="882"/>
      <c r="AD570" s="882"/>
      <c r="AE570" s="882"/>
      <c r="AF570" s="882">
        <v>2</v>
      </c>
      <c r="AG570" s="882"/>
      <c r="AH570" s="882"/>
      <c r="AI570" s="882"/>
      <c r="AJ570" s="882"/>
      <c r="AK570" s="882"/>
      <c r="AL570" s="889"/>
    </row>
    <row r="571" spans="1:38" s="890" customFormat="1">
      <c r="A571" s="882">
        <v>905</v>
      </c>
      <c r="B571" s="891">
        <f t="shared" si="57"/>
        <v>338</v>
      </c>
      <c r="C571" s="882">
        <f t="shared" si="52"/>
        <v>567</v>
      </c>
      <c r="D571" s="883">
        <v>3944</v>
      </c>
      <c r="E571" s="884" t="str">
        <f>IFERROR(VLOOKUP(Table2[[#This Row],[Player No]],Table10[[No]:[Province]],2,0),"")</f>
        <v>BROWN Colin</v>
      </c>
      <c r="F571" s="885" t="str">
        <f>IFERROR(VLOOKUP(Table2[[#This Row],[Player No]],Table10[[No]:[Province]],3,0),"")</f>
        <v>Eden</v>
      </c>
      <c r="G571" s="892">
        <v>1</v>
      </c>
      <c r="H571" s="886">
        <f>(Table2[[#This Row],[Points 2025]]/2)+SUM(Table2[[#This Row],[O1  ADMIN 2026]:[P2    CAPE TOWN OPEN 2026 ]])</f>
        <v>0.5</v>
      </c>
      <c r="I571" s="880">
        <f t="shared" si="51"/>
        <v>0</v>
      </c>
      <c r="J571" s="882">
        <f t="shared" si="58"/>
        <v>0</v>
      </c>
      <c r="K571" s="887" t="s">
        <v>6083</v>
      </c>
      <c r="L571" s="887" t="s">
        <v>6083</v>
      </c>
      <c r="M571" s="887" t="s">
        <v>6083</v>
      </c>
      <c r="N571" s="887"/>
      <c r="O571" s="882"/>
      <c r="P571" s="882"/>
      <c r="Q571" s="888"/>
      <c r="R571" s="888"/>
      <c r="S571" s="882"/>
      <c r="T571" s="888"/>
      <c r="U571" s="882"/>
      <c r="V571" s="887"/>
      <c r="W571" s="888"/>
      <c r="X571" s="882"/>
      <c r="Y571" s="888"/>
      <c r="Z571" s="882"/>
      <c r="AA571" s="882"/>
      <c r="AB571" s="882"/>
      <c r="AC571" s="882"/>
      <c r="AD571" s="882"/>
      <c r="AE571" s="882"/>
      <c r="AF571" s="882">
        <v>2</v>
      </c>
      <c r="AG571" s="882"/>
      <c r="AH571" s="882"/>
      <c r="AI571" s="882"/>
      <c r="AJ571" s="882"/>
      <c r="AK571" s="882"/>
      <c r="AL571" s="889"/>
    </row>
    <row r="572" spans="1:38" s="890" customFormat="1">
      <c r="A572" s="882">
        <v>905</v>
      </c>
      <c r="B572" s="891">
        <f t="shared" si="57"/>
        <v>337</v>
      </c>
      <c r="C572" s="882">
        <f t="shared" si="52"/>
        <v>568</v>
      </c>
      <c r="D572" s="883">
        <v>3947</v>
      </c>
      <c r="E572" s="884" t="str">
        <f>IFERROR(VLOOKUP(Table2[[#This Row],[Player No]],Table10[[No]:[Province]],2,0),"")</f>
        <v>MANEWIL Jerome</v>
      </c>
      <c r="F572" s="885" t="str">
        <f>IFERROR(VLOOKUP(Table2[[#This Row],[Player No]],Table10[[No]:[Province]],3,0),"")</f>
        <v>Eden</v>
      </c>
      <c r="G572" s="892">
        <v>1</v>
      </c>
      <c r="H572" s="886">
        <f>(Table2[[#This Row],[Points 2025]]/2)+SUM(Table2[[#This Row],[O1  ADMIN 2026]:[P2    CAPE TOWN OPEN 2026 ]])</f>
        <v>0.5</v>
      </c>
      <c r="I572" s="880">
        <f t="shared" si="51"/>
        <v>0</v>
      </c>
      <c r="J572" s="882">
        <f t="shared" si="58"/>
        <v>0</v>
      </c>
      <c r="K572" s="887" t="s">
        <v>6083</v>
      </c>
      <c r="L572" s="887" t="s">
        <v>6083</v>
      </c>
      <c r="M572" s="887" t="s">
        <v>6083</v>
      </c>
      <c r="N572" s="887"/>
      <c r="O572" s="882"/>
      <c r="P572" s="882"/>
      <c r="Q572" s="888"/>
      <c r="R572" s="888"/>
      <c r="S572" s="882"/>
      <c r="T572" s="888"/>
      <c r="U572" s="882"/>
      <c r="V572" s="887"/>
      <c r="W572" s="888"/>
      <c r="X572" s="882"/>
      <c r="Y572" s="888"/>
      <c r="Z572" s="882"/>
      <c r="AA572" s="882"/>
      <c r="AB572" s="882"/>
      <c r="AC572" s="882"/>
      <c r="AD572" s="882"/>
      <c r="AE572" s="882"/>
      <c r="AF572" s="882">
        <v>2</v>
      </c>
      <c r="AG572" s="882"/>
      <c r="AH572" s="882"/>
      <c r="AI572" s="882"/>
      <c r="AJ572" s="882"/>
      <c r="AK572" s="882"/>
      <c r="AL572" s="889"/>
    </row>
    <row r="573" spans="1:38" s="890" customFormat="1">
      <c r="A573" s="882">
        <v>905</v>
      </c>
      <c r="B573" s="891">
        <f t="shared" si="57"/>
        <v>336</v>
      </c>
      <c r="C573" s="882">
        <f t="shared" si="52"/>
        <v>569</v>
      </c>
      <c r="D573" s="883">
        <v>3948</v>
      </c>
      <c r="E573" s="884" t="str">
        <f>IFERROR(VLOOKUP(Table2[[#This Row],[Player No]],Table10[[No]:[Province]],2,0),"")</f>
        <v>SAMPSON Riaan</v>
      </c>
      <c r="F573" s="885" t="str">
        <f>IFERROR(VLOOKUP(Table2[[#This Row],[Player No]],Table10[[No]:[Province]],3,0),"")</f>
        <v>Eden</v>
      </c>
      <c r="G573" s="892">
        <v>1</v>
      </c>
      <c r="H573" s="886">
        <f>(Table2[[#This Row],[Points 2025]]/2)+SUM(Table2[[#This Row],[O1  ADMIN 2026]:[P2    CAPE TOWN OPEN 2026 ]])</f>
        <v>0.5</v>
      </c>
      <c r="I573" s="880">
        <f t="shared" si="51"/>
        <v>0</v>
      </c>
      <c r="J573" s="882">
        <f t="shared" si="58"/>
        <v>0</v>
      </c>
      <c r="K573" s="887" t="s">
        <v>6083</v>
      </c>
      <c r="L573" s="887" t="s">
        <v>6083</v>
      </c>
      <c r="M573" s="887" t="s">
        <v>6083</v>
      </c>
      <c r="N573" s="887"/>
      <c r="O573" s="882"/>
      <c r="P573" s="882"/>
      <c r="Q573" s="888"/>
      <c r="R573" s="888"/>
      <c r="S573" s="882"/>
      <c r="T573" s="888"/>
      <c r="U573" s="882"/>
      <c r="V573" s="887"/>
      <c r="W573" s="888"/>
      <c r="X573" s="882"/>
      <c r="Y573" s="888"/>
      <c r="Z573" s="882"/>
      <c r="AA573" s="882"/>
      <c r="AB573" s="882"/>
      <c r="AC573" s="882"/>
      <c r="AD573" s="882"/>
      <c r="AE573" s="882"/>
      <c r="AF573" s="882">
        <v>2</v>
      </c>
      <c r="AG573" s="882"/>
      <c r="AH573" s="882"/>
      <c r="AI573" s="882"/>
      <c r="AJ573" s="882"/>
      <c r="AK573" s="882"/>
      <c r="AL573" s="889"/>
    </row>
    <row r="574" spans="1:38" s="890" customFormat="1">
      <c r="A574" s="882">
        <v>905</v>
      </c>
      <c r="B574" s="891">
        <f t="shared" si="57"/>
        <v>335</v>
      </c>
      <c r="C574" s="882">
        <f t="shared" si="52"/>
        <v>570</v>
      </c>
      <c r="D574" s="883">
        <v>3949</v>
      </c>
      <c r="E574" s="884" t="str">
        <f>IFERROR(VLOOKUP(Table2[[#This Row],[Player No]],Table10[[No]:[Province]],2,0),"")</f>
        <v>MONDO Sebastian</v>
      </c>
      <c r="F574" s="885" t="str">
        <f>IFERROR(VLOOKUP(Table2[[#This Row],[Player No]],Table10[[No]:[Province]],3,0),"")</f>
        <v>Eden</v>
      </c>
      <c r="G574" s="892">
        <v>1</v>
      </c>
      <c r="H574" s="886">
        <f>(Table2[[#This Row],[Points 2025]]/2)+SUM(Table2[[#This Row],[O1  ADMIN 2026]:[P2    CAPE TOWN OPEN 2026 ]])</f>
        <v>0.5</v>
      </c>
      <c r="I574" s="880">
        <f t="shared" si="51"/>
        <v>0</v>
      </c>
      <c r="J574" s="882">
        <f t="shared" si="58"/>
        <v>0</v>
      </c>
      <c r="K574" s="887" t="s">
        <v>6083</v>
      </c>
      <c r="L574" s="887" t="s">
        <v>6083</v>
      </c>
      <c r="M574" s="887" t="s">
        <v>6083</v>
      </c>
      <c r="N574" s="887"/>
      <c r="O574" s="882"/>
      <c r="P574" s="882"/>
      <c r="Q574" s="888"/>
      <c r="R574" s="888"/>
      <c r="S574" s="882"/>
      <c r="T574" s="888"/>
      <c r="U574" s="882"/>
      <c r="V574" s="887"/>
      <c r="W574" s="888"/>
      <c r="X574" s="882"/>
      <c r="Y574" s="888"/>
      <c r="Z574" s="882"/>
      <c r="AA574" s="882"/>
      <c r="AB574" s="882"/>
      <c r="AC574" s="882"/>
      <c r="AD574" s="882"/>
      <c r="AE574" s="882"/>
      <c r="AF574" s="882">
        <v>2</v>
      </c>
      <c r="AG574" s="882"/>
      <c r="AH574" s="882"/>
      <c r="AI574" s="882"/>
      <c r="AJ574" s="882"/>
      <c r="AK574" s="882"/>
      <c r="AL574" s="889"/>
    </row>
    <row r="575" spans="1:38" s="890" customFormat="1">
      <c r="A575" s="882">
        <v>905</v>
      </c>
      <c r="B575" s="891">
        <f t="shared" si="57"/>
        <v>334</v>
      </c>
      <c r="C575" s="882">
        <f t="shared" si="52"/>
        <v>571</v>
      </c>
      <c r="D575" s="883">
        <v>3950</v>
      </c>
      <c r="E575" s="884" t="str">
        <f>IFERROR(VLOOKUP(Table2[[#This Row],[Player No]],Table10[[No]:[Province]],2,0),"")</f>
        <v>HENDRICKS Wayne</v>
      </c>
      <c r="F575" s="885" t="str">
        <f>IFERROR(VLOOKUP(Table2[[#This Row],[Player No]],Table10[[No]:[Province]],3,0),"")</f>
        <v>Eden</v>
      </c>
      <c r="G575" s="892">
        <v>1</v>
      </c>
      <c r="H575" s="886">
        <f>(Table2[[#This Row],[Points 2025]]/2)+SUM(Table2[[#This Row],[O1  ADMIN 2026]:[P2    CAPE TOWN OPEN 2026 ]])</f>
        <v>0.5</v>
      </c>
      <c r="I575" s="880">
        <f t="shared" si="51"/>
        <v>0</v>
      </c>
      <c r="J575" s="882">
        <f t="shared" si="58"/>
        <v>0</v>
      </c>
      <c r="K575" s="887" t="s">
        <v>6083</v>
      </c>
      <c r="L575" s="887" t="s">
        <v>6083</v>
      </c>
      <c r="M575" s="887" t="s">
        <v>6083</v>
      </c>
      <c r="N575" s="887"/>
      <c r="O575" s="882"/>
      <c r="P575" s="882"/>
      <c r="Q575" s="888"/>
      <c r="R575" s="888"/>
      <c r="S575" s="882"/>
      <c r="T575" s="888"/>
      <c r="U575" s="882"/>
      <c r="V575" s="887"/>
      <c r="W575" s="888"/>
      <c r="X575" s="882"/>
      <c r="Y575" s="888"/>
      <c r="Z575" s="882"/>
      <c r="AA575" s="882"/>
      <c r="AB575" s="882"/>
      <c r="AC575" s="882"/>
      <c r="AD575" s="882"/>
      <c r="AE575" s="882"/>
      <c r="AF575" s="882">
        <v>2</v>
      </c>
      <c r="AG575" s="882"/>
      <c r="AH575" s="882"/>
      <c r="AI575" s="882"/>
      <c r="AJ575" s="882"/>
      <c r="AK575" s="882"/>
      <c r="AL575" s="889"/>
    </row>
    <row r="576" spans="1:38" s="890" customFormat="1">
      <c r="A576" s="882"/>
      <c r="B576" s="891">
        <f t="shared" si="57"/>
        <v>-572</v>
      </c>
      <c r="C576" s="882">
        <f t="shared" si="52"/>
        <v>572</v>
      </c>
      <c r="D576" s="883">
        <v>3986</v>
      </c>
      <c r="E576" s="884" t="str">
        <f>IFERROR(VLOOKUP(Table2[[#This Row],[Player No]],Table10[[No]:[Province]],2,0),"")</f>
        <v>NGCOBO Lucky</v>
      </c>
      <c r="F576" s="885" t="str">
        <f>IFERROR(VLOOKUP(Table2[[#This Row],[Player No]],Table10[[No]:[Province]],3,0),"")</f>
        <v>EKU</v>
      </c>
      <c r="G576" s="892">
        <v>1</v>
      </c>
      <c r="H576" s="886">
        <f>(Table2[[#This Row],[Points 2025]]/2)+SUM(Table2[[#This Row],[O1  ADMIN 2026]:[P2    CAPE TOWN OPEN 2026 ]])</f>
        <v>0.5</v>
      </c>
      <c r="I576" s="880">
        <f t="shared" si="51"/>
        <v>0</v>
      </c>
      <c r="J576" s="882">
        <f t="shared" si="58"/>
        <v>0</v>
      </c>
      <c r="K576" s="887" t="s">
        <v>6083</v>
      </c>
      <c r="L576" s="887" t="s">
        <v>6083</v>
      </c>
      <c r="M576" s="887" t="s">
        <v>6083</v>
      </c>
      <c r="N576" s="887"/>
      <c r="O576" s="882"/>
      <c r="P576" s="882"/>
      <c r="Q576" s="888"/>
      <c r="R576" s="888"/>
      <c r="S576" s="882"/>
      <c r="T576" s="888"/>
      <c r="U576" s="882"/>
      <c r="V576" s="887"/>
      <c r="W576" s="888"/>
      <c r="X576" s="882"/>
      <c r="Y576" s="888"/>
      <c r="Z576" s="882"/>
      <c r="AA576" s="882"/>
      <c r="AB576" s="882"/>
      <c r="AC576" s="882"/>
      <c r="AD576" s="882"/>
      <c r="AE576" s="882"/>
      <c r="AF576" s="882"/>
      <c r="AG576" s="882"/>
      <c r="AH576" s="882"/>
      <c r="AI576" s="882">
        <v>2</v>
      </c>
      <c r="AJ576" s="882"/>
      <c r="AK576" s="882"/>
      <c r="AL576" s="889"/>
    </row>
    <row r="577" spans="1:38" s="890" customFormat="1">
      <c r="A577" s="882"/>
      <c r="B577" s="891"/>
      <c r="C577" s="882">
        <f t="shared" si="52"/>
        <v>573</v>
      </c>
      <c r="D577" s="883">
        <v>4012</v>
      </c>
      <c r="E577" s="884" t="str">
        <f>IFERROR(VLOOKUP(Table2[[#This Row],[Player No]],Table10[[No]:[Province]],2,0),"")</f>
        <v>RAMCHURRAN Devanand</v>
      </c>
      <c r="F577" s="885" t="str">
        <f>IFERROR(VLOOKUP(Table2[[#This Row],[Player No]],Table10[[No]:[Province]],3,0),"")</f>
        <v>UMG</v>
      </c>
      <c r="G577" s="892">
        <v>1</v>
      </c>
      <c r="H577" s="886">
        <f>(Table2[[#This Row],[Points 2025]]/2)+SUM(Table2[[#This Row],[O1  ADMIN 2026]:[P2    CAPE TOWN OPEN 2026 ]])</f>
        <v>0.5</v>
      </c>
      <c r="I577" s="880">
        <f t="shared" si="51"/>
        <v>0</v>
      </c>
      <c r="J577" s="882">
        <f t="shared" si="58"/>
        <v>0</v>
      </c>
      <c r="K577" s="887" t="s">
        <v>6083</v>
      </c>
      <c r="L577" s="887" t="s">
        <v>6083</v>
      </c>
      <c r="M577" s="887" t="s">
        <v>6083</v>
      </c>
      <c r="N577" s="887"/>
      <c r="O577" s="882"/>
      <c r="P577" s="882"/>
      <c r="Q577" s="888"/>
      <c r="R577" s="888"/>
      <c r="S577" s="882">
        <v>1</v>
      </c>
      <c r="T577" s="888"/>
      <c r="U577" s="882"/>
      <c r="V577" s="887"/>
      <c r="W577" s="888"/>
      <c r="X577" s="882"/>
      <c r="Y577" s="888"/>
      <c r="Z577" s="882"/>
      <c r="AA577" s="882"/>
      <c r="AB577" s="882"/>
      <c r="AC577" s="882"/>
      <c r="AD577" s="882"/>
      <c r="AE577" s="882"/>
      <c r="AF577" s="882"/>
      <c r="AG577" s="882"/>
      <c r="AH577" s="882"/>
      <c r="AI577" s="882"/>
      <c r="AJ577" s="882"/>
      <c r="AK577" s="882"/>
      <c r="AL577" s="889"/>
    </row>
    <row r="578" spans="1:38" s="890" customFormat="1">
      <c r="A578" s="882"/>
      <c r="B578" s="891"/>
      <c r="C578" s="882">
        <f t="shared" si="52"/>
        <v>574</v>
      </c>
      <c r="D578" s="883">
        <v>4013</v>
      </c>
      <c r="E578" s="884" t="str">
        <f>IFERROR(VLOOKUP(Table2[[#This Row],[Player No]],Table10[[No]:[Province]],2,0),"")</f>
        <v>SOOKDAW Dinesh</v>
      </c>
      <c r="F578" s="885" t="str">
        <f>IFERROR(VLOOKUP(Table2[[#This Row],[Player No]],Table10[[No]:[Province]],3,0),"")</f>
        <v>UMG</v>
      </c>
      <c r="G578" s="892">
        <v>1</v>
      </c>
      <c r="H578" s="886">
        <f>(Table2[[#This Row],[Points 2025]]/2)+SUM(Table2[[#This Row],[O1  ADMIN 2026]:[P2    CAPE TOWN OPEN 2026 ]])</f>
        <v>0.5</v>
      </c>
      <c r="I578" s="880">
        <f t="shared" si="51"/>
        <v>0</v>
      </c>
      <c r="J578" s="882">
        <f t="shared" si="58"/>
        <v>0</v>
      </c>
      <c r="K578" s="887" t="s">
        <v>6083</v>
      </c>
      <c r="L578" s="887" t="s">
        <v>6083</v>
      </c>
      <c r="M578" s="887" t="s">
        <v>6083</v>
      </c>
      <c r="N578" s="887"/>
      <c r="O578" s="882"/>
      <c r="P578" s="882"/>
      <c r="Q578" s="888"/>
      <c r="R578" s="888"/>
      <c r="S578" s="882">
        <v>1</v>
      </c>
      <c r="T578" s="888"/>
      <c r="U578" s="882"/>
      <c r="V578" s="887"/>
      <c r="W578" s="888"/>
      <c r="X578" s="882"/>
      <c r="Y578" s="888"/>
      <c r="Z578" s="882"/>
      <c r="AA578" s="882"/>
      <c r="AB578" s="882"/>
      <c r="AC578" s="882"/>
      <c r="AD578" s="882"/>
      <c r="AE578" s="882"/>
      <c r="AF578" s="882"/>
      <c r="AG578" s="882"/>
      <c r="AH578" s="882"/>
      <c r="AI578" s="882"/>
      <c r="AJ578" s="882"/>
      <c r="AK578" s="882"/>
      <c r="AL578" s="889"/>
    </row>
    <row r="579" spans="1:38" s="890" customFormat="1">
      <c r="A579" s="882">
        <v>905</v>
      </c>
      <c r="B579" s="891">
        <f>+A579-C579</f>
        <v>330</v>
      </c>
      <c r="C579" s="882">
        <f t="shared" si="52"/>
        <v>575</v>
      </c>
      <c r="D579" s="883">
        <v>4035</v>
      </c>
      <c r="E579" s="884" t="str">
        <f>IFERROR(VLOOKUP(Table2[[#This Row],[Player No]],Table10[[No]:[Province]],2,0),"")</f>
        <v>JACOBS Rafiq</v>
      </c>
      <c r="F579" s="885" t="str">
        <f>IFERROR(VLOOKUP(Table2[[#This Row],[Player No]],Table10[[No]:[Province]],3,0),"")</f>
        <v>CT</v>
      </c>
      <c r="G579" s="892">
        <v>1</v>
      </c>
      <c r="H579" s="886">
        <f>(Table2[[#This Row],[Points 2025]]/2)+SUM(Table2[[#This Row],[O1  ADMIN 2026]:[P2    CAPE TOWN OPEN 2026 ]])</f>
        <v>0.5</v>
      </c>
      <c r="I579" s="880">
        <f t="shared" si="51"/>
        <v>0</v>
      </c>
      <c r="J579" s="882">
        <f t="shared" si="58"/>
        <v>0</v>
      </c>
      <c r="K579" s="887" t="s">
        <v>6083</v>
      </c>
      <c r="L579" s="887" t="s">
        <v>6083</v>
      </c>
      <c r="M579" s="887" t="s">
        <v>6083</v>
      </c>
      <c r="N579" s="887"/>
      <c r="O579" s="882"/>
      <c r="P579" s="882"/>
      <c r="Q579" s="888"/>
      <c r="R579" s="888"/>
      <c r="S579" s="882"/>
      <c r="T579" s="888"/>
      <c r="U579" s="882"/>
      <c r="V579" s="887"/>
      <c r="W579" s="888"/>
      <c r="X579" s="882"/>
      <c r="Y579" s="888"/>
      <c r="Z579" s="882"/>
      <c r="AA579" s="882"/>
      <c r="AB579" s="882"/>
      <c r="AC579" s="882"/>
      <c r="AD579" s="882"/>
      <c r="AE579" s="882"/>
      <c r="AF579" s="882">
        <v>2</v>
      </c>
      <c r="AG579" s="882"/>
      <c r="AH579" s="882"/>
      <c r="AI579" s="882"/>
      <c r="AJ579" s="882"/>
      <c r="AK579" s="882"/>
      <c r="AL579" s="889"/>
    </row>
    <row r="580" spans="1:38" s="890" customFormat="1">
      <c r="A580" s="882"/>
      <c r="B580" s="891"/>
      <c r="C580" s="882">
        <f t="shared" si="52"/>
        <v>576</v>
      </c>
      <c r="D580" s="883">
        <v>4063</v>
      </c>
      <c r="E580" s="884" t="str">
        <f>IFERROR(VLOOKUP(Table2[[#This Row],[Player No]],Table10[[No]:[Province]],2,0),"")</f>
        <v>TUSHAR TUSHAR</v>
      </c>
      <c r="F580" s="885" t="str">
        <f>IFERROR(VLOOKUP(Table2[[#This Row],[Player No]],Table10[[No]:[Province]],3,0),"")</f>
        <v>JTTA</v>
      </c>
      <c r="G580" s="892">
        <v>1</v>
      </c>
      <c r="H580" s="886">
        <f>(Table2[[#This Row],[Points 2025]]/2)+SUM(Table2[[#This Row],[O1  ADMIN 2026]:[P2    CAPE TOWN OPEN 2026 ]])</f>
        <v>0.5</v>
      </c>
      <c r="I580" s="880">
        <f t="shared" si="51"/>
        <v>0</v>
      </c>
      <c r="J580" s="882">
        <f t="shared" si="58"/>
        <v>0</v>
      </c>
      <c r="K580" s="887" t="s">
        <v>6083</v>
      </c>
      <c r="L580" s="887" t="s">
        <v>6083</v>
      </c>
      <c r="M580" s="887" t="s">
        <v>6083</v>
      </c>
      <c r="N580" s="887"/>
      <c r="O580" s="882"/>
      <c r="P580" s="882"/>
      <c r="Q580" s="888"/>
      <c r="R580" s="888"/>
      <c r="S580" s="882"/>
      <c r="T580" s="888"/>
      <c r="U580" s="882"/>
      <c r="V580" s="887"/>
      <c r="W580" s="888"/>
      <c r="X580" s="882"/>
      <c r="Y580" s="888"/>
      <c r="Z580" s="882"/>
      <c r="AA580" s="882"/>
      <c r="AB580" s="882"/>
      <c r="AC580" s="882"/>
      <c r="AD580" s="882"/>
      <c r="AE580" s="882"/>
      <c r="AF580" s="882"/>
      <c r="AG580" s="882"/>
      <c r="AH580" s="882">
        <v>2</v>
      </c>
      <c r="AI580" s="882"/>
      <c r="AJ580" s="882"/>
      <c r="AK580" s="882"/>
      <c r="AL580" s="889"/>
    </row>
    <row r="581" spans="1:38" s="890" customFormat="1">
      <c r="A581" s="882"/>
      <c r="B581" s="891"/>
      <c r="C581" s="882">
        <f t="shared" si="52"/>
        <v>577</v>
      </c>
      <c r="D581" s="883">
        <v>4065</v>
      </c>
      <c r="E581" s="884" t="str">
        <f>IFERROR(VLOOKUP(Table2[[#This Row],[Player No]],Table10[[No]:[Province]],2,0),"")</f>
        <v>Saurabh Meena</v>
      </c>
      <c r="F581" s="885" t="str">
        <f>IFERROR(VLOOKUP(Table2[[#This Row],[Player No]],Table10[[No]:[Province]],3,0),"")</f>
        <v>JTTA</v>
      </c>
      <c r="G581" s="892">
        <v>1</v>
      </c>
      <c r="H581" s="886">
        <f>(Table2[[#This Row],[Points 2025]]/2)+SUM(Table2[[#This Row],[O1  ADMIN 2026]:[P2    CAPE TOWN OPEN 2026 ]])</f>
        <v>0.5</v>
      </c>
      <c r="I581" s="880">
        <f t="shared" ref="I581:I644" si="59">COUNTIF(K581:N581,"&gt;0")</f>
        <v>0</v>
      </c>
      <c r="J581" s="882">
        <f t="shared" si="58"/>
        <v>0</v>
      </c>
      <c r="K581" s="887" t="s">
        <v>6083</v>
      </c>
      <c r="L581" s="887" t="s">
        <v>6083</v>
      </c>
      <c r="M581" s="887" t="s">
        <v>6083</v>
      </c>
      <c r="N581" s="887"/>
      <c r="O581" s="882"/>
      <c r="P581" s="882"/>
      <c r="Q581" s="888"/>
      <c r="R581" s="888"/>
      <c r="S581" s="882"/>
      <c r="T581" s="888"/>
      <c r="U581" s="882"/>
      <c r="V581" s="887"/>
      <c r="W581" s="888"/>
      <c r="X581" s="882"/>
      <c r="Y581" s="888"/>
      <c r="Z581" s="882"/>
      <c r="AA581" s="882"/>
      <c r="AB581" s="882"/>
      <c r="AC581" s="882"/>
      <c r="AD581" s="882"/>
      <c r="AE581" s="882"/>
      <c r="AF581" s="882"/>
      <c r="AG581" s="882"/>
      <c r="AH581" s="882">
        <v>2</v>
      </c>
      <c r="AI581" s="882"/>
      <c r="AJ581" s="882"/>
      <c r="AK581" s="882"/>
      <c r="AL581" s="889"/>
    </row>
    <row r="582" spans="1:38" s="890" customFormat="1">
      <c r="A582" s="882"/>
      <c r="B582" s="891"/>
      <c r="C582" s="882">
        <f t="shared" ref="C582:C645" si="60">C581+1</f>
        <v>578</v>
      </c>
      <c r="D582" s="883">
        <v>4068</v>
      </c>
      <c r="E582" s="884" t="str">
        <f>IFERROR(VLOOKUP(Table2[[#This Row],[Player No]],Table10[[No]:[Province]],2,0),"")</f>
        <v>Amit Vig</v>
      </c>
      <c r="F582" s="885" t="str">
        <f>IFERROR(VLOOKUP(Table2[[#This Row],[Player No]],Table10[[No]:[Province]],3,0),"")</f>
        <v>EG</v>
      </c>
      <c r="G582" s="892">
        <v>1</v>
      </c>
      <c r="H582" s="886">
        <f>(Table2[[#This Row],[Points 2025]]/2)+SUM(Table2[[#This Row],[O1  ADMIN 2026]:[P2    CAPE TOWN OPEN 2026 ]])</f>
        <v>0.5</v>
      </c>
      <c r="I582" s="880">
        <f t="shared" si="59"/>
        <v>0</v>
      </c>
      <c r="J582" s="882">
        <f t="shared" si="58"/>
        <v>0</v>
      </c>
      <c r="K582" s="887" t="s">
        <v>6083</v>
      </c>
      <c r="L582" s="887" t="s">
        <v>6083</v>
      </c>
      <c r="M582" s="887" t="s">
        <v>6083</v>
      </c>
      <c r="N582" s="887"/>
      <c r="O582" s="882"/>
      <c r="P582" s="882"/>
      <c r="Q582" s="888"/>
      <c r="R582" s="888"/>
      <c r="S582" s="882"/>
      <c r="T582" s="888"/>
      <c r="U582" s="882"/>
      <c r="V582" s="887"/>
      <c r="W582" s="888"/>
      <c r="X582" s="882"/>
      <c r="Y582" s="888"/>
      <c r="Z582" s="882"/>
      <c r="AA582" s="882"/>
      <c r="AB582" s="882"/>
      <c r="AC582" s="882"/>
      <c r="AD582" s="882"/>
      <c r="AE582" s="882"/>
      <c r="AF582" s="882"/>
      <c r="AG582" s="882"/>
      <c r="AH582" s="882">
        <v>2</v>
      </c>
      <c r="AI582" s="882"/>
      <c r="AJ582" s="882"/>
      <c r="AK582" s="882"/>
      <c r="AL582" s="889"/>
    </row>
    <row r="583" spans="1:38" s="890" customFormat="1">
      <c r="A583" s="882"/>
      <c r="B583" s="891"/>
      <c r="C583" s="882">
        <f t="shared" si="60"/>
        <v>579</v>
      </c>
      <c r="D583" s="893">
        <v>4133</v>
      </c>
      <c r="E583" s="884" t="str">
        <f>IFERROR(VLOOKUP(Table2[[#This Row],[Player No]],Table10[[No]:[Province]],2,0),"")</f>
        <v xml:space="preserve">TIETIES Malik </v>
      </c>
      <c r="F583" s="885" t="str">
        <f>IFERROR(VLOOKUP(Table2[[#This Row],[Player No]],Table10[[No]:[Province]],3,0),"")</f>
        <v>CW</v>
      </c>
      <c r="G583" s="892">
        <v>1</v>
      </c>
      <c r="H583" s="886">
        <f>(Table2[[#This Row],[Points 2025]]/2)+SUM(Table2[[#This Row],[O1  ADMIN 2026]:[P2    CAPE TOWN OPEN 2026 ]])</f>
        <v>0.5</v>
      </c>
      <c r="I583" s="880">
        <f t="shared" si="59"/>
        <v>0</v>
      </c>
      <c r="J583" s="882">
        <f t="shared" si="58"/>
        <v>0</v>
      </c>
      <c r="K583" s="887" t="s">
        <v>6083</v>
      </c>
      <c r="L583" s="887" t="s">
        <v>6083</v>
      </c>
      <c r="M583" s="887" t="s">
        <v>6083</v>
      </c>
      <c r="N583" s="887"/>
      <c r="O583" s="882"/>
      <c r="P583" s="882"/>
      <c r="Q583" s="888"/>
      <c r="R583" s="888"/>
      <c r="S583" s="882"/>
      <c r="T583" s="888"/>
      <c r="U583" s="882"/>
      <c r="V583" s="887"/>
      <c r="W583" s="888"/>
      <c r="X583" s="882"/>
      <c r="Y583" s="888"/>
      <c r="Z583" s="882"/>
      <c r="AA583" s="882"/>
      <c r="AB583" s="882"/>
      <c r="AC583" s="882"/>
      <c r="AD583" s="882"/>
      <c r="AE583" s="882">
        <v>2</v>
      </c>
      <c r="AF583" s="882"/>
      <c r="AG583" s="882"/>
      <c r="AH583" s="882"/>
      <c r="AI583" s="882"/>
      <c r="AJ583" s="882"/>
      <c r="AK583" s="882"/>
      <c r="AL583" s="889"/>
    </row>
    <row r="584" spans="1:38" s="890" customFormat="1">
      <c r="A584" s="882">
        <v>2222</v>
      </c>
      <c r="B584" s="891"/>
      <c r="C584" s="882">
        <f t="shared" si="60"/>
        <v>580</v>
      </c>
      <c r="D584" s="893">
        <v>4139</v>
      </c>
      <c r="E584" s="884" t="str">
        <f>IFERROR(VLOOKUP(Table2[[#This Row],[Player No]],Table10[[No]:[Province]],2,0),"")</f>
        <v xml:space="preserve">FORTUIN Shane </v>
      </c>
      <c r="F584" s="885" t="str">
        <f>IFERROR(VLOOKUP(Table2[[#This Row],[Player No]],Table10[[No]:[Province]],3,0),"")</f>
        <v>CT</v>
      </c>
      <c r="G584" s="892">
        <v>1</v>
      </c>
      <c r="H584" s="886">
        <f>(Table2[[#This Row],[Points 2025]]/2)+SUM(Table2[[#This Row],[O1  ADMIN 2026]:[P2    CAPE TOWN OPEN 2026 ]])</f>
        <v>0.5</v>
      </c>
      <c r="I584" s="880">
        <f t="shared" si="59"/>
        <v>0</v>
      </c>
      <c r="J584" s="882">
        <f t="shared" si="58"/>
        <v>0</v>
      </c>
      <c r="K584" s="887" t="s">
        <v>6083</v>
      </c>
      <c r="L584" s="887" t="s">
        <v>6083</v>
      </c>
      <c r="M584" s="887" t="s">
        <v>6083</v>
      </c>
      <c r="N584" s="887"/>
      <c r="O584" s="882"/>
      <c r="P584" s="882"/>
      <c r="Q584" s="888"/>
      <c r="R584" s="888"/>
      <c r="S584" s="882"/>
      <c r="T584" s="888"/>
      <c r="U584" s="882"/>
      <c r="V584" s="887"/>
      <c r="W584" s="888"/>
      <c r="X584" s="882"/>
      <c r="Y584" s="888"/>
      <c r="Z584" s="882"/>
      <c r="AA584" s="882"/>
      <c r="AB584" s="882"/>
      <c r="AC584" s="882"/>
      <c r="AD584" s="882"/>
      <c r="AE584" s="882">
        <v>2</v>
      </c>
      <c r="AF584" s="882"/>
      <c r="AG584" s="882"/>
      <c r="AH584" s="882"/>
      <c r="AI584" s="882"/>
      <c r="AJ584" s="882"/>
      <c r="AK584" s="882"/>
      <c r="AL584" s="889"/>
    </row>
    <row r="585" spans="1:38" s="890" customFormat="1">
      <c r="A585" s="882"/>
      <c r="B585" s="891"/>
      <c r="C585" s="882">
        <f t="shared" si="60"/>
        <v>581</v>
      </c>
      <c r="D585" s="883">
        <v>4275</v>
      </c>
      <c r="E585" s="884" t="str">
        <f>IFERROR(VLOOKUP(Table2[[#This Row],[Player No]],Table10[[No]:[Province]],2,0),"")</f>
        <v>Padayachee Sumeshan</v>
      </c>
      <c r="F585" s="885" t="str">
        <f>IFERROR(VLOOKUP(Table2[[#This Row],[Player No]],Table10[[No]:[Province]],3,0),"")</f>
        <v>JTTA</v>
      </c>
      <c r="G585" s="892">
        <v>1</v>
      </c>
      <c r="H585" s="886">
        <f>(Table2[[#This Row],[Points 2025]]/2)+SUM(Table2[[#This Row],[O1  ADMIN 2026]:[P2    CAPE TOWN OPEN 2026 ]])</f>
        <v>0.5</v>
      </c>
      <c r="I585" s="880">
        <f t="shared" si="59"/>
        <v>0</v>
      </c>
      <c r="J585" s="882">
        <f t="shared" si="58"/>
        <v>0</v>
      </c>
      <c r="K585" s="887" t="s">
        <v>6083</v>
      </c>
      <c r="L585" s="887" t="s">
        <v>6083</v>
      </c>
      <c r="M585" s="887" t="s">
        <v>6083</v>
      </c>
      <c r="N585" s="887"/>
      <c r="O585" s="882"/>
      <c r="P585" s="882"/>
      <c r="Q585" s="888"/>
      <c r="R585" s="888"/>
      <c r="S585" s="882"/>
      <c r="T585" s="888"/>
      <c r="U585" s="882"/>
      <c r="V585" s="887"/>
      <c r="W585" s="888"/>
      <c r="X585" s="882"/>
      <c r="Y585" s="888"/>
      <c r="Z585" s="882">
        <v>1</v>
      </c>
      <c r="AA585" s="882"/>
      <c r="AB585" s="882"/>
      <c r="AC585" s="882"/>
      <c r="AD585" s="882"/>
      <c r="AE585" s="882"/>
      <c r="AF585" s="882"/>
      <c r="AG585" s="882"/>
      <c r="AH585" s="882"/>
      <c r="AI585" s="882"/>
      <c r="AJ585" s="882"/>
      <c r="AK585" s="882"/>
      <c r="AL585" s="889"/>
    </row>
    <row r="586" spans="1:38" s="890" customFormat="1">
      <c r="A586" s="882"/>
      <c r="B586" s="891"/>
      <c r="C586" s="882">
        <f t="shared" si="60"/>
        <v>582</v>
      </c>
      <c r="D586" s="883">
        <v>4314</v>
      </c>
      <c r="E586" s="884" t="str">
        <f>IFERROR(VLOOKUP(Table2[[#This Row],[Player No]],Table10[[No]:[Province]],2,0),"")</f>
        <v xml:space="preserve">Lebo Phofoolo </v>
      </c>
      <c r="F586" s="885" t="str">
        <f>IFERROR(VLOOKUP(Table2[[#This Row],[Player No]],Table10[[No]:[Province]],3,0),"")</f>
        <v>FS</v>
      </c>
      <c r="G586" s="892">
        <v>1</v>
      </c>
      <c r="H586" s="886">
        <f>(Table2[[#This Row],[Points 2025]]/2)+SUM(Table2[[#This Row],[O1  ADMIN 2026]:[P2    CAPE TOWN OPEN 2026 ]])</f>
        <v>0.5</v>
      </c>
      <c r="I586" s="880">
        <f t="shared" si="59"/>
        <v>0</v>
      </c>
      <c r="J586" s="882">
        <f t="shared" si="58"/>
        <v>0</v>
      </c>
      <c r="K586" s="887" t="s">
        <v>6083</v>
      </c>
      <c r="L586" s="887" t="s">
        <v>6083</v>
      </c>
      <c r="M586" s="887" t="s">
        <v>6083</v>
      </c>
      <c r="N586" s="887"/>
      <c r="O586" s="882"/>
      <c r="P586" s="882"/>
      <c r="Q586" s="888"/>
      <c r="R586" s="888"/>
      <c r="S586" s="882"/>
      <c r="T586" s="888"/>
      <c r="U586" s="882">
        <v>1</v>
      </c>
      <c r="V586" s="887"/>
      <c r="W586" s="888"/>
      <c r="X586" s="882"/>
      <c r="Y586" s="888"/>
      <c r="Z586" s="882"/>
      <c r="AA586" s="882"/>
      <c r="AB586" s="882"/>
      <c r="AC586" s="882"/>
      <c r="AD586" s="882"/>
      <c r="AE586" s="882"/>
      <c r="AF586" s="882"/>
      <c r="AG586" s="882"/>
      <c r="AH586" s="882"/>
      <c r="AI586" s="882"/>
      <c r="AJ586" s="882"/>
      <c r="AK586" s="882"/>
      <c r="AL586" s="889"/>
    </row>
    <row r="587" spans="1:38" s="890" customFormat="1">
      <c r="A587" s="882"/>
      <c r="B587" s="891"/>
      <c r="C587" s="882">
        <f t="shared" si="60"/>
        <v>583</v>
      </c>
      <c r="D587" s="883">
        <v>4315</v>
      </c>
      <c r="E587" s="884" t="str">
        <f>IFERROR(VLOOKUP(Table2[[#This Row],[Player No]],Table10[[No]:[Province]],2,0),"")</f>
        <v xml:space="preserve">Kabelo Kolobe </v>
      </c>
      <c r="F587" s="885" t="str">
        <f>IFERROR(VLOOKUP(Table2[[#This Row],[Player No]],Table10[[No]:[Province]],3,0),"")</f>
        <v>FS</v>
      </c>
      <c r="G587" s="892">
        <v>1</v>
      </c>
      <c r="H587" s="886">
        <f>(Table2[[#This Row],[Points 2025]]/2)+SUM(Table2[[#This Row],[O1  ADMIN 2026]:[P2    CAPE TOWN OPEN 2026 ]])</f>
        <v>0.5</v>
      </c>
      <c r="I587" s="880">
        <f t="shared" si="59"/>
        <v>0</v>
      </c>
      <c r="J587" s="882">
        <f t="shared" si="58"/>
        <v>0</v>
      </c>
      <c r="K587" s="887" t="s">
        <v>6083</v>
      </c>
      <c r="L587" s="887" t="s">
        <v>6083</v>
      </c>
      <c r="M587" s="887" t="s">
        <v>6083</v>
      </c>
      <c r="N587" s="887"/>
      <c r="O587" s="882"/>
      <c r="P587" s="882"/>
      <c r="Q587" s="888"/>
      <c r="R587" s="888"/>
      <c r="S587" s="882"/>
      <c r="T587" s="888"/>
      <c r="U587" s="882">
        <v>1</v>
      </c>
      <c r="V587" s="887"/>
      <c r="W587" s="888"/>
      <c r="X587" s="882"/>
      <c r="Y587" s="888"/>
      <c r="Z587" s="882"/>
      <c r="AA587" s="882"/>
      <c r="AB587" s="882"/>
      <c r="AC587" s="882"/>
      <c r="AD587" s="882"/>
      <c r="AE587" s="882"/>
      <c r="AF587" s="882"/>
      <c r="AG587" s="882"/>
      <c r="AH587" s="882"/>
      <c r="AI587" s="882"/>
      <c r="AJ587" s="882"/>
      <c r="AK587" s="882"/>
      <c r="AL587" s="889"/>
    </row>
    <row r="588" spans="1:38" s="890" customFormat="1">
      <c r="A588" s="882"/>
      <c r="B588" s="891"/>
      <c r="C588" s="882">
        <f t="shared" si="60"/>
        <v>584</v>
      </c>
      <c r="D588" s="883">
        <v>4318</v>
      </c>
      <c r="E588" s="884" t="str">
        <f>IFERROR(VLOOKUP(Table2[[#This Row],[Player No]],Table10[[No]:[Province]],2,0),"")</f>
        <v>HLATSHWAYO Gift</v>
      </c>
      <c r="F588" s="885" t="str">
        <f>IFERROR(VLOOKUP(Table2[[#This Row],[Player No]],Table10[[No]:[Province]],3,0),"")</f>
        <v>FS</v>
      </c>
      <c r="G588" s="892">
        <v>1</v>
      </c>
      <c r="H588" s="886">
        <f>(Table2[[#This Row],[Points 2025]]/2)+SUM(Table2[[#This Row],[O1  ADMIN 2026]:[P2    CAPE TOWN OPEN 2026 ]])</f>
        <v>0.5</v>
      </c>
      <c r="I588" s="880">
        <f t="shared" si="59"/>
        <v>0</v>
      </c>
      <c r="J588" s="882">
        <f t="shared" si="58"/>
        <v>0</v>
      </c>
      <c r="K588" s="887" t="s">
        <v>6083</v>
      </c>
      <c r="L588" s="887" t="s">
        <v>6083</v>
      </c>
      <c r="M588" s="887" t="s">
        <v>6083</v>
      </c>
      <c r="N588" s="887"/>
      <c r="O588" s="882"/>
      <c r="P588" s="882"/>
      <c r="Q588" s="888"/>
      <c r="R588" s="888"/>
      <c r="S588" s="882"/>
      <c r="T588" s="888">
        <v>1</v>
      </c>
      <c r="U588" s="882"/>
      <c r="V588" s="887"/>
      <c r="W588" s="888"/>
      <c r="X588" s="882"/>
      <c r="Y588" s="888"/>
      <c r="Z588" s="882"/>
      <c r="AA588" s="882"/>
      <c r="AB588" s="882"/>
      <c r="AC588" s="882"/>
      <c r="AD588" s="882"/>
      <c r="AE588" s="882"/>
      <c r="AF588" s="882"/>
      <c r="AG588" s="882"/>
      <c r="AH588" s="882"/>
      <c r="AI588" s="882"/>
      <c r="AJ588" s="882"/>
      <c r="AK588" s="882"/>
      <c r="AL588" s="889"/>
    </row>
    <row r="589" spans="1:38" s="890" customFormat="1">
      <c r="A589" s="882"/>
      <c r="B589" s="891"/>
      <c r="C589" s="882">
        <f t="shared" si="60"/>
        <v>585</v>
      </c>
      <c r="D589" s="883">
        <v>4320</v>
      </c>
      <c r="E589" s="884" t="str">
        <f>IFERROR(VLOOKUP(Table2[[#This Row],[Player No]],Table10[[No]:[Province]],2,0),"")</f>
        <v>KATA Jacob</v>
      </c>
      <c r="F589" s="885" t="str">
        <f>IFERROR(VLOOKUP(Table2[[#This Row],[Player No]],Table10[[No]:[Province]],3,0),"")</f>
        <v>JTTA</v>
      </c>
      <c r="G589" s="892">
        <v>1</v>
      </c>
      <c r="H589" s="886">
        <f>(Table2[[#This Row],[Points 2025]]/2)+SUM(Table2[[#This Row],[O1  ADMIN 2026]:[P2    CAPE TOWN OPEN 2026 ]])</f>
        <v>0.5</v>
      </c>
      <c r="I589" s="880">
        <f t="shared" si="59"/>
        <v>0</v>
      </c>
      <c r="J589" s="882">
        <f t="shared" si="58"/>
        <v>0</v>
      </c>
      <c r="K589" s="887" t="s">
        <v>6083</v>
      </c>
      <c r="L589" s="887" t="s">
        <v>6083</v>
      </c>
      <c r="M589" s="887" t="s">
        <v>6083</v>
      </c>
      <c r="N589" s="887"/>
      <c r="O589" s="882"/>
      <c r="P589" s="882"/>
      <c r="Q589" s="888"/>
      <c r="R589" s="888"/>
      <c r="S589" s="882"/>
      <c r="T589" s="888"/>
      <c r="U589" s="882"/>
      <c r="V589" s="887"/>
      <c r="W589" s="888"/>
      <c r="X589" s="882"/>
      <c r="Y589" s="888"/>
      <c r="Z589" s="882">
        <v>1</v>
      </c>
      <c r="AA589" s="882"/>
      <c r="AB589" s="882"/>
      <c r="AC589" s="882"/>
      <c r="AD589" s="882"/>
      <c r="AE589" s="882"/>
      <c r="AF589" s="882"/>
      <c r="AG589" s="882"/>
      <c r="AH589" s="882"/>
      <c r="AI589" s="882"/>
      <c r="AJ589" s="882"/>
      <c r="AK589" s="882"/>
      <c r="AL589" s="889"/>
    </row>
    <row r="590" spans="1:38" s="890" customFormat="1">
      <c r="A590" s="882"/>
      <c r="B590" s="891"/>
      <c r="C590" s="882">
        <f t="shared" si="60"/>
        <v>586</v>
      </c>
      <c r="D590" s="883">
        <v>4322</v>
      </c>
      <c r="E590" s="884" t="str">
        <f>IFERROR(VLOOKUP(Table2[[#This Row],[Player No]],Table10[[No]:[Province]],2,0),"")</f>
        <v>NXUMALO Gift</v>
      </c>
      <c r="F590" s="885" t="str">
        <f>IFERROR(VLOOKUP(Table2[[#This Row],[Player No]],Table10[[No]:[Province]],3,0),"")</f>
        <v>EKU</v>
      </c>
      <c r="G590" s="892">
        <v>1</v>
      </c>
      <c r="H590" s="886">
        <f>(Table2[[#This Row],[Points 2025]]/2)+SUM(Table2[[#This Row],[O1  ADMIN 2026]:[P2    CAPE TOWN OPEN 2026 ]])</f>
        <v>0.5</v>
      </c>
      <c r="I590" s="880">
        <f t="shared" si="59"/>
        <v>0</v>
      </c>
      <c r="J590" s="882">
        <f t="shared" si="58"/>
        <v>0</v>
      </c>
      <c r="K590" s="887" t="s">
        <v>6083</v>
      </c>
      <c r="L590" s="887" t="s">
        <v>6083</v>
      </c>
      <c r="M590" s="887" t="s">
        <v>6083</v>
      </c>
      <c r="N590" s="887"/>
      <c r="O590" s="882"/>
      <c r="P590" s="882"/>
      <c r="Q590" s="888"/>
      <c r="R590" s="888"/>
      <c r="S590" s="882"/>
      <c r="T590" s="888"/>
      <c r="U590" s="882"/>
      <c r="V590" s="887"/>
      <c r="W590" s="888"/>
      <c r="X590" s="882"/>
      <c r="Y590" s="888"/>
      <c r="Z590" s="882">
        <v>1</v>
      </c>
      <c r="AA590" s="882"/>
      <c r="AB590" s="882"/>
      <c r="AC590" s="882"/>
      <c r="AD590" s="882"/>
      <c r="AE590" s="882"/>
      <c r="AF590" s="882"/>
      <c r="AG590" s="882"/>
      <c r="AH590" s="882"/>
      <c r="AI590" s="882"/>
      <c r="AJ590" s="882"/>
      <c r="AK590" s="882"/>
      <c r="AL590" s="889"/>
    </row>
    <row r="591" spans="1:38" s="890" customFormat="1">
      <c r="A591" s="882">
        <v>590</v>
      </c>
      <c r="B591" s="891">
        <f>+A591-C591</f>
        <v>3</v>
      </c>
      <c r="C591" s="882">
        <f t="shared" si="60"/>
        <v>587</v>
      </c>
      <c r="D591" s="883">
        <v>4326</v>
      </c>
      <c r="E591" s="884" t="str">
        <f>IFERROR(VLOOKUP(Table2[[#This Row],[Player No]],Table10[[No]:[Province]],2,0),"")</f>
        <v>ZULU Awande</v>
      </c>
      <c r="F591" s="885" t="str">
        <f>IFERROR(VLOOKUP(Table2[[#This Row],[Player No]],Table10[[No]:[Province]],3,0),"")</f>
        <v>JTTA</v>
      </c>
      <c r="G591" s="892">
        <v>1</v>
      </c>
      <c r="H591" s="886">
        <f>(Table2[[#This Row],[Points 2025]]/2)+SUM(Table2[[#This Row],[O1  ADMIN 2026]:[P2    CAPE TOWN OPEN 2026 ]])</f>
        <v>0.5</v>
      </c>
      <c r="I591" s="880">
        <f t="shared" si="59"/>
        <v>0</v>
      </c>
      <c r="J591" s="882">
        <f>COUNTIF(O591:AK591,"&lt;0")</f>
        <v>0</v>
      </c>
      <c r="K591" s="887" t="s">
        <v>6083</v>
      </c>
      <c r="L591" s="887" t="s">
        <v>6083</v>
      </c>
      <c r="M591" s="887" t="s">
        <v>6083</v>
      </c>
      <c r="N591" s="887"/>
      <c r="O591" s="882"/>
      <c r="P591" s="882"/>
      <c r="Q591" s="888"/>
      <c r="R591" s="888"/>
      <c r="S591" s="882"/>
      <c r="T591" s="888"/>
      <c r="U591" s="882"/>
      <c r="V591" s="887"/>
      <c r="W591" s="888"/>
      <c r="X591" s="882">
        <v>0.5</v>
      </c>
      <c r="Y591" s="888"/>
      <c r="Z591" s="882">
        <v>0</v>
      </c>
      <c r="AA591" s="882">
        <v>0.5</v>
      </c>
      <c r="AB591" s="882"/>
      <c r="AC591" s="882"/>
      <c r="AD591" s="882"/>
      <c r="AE591" s="882"/>
      <c r="AF591" s="882"/>
      <c r="AG591" s="882"/>
      <c r="AH591" s="882"/>
      <c r="AI591" s="882"/>
      <c r="AJ591" s="882"/>
      <c r="AK591" s="882"/>
      <c r="AL591" s="889"/>
    </row>
    <row r="592" spans="1:38" s="890" customFormat="1">
      <c r="A592" s="882"/>
      <c r="B592" s="891"/>
      <c r="C592" s="882">
        <f t="shared" si="60"/>
        <v>588</v>
      </c>
      <c r="D592" s="883">
        <v>4351</v>
      </c>
      <c r="E592" s="884" t="str">
        <f>IFERROR(VLOOKUP(Table2[[#This Row],[Player No]],Table10[[No]:[Province]],2,0),"")</f>
        <v>MOHAMED  Raasdien Essop Ali</v>
      </c>
      <c r="F592" s="885" t="str">
        <f>IFERROR(VLOOKUP(Table2[[#This Row],[Player No]],Table10[[No]:[Province]],3,0),"")</f>
        <v>ETTA</v>
      </c>
      <c r="G592" s="892">
        <v>1</v>
      </c>
      <c r="H592" s="886">
        <f>(Table2[[#This Row],[Points 2025]]/2)+SUM(Table2[[#This Row],[O1  ADMIN 2026]:[P2    CAPE TOWN OPEN 2026 ]])</f>
        <v>0.5</v>
      </c>
      <c r="I592" s="880">
        <f t="shared" si="59"/>
        <v>0</v>
      </c>
      <c r="J592" s="882">
        <f>COUNTIF(O592:AB592,"&lt;0")</f>
        <v>0</v>
      </c>
      <c r="K592" s="887" t="s">
        <v>6083</v>
      </c>
      <c r="L592" s="887" t="s">
        <v>6083</v>
      </c>
      <c r="M592" s="887" t="s">
        <v>6083</v>
      </c>
      <c r="N592" s="887"/>
      <c r="O592" s="882"/>
      <c r="P592" s="882">
        <v>1</v>
      </c>
      <c r="Q592" s="888"/>
      <c r="R592" s="888"/>
      <c r="S592" s="882"/>
      <c r="T592" s="888"/>
      <c r="U592" s="882"/>
      <c r="V592" s="887"/>
      <c r="W592" s="888"/>
      <c r="X592" s="882"/>
      <c r="Y592" s="888"/>
      <c r="Z592" s="882"/>
      <c r="AA592" s="882"/>
      <c r="AB592" s="882"/>
      <c r="AC592" s="882"/>
      <c r="AD592" s="882"/>
      <c r="AE592" s="882"/>
      <c r="AF592" s="882"/>
      <c r="AG592" s="882"/>
      <c r="AH592" s="882"/>
      <c r="AI592" s="882"/>
      <c r="AJ592" s="882"/>
      <c r="AK592" s="882"/>
      <c r="AL592" s="889"/>
    </row>
    <row r="593" spans="1:38" s="890" customFormat="1">
      <c r="A593" s="882"/>
      <c r="B593" s="891"/>
      <c r="C593" s="882">
        <f t="shared" si="60"/>
        <v>589</v>
      </c>
      <c r="D593" s="896">
        <v>4369</v>
      </c>
      <c r="E593" s="884" t="str">
        <f>IFERROR(VLOOKUP(Table2[[#This Row],[Player No]],Table10[[No]:[Province]],2,0),"")</f>
        <v>RAMLUGAN Raveen</v>
      </c>
      <c r="F593" s="885" t="str">
        <f>IFERROR(VLOOKUP(Table2[[#This Row],[Player No]],Table10[[No]:[Province]],3,0),"")</f>
        <v>ETTA</v>
      </c>
      <c r="G593" s="892">
        <v>1</v>
      </c>
      <c r="H593" s="886">
        <f>(Table2[[#This Row],[Points 2025]]/2)+SUM(Table2[[#This Row],[O1  ADMIN 2026]:[P2    CAPE TOWN OPEN 2026 ]])</f>
        <v>0.5</v>
      </c>
      <c r="I593" s="880">
        <f t="shared" si="59"/>
        <v>0</v>
      </c>
      <c r="J593" s="882">
        <f t="shared" ref="J593:J656" si="61">COUNTIF(O593:AK593,"&lt;0")</f>
        <v>0</v>
      </c>
      <c r="K593" s="887" t="s">
        <v>6083</v>
      </c>
      <c r="L593" s="887" t="s">
        <v>6083</v>
      </c>
      <c r="M593" s="887" t="s">
        <v>6083</v>
      </c>
      <c r="N593" s="887"/>
      <c r="O593" s="882"/>
      <c r="P593" s="882"/>
      <c r="Q593" s="888"/>
      <c r="R593" s="888">
        <v>1</v>
      </c>
      <c r="S593" s="882"/>
      <c r="T593" s="888"/>
      <c r="U593" s="882"/>
      <c r="V593" s="887"/>
      <c r="W593" s="888"/>
      <c r="X593" s="882"/>
      <c r="Y593" s="888"/>
      <c r="Z593" s="882"/>
      <c r="AA593" s="882"/>
      <c r="AB593" s="882"/>
      <c r="AC593" s="882"/>
      <c r="AD593" s="882"/>
      <c r="AE593" s="882"/>
      <c r="AF593" s="882"/>
      <c r="AG593" s="882"/>
      <c r="AH593" s="882"/>
      <c r="AI593" s="882"/>
      <c r="AJ593" s="882"/>
      <c r="AK593" s="882"/>
      <c r="AL593" s="889"/>
    </row>
    <row r="594" spans="1:38" s="890" customFormat="1">
      <c r="A594" s="882"/>
      <c r="B594" s="891"/>
      <c r="C594" s="882">
        <f t="shared" si="60"/>
        <v>590</v>
      </c>
      <c r="D594" s="883">
        <v>4384</v>
      </c>
      <c r="E594" s="884" t="str">
        <f>IFERROR(VLOOKUP(Table2[[#This Row],[Player No]],Table10[[No]:[Province]],2,0),"")</f>
        <v>MANIKUM Jayabalan(UMG)</v>
      </c>
      <c r="F594" s="885" t="str">
        <f>IFERROR(VLOOKUP(Table2[[#This Row],[Player No]],Table10[[No]:[Province]],3,0),"")</f>
        <v>UMG</v>
      </c>
      <c r="G594" s="892">
        <v>1</v>
      </c>
      <c r="H594" s="886">
        <f>(Table2[[#This Row],[Points 2025]]/2)+SUM(Table2[[#This Row],[O1  ADMIN 2026]:[P2    CAPE TOWN OPEN 2026 ]])</f>
        <v>0.5</v>
      </c>
      <c r="I594" s="880">
        <f t="shared" si="59"/>
        <v>0</v>
      </c>
      <c r="J594" s="882">
        <f t="shared" si="61"/>
        <v>0</v>
      </c>
      <c r="K594" s="887" t="s">
        <v>6083</v>
      </c>
      <c r="L594" s="887" t="s">
        <v>6083</v>
      </c>
      <c r="M594" s="887" t="s">
        <v>6083</v>
      </c>
      <c r="N594" s="887"/>
      <c r="O594" s="882"/>
      <c r="P594" s="882">
        <v>1</v>
      </c>
      <c r="Q594" s="888"/>
      <c r="R594" s="888"/>
      <c r="S594" s="882"/>
      <c r="T594" s="888"/>
      <c r="U594" s="882"/>
      <c r="V594" s="887"/>
      <c r="W594" s="888"/>
      <c r="X594" s="882"/>
      <c r="Y594" s="888"/>
      <c r="Z594" s="882"/>
      <c r="AA594" s="882"/>
      <c r="AB594" s="882"/>
      <c r="AC594" s="882"/>
      <c r="AD594" s="882"/>
      <c r="AE594" s="882"/>
      <c r="AF594" s="882"/>
      <c r="AG594" s="882"/>
      <c r="AH594" s="882"/>
      <c r="AI594" s="882"/>
      <c r="AJ594" s="882"/>
      <c r="AK594" s="882"/>
      <c r="AL594" s="889"/>
    </row>
    <row r="595" spans="1:38" s="890" customFormat="1">
      <c r="A595" s="882"/>
      <c r="B595" s="891"/>
      <c r="C595" s="882">
        <f t="shared" si="60"/>
        <v>591</v>
      </c>
      <c r="D595" s="883">
        <v>4417</v>
      </c>
      <c r="E595" s="884" t="str">
        <f>IFERROR(VLOOKUP(Table2[[#This Row],[Player No]],Table10[[No]:[Province]],2,0),"")</f>
        <v>Nkululeko Zikalala</v>
      </c>
      <c r="F595" s="885" t="str">
        <f>IFERROR(VLOOKUP(Table2[[#This Row],[Player No]],Table10[[No]:[Province]],3,0),"")</f>
        <v>JTTA</v>
      </c>
      <c r="G595" s="892">
        <v>1</v>
      </c>
      <c r="H595" s="886">
        <f>(Table2[[#This Row],[Points 2025]]/2)+SUM(Table2[[#This Row],[O1  ADMIN 2026]:[P2    CAPE TOWN OPEN 2026 ]])</f>
        <v>0.5</v>
      </c>
      <c r="I595" s="880">
        <f t="shared" si="59"/>
        <v>0</v>
      </c>
      <c r="J595" s="882">
        <f t="shared" si="61"/>
        <v>0</v>
      </c>
      <c r="K595" s="887" t="s">
        <v>6083</v>
      </c>
      <c r="L595" s="887" t="s">
        <v>6083</v>
      </c>
      <c r="M595" s="887" t="s">
        <v>6083</v>
      </c>
      <c r="N595" s="887"/>
      <c r="O595" s="882"/>
      <c r="P595" s="882"/>
      <c r="Q595" s="888"/>
      <c r="R595" s="888"/>
      <c r="S595" s="882"/>
      <c r="T595" s="888"/>
      <c r="U595" s="882"/>
      <c r="V595" s="887"/>
      <c r="W595" s="888"/>
      <c r="X595" s="882">
        <v>1</v>
      </c>
      <c r="Y595" s="888"/>
      <c r="Z595" s="882"/>
      <c r="AA595" s="882"/>
      <c r="AB595" s="882"/>
      <c r="AC595" s="882"/>
      <c r="AD595" s="882"/>
      <c r="AE595" s="882"/>
      <c r="AF595" s="882"/>
      <c r="AG595" s="882"/>
      <c r="AH595" s="882"/>
      <c r="AI595" s="882"/>
      <c r="AJ595" s="882"/>
      <c r="AK595" s="882"/>
      <c r="AL595" s="889"/>
    </row>
    <row r="596" spans="1:38" s="890" customFormat="1">
      <c r="A596" s="882"/>
      <c r="B596" s="891"/>
      <c r="C596" s="882">
        <f t="shared" si="60"/>
        <v>592</v>
      </c>
      <c r="D596" s="883">
        <v>4500</v>
      </c>
      <c r="E596" s="884" t="str">
        <f>IFERROR(VLOOKUP(Table2[[#This Row],[Player No]],Table10[[No]:[Province]],2,0),"")</f>
        <v xml:space="preserve">COX Cameron </v>
      </c>
      <c r="F596" s="885" t="str">
        <f>IFERROR(VLOOKUP(Table2[[#This Row],[Player No]],Table10[[No]:[Province]],3,0),"")</f>
        <v>JTTA</v>
      </c>
      <c r="G596" s="892">
        <v>1</v>
      </c>
      <c r="H596" s="886">
        <f>(Table2[[#This Row],[Points 2025]]/2)+SUM(Table2[[#This Row],[O1  ADMIN 2026]:[P2    CAPE TOWN OPEN 2026 ]])</f>
        <v>0.5</v>
      </c>
      <c r="I596" s="880">
        <f t="shared" si="59"/>
        <v>0</v>
      </c>
      <c r="J596" s="882">
        <f t="shared" si="61"/>
        <v>0</v>
      </c>
      <c r="K596" s="887" t="s">
        <v>6083</v>
      </c>
      <c r="L596" s="887" t="s">
        <v>6083</v>
      </c>
      <c r="M596" s="887" t="s">
        <v>6083</v>
      </c>
      <c r="N596" s="887"/>
      <c r="O596" s="882"/>
      <c r="P596" s="882"/>
      <c r="Q596" s="888"/>
      <c r="R596" s="888"/>
      <c r="S596" s="882"/>
      <c r="T596" s="888"/>
      <c r="U596" s="882"/>
      <c r="V596" s="887"/>
      <c r="W596" s="888"/>
      <c r="X596" s="882"/>
      <c r="Y596" s="888"/>
      <c r="Z596" s="882"/>
      <c r="AA596" s="882"/>
      <c r="AB596" s="882"/>
      <c r="AC596" s="882"/>
      <c r="AD596" s="882"/>
      <c r="AE596" s="882"/>
      <c r="AF596" s="882"/>
      <c r="AG596" s="882"/>
      <c r="AH596" s="882"/>
      <c r="AI596" s="882">
        <v>2</v>
      </c>
      <c r="AJ596" s="882"/>
      <c r="AK596" s="882"/>
      <c r="AL596" s="889"/>
    </row>
    <row r="597" spans="1:38" s="890" customFormat="1">
      <c r="A597" s="882"/>
      <c r="B597" s="891">
        <f>+A597-C597</f>
        <v>-593</v>
      </c>
      <c r="C597" s="882">
        <f t="shared" si="60"/>
        <v>593</v>
      </c>
      <c r="D597" s="883">
        <v>4504</v>
      </c>
      <c r="E597" s="884" t="str">
        <f>IFERROR(VLOOKUP(Table2[[#This Row],[Player No]],Table10[[No]:[Province]],2,0),"")</f>
        <v xml:space="preserve">SUBBAN Clinton </v>
      </c>
      <c r="F597" s="885" t="str">
        <f>IFERROR(VLOOKUP(Table2[[#This Row],[Player No]],Table10[[No]:[Province]],3,0),"")</f>
        <v>GNTTB</v>
      </c>
      <c r="G597" s="892">
        <v>1</v>
      </c>
      <c r="H597" s="886">
        <f>(Table2[[#This Row],[Points 2025]]/2)+SUM(Table2[[#This Row],[O1  ADMIN 2026]:[P2    CAPE TOWN OPEN 2026 ]])</f>
        <v>0.5</v>
      </c>
      <c r="I597" s="880">
        <f t="shared" si="59"/>
        <v>0</v>
      </c>
      <c r="J597" s="882">
        <f t="shared" si="61"/>
        <v>0</v>
      </c>
      <c r="K597" s="887" t="s">
        <v>6083</v>
      </c>
      <c r="L597" s="887" t="s">
        <v>6083</v>
      </c>
      <c r="M597" s="887" t="s">
        <v>6083</v>
      </c>
      <c r="N597" s="887"/>
      <c r="O597" s="882"/>
      <c r="P597" s="882"/>
      <c r="Q597" s="888"/>
      <c r="R597" s="888"/>
      <c r="S597" s="882"/>
      <c r="T597" s="888"/>
      <c r="U597" s="882"/>
      <c r="V597" s="887"/>
      <c r="W597" s="888"/>
      <c r="X597" s="882"/>
      <c r="Y597" s="888"/>
      <c r="Z597" s="882"/>
      <c r="AA597" s="882"/>
      <c r="AB597" s="882"/>
      <c r="AC597" s="882"/>
      <c r="AD597" s="882"/>
      <c r="AE597" s="882"/>
      <c r="AF597" s="882"/>
      <c r="AG597" s="882"/>
      <c r="AH597" s="882"/>
      <c r="AI597" s="882">
        <v>2</v>
      </c>
      <c r="AJ597" s="882"/>
      <c r="AK597" s="882"/>
      <c r="AL597" s="889"/>
    </row>
    <row r="598" spans="1:38" s="890" customFormat="1">
      <c r="A598" s="882"/>
      <c r="B598" s="891">
        <f>+A598-C598</f>
        <v>-594</v>
      </c>
      <c r="C598" s="882">
        <f t="shared" si="60"/>
        <v>594</v>
      </c>
      <c r="D598" s="883">
        <v>4505</v>
      </c>
      <c r="E598" s="884" t="str">
        <f>IFERROR(VLOOKUP(Table2[[#This Row],[Player No]],Table10[[No]:[Province]],2,0),"")</f>
        <v xml:space="preserve">DU TOIT Jaco </v>
      </c>
      <c r="F598" s="885" t="str">
        <f>IFERROR(VLOOKUP(Table2[[#This Row],[Player No]],Table10[[No]:[Province]],3,0),"")</f>
        <v>GNTTB</v>
      </c>
      <c r="G598" s="892">
        <v>1</v>
      </c>
      <c r="H598" s="886">
        <f>(Table2[[#This Row],[Points 2025]]/2)+SUM(Table2[[#This Row],[O1  ADMIN 2026]:[P2    CAPE TOWN OPEN 2026 ]])</f>
        <v>0.5</v>
      </c>
      <c r="I598" s="880">
        <f t="shared" si="59"/>
        <v>0</v>
      </c>
      <c r="J598" s="882">
        <f t="shared" si="61"/>
        <v>0</v>
      </c>
      <c r="K598" s="887" t="s">
        <v>6083</v>
      </c>
      <c r="L598" s="887" t="s">
        <v>6083</v>
      </c>
      <c r="M598" s="887" t="s">
        <v>6083</v>
      </c>
      <c r="N598" s="887"/>
      <c r="O598" s="882"/>
      <c r="P598" s="882"/>
      <c r="Q598" s="888"/>
      <c r="R598" s="888"/>
      <c r="S598" s="882"/>
      <c r="T598" s="888"/>
      <c r="U598" s="882"/>
      <c r="V598" s="887"/>
      <c r="W598" s="888"/>
      <c r="X598" s="882"/>
      <c r="Y598" s="888"/>
      <c r="Z598" s="882"/>
      <c r="AA598" s="882"/>
      <c r="AB598" s="882"/>
      <c r="AC598" s="882"/>
      <c r="AD598" s="882"/>
      <c r="AE598" s="882"/>
      <c r="AF598" s="882"/>
      <c r="AG598" s="882"/>
      <c r="AH598" s="882"/>
      <c r="AI598" s="882">
        <v>2</v>
      </c>
      <c r="AJ598" s="882"/>
      <c r="AK598" s="882"/>
      <c r="AL598" s="889"/>
    </row>
    <row r="599" spans="1:38" s="890" customFormat="1">
      <c r="A599" s="882"/>
      <c r="B599" s="891">
        <f>+A599-C599</f>
        <v>-595</v>
      </c>
      <c r="C599" s="882">
        <f t="shared" si="60"/>
        <v>595</v>
      </c>
      <c r="D599" s="883">
        <v>4506</v>
      </c>
      <c r="E599" s="884" t="str">
        <f>IFERROR(VLOOKUP(Table2[[#This Row],[Player No]],Table10[[No]:[Province]],2,0),"")</f>
        <v>TSHEANG Phateli</v>
      </c>
      <c r="F599" s="885" t="str">
        <f>IFERROR(VLOOKUP(Table2[[#This Row],[Player No]],Table10[[No]:[Province]],3,0),"")</f>
        <v>JTTA</v>
      </c>
      <c r="G599" s="892">
        <v>1</v>
      </c>
      <c r="H599" s="886">
        <f>(Table2[[#This Row],[Points 2025]]/2)+SUM(Table2[[#This Row],[O1  ADMIN 2026]:[P2    CAPE TOWN OPEN 2026 ]])</f>
        <v>0.5</v>
      </c>
      <c r="I599" s="880">
        <f t="shared" si="59"/>
        <v>0</v>
      </c>
      <c r="J599" s="882">
        <f t="shared" si="61"/>
        <v>0</v>
      </c>
      <c r="K599" s="887" t="s">
        <v>6083</v>
      </c>
      <c r="L599" s="887" t="s">
        <v>6083</v>
      </c>
      <c r="M599" s="887" t="s">
        <v>6083</v>
      </c>
      <c r="N599" s="887"/>
      <c r="O599" s="882"/>
      <c r="P599" s="882"/>
      <c r="Q599" s="888"/>
      <c r="R599" s="888"/>
      <c r="S599" s="882"/>
      <c r="T599" s="888"/>
      <c r="U599" s="882"/>
      <c r="V599" s="887"/>
      <c r="W599" s="888"/>
      <c r="X599" s="882"/>
      <c r="Y599" s="888"/>
      <c r="Z599" s="882"/>
      <c r="AA599" s="882"/>
      <c r="AB599" s="882"/>
      <c r="AC599" s="882"/>
      <c r="AD599" s="882"/>
      <c r="AE599" s="882"/>
      <c r="AF599" s="882"/>
      <c r="AG599" s="882"/>
      <c r="AH599" s="882"/>
      <c r="AI599" s="882">
        <v>2</v>
      </c>
      <c r="AJ599" s="882"/>
      <c r="AK599" s="882"/>
      <c r="AL599" s="889"/>
    </row>
    <row r="600" spans="1:38" s="890" customFormat="1">
      <c r="A600" s="882"/>
      <c r="B600" s="891">
        <f>+A600-C600</f>
        <v>-596</v>
      </c>
      <c r="C600" s="882">
        <f t="shared" si="60"/>
        <v>596</v>
      </c>
      <c r="D600" s="883">
        <v>4507</v>
      </c>
      <c r="E600" s="884" t="str">
        <f>IFERROR(VLOOKUP(Table2[[#This Row],[Player No]],Table10[[No]:[Province]],2,0),"")</f>
        <v xml:space="preserve">MFENE Zenzile </v>
      </c>
      <c r="F600" s="885" t="str">
        <f>IFERROR(VLOOKUP(Table2[[#This Row],[Player No]],Table10[[No]:[Province]],3,0),"")</f>
        <v>EKR</v>
      </c>
      <c r="G600" s="892">
        <v>1</v>
      </c>
      <c r="H600" s="886">
        <f>(Table2[[#This Row],[Points 2025]]/2)+SUM(Table2[[#This Row],[O1  ADMIN 2026]:[P2    CAPE TOWN OPEN 2026 ]])</f>
        <v>0.5</v>
      </c>
      <c r="I600" s="880">
        <f t="shared" si="59"/>
        <v>0</v>
      </c>
      <c r="J600" s="882">
        <f t="shared" si="61"/>
        <v>0</v>
      </c>
      <c r="K600" s="887" t="s">
        <v>6083</v>
      </c>
      <c r="L600" s="887" t="s">
        <v>6083</v>
      </c>
      <c r="M600" s="887" t="s">
        <v>6083</v>
      </c>
      <c r="N600" s="887"/>
      <c r="O600" s="882"/>
      <c r="P600" s="882"/>
      <c r="Q600" s="888"/>
      <c r="R600" s="888"/>
      <c r="S600" s="882"/>
      <c r="T600" s="888"/>
      <c r="U600" s="882"/>
      <c r="V600" s="887"/>
      <c r="W600" s="888"/>
      <c r="X600" s="882"/>
      <c r="Y600" s="888"/>
      <c r="Z600" s="882"/>
      <c r="AA600" s="882"/>
      <c r="AB600" s="882"/>
      <c r="AC600" s="882"/>
      <c r="AD600" s="882"/>
      <c r="AE600" s="882"/>
      <c r="AF600" s="882"/>
      <c r="AG600" s="882"/>
      <c r="AH600" s="882"/>
      <c r="AI600" s="882">
        <v>2</v>
      </c>
      <c r="AJ600" s="882"/>
      <c r="AK600" s="882"/>
      <c r="AL600" s="889"/>
    </row>
    <row r="601" spans="1:38" s="890" customFormat="1">
      <c r="A601" s="882"/>
      <c r="B601" s="891">
        <f>+A601-C601</f>
        <v>-597</v>
      </c>
      <c r="C601" s="882">
        <f t="shared" si="60"/>
        <v>597</v>
      </c>
      <c r="D601" s="883">
        <v>4508</v>
      </c>
      <c r="E601" s="884" t="str">
        <f>IFERROR(VLOOKUP(Table2[[#This Row],[Player No]],Table10[[No]:[Province]],2,0),"")</f>
        <v xml:space="preserve">ROWJEE Atish </v>
      </c>
      <c r="F601" s="885" t="str">
        <f>IFERROR(VLOOKUP(Table2[[#This Row],[Player No]],Table10[[No]:[Province]],3,0),"")</f>
        <v>JTTA</v>
      </c>
      <c r="G601" s="892">
        <v>1</v>
      </c>
      <c r="H601" s="886">
        <f>(Table2[[#This Row],[Points 2025]]/2)+SUM(Table2[[#This Row],[O1  ADMIN 2026]:[P2    CAPE TOWN OPEN 2026 ]])</f>
        <v>0.5</v>
      </c>
      <c r="I601" s="880">
        <f t="shared" si="59"/>
        <v>0</v>
      </c>
      <c r="J601" s="882">
        <f t="shared" si="61"/>
        <v>0</v>
      </c>
      <c r="K601" s="887" t="s">
        <v>6083</v>
      </c>
      <c r="L601" s="887" t="s">
        <v>6083</v>
      </c>
      <c r="M601" s="887" t="s">
        <v>6083</v>
      </c>
      <c r="N601" s="887"/>
      <c r="O601" s="882"/>
      <c r="P601" s="882"/>
      <c r="Q601" s="888"/>
      <c r="R601" s="888"/>
      <c r="S601" s="882"/>
      <c r="T601" s="888"/>
      <c r="U601" s="882"/>
      <c r="V601" s="887"/>
      <c r="W601" s="888"/>
      <c r="X601" s="882"/>
      <c r="Y601" s="888"/>
      <c r="Z601" s="882"/>
      <c r="AA601" s="882"/>
      <c r="AB601" s="882"/>
      <c r="AC601" s="882"/>
      <c r="AD601" s="882"/>
      <c r="AE601" s="882"/>
      <c r="AF601" s="882"/>
      <c r="AG601" s="882"/>
      <c r="AH601" s="882"/>
      <c r="AI601" s="882">
        <v>2</v>
      </c>
      <c r="AJ601" s="882"/>
      <c r="AK601" s="882"/>
      <c r="AL601" s="889"/>
    </row>
    <row r="602" spans="1:38" s="890" customFormat="1">
      <c r="A602" s="882"/>
      <c r="B602" s="891"/>
      <c r="C602" s="882">
        <f t="shared" si="60"/>
        <v>598</v>
      </c>
      <c r="D602" s="894">
        <v>4633</v>
      </c>
      <c r="E602" s="884" t="str">
        <f>IFERROR(VLOOKUP(Table2[[#This Row],[Player No]],Table10[[No]:[Province]],2,0),"")</f>
        <v>ZAROOZNY Remy</v>
      </c>
      <c r="F602" s="885" t="str">
        <f>IFERROR(VLOOKUP(Table2[[#This Row],[Player No]],Table10[[No]:[Province]],3,0),"")</f>
        <v>CT</v>
      </c>
      <c r="G602" s="892">
        <v>1</v>
      </c>
      <c r="H602" s="886">
        <f>(Table2[[#This Row],[Points 2025]]/2)+SUM(Table2[[#This Row],[O1  ADMIN 2026]:[P2    CAPE TOWN OPEN 2026 ]])</f>
        <v>0.5</v>
      </c>
      <c r="I602" s="880">
        <f t="shared" si="59"/>
        <v>0</v>
      </c>
      <c r="J602" s="882">
        <f t="shared" si="61"/>
        <v>0</v>
      </c>
      <c r="K602" s="887" t="s">
        <v>6083</v>
      </c>
      <c r="L602" s="887" t="s">
        <v>6083</v>
      </c>
      <c r="M602" s="887" t="s">
        <v>6083</v>
      </c>
      <c r="N602" s="887"/>
      <c r="O602" s="882"/>
      <c r="P602" s="882"/>
      <c r="Q602" s="888"/>
      <c r="R602" s="888">
        <v>1</v>
      </c>
      <c r="S602" s="882"/>
      <c r="T602" s="888"/>
      <c r="U602" s="882"/>
      <c r="V602" s="887"/>
      <c r="W602" s="888"/>
      <c r="X602" s="882"/>
      <c r="Y602" s="888"/>
      <c r="Z602" s="882"/>
      <c r="AA602" s="882"/>
      <c r="AB602" s="882"/>
      <c r="AC602" s="882"/>
      <c r="AD602" s="882"/>
      <c r="AE602" s="882"/>
      <c r="AF602" s="882"/>
      <c r="AG602" s="882"/>
      <c r="AH602" s="882"/>
      <c r="AI602" s="882"/>
      <c r="AJ602" s="882"/>
      <c r="AK602" s="882"/>
      <c r="AL602" s="889"/>
    </row>
    <row r="603" spans="1:38" s="890" customFormat="1">
      <c r="A603" s="882"/>
      <c r="B603" s="891"/>
      <c r="C603" s="882">
        <f t="shared" si="60"/>
        <v>599</v>
      </c>
      <c r="D603" s="894">
        <v>4634</v>
      </c>
      <c r="E603" s="884" t="str">
        <f>IFERROR(VLOOKUP(Table2[[#This Row],[Player No]],Table10[[No]:[Province]],2,0),"")</f>
        <v>SKIPPERS Chris-Will</v>
      </c>
      <c r="F603" s="885" t="str">
        <f>IFERROR(VLOOKUP(Table2[[#This Row],[Player No]],Table10[[No]:[Province]],3,0),"")</f>
        <v>WC</v>
      </c>
      <c r="G603" s="892">
        <v>1</v>
      </c>
      <c r="H603" s="886">
        <f>(Table2[[#This Row],[Points 2025]]/2)+SUM(Table2[[#This Row],[O1  ADMIN 2026]:[P2    CAPE TOWN OPEN 2026 ]])</f>
        <v>0.5</v>
      </c>
      <c r="I603" s="880">
        <f t="shared" si="59"/>
        <v>0</v>
      </c>
      <c r="J603" s="882">
        <f t="shared" si="61"/>
        <v>0</v>
      </c>
      <c r="K603" s="887" t="s">
        <v>6083</v>
      </c>
      <c r="L603" s="887" t="s">
        <v>6083</v>
      </c>
      <c r="M603" s="887" t="s">
        <v>6083</v>
      </c>
      <c r="N603" s="887"/>
      <c r="O603" s="882"/>
      <c r="P603" s="882"/>
      <c r="Q603" s="888"/>
      <c r="R603" s="888">
        <v>1</v>
      </c>
      <c r="S603" s="882"/>
      <c r="T603" s="888"/>
      <c r="U603" s="882"/>
      <c r="V603" s="887"/>
      <c r="W603" s="888"/>
      <c r="X603" s="882"/>
      <c r="Y603" s="888"/>
      <c r="Z603" s="882"/>
      <c r="AA603" s="882"/>
      <c r="AB603" s="882"/>
      <c r="AC603" s="882"/>
      <c r="AD603" s="882"/>
      <c r="AE603" s="882"/>
      <c r="AF603" s="882"/>
      <c r="AG603" s="882"/>
      <c r="AH603" s="882"/>
      <c r="AI603" s="882"/>
      <c r="AJ603" s="882"/>
      <c r="AK603" s="882"/>
      <c r="AL603" s="889"/>
    </row>
    <row r="604" spans="1:38" s="890" customFormat="1">
      <c r="A604" s="882"/>
      <c r="B604" s="891"/>
      <c r="C604" s="882">
        <f t="shared" si="60"/>
        <v>600</v>
      </c>
      <c r="D604" s="894">
        <v>4635</v>
      </c>
      <c r="E604" s="884" t="str">
        <f>IFERROR(VLOOKUP(Table2[[#This Row],[Player No]],Table10[[No]:[Province]],2,0),"")</f>
        <v xml:space="preserve">ISAACS Zeeshan </v>
      </c>
      <c r="F604" s="885" t="str">
        <f>IFERROR(VLOOKUP(Table2[[#This Row],[Player No]],Table10[[No]:[Province]],3,0),"")</f>
        <v>CT</v>
      </c>
      <c r="G604" s="892">
        <v>1</v>
      </c>
      <c r="H604" s="886">
        <f>(Table2[[#This Row],[Points 2025]]/2)+SUM(Table2[[#This Row],[O1  ADMIN 2026]:[P2    CAPE TOWN OPEN 2026 ]])</f>
        <v>0.5</v>
      </c>
      <c r="I604" s="880">
        <f t="shared" si="59"/>
        <v>0</v>
      </c>
      <c r="J604" s="882">
        <f t="shared" si="61"/>
        <v>0</v>
      </c>
      <c r="K604" s="887" t="s">
        <v>6083</v>
      </c>
      <c r="L604" s="887" t="s">
        <v>6083</v>
      </c>
      <c r="M604" s="887" t="s">
        <v>6083</v>
      </c>
      <c r="N604" s="887"/>
      <c r="O604" s="882"/>
      <c r="P604" s="882"/>
      <c r="Q604" s="888"/>
      <c r="R604" s="888">
        <v>1</v>
      </c>
      <c r="S604" s="882"/>
      <c r="T604" s="888"/>
      <c r="U604" s="882"/>
      <c r="V604" s="887"/>
      <c r="W604" s="888"/>
      <c r="X604" s="882"/>
      <c r="Y604" s="888"/>
      <c r="Z604" s="882"/>
      <c r="AA604" s="882"/>
      <c r="AB604" s="882"/>
      <c r="AC604" s="882"/>
      <c r="AD604" s="882"/>
      <c r="AE604" s="882"/>
      <c r="AF604" s="882"/>
      <c r="AG604" s="882"/>
      <c r="AH604" s="882"/>
      <c r="AI604" s="882"/>
      <c r="AJ604" s="882"/>
      <c r="AK604" s="882"/>
      <c r="AL604" s="889"/>
    </row>
    <row r="605" spans="1:38" s="890" customFormat="1">
      <c r="A605" s="882"/>
      <c r="B605" s="891"/>
      <c r="C605" s="882">
        <f t="shared" si="60"/>
        <v>601</v>
      </c>
      <c r="D605" s="895">
        <v>4659</v>
      </c>
      <c r="E605" s="884" t="str">
        <f>IFERROR(VLOOKUP(Table2[[#This Row],[Player No]],Table10[[No]:[Province]],2,0),"")</f>
        <v>Isaac MOKOENA</v>
      </c>
      <c r="F605" s="885" t="str">
        <f>IFERROR(VLOOKUP(Table2[[#This Row],[Player No]],Table10[[No]:[Province]],3,0),"")</f>
        <v>SED</v>
      </c>
      <c r="G605" s="892">
        <v>1</v>
      </c>
      <c r="H605" s="886">
        <f>(Table2[[#This Row],[Points 2025]]/2)+SUM(Table2[[#This Row],[O1  ADMIN 2026]:[P2    CAPE TOWN OPEN 2026 ]])</f>
        <v>0.5</v>
      </c>
      <c r="I605" s="880">
        <f t="shared" si="59"/>
        <v>0</v>
      </c>
      <c r="J605" s="882">
        <f t="shared" si="61"/>
        <v>0</v>
      </c>
      <c r="K605" s="887" t="s">
        <v>6083</v>
      </c>
      <c r="L605" s="887" t="s">
        <v>6083</v>
      </c>
      <c r="M605" s="887" t="s">
        <v>6083</v>
      </c>
      <c r="N605" s="887"/>
      <c r="O605" s="882"/>
      <c r="P605" s="882"/>
      <c r="Q605" s="888"/>
      <c r="R605" s="888"/>
      <c r="S605" s="882"/>
      <c r="T605" s="888"/>
      <c r="U605" s="882"/>
      <c r="V605" s="887"/>
      <c r="W605" s="888"/>
      <c r="X605" s="882"/>
      <c r="Y605" s="888">
        <v>1</v>
      </c>
      <c r="Z605" s="882"/>
      <c r="AA605" s="882"/>
      <c r="AB605" s="882"/>
      <c r="AC605" s="882"/>
      <c r="AD605" s="882"/>
      <c r="AE605" s="882"/>
      <c r="AF605" s="882"/>
      <c r="AG605" s="882"/>
      <c r="AH605" s="882"/>
      <c r="AI605" s="882"/>
      <c r="AJ605" s="882"/>
      <c r="AK605" s="882"/>
      <c r="AL605" s="889"/>
    </row>
    <row r="606" spans="1:38" s="890" customFormat="1">
      <c r="A606" s="882">
        <v>343</v>
      </c>
      <c r="B606" s="891">
        <f t="shared" ref="B606:B627" si="62">+A606-C606</f>
        <v>-259</v>
      </c>
      <c r="C606" s="882">
        <f t="shared" si="60"/>
        <v>602</v>
      </c>
      <c r="D606" s="883">
        <v>3272</v>
      </c>
      <c r="E606" s="884" t="str">
        <f>IFERROR(VLOOKUP(Table2[[#This Row],[Player No]],Table10[[No]:[Province]],2,0),"")</f>
        <v>WU QI Jin</v>
      </c>
      <c r="F606" s="885" t="str">
        <f>IFERROR(VLOOKUP(Table2[[#This Row],[Player No]],Table10[[No]:[Province]],3,0),"")</f>
        <v>JTTA</v>
      </c>
      <c r="G606" s="892">
        <v>0.9375</v>
      </c>
      <c r="H606" s="886">
        <f>(Table2[[#This Row],[Points 2025]]/2)+SUM(Table2[[#This Row],[O1  ADMIN 2026]:[P2    CAPE TOWN OPEN 2026 ]])</f>
        <v>0.46875</v>
      </c>
      <c r="I606" s="880">
        <f t="shared" si="59"/>
        <v>0</v>
      </c>
      <c r="J606" s="882">
        <f t="shared" si="61"/>
        <v>0</v>
      </c>
      <c r="K606" s="887" t="s">
        <v>6083</v>
      </c>
      <c r="L606" s="887" t="s">
        <v>6083</v>
      </c>
      <c r="M606" s="887" t="s">
        <v>6083</v>
      </c>
      <c r="N606" s="887"/>
      <c r="O606" s="882"/>
      <c r="P606" s="882"/>
      <c r="Q606" s="888"/>
      <c r="R606" s="888"/>
      <c r="S606" s="882"/>
      <c r="T606" s="888"/>
      <c r="U606" s="882"/>
      <c r="V606" s="887"/>
      <c r="W606" s="888"/>
      <c r="X606" s="882"/>
      <c r="Y606" s="888"/>
      <c r="Z606" s="882"/>
      <c r="AA606" s="882"/>
      <c r="AB606" s="882"/>
      <c r="AC606" s="882"/>
      <c r="AD606" s="882"/>
      <c r="AE606" s="882"/>
      <c r="AF606" s="882"/>
      <c r="AG606" s="882"/>
      <c r="AH606" s="882"/>
      <c r="AI606" s="882"/>
      <c r="AJ606" s="882"/>
      <c r="AK606" s="882"/>
      <c r="AL606" s="889"/>
    </row>
    <row r="607" spans="1:38" s="890" customFormat="1">
      <c r="A607" s="882">
        <v>344</v>
      </c>
      <c r="B607" s="891">
        <f t="shared" si="62"/>
        <v>-259</v>
      </c>
      <c r="C607" s="882">
        <f t="shared" si="60"/>
        <v>603</v>
      </c>
      <c r="D607" s="883">
        <v>3290</v>
      </c>
      <c r="E607" s="884" t="str">
        <f>IFERROR(VLOOKUP(Table2[[#This Row],[Player No]],Table10[[No]:[Province]],2,0),"")</f>
        <v>HEFER Gavin</v>
      </c>
      <c r="F607" s="885" t="str">
        <f>IFERROR(VLOOKUP(Table2[[#This Row],[Player No]],Table10[[No]:[Province]],3,0),"")</f>
        <v>JTTA</v>
      </c>
      <c r="G607" s="892">
        <v>0.9375</v>
      </c>
      <c r="H607" s="886">
        <f>(Table2[[#This Row],[Points 2025]]/2)+SUM(Table2[[#This Row],[O1  ADMIN 2026]:[P2    CAPE TOWN OPEN 2026 ]])</f>
        <v>0.46875</v>
      </c>
      <c r="I607" s="880">
        <f t="shared" si="59"/>
        <v>0</v>
      </c>
      <c r="J607" s="882">
        <f t="shared" si="61"/>
        <v>0</v>
      </c>
      <c r="K607" s="887" t="s">
        <v>6083</v>
      </c>
      <c r="L607" s="887" t="s">
        <v>6083</v>
      </c>
      <c r="M607" s="887" t="s">
        <v>6083</v>
      </c>
      <c r="N607" s="887"/>
      <c r="O607" s="882"/>
      <c r="P607" s="882"/>
      <c r="Q607" s="888"/>
      <c r="R607" s="888"/>
      <c r="S607" s="882"/>
      <c r="T607" s="888"/>
      <c r="U607" s="882"/>
      <c r="V607" s="887"/>
      <c r="W607" s="888"/>
      <c r="X607" s="882"/>
      <c r="Y607" s="888"/>
      <c r="Z607" s="882"/>
      <c r="AA607" s="882"/>
      <c r="AB607" s="882"/>
      <c r="AC607" s="882"/>
      <c r="AD607" s="882"/>
      <c r="AE607" s="882"/>
      <c r="AF607" s="882"/>
      <c r="AG607" s="882"/>
      <c r="AH607" s="882"/>
      <c r="AI607" s="882"/>
      <c r="AJ607" s="882"/>
      <c r="AK607" s="882"/>
      <c r="AL607" s="889"/>
    </row>
    <row r="608" spans="1:38" s="890" customFormat="1">
      <c r="A608" s="882">
        <v>345</v>
      </c>
      <c r="B608" s="891">
        <f t="shared" si="62"/>
        <v>-259</v>
      </c>
      <c r="C608" s="882">
        <f t="shared" si="60"/>
        <v>604</v>
      </c>
      <c r="D608" s="883">
        <v>3292</v>
      </c>
      <c r="E608" s="884" t="str">
        <f>IFERROR(VLOOKUP(Table2[[#This Row],[Player No]],Table10[[No]:[Province]],2,0),"")</f>
        <v>AFZAL Ahmed</v>
      </c>
      <c r="F608" s="885" t="str">
        <f>IFERROR(VLOOKUP(Table2[[#This Row],[Player No]],Table10[[No]:[Province]],3,0),"")</f>
        <v>JTTA</v>
      </c>
      <c r="G608" s="892">
        <v>0.9375</v>
      </c>
      <c r="H608" s="886">
        <f>(Table2[[#This Row],[Points 2025]]/2)+SUM(Table2[[#This Row],[O1  ADMIN 2026]:[P2    CAPE TOWN OPEN 2026 ]])</f>
        <v>0.46875</v>
      </c>
      <c r="I608" s="880">
        <f t="shared" si="59"/>
        <v>0</v>
      </c>
      <c r="J608" s="882">
        <f t="shared" si="61"/>
        <v>0</v>
      </c>
      <c r="K608" s="887" t="s">
        <v>6083</v>
      </c>
      <c r="L608" s="887" t="s">
        <v>6083</v>
      </c>
      <c r="M608" s="887" t="s">
        <v>6083</v>
      </c>
      <c r="N608" s="887"/>
      <c r="O608" s="882"/>
      <c r="P608" s="882"/>
      <c r="Q608" s="888"/>
      <c r="R608" s="888"/>
      <c r="S608" s="882"/>
      <c r="T608" s="888"/>
      <c r="U608" s="882"/>
      <c r="V608" s="887"/>
      <c r="W608" s="888"/>
      <c r="X608" s="882"/>
      <c r="Y608" s="888"/>
      <c r="Z608" s="882"/>
      <c r="AA608" s="882"/>
      <c r="AB608" s="882"/>
      <c r="AC608" s="882"/>
      <c r="AD608" s="882"/>
      <c r="AE608" s="882"/>
      <c r="AF608" s="882"/>
      <c r="AG608" s="882"/>
      <c r="AH608" s="882"/>
      <c r="AI608" s="882"/>
      <c r="AJ608" s="882"/>
      <c r="AK608" s="882"/>
      <c r="AL608" s="889"/>
    </row>
    <row r="609" spans="1:38" s="890" customFormat="1">
      <c r="A609" s="882">
        <v>351</v>
      </c>
      <c r="B609" s="891">
        <f t="shared" si="62"/>
        <v>-254</v>
      </c>
      <c r="C609" s="882">
        <f t="shared" si="60"/>
        <v>605</v>
      </c>
      <c r="D609" s="883">
        <v>2253</v>
      </c>
      <c r="E609" s="884" t="str">
        <f>IFERROR(VLOOKUP(Table2[[#This Row],[Player No]],Table10[[No]:[Province]],2,0),"")</f>
        <v xml:space="preserve">JOHNSON Andre </v>
      </c>
      <c r="F609" s="885" t="str">
        <f>IFERROR(VLOOKUP(Table2[[#This Row],[Player No]],Table10[[No]:[Province]],3,0),"")</f>
        <v>CT</v>
      </c>
      <c r="G609" s="892">
        <v>0.8125</v>
      </c>
      <c r="H609" s="886">
        <f>(Table2[[#This Row],[Points 2025]]/2)+SUM(Table2[[#This Row],[O1  ADMIN 2026]:[P2    CAPE TOWN OPEN 2026 ]])</f>
        <v>0.40625</v>
      </c>
      <c r="I609" s="880">
        <f t="shared" si="59"/>
        <v>0</v>
      </c>
      <c r="J609" s="882">
        <f t="shared" si="61"/>
        <v>0</v>
      </c>
      <c r="K609" s="887" t="s">
        <v>6083</v>
      </c>
      <c r="L609" s="887" t="s">
        <v>6083</v>
      </c>
      <c r="M609" s="887" t="s">
        <v>6083</v>
      </c>
      <c r="N609" s="887"/>
      <c r="O609" s="882"/>
      <c r="P609" s="882"/>
      <c r="Q609" s="888"/>
      <c r="R609" s="888"/>
      <c r="S609" s="882"/>
      <c r="T609" s="888"/>
      <c r="U609" s="882"/>
      <c r="V609" s="887"/>
      <c r="W609" s="888"/>
      <c r="X609" s="882"/>
      <c r="Y609" s="888"/>
      <c r="Z609" s="882"/>
      <c r="AA609" s="882"/>
      <c r="AB609" s="882"/>
      <c r="AC609" s="882"/>
      <c r="AD609" s="882"/>
      <c r="AE609" s="882"/>
      <c r="AF609" s="882"/>
      <c r="AG609" s="882"/>
      <c r="AH609" s="882"/>
      <c r="AI609" s="882"/>
      <c r="AJ609" s="882"/>
      <c r="AK609" s="882"/>
      <c r="AL609" s="889"/>
    </row>
    <row r="610" spans="1:38" s="890" customFormat="1">
      <c r="A610" s="882">
        <v>352</v>
      </c>
      <c r="B610" s="891">
        <f t="shared" si="62"/>
        <v>-254</v>
      </c>
      <c r="C610" s="882">
        <f t="shared" si="60"/>
        <v>606</v>
      </c>
      <c r="D610" s="883">
        <v>1513</v>
      </c>
      <c r="E610" s="884" t="str">
        <f>IFERROR(VLOOKUP(Table2[[#This Row],[Player No]],Table10[[No]:[Province]],2,0),"")</f>
        <v>SICAT Ariel</v>
      </c>
      <c r="F610" s="885">
        <f>IFERROR(VLOOKUP(Table2[[#This Row],[Player No]],Table10[[No]:[Province]],3,0),"")</f>
        <v>0</v>
      </c>
      <c r="G610" s="892">
        <v>0.80859375</v>
      </c>
      <c r="H610" s="886">
        <f>(Table2[[#This Row],[Points 2025]]/2)+SUM(Table2[[#This Row],[O1  ADMIN 2026]:[P2    CAPE TOWN OPEN 2026 ]])</f>
        <v>0.404296875</v>
      </c>
      <c r="I610" s="880">
        <f t="shared" si="59"/>
        <v>0</v>
      </c>
      <c r="J610" s="882">
        <f t="shared" si="61"/>
        <v>0</v>
      </c>
      <c r="K610" s="887" t="s">
        <v>6083</v>
      </c>
      <c r="L610" s="887" t="s">
        <v>6083</v>
      </c>
      <c r="M610" s="887" t="s">
        <v>6083</v>
      </c>
      <c r="N610" s="887"/>
      <c r="O610" s="882"/>
      <c r="P610" s="882"/>
      <c r="Q610" s="888"/>
      <c r="R610" s="888"/>
      <c r="S610" s="882"/>
      <c r="T610" s="888"/>
      <c r="U610" s="882"/>
      <c r="V610" s="887"/>
      <c r="W610" s="888"/>
      <c r="X610" s="882"/>
      <c r="Y610" s="888"/>
      <c r="Z610" s="882"/>
      <c r="AA610" s="882"/>
      <c r="AB610" s="882"/>
      <c r="AC610" s="882"/>
      <c r="AD610" s="882"/>
      <c r="AE610" s="882"/>
      <c r="AF610" s="882"/>
      <c r="AG610" s="882"/>
      <c r="AH610" s="882"/>
      <c r="AI610" s="882"/>
      <c r="AJ610" s="882"/>
      <c r="AK610" s="882"/>
      <c r="AL610" s="889"/>
    </row>
    <row r="611" spans="1:38" s="890" customFormat="1">
      <c r="A611" s="882">
        <v>356</v>
      </c>
      <c r="B611" s="891">
        <f t="shared" si="62"/>
        <v>-251</v>
      </c>
      <c r="C611" s="882">
        <f t="shared" si="60"/>
        <v>607</v>
      </c>
      <c r="D611" s="883">
        <v>1787</v>
      </c>
      <c r="E611" s="884" t="str">
        <f>IFERROR(VLOOKUP(Table2[[#This Row],[Player No]],Table10[[No]:[Province]],2,0),"")</f>
        <v xml:space="preserve">ADRIAAN Carl </v>
      </c>
      <c r="F611" s="885" t="str">
        <f>IFERROR(VLOOKUP(Table2[[#This Row],[Player No]],Table10[[No]:[Province]],3,0),"")</f>
        <v>CW</v>
      </c>
      <c r="G611" s="892">
        <v>0.75</v>
      </c>
      <c r="H611" s="886">
        <f>(Table2[[#This Row],[Points 2025]]/2)+SUM(Table2[[#This Row],[O1  ADMIN 2026]:[P2    CAPE TOWN OPEN 2026 ]])</f>
        <v>0.375</v>
      </c>
      <c r="I611" s="880">
        <f t="shared" si="59"/>
        <v>0</v>
      </c>
      <c r="J611" s="882">
        <f t="shared" si="61"/>
        <v>0</v>
      </c>
      <c r="K611" s="887" t="s">
        <v>6083</v>
      </c>
      <c r="L611" s="887" t="s">
        <v>6083</v>
      </c>
      <c r="M611" s="887" t="s">
        <v>6083</v>
      </c>
      <c r="N611" s="887"/>
      <c r="O611" s="882"/>
      <c r="P611" s="882"/>
      <c r="Q611" s="888"/>
      <c r="R611" s="888"/>
      <c r="S611" s="882"/>
      <c r="T611" s="888"/>
      <c r="U611" s="882"/>
      <c r="V611" s="887"/>
      <c r="W611" s="888"/>
      <c r="X611" s="882"/>
      <c r="Y611" s="888"/>
      <c r="Z611" s="882"/>
      <c r="AA611" s="882"/>
      <c r="AB611" s="882"/>
      <c r="AC611" s="882"/>
      <c r="AD611" s="882"/>
      <c r="AE611" s="882"/>
      <c r="AF611" s="882"/>
      <c r="AG611" s="882"/>
      <c r="AH611" s="882"/>
      <c r="AI611" s="882"/>
      <c r="AJ611" s="882"/>
      <c r="AK611" s="882"/>
      <c r="AL611" s="889"/>
    </row>
    <row r="612" spans="1:38" s="890" customFormat="1">
      <c r="A612" s="882">
        <v>357</v>
      </c>
      <c r="B612" s="891">
        <f t="shared" si="62"/>
        <v>-251</v>
      </c>
      <c r="C612" s="882">
        <f t="shared" si="60"/>
        <v>608</v>
      </c>
      <c r="D612" s="883">
        <v>2462</v>
      </c>
      <c r="E612" s="884" t="str">
        <f>IFERROR(VLOOKUP(Table2[[#This Row],[Player No]],Table10[[No]:[Province]],2,0),"")</f>
        <v>FRANS Vian</v>
      </c>
      <c r="F612" s="885" t="str">
        <f>IFERROR(VLOOKUP(Table2[[#This Row],[Player No]],Table10[[No]:[Province]],3,0),"")</f>
        <v>WC</v>
      </c>
      <c r="G612" s="892">
        <v>0.75</v>
      </c>
      <c r="H612" s="886">
        <f>(Table2[[#This Row],[Points 2025]]/2)+SUM(Table2[[#This Row],[O1  ADMIN 2026]:[P2    CAPE TOWN OPEN 2026 ]])</f>
        <v>0.375</v>
      </c>
      <c r="I612" s="880">
        <f t="shared" si="59"/>
        <v>0</v>
      </c>
      <c r="J612" s="882">
        <f t="shared" si="61"/>
        <v>0</v>
      </c>
      <c r="K612" s="887" t="s">
        <v>6083</v>
      </c>
      <c r="L612" s="887" t="s">
        <v>6083</v>
      </c>
      <c r="M612" s="887" t="s">
        <v>6083</v>
      </c>
      <c r="N612" s="887"/>
      <c r="O612" s="882"/>
      <c r="P612" s="882"/>
      <c r="Q612" s="888"/>
      <c r="R612" s="888"/>
      <c r="S612" s="882"/>
      <c r="T612" s="888"/>
      <c r="U612" s="882"/>
      <c r="V612" s="887"/>
      <c r="W612" s="888"/>
      <c r="X612" s="882"/>
      <c r="Y612" s="888"/>
      <c r="Z612" s="882"/>
      <c r="AA612" s="882"/>
      <c r="AB612" s="882"/>
      <c r="AC612" s="882"/>
      <c r="AD612" s="882"/>
      <c r="AE612" s="882"/>
      <c r="AF612" s="882"/>
      <c r="AG612" s="882"/>
      <c r="AH612" s="882"/>
      <c r="AI612" s="882"/>
      <c r="AJ612" s="882"/>
      <c r="AK612" s="882"/>
      <c r="AL612" s="889"/>
    </row>
    <row r="613" spans="1:38" s="890" customFormat="1">
      <c r="A613" s="882">
        <v>358</v>
      </c>
      <c r="B613" s="891">
        <f t="shared" si="62"/>
        <v>-251</v>
      </c>
      <c r="C613" s="882">
        <f t="shared" si="60"/>
        <v>609</v>
      </c>
      <c r="D613" s="883">
        <v>3418</v>
      </c>
      <c r="E613" s="884" t="str">
        <f>IFERROR(VLOOKUP(Table2[[#This Row],[Player No]],Table10[[No]:[Province]],2,0),"")</f>
        <v>Khanyolwethe Bayibayi</v>
      </c>
      <c r="F613" s="885" t="str">
        <f>IFERROR(VLOOKUP(Table2[[#This Row],[Player No]],Table10[[No]:[Province]],3,0),"")</f>
        <v>CT</v>
      </c>
      <c r="G613" s="892">
        <v>0.75</v>
      </c>
      <c r="H613" s="886">
        <f>(Table2[[#This Row],[Points 2025]]/2)+SUM(Table2[[#This Row],[O1  ADMIN 2026]:[P2    CAPE TOWN OPEN 2026 ]])</f>
        <v>0.375</v>
      </c>
      <c r="I613" s="880">
        <f t="shared" si="59"/>
        <v>0</v>
      </c>
      <c r="J613" s="882">
        <f t="shared" si="61"/>
        <v>0</v>
      </c>
      <c r="K613" s="887" t="s">
        <v>6083</v>
      </c>
      <c r="L613" s="887" t="s">
        <v>6083</v>
      </c>
      <c r="M613" s="887" t="s">
        <v>6083</v>
      </c>
      <c r="N613" s="887"/>
      <c r="O613" s="882"/>
      <c r="P613" s="882"/>
      <c r="Q613" s="888"/>
      <c r="R613" s="888"/>
      <c r="S613" s="882"/>
      <c r="T613" s="888"/>
      <c r="U613" s="882"/>
      <c r="V613" s="887"/>
      <c r="W613" s="888"/>
      <c r="X613" s="882"/>
      <c r="Y613" s="888"/>
      <c r="Z613" s="882"/>
      <c r="AA613" s="882"/>
      <c r="AB613" s="882"/>
      <c r="AC613" s="882"/>
      <c r="AD613" s="882"/>
      <c r="AE613" s="882"/>
      <c r="AF613" s="882"/>
      <c r="AG613" s="882"/>
      <c r="AH613" s="882"/>
      <c r="AI613" s="882"/>
      <c r="AJ613" s="882"/>
      <c r="AK613" s="882"/>
      <c r="AL613" s="889"/>
    </row>
    <row r="614" spans="1:38" s="890" customFormat="1">
      <c r="A614" s="882">
        <v>359</v>
      </c>
      <c r="B614" s="891">
        <f t="shared" si="62"/>
        <v>-251</v>
      </c>
      <c r="C614" s="882">
        <f t="shared" si="60"/>
        <v>610</v>
      </c>
      <c r="D614" s="883">
        <v>3422</v>
      </c>
      <c r="E614" s="884" t="str">
        <f>IFERROR(VLOOKUP(Table2[[#This Row],[Player No]],Table10[[No]:[Province]],2,0),"")</f>
        <v>AGOSTINHO Dylan</v>
      </c>
      <c r="F614" s="885" t="str">
        <f>IFERROR(VLOOKUP(Table2[[#This Row],[Player No]],Table10[[No]:[Province]],3,0),"")</f>
        <v>CT</v>
      </c>
      <c r="G614" s="892">
        <v>0.75</v>
      </c>
      <c r="H614" s="886">
        <f>(Table2[[#This Row],[Points 2025]]/2)+SUM(Table2[[#This Row],[O1  ADMIN 2026]:[P2    CAPE TOWN OPEN 2026 ]])</f>
        <v>0.375</v>
      </c>
      <c r="I614" s="880">
        <f t="shared" si="59"/>
        <v>0</v>
      </c>
      <c r="J614" s="882">
        <f t="shared" si="61"/>
        <v>0</v>
      </c>
      <c r="K614" s="887" t="s">
        <v>6083</v>
      </c>
      <c r="L614" s="887" t="s">
        <v>6083</v>
      </c>
      <c r="M614" s="887" t="s">
        <v>6083</v>
      </c>
      <c r="N614" s="887"/>
      <c r="O614" s="882"/>
      <c r="P614" s="882"/>
      <c r="Q614" s="888"/>
      <c r="R614" s="888"/>
      <c r="S614" s="882"/>
      <c r="T614" s="888"/>
      <c r="U614" s="882"/>
      <c r="V614" s="887"/>
      <c r="W614" s="888"/>
      <c r="X614" s="882"/>
      <c r="Y614" s="888"/>
      <c r="Z614" s="882"/>
      <c r="AA614" s="882"/>
      <c r="AB614" s="882"/>
      <c r="AC614" s="882"/>
      <c r="AD614" s="882"/>
      <c r="AE614" s="882"/>
      <c r="AF614" s="882"/>
      <c r="AG614" s="882"/>
      <c r="AH614" s="882"/>
      <c r="AI614" s="882"/>
      <c r="AJ614" s="882"/>
      <c r="AK614" s="882"/>
      <c r="AL614" s="889"/>
    </row>
    <row r="615" spans="1:38" s="890" customFormat="1">
      <c r="A615" s="882">
        <v>362</v>
      </c>
      <c r="B615" s="891">
        <f t="shared" si="62"/>
        <v>-249</v>
      </c>
      <c r="C615" s="882">
        <f t="shared" si="60"/>
        <v>611</v>
      </c>
      <c r="D615" s="883">
        <v>3778</v>
      </c>
      <c r="E615" s="884" t="str">
        <f>IFERROR(VLOOKUP(Table2[[#This Row],[Player No]],Table10[[No]:[Province]],2,0),"")</f>
        <v>JAMES Quinton</v>
      </c>
      <c r="F615" s="885" t="str">
        <f>IFERROR(VLOOKUP(Table2[[#This Row],[Player No]],Table10[[No]:[Province]],3,0),"")</f>
        <v>JTTA</v>
      </c>
      <c r="G615" s="892">
        <v>0.75</v>
      </c>
      <c r="H615" s="886">
        <f>(Table2[[#This Row],[Points 2025]]/2)+SUM(Table2[[#This Row],[O1  ADMIN 2026]:[P2    CAPE TOWN OPEN 2026 ]])</f>
        <v>0.375</v>
      </c>
      <c r="I615" s="880">
        <f t="shared" si="59"/>
        <v>0</v>
      </c>
      <c r="J615" s="882">
        <f t="shared" si="61"/>
        <v>0</v>
      </c>
      <c r="K615" s="887" t="s">
        <v>6083</v>
      </c>
      <c r="L615" s="887" t="s">
        <v>6083</v>
      </c>
      <c r="M615" s="887" t="s">
        <v>6083</v>
      </c>
      <c r="N615" s="887"/>
      <c r="O615" s="882"/>
      <c r="P615" s="882"/>
      <c r="Q615" s="888"/>
      <c r="R615" s="888"/>
      <c r="S615" s="882"/>
      <c r="T615" s="888"/>
      <c r="U615" s="882"/>
      <c r="V615" s="887"/>
      <c r="W615" s="888"/>
      <c r="X615" s="882"/>
      <c r="Y615" s="888"/>
      <c r="Z615" s="882"/>
      <c r="AA615" s="882"/>
      <c r="AB615" s="882"/>
      <c r="AC615" s="882"/>
      <c r="AD615" s="882"/>
      <c r="AE615" s="882"/>
      <c r="AF615" s="882"/>
      <c r="AG615" s="882"/>
      <c r="AH615" s="882"/>
      <c r="AI615" s="882"/>
      <c r="AJ615" s="882"/>
      <c r="AK615" s="882"/>
      <c r="AL615" s="889"/>
    </row>
    <row r="616" spans="1:38" s="890" customFormat="1">
      <c r="A616" s="882">
        <v>367</v>
      </c>
      <c r="B616" s="891">
        <f t="shared" si="62"/>
        <v>-245</v>
      </c>
      <c r="C616" s="882">
        <f t="shared" si="60"/>
        <v>612</v>
      </c>
      <c r="D616" s="883">
        <v>2649</v>
      </c>
      <c r="E616" s="884" t="str">
        <f>IFERROR(VLOOKUP(Table2[[#This Row],[Player No]],Table10[[No]:[Province]],2,0),"")</f>
        <v>MOSS Crispin</v>
      </c>
      <c r="F616" s="885" t="str">
        <f>IFERROR(VLOOKUP(Table2[[#This Row],[Player No]],Table10[[No]:[Province]],3,0),"")</f>
        <v>FS</v>
      </c>
      <c r="G616" s="892">
        <v>0.703125</v>
      </c>
      <c r="H616" s="886">
        <f>(Table2[[#This Row],[Points 2025]]/2)+SUM(Table2[[#This Row],[O1  ADMIN 2026]:[P2    CAPE TOWN OPEN 2026 ]])</f>
        <v>0.3515625</v>
      </c>
      <c r="I616" s="880">
        <f t="shared" si="59"/>
        <v>0</v>
      </c>
      <c r="J616" s="882">
        <f t="shared" si="61"/>
        <v>0</v>
      </c>
      <c r="K616" s="887" t="s">
        <v>6083</v>
      </c>
      <c r="L616" s="887" t="s">
        <v>6083</v>
      </c>
      <c r="M616" s="887" t="s">
        <v>6083</v>
      </c>
      <c r="N616" s="887"/>
      <c r="O616" s="882"/>
      <c r="P616" s="882"/>
      <c r="Q616" s="888"/>
      <c r="R616" s="888"/>
      <c r="S616" s="882"/>
      <c r="T616" s="888"/>
      <c r="U616" s="882"/>
      <c r="V616" s="887"/>
      <c r="W616" s="888"/>
      <c r="X616" s="882"/>
      <c r="Y616" s="888"/>
      <c r="Z616" s="882"/>
      <c r="AA616" s="882"/>
      <c r="AB616" s="882"/>
      <c r="AC616" s="882"/>
      <c r="AD616" s="882"/>
      <c r="AE616" s="882"/>
      <c r="AF616" s="882"/>
      <c r="AG616" s="882"/>
      <c r="AH616" s="882"/>
      <c r="AI616" s="882"/>
      <c r="AJ616" s="882"/>
      <c r="AK616" s="882"/>
      <c r="AL616" s="889"/>
    </row>
    <row r="617" spans="1:38" s="890" customFormat="1">
      <c r="A617" s="882">
        <v>373</v>
      </c>
      <c r="B617" s="891">
        <f t="shared" si="62"/>
        <v>-240</v>
      </c>
      <c r="C617" s="882">
        <f t="shared" si="60"/>
        <v>613</v>
      </c>
      <c r="D617" s="883">
        <v>1585</v>
      </c>
      <c r="E617" s="884" t="str">
        <f>IFERROR(VLOOKUP(Table2[[#This Row],[Player No]],Table10[[No]:[Province]],2,0),"")</f>
        <v xml:space="preserve">ZIMRI Craig </v>
      </c>
      <c r="F617" s="885" t="str">
        <f>IFERROR(VLOOKUP(Table2[[#This Row],[Player No]],Table10[[No]:[Province]],3,0),"")</f>
        <v>CT</v>
      </c>
      <c r="G617" s="892">
        <v>0.671875</v>
      </c>
      <c r="H617" s="886">
        <f>(Table2[[#This Row],[Points 2025]]/2)+SUM(Table2[[#This Row],[O1  ADMIN 2026]:[P2    CAPE TOWN OPEN 2026 ]])</f>
        <v>0.3359375</v>
      </c>
      <c r="I617" s="880">
        <f t="shared" si="59"/>
        <v>0</v>
      </c>
      <c r="J617" s="882">
        <f t="shared" si="61"/>
        <v>0</v>
      </c>
      <c r="K617" s="887" t="s">
        <v>6083</v>
      </c>
      <c r="L617" s="887" t="s">
        <v>6083</v>
      </c>
      <c r="M617" s="887" t="s">
        <v>6083</v>
      </c>
      <c r="N617" s="887"/>
      <c r="O617" s="882"/>
      <c r="P617" s="882"/>
      <c r="Q617" s="888"/>
      <c r="R617" s="888"/>
      <c r="S617" s="882"/>
      <c r="T617" s="888"/>
      <c r="U617" s="882"/>
      <c r="V617" s="887"/>
      <c r="W617" s="888"/>
      <c r="X617" s="882"/>
      <c r="Y617" s="888"/>
      <c r="Z617" s="882"/>
      <c r="AA617" s="882"/>
      <c r="AB617" s="882"/>
      <c r="AC617" s="882"/>
      <c r="AD617" s="882"/>
      <c r="AE617" s="882"/>
      <c r="AF617" s="882"/>
      <c r="AG617" s="882"/>
      <c r="AH617" s="882"/>
      <c r="AI617" s="882"/>
      <c r="AJ617" s="882"/>
      <c r="AK617" s="882"/>
      <c r="AL617" s="889"/>
    </row>
    <row r="618" spans="1:38" s="890" customFormat="1">
      <c r="A618" s="882">
        <v>374</v>
      </c>
      <c r="B618" s="891">
        <f t="shared" si="62"/>
        <v>-240</v>
      </c>
      <c r="C618" s="882">
        <f t="shared" si="60"/>
        <v>614</v>
      </c>
      <c r="D618" s="883">
        <v>1570</v>
      </c>
      <c r="E618" s="884" t="str">
        <f>IFERROR(VLOOKUP(Table2[[#This Row],[Player No]],Table10[[No]:[Province]],2,0),"")</f>
        <v xml:space="preserve">MANEVELD Riad </v>
      </c>
      <c r="F618" s="885" t="str">
        <f>IFERROR(VLOOKUP(Table2[[#This Row],[Player No]],Table10[[No]:[Province]],3,0),"")</f>
        <v>CT</v>
      </c>
      <c r="G618" s="892">
        <v>0.6484375</v>
      </c>
      <c r="H618" s="886">
        <f>(Table2[[#This Row],[Points 2025]]/2)+SUM(Table2[[#This Row],[O1  ADMIN 2026]:[P2    CAPE TOWN OPEN 2026 ]])</f>
        <v>0.32421875</v>
      </c>
      <c r="I618" s="880">
        <f t="shared" si="59"/>
        <v>0</v>
      </c>
      <c r="J618" s="882">
        <f t="shared" si="61"/>
        <v>0</v>
      </c>
      <c r="K618" s="887" t="s">
        <v>6083</v>
      </c>
      <c r="L618" s="887" t="s">
        <v>6083</v>
      </c>
      <c r="M618" s="887" t="s">
        <v>6083</v>
      </c>
      <c r="N618" s="887"/>
      <c r="O618" s="882"/>
      <c r="P618" s="882"/>
      <c r="Q618" s="888"/>
      <c r="R618" s="888"/>
      <c r="S618" s="882"/>
      <c r="T618" s="888"/>
      <c r="U618" s="882"/>
      <c r="V618" s="887"/>
      <c r="W618" s="888"/>
      <c r="X618" s="882"/>
      <c r="Y618" s="888"/>
      <c r="Z618" s="882"/>
      <c r="AA618" s="882"/>
      <c r="AB618" s="882"/>
      <c r="AC618" s="882"/>
      <c r="AD618" s="882"/>
      <c r="AE618" s="882"/>
      <c r="AF618" s="882"/>
      <c r="AG618" s="882"/>
      <c r="AH618" s="882"/>
      <c r="AI618" s="882"/>
      <c r="AJ618" s="882"/>
      <c r="AK618" s="882"/>
      <c r="AL618" s="889"/>
    </row>
    <row r="619" spans="1:38" s="890" customFormat="1">
      <c r="A619" s="882">
        <v>379</v>
      </c>
      <c r="B619" s="891">
        <f t="shared" si="62"/>
        <v>-236</v>
      </c>
      <c r="C619" s="882">
        <f t="shared" si="60"/>
        <v>615</v>
      </c>
      <c r="D619" s="883">
        <v>2690</v>
      </c>
      <c r="E619" s="884" t="str">
        <f>IFERROR(VLOOKUP(Table2[[#This Row],[Player No]],Table10[[No]:[Province]],2,0),"")</f>
        <v>MARSHALL Ariel</v>
      </c>
      <c r="F619" s="885" t="str">
        <f>IFERROR(VLOOKUP(Table2[[#This Row],[Player No]],Table10[[No]:[Province]],3,0),"")</f>
        <v>JTTA</v>
      </c>
      <c r="G619" s="892">
        <v>0.625</v>
      </c>
      <c r="H619" s="886">
        <f>(Table2[[#This Row],[Points 2025]]/2)+SUM(Table2[[#This Row],[O1  ADMIN 2026]:[P2    CAPE TOWN OPEN 2026 ]])</f>
        <v>0.3125</v>
      </c>
      <c r="I619" s="880">
        <f t="shared" si="59"/>
        <v>0</v>
      </c>
      <c r="J619" s="882">
        <f t="shared" si="61"/>
        <v>0</v>
      </c>
      <c r="K619" s="887" t="s">
        <v>6083</v>
      </c>
      <c r="L619" s="887" t="s">
        <v>6083</v>
      </c>
      <c r="M619" s="887" t="s">
        <v>6083</v>
      </c>
      <c r="N619" s="887"/>
      <c r="O619" s="882"/>
      <c r="P619" s="882"/>
      <c r="Q619" s="888"/>
      <c r="R619" s="888"/>
      <c r="S619" s="882"/>
      <c r="T619" s="888"/>
      <c r="U619" s="882"/>
      <c r="V619" s="887"/>
      <c r="W619" s="888"/>
      <c r="X619" s="882"/>
      <c r="Y619" s="888"/>
      <c r="Z619" s="882"/>
      <c r="AA619" s="882"/>
      <c r="AB619" s="882"/>
      <c r="AC619" s="882"/>
      <c r="AD619" s="882"/>
      <c r="AE619" s="882"/>
      <c r="AF619" s="882"/>
      <c r="AG619" s="882"/>
      <c r="AH619" s="882"/>
      <c r="AI619" s="882"/>
      <c r="AJ619" s="882"/>
      <c r="AK619" s="882">
        <v>1</v>
      </c>
      <c r="AL619" s="889"/>
    </row>
    <row r="620" spans="1:38" s="890" customFormat="1">
      <c r="A620" s="882">
        <v>377</v>
      </c>
      <c r="B620" s="891">
        <f t="shared" si="62"/>
        <v>-239</v>
      </c>
      <c r="C620" s="882">
        <f t="shared" si="60"/>
        <v>616</v>
      </c>
      <c r="D620" s="883">
        <v>3296</v>
      </c>
      <c r="E620" s="884" t="str">
        <f>IFERROR(VLOOKUP(Table2[[#This Row],[Player No]],Table10[[No]:[Province]],2,0),"")</f>
        <v>MAGOTLA Phomolo</v>
      </c>
      <c r="F620" s="885" t="str">
        <f>IFERROR(VLOOKUP(Table2[[#This Row],[Player No]],Table10[[No]:[Province]],3,0),"")</f>
        <v>GN</v>
      </c>
      <c r="G620" s="892">
        <v>0.625</v>
      </c>
      <c r="H620" s="886">
        <f>(Table2[[#This Row],[Points 2025]]/2)+SUM(Table2[[#This Row],[O1  ADMIN 2026]:[P2    CAPE TOWN OPEN 2026 ]])</f>
        <v>0.3125</v>
      </c>
      <c r="I620" s="880">
        <f t="shared" si="59"/>
        <v>0</v>
      </c>
      <c r="J620" s="882">
        <f t="shared" si="61"/>
        <v>0</v>
      </c>
      <c r="K620" s="887" t="s">
        <v>6083</v>
      </c>
      <c r="L620" s="887" t="s">
        <v>6083</v>
      </c>
      <c r="M620" s="887" t="s">
        <v>6083</v>
      </c>
      <c r="N620" s="887"/>
      <c r="O620" s="882"/>
      <c r="P620" s="882"/>
      <c r="Q620" s="888"/>
      <c r="R620" s="888"/>
      <c r="S620" s="882"/>
      <c r="T620" s="888"/>
      <c r="U620" s="882"/>
      <c r="V620" s="887"/>
      <c r="W620" s="888"/>
      <c r="X620" s="882"/>
      <c r="Y620" s="888"/>
      <c r="Z620" s="882"/>
      <c r="AA620" s="882"/>
      <c r="AB620" s="882"/>
      <c r="AC620" s="882"/>
      <c r="AD620" s="882"/>
      <c r="AE620" s="882"/>
      <c r="AF620" s="882"/>
      <c r="AG620" s="882"/>
      <c r="AH620" s="882"/>
      <c r="AI620" s="882"/>
      <c r="AJ620" s="882"/>
      <c r="AK620" s="882"/>
      <c r="AL620" s="889"/>
    </row>
    <row r="621" spans="1:38" s="890" customFormat="1">
      <c r="A621" s="882">
        <v>378</v>
      </c>
      <c r="B621" s="891">
        <f t="shared" si="62"/>
        <v>-239</v>
      </c>
      <c r="C621" s="882">
        <f t="shared" si="60"/>
        <v>617</v>
      </c>
      <c r="D621" s="883">
        <v>3300</v>
      </c>
      <c r="E621" s="884" t="str">
        <f>IFERROR(VLOOKUP(Table2[[#This Row],[Player No]],Table10[[No]:[Province]],2,0),"")</f>
        <v>JOUBERT Jozua</v>
      </c>
      <c r="F621" s="885" t="str">
        <f>IFERROR(VLOOKUP(Table2[[#This Row],[Player No]],Table10[[No]:[Province]],3,0),"")</f>
        <v>JTTA</v>
      </c>
      <c r="G621" s="892">
        <v>0.625</v>
      </c>
      <c r="H621" s="886">
        <f>(Table2[[#This Row],[Points 2025]]/2)+SUM(Table2[[#This Row],[O1  ADMIN 2026]:[P2    CAPE TOWN OPEN 2026 ]])</f>
        <v>0.3125</v>
      </c>
      <c r="I621" s="880">
        <f t="shared" si="59"/>
        <v>0</v>
      </c>
      <c r="J621" s="882">
        <f t="shared" si="61"/>
        <v>0</v>
      </c>
      <c r="K621" s="887" t="s">
        <v>6083</v>
      </c>
      <c r="L621" s="887" t="s">
        <v>6083</v>
      </c>
      <c r="M621" s="887" t="s">
        <v>6083</v>
      </c>
      <c r="N621" s="887"/>
      <c r="O621" s="882"/>
      <c r="P621" s="882"/>
      <c r="Q621" s="888"/>
      <c r="R621" s="888"/>
      <c r="S621" s="882"/>
      <c r="T621" s="888"/>
      <c r="U621" s="882"/>
      <c r="V621" s="887"/>
      <c r="W621" s="888"/>
      <c r="X621" s="882"/>
      <c r="Y621" s="888"/>
      <c r="Z621" s="882"/>
      <c r="AA621" s="882"/>
      <c r="AB621" s="882"/>
      <c r="AC621" s="882"/>
      <c r="AD621" s="882"/>
      <c r="AE621" s="882"/>
      <c r="AF621" s="882"/>
      <c r="AG621" s="882"/>
      <c r="AH621" s="882"/>
      <c r="AI621" s="882"/>
      <c r="AJ621" s="882"/>
      <c r="AK621" s="882"/>
      <c r="AL621" s="889"/>
    </row>
    <row r="622" spans="1:38" s="890" customFormat="1">
      <c r="A622" s="882">
        <v>564</v>
      </c>
      <c r="B622" s="891">
        <f t="shared" si="62"/>
        <v>-54</v>
      </c>
      <c r="C622" s="882">
        <f t="shared" si="60"/>
        <v>618</v>
      </c>
      <c r="D622" s="883">
        <v>3354</v>
      </c>
      <c r="E622" s="884" t="str">
        <f>IFERROR(VLOOKUP(Table2[[#This Row],[Player No]],Table10[[No]:[Province]],2,0),"")</f>
        <v>ISMAIL Rashid</v>
      </c>
      <c r="F622" s="885" t="str">
        <f>IFERROR(VLOOKUP(Table2[[#This Row],[Player No]],Table10[[No]:[Province]],3,0),"")</f>
        <v>CT</v>
      </c>
      <c r="G622" s="892">
        <v>0.625</v>
      </c>
      <c r="H622" s="886">
        <f>(Table2[[#This Row],[Points 2025]]/2)+SUM(Table2[[#This Row],[O1  ADMIN 2026]:[P2    CAPE TOWN OPEN 2026 ]])</f>
        <v>0.3125</v>
      </c>
      <c r="I622" s="880">
        <f t="shared" si="59"/>
        <v>0</v>
      </c>
      <c r="J622" s="882">
        <f t="shared" si="61"/>
        <v>0</v>
      </c>
      <c r="K622" s="887" t="s">
        <v>6083</v>
      </c>
      <c r="L622" s="887" t="s">
        <v>6083</v>
      </c>
      <c r="M622" s="887" t="s">
        <v>6083</v>
      </c>
      <c r="N622" s="887"/>
      <c r="O622" s="882"/>
      <c r="P622" s="882"/>
      <c r="Q622" s="888"/>
      <c r="R622" s="888"/>
      <c r="S622" s="882"/>
      <c r="T622" s="888"/>
      <c r="U622" s="882"/>
      <c r="V622" s="887"/>
      <c r="W622" s="888"/>
      <c r="X622" s="882"/>
      <c r="Y622" s="888"/>
      <c r="Z622" s="882"/>
      <c r="AA622" s="882"/>
      <c r="AB622" s="882"/>
      <c r="AC622" s="882"/>
      <c r="AD622" s="882"/>
      <c r="AE622" s="882">
        <v>1</v>
      </c>
      <c r="AF622" s="882"/>
      <c r="AG622" s="882"/>
      <c r="AH622" s="882"/>
      <c r="AI622" s="882"/>
      <c r="AJ622" s="882"/>
      <c r="AK622" s="882"/>
      <c r="AL622" s="889"/>
    </row>
    <row r="623" spans="1:38" s="890" customFormat="1">
      <c r="A623" s="882">
        <v>381</v>
      </c>
      <c r="B623" s="891">
        <f t="shared" si="62"/>
        <v>-238</v>
      </c>
      <c r="C623" s="882">
        <f t="shared" si="60"/>
        <v>619</v>
      </c>
      <c r="D623" s="883">
        <v>2500</v>
      </c>
      <c r="E623" s="884" t="str">
        <f>IFERROR(VLOOKUP(Table2[[#This Row],[Player No]],Table10[[No]:[Province]],2,0),"")</f>
        <v>PILLAY Wesley</v>
      </c>
      <c r="F623" s="885" t="str">
        <f>IFERROR(VLOOKUP(Table2[[#This Row],[Player No]],Table10[[No]:[Province]],3,0),"")</f>
        <v>CT</v>
      </c>
      <c r="G623" s="892">
        <v>0.59375</v>
      </c>
      <c r="H623" s="886">
        <f>(Table2[[#This Row],[Points 2025]]/2)+SUM(Table2[[#This Row],[O1  ADMIN 2026]:[P2    CAPE TOWN OPEN 2026 ]])</f>
        <v>0.296875</v>
      </c>
      <c r="I623" s="880">
        <f t="shared" si="59"/>
        <v>0</v>
      </c>
      <c r="J623" s="882">
        <f t="shared" si="61"/>
        <v>0</v>
      </c>
      <c r="K623" s="887" t="s">
        <v>6083</v>
      </c>
      <c r="L623" s="887" t="s">
        <v>6083</v>
      </c>
      <c r="M623" s="887" t="s">
        <v>6083</v>
      </c>
      <c r="N623" s="887"/>
      <c r="O623" s="882"/>
      <c r="P623" s="882"/>
      <c r="Q623" s="888"/>
      <c r="R623" s="888"/>
      <c r="S623" s="882"/>
      <c r="T623" s="888"/>
      <c r="U623" s="882"/>
      <c r="V623" s="887"/>
      <c r="W623" s="888"/>
      <c r="X623" s="882"/>
      <c r="Y623" s="888"/>
      <c r="Z623" s="882"/>
      <c r="AA623" s="882"/>
      <c r="AB623" s="882"/>
      <c r="AC623" s="882"/>
      <c r="AD623" s="882"/>
      <c r="AE623" s="882"/>
      <c r="AF623" s="882"/>
      <c r="AG623" s="882"/>
      <c r="AH623" s="882"/>
      <c r="AI623" s="882"/>
      <c r="AJ623" s="882"/>
      <c r="AK623" s="882"/>
      <c r="AL623" s="889"/>
    </row>
    <row r="624" spans="1:38" s="890" customFormat="1">
      <c r="A624" s="882">
        <v>384</v>
      </c>
      <c r="B624" s="891">
        <f t="shared" si="62"/>
        <v>-236</v>
      </c>
      <c r="C624" s="882">
        <f t="shared" si="60"/>
        <v>620</v>
      </c>
      <c r="D624" s="883">
        <v>2897</v>
      </c>
      <c r="E624" s="884" t="str">
        <f>IFERROR(VLOOKUP(Table2[[#This Row],[Player No]],Table10[[No]:[Province]],2,0),"")</f>
        <v>FIDOS Amadeus</v>
      </c>
      <c r="F624" s="885" t="str">
        <f>IFERROR(VLOOKUP(Table2[[#This Row],[Player No]],Table10[[No]:[Province]],3,0),"")</f>
        <v>GN</v>
      </c>
      <c r="G624" s="892">
        <v>0.53125</v>
      </c>
      <c r="H624" s="886">
        <f>(Table2[[#This Row],[Points 2025]]/2)+SUM(Table2[[#This Row],[O1  ADMIN 2026]:[P2    CAPE TOWN OPEN 2026 ]])</f>
        <v>0.265625</v>
      </c>
      <c r="I624" s="880">
        <f t="shared" si="59"/>
        <v>0</v>
      </c>
      <c r="J624" s="882">
        <f t="shared" si="61"/>
        <v>0</v>
      </c>
      <c r="K624" s="887" t="s">
        <v>6083</v>
      </c>
      <c r="L624" s="887" t="s">
        <v>6083</v>
      </c>
      <c r="M624" s="887" t="s">
        <v>6083</v>
      </c>
      <c r="N624" s="887"/>
      <c r="O624" s="882"/>
      <c r="P624" s="882"/>
      <c r="Q624" s="888"/>
      <c r="R624" s="888"/>
      <c r="S624" s="882"/>
      <c r="T624" s="888"/>
      <c r="U624" s="882"/>
      <c r="V624" s="887"/>
      <c r="W624" s="888"/>
      <c r="X624" s="882"/>
      <c r="Y624" s="888"/>
      <c r="Z624" s="882"/>
      <c r="AA624" s="882"/>
      <c r="AB624" s="882"/>
      <c r="AC624" s="882"/>
      <c r="AD624" s="882"/>
      <c r="AE624" s="882"/>
      <c r="AF624" s="882"/>
      <c r="AG624" s="882"/>
      <c r="AH624" s="882"/>
      <c r="AI624" s="882"/>
      <c r="AJ624" s="882"/>
      <c r="AK624" s="882"/>
      <c r="AL624" s="889"/>
    </row>
    <row r="625" spans="1:38" s="890" customFormat="1">
      <c r="A625" s="882">
        <v>385</v>
      </c>
      <c r="B625" s="891">
        <f t="shared" si="62"/>
        <v>-236</v>
      </c>
      <c r="C625" s="882">
        <f t="shared" si="60"/>
        <v>621</v>
      </c>
      <c r="D625" s="883">
        <v>1689</v>
      </c>
      <c r="E625" s="884" t="str">
        <f>IFERROR(VLOOKUP(Table2[[#This Row],[Player No]],Table10[[No]:[Province]],2,0),"")</f>
        <v xml:space="preserve">CUPIDO Rhiyaan </v>
      </c>
      <c r="F625" s="885" t="str">
        <f>IFERROR(VLOOKUP(Table2[[#This Row],[Player No]],Table10[[No]:[Province]],3,0),"")</f>
        <v>CT</v>
      </c>
      <c r="G625" s="892">
        <v>0.5234375</v>
      </c>
      <c r="H625" s="886">
        <f>(Table2[[#This Row],[Points 2025]]/2)+SUM(Table2[[#This Row],[O1  ADMIN 2026]:[P2    CAPE TOWN OPEN 2026 ]])</f>
        <v>0.26171875</v>
      </c>
      <c r="I625" s="880">
        <f t="shared" si="59"/>
        <v>0</v>
      </c>
      <c r="J625" s="882">
        <f t="shared" si="61"/>
        <v>0</v>
      </c>
      <c r="K625" s="887" t="s">
        <v>6083</v>
      </c>
      <c r="L625" s="887" t="s">
        <v>6083</v>
      </c>
      <c r="M625" s="887" t="s">
        <v>6083</v>
      </c>
      <c r="N625" s="887"/>
      <c r="O625" s="882"/>
      <c r="P625" s="882"/>
      <c r="Q625" s="888"/>
      <c r="R625" s="888"/>
      <c r="S625" s="882"/>
      <c r="T625" s="888"/>
      <c r="U625" s="882"/>
      <c r="V625" s="887"/>
      <c r="W625" s="888"/>
      <c r="X625" s="882"/>
      <c r="Y625" s="888"/>
      <c r="Z625" s="882"/>
      <c r="AA625" s="882"/>
      <c r="AB625" s="882"/>
      <c r="AC625" s="882"/>
      <c r="AD625" s="882"/>
      <c r="AE625" s="882"/>
      <c r="AF625" s="882"/>
      <c r="AG625" s="882"/>
      <c r="AH625" s="882"/>
      <c r="AI625" s="882"/>
      <c r="AJ625" s="882"/>
      <c r="AK625" s="882"/>
      <c r="AL625" s="889"/>
    </row>
    <row r="626" spans="1:38" s="890" customFormat="1">
      <c r="A626" s="882">
        <v>387</v>
      </c>
      <c r="B626" s="891">
        <f t="shared" si="62"/>
        <v>-235</v>
      </c>
      <c r="C626" s="882">
        <f t="shared" si="60"/>
        <v>622</v>
      </c>
      <c r="D626" s="883">
        <v>2301</v>
      </c>
      <c r="E626" s="884" t="str">
        <f>IFERROR(VLOOKUP(Table2[[#This Row],[Player No]],Table10[[No]:[Province]],2,0),"")</f>
        <v>URBAN Alex</v>
      </c>
      <c r="F626" s="885" t="str">
        <f>IFERROR(VLOOKUP(Table2[[#This Row],[Player No]],Table10[[No]:[Province]],3,0),"")</f>
        <v>CT</v>
      </c>
      <c r="G626" s="892">
        <v>0.515625</v>
      </c>
      <c r="H626" s="886">
        <f>(Table2[[#This Row],[Points 2025]]/2)+SUM(Table2[[#This Row],[O1  ADMIN 2026]:[P2    CAPE TOWN OPEN 2026 ]])</f>
        <v>0.2578125</v>
      </c>
      <c r="I626" s="880">
        <f t="shared" si="59"/>
        <v>0</v>
      </c>
      <c r="J626" s="882">
        <f t="shared" si="61"/>
        <v>0</v>
      </c>
      <c r="K626" s="887" t="s">
        <v>6083</v>
      </c>
      <c r="L626" s="887" t="s">
        <v>6083</v>
      </c>
      <c r="M626" s="887" t="s">
        <v>6083</v>
      </c>
      <c r="N626" s="887"/>
      <c r="O626" s="882"/>
      <c r="P626" s="882"/>
      <c r="Q626" s="888"/>
      <c r="R626" s="888"/>
      <c r="S626" s="882"/>
      <c r="T626" s="888"/>
      <c r="U626" s="882"/>
      <c r="V626" s="887"/>
      <c r="W626" s="888"/>
      <c r="X626" s="882"/>
      <c r="Y626" s="888"/>
      <c r="Z626" s="882"/>
      <c r="AA626" s="882"/>
      <c r="AB626" s="882"/>
      <c r="AC626" s="882"/>
      <c r="AD626" s="882"/>
      <c r="AE626" s="882"/>
      <c r="AF626" s="882"/>
      <c r="AG626" s="882"/>
      <c r="AH626" s="882"/>
      <c r="AI626" s="882"/>
      <c r="AJ626" s="882"/>
      <c r="AK626" s="882"/>
      <c r="AL626" s="889"/>
    </row>
    <row r="627" spans="1:38" s="890" customFormat="1">
      <c r="A627" s="882">
        <v>389</v>
      </c>
      <c r="B627" s="891">
        <f t="shared" si="62"/>
        <v>-234</v>
      </c>
      <c r="C627" s="882">
        <f t="shared" si="60"/>
        <v>623</v>
      </c>
      <c r="D627" s="883">
        <v>1083</v>
      </c>
      <c r="E627" s="884" t="str">
        <f>IFERROR(VLOOKUP(Table2[[#This Row],[Player No]],Table10[[No]:[Province]],2,0),"")</f>
        <v xml:space="preserve">JASSIEM Isgaaq </v>
      </c>
      <c r="F627" s="885" t="str">
        <f>IFERROR(VLOOKUP(Table2[[#This Row],[Player No]],Table10[[No]:[Province]],3,0),"")</f>
        <v>CT</v>
      </c>
      <c r="G627" s="892">
        <v>0.51171875</v>
      </c>
      <c r="H627" s="886">
        <f>(Table2[[#This Row],[Points 2025]]/2)+SUM(Table2[[#This Row],[O1  ADMIN 2026]:[P2    CAPE TOWN OPEN 2026 ]])</f>
        <v>0.255859375</v>
      </c>
      <c r="I627" s="880">
        <f t="shared" si="59"/>
        <v>0</v>
      </c>
      <c r="J627" s="882">
        <f t="shared" si="61"/>
        <v>0</v>
      </c>
      <c r="K627" s="887" t="s">
        <v>6083</v>
      </c>
      <c r="L627" s="887" t="s">
        <v>6083</v>
      </c>
      <c r="M627" s="887" t="s">
        <v>6083</v>
      </c>
      <c r="N627" s="887"/>
      <c r="O627" s="882"/>
      <c r="P627" s="882"/>
      <c r="Q627" s="888"/>
      <c r="R627" s="888"/>
      <c r="S627" s="882"/>
      <c r="T627" s="888"/>
      <c r="U627" s="882"/>
      <c r="V627" s="887"/>
      <c r="W627" s="888"/>
      <c r="X627" s="882"/>
      <c r="Y627" s="888"/>
      <c r="Z627" s="882"/>
      <c r="AA627" s="882"/>
      <c r="AB627" s="882"/>
      <c r="AC627" s="882"/>
      <c r="AD627" s="882"/>
      <c r="AE627" s="882"/>
      <c r="AF627" s="882"/>
      <c r="AG627" s="882"/>
      <c r="AH627" s="882"/>
      <c r="AI627" s="882"/>
      <c r="AJ627" s="882"/>
      <c r="AK627" s="882"/>
      <c r="AL627" s="889"/>
    </row>
    <row r="628" spans="1:38" s="890" customFormat="1">
      <c r="A628" s="882"/>
      <c r="B628" s="891"/>
      <c r="C628" s="882">
        <f t="shared" si="60"/>
        <v>624</v>
      </c>
      <c r="D628" s="883">
        <v>1103</v>
      </c>
      <c r="E628" s="884" t="str">
        <f>IFERROR(VLOOKUP(Table2[[#This Row],[Player No]],Table10[[No]:[Province]],2,0),"")</f>
        <v xml:space="preserve">MARTIN Kyle </v>
      </c>
      <c r="F628" s="885" t="str">
        <f>IFERROR(VLOOKUP(Table2[[#This Row],[Player No]],Table10[[No]:[Province]],3,0),"")</f>
        <v>CT</v>
      </c>
      <c r="G628" s="892">
        <v>0.5</v>
      </c>
      <c r="H628" s="886">
        <f>(Table2[[#This Row],[Points 2025]]/2)+SUM(Table2[[#This Row],[O1  ADMIN 2026]:[P2    CAPE TOWN OPEN 2026 ]])</f>
        <v>0.25</v>
      </c>
      <c r="I628" s="880">
        <f t="shared" si="59"/>
        <v>0</v>
      </c>
      <c r="J628" s="882">
        <f t="shared" si="61"/>
        <v>0</v>
      </c>
      <c r="K628" s="887" t="s">
        <v>6083</v>
      </c>
      <c r="L628" s="887" t="s">
        <v>6083</v>
      </c>
      <c r="M628" s="887" t="s">
        <v>6083</v>
      </c>
      <c r="N628" s="887"/>
      <c r="O628" s="882"/>
      <c r="P628" s="882"/>
      <c r="Q628" s="888"/>
      <c r="R628" s="888"/>
      <c r="S628" s="882"/>
      <c r="T628" s="888"/>
      <c r="U628" s="882"/>
      <c r="V628" s="887"/>
      <c r="W628" s="888"/>
      <c r="X628" s="882"/>
      <c r="Y628" s="888"/>
      <c r="Z628" s="882"/>
      <c r="AA628" s="882"/>
      <c r="AB628" s="882"/>
      <c r="AC628" s="882"/>
      <c r="AD628" s="882"/>
      <c r="AE628" s="882">
        <v>1</v>
      </c>
      <c r="AF628" s="882"/>
      <c r="AG628" s="882"/>
      <c r="AH628" s="882"/>
      <c r="AI628" s="882"/>
      <c r="AJ628" s="882"/>
      <c r="AK628" s="882"/>
      <c r="AL628" s="889"/>
    </row>
    <row r="629" spans="1:38" s="890" customFormat="1">
      <c r="A629" s="882"/>
      <c r="B629" s="891"/>
      <c r="C629" s="882">
        <f t="shared" si="60"/>
        <v>625</v>
      </c>
      <c r="D629" s="883">
        <v>1264</v>
      </c>
      <c r="E629" s="884" t="str">
        <f>IFERROR(VLOOKUP(Table2[[#This Row],[Player No]],Table10[[No]:[Province]],2,0),"")</f>
        <v xml:space="preserve">MERE Bonang </v>
      </c>
      <c r="F629" s="885" t="str">
        <f>IFERROR(VLOOKUP(Table2[[#This Row],[Player No]],Table10[[No]:[Province]],3,0),"")</f>
        <v>NC</v>
      </c>
      <c r="G629" s="892">
        <v>0.5</v>
      </c>
      <c r="H629" s="886">
        <f>(Table2[[#This Row],[Points 2025]]/2)+SUM(Table2[[#This Row],[O1  ADMIN 2026]:[P2    CAPE TOWN OPEN 2026 ]])</f>
        <v>0.25</v>
      </c>
      <c r="I629" s="880">
        <f t="shared" si="59"/>
        <v>0</v>
      </c>
      <c r="J629" s="882">
        <f t="shared" si="61"/>
        <v>0</v>
      </c>
      <c r="K629" s="887" t="s">
        <v>6083</v>
      </c>
      <c r="L629" s="887" t="s">
        <v>6083</v>
      </c>
      <c r="M629" s="887" t="s">
        <v>6083</v>
      </c>
      <c r="N629" s="887"/>
      <c r="O629" s="882"/>
      <c r="P629" s="882"/>
      <c r="Q629" s="888"/>
      <c r="R629" s="888"/>
      <c r="S629" s="882"/>
      <c r="T629" s="888"/>
      <c r="U629" s="882"/>
      <c r="V629" s="887"/>
      <c r="W629" s="888"/>
      <c r="X629" s="882"/>
      <c r="Y629" s="888"/>
      <c r="Z629" s="882"/>
      <c r="AA629" s="882"/>
      <c r="AB629" s="882"/>
      <c r="AC629" s="882"/>
      <c r="AD629" s="882"/>
      <c r="AE629" s="882">
        <v>1</v>
      </c>
      <c r="AF629" s="882"/>
      <c r="AG629" s="882"/>
      <c r="AH629" s="882"/>
      <c r="AI629" s="882"/>
      <c r="AJ629" s="882"/>
      <c r="AK629" s="882"/>
      <c r="AL629" s="889"/>
    </row>
    <row r="630" spans="1:38" s="890" customFormat="1">
      <c r="A630" s="882"/>
      <c r="B630" s="891"/>
      <c r="C630" s="882">
        <f t="shared" si="60"/>
        <v>626</v>
      </c>
      <c r="D630" s="883">
        <v>1285</v>
      </c>
      <c r="E630" s="884" t="str">
        <f>IFERROR(VLOOKUP(Table2[[#This Row],[Player No]],Table10[[No]:[Province]],2,0),"")</f>
        <v xml:space="preserve">BOOYSEN Chesray </v>
      </c>
      <c r="F630" s="885" t="str">
        <f>IFERROR(VLOOKUP(Table2[[#This Row],[Player No]],Table10[[No]:[Province]],3,0),"")</f>
        <v>CT</v>
      </c>
      <c r="G630" s="892">
        <v>0.5</v>
      </c>
      <c r="H630" s="886">
        <f>(Table2[[#This Row],[Points 2025]]/2)+SUM(Table2[[#This Row],[O1  ADMIN 2026]:[P2    CAPE TOWN OPEN 2026 ]])</f>
        <v>0.25</v>
      </c>
      <c r="I630" s="880">
        <f t="shared" si="59"/>
        <v>0</v>
      </c>
      <c r="J630" s="882">
        <f t="shared" si="61"/>
        <v>0</v>
      </c>
      <c r="K630" s="887" t="s">
        <v>6083</v>
      </c>
      <c r="L630" s="887" t="s">
        <v>6083</v>
      </c>
      <c r="M630" s="887" t="s">
        <v>6083</v>
      </c>
      <c r="N630" s="887"/>
      <c r="O630" s="882"/>
      <c r="P630" s="882"/>
      <c r="Q630" s="888"/>
      <c r="R630" s="888"/>
      <c r="S630" s="882"/>
      <c r="T630" s="888"/>
      <c r="U630" s="882"/>
      <c r="V630" s="887"/>
      <c r="W630" s="888"/>
      <c r="X630" s="882"/>
      <c r="Y630" s="888"/>
      <c r="Z630" s="882"/>
      <c r="AA630" s="882"/>
      <c r="AB630" s="882"/>
      <c r="AC630" s="882"/>
      <c r="AD630" s="882"/>
      <c r="AE630" s="882">
        <v>1</v>
      </c>
      <c r="AF630" s="882"/>
      <c r="AG630" s="882"/>
      <c r="AH630" s="882"/>
      <c r="AI630" s="882"/>
      <c r="AJ630" s="882"/>
      <c r="AK630" s="882"/>
      <c r="AL630" s="889"/>
    </row>
    <row r="631" spans="1:38" s="890" customFormat="1">
      <c r="A631" s="882"/>
      <c r="B631" s="891"/>
      <c r="C631" s="882">
        <f t="shared" si="60"/>
        <v>627</v>
      </c>
      <c r="D631" s="883">
        <v>1739</v>
      </c>
      <c r="E631" s="884" t="str">
        <f>IFERROR(VLOOKUP(Table2[[#This Row],[Player No]],Table10[[No]:[Province]],2,0),"")</f>
        <v xml:space="preserve">PALMER Latino </v>
      </c>
      <c r="F631" s="885" t="str">
        <f>IFERROR(VLOOKUP(Table2[[#This Row],[Player No]],Table10[[No]:[Province]],3,0),"")</f>
        <v>CT</v>
      </c>
      <c r="G631" s="892">
        <v>0.5</v>
      </c>
      <c r="H631" s="886">
        <f>(Table2[[#This Row],[Points 2025]]/2)+SUM(Table2[[#This Row],[O1  ADMIN 2026]:[P2    CAPE TOWN OPEN 2026 ]])</f>
        <v>0.25</v>
      </c>
      <c r="I631" s="880">
        <f t="shared" si="59"/>
        <v>0</v>
      </c>
      <c r="J631" s="882">
        <f t="shared" si="61"/>
        <v>0</v>
      </c>
      <c r="K631" s="887" t="s">
        <v>6083</v>
      </c>
      <c r="L631" s="887" t="s">
        <v>6083</v>
      </c>
      <c r="M631" s="887" t="s">
        <v>6083</v>
      </c>
      <c r="N631" s="887"/>
      <c r="O631" s="882"/>
      <c r="P631" s="882"/>
      <c r="Q631" s="888"/>
      <c r="R631" s="888"/>
      <c r="S631" s="882"/>
      <c r="T631" s="888"/>
      <c r="U631" s="882"/>
      <c r="V631" s="887"/>
      <c r="W631" s="888"/>
      <c r="X631" s="882"/>
      <c r="Y631" s="888"/>
      <c r="Z631" s="882"/>
      <c r="AA631" s="882"/>
      <c r="AB631" s="882"/>
      <c r="AC631" s="882"/>
      <c r="AD631" s="882"/>
      <c r="AE631" s="882">
        <v>1</v>
      </c>
      <c r="AF631" s="882"/>
      <c r="AG631" s="882"/>
      <c r="AH631" s="882"/>
      <c r="AI631" s="882"/>
      <c r="AJ631" s="882"/>
      <c r="AK631" s="882"/>
      <c r="AL631" s="889"/>
    </row>
    <row r="632" spans="1:38" s="890" customFormat="1">
      <c r="A632" s="882"/>
      <c r="B632" s="891"/>
      <c r="C632" s="882">
        <f t="shared" si="60"/>
        <v>628</v>
      </c>
      <c r="D632" s="883">
        <v>1759</v>
      </c>
      <c r="E632" s="884" t="str">
        <f>IFERROR(VLOOKUP(Table2[[#This Row],[Player No]],Table10[[No]:[Province]],2,0),"")</f>
        <v>LEKORWE Reneilwe</v>
      </c>
      <c r="F632" s="885" t="str">
        <f>IFERROR(VLOOKUP(Table2[[#This Row],[Player No]],Table10[[No]:[Province]],3,0),"")</f>
        <v>BOT</v>
      </c>
      <c r="G632" s="892">
        <v>0.5</v>
      </c>
      <c r="H632" s="886">
        <f>(Table2[[#This Row],[Points 2025]]/2)+SUM(Table2[[#This Row],[O1  ADMIN 2026]:[P2    CAPE TOWN OPEN 2026 ]])</f>
        <v>0.25</v>
      </c>
      <c r="I632" s="880">
        <f t="shared" si="59"/>
        <v>0</v>
      </c>
      <c r="J632" s="882">
        <f t="shared" si="61"/>
        <v>0</v>
      </c>
      <c r="K632" s="887" t="s">
        <v>6083</v>
      </c>
      <c r="L632" s="887" t="s">
        <v>6083</v>
      </c>
      <c r="M632" s="887" t="s">
        <v>6083</v>
      </c>
      <c r="N632" s="887"/>
      <c r="O632" s="882"/>
      <c r="P632" s="882"/>
      <c r="Q632" s="888"/>
      <c r="R632" s="888"/>
      <c r="S632" s="882"/>
      <c r="T632" s="888"/>
      <c r="U632" s="882"/>
      <c r="V632" s="887"/>
      <c r="W632" s="888"/>
      <c r="X632" s="882">
        <v>0.5</v>
      </c>
      <c r="Y632" s="888"/>
      <c r="Z632" s="882"/>
      <c r="AA632" s="882"/>
      <c r="AB632" s="882"/>
      <c r="AC632" s="882"/>
      <c r="AD632" s="882"/>
      <c r="AE632" s="882"/>
      <c r="AF632" s="882"/>
      <c r="AG632" s="882"/>
      <c r="AH632" s="882"/>
      <c r="AI632" s="882"/>
      <c r="AJ632" s="882"/>
      <c r="AK632" s="882"/>
      <c r="AL632" s="889"/>
    </row>
    <row r="633" spans="1:38" s="890" customFormat="1">
      <c r="A633" s="882">
        <v>416</v>
      </c>
      <c r="B633" s="891">
        <f>+A633-C633</f>
        <v>-213</v>
      </c>
      <c r="C633" s="882">
        <f t="shared" si="60"/>
        <v>629</v>
      </c>
      <c r="D633" s="883">
        <v>2166</v>
      </c>
      <c r="E633" s="884" t="str">
        <f>IFERROR(VLOOKUP(Table2[[#This Row],[Player No]],Table10[[No]:[Province]],2,0),"")</f>
        <v>Siyo Lelethu</v>
      </c>
      <c r="F633" s="885" t="str">
        <f>IFERROR(VLOOKUP(Table2[[#This Row],[Player No]],Table10[[No]:[Province]],3,0),"")</f>
        <v>EC</v>
      </c>
      <c r="G633" s="892">
        <v>0.5</v>
      </c>
      <c r="H633" s="886">
        <f>(Table2[[#This Row],[Points 2025]]/2)+SUM(Table2[[#This Row],[O1  ADMIN 2026]:[P2    CAPE TOWN OPEN 2026 ]])</f>
        <v>0.25</v>
      </c>
      <c r="I633" s="880">
        <f t="shared" si="59"/>
        <v>0</v>
      </c>
      <c r="J633" s="882">
        <f t="shared" si="61"/>
        <v>0</v>
      </c>
      <c r="K633" s="887" t="s">
        <v>6083</v>
      </c>
      <c r="L633" s="887" t="s">
        <v>6083</v>
      </c>
      <c r="M633" s="887" t="s">
        <v>6083</v>
      </c>
      <c r="N633" s="887"/>
      <c r="O633" s="882"/>
      <c r="P633" s="882"/>
      <c r="Q633" s="888"/>
      <c r="R633" s="888"/>
      <c r="S633" s="882"/>
      <c r="T633" s="888"/>
      <c r="U633" s="882"/>
      <c r="V633" s="887"/>
      <c r="W633" s="888"/>
      <c r="X633" s="882"/>
      <c r="Y633" s="888"/>
      <c r="Z633" s="882"/>
      <c r="AA633" s="882"/>
      <c r="AB633" s="882"/>
      <c r="AC633" s="882"/>
      <c r="AD633" s="882"/>
      <c r="AE633" s="882"/>
      <c r="AF633" s="882"/>
      <c r="AG633" s="882"/>
      <c r="AH633" s="882"/>
      <c r="AI633" s="882"/>
      <c r="AJ633" s="882">
        <v>1</v>
      </c>
      <c r="AK633" s="882"/>
      <c r="AL633" s="889"/>
    </row>
    <row r="634" spans="1:38" s="890" customFormat="1">
      <c r="A634" s="882">
        <v>407</v>
      </c>
      <c r="B634" s="891">
        <f>+A634-C634</f>
        <v>-223</v>
      </c>
      <c r="C634" s="882">
        <f t="shared" si="60"/>
        <v>630</v>
      </c>
      <c r="D634" s="883">
        <v>2229</v>
      </c>
      <c r="E634" s="884" t="str">
        <f>IFERROR(VLOOKUP(Table2[[#This Row],[Player No]],Table10[[No]:[Province]],2,0),"")</f>
        <v>MEYER Mickyle</v>
      </c>
      <c r="F634" s="885" t="str">
        <f>IFERROR(VLOOKUP(Table2[[#This Row],[Player No]],Table10[[No]:[Province]],3,0),"")</f>
        <v>CT</v>
      </c>
      <c r="G634" s="892">
        <v>0.5</v>
      </c>
      <c r="H634" s="886">
        <f>(Table2[[#This Row],[Points 2025]]/2)+SUM(Table2[[#This Row],[O1  ADMIN 2026]:[P2    CAPE TOWN OPEN 2026 ]])</f>
        <v>0.25</v>
      </c>
      <c r="I634" s="880">
        <f t="shared" si="59"/>
        <v>0</v>
      </c>
      <c r="J634" s="882">
        <f t="shared" si="61"/>
        <v>0</v>
      </c>
      <c r="K634" s="887" t="s">
        <v>6083</v>
      </c>
      <c r="L634" s="887" t="s">
        <v>6083</v>
      </c>
      <c r="M634" s="887" t="s">
        <v>6083</v>
      </c>
      <c r="N634" s="887"/>
      <c r="O634" s="882"/>
      <c r="P634" s="882"/>
      <c r="Q634" s="888"/>
      <c r="R634" s="888"/>
      <c r="S634" s="882"/>
      <c r="T634" s="888"/>
      <c r="U634" s="882"/>
      <c r="V634" s="887"/>
      <c r="W634" s="888"/>
      <c r="X634" s="882"/>
      <c r="Y634" s="888"/>
      <c r="Z634" s="882"/>
      <c r="AA634" s="882"/>
      <c r="AB634" s="882"/>
      <c r="AC634" s="882"/>
      <c r="AD634" s="882"/>
      <c r="AE634" s="882"/>
      <c r="AF634" s="882"/>
      <c r="AG634" s="882"/>
      <c r="AH634" s="882"/>
      <c r="AI634" s="882"/>
      <c r="AJ634" s="882"/>
      <c r="AK634" s="882"/>
      <c r="AL634" s="889"/>
    </row>
    <row r="635" spans="1:38" s="890" customFormat="1">
      <c r="A635" s="882"/>
      <c r="B635" s="891"/>
      <c r="C635" s="882">
        <f t="shared" si="60"/>
        <v>631</v>
      </c>
      <c r="D635" s="883">
        <v>2518</v>
      </c>
      <c r="E635" s="884" t="str">
        <f>IFERROR(VLOOKUP(Table2[[#This Row],[Player No]],Table10[[No]:[Province]],2,0),"")</f>
        <v>VOLKWYN Quinton</v>
      </c>
      <c r="F635" s="885" t="str">
        <f>IFERROR(VLOOKUP(Table2[[#This Row],[Player No]],Table10[[No]:[Province]],3,0),"")</f>
        <v>JTTA</v>
      </c>
      <c r="G635" s="892">
        <v>0.5</v>
      </c>
      <c r="H635" s="886">
        <f>(Table2[[#This Row],[Points 2025]]/2)+SUM(Table2[[#This Row],[O1  ADMIN 2026]:[P2    CAPE TOWN OPEN 2026 ]])</f>
        <v>0.25</v>
      </c>
      <c r="I635" s="880">
        <f t="shared" si="59"/>
        <v>0</v>
      </c>
      <c r="J635" s="882">
        <f t="shared" si="61"/>
        <v>0</v>
      </c>
      <c r="K635" s="887" t="s">
        <v>6083</v>
      </c>
      <c r="L635" s="887" t="s">
        <v>6083</v>
      </c>
      <c r="M635" s="887" t="s">
        <v>6083</v>
      </c>
      <c r="N635" s="887"/>
      <c r="O635" s="882"/>
      <c r="P635" s="882"/>
      <c r="Q635" s="888"/>
      <c r="R635" s="888"/>
      <c r="S635" s="882"/>
      <c r="T635" s="888"/>
      <c r="U635" s="882"/>
      <c r="V635" s="887"/>
      <c r="W635" s="888"/>
      <c r="X635" s="882"/>
      <c r="Y635" s="888"/>
      <c r="Z635" s="882"/>
      <c r="AA635" s="882"/>
      <c r="AB635" s="882"/>
      <c r="AC635" s="882"/>
      <c r="AD635" s="882"/>
      <c r="AE635" s="882"/>
      <c r="AF635" s="882"/>
      <c r="AG635" s="882"/>
      <c r="AH635" s="882">
        <v>1</v>
      </c>
      <c r="AI635" s="882"/>
      <c r="AJ635" s="882"/>
      <c r="AK635" s="882"/>
      <c r="AL635" s="889"/>
    </row>
    <row r="636" spans="1:38" s="890" customFormat="1">
      <c r="A636" s="882">
        <v>424</v>
      </c>
      <c r="B636" s="891">
        <f t="shared" ref="B636:B673" si="63">+A636-C636</f>
        <v>-208</v>
      </c>
      <c r="C636" s="882">
        <f t="shared" si="60"/>
        <v>632</v>
      </c>
      <c r="D636" s="883">
        <v>2694</v>
      </c>
      <c r="E636" s="884" t="str">
        <f>IFERROR(VLOOKUP(Table2[[#This Row],[Player No]],Table10[[No]:[Province]],2,0),"")</f>
        <v>MARSHALL Daniel</v>
      </c>
      <c r="F636" s="885" t="str">
        <f>IFERROR(VLOOKUP(Table2[[#This Row],[Player No]],Table10[[No]:[Province]],3,0),"")</f>
        <v>JTTA</v>
      </c>
      <c r="G636" s="892">
        <v>0.5</v>
      </c>
      <c r="H636" s="886">
        <f>(Table2[[#This Row],[Points 2025]]/2)+SUM(Table2[[#This Row],[O1  ADMIN 2026]:[P2    CAPE TOWN OPEN 2026 ]])</f>
        <v>0.25</v>
      </c>
      <c r="I636" s="880">
        <f t="shared" si="59"/>
        <v>0</v>
      </c>
      <c r="J636" s="882">
        <f t="shared" si="61"/>
        <v>0</v>
      </c>
      <c r="K636" s="887" t="s">
        <v>6083</v>
      </c>
      <c r="L636" s="887" t="s">
        <v>6083</v>
      </c>
      <c r="M636" s="887" t="s">
        <v>6083</v>
      </c>
      <c r="N636" s="887"/>
      <c r="O636" s="882"/>
      <c r="P636" s="882"/>
      <c r="Q636" s="888"/>
      <c r="R636" s="888"/>
      <c r="S636" s="882"/>
      <c r="T636" s="888"/>
      <c r="U636" s="882"/>
      <c r="V636" s="887"/>
      <c r="W636" s="888"/>
      <c r="X636" s="882"/>
      <c r="Y636" s="888"/>
      <c r="Z636" s="882"/>
      <c r="AA636" s="882"/>
      <c r="AB636" s="882"/>
      <c r="AC636" s="882"/>
      <c r="AD636" s="882"/>
      <c r="AE636" s="882"/>
      <c r="AF636" s="882"/>
      <c r="AG636" s="882"/>
      <c r="AH636" s="882"/>
      <c r="AI636" s="882"/>
      <c r="AJ636" s="882"/>
      <c r="AK636" s="882">
        <v>1</v>
      </c>
      <c r="AL636" s="889"/>
    </row>
    <row r="637" spans="1:38" s="890" customFormat="1">
      <c r="A637" s="882">
        <v>402</v>
      </c>
      <c r="B637" s="891">
        <f t="shared" si="63"/>
        <v>-231</v>
      </c>
      <c r="C637" s="882">
        <f t="shared" si="60"/>
        <v>633</v>
      </c>
      <c r="D637" s="883">
        <v>3148</v>
      </c>
      <c r="E637" s="884" t="str">
        <f>IFERROR(VLOOKUP(Table2[[#This Row],[Player No]],Table10[[No]:[Province]],2,0),"")</f>
        <v>PHAKEDI Omolemo</v>
      </c>
      <c r="F637" s="885" t="str">
        <f>IFERROR(VLOOKUP(Table2[[#This Row],[Player No]],Table10[[No]:[Province]],3,0),"")</f>
        <v>NWP</v>
      </c>
      <c r="G637" s="892">
        <v>0.5</v>
      </c>
      <c r="H637" s="886">
        <f>(Table2[[#This Row],[Points 2025]]/2)+SUM(Table2[[#This Row],[O1  ADMIN 2026]:[P2    CAPE TOWN OPEN 2026 ]])</f>
        <v>0.25</v>
      </c>
      <c r="I637" s="880">
        <f t="shared" si="59"/>
        <v>0</v>
      </c>
      <c r="J637" s="882">
        <f t="shared" si="61"/>
        <v>0</v>
      </c>
      <c r="K637" s="887" t="s">
        <v>6083</v>
      </c>
      <c r="L637" s="887" t="s">
        <v>6083</v>
      </c>
      <c r="M637" s="887" t="s">
        <v>6083</v>
      </c>
      <c r="N637" s="887"/>
      <c r="O637" s="882"/>
      <c r="P637" s="882"/>
      <c r="Q637" s="888"/>
      <c r="R637" s="888"/>
      <c r="S637" s="882"/>
      <c r="T637" s="888"/>
      <c r="U637" s="882"/>
      <c r="V637" s="887"/>
      <c r="W637" s="888"/>
      <c r="X637" s="882"/>
      <c r="Y637" s="888"/>
      <c r="Z637" s="882"/>
      <c r="AA637" s="882"/>
      <c r="AB637" s="882"/>
      <c r="AC637" s="882"/>
      <c r="AD637" s="882"/>
      <c r="AE637" s="882"/>
      <c r="AF637" s="882"/>
      <c r="AG637" s="882"/>
      <c r="AH637" s="882"/>
      <c r="AI637" s="882"/>
      <c r="AJ637" s="882"/>
      <c r="AK637" s="882"/>
      <c r="AL637" s="889"/>
    </row>
    <row r="638" spans="1:38" s="890" customFormat="1">
      <c r="A638" s="882">
        <v>406</v>
      </c>
      <c r="B638" s="891">
        <f t="shared" si="63"/>
        <v>-228</v>
      </c>
      <c r="C638" s="882">
        <f t="shared" si="60"/>
        <v>634</v>
      </c>
      <c r="D638" s="883">
        <v>3320</v>
      </c>
      <c r="E638" s="884" t="str">
        <f>IFERROR(VLOOKUP(Table2[[#This Row],[Player No]],Table10[[No]:[Province]],2,0),"")</f>
        <v>MATTHYSSEN Huzzayr</v>
      </c>
      <c r="F638" s="885" t="str">
        <f>IFERROR(VLOOKUP(Table2[[#This Row],[Player No]],Table10[[No]:[Province]],3,0),"")</f>
        <v>CT</v>
      </c>
      <c r="G638" s="892">
        <v>0.5</v>
      </c>
      <c r="H638" s="886">
        <f>(Table2[[#This Row],[Points 2025]]/2)+SUM(Table2[[#This Row],[O1  ADMIN 2026]:[P2    CAPE TOWN OPEN 2026 ]])</f>
        <v>0.25</v>
      </c>
      <c r="I638" s="880">
        <f t="shared" si="59"/>
        <v>0</v>
      </c>
      <c r="J638" s="882">
        <f t="shared" si="61"/>
        <v>0</v>
      </c>
      <c r="K638" s="887" t="s">
        <v>6083</v>
      </c>
      <c r="L638" s="887" t="s">
        <v>6083</v>
      </c>
      <c r="M638" s="887" t="s">
        <v>6083</v>
      </c>
      <c r="N638" s="887"/>
      <c r="O638" s="882"/>
      <c r="P638" s="882"/>
      <c r="Q638" s="888"/>
      <c r="R638" s="888"/>
      <c r="S638" s="882"/>
      <c r="T638" s="888"/>
      <c r="U638" s="882"/>
      <c r="V638" s="887"/>
      <c r="W638" s="888"/>
      <c r="X638" s="882"/>
      <c r="Y638" s="888"/>
      <c r="Z638" s="882"/>
      <c r="AA638" s="882"/>
      <c r="AB638" s="882"/>
      <c r="AC638" s="882"/>
      <c r="AD638" s="882"/>
      <c r="AE638" s="882"/>
      <c r="AF638" s="882"/>
      <c r="AG638" s="882"/>
      <c r="AH638" s="882"/>
      <c r="AI638" s="882"/>
      <c r="AJ638" s="882"/>
      <c r="AK638" s="882"/>
      <c r="AL638" s="889"/>
    </row>
    <row r="639" spans="1:38" s="890" customFormat="1">
      <c r="A639" s="882">
        <v>396</v>
      </c>
      <c r="B639" s="891">
        <f t="shared" si="63"/>
        <v>-239</v>
      </c>
      <c r="C639" s="882">
        <f t="shared" si="60"/>
        <v>635</v>
      </c>
      <c r="D639" s="883">
        <v>3374</v>
      </c>
      <c r="E639" s="884" t="str">
        <f>IFERROR(VLOOKUP(Table2[[#This Row],[Player No]],Table10[[No]:[Province]],2,0),"")</f>
        <v>ISAACS Ismaeel</v>
      </c>
      <c r="F639" s="885" t="str">
        <f>IFERROR(VLOOKUP(Table2[[#This Row],[Player No]],Table10[[No]:[Province]],3,0),"")</f>
        <v>CT</v>
      </c>
      <c r="G639" s="892">
        <v>0.5</v>
      </c>
      <c r="H639" s="886">
        <f>(Table2[[#This Row],[Points 2025]]/2)+SUM(Table2[[#This Row],[O1  ADMIN 2026]:[P2    CAPE TOWN OPEN 2026 ]])</f>
        <v>0.25</v>
      </c>
      <c r="I639" s="880">
        <f t="shared" si="59"/>
        <v>0</v>
      </c>
      <c r="J639" s="882">
        <f t="shared" si="61"/>
        <v>0</v>
      </c>
      <c r="K639" s="887" t="s">
        <v>6083</v>
      </c>
      <c r="L639" s="887" t="s">
        <v>6083</v>
      </c>
      <c r="M639" s="887" t="s">
        <v>6083</v>
      </c>
      <c r="N639" s="887"/>
      <c r="O639" s="882"/>
      <c r="P639" s="882"/>
      <c r="Q639" s="888"/>
      <c r="R639" s="888"/>
      <c r="S639" s="882"/>
      <c r="T639" s="888"/>
      <c r="U639" s="882"/>
      <c r="V639" s="887"/>
      <c r="W639" s="888"/>
      <c r="X639" s="882"/>
      <c r="Y639" s="888"/>
      <c r="Z639" s="882"/>
      <c r="AA639" s="882"/>
      <c r="AB639" s="882"/>
      <c r="AC639" s="882"/>
      <c r="AD639" s="882"/>
      <c r="AE639" s="882"/>
      <c r="AF639" s="882"/>
      <c r="AG639" s="882"/>
      <c r="AH639" s="882"/>
      <c r="AI639" s="882"/>
      <c r="AJ639" s="882"/>
      <c r="AK639" s="882"/>
      <c r="AL639" s="889"/>
    </row>
    <row r="640" spans="1:38" s="890" customFormat="1">
      <c r="A640" s="882">
        <v>395</v>
      </c>
      <c r="B640" s="891">
        <f t="shared" si="63"/>
        <v>-241</v>
      </c>
      <c r="C640" s="882">
        <f t="shared" si="60"/>
        <v>636</v>
      </c>
      <c r="D640" s="883">
        <v>3396</v>
      </c>
      <c r="E640" s="884" t="str">
        <f>IFERROR(VLOOKUP(Table2[[#This Row],[Player No]],Table10[[No]:[Province]],2,0),"")</f>
        <v>VAN DER ROSS Lester</v>
      </c>
      <c r="F640" s="885" t="str">
        <f>IFERROR(VLOOKUP(Table2[[#This Row],[Player No]],Table10[[No]:[Province]],3,0),"")</f>
        <v>CT</v>
      </c>
      <c r="G640" s="892">
        <v>0.5</v>
      </c>
      <c r="H640" s="886">
        <f>(Table2[[#This Row],[Points 2025]]/2)+SUM(Table2[[#This Row],[O1  ADMIN 2026]:[P2    CAPE TOWN OPEN 2026 ]])</f>
        <v>0.25</v>
      </c>
      <c r="I640" s="880">
        <f t="shared" si="59"/>
        <v>0</v>
      </c>
      <c r="J640" s="882">
        <f t="shared" si="61"/>
        <v>0</v>
      </c>
      <c r="K640" s="887" t="s">
        <v>6083</v>
      </c>
      <c r="L640" s="887" t="s">
        <v>6083</v>
      </c>
      <c r="M640" s="887" t="s">
        <v>6083</v>
      </c>
      <c r="N640" s="887"/>
      <c r="O640" s="882"/>
      <c r="P640" s="882"/>
      <c r="Q640" s="888"/>
      <c r="R640" s="888"/>
      <c r="S640" s="882"/>
      <c r="T640" s="888"/>
      <c r="U640" s="882"/>
      <c r="V640" s="887"/>
      <c r="W640" s="888"/>
      <c r="X640" s="882"/>
      <c r="Y640" s="888"/>
      <c r="Z640" s="882"/>
      <c r="AA640" s="882"/>
      <c r="AB640" s="882"/>
      <c r="AC640" s="882"/>
      <c r="AD640" s="882"/>
      <c r="AE640" s="882"/>
      <c r="AF640" s="882"/>
      <c r="AG640" s="882"/>
      <c r="AH640" s="882"/>
      <c r="AI640" s="882"/>
      <c r="AJ640" s="882"/>
      <c r="AK640" s="882"/>
      <c r="AL640" s="889"/>
    </row>
    <row r="641" spans="1:38" s="890" customFormat="1">
      <c r="A641" s="882">
        <v>403</v>
      </c>
      <c r="B641" s="891">
        <f t="shared" si="63"/>
        <v>-234</v>
      </c>
      <c r="C641" s="882">
        <f t="shared" si="60"/>
        <v>637</v>
      </c>
      <c r="D641" s="883">
        <v>3438</v>
      </c>
      <c r="E641" s="884" t="str">
        <f>IFERROR(VLOOKUP(Table2[[#This Row],[Player No]],Table10[[No]:[Province]],2,0),"")</f>
        <v>VAN ROOYEN Renier</v>
      </c>
      <c r="F641" s="885" t="str">
        <f>IFERROR(VLOOKUP(Table2[[#This Row],[Player No]],Table10[[No]:[Province]],3,0),"")</f>
        <v>GN</v>
      </c>
      <c r="G641" s="892">
        <v>0.5</v>
      </c>
      <c r="H641" s="886">
        <f>(Table2[[#This Row],[Points 2025]]/2)+SUM(Table2[[#This Row],[O1  ADMIN 2026]:[P2    CAPE TOWN OPEN 2026 ]])</f>
        <v>0.25</v>
      </c>
      <c r="I641" s="880">
        <f t="shared" si="59"/>
        <v>0</v>
      </c>
      <c r="J641" s="882">
        <f t="shared" si="61"/>
        <v>0</v>
      </c>
      <c r="K641" s="887" t="s">
        <v>6083</v>
      </c>
      <c r="L641" s="887" t="s">
        <v>6083</v>
      </c>
      <c r="M641" s="887" t="s">
        <v>6083</v>
      </c>
      <c r="N641" s="887"/>
      <c r="O641" s="882"/>
      <c r="P641" s="882"/>
      <c r="Q641" s="888"/>
      <c r="R641" s="888"/>
      <c r="S641" s="882"/>
      <c r="T641" s="888"/>
      <c r="U641" s="882"/>
      <c r="V641" s="887"/>
      <c r="W641" s="888"/>
      <c r="X641" s="882"/>
      <c r="Y641" s="888"/>
      <c r="Z641" s="882"/>
      <c r="AA641" s="882"/>
      <c r="AB641" s="882"/>
      <c r="AC641" s="882"/>
      <c r="AD641" s="882"/>
      <c r="AE641" s="882"/>
      <c r="AF641" s="882"/>
      <c r="AG641" s="882"/>
      <c r="AH641" s="882"/>
      <c r="AI641" s="882"/>
      <c r="AJ641" s="882"/>
      <c r="AK641" s="882"/>
      <c r="AL641" s="889"/>
    </row>
    <row r="642" spans="1:38" s="890" customFormat="1">
      <c r="A642" s="882">
        <v>394</v>
      </c>
      <c r="B642" s="891">
        <f t="shared" si="63"/>
        <v>-244</v>
      </c>
      <c r="C642" s="882">
        <f t="shared" si="60"/>
        <v>638</v>
      </c>
      <c r="D642" s="883">
        <v>3439</v>
      </c>
      <c r="E642" s="884" t="str">
        <f>IFERROR(VLOOKUP(Table2[[#This Row],[Player No]],Table10[[No]:[Province]],2,0),"")</f>
        <v>EJIMS Daniel</v>
      </c>
      <c r="F642" s="885" t="str">
        <f>IFERROR(VLOOKUP(Table2[[#This Row],[Player No]],Table10[[No]:[Province]],3,0),"")</f>
        <v>GN</v>
      </c>
      <c r="G642" s="892">
        <v>0.5</v>
      </c>
      <c r="H642" s="886">
        <f>(Table2[[#This Row],[Points 2025]]/2)+SUM(Table2[[#This Row],[O1  ADMIN 2026]:[P2    CAPE TOWN OPEN 2026 ]])</f>
        <v>0.25</v>
      </c>
      <c r="I642" s="880">
        <f t="shared" si="59"/>
        <v>0</v>
      </c>
      <c r="J642" s="882">
        <f t="shared" si="61"/>
        <v>0</v>
      </c>
      <c r="K642" s="887" t="s">
        <v>6083</v>
      </c>
      <c r="L642" s="887" t="s">
        <v>6083</v>
      </c>
      <c r="M642" s="887" t="s">
        <v>6083</v>
      </c>
      <c r="N642" s="887"/>
      <c r="O642" s="882"/>
      <c r="P642" s="882"/>
      <c r="Q642" s="888"/>
      <c r="R642" s="888"/>
      <c r="S642" s="882"/>
      <c r="T642" s="888"/>
      <c r="U642" s="882"/>
      <c r="V642" s="887"/>
      <c r="W642" s="888"/>
      <c r="X642" s="882"/>
      <c r="Y642" s="888"/>
      <c r="Z642" s="882"/>
      <c r="AA642" s="882"/>
      <c r="AB642" s="882"/>
      <c r="AC642" s="882"/>
      <c r="AD642" s="882"/>
      <c r="AE642" s="882"/>
      <c r="AF642" s="882"/>
      <c r="AG642" s="882"/>
      <c r="AH642" s="882"/>
      <c r="AI642" s="882"/>
      <c r="AJ642" s="882"/>
      <c r="AK642" s="882"/>
      <c r="AL642" s="889"/>
    </row>
    <row r="643" spans="1:38" s="890" customFormat="1">
      <c r="A643" s="882">
        <v>401</v>
      </c>
      <c r="B643" s="891">
        <f t="shared" si="63"/>
        <v>-238</v>
      </c>
      <c r="C643" s="882">
        <f t="shared" si="60"/>
        <v>639</v>
      </c>
      <c r="D643" s="883">
        <v>3441</v>
      </c>
      <c r="E643" s="884" t="str">
        <f>IFERROR(VLOOKUP(Table2[[#This Row],[Player No]],Table10[[No]:[Province]],2,0),"")</f>
        <v>PECK Daniel</v>
      </c>
      <c r="F643" s="885" t="str">
        <f>IFERROR(VLOOKUP(Table2[[#This Row],[Player No]],Table10[[No]:[Province]],3,0),"")</f>
        <v>GN</v>
      </c>
      <c r="G643" s="892">
        <v>0.5</v>
      </c>
      <c r="H643" s="886">
        <f>(Table2[[#This Row],[Points 2025]]/2)+SUM(Table2[[#This Row],[O1  ADMIN 2026]:[P2    CAPE TOWN OPEN 2026 ]])</f>
        <v>0.25</v>
      </c>
      <c r="I643" s="880">
        <f t="shared" si="59"/>
        <v>0</v>
      </c>
      <c r="J643" s="882">
        <f t="shared" si="61"/>
        <v>0</v>
      </c>
      <c r="K643" s="887" t="s">
        <v>6083</v>
      </c>
      <c r="L643" s="887" t="s">
        <v>6083</v>
      </c>
      <c r="M643" s="887" t="s">
        <v>6083</v>
      </c>
      <c r="N643" s="887"/>
      <c r="O643" s="882"/>
      <c r="P643" s="882"/>
      <c r="Q643" s="888"/>
      <c r="R643" s="888"/>
      <c r="S643" s="882"/>
      <c r="T643" s="888"/>
      <c r="U643" s="882"/>
      <c r="V643" s="887"/>
      <c r="W643" s="888"/>
      <c r="X643" s="882"/>
      <c r="Y643" s="888"/>
      <c r="Z643" s="882"/>
      <c r="AA643" s="882"/>
      <c r="AB643" s="882"/>
      <c r="AC643" s="882"/>
      <c r="AD643" s="882"/>
      <c r="AE643" s="882"/>
      <c r="AF643" s="882"/>
      <c r="AG643" s="882"/>
      <c r="AH643" s="882"/>
      <c r="AI643" s="882"/>
      <c r="AJ643" s="882"/>
      <c r="AK643" s="882"/>
      <c r="AL643" s="889"/>
    </row>
    <row r="644" spans="1:38" s="890" customFormat="1">
      <c r="A644" s="882">
        <v>393</v>
      </c>
      <c r="B644" s="891">
        <f t="shared" si="63"/>
        <v>-247</v>
      </c>
      <c r="C644" s="882">
        <f t="shared" si="60"/>
        <v>640</v>
      </c>
      <c r="D644" s="883">
        <v>3445</v>
      </c>
      <c r="E644" s="884" t="str">
        <f>IFERROR(VLOOKUP(Table2[[#This Row],[Player No]],Table10[[No]:[Province]],2,0),"")</f>
        <v>HUANG Yu Kae</v>
      </c>
      <c r="F644" s="885">
        <f>IFERROR(VLOOKUP(Table2[[#This Row],[Player No]],Table10[[No]:[Province]],3,0),"")</f>
        <v>0</v>
      </c>
      <c r="G644" s="892">
        <v>0.5</v>
      </c>
      <c r="H644" s="886">
        <f>(Table2[[#This Row],[Points 2025]]/2)+SUM(Table2[[#This Row],[O1  ADMIN 2026]:[P2    CAPE TOWN OPEN 2026 ]])</f>
        <v>0.25</v>
      </c>
      <c r="I644" s="880">
        <f t="shared" si="59"/>
        <v>0</v>
      </c>
      <c r="J644" s="882">
        <f t="shared" si="61"/>
        <v>0</v>
      </c>
      <c r="K644" s="887" t="s">
        <v>6083</v>
      </c>
      <c r="L644" s="887" t="s">
        <v>6083</v>
      </c>
      <c r="M644" s="887" t="s">
        <v>6083</v>
      </c>
      <c r="N644" s="887"/>
      <c r="O644" s="882"/>
      <c r="P644" s="882"/>
      <c r="Q644" s="888"/>
      <c r="R644" s="888"/>
      <c r="S644" s="882"/>
      <c r="T644" s="888"/>
      <c r="U644" s="882"/>
      <c r="V644" s="887"/>
      <c r="W644" s="888"/>
      <c r="X644" s="882"/>
      <c r="Y644" s="888"/>
      <c r="Z644" s="882"/>
      <c r="AA644" s="882"/>
      <c r="AB644" s="882"/>
      <c r="AC644" s="882"/>
      <c r="AD644" s="882"/>
      <c r="AE644" s="882"/>
      <c r="AF644" s="882"/>
      <c r="AG644" s="882"/>
      <c r="AH644" s="882"/>
      <c r="AI644" s="882"/>
      <c r="AJ644" s="882"/>
      <c r="AK644" s="882"/>
      <c r="AL644" s="889"/>
    </row>
    <row r="645" spans="1:38" s="890" customFormat="1">
      <c r="A645" s="882">
        <v>398</v>
      </c>
      <c r="B645" s="891">
        <f t="shared" si="63"/>
        <v>-243</v>
      </c>
      <c r="C645" s="882">
        <f t="shared" si="60"/>
        <v>641</v>
      </c>
      <c r="D645" s="883">
        <v>3489</v>
      </c>
      <c r="E645" s="884" t="str">
        <f>IFERROR(VLOOKUP(Table2[[#This Row],[Player No]],Table10[[No]:[Province]],2,0),"")</f>
        <v>VAN DER MERWE Tiaan</v>
      </c>
      <c r="F645" s="885" t="str">
        <f>IFERROR(VLOOKUP(Table2[[#This Row],[Player No]],Table10[[No]:[Province]],3,0),"")</f>
        <v>JTTA</v>
      </c>
      <c r="G645" s="892">
        <v>0.5</v>
      </c>
      <c r="H645" s="886">
        <f>(Table2[[#This Row],[Points 2025]]/2)+SUM(Table2[[#This Row],[O1  ADMIN 2026]:[P2    CAPE TOWN OPEN 2026 ]])</f>
        <v>0.25</v>
      </c>
      <c r="I645" s="880">
        <f t="shared" ref="I645:I708" si="64">COUNTIF(K645:N645,"&gt;0")</f>
        <v>0</v>
      </c>
      <c r="J645" s="882">
        <f t="shared" si="61"/>
        <v>0</v>
      </c>
      <c r="K645" s="887" t="s">
        <v>6083</v>
      </c>
      <c r="L645" s="887" t="s">
        <v>6083</v>
      </c>
      <c r="M645" s="887" t="s">
        <v>6083</v>
      </c>
      <c r="N645" s="887"/>
      <c r="O645" s="882"/>
      <c r="P645" s="882"/>
      <c r="Q645" s="888"/>
      <c r="R645" s="888"/>
      <c r="S645" s="882"/>
      <c r="T645" s="888"/>
      <c r="U645" s="882"/>
      <c r="V645" s="887"/>
      <c r="W645" s="888"/>
      <c r="X645" s="882"/>
      <c r="Y645" s="888"/>
      <c r="Z645" s="882"/>
      <c r="AA645" s="882"/>
      <c r="AB645" s="882"/>
      <c r="AC645" s="882"/>
      <c r="AD645" s="882"/>
      <c r="AE645" s="882"/>
      <c r="AF645" s="882"/>
      <c r="AG645" s="882"/>
      <c r="AH645" s="882"/>
      <c r="AI645" s="882"/>
      <c r="AJ645" s="882"/>
      <c r="AK645" s="882"/>
      <c r="AL645" s="889"/>
    </row>
    <row r="646" spans="1:38" s="890" customFormat="1">
      <c r="A646" s="882">
        <v>399</v>
      </c>
      <c r="B646" s="891">
        <f t="shared" si="63"/>
        <v>-243</v>
      </c>
      <c r="C646" s="882">
        <f t="shared" ref="C646:C709" si="65">C645+1</f>
        <v>642</v>
      </c>
      <c r="D646" s="883">
        <v>3490</v>
      </c>
      <c r="E646" s="884" t="str">
        <f>IFERROR(VLOOKUP(Table2[[#This Row],[Player No]],Table10[[No]:[Province]],2,0),"")</f>
        <v>NAROTAM Prashant</v>
      </c>
      <c r="F646" s="885" t="str">
        <f>IFERROR(VLOOKUP(Table2[[#This Row],[Player No]],Table10[[No]:[Province]],3,0),"")</f>
        <v>JTTA</v>
      </c>
      <c r="G646" s="892">
        <v>0.5</v>
      </c>
      <c r="H646" s="886">
        <f>(Table2[[#This Row],[Points 2025]]/2)+SUM(Table2[[#This Row],[O1  ADMIN 2026]:[P2    CAPE TOWN OPEN 2026 ]])</f>
        <v>0.25</v>
      </c>
      <c r="I646" s="880">
        <f t="shared" si="64"/>
        <v>0</v>
      </c>
      <c r="J646" s="882">
        <f t="shared" si="61"/>
        <v>0</v>
      </c>
      <c r="K646" s="887" t="s">
        <v>6083</v>
      </c>
      <c r="L646" s="887" t="s">
        <v>6083</v>
      </c>
      <c r="M646" s="887" t="s">
        <v>6083</v>
      </c>
      <c r="N646" s="887"/>
      <c r="O646" s="882"/>
      <c r="P646" s="882"/>
      <c r="Q646" s="888"/>
      <c r="R646" s="888"/>
      <c r="S646" s="882"/>
      <c r="T646" s="888"/>
      <c r="U646" s="882"/>
      <c r="V646" s="887"/>
      <c r="W646" s="888"/>
      <c r="X646" s="882"/>
      <c r="Y646" s="888"/>
      <c r="Z646" s="882"/>
      <c r="AA646" s="882"/>
      <c r="AB646" s="882"/>
      <c r="AC646" s="882"/>
      <c r="AD646" s="882"/>
      <c r="AE646" s="882"/>
      <c r="AF646" s="882"/>
      <c r="AG646" s="882"/>
      <c r="AH646" s="882"/>
      <c r="AI646" s="882"/>
      <c r="AJ646" s="882"/>
      <c r="AK646" s="882"/>
      <c r="AL646" s="889"/>
    </row>
    <row r="647" spans="1:38" s="890" customFormat="1">
      <c r="A647" s="882">
        <v>400</v>
      </c>
      <c r="B647" s="891">
        <f t="shared" si="63"/>
        <v>-243</v>
      </c>
      <c r="C647" s="882">
        <f t="shared" si="65"/>
        <v>643</v>
      </c>
      <c r="D647" s="883">
        <v>3491</v>
      </c>
      <c r="E647" s="884" t="str">
        <f>IFERROR(VLOOKUP(Table2[[#This Row],[Player No]],Table10[[No]:[Province]],2,0),"")</f>
        <v>PARBHOO Kamlesh</v>
      </c>
      <c r="F647" s="885" t="str">
        <f>IFERROR(VLOOKUP(Table2[[#This Row],[Player No]],Table10[[No]:[Province]],3,0),"")</f>
        <v>JTTA</v>
      </c>
      <c r="G647" s="892">
        <v>0.5</v>
      </c>
      <c r="H647" s="886">
        <f>(Table2[[#This Row],[Points 2025]]/2)+SUM(Table2[[#This Row],[O1  ADMIN 2026]:[P2    CAPE TOWN OPEN 2026 ]])</f>
        <v>0.25</v>
      </c>
      <c r="I647" s="880">
        <f t="shared" si="64"/>
        <v>0</v>
      </c>
      <c r="J647" s="882">
        <f t="shared" si="61"/>
        <v>0</v>
      </c>
      <c r="K647" s="887" t="s">
        <v>6083</v>
      </c>
      <c r="L647" s="887" t="s">
        <v>6083</v>
      </c>
      <c r="M647" s="887" t="s">
        <v>6083</v>
      </c>
      <c r="N647" s="887"/>
      <c r="O647" s="882"/>
      <c r="P647" s="882"/>
      <c r="Q647" s="888"/>
      <c r="R647" s="888"/>
      <c r="S647" s="882"/>
      <c r="T647" s="888"/>
      <c r="U647" s="882"/>
      <c r="V647" s="887"/>
      <c r="W647" s="888"/>
      <c r="X647" s="882"/>
      <c r="Y647" s="888"/>
      <c r="Z647" s="882"/>
      <c r="AA647" s="882"/>
      <c r="AB647" s="882"/>
      <c r="AC647" s="882"/>
      <c r="AD647" s="882"/>
      <c r="AE647" s="882"/>
      <c r="AF647" s="882"/>
      <c r="AG647" s="882"/>
      <c r="AH647" s="882"/>
      <c r="AI647" s="882"/>
      <c r="AJ647" s="882"/>
      <c r="AK647" s="882"/>
      <c r="AL647" s="889"/>
    </row>
    <row r="648" spans="1:38" s="890" customFormat="1">
      <c r="A648" s="882">
        <v>404</v>
      </c>
      <c r="B648" s="891">
        <f t="shared" si="63"/>
        <v>-240</v>
      </c>
      <c r="C648" s="882">
        <f t="shared" si="65"/>
        <v>644</v>
      </c>
      <c r="D648" s="883">
        <v>3492</v>
      </c>
      <c r="E648" s="884" t="str">
        <f>IFERROR(VLOOKUP(Table2[[#This Row],[Player No]],Table10[[No]:[Province]],2,0),"")</f>
        <v>ZHANG Xinxing</v>
      </c>
      <c r="F648" s="885" t="str">
        <f>IFERROR(VLOOKUP(Table2[[#This Row],[Player No]],Table10[[No]:[Province]],3,0),"")</f>
        <v>JTTA</v>
      </c>
      <c r="G648" s="892">
        <v>0.5</v>
      </c>
      <c r="H648" s="886">
        <f>(Table2[[#This Row],[Points 2025]]/2)+SUM(Table2[[#This Row],[O1  ADMIN 2026]:[P2    CAPE TOWN OPEN 2026 ]])</f>
        <v>0.25</v>
      </c>
      <c r="I648" s="880">
        <f t="shared" si="64"/>
        <v>0</v>
      </c>
      <c r="J648" s="882">
        <f t="shared" si="61"/>
        <v>0</v>
      </c>
      <c r="K648" s="887" t="s">
        <v>6083</v>
      </c>
      <c r="L648" s="887" t="s">
        <v>6083</v>
      </c>
      <c r="M648" s="887" t="s">
        <v>6083</v>
      </c>
      <c r="N648" s="887"/>
      <c r="O648" s="882"/>
      <c r="P648" s="882"/>
      <c r="Q648" s="888"/>
      <c r="R648" s="888"/>
      <c r="S648" s="882"/>
      <c r="T648" s="888"/>
      <c r="U648" s="882"/>
      <c r="V648" s="887"/>
      <c r="W648" s="888"/>
      <c r="X648" s="882"/>
      <c r="Y648" s="888"/>
      <c r="Z648" s="882"/>
      <c r="AA648" s="882"/>
      <c r="AB648" s="882"/>
      <c r="AC648" s="882"/>
      <c r="AD648" s="882"/>
      <c r="AE648" s="882"/>
      <c r="AF648" s="882"/>
      <c r="AG648" s="882"/>
      <c r="AH648" s="882"/>
      <c r="AI648" s="882"/>
      <c r="AJ648" s="882"/>
      <c r="AK648" s="882"/>
      <c r="AL648" s="889"/>
    </row>
    <row r="649" spans="1:38" s="890" customFormat="1">
      <c r="A649" s="882">
        <v>422</v>
      </c>
      <c r="B649" s="891">
        <f t="shared" si="63"/>
        <v>-223</v>
      </c>
      <c r="C649" s="882">
        <f t="shared" si="65"/>
        <v>645</v>
      </c>
      <c r="D649" s="883">
        <v>3779</v>
      </c>
      <c r="E649" s="884" t="str">
        <f>IFERROR(VLOOKUP(Table2[[#This Row],[Player No]],Table10[[No]:[Province]],2,0),"")</f>
        <v>KAVONICH Levi</v>
      </c>
      <c r="F649" s="885" t="str">
        <f>IFERROR(VLOOKUP(Table2[[#This Row],[Player No]],Table10[[No]:[Province]],3,0),"")</f>
        <v>JTTA</v>
      </c>
      <c r="G649" s="892">
        <v>0.5</v>
      </c>
      <c r="H649" s="886">
        <f>(Table2[[#This Row],[Points 2025]]/2)+SUM(Table2[[#This Row],[O1  ADMIN 2026]:[P2    CAPE TOWN OPEN 2026 ]])</f>
        <v>0.25</v>
      </c>
      <c r="I649" s="880">
        <f t="shared" si="64"/>
        <v>0</v>
      </c>
      <c r="J649" s="882">
        <f t="shared" si="61"/>
        <v>0</v>
      </c>
      <c r="K649" s="887" t="s">
        <v>6083</v>
      </c>
      <c r="L649" s="887" t="s">
        <v>6083</v>
      </c>
      <c r="M649" s="887" t="s">
        <v>6083</v>
      </c>
      <c r="N649" s="887"/>
      <c r="O649" s="882"/>
      <c r="P649" s="882"/>
      <c r="Q649" s="888"/>
      <c r="R649" s="888"/>
      <c r="S649" s="882"/>
      <c r="T649" s="888"/>
      <c r="U649" s="882"/>
      <c r="V649" s="887"/>
      <c r="W649" s="888"/>
      <c r="X649" s="882"/>
      <c r="Y649" s="888"/>
      <c r="Z649" s="882"/>
      <c r="AA649" s="882"/>
      <c r="AB649" s="882"/>
      <c r="AC649" s="882"/>
      <c r="AD649" s="882"/>
      <c r="AE649" s="882"/>
      <c r="AF649" s="882"/>
      <c r="AG649" s="882"/>
      <c r="AH649" s="882"/>
      <c r="AI649" s="882"/>
      <c r="AJ649" s="882"/>
      <c r="AK649" s="882">
        <v>1</v>
      </c>
      <c r="AL649" s="889"/>
    </row>
    <row r="650" spans="1:38" s="890" customFormat="1">
      <c r="A650" s="882">
        <v>411</v>
      </c>
      <c r="B650" s="891">
        <f t="shared" si="63"/>
        <v>-235</v>
      </c>
      <c r="C650" s="882">
        <f t="shared" si="65"/>
        <v>646</v>
      </c>
      <c r="D650" s="883">
        <v>3824</v>
      </c>
      <c r="E650" s="884" t="str">
        <f>IFERROR(VLOOKUP(Table2[[#This Row],[Player No]],Table10[[No]:[Province]],2,0),"")</f>
        <v>RAMLAL Rucille</v>
      </c>
      <c r="F650" s="885" t="str">
        <f>IFERROR(VLOOKUP(Table2[[#This Row],[Player No]],Table10[[No]:[Province]],3,0),"")</f>
        <v>GN</v>
      </c>
      <c r="G650" s="892">
        <v>0.5</v>
      </c>
      <c r="H650" s="886">
        <f>(Table2[[#This Row],[Points 2025]]/2)+SUM(Table2[[#This Row],[O1  ADMIN 2026]:[P2    CAPE TOWN OPEN 2026 ]])</f>
        <v>0.25</v>
      </c>
      <c r="I650" s="880">
        <f t="shared" si="64"/>
        <v>0</v>
      </c>
      <c r="J650" s="882">
        <f t="shared" si="61"/>
        <v>0</v>
      </c>
      <c r="K650" s="887" t="s">
        <v>6083</v>
      </c>
      <c r="L650" s="887" t="s">
        <v>6083</v>
      </c>
      <c r="M650" s="887" t="s">
        <v>6083</v>
      </c>
      <c r="N650" s="887"/>
      <c r="O650" s="882"/>
      <c r="P650" s="882"/>
      <c r="Q650" s="888"/>
      <c r="R650" s="888"/>
      <c r="S650" s="882"/>
      <c r="T650" s="888"/>
      <c r="U650" s="882"/>
      <c r="V650" s="887"/>
      <c r="W650" s="888"/>
      <c r="X650" s="882"/>
      <c r="Y650" s="888"/>
      <c r="Z650" s="882"/>
      <c r="AA650" s="882"/>
      <c r="AB650" s="882"/>
      <c r="AC650" s="882"/>
      <c r="AD650" s="882"/>
      <c r="AE650" s="882"/>
      <c r="AF650" s="882"/>
      <c r="AG650" s="882"/>
      <c r="AH650" s="882"/>
      <c r="AI650" s="882"/>
      <c r="AJ650" s="882">
        <v>1</v>
      </c>
      <c r="AK650" s="882"/>
      <c r="AL650" s="889"/>
    </row>
    <row r="651" spans="1:38" s="890" customFormat="1">
      <c r="A651" s="882">
        <v>412</v>
      </c>
      <c r="B651" s="891">
        <f t="shared" si="63"/>
        <v>-235</v>
      </c>
      <c r="C651" s="882">
        <f t="shared" si="65"/>
        <v>647</v>
      </c>
      <c r="D651" s="883">
        <v>3825</v>
      </c>
      <c r="E651" s="884" t="str">
        <f>IFERROR(VLOOKUP(Table2[[#This Row],[Player No]],Table10[[No]:[Province]],2,0),"")</f>
        <v>MA Chan-Yue</v>
      </c>
      <c r="F651" s="885" t="str">
        <f>IFERROR(VLOOKUP(Table2[[#This Row],[Player No]],Table10[[No]:[Province]],3,0),"")</f>
        <v>GN</v>
      </c>
      <c r="G651" s="892">
        <v>0.5</v>
      </c>
      <c r="H651" s="886">
        <f>(Table2[[#This Row],[Points 2025]]/2)+SUM(Table2[[#This Row],[O1  ADMIN 2026]:[P2    CAPE TOWN OPEN 2026 ]])</f>
        <v>0.25</v>
      </c>
      <c r="I651" s="880">
        <f t="shared" si="64"/>
        <v>0</v>
      </c>
      <c r="J651" s="882">
        <f t="shared" si="61"/>
        <v>0</v>
      </c>
      <c r="K651" s="887" t="s">
        <v>6083</v>
      </c>
      <c r="L651" s="887" t="s">
        <v>6083</v>
      </c>
      <c r="M651" s="887" t="s">
        <v>6083</v>
      </c>
      <c r="N651" s="887"/>
      <c r="O651" s="882"/>
      <c r="P651" s="882"/>
      <c r="Q651" s="888"/>
      <c r="R651" s="888"/>
      <c r="S651" s="882"/>
      <c r="T651" s="888"/>
      <c r="U651" s="882"/>
      <c r="V651" s="887"/>
      <c r="W651" s="888"/>
      <c r="X651" s="882"/>
      <c r="Y651" s="888"/>
      <c r="Z651" s="882"/>
      <c r="AA651" s="882"/>
      <c r="AB651" s="882"/>
      <c r="AC651" s="882"/>
      <c r="AD651" s="882"/>
      <c r="AE651" s="882"/>
      <c r="AF651" s="882"/>
      <c r="AG651" s="882"/>
      <c r="AH651" s="882"/>
      <c r="AI651" s="882"/>
      <c r="AJ651" s="882">
        <v>1</v>
      </c>
      <c r="AK651" s="882"/>
      <c r="AL651" s="889"/>
    </row>
    <row r="652" spans="1:38" s="890" customFormat="1">
      <c r="A652" s="882">
        <v>417</v>
      </c>
      <c r="B652" s="891">
        <f t="shared" si="63"/>
        <v>-231</v>
      </c>
      <c r="C652" s="882">
        <f t="shared" si="65"/>
        <v>648</v>
      </c>
      <c r="D652" s="883">
        <v>3828</v>
      </c>
      <c r="E652" s="884" t="str">
        <f>IFERROR(VLOOKUP(Table2[[#This Row],[Player No]],Table10[[No]:[Province]],2,0),"")</f>
        <v>MADYBI Akhona</v>
      </c>
      <c r="F652" s="885" t="str">
        <f>IFERROR(VLOOKUP(Table2[[#This Row],[Player No]],Table10[[No]:[Province]],3,0),"")</f>
        <v>EC</v>
      </c>
      <c r="G652" s="892">
        <v>0.5</v>
      </c>
      <c r="H652" s="886">
        <f>(Table2[[#This Row],[Points 2025]]/2)+SUM(Table2[[#This Row],[O1  ADMIN 2026]:[P2    CAPE TOWN OPEN 2026 ]])</f>
        <v>0.25</v>
      </c>
      <c r="I652" s="880">
        <f t="shared" si="64"/>
        <v>0</v>
      </c>
      <c r="J652" s="882">
        <f t="shared" si="61"/>
        <v>0</v>
      </c>
      <c r="K652" s="887" t="s">
        <v>6083</v>
      </c>
      <c r="L652" s="887" t="s">
        <v>6083</v>
      </c>
      <c r="M652" s="887" t="s">
        <v>6083</v>
      </c>
      <c r="N652" s="887"/>
      <c r="O652" s="882"/>
      <c r="P652" s="882"/>
      <c r="Q652" s="888"/>
      <c r="R652" s="888"/>
      <c r="S652" s="882"/>
      <c r="T652" s="888"/>
      <c r="U652" s="882"/>
      <c r="V652" s="887"/>
      <c r="W652" s="888"/>
      <c r="X652" s="882"/>
      <c r="Y652" s="888"/>
      <c r="Z652" s="882"/>
      <c r="AA652" s="882"/>
      <c r="AB652" s="882"/>
      <c r="AC652" s="882"/>
      <c r="AD652" s="882"/>
      <c r="AE652" s="882"/>
      <c r="AF652" s="882"/>
      <c r="AG652" s="882"/>
      <c r="AH652" s="882"/>
      <c r="AI652" s="882"/>
      <c r="AJ652" s="882">
        <v>1</v>
      </c>
      <c r="AK652" s="882"/>
      <c r="AL652" s="889"/>
    </row>
    <row r="653" spans="1:38" s="890" customFormat="1">
      <c r="A653" s="882">
        <v>419</v>
      </c>
      <c r="B653" s="891">
        <f t="shared" si="63"/>
        <v>-230</v>
      </c>
      <c r="C653" s="882">
        <f t="shared" si="65"/>
        <v>649</v>
      </c>
      <c r="D653" s="883">
        <v>3830</v>
      </c>
      <c r="E653" s="884" t="str">
        <f>IFERROR(VLOOKUP(Table2[[#This Row],[Player No]],Table10[[No]:[Province]],2,0),"")</f>
        <v>ZINGELA Unako</v>
      </c>
      <c r="F653" s="885" t="str">
        <f>IFERROR(VLOOKUP(Table2[[#This Row],[Player No]],Table10[[No]:[Province]],3,0),"")</f>
        <v>EC</v>
      </c>
      <c r="G653" s="892">
        <v>0.5</v>
      </c>
      <c r="H653" s="886">
        <f>(Table2[[#This Row],[Points 2025]]/2)+SUM(Table2[[#This Row],[O1  ADMIN 2026]:[P2    CAPE TOWN OPEN 2026 ]])</f>
        <v>0.25</v>
      </c>
      <c r="I653" s="880">
        <f t="shared" si="64"/>
        <v>0</v>
      </c>
      <c r="J653" s="882">
        <f t="shared" si="61"/>
        <v>0</v>
      </c>
      <c r="K653" s="887" t="s">
        <v>6083</v>
      </c>
      <c r="L653" s="887" t="s">
        <v>6083</v>
      </c>
      <c r="M653" s="887" t="s">
        <v>6083</v>
      </c>
      <c r="N653" s="887"/>
      <c r="O653" s="882"/>
      <c r="P653" s="882"/>
      <c r="Q653" s="888"/>
      <c r="R653" s="888"/>
      <c r="S653" s="882"/>
      <c r="T653" s="888"/>
      <c r="U653" s="882"/>
      <c r="V653" s="887"/>
      <c r="W653" s="888"/>
      <c r="X653" s="882"/>
      <c r="Y653" s="888"/>
      <c r="Z653" s="882"/>
      <c r="AA653" s="882"/>
      <c r="AB653" s="882"/>
      <c r="AC653" s="882"/>
      <c r="AD653" s="882"/>
      <c r="AE653" s="882"/>
      <c r="AF653" s="882"/>
      <c r="AG653" s="882"/>
      <c r="AH653" s="882"/>
      <c r="AI653" s="882"/>
      <c r="AJ653" s="882">
        <v>1</v>
      </c>
      <c r="AK653" s="882"/>
      <c r="AL653" s="889"/>
    </row>
    <row r="654" spans="1:38" s="890" customFormat="1">
      <c r="A654" s="882">
        <v>420</v>
      </c>
      <c r="B654" s="891">
        <f t="shared" si="63"/>
        <v>-230</v>
      </c>
      <c r="C654" s="882">
        <f t="shared" si="65"/>
        <v>650</v>
      </c>
      <c r="D654" s="883">
        <v>3831</v>
      </c>
      <c r="E654" s="884" t="str">
        <f>IFERROR(VLOOKUP(Table2[[#This Row],[Player No]],Table10[[No]:[Province]],2,0),"")</f>
        <v>MORSI Ahmad</v>
      </c>
      <c r="F654" s="885" t="str">
        <f>IFERROR(VLOOKUP(Table2[[#This Row],[Player No]],Table10[[No]:[Province]],3,0),"")</f>
        <v>JTTA</v>
      </c>
      <c r="G654" s="892">
        <v>0.5</v>
      </c>
      <c r="H654" s="886">
        <f>(Table2[[#This Row],[Points 2025]]/2)+SUM(Table2[[#This Row],[O1  ADMIN 2026]:[P2    CAPE TOWN OPEN 2026 ]])</f>
        <v>0.25</v>
      </c>
      <c r="I654" s="880">
        <f t="shared" si="64"/>
        <v>0</v>
      </c>
      <c r="J654" s="882">
        <f t="shared" si="61"/>
        <v>0</v>
      </c>
      <c r="K654" s="887" t="s">
        <v>6083</v>
      </c>
      <c r="L654" s="887" t="s">
        <v>6083</v>
      </c>
      <c r="M654" s="887" t="s">
        <v>6083</v>
      </c>
      <c r="N654" s="887"/>
      <c r="O654" s="882"/>
      <c r="P654" s="882"/>
      <c r="Q654" s="888"/>
      <c r="R654" s="888"/>
      <c r="S654" s="882"/>
      <c r="T654" s="888"/>
      <c r="U654" s="882"/>
      <c r="V654" s="887"/>
      <c r="W654" s="888"/>
      <c r="X654" s="882"/>
      <c r="Y654" s="888"/>
      <c r="Z654" s="882"/>
      <c r="AA654" s="882"/>
      <c r="AB654" s="882"/>
      <c r="AC654" s="882"/>
      <c r="AD654" s="882"/>
      <c r="AE654" s="882"/>
      <c r="AF654" s="882"/>
      <c r="AG654" s="882"/>
      <c r="AH654" s="882"/>
      <c r="AI654" s="882"/>
      <c r="AJ654" s="882">
        <v>1</v>
      </c>
      <c r="AK654" s="882"/>
      <c r="AL654" s="889"/>
    </row>
    <row r="655" spans="1:38" s="890" customFormat="1">
      <c r="A655" s="882">
        <v>426</v>
      </c>
      <c r="B655" s="891">
        <f t="shared" si="63"/>
        <v>-225</v>
      </c>
      <c r="C655" s="882">
        <f t="shared" si="65"/>
        <v>651</v>
      </c>
      <c r="D655" s="897">
        <v>3856</v>
      </c>
      <c r="E655" s="898" t="str">
        <f>IFERROR(VLOOKUP(Table2[[#This Row],[Player No]],Table10[[No]:[Province]],2,0),"")</f>
        <v>LE ROUX Wiehan</v>
      </c>
      <c r="F655" s="899" t="str">
        <f>IFERROR(VLOOKUP(Table2[[#This Row],[Player No]],Table10[[No]:[Province]],3,0),"")</f>
        <v>JTTA</v>
      </c>
      <c r="G655" s="886">
        <v>0.5</v>
      </c>
      <c r="H655" s="886">
        <f>(Table2[[#This Row],[Points 2025]]/2)+SUM(Table2[[#This Row],[O1  ADMIN 2026]:[P2    CAPE TOWN OPEN 2026 ]])</f>
        <v>0.25</v>
      </c>
      <c r="I655" s="880">
        <f t="shared" si="64"/>
        <v>0</v>
      </c>
      <c r="J655" s="882">
        <f t="shared" si="61"/>
        <v>0</v>
      </c>
      <c r="K655" s="880" t="s">
        <v>6083</v>
      </c>
      <c r="L655" s="880" t="s">
        <v>6083</v>
      </c>
      <c r="M655" s="880" t="s">
        <v>6083</v>
      </c>
      <c r="N655" s="880"/>
      <c r="O655" s="880"/>
      <c r="P655" s="880"/>
      <c r="Q655" s="880"/>
      <c r="R655" s="880"/>
      <c r="S655" s="880"/>
      <c r="T655" s="880"/>
      <c r="U655" s="880"/>
      <c r="V655" s="880"/>
      <c r="W655" s="880"/>
      <c r="X655" s="880"/>
      <c r="Y655" s="880"/>
      <c r="Z655" s="880"/>
      <c r="AA655" s="880"/>
      <c r="AB655" s="880"/>
      <c r="AC655" s="880"/>
      <c r="AD655" s="880"/>
      <c r="AE655" s="880"/>
      <c r="AF655" s="880"/>
      <c r="AG655" s="880"/>
      <c r="AH655" s="880"/>
      <c r="AI655" s="880"/>
      <c r="AJ655" s="880"/>
      <c r="AK655" s="880">
        <v>1</v>
      </c>
    </row>
    <row r="656" spans="1:38" s="890" customFormat="1">
      <c r="A656" s="882">
        <v>428</v>
      </c>
      <c r="B656" s="891">
        <f t="shared" si="63"/>
        <v>-224</v>
      </c>
      <c r="C656" s="882">
        <f t="shared" si="65"/>
        <v>652</v>
      </c>
      <c r="D656" s="883">
        <v>4069</v>
      </c>
      <c r="E656" s="884" t="str">
        <f>IFERROR(VLOOKUP(Table2[[#This Row],[Player No]],Table10[[No]:[Province]],2,0),"")</f>
        <v xml:space="preserve"> Ajay Chiba</v>
      </c>
      <c r="F656" s="885" t="str">
        <f>IFERROR(VLOOKUP(Table2[[#This Row],[Player No]],Table10[[No]:[Province]],3,0),"")</f>
        <v>JTTA</v>
      </c>
      <c r="G656" s="892">
        <v>0.5</v>
      </c>
      <c r="H656" s="886">
        <f>(Table2[[#This Row],[Points 2025]]/2)+SUM(Table2[[#This Row],[O1  ADMIN 2026]:[P2    CAPE TOWN OPEN 2026 ]])</f>
        <v>0.25</v>
      </c>
      <c r="I656" s="880">
        <f t="shared" si="64"/>
        <v>0</v>
      </c>
      <c r="J656" s="882">
        <f t="shared" si="61"/>
        <v>0</v>
      </c>
      <c r="K656" s="887" t="s">
        <v>6083</v>
      </c>
      <c r="L656" s="887" t="s">
        <v>6083</v>
      </c>
      <c r="M656" s="887" t="s">
        <v>6083</v>
      </c>
      <c r="N656" s="887"/>
      <c r="O656" s="882"/>
      <c r="P656" s="882"/>
      <c r="Q656" s="888"/>
      <c r="R656" s="888"/>
      <c r="S656" s="888"/>
      <c r="T656" s="888"/>
      <c r="U656" s="882"/>
      <c r="V656" s="887"/>
      <c r="W656" s="888"/>
      <c r="X656" s="888"/>
      <c r="Y656" s="888"/>
      <c r="Z656" s="882"/>
      <c r="AA656" s="882"/>
      <c r="AB656" s="882"/>
      <c r="AC656" s="882"/>
      <c r="AD656" s="882"/>
      <c r="AE656" s="882"/>
      <c r="AF656" s="882"/>
      <c r="AG656" s="882"/>
      <c r="AH656" s="882">
        <v>1</v>
      </c>
      <c r="AI656" s="882"/>
      <c r="AJ656" s="882"/>
      <c r="AK656" s="882"/>
    </row>
    <row r="657" spans="1:37" s="890" customFormat="1">
      <c r="A657" s="882">
        <v>428</v>
      </c>
      <c r="B657" s="891">
        <f t="shared" si="63"/>
        <v>-225</v>
      </c>
      <c r="C657" s="882">
        <f t="shared" si="65"/>
        <v>653</v>
      </c>
      <c r="D657" s="883">
        <v>4070</v>
      </c>
      <c r="E657" s="884" t="str">
        <f>IFERROR(VLOOKUP(Table2[[#This Row],[Player No]],Table10[[No]:[Province]],2,0),"")</f>
        <v>BANSHI SHAGOR</v>
      </c>
      <c r="F657" s="885" t="str">
        <f>IFERROR(VLOOKUP(Table2[[#This Row],[Player No]],Table10[[No]:[Province]],3,0),"")</f>
        <v>JTTA</v>
      </c>
      <c r="G657" s="892">
        <v>0.5</v>
      </c>
      <c r="H657" s="886">
        <f>(Table2[[#This Row],[Points 2025]]/2)+SUM(Table2[[#This Row],[O1  ADMIN 2026]:[P2    CAPE TOWN OPEN 2026 ]])</f>
        <v>0.25</v>
      </c>
      <c r="I657" s="880">
        <f t="shared" si="64"/>
        <v>0</v>
      </c>
      <c r="J657" s="882">
        <f t="shared" ref="J657:J720" si="66">COUNTIF(O657:AK657,"&lt;0")</f>
        <v>0</v>
      </c>
      <c r="K657" s="887" t="s">
        <v>6083</v>
      </c>
      <c r="L657" s="887" t="s">
        <v>6083</v>
      </c>
      <c r="M657" s="887" t="s">
        <v>6083</v>
      </c>
      <c r="N657" s="887"/>
      <c r="O657" s="882"/>
      <c r="P657" s="882"/>
      <c r="Q657" s="888"/>
      <c r="R657" s="888"/>
      <c r="S657" s="888"/>
      <c r="T657" s="888"/>
      <c r="U657" s="882"/>
      <c r="V657" s="887"/>
      <c r="W657" s="888"/>
      <c r="X657" s="888"/>
      <c r="Y657" s="888"/>
      <c r="Z657" s="882"/>
      <c r="AA657" s="882"/>
      <c r="AB657" s="882"/>
      <c r="AC657" s="882"/>
      <c r="AD657" s="882"/>
      <c r="AE657" s="882"/>
      <c r="AF657" s="882"/>
      <c r="AG657" s="882"/>
      <c r="AH657" s="882">
        <v>1</v>
      </c>
      <c r="AI657" s="882"/>
      <c r="AJ657" s="882"/>
      <c r="AK657" s="882"/>
    </row>
    <row r="658" spans="1:37" s="890" customFormat="1">
      <c r="A658" s="882">
        <v>428</v>
      </c>
      <c r="B658" s="891">
        <f t="shared" si="63"/>
        <v>-226</v>
      </c>
      <c r="C658" s="882">
        <f t="shared" si="65"/>
        <v>654</v>
      </c>
      <c r="D658" s="883">
        <v>4071</v>
      </c>
      <c r="E658" s="884" t="str">
        <f>IFERROR(VLOOKUP(Table2[[#This Row],[Player No]],Table10[[No]:[Province]],2,0),"")</f>
        <v>Lee Miller</v>
      </c>
      <c r="F658" s="885" t="str">
        <f>IFERROR(VLOOKUP(Table2[[#This Row],[Player No]],Table10[[No]:[Province]],3,0),"")</f>
        <v>JTTA</v>
      </c>
      <c r="G658" s="892">
        <v>0.5</v>
      </c>
      <c r="H658" s="886">
        <f>(Table2[[#This Row],[Points 2025]]/2)+SUM(Table2[[#This Row],[O1  ADMIN 2026]:[P2    CAPE TOWN OPEN 2026 ]])</f>
        <v>0.25</v>
      </c>
      <c r="I658" s="880">
        <f t="shared" si="64"/>
        <v>0</v>
      </c>
      <c r="J658" s="882">
        <f t="shared" si="66"/>
        <v>0</v>
      </c>
      <c r="K658" s="887" t="s">
        <v>6083</v>
      </c>
      <c r="L658" s="887" t="s">
        <v>6083</v>
      </c>
      <c r="M658" s="887" t="s">
        <v>6083</v>
      </c>
      <c r="N658" s="887"/>
      <c r="O658" s="882"/>
      <c r="P658" s="882"/>
      <c r="Q658" s="888"/>
      <c r="R658" s="888"/>
      <c r="S658" s="888"/>
      <c r="T658" s="888"/>
      <c r="U658" s="882"/>
      <c r="V658" s="887"/>
      <c r="W658" s="888"/>
      <c r="X658" s="888"/>
      <c r="Y658" s="888"/>
      <c r="Z658" s="882"/>
      <c r="AA658" s="882"/>
      <c r="AB658" s="882"/>
      <c r="AC658" s="882"/>
      <c r="AD658" s="882"/>
      <c r="AE658" s="882"/>
      <c r="AF658" s="882"/>
      <c r="AG658" s="882"/>
      <c r="AH658" s="882">
        <v>1</v>
      </c>
      <c r="AI658" s="882"/>
      <c r="AJ658" s="882"/>
      <c r="AK658" s="882"/>
    </row>
    <row r="659" spans="1:37" s="890" customFormat="1">
      <c r="A659" s="882">
        <v>428</v>
      </c>
      <c r="B659" s="891">
        <f t="shared" si="63"/>
        <v>-227</v>
      </c>
      <c r="C659" s="882">
        <f t="shared" si="65"/>
        <v>655</v>
      </c>
      <c r="D659" s="883">
        <v>4072</v>
      </c>
      <c r="E659" s="884" t="str">
        <f>IFERROR(VLOOKUP(Table2[[#This Row],[Player No]],Table10[[No]:[Province]],2,0),"")</f>
        <v>Alok Chaudhary</v>
      </c>
      <c r="F659" s="885" t="str">
        <f>IFERROR(VLOOKUP(Table2[[#This Row],[Player No]],Table10[[No]:[Province]],3,0),"")</f>
        <v>JTTA</v>
      </c>
      <c r="G659" s="892">
        <v>0.5</v>
      </c>
      <c r="H659" s="886">
        <f>(Table2[[#This Row],[Points 2025]]/2)+SUM(Table2[[#This Row],[O1  ADMIN 2026]:[P2    CAPE TOWN OPEN 2026 ]])</f>
        <v>0.25</v>
      </c>
      <c r="I659" s="880">
        <f t="shared" si="64"/>
        <v>0</v>
      </c>
      <c r="J659" s="882">
        <f t="shared" si="66"/>
        <v>0</v>
      </c>
      <c r="K659" s="887" t="s">
        <v>6083</v>
      </c>
      <c r="L659" s="887" t="s">
        <v>6083</v>
      </c>
      <c r="M659" s="887" t="s">
        <v>6083</v>
      </c>
      <c r="N659" s="887"/>
      <c r="O659" s="882"/>
      <c r="P659" s="882"/>
      <c r="Q659" s="888"/>
      <c r="R659" s="888"/>
      <c r="S659" s="888"/>
      <c r="T659" s="888"/>
      <c r="U659" s="882"/>
      <c r="V659" s="887"/>
      <c r="W659" s="888"/>
      <c r="X659" s="888"/>
      <c r="Y659" s="888"/>
      <c r="Z659" s="882"/>
      <c r="AA659" s="882"/>
      <c r="AB659" s="882"/>
      <c r="AC659" s="882"/>
      <c r="AD659" s="882"/>
      <c r="AE659" s="882"/>
      <c r="AF659" s="882"/>
      <c r="AG659" s="882"/>
      <c r="AH659" s="882">
        <v>1</v>
      </c>
      <c r="AI659" s="882"/>
      <c r="AJ659" s="882"/>
      <c r="AK659" s="882"/>
    </row>
    <row r="660" spans="1:37" s="890" customFormat="1">
      <c r="A660" s="882">
        <v>428</v>
      </c>
      <c r="B660" s="891">
        <f t="shared" si="63"/>
        <v>-228</v>
      </c>
      <c r="C660" s="882">
        <f t="shared" si="65"/>
        <v>656</v>
      </c>
      <c r="D660" s="883">
        <v>4073</v>
      </c>
      <c r="E660" s="884" t="str">
        <f>IFERROR(VLOOKUP(Table2[[#This Row],[Player No]],Table10[[No]:[Province]],2,0),"")</f>
        <v>Amit Kumar</v>
      </c>
      <c r="F660" s="885" t="str">
        <f>IFERROR(VLOOKUP(Table2[[#This Row],[Player No]],Table10[[No]:[Province]],3,0),"")</f>
        <v>JTTA</v>
      </c>
      <c r="G660" s="892">
        <v>0.5</v>
      </c>
      <c r="H660" s="886">
        <f>(Table2[[#This Row],[Points 2025]]/2)+SUM(Table2[[#This Row],[O1  ADMIN 2026]:[P2    CAPE TOWN OPEN 2026 ]])</f>
        <v>0.25</v>
      </c>
      <c r="I660" s="880">
        <f t="shared" si="64"/>
        <v>0</v>
      </c>
      <c r="J660" s="882">
        <f t="shared" si="66"/>
        <v>0</v>
      </c>
      <c r="K660" s="887" t="s">
        <v>6083</v>
      </c>
      <c r="L660" s="887" t="s">
        <v>6083</v>
      </c>
      <c r="M660" s="887" t="s">
        <v>6083</v>
      </c>
      <c r="N660" s="887"/>
      <c r="O660" s="882"/>
      <c r="P660" s="882"/>
      <c r="Q660" s="888"/>
      <c r="R660" s="888"/>
      <c r="S660" s="888"/>
      <c r="T660" s="888"/>
      <c r="U660" s="882"/>
      <c r="V660" s="887"/>
      <c r="W660" s="888"/>
      <c r="X660" s="888"/>
      <c r="Y660" s="888"/>
      <c r="Z660" s="882"/>
      <c r="AA660" s="882"/>
      <c r="AB660" s="882"/>
      <c r="AC660" s="882"/>
      <c r="AD660" s="882"/>
      <c r="AE660" s="882"/>
      <c r="AF660" s="882"/>
      <c r="AG660" s="882"/>
      <c r="AH660" s="882">
        <v>1</v>
      </c>
      <c r="AI660" s="882"/>
      <c r="AJ660" s="882"/>
      <c r="AK660" s="882"/>
    </row>
    <row r="661" spans="1:37" s="890" customFormat="1">
      <c r="A661" s="882">
        <v>428</v>
      </c>
      <c r="B661" s="891">
        <f t="shared" si="63"/>
        <v>-229</v>
      </c>
      <c r="C661" s="882">
        <f t="shared" si="65"/>
        <v>657</v>
      </c>
      <c r="D661" s="883">
        <v>4075</v>
      </c>
      <c r="E661" s="884" t="str">
        <f>IFERROR(VLOOKUP(Table2[[#This Row],[Player No]],Table10[[No]:[Province]],2,0),"")</f>
        <v>Prasad Satyam</v>
      </c>
      <c r="F661" s="885" t="str">
        <f>IFERROR(VLOOKUP(Table2[[#This Row],[Player No]],Table10[[No]:[Province]],3,0),"")</f>
        <v>JTTA</v>
      </c>
      <c r="G661" s="892">
        <v>0.5</v>
      </c>
      <c r="H661" s="886">
        <f>(Table2[[#This Row],[Points 2025]]/2)+SUM(Table2[[#This Row],[O1  ADMIN 2026]:[P2    CAPE TOWN OPEN 2026 ]])</f>
        <v>0.25</v>
      </c>
      <c r="I661" s="880">
        <f t="shared" si="64"/>
        <v>0</v>
      </c>
      <c r="J661" s="882">
        <f t="shared" si="66"/>
        <v>0</v>
      </c>
      <c r="K661" s="887" t="s">
        <v>6083</v>
      </c>
      <c r="L661" s="887" t="s">
        <v>6083</v>
      </c>
      <c r="M661" s="887" t="s">
        <v>6083</v>
      </c>
      <c r="N661" s="887"/>
      <c r="O661" s="882"/>
      <c r="P661" s="882"/>
      <c r="Q661" s="888"/>
      <c r="R661" s="888"/>
      <c r="S661" s="888"/>
      <c r="T661" s="888"/>
      <c r="U661" s="882"/>
      <c r="V661" s="887"/>
      <c r="W661" s="888"/>
      <c r="X661" s="888"/>
      <c r="Y661" s="888"/>
      <c r="Z661" s="882"/>
      <c r="AA661" s="882"/>
      <c r="AB661" s="882"/>
      <c r="AC661" s="882"/>
      <c r="AD661" s="882"/>
      <c r="AE661" s="882"/>
      <c r="AF661" s="882"/>
      <c r="AG661" s="882"/>
      <c r="AH661" s="882">
        <v>1</v>
      </c>
      <c r="AI661" s="882"/>
      <c r="AJ661" s="882"/>
      <c r="AK661" s="882"/>
    </row>
    <row r="662" spans="1:37" s="890" customFormat="1">
      <c r="A662" s="882">
        <v>428</v>
      </c>
      <c r="B662" s="891">
        <f t="shared" si="63"/>
        <v>-230</v>
      </c>
      <c r="C662" s="882">
        <f t="shared" si="65"/>
        <v>658</v>
      </c>
      <c r="D662" s="883">
        <v>4077</v>
      </c>
      <c r="E662" s="884" t="str">
        <f>IFERROR(VLOOKUP(Table2[[#This Row],[Player No]],Table10[[No]:[Province]],2,0),"")</f>
        <v>Raju Jayaprakash-Kuppu</v>
      </c>
      <c r="F662" s="885" t="str">
        <f>IFERROR(VLOOKUP(Table2[[#This Row],[Player No]],Table10[[No]:[Province]],3,0),"")</f>
        <v>JTTA</v>
      </c>
      <c r="G662" s="892">
        <v>0.5</v>
      </c>
      <c r="H662" s="886">
        <f>(Table2[[#This Row],[Points 2025]]/2)+SUM(Table2[[#This Row],[O1  ADMIN 2026]:[P2    CAPE TOWN OPEN 2026 ]])</f>
        <v>0.25</v>
      </c>
      <c r="I662" s="880">
        <f t="shared" si="64"/>
        <v>0</v>
      </c>
      <c r="J662" s="882">
        <f t="shared" si="66"/>
        <v>0</v>
      </c>
      <c r="K662" s="887" t="s">
        <v>6083</v>
      </c>
      <c r="L662" s="887" t="s">
        <v>6083</v>
      </c>
      <c r="M662" s="887" t="s">
        <v>6083</v>
      </c>
      <c r="N662" s="887"/>
      <c r="O662" s="882"/>
      <c r="P662" s="882"/>
      <c r="Q662" s="888"/>
      <c r="R662" s="888"/>
      <c r="S662" s="888"/>
      <c r="T662" s="888"/>
      <c r="U662" s="882"/>
      <c r="V662" s="887"/>
      <c r="W662" s="888"/>
      <c r="X662" s="888"/>
      <c r="Y662" s="888"/>
      <c r="Z662" s="882"/>
      <c r="AA662" s="882"/>
      <c r="AB662" s="882"/>
      <c r="AC662" s="882"/>
      <c r="AD662" s="882"/>
      <c r="AE662" s="882"/>
      <c r="AF662" s="882"/>
      <c r="AG662" s="882"/>
      <c r="AH662" s="882">
        <v>1</v>
      </c>
      <c r="AI662" s="882"/>
      <c r="AJ662" s="882"/>
      <c r="AK662" s="882"/>
    </row>
    <row r="663" spans="1:37" s="890" customFormat="1">
      <c r="A663" s="882">
        <v>428</v>
      </c>
      <c r="B663" s="891">
        <f t="shared" si="63"/>
        <v>-231</v>
      </c>
      <c r="C663" s="882">
        <f t="shared" si="65"/>
        <v>659</v>
      </c>
      <c r="D663" s="883">
        <v>4078</v>
      </c>
      <c r="E663" s="884" t="str">
        <f>IFERROR(VLOOKUP(Table2[[#This Row],[Player No]],Table10[[No]:[Province]],2,0),"")</f>
        <v>Anil Buradkar</v>
      </c>
      <c r="F663" s="885" t="str">
        <f>IFERROR(VLOOKUP(Table2[[#This Row],[Player No]],Table10[[No]:[Province]],3,0),"")</f>
        <v>JTTA</v>
      </c>
      <c r="G663" s="892">
        <v>0.5</v>
      </c>
      <c r="H663" s="886">
        <f>(Table2[[#This Row],[Points 2025]]/2)+SUM(Table2[[#This Row],[O1  ADMIN 2026]:[P2    CAPE TOWN OPEN 2026 ]])</f>
        <v>0.25</v>
      </c>
      <c r="I663" s="880">
        <f t="shared" si="64"/>
        <v>0</v>
      </c>
      <c r="J663" s="882">
        <f t="shared" si="66"/>
        <v>0</v>
      </c>
      <c r="K663" s="887" t="s">
        <v>6083</v>
      </c>
      <c r="L663" s="887" t="s">
        <v>6083</v>
      </c>
      <c r="M663" s="887" t="s">
        <v>6083</v>
      </c>
      <c r="N663" s="887"/>
      <c r="O663" s="882"/>
      <c r="P663" s="882"/>
      <c r="Q663" s="888"/>
      <c r="R663" s="888"/>
      <c r="S663" s="888"/>
      <c r="T663" s="888"/>
      <c r="U663" s="882"/>
      <c r="V663" s="887"/>
      <c r="W663" s="888"/>
      <c r="X663" s="888"/>
      <c r="Y663" s="888"/>
      <c r="Z663" s="882"/>
      <c r="AA663" s="882"/>
      <c r="AB663" s="882"/>
      <c r="AC663" s="882"/>
      <c r="AD663" s="882"/>
      <c r="AE663" s="882"/>
      <c r="AF663" s="882"/>
      <c r="AG663" s="882"/>
      <c r="AH663" s="882">
        <v>1</v>
      </c>
      <c r="AI663" s="882"/>
      <c r="AJ663" s="882"/>
      <c r="AK663" s="882"/>
    </row>
    <row r="664" spans="1:37" s="890" customFormat="1">
      <c r="A664" s="882">
        <v>428</v>
      </c>
      <c r="B664" s="891">
        <f t="shared" si="63"/>
        <v>-232</v>
      </c>
      <c r="C664" s="882">
        <f t="shared" si="65"/>
        <v>660</v>
      </c>
      <c r="D664" s="883">
        <v>4080</v>
      </c>
      <c r="E664" s="884" t="str">
        <f>IFERROR(VLOOKUP(Table2[[#This Row],[Player No]],Table10[[No]:[Province]],2,0),"")</f>
        <v>Manish Kanodia</v>
      </c>
      <c r="F664" s="885" t="str">
        <f>IFERROR(VLOOKUP(Table2[[#This Row],[Player No]],Table10[[No]:[Province]],3,0),"")</f>
        <v>JTTA</v>
      </c>
      <c r="G664" s="892">
        <v>0.5</v>
      </c>
      <c r="H664" s="886">
        <f>(Table2[[#This Row],[Points 2025]]/2)+SUM(Table2[[#This Row],[O1  ADMIN 2026]:[P2    CAPE TOWN OPEN 2026 ]])</f>
        <v>0.25</v>
      </c>
      <c r="I664" s="880">
        <f t="shared" si="64"/>
        <v>0</v>
      </c>
      <c r="J664" s="882">
        <f t="shared" si="66"/>
        <v>0</v>
      </c>
      <c r="K664" s="887" t="s">
        <v>6083</v>
      </c>
      <c r="L664" s="887" t="s">
        <v>6083</v>
      </c>
      <c r="M664" s="887" t="s">
        <v>6083</v>
      </c>
      <c r="N664" s="887"/>
      <c r="O664" s="882"/>
      <c r="P664" s="882"/>
      <c r="Q664" s="888"/>
      <c r="R664" s="888"/>
      <c r="S664" s="888"/>
      <c r="T664" s="888"/>
      <c r="U664" s="882"/>
      <c r="V664" s="887"/>
      <c r="W664" s="888"/>
      <c r="X664" s="888"/>
      <c r="Y664" s="888"/>
      <c r="Z664" s="882"/>
      <c r="AA664" s="882"/>
      <c r="AB664" s="882"/>
      <c r="AC664" s="882"/>
      <c r="AD664" s="882"/>
      <c r="AE664" s="882"/>
      <c r="AF664" s="882"/>
      <c r="AG664" s="882"/>
      <c r="AH664" s="882">
        <v>1</v>
      </c>
      <c r="AI664" s="882"/>
      <c r="AJ664" s="882"/>
      <c r="AK664" s="882"/>
    </row>
    <row r="665" spans="1:37" s="890" customFormat="1">
      <c r="A665" s="882">
        <v>428</v>
      </c>
      <c r="B665" s="891">
        <f t="shared" si="63"/>
        <v>-233</v>
      </c>
      <c r="C665" s="882">
        <f t="shared" si="65"/>
        <v>661</v>
      </c>
      <c r="D665" s="883">
        <v>4081</v>
      </c>
      <c r="E665" s="884" t="str">
        <f>IFERROR(VLOOKUP(Table2[[#This Row],[Player No]],Table10[[No]:[Province]],2,0),"")</f>
        <v>Reenav Modi</v>
      </c>
      <c r="F665" s="885" t="str">
        <f>IFERROR(VLOOKUP(Table2[[#This Row],[Player No]],Table10[[No]:[Province]],3,0),"")</f>
        <v>EG</v>
      </c>
      <c r="G665" s="892">
        <v>0.5</v>
      </c>
      <c r="H665" s="886">
        <f>(Table2[[#This Row],[Points 2025]]/2)+SUM(Table2[[#This Row],[O1  ADMIN 2026]:[P2    CAPE TOWN OPEN 2026 ]])</f>
        <v>0.25</v>
      </c>
      <c r="I665" s="880">
        <f t="shared" si="64"/>
        <v>0</v>
      </c>
      <c r="J665" s="882">
        <f t="shared" si="66"/>
        <v>0</v>
      </c>
      <c r="K665" s="887" t="s">
        <v>6083</v>
      </c>
      <c r="L665" s="887" t="s">
        <v>6083</v>
      </c>
      <c r="M665" s="887" t="s">
        <v>6083</v>
      </c>
      <c r="N665" s="887"/>
      <c r="O665" s="882"/>
      <c r="P665" s="882"/>
      <c r="Q665" s="888"/>
      <c r="R665" s="888"/>
      <c r="S665" s="888"/>
      <c r="T665" s="888"/>
      <c r="U665" s="882"/>
      <c r="V665" s="887"/>
      <c r="W665" s="888"/>
      <c r="X665" s="888"/>
      <c r="Y665" s="888"/>
      <c r="Z665" s="882"/>
      <c r="AA665" s="882"/>
      <c r="AB665" s="882"/>
      <c r="AC665" s="882"/>
      <c r="AD665" s="882"/>
      <c r="AE665" s="882"/>
      <c r="AF665" s="882"/>
      <c r="AG665" s="882"/>
      <c r="AH665" s="882">
        <v>1</v>
      </c>
      <c r="AI665" s="882"/>
      <c r="AJ665" s="882"/>
      <c r="AK665" s="882"/>
    </row>
    <row r="666" spans="1:37" s="890" customFormat="1">
      <c r="A666" s="882">
        <v>428</v>
      </c>
      <c r="B666" s="891">
        <f t="shared" si="63"/>
        <v>-234</v>
      </c>
      <c r="C666" s="882">
        <f t="shared" si="65"/>
        <v>662</v>
      </c>
      <c r="D666" s="893">
        <v>4142</v>
      </c>
      <c r="E666" s="884" t="str">
        <f>IFERROR(VLOOKUP(Table2[[#This Row],[Player No]],Table10[[No]:[Province]],2,0),"")</f>
        <v xml:space="preserve">PASQUALLE Martino </v>
      </c>
      <c r="F666" s="885" t="str">
        <f>IFERROR(VLOOKUP(Table2[[#This Row],[Player No]],Table10[[No]:[Province]],3,0),"")</f>
        <v>CW</v>
      </c>
      <c r="G666" s="892">
        <v>0.5</v>
      </c>
      <c r="H666" s="886">
        <f>(Table2[[#This Row],[Points 2025]]/2)+SUM(Table2[[#This Row],[O1  ADMIN 2026]:[P2    CAPE TOWN OPEN 2026 ]])</f>
        <v>0.25</v>
      </c>
      <c r="I666" s="880">
        <f t="shared" si="64"/>
        <v>0</v>
      </c>
      <c r="J666" s="882">
        <f t="shared" si="66"/>
        <v>0</v>
      </c>
      <c r="K666" s="887" t="s">
        <v>6083</v>
      </c>
      <c r="L666" s="887" t="s">
        <v>6083</v>
      </c>
      <c r="M666" s="887" t="s">
        <v>6083</v>
      </c>
      <c r="N666" s="887"/>
      <c r="O666" s="882"/>
      <c r="P666" s="882"/>
      <c r="Q666" s="888"/>
      <c r="R666" s="888"/>
      <c r="S666" s="888"/>
      <c r="T666" s="888"/>
      <c r="U666" s="882"/>
      <c r="V666" s="887"/>
      <c r="W666" s="888"/>
      <c r="X666" s="888"/>
      <c r="Y666" s="888"/>
      <c r="Z666" s="882"/>
      <c r="AA666" s="882"/>
      <c r="AB666" s="882"/>
      <c r="AC666" s="882"/>
      <c r="AD666" s="882"/>
      <c r="AE666" s="882">
        <v>1</v>
      </c>
      <c r="AF666" s="882"/>
      <c r="AG666" s="882"/>
      <c r="AH666" s="882"/>
      <c r="AI666" s="882"/>
      <c r="AJ666" s="882"/>
      <c r="AK666" s="882"/>
    </row>
    <row r="667" spans="1:37" s="890" customFormat="1">
      <c r="A667" s="882">
        <v>428</v>
      </c>
      <c r="B667" s="891">
        <f t="shared" si="63"/>
        <v>-235</v>
      </c>
      <c r="C667" s="882">
        <f t="shared" si="65"/>
        <v>663</v>
      </c>
      <c r="D667" s="893">
        <v>4143</v>
      </c>
      <c r="E667" s="884" t="str">
        <f>IFERROR(VLOOKUP(Table2[[#This Row],[Player No]],Table10[[No]:[Province]],2,0),"")</f>
        <v xml:space="preserve">FLUKS James </v>
      </c>
      <c r="F667" s="885" t="str">
        <f>IFERROR(VLOOKUP(Table2[[#This Row],[Player No]],Table10[[No]:[Province]],3,0),"")</f>
        <v>CW</v>
      </c>
      <c r="G667" s="892">
        <v>0.5</v>
      </c>
      <c r="H667" s="886">
        <f>(Table2[[#This Row],[Points 2025]]/2)+SUM(Table2[[#This Row],[O1  ADMIN 2026]:[P2    CAPE TOWN OPEN 2026 ]])</f>
        <v>0.25</v>
      </c>
      <c r="I667" s="880">
        <f t="shared" si="64"/>
        <v>0</v>
      </c>
      <c r="J667" s="882">
        <f t="shared" si="66"/>
        <v>0</v>
      </c>
      <c r="K667" s="887" t="s">
        <v>6083</v>
      </c>
      <c r="L667" s="887" t="s">
        <v>6083</v>
      </c>
      <c r="M667" s="887" t="s">
        <v>6083</v>
      </c>
      <c r="N667" s="887"/>
      <c r="O667" s="882"/>
      <c r="P667" s="882"/>
      <c r="Q667" s="888"/>
      <c r="R667" s="888"/>
      <c r="S667" s="888"/>
      <c r="T667" s="888"/>
      <c r="U667" s="882"/>
      <c r="V667" s="887"/>
      <c r="W667" s="888"/>
      <c r="X667" s="888"/>
      <c r="Y667" s="888"/>
      <c r="Z667" s="882"/>
      <c r="AA667" s="882"/>
      <c r="AB667" s="882"/>
      <c r="AC667" s="882"/>
      <c r="AD667" s="882"/>
      <c r="AE667" s="882">
        <v>1</v>
      </c>
      <c r="AF667" s="882"/>
      <c r="AG667" s="882"/>
      <c r="AH667" s="882"/>
      <c r="AI667" s="882"/>
      <c r="AJ667" s="882"/>
      <c r="AK667" s="882"/>
    </row>
    <row r="668" spans="1:37" s="890" customFormat="1">
      <c r="A668" s="882">
        <v>428</v>
      </c>
      <c r="B668" s="891">
        <f t="shared" si="63"/>
        <v>-236</v>
      </c>
      <c r="C668" s="882">
        <f t="shared" si="65"/>
        <v>664</v>
      </c>
      <c r="D668" s="893">
        <v>4145</v>
      </c>
      <c r="E668" s="884" t="str">
        <f>IFERROR(VLOOKUP(Table2[[#This Row],[Player No]],Table10[[No]:[Province]],2,0),"")</f>
        <v xml:space="preserve">JOHANESSEN Antonio </v>
      </c>
      <c r="F668" s="885" t="str">
        <f>IFERROR(VLOOKUP(Table2[[#This Row],[Player No]],Table10[[No]:[Province]],3,0),"")</f>
        <v>CT</v>
      </c>
      <c r="G668" s="892">
        <v>0.5</v>
      </c>
      <c r="H668" s="886">
        <f>(Table2[[#This Row],[Points 2025]]/2)+SUM(Table2[[#This Row],[O1  ADMIN 2026]:[P2    CAPE TOWN OPEN 2026 ]])</f>
        <v>0.25</v>
      </c>
      <c r="I668" s="880">
        <f t="shared" si="64"/>
        <v>0</v>
      </c>
      <c r="J668" s="882">
        <f t="shared" si="66"/>
        <v>0</v>
      </c>
      <c r="K668" s="887" t="s">
        <v>6083</v>
      </c>
      <c r="L668" s="887" t="s">
        <v>6083</v>
      </c>
      <c r="M668" s="887" t="s">
        <v>6083</v>
      </c>
      <c r="N668" s="887"/>
      <c r="O668" s="882"/>
      <c r="P668" s="882"/>
      <c r="Q668" s="888"/>
      <c r="R668" s="888"/>
      <c r="S668" s="888"/>
      <c r="T668" s="888"/>
      <c r="U668" s="882"/>
      <c r="V668" s="887"/>
      <c r="W668" s="888"/>
      <c r="X668" s="888"/>
      <c r="Y668" s="888"/>
      <c r="Z668" s="882"/>
      <c r="AA668" s="882"/>
      <c r="AB668" s="882"/>
      <c r="AC668" s="882"/>
      <c r="AD668" s="882"/>
      <c r="AE668" s="882">
        <v>1</v>
      </c>
      <c r="AF668" s="882"/>
      <c r="AG668" s="882"/>
      <c r="AH668" s="882"/>
      <c r="AI668" s="882"/>
      <c r="AJ668" s="882"/>
      <c r="AK668" s="882"/>
    </row>
    <row r="669" spans="1:37" s="890" customFormat="1" ht="16" thickBot="1">
      <c r="A669" s="882">
        <v>428</v>
      </c>
      <c r="B669" s="891">
        <f t="shared" si="63"/>
        <v>-237</v>
      </c>
      <c r="C669" s="882">
        <f t="shared" si="65"/>
        <v>665</v>
      </c>
      <c r="D669" s="893">
        <v>4146</v>
      </c>
      <c r="E669" s="884" t="str">
        <f>IFERROR(VLOOKUP(Table2[[#This Row],[Player No]],Table10[[No]:[Province]],2,0),"")</f>
        <v xml:space="preserve">MKHETO Siphelele </v>
      </c>
      <c r="F669" s="885" t="str">
        <f>IFERROR(VLOOKUP(Table2[[#This Row],[Player No]],Table10[[No]:[Province]],3,0),"")</f>
        <v>CT</v>
      </c>
      <c r="G669" s="892">
        <v>0.5</v>
      </c>
      <c r="H669" s="886">
        <f>(Table2[[#This Row],[Points 2025]]/2)+SUM(Table2[[#This Row],[O1  ADMIN 2026]:[P2    CAPE TOWN OPEN 2026 ]])</f>
        <v>0.25</v>
      </c>
      <c r="I669" s="880">
        <f t="shared" si="64"/>
        <v>0</v>
      </c>
      <c r="J669" s="882">
        <f t="shared" si="66"/>
        <v>0</v>
      </c>
      <c r="K669" s="887" t="s">
        <v>6083</v>
      </c>
      <c r="L669" s="887" t="s">
        <v>6083</v>
      </c>
      <c r="M669" s="887" t="s">
        <v>6083</v>
      </c>
      <c r="N669" s="887"/>
      <c r="O669" s="882"/>
      <c r="P669" s="882"/>
      <c r="Q669" s="888"/>
      <c r="R669" s="888"/>
      <c r="S669" s="888"/>
      <c r="T669" s="888"/>
      <c r="U669" s="882"/>
      <c r="V669" s="887"/>
      <c r="W669" s="888"/>
      <c r="X669" s="888"/>
      <c r="Y669" s="888"/>
      <c r="Z669" s="882"/>
      <c r="AA669" s="882"/>
      <c r="AB669" s="882"/>
      <c r="AC669" s="882"/>
      <c r="AD669" s="882"/>
      <c r="AE669" s="882">
        <v>1</v>
      </c>
      <c r="AF669" s="882"/>
      <c r="AG669" s="882"/>
      <c r="AH669" s="882"/>
      <c r="AI669" s="882"/>
      <c r="AJ669" s="882"/>
      <c r="AK669" s="882"/>
    </row>
    <row r="670" spans="1:37" s="890" customFormat="1" ht="16" thickBot="1">
      <c r="A670" s="882">
        <v>428</v>
      </c>
      <c r="B670" s="891">
        <f t="shared" si="63"/>
        <v>-238</v>
      </c>
      <c r="C670" s="882">
        <f t="shared" si="65"/>
        <v>666</v>
      </c>
      <c r="D670" s="1023">
        <v>4148</v>
      </c>
      <c r="E670" s="884" t="str">
        <f>IFERROR(VLOOKUP(Table2[[#This Row],[Player No]],Table10[[No]:[Province]],2,0),"")</f>
        <v xml:space="preserve">PRINSLOO Timothy </v>
      </c>
      <c r="F670" s="885" t="str">
        <f>IFERROR(VLOOKUP(Table2[[#This Row],[Player No]],Table10[[No]:[Province]],3,0),"")</f>
        <v>CW</v>
      </c>
      <c r="G670" s="892">
        <v>0.5</v>
      </c>
      <c r="H670" s="886">
        <f>(Table2[[#This Row],[Points 2025]]/2)+SUM(Table2[[#This Row],[O1  ADMIN 2026]:[P2    CAPE TOWN OPEN 2026 ]])</f>
        <v>0.25</v>
      </c>
      <c r="I670" s="880">
        <f t="shared" si="64"/>
        <v>0</v>
      </c>
      <c r="J670" s="882">
        <f t="shared" si="66"/>
        <v>0</v>
      </c>
      <c r="K670" s="887" t="s">
        <v>6083</v>
      </c>
      <c r="L670" s="887" t="s">
        <v>6083</v>
      </c>
      <c r="M670" s="887" t="s">
        <v>6083</v>
      </c>
      <c r="N670" s="887"/>
      <c r="O670" s="882"/>
      <c r="P670" s="882"/>
      <c r="Q670" s="888"/>
      <c r="R670" s="888"/>
      <c r="S670" s="888"/>
      <c r="T670" s="888"/>
      <c r="U670" s="882"/>
      <c r="V670" s="887"/>
      <c r="W670" s="888"/>
      <c r="X670" s="888"/>
      <c r="Y670" s="888"/>
      <c r="Z670" s="882"/>
      <c r="AA670" s="882"/>
      <c r="AB670" s="882"/>
      <c r="AC670" s="882"/>
      <c r="AD670" s="882"/>
      <c r="AE670" s="882">
        <v>1</v>
      </c>
      <c r="AF670" s="882"/>
      <c r="AG670" s="882"/>
      <c r="AH670" s="882"/>
      <c r="AI670" s="882"/>
      <c r="AJ670" s="882"/>
      <c r="AK670" s="882"/>
    </row>
    <row r="671" spans="1:37" s="890" customFormat="1" ht="16" thickBot="1">
      <c r="A671" s="882">
        <v>428</v>
      </c>
      <c r="B671" s="891">
        <f t="shared" si="63"/>
        <v>-239</v>
      </c>
      <c r="C671" s="882">
        <f t="shared" si="65"/>
        <v>667</v>
      </c>
      <c r="D671" s="1022">
        <v>4149</v>
      </c>
      <c r="E671" s="884" t="str">
        <f>IFERROR(VLOOKUP(Table2[[#This Row],[Player No]],Table10[[No]:[Province]],2,0),"")</f>
        <v xml:space="preserve">WERNER Klaus </v>
      </c>
      <c r="F671" s="885" t="str">
        <f>IFERROR(VLOOKUP(Table2[[#This Row],[Player No]],Table10[[No]:[Province]],3,0),"")</f>
        <v>CW</v>
      </c>
      <c r="G671" s="892">
        <v>0.5</v>
      </c>
      <c r="H671" s="886">
        <f>(Table2[[#This Row],[Points 2025]]/2)+SUM(Table2[[#This Row],[O1  ADMIN 2026]:[P2    CAPE TOWN OPEN 2026 ]])</f>
        <v>0.25</v>
      </c>
      <c r="I671" s="880">
        <f t="shared" si="64"/>
        <v>0</v>
      </c>
      <c r="J671" s="882">
        <f t="shared" si="66"/>
        <v>0</v>
      </c>
      <c r="K671" s="887" t="s">
        <v>6083</v>
      </c>
      <c r="L671" s="887" t="s">
        <v>6083</v>
      </c>
      <c r="M671" s="887" t="s">
        <v>6083</v>
      </c>
      <c r="N671" s="887"/>
      <c r="O671" s="882"/>
      <c r="P671" s="882"/>
      <c r="Q671" s="888"/>
      <c r="R671" s="888"/>
      <c r="S671" s="888"/>
      <c r="T671" s="888"/>
      <c r="U671" s="882"/>
      <c r="V671" s="887"/>
      <c r="W671" s="888"/>
      <c r="X671" s="888"/>
      <c r="Y671" s="888"/>
      <c r="Z671" s="882"/>
      <c r="AA671" s="882"/>
      <c r="AB671" s="882"/>
      <c r="AC671" s="882"/>
      <c r="AD671" s="882"/>
      <c r="AE671" s="882">
        <v>1</v>
      </c>
      <c r="AF671" s="882"/>
      <c r="AG671" s="882"/>
      <c r="AH671" s="882"/>
      <c r="AI671" s="882"/>
      <c r="AJ671" s="882"/>
      <c r="AK671" s="882"/>
    </row>
    <row r="672" spans="1:37" s="890" customFormat="1" ht="16" thickBot="1">
      <c r="A672" s="882">
        <v>428</v>
      </c>
      <c r="B672" s="891">
        <f t="shared" si="63"/>
        <v>-240</v>
      </c>
      <c r="C672" s="882">
        <f t="shared" si="65"/>
        <v>668</v>
      </c>
      <c r="D672" s="1022">
        <v>4150</v>
      </c>
      <c r="E672" s="884" t="str">
        <f>IFERROR(VLOOKUP(Table2[[#This Row],[Player No]],Table10[[No]:[Province]],2,0),"")</f>
        <v xml:space="preserve">PAULSE Louis </v>
      </c>
      <c r="F672" s="885" t="str">
        <f>IFERROR(VLOOKUP(Table2[[#This Row],[Player No]],Table10[[No]:[Province]],3,0),"")</f>
        <v>CT</v>
      </c>
      <c r="G672" s="892">
        <v>0.5</v>
      </c>
      <c r="H672" s="886">
        <f>(Table2[[#This Row],[Points 2025]]/2)+SUM(Table2[[#This Row],[O1  ADMIN 2026]:[P2    CAPE TOWN OPEN 2026 ]])</f>
        <v>0.25</v>
      </c>
      <c r="I672" s="880">
        <f t="shared" si="64"/>
        <v>0</v>
      </c>
      <c r="J672" s="882">
        <f t="shared" si="66"/>
        <v>0</v>
      </c>
      <c r="K672" s="887" t="s">
        <v>6083</v>
      </c>
      <c r="L672" s="887" t="s">
        <v>6083</v>
      </c>
      <c r="M672" s="887" t="s">
        <v>6083</v>
      </c>
      <c r="N672" s="887"/>
      <c r="O672" s="882"/>
      <c r="P672" s="882"/>
      <c r="Q672" s="888"/>
      <c r="R672" s="888"/>
      <c r="S672" s="888"/>
      <c r="T672" s="888"/>
      <c r="U672" s="882"/>
      <c r="V672" s="887"/>
      <c r="W672" s="888"/>
      <c r="X672" s="888"/>
      <c r="Y672" s="888"/>
      <c r="Z672" s="882"/>
      <c r="AA672" s="882"/>
      <c r="AB672" s="882"/>
      <c r="AC672" s="882"/>
      <c r="AD672" s="882"/>
      <c r="AE672" s="882">
        <v>1</v>
      </c>
      <c r="AF672" s="882"/>
      <c r="AG672" s="882"/>
      <c r="AH672" s="882"/>
      <c r="AI672" s="882"/>
      <c r="AJ672" s="882"/>
      <c r="AK672" s="882"/>
    </row>
    <row r="673" spans="1:37" s="890" customFormat="1" ht="16" thickBot="1">
      <c r="A673" s="882">
        <v>428</v>
      </c>
      <c r="B673" s="891">
        <f t="shared" si="63"/>
        <v>-241</v>
      </c>
      <c r="C673" s="882">
        <f t="shared" si="65"/>
        <v>669</v>
      </c>
      <c r="D673" s="1022">
        <v>4151</v>
      </c>
      <c r="E673" s="884" t="str">
        <f>IFERROR(VLOOKUP(Table2[[#This Row],[Player No]],Table10[[No]:[Province]],2,0),"")</f>
        <v xml:space="preserve">BURNS Andre </v>
      </c>
      <c r="F673" s="885" t="str">
        <f>IFERROR(VLOOKUP(Table2[[#This Row],[Player No]],Table10[[No]:[Province]],3,0),"")</f>
        <v>CT</v>
      </c>
      <c r="G673" s="892">
        <v>0.5</v>
      </c>
      <c r="H673" s="886">
        <f>(Table2[[#This Row],[Points 2025]]/2)+SUM(Table2[[#This Row],[O1  ADMIN 2026]:[P2    CAPE TOWN OPEN 2026 ]])</f>
        <v>0.25</v>
      </c>
      <c r="I673" s="880">
        <f t="shared" si="64"/>
        <v>0</v>
      </c>
      <c r="J673" s="882">
        <f t="shared" si="66"/>
        <v>0</v>
      </c>
      <c r="K673" s="887" t="s">
        <v>6083</v>
      </c>
      <c r="L673" s="887" t="s">
        <v>6083</v>
      </c>
      <c r="M673" s="887" t="s">
        <v>6083</v>
      </c>
      <c r="N673" s="887"/>
      <c r="O673" s="882"/>
      <c r="P673" s="882"/>
      <c r="Q673" s="888"/>
      <c r="R673" s="888"/>
      <c r="S673" s="888"/>
      <c r="T673" s="888"/>
      <c r="U673" s="882"/>
      <c r="V673" s="887"/>
      <c r="W673" s="888"/>
      <c r="X673" s="888"/>
      <c r="Y673" s="888"/>
      <c r="Z673" s="882"/>
      <c r="AA673" s="882"/>
      <c r="AB673" s="882"/>
      <c r="AC673" s="882"/>
      <c r="AD673" s="882"/>
      <c r="AE673" s="882">
        <v>1</v>
      </c>
      <c r="AF673" s="882"/>
      <c r="AG673" s="882"/>
      <c r="AH673" s="882"/>
      <c r="AI673" s="882"/>
      <c r="AJ673" s="882"/>
      <c r="AK673" s="882"/>
    </row>
    <row r="674" spans="1:37" s="890" customFormat="1" ht="16" thickBot="1">
      <c r="A674" s="882"/>
      <c r="B674" s="891"/>
      <c r="C674" s="882">
        <f t="shared" si="65"/>
        <v>670</v>
      </c>
      <c r="D674" s="900">
        <v>4202</v>
      </c>
      <c r="E674" s="884" t="str">
        <f>IFERROR(VLOOKUP(Table2[[#This Row],[Player No]],Table10[[No]:[Province]],2,0),"")</f>
        <v>Sello SITHOLE</v>
      </c>
      <c r="F674" s="885" t="str">
        <f>IFERROR(VLOOKUP(Table2[[#This Row],[Player No]],Table10[[No]:[Province]],3,0),"")</f>
        <v>SED</v>
      </c>
      <c r="G674" s="892">
        <v>0.5</v>
      </c>
      <c r="H674" s="886">
        <f>(Table2[[#This Row],[Points 2025]]/2)+SUM(Table2[[#This Row],[O1  ADMIN 2026]:[P2    CAPE TOWN OPEN 2026 ]])</f>
        <v>0.25</v>
      </c>
      <c r="I674" s="880">
        <f t="shared" si="64"/>
        <v>0</v>
      </c>
      <c r="J674" s="882">
        <f t="shared" si="66"/>
        <v>0</v>
      </c>
      <c r="K674" s="887" t="s">
        <v>6083</v>
      </c>
      <c r="L674" s="887" t="s">
        <v>6083</v>
      </c>
      <c r="M674" s="887" t="s">
        <v>6083</v>
      </c>
      <c r="N674" s="887"/>
      <c r="O674" s="882"/>
      <c r="P674" s="882"/>
      <c r="Q674" s="888"/>
      <c r="R674" s="888"/>
      <c r="S674" s="888"/>
      <c r="T674" s="888"/>
      <c r="U674" s="882"/>
      <c r="V674" s="887"/>
      <c r="W674" s="888"/>
      <c r="X674" s="888"/>
      <c r="Y674" s="888">
        <v>0</v>
      </c>
      <c r="Z674" s="882"/>
      <c r="AA674" s="882">
        <v>0.5</v>
      </c>
      <c r="AB674" s="882"/>
      <c r="AC674" s="882"/>
      <c r="AD674" s="882"/>
      <c r="AE674" s="882"/>
      <c r="AF674" s="882"/>
      <c r="AG674" s="882"/>
      <c r="AH674" s="882"/>
      <c r="AI674" s="882"/>
      <c r="AJ674" s="882"/>
      <c r="AK674" s="882"/>
    </row>
    <row r="675" spans="1:37" s="890" customFormat="1" ht="16" thickBot="1">
      <c r="A675" s="882">
        <v>428</v>
      </c>
      <c r="B675" s="891">
        <f t="shared" ref="B675:B706" si="67">+A675-C675</f>
        <v>-243</v>
      </c>
      <c r="C675" s="882">
        <f t="shared" si="65"/>
        <v>671</v>
      </c>
      <c r="D675" s="900">
        <v>4388</v>
      </c>
      <c r="E675" s="884" t="str">
        <f>IFERROR(VLOOKUP(Table2[[#This Row],[Player No]],Table10[[No]:[Province]],2,0),"")</f>
        <v>Antony BULLEN</v>
      </c>
      <c r="F675" s="885" t="str">
        <f>IFERROR(VLOOKUP(Table2[[#This Row],[Player No]],Table10[[No]:[Province]],3,0),"")</f>
        <v>JTTA</v>
      </c>
      <c r="G675" s="892">
        <v>0.5</v>
      </c>
      <c r="H675" s="886">
        <f>(Table2[[#This Row],[Points 2025]]/2)+SUM(Table2[[#This Row],[O1  ADMIN 2026]:[P2    CAPE TOWN OPEN 2026 ]])</f>
        <v>0.25</v>
      </c>
      <c r="I675" s="880">
        <f t="shared" si="64"/>
        <v>0</v>
      </c>
      <c r="J675" s="882">
        <f t="shared" si="66"/>
        <v>0</v>
      </c>
      <c r="K675" s="887" t="s">
        <v>6083</v>
      </c>
      <c r="L675" s="887" t="s">
        <v>6083</v>
      </c>
      <c r="M675" s="887" t="s">
        <v>6083</v>
      </c>
      <c r="N675" s="887"/>
      <c r="O675" s="882"/>
      <c r="P675" s="882"/>
      <c r="Q675" s="888"/>
      <c r="R675" s="888"/>
      <c r="S675" s="888"/>
      <c r="T675" s="888"/>
      <c r="U675" s="882"/>
      <c r="V675" s="887"/>
      <c r="W675" s="888"/>
      <c r="X675" s="888">
        <v>0.5</v>
      </c>
      <c r="Y675" s="888"/>
      <c r="Z675" s="882"/>
      <c r="AA675" s="882"/>
      <c r="AB675" s="882"/>
      <c r="AC675" s="882"/>
      <c r="AD675" s="882"/>
      <c r="AE675" s="882"/>
      <c r="AF675" s="882"/>
      <c r="AG675" s="882"/>
      <c r="AH675" s="882"/>
      <c r="AI675" s="882"/>
      <c r="AJ675" s="882"/>
      <c r="AK675" s="882"/>
    </row>
    <row r="676" spans="1:37" s="890" customFormat="1" ht="16" thickBot="1">
      <c r="A676" s="882">
        <v>428</v>
      </c>
      <c r="B676" s="891">
        <f t="shared" si="67"/>
        <v>-244</v>
      </c>
      <c r="C676" s="882">
        <f t="shared" si="65"/>
        <v>672</v>
      </c>
      <c r="D676" s="900">
        <v>4414</v>
      </c>
      <c r="E676" s="884" t="str">
        <f>IFERROR(VLOOKUP(Table2[[#This Row],[Player No]],Table10[[No]:[Province]],2,0),"")</f>
        <v>FC Bezuidenhout</v>
      </c>
      <c r="F676" s="885" t="str">
        <f>IFERROR(VLOOKUP(Table2[[#This Row],[Player No]],Table10[[No]:[Province]],3,0),"")</f>
        <v>JTTA</v>
      </c>
      <c r="G676" s="892">
        <v>0.5</v>
      </c>
      <c r="H676" s="886">
        <f>(Table2[[#This Row],[Points 2025]]/2)+SUM(Table2[[#This Row],[O1  ADMIN 2026]:[P2    CAPE TOWN OPEN 2026 ]])</f>
        <v>0.25</v>
      </c>
      <c r="I676" s="880">
        <f t="shared" si="64"/>
        <v>0</v>
      </c>
      <c r="J676" s="882">
        <f t="shared" si="66"/>
        <v>0</v>
      </c>
      <c r="K676" s="887" t="s">
        <v>6083</v>
      </c>
      <c r="L676" s="887" t="s">
        <v>6083</v>
      </c>
      <c r="M676" s="887" t="s">
        <v>6083</v>
      </c>
      <c r="N676" s="887"/>
      <c r="O676" s="882"/>
      <c r="P676" s="882"/>
      <c r="Q676" s="888"/>
      <c r="R676" s="888"/>
      <c r="S676" s="888"/>
      <c r="T676" s="888"/>
      <c r="U676" s="882"/>
      <c r="V676" s="887"/>
      <c r="W676" s="888"/>
      <c r="X676" s="888">
        <v>0.5</v>
      </c>
      <c r="Y676" s="888"/>
      <c r="Z676" s="882"/>
      <c r="AA676" s="882"/>
      <c r="AB676" s="882"/>
      <c r="AC676" s="882"/>
      <c r="AD676" s="882"/>
      <c r="AE676" s="882"/>
      <c r="AF676" s="882"/>
      <c r="AG676" s="882"/>
      <c r="AH676" s="882"/>
      <c r="AI676" s="882"/>
      <c r="AJ676" s="882"/>
      <c r="AK676" s="882"/>
    </row>
    <row r="677" spans="1:37" s="890" customFormat="1" ht="16" thickBot="1">
      <c r="A677" s="882">
        <v>428</v>
      </c>
      <c r="B677" s="891">
        <f t="shared" si="67"/>
        <v>-245</v>
      </c>
      <c r="C677" s="882">
        <f t="shared" si="65"/>
        <v>673</v>
      </c>
      <c r="D677" s="900">
        <v>4415</v>
      </c>
      <c r="E677" s="884" t="str">
        <f>IFERROR(VLOOKUP(Table2[[#This Row],[Player No]],Table10[[No]:[Province]],2,0),"")</f>
        <v>Aaron Green</v>
      </c>
      <c r="F677" s="885" t="str">
        <f>IFERROR(VLOOKUP(Table2[[#This Row],[Player No]],Table10[[No]:[Province]],3,0),"")</f>
        <v>JTTA</v>
      </c>
      <c r="G677" s="892">
        <v>0.5</v>
      </c>
      <c r="H677" s="886">
        <f>(Table2[[#This Row],[Points 2025]]/2)+SUM(Table2[[#This Row],[O1  ADMIN 2026]:[P2    CAPE TOWN OPEN 2026 ]])</f>
        <v>0.25</v>
      </c>
      <c r="I677" s="880">
        <f t="shared" si="64"/>
        <v>0</v>
      </c>
      <c r="J677" s="882">
        <f t="shared" si="66"/>
        <v>0</v>
      </c>
      <c r="K677" s="887" t="s">
        <v>6083</v>
      </c>
      <c r="L677" s="887" t="s">
        <v>6083</v>
      </c>
      <c r="M677" s="887" t="s">
        <v>6083</v>
      </c>
      <c r="N677" s="887"/>
      <c r="O677" s="882"/>
      <c r="P677" s="882"/>
      <c r="Q677" s="888"/>
      <c r="R677" s="888"/>
      <c r="S677" s="888"/>
      <c r="T677" s="888"/>
      <c r="U677" s="882"/>
      <c r="V677" s="887"/>
      <c r="W677" s="888"/>
      <c r="X677" s="888">
        <v>0.5</v>
      </c>
      <c r="Y677" s="888"/>
      <c r="Z677" s="882"/>
      <c r="AA677" s="882"/>
      <c r="AB677" s="882"/>
      <c r="AC677" s="882"/>
      <c r="AD677" s="882"/>
      <c r="AE677" s="882"/>
      <c r="AF677" s="882"/>
      <c r="AG677" s="882"/>
      <c r="AH677" s="882"/>
      <c r="AI677" s="882"/>
      <c r="AJ677" s="882"/>
      <c r="AK677" s="882"/>
    </row>
    <row r="678" spans="1:37" s="890" customFormat="1" ht="16" thickBot="1">
      <c r="A678" s="882">
        <v>433</v>
      </c>
      <c r="B678" s="891">
        <f t="shared" si="67"/>
        <v>-241</v>
      </c>
      <c r="C678" s="882">
        <f t="shared" si="65"/>
        <v>674</v>
      </c>
      <c r="D678" s="900">
        <v>1072</v>
      </c>
      <c r="E678" s="884" t="str">
        <f>IFERROR(VLOOKUP(Table2[[#This Row],[Player No]],Table10[[No]:[Province]],2,0),"")</f>
        <v xml:space="preserve">JULIUS Warren </v>
      </c>
      <c r="F678" s="885" t="str">
        <f>IFERROR(VLOOKUP(Table2[[#This Row],[Player No]],Table10[[No]:[Province]],3,0),"")</f>
        <v>CT</v>
      </c>
      <c r="G678" s="892">
        <v>0.498046875</v>
      </c>
      <c r="H678" s="886">
        <f>(Table2[[#This Row],[Points 2025]]/2)+SUM(Table2[[#This Row],[O1  ADMIN 2026]:[P2    CAPE TOWN OPEN 2026 ]])</f>
        <v>0.2490234375</v>
      </c>
      <c r="I678" s="880">
        <f t="shared" si="64"/>
        <v>0</v>
      </c>
      <c r="J678" s="882">
        <f t="shared" si="66"/>
        <v>0</v>
      </c>
      <c r="K678" s="887" t="s">
        <v>6083</v>
      </c>
      <c r="L678" s="887" t="s">
        <v>6083</v>
      </c>
      <c r="M678" s="887" t="s">
        <v>6083</v>
      </c>
      <c r="N678" s="887"/>
      <c r="O678" s="882"/>
      <c r="P678" s="882"/>
      <c r="Q678" s="888"/>
      <c r="R678" s="888"/>
      <c r="S678" s="888"/>
      <c r="T678" s="888"/>
      <c r="U678" s="882"/>
      <c r="V678" s="887"/>
      <c r="W678" s="888"/>
      <c r="X678" s="888"/>
      <c r="Y678" s="888"/>
      <c r="Z678" s="882"/>
      <c r="AA678" s="882"/>
      <c r="AB678" s="882"/>
      <c r="AC678" s="882"/>
      <c r="AD678" s="882"/>
      <c r="AE678" s="882"/>
      <c r="AF678" s="882"/>
      <c r="AG678" s="882"/>
      <c r="AH678" s="882"/>
      <c r="AI678" s="882"/>
      <c r="AJ678" s="882"/>
      <c r="AK678" s="882"/>
    </row>
    <row r="679" spans="1:37" s="890" customFormat="1" ht="16" thickBot="1">
      <c r="A679" s="882">
        <v>435</v>
      </c>
      <c r="B679" s="891">
        <f t="shared" si="67"/>
        <v>-240</v>
      </c>
      <c r="C679" s="882">
        <f t="shared" si="65"/>
        <v>675</v>
      </c>
      <c r="D679" s="900">
        <v>2263</v>
      </c>
      <c r="E679" s="884" t="str">
        <f>IFERROR(VLOOKUP(Table2[[#This Row],[Player No]],Table10[[No]:[Province]],2,0),"")</f>
        <v>ZHU Quiang Solomon</v>
      </c>
      <c r="F679" s="885" t="str">
        <f>IFERROR(VLOOKUP(Table2[[#This Row],[Player No]],Table10[[No]:[Province]],3,0),"")</f>
        <v>SAVETTS</v>
      </c>
      <c r="G679" s="892">
        <v>0.484375</v>
      </c>
      <c r="H679" s="886">
        <f>(Table2[[#This Row],[Points 2025]]/2)+SUM(Table2[[#This Row],[O1  ADMIN 2026]:[P2    CAPE TOWN OPEN 2026 ]])</f>
        <v>0.2421875</v>
      </c>
      <c r="I679" s="880">
        <f t="shared" si="64"/>
        <v>0</v>
      </c>
      <c r="J679" s="882">
        <f t="shared" si="66"/>
        <v>0</v>
      </c>
      <c r="K679" s="887" t="s">
        <v>6083</v>
      </c>
      <c r="L679" s="887" t="s">
        <v>6083</v>
      </c>
      <c r="M679" s="887" t="s">
        <v>6083</v>
      </c>
      <c r="N679" s="887"/>
      <c r="O679" s="882"/>
      <c r="P679" s="882"/>
      <c r="Q679" s="888"/>
      <c r="R679" s="888"/>
      <c r="S679" s="888"/>
      <c r="T679" s="888"/>
      <c r="U679" s="882"/>
      <c r="V679" s="887"/>
      <c r="W679" s="888"/>
      <c r="X679" s="888"/>
      <c r="Y679" s="888"/>
      <c r="Z679" s="882"/>
      <c r="AA679" s="882"/>
      <c r="AB679" s="882"/>
      <c r="AC679" s="882"/>
      <c r="AD679" s="882"/>
      <c r="AE679" s="882"/>
      <c r="AF679" s="882"/>
      <c r="AG679" s="882"/>
      <c r="AH679" s="882"/>
      <c r="AI679" s="882"/>
      <c r="AJ679" s="882"/>
      <c r="AK679" s="882"/>
    </row>
    <row r="680" spans="1:37" s="890" customFormat="1" ht="16" thickBot="1">
      <c r="A680" s="882">
        <v>441</v>
      </c>
      <c r="B680" s="891">
        <f t="shared" si="67"/>
        <v>-235</v>
      </c>
      <c r="C680" s="882">
        <f t="shared" si="65"/>
        <v>676</v>
      </c>
      <c r="D680" s="900">
        <v>1776</v>
      </c>
      <c r="E680" s="884" t="str">
        <f>IFERROR(VLOOKUP(Table2[[#This Row],[Player No]],Table10[[No]:[Province]],2,0),"")</f>
        <v>NTAMUTUBA Richard</v>
      </c>
      <c r="F680" s="885" t="str">
        <f>IFERROR(VLOOKUP(Table2[[#This Row],[Player No]],Table10[[No]:[Province]],3,0),"")</f>
        <v>CT</v>
      </c>
      <c r="G680" s="892">
        <v>0.4296875</v>
      </c>
      <c r="H680" s="886">
        <f>(Table2[[#This Row],[Points 2025]]/2)+SUM(Table2[[#This Row],[O1  ADMIN 2026]:[P2    CAPE TOWN OPEN 2026 ]])</f>
        <v>0.21484375</v>
      </c>
      <c r="I680" s="880">
        <f t="shared" si="64"/>
        <v>0</v>
      </c>
      <c r="J680" s="882">
        <f t="shared" si="66"/>
        <v>0</v>
      </c>
      <c r="K680" s="887" t="s">
        <v>6083</v>
      </c>
      <c r="L680" s="887" t="s">
        <v>6083</v>
      </c>
      <c r="M680" s="887" t="s">
        <v>6083</v>
      </c>
      <c r="N680" s="887"/>
      <c r="O680" s="882"/>
      <c r="P680" s="882"/>
      <c r="Q680" s="888"/>
      <c r="R680" s="888"/>
      <c r="S680" s="888"/>
      <c r="T680" s="888"/>
      <c r="U680" s="882"/>
      <c r="V680" s="887"/>
      <c r="W680" s="888"/>
      <c r="X680" s="888"/>
      <c r="Y680" s="888"/>
      <c r="Z680" s="882"/>
      <c r="AA680" s="882"/>
      <c r="AB680" s="882"/>
      <c r="AC680" s="882"/>
      <c r="AD680" s="882"/>
      <c r="AE680" s="882"/>
      <c r="AF680" s="882"/>
      <c r="AG680" s="882"/>
      <c r="AH680" s="882"/>
      <c r="AI680" s="882"/>
      <c r="AJ680" s="882"/>
      <c r="AK680" s="882"/>
    </row>
    <row r="681" spans="1:37" s="890" customFormat="1" ht="16" thickBot="1">
      <c r="A681" s="882">
        <v>443</v>
      </c>
      <c r="B681" s="891">
        <f t="shared" si="67"/>
        <v>-234</v>
      </c>
      <c r="C681" s="882">
        <f t="shared" si="65"/>
        <v>677</v>
      </c>
      <c r="D681" s="900">
        <v>2497</v>
      </c>
      <c r="E681" s="884" t="str">
        <f>IFERROR(VLOOKUP(Table2[[#This Row],[Player No]],Table10[[No]:[Province]],2,0),"")</f>
        <v>DAVIDS Sacha</v>
      </c>
      <c r="F681" s="885" t="str">
        <f>IFERROR(VLOOKUP(Table2[[#This Row],[Player No]],Table10[[No]:[Province]],3,0),"")</f>
        <v>CT</v>
      </c>
      <c r="G681" s="892">
        <v>0.421875</v>
      </c>
      <c r="H681" s="886">
        <f>(Table2[[#This Row],[Points 2025]]/2)+SUM(Table2[[#This Row],[O1  ADMIN 2026]:[P2    CAPE TOWN OPEN 2026 ]])</f>
        <v>0.2109375</v>
      </c>
      <c r="I681" s="880">
        <f t="shared" si="64"/>
        <v>0</v>
      </c>
      <c r="J681" s="882">
        <f t="shared" si="66"/>
        <v>0</v>
      </c>
      <c r="K681" s="887" t="s">
        <v>6083</v>
      </c>
      <c r="L681" s="887" t="s">
        <v>6083</v>
      </c>
      <c r="M681" s="887" t="s">
        <v>6083</v>
      </c>
      <c r="N681" s="887"/>
      <c r="O681" s="882"/>
      <c r="P681" s="882"/>
      <c r="Q681" s="888"/>
      <c r="R681" s="888"/>
      <c r="S681" s="888"/>
      <c r="T681" s="888"/>
      <c r="U681" s="882"/>
      <c r="V681" s="887"/>
      <c r="W681" s="888"/>
      <c r="X681" s="888"/>
      <c r="Y681" s="888"/>
      <c r="Z681" s="882"/>
      <c r="AA681" s="882"/>
      <c r="AB681" s="882"/>
      <c r="AC681" s="882"/>
      <c r="AD681" s="882"/>
      <c r="AE681" s="882"/>
      <c r="AF681" s="882"/>
      <c r="AG681" s="882"/>
      <c r="AH681" s="882"/>
      <c r="AI681" s="882"/>
      <c r="AJ681" s="882"/>
      <c r="AK681" s="882"/>
    </row>
    <row r="682" spans="1:37" s="890" customFormat="1" ht="16" thickBot="1">
      <c r="A682" s="882">
        <v>456</v>
      </c>
      <c r="B682" s="891">
        <f t="shared" si="67"/>
        <v>-222</v>
      </c>
      <c r="C682" s="882">
        <f t="shared" si="65"/>
        <v>678</v>
      </c>
      <c r="D682" s="900">
        <v>2493</v>
      </c>
      <c r="E682" s="884" t="str">
        <f>IFERROR(VLOOKUP(Table2[[#This Row],[Player No]],Table10[[No]:[Province]],2,0),"")</f>
        <v xml:space="preserve">ALEXANDER Sedick </v>
      </c>
      <c r="F682" s="885" t="str">
        <f>IFERROR(VLOOKUP(Table2[[#This Row],[Player No]],Table10[[No]:[Province]],3,0),"")</f>
        <v>CT</v>
      </c>
      <c r="G682" s="892">
        <v>0.375</v>
      </c>
      <c r="H682" s="886">
        <f>(Table2[[#This Row],[Points 2025]]/2)+SUM(Table2[[#This Row],[O1  ADMIN 2026]:[P2    CAPE TOWN OPEN 2026 ]])</f>
        <v>0.1875</v>
      </c>
      <c r="I682" s="880">
        <f t="shared" si="64"/>
        <v>0</v>
      </c>
      <c r="J682" s="882">
        <f t="shared" si="66"/>
        <v>0</v>
      </c>
      <c r="K682" s="887" t="s">
        <v>6083</v>
      </c>
      <c r="L682" s="887" t="s">
        <v>6083</v>
      </c>
      <c r="M682" s="887" t="s">
        <v>6083</v>
      </c>
      <c r="N682" s="887"/>
      <c r="O682" s="882"/>
      <c r="P682" s="882"/>
      <c r="Q682" s="888"/>
      <c r="R682" s="888"/>
      <c r="S682" s="888"/>
      <c r="T682" s="888"/>
      <c r="U682" s="882"/>
      <c r="V682" s="887"/>
      <c r="W682" s="888"/>
      <c r="X682" s="888"/>
      <c r="Y682" s="888"/>
      <c r="Z682" s="882"/>
      <c r="AA682" s="882"/>
      <c r="AB682" s="882"/>
      <c r="AC682" s="882"/>
      <c r="AD682" s="882"/>
      <c r="AE682" s="882"/>
      <c r="AF682" s="882"/>
      <c r="AG682" s="882"/>
      <c r="AH682" s="882"/>
      <c r="AI682" s="882"/>
      <c r="AJ682" s="882"/>
      <c r="AK682" s="882"/>
    </row>
    <row r="683" spans="1:37" s="890" customFormat="1">
      <c r="A683" s="882">
        <v>450</v>
      </c>
      <c r="B683" s="891">
        <f t="shared" si="67"/>
        <v>-229</v>
      </c>
      <c r="C683" s="882">
        <f t="shared" si="65"/>
        <v>679</v>
      </c>
      <c r="D683" s="1020">
        <v>2509</v>
      </c>
      <c r="E683" s="884" t="str">
        <f>IFERROR(VLOOKUP(Table2[[#This Row],[Player No]],Table10[[No]:[Province]],2,0),"")</f>
        <v>STUART Kaydin</v>
      </c>
      <c r="F683" s="885" t="str">
        <f>IFERROR(VLOOKUP(Table2[[#This Row],[Player No]],Table10[[No]:[Province]],3,0),"")</f>
        <v>CT</v>
      </c>
      <c r="G683" s="892">
        <v>0.375</v>
      </c>
      <c r="H683" s="886">
        <f>(Table2[[#This Row],[Points 2025]]/2)+SUM(Table2[[#This Row],[O1  ADMIN 2026]:[P2    CAPE TOWN OPEN 2026 ]])</f>
        <v>0.1875</v>
      </c>
      <c r="I683" s="880">
        <f t="shared" si="64"/>
        <v>0</v>
      </c>
      <c r="J683" s="882">
        <f t="shared" si="66"/>
        <v>0</v>
      </c>
      <c r="K683" s="887" t="s">
        <v>6083</v>
      </c>
      <c r="L683" s="887" t="s">
        <v>6083</v>
      </c>
      <c r="M683" s="887" t="s">
        <v>6083</v>
      </c>
      <c r="N683" s="887"/>
      <c r="O683" s="882"/>
      <c r="P683" s="882"/>
      <c r="Q683" s="888"/>
      <c r="R683" s="888"/>
      <c r="S683" s="888"/>
      <c r="T683" s="888"/>
      <c r="U683" s="882"/>
      <c r="V683" s="887"/>
      <c r="W683" s="888"/>
      <c r="X683" s="888"/>
      <c r="Y683" s="888"/>
      <c r="Z683" s="882"/>
      <c r="AA683" s="882"/>
      <c r="AB683" s="882"/>
      <c r="AC683" s="882"/>
      <c r="AD683" s="882"/>
      <c r="AE683" s="882"/>
      <c r="AF683" s="882"/>
      <c r="AG683" s="882"/>
      <c r="AH683" s="882"/>
      <c r="AI683" s="882"/>
      <c r="AJ683" s="882"/>
      <c r="AK683" s="882"/>
    </row>
    <row r="684" spans="1:37" s="890" customFormat="1">
      <c r="A684" s="882">
        <v>451</v>
      </c>
      <c r="B684" s="891">
        <f t="shared" si="67"/>
        <v>-229</v>
      </c>
      <c r="C684" s="882">
        <f t="shared" si="65"/>
        <v>680</v>
      </c>
      <c r="D684" s="1020">
        <v>3144</v>
      </c>
      <c r="E684" s="884" t="str">
        <f>IFERROR(VLOOKUP(Table2[[#This Row],[Player No]],Table10[[No]:[Province]],2,0),"")</f>
        <v>ROBERTS Moenieb</v>
      </c>
      <c r="F684" s="885" t="str">
        <f>IFERROR(VLOOKUP(Table2[[#This Row],[Player No]],Table10[[No]:[Province]],3,0),"")</f>
        <v>CT</v>
      </c>
      <c r="G684" s="892">
        <v>0.375</v>
      </c>
      <c r="H684" s="886">
        <f>(Table2[[#This Row],[Points 2025]]/2)+SUM(Table2[[#This Row],[O1  ADMIN 2026]:[P2    CAPE TOWN OPEN 2026 ]])</f>
        <v>0.1875</v>
      </c>
      <c r="I684" s="880">
        <f t="shared" si="64"/>
        <v>0</v>
      </c>
      <c r="J684" s="882">
        <f t="shared" si="66"/>
        <v>0</v>
      </c>
      <c r="K684" s="887" t="s">
        <v>6083</v>
      </c>
      <c r="L684" s="887" t="s">
        <v>6083</v>
      </c>
      <c r="M684" s="887" t="s">
        <v>6083</v>
      </c>
      <c r="N684" s="887"/>
      <c r="O684" s="882"/>
      <c r="P684" s="882"/>
      <c r="Q684" s="888"/>
      <c r="R684" s="888"/>
      <c r="S684" s="888"/>
      <c r="T684" s="888"/>
      <c r="U684" s="882"/>
      <c r="V684" s="887"/>
      <c r="W684" s="888"/>
      <c r="X684" s="888"/>
      <c r="Y684" s="888"/>
      <c r="Z684" s="882"/>
      <c r="AA684" s="882"/>
      <c r="AB684" s="882"/>
      <c r="AC684" s="882"/>
      <c r="AD684" s="882"/>
      <c r="AE684" s="882"/>
      <c r="AF684" s="882"/>
      <c r="AG684" s="882"/>
      <c r="AH684" s="882"/>
      <c r="AI684" s="882"/>
      <c r="AJ684" s="882"/>
      <c r="AK684" s="882"/>
    </row>
    <row r="685" spans="1:37" s="890" customFormat="1">
      <c r="A685" s="882">
        <v>455</v>
      </c>
      <c r="B685" s="891">
        <f t="shared" si="67"/>
        <v>-226</v>
      </c>
      <c r="C685" s="882">
        <f t="shared" si="65"/>
        <v>681</v>
      </c>
      <c r="D685" s="1020">
        <v>3347</v>
      </c>
      <c r="E685" s="884" t="str">
        <f>IFERROR(VLOOKUP(Table2[[#This Row],[Player No]],Table10[[No]:[Province]],2,0),"")</f>
        <v>ADRIAANSE Anwaar</v>
      </c>
      <c r="F685" s="885" t="str">
        <f>IFERROR(VLOOKUP(Table2[[#This Row],[Player No]],Table10[[No]:[Province]],3,0),"")</f>
        <v>CT</v>
      </c>
      <c r="G685" s="892">
        <v>0.375</v>
      </c>
      <c r="H685" s="886">
        <f>(Table2[[#This Row],[Points 2025]]/2)+SUM(Table2[[#This Row],[O1  ADMIN 2026]:[P2    CAPE TOWN OPEN 2026 ]])</f>
        <v>0.1875</v>
      </c>
      <c r="I685" s="880">
        <f t="shared" si="64"/>
        <v>0</v>
      </c>
      <c r="J685" s="882">
        <f t="shared" si="66"/>
        <v>0</v>
      </c>
      <c r="K685" s="887" t="s">
        <v>6083</v>
      </c>
      <c r="L685" s="887" t="s">
        <v>6083</v>
      </c>
      <c r="M685" s="887" t="s">
        <v>6083</v>
      </c>
      <c r="N685" s="887"/>
      <c r="O685" s="882"/>
      <c r="P685" s="882"/>
      <c r="Q685" s="888"/>
      <c r="R685" s="888"/>
      <c r="S685" s="888"/>
      <c r="T685" s="888"/>
      <c r="U685" s="882"/>
      <c r="V685" s="887"/>
      <c r="W685" s="888"/>
      <c r="X685" s="888"/>
      <c r="Y685" s="888"/>
      <c r="Z685" s="882"/>
      <c r="AA685" s="882"/>
      <c r="AB685" s="882"/>
      <c r="AC685" s="882"/>
      <c r="AD685" s="882"/>
      <c r="AE685" s="882"/>
      <c r="AF685" s="882"/>
      <c r="AG685" s="882"/>
      <c r="AH685" s="882"/>
      <c r="AI685" s="882"/>
      <c r="AJ685" s="882"/>
      <c r="AK685" s="882"/>
    </row>
    <row r="686" spans="1:37" s="890" customFormat="1">
      <c r="A686" s="882">
        <v>453</v>
      </c>
      <c r="B686" s="891">
        <f t="shared" si="67"/>
        <v>-229</v>
      </c>
      <c r="C686" s="882">
        <f t="shared" si="65"/>
        <v>682</v>
      </c>
      <c r="D686" s="1020">
        <v>3350</v>
      </c>
      <c r="E686" s="884" t="str">
        <f>IFERROR(VLOOKUP(Table2[[#This Row],[Player No]],Table10[[No]:[Province]],2,0),"")</f>
        <v>PETERSEN Salie</v>
      </c>
      <c r="F686" s="885" t="str">
        <f>IFERROR(VLOOKUP(Table2[[#This Row],[Player No]],Table10[[No]:[Province]],3,0),"")</f>
        <v>CT</v>
      </c>
      <c r="G686" s="892">
        <v>0.375</v>
      </c>
      <c r="H686" s="886">
        <f>(Table2[[#This Row],[Points 2025]]/2)+SUM(Table2[[#This Row],[O1  ADMIN 2026]:[P2    CAPE TOWN OPEN 2026 ]])</f>
        <v>0.1875</v>
      </c>
      <c r="I686" s="880">
        <f t="shared" si="64"/>
        <v>0</v>
      </c>
      <c r="J686" s="882">
        <f t="shared" si="66"/>
        <v>0</v>
      </c>
      <c r="K686" s="887" t="s">
        <v>6083</v>
      </c>
      <c r="L686" s="887" t="s">
        <v>6083</v>
      </c>
      <c r="M686" s="887" t="s">
        <v>6083</v>
      </c>
      <c r="N686" s="887"/>
      <c r="O686" s="882"/>
      <c r="P686" s="882"/>
      <c r="Q686" s="888"/>
      <c r="R686" s="888"/>
      <c r="S686" s="888"/>
      <c r="T686" s="888"/>
      <c r="U686" s="882"/>
      <c r="V686" s="887"/>
      <c r="W686" s="888"/>
      <c r="X686" s="888"/>
      <c r="Y686" s="888"/>
      <c r="Z686" s="882"/>
      <c r="AA686" s="882"/>
      <c r="AB686" s="882"/>
      <c r="AC686" s="882"/>
      <c r="AD686" s="882"/>
      <c r="AE686" s="882"/>
      <c r="AF686" s="882"/>
      <c r="AG686" s="882"/>
      <c r="AH686" s="882"/>
      <c r="AI686" s="882"/>
      <c r="AJ686" s="882"/>
      <c r="AK686" s="882"/>
    </row>
    <row r="687" spans="1:37" s="890" customFormat="1">
      <c r="A687" s="882">
        <v>469</v>
      </c>
      <c r="B687" s="891">
        <f t="shared" si="67"/>
        <v>-214</v>
      </c>
      <c r="C687" s="882">
        <f t="shared" si="65"/>
        <v>683</v>
      </c>
      <c r="D687" s="1020">
        <v>1334</v>
      </c>
      <c r="E687" s="884" t="str">
        <f>IFERROR(VLOOKUP(Table2[[#This Row],[Player No]],Table10[[No]:[Province]],2,0),"")</f>
        <v>SAMSODIEN Shamiel</v>
      </c>
      <c r="F687" s="885" t="str">
        <f>IFERROR(VLOOKUP(Table2[[#This Row],[Player No]],Table10[[No]:[Province]],3,0),"")</f>
        <v>CT</v>
      </c>
      <c r="G687" s="892">
        <v>0.3125</v>
      </c>
      <c r="H687" s="886">
        <f>(Table2[[#This Row],[Points 2025]]/2)+SUM(Table2[[#This Row],[O1  ADMIN 2026]:[P2    CAPE TOWN OPEN 2026 ]])</f>
        <v>0.15625</v>
      </c>
      <c r="I687" s="880">
        <f t="shared" si="64"/>
        <v>0</v>
      </c>
      <c r="J687" s="882">
        <f t="shared" si="66"/>
        <v>0</v>
      </c>
      <c r="K687" s="887" t="s">
        <v>6083</v>
      </c>
      <c r="L687" s="887" t="s">
        <v>6083</v>
      </c>
      <c r="M687" s="887" t="s">
        <v>6083</v>
      </c>
      <c r="N687" s="887"/>
      <c r="O687" s="882"/>
      <c r="P687" s="882"/>
      <c r="Q687" s="888"/>
      <c r="R687" s="888"/>
      <c r="S687" s="888"/>
      <c r="T687" s="888"/>
      <c r="U687" s="882"/>
      <c r="V687" s="887"/>
      <c r="W687" s="888"/>
      <c r="X687" s="888"/>
      <c r="Y687" s="888"/>
      <c r="Z687" s="882"/>
      <c r="AA687" s="882"/>
      <c r="AB687" s="882"/>
      <c r="AC687" s="882"/>
      <c r="AD687" s="882"/>
      <c r="AE687" s="882"/>
      <c r="AF687" s="882"/>
      <c r="AG687" s="882"/>
      <c r="AH687" s="882"/>
      <c r="AI687" s="882"/>
      <c r="AJ687" s="882"/>
      <c r="AK687" s="882"/>
    </row>
    <row r="688" spans="1:37" s="890" customFormat="1">
      <c r="A688" s="882">
        <v>468</v>
      </c>
      <c r="B688" s="891">
        <f t="shared" si="67"/>
        <v>-216</v>
      </c>
      <c r="C688" s="882">
        <f t="shared" si="65"/>
        <v>684</v>
      </c>
      <c r="D688" s="1020">
        <v>3242</v>
      </c>
      <c r="E688" s="884" t="str">
        <f>IFERROR(VLOOKUP(Table2[[#This Row],[Player No]],Table10[[No]:[Province]],2,0),"")</f>
        <v>WILDEMANS Ethan</v>
      </c>
      <c r="F688" s="885" t="str">
        <f>IFERROR(VLOOKUP(Table2[[#This Row],[Player No]],Table10[[No]:[Province]],3,0),"")</f>
        <v>EDEN</v>
      </c>
      <c r="G688" s="892">
        <v>0.3125</v>
      </c>
      <c r="H688" s="886">
        <f>(Table2[[#This Row],[Points 2025]]/2)+SUM(Table2[[#This Row],[O1  ADMIN 2026]:[P2    CAPE TOWN OPEN 2026 ]])</f>
        <v>0.15625</v>
      </c>
      <c r="I688" s="880">
        <f t="shared" si="64"/>
        <v>0</v>
      </c>
      <c r="J688" s="882">
        <f t="shared" si="66"/>
        <v>0</v>
      </c>
      <c r="K688" s="887" t="s">
        <v>6083</v>
      </c>
      <c r="L688" s="887" t="s">
        <v>6083</v>
      </c>
      <c r="M688" s="887" t="s">
        <v>6083</v>
      </c>
      <c r="N688" s="887"/>
      <c r="O688" s="882"/>
      <c r="P688" s="882"/>
      <c r="Q688" s="888"/>
      <c r="R688" s="888"/>
      <c r="S688" s="888"/>
      <c r="T688" s="888"/>
      <c r="U688" s="882"/>
      <c r="V688" s="887"/>
      <c r="W688" s="888"/>
      <c r="X688" s="888"/>
      <c r="Y688" s="888"/>
      <c r="Z688" s="882"/>
      <c r="AA688" s="882"/>
      <c r="AB688" s="882"/>
      <c r="AC688" s="882"/>
      <c r="AD688" s="882"/>
      <c r="AE688" s="882"/>
      <c r="AF688" s="882"/>
      <c r="AG688" s="882"/>
      <c r="AH688" s="882"/>
      <c r="AI688" s="882"/>
      <c r="AJ688" s="882"/>
      <c r="AK688" s="882"/>
    </row>
    <row r="689" spans="1:37" s="890" customFormat="1">
      <c r="A689" s="882">
        <v>477</v>
      </c>
      <c r="B689" s="891">
        <f t="shared" si="67"/>
        <v>-208</v>
      </c>
      <c r="C689" s="882">
        <f t="shared" si="65"/>
        <v>685</v>
      </c>
      <c r="D689" s="883">
        <v>2651</v>
      </c>
      <c r="E689" s="884" t="str">
        <f>IFERROR(VLOOKUP(Table2[[#This Row],[Player No]],Table10[[No]:[Province]],2,0),"")</f>
        <v>DAMON Tyrone</v>
      </c>
      <c r="F689" s="885" t="str">
        <f>IFERROR(VLOOKUP(Table2[[#This Row],[Player No]],Table10[[No]:[Province]],3,0),"")</f>
        <v>SANDF</v>
      </c>
      <c r="G689" s="892">
        <v>0.265625</v>
      </c>
      <c r="H689" s="886">
        <f>(Table2[[#This Row],[Points 2025]]/2)+SUM(Table2[[#This Row],[O1  ADMIN 2026]:[P2    CAPE TOWN OPEN 2026 ]])</f>
        <v>0.1328125</v>
      </c>
      <c r="I689" s="880">
        <f t="shared" si="64"/>
        <v>0</v>
      </c>
      <c r="J689" s="882">
        <f t="shared" si="66"/>
        <v>0</v>
      </c>
      <c r="K689" s="887" t="s">
        <v>6083</v>
      </c>
      <c r="L689" s="887" t="s">
        <v>6083</v>
      </c>
      <c r="M689" s="887" t="s">
        <v>6083</v>
      </c>
      <c r="N689" s="887"/>
      <c r="O689" s="882"/>
      <c r="P689" s="882"/>
      <c r="Q689" s="888"/>
      <c r="R689" s="888"/>
      <c r="S689" s="888"/>
      <c r="T689" s="888"/>
      <c r="U689" s="882"/>
      <c r="V689" s="887"/>
      <c r="W689" s="888"/>
      <c r="X689" s="888"/>
      <c r="Y689" s="888"/>
      <c r="Z689" s="882"/>
      <c r="AA689" s="882"/>
      <c r="AB689" s="882"/>
      <c r="AC689" s="882"/>
      <c r="AD689" s="882"/>
      <c r="AE689" s="882"/>
      <c r="AF689" s="882"/>
      <c r="AG689" s="882"/>
      <c r="AH689" s="882"/>
      <c r="AI689" s="882"/>
      <c r="AJ689" s="882"/>
      <c r="AK689" s="882"/>
    </row>
    <row r="690" spans="1:37" s="890" customFormat="1">
      <c r="A690" s="882">
        <v>478</v>
      </c>
      <c r="B690" s="891">
        <f t="shared" si="67"/>
        <v>-208</v>
      </c>
      <c r="C690" s="882">
        <f t="shared" si="65"/>
        <v>686</v>
      </c>
      <c r="D690" s="883">
        <v>1153</v>
      </c>
      <c r="E690" s="884" t="str">
        <f>IFERROR(VLOOKUP(Table2[[#This Row],[Player No]],Table10[[No]:[Province]],2,0),"")</f>
        <v xml:space="preserve">RASSIE Reagan </v>
      </c>
      <c r="F690" s="885" t="str">
        <f>IFERROR(VLOOKUP(Table2[[#This Row],[Player No]],Table10[[No]:[Province]],3,0),"")</f>
        <v>SANDF</v>
      </c>
      <c r="G690" s="892">
        <v>0.263671875</v>
      </c>
      <c r="H690" s="886">
        <f>(Table2[[#This Row],[Points 2025]]/2)+SUM(Table2[[#This Row],[O1  ADMIN 2026]:[P2    CAPE TOWN OPEN 2026 ]])</f>
        <v>0.1318359375</v>
      </c>
      <c r="I690" s="880">
        <f t="shared" si="64"/>
        <v>0</v>
      </c>
      <c r="J690" s="882">
        <f t="shared" si="66"/>
        <v>0</v>
      </c>
      <c r="K690" s="887" t="s">
        <v>6083</v>
      </c>
      <c r="L690" s="887" t="s">
        <v>6083</v>
      </c>
      <c r="M690" s="887" t="s">
        <v>6083</v>
      </c>
      <c r="N690" s="887"/>
      <c r="O690" s="882"/>
      <c r="P690" s="882"/>
      <c r="Q690" s="888"/>
      <c r="R690" s="888"/>
      <c r="S690" s="888"/>
      <c r="T690" s="888"/>
      <c r="U690" s="882"/>
      <c r="V690" s="887"/>
      <c r="W690" s="888"/>
      <c r="X690" s="888"/>
      <c r="Y690" s="888"/>
      <c r="Z690" s="882"/>
      <c r="AA690" s="882"/>
      <c r="AB690" s="882"/>
      <c r="AC690" s="882"/>
      <c r="AD690" s="882"/>
      <c r="AE690" s="882"/>
      <c r="AF690" s="882"/>
      <c r="AG690" s="882"/>
      <c r="AH690" s="882"/>
      <c r="AI690" s="882"/>
      <c r="AJ690" s="882"/>
      <c r="AK690" s="882"/>
    </row>
    <row r="691" spans="1:37" s="890" customFormat="1">
      <c r="A691" s="882">
        <v>484</v>
      </c>
      <c r="B691" s="891">
        <f t="shared" si="67"/>
        <v>-203</v>
      </c>
      <c r="C691" s="882">
        <f t="shared" si="65"/>
        <v>687</v>
      </c>
      <c r="D691" s="883">
        <v>1298</v>
      </c>
      <c r="E691" s="884" t="str">
        <f>IFERROR(VLOOKUP(Table2[[#This Row],[Player No]],Table10[[No]:[Province]],2,0),"")</f>
        <v>BAILEY Grant</v>
      </c>
      <c r="F691" s="885" t="str">
        <f>IFERROR(VLOOKUP(Table2[[#This Row],[Player No]],Table10[[No]:[Province]],3,0),"")</f>
        <v>CT</v>
      </c>
      <c r="G691" s="892">
        <v>0.25</v>
      </c>
      <c r="H691" s="886">
        <f>(Table2[[#This Row],[Points 2025]]/2)+SUM(Table2[[#This Row],[O1  ADMIN 2026]:[P2    CAPE TOWN OPEN 2026 ]])</f>
        <v>0.125</v>
      </c>
      <c r="I691" s="880">
        <f t="shared" si="64"/>
        <v>0</v>
      </c>
      <c r="J691" s="882">
        <f t="shared" si="66"/>
        <v>0</v>
      </c>
      <c r="K691" s="887" t="s">
        <v>6083</v>
      </c>
      <c r="L691" s="887" t="s">
        <v>6083</v>
      </c>
      <c r="M691" s="887" t="s">
        <v>6083</v>
      </c>
      <c r="N691" s="887"/>
      <c r="O691" s="882"/>
      <c r="P691" s="882"/>
      <c r="Q691" s="888"/>
      <c r="R691" s="888"/>
      <c r="S691" s="888"/>
      <c r="T691" s="888"/>
      <c r="U691" s="882"/>
      <c r="V691" s="887"/>
      <c r="W691" s="888"/>
      <c r="X691" s="888"/>
      <c r="Y691" s="888"/>
      <c r="Z691" s="882"/>
      <c r="AA691" s="882"/>
      <c r="AB691" s="882"/>
      <c r="AC691" s="882"/>
      <c r="AD691" s="882"/>
      <c r="AE691" s="882"/>
      <c r="AF691" s="882"/>
      <c r="AG691" s="882"/>
      <c r="AH691" s="882"/>
      <c r="AI691" s="882"/>
      <c r="AJ691" s="882"/>
      <c r="AK691" s="882"/>
    </row>
    <row r="692" spans="1:37" s="890" customFormat="1">
      <c r="A692" s="882">
        <v>496</v>
      </c>
      <c r="B692" s="891">
        <f t="shared" si="67"/>
        <v>-192</v>
      </c>
      <c r="C692" s="882">
        <f t="shared" si="65"/>
        <v>688</v>
      </c>
      <c r="D692" s="883">
        <v>2447</v>
      </c>
      <c r="E692" s="884" t="str">
        <f>IFERROR(VLOOKUP(Table2[[#This Row],[Player No]],Table10[[No]:[Province]],2,0),"")</f>
        <v xml:space="preserve">MOTSAMAI Goitsemodimo </v>
      </c>
      <c r="F692" s="885" t="str">
        <f>IFERROR(VLOOKUP(Table2[[#This Row],[Player No]],Table10[[No]:[Province]],3,0),"")</f>
        <v>NWP</v>
      </c>
      <c r="G692" s="892">
        <v>0.25</v>
      </c>
      <c r="H692" s="886">
        <f>(Table2[[#This Row],[Points 2025]]/2)+SUM(Table2[[#This Row],[O1  ADMIN 2026]:[P2    CAPE TOWN OPEN 2026 ]])</f>
        <v>0.125</v>
      </c>
      <c r="I692" s="880">
        <f t="shared" si="64"/>
        <v>0</v>
      </c>
      <c r="J692" s="882">
        <f t="shared" si="66"/>
        <v>0</v>
      </c>
      <c r="K692" s="887" t="s">
        <v>6083</v>
      </c>
      <c r="L692" s="887" t="s">
        <v>6083</v>
      </c>
      <c r="M692" s="887" t="s">
        <v>6083</v>
      </c>
      <c r="N692" s="887"/>
      <c r="O692" s="882"/>
      <c r="P692" s="882"/>
      <c r="Q692" s="888"/>
      <c r="R692" s="888"/>
      <c r="S692" s="888"/>
      <c r="T692" s="888"/>
      <c r="U692" s="882"/>
      <c r="V692" s="887"/>
      <c r="W692" s="888"/>
      <c r="X692" s="888"/>
      <c r="Y692" s="888"/>
      <c r="Z692" s="882"/>
      <c r="AA692" s="882"/>
      <c r="AB692" s="882"/>
      <c r="AC692" s="882"/>
      <c r="AD692" s="882"/>
      <c r="AE692" s="882"/>
      <c r="AF692" s="882"/>
      <c r="AG692" s="882"/>
      <c r="AH692" s="882"/>
      <c r="AI692" s="882"/>
      <c r="AJ692" s="882"/>
      <c r="AK692" s="882"/>
    </row>
    <row r="693" spans="1:37" s="890" customFormat="1">
      <c r="A693" s="882">
        <v>495</v>
      </c>
      <c r="B693" s="891">
        <f t="shared" si="67"/>
        <v>-194</v>
      </c>
      <c r="C693" s="882">
        <f t="shared" si="65"/>
        <v>689</v>
      </c>
      <c r="D693" s="883">
        <v>2591</v>
      </c>
      <c r="E693" s="884" t="str">
        <f>IFERROR(VLOOKUP(Table2[[#This Row],[Player No]],Table10[[No]:[Province]],2,0),"")</f>
        <v>TSHOLOFELO KGOMO</v>
      </c>
      <c r="F693" s="885" t="str">
        <f>IFERROR(VLOOKUP(Table2[[#This Row],[Player No]],Table10[[No]:[Province]],3,0),"")</f>
        <v>NC</v>
      </c>
      <c r="G693" s="892">
        <v>0.25</v>
      </c>
      <c r="H693" s="886">
        <f>(Table2[[#This Row],[Points 2025]]/2)+SUM(Table2[[#This Row],[O1  ADMIN 2026]:[P2    CAPE TOWN OPEN 2026 ]])</f>
        <v>0.125</v>
      </c>
      <c r="I693" s="880">
        <f t="shared" si="64"/>
        <v>0</v>
      </c>
      <c r="J693" s="882">
        <f t="shared" si="66"/>
        <v>0</v>
      </c>
      <c r="K693" s="887" t="s">
        <v>6083</v>
      </c>
      <c r="L693" s="887" t="s">
        <v>6083</v>
      </c>
      <c r="M693" s="887" t="s">
        <v>6083</v>
      </c>
      <c r="N693" s="887"/>
      <c r="O693" s="882"/>
      <c r="P693" s="882"/>
      <c r="Q693" s="888"/>
      <c r="R693" s="888"/>
      <c r="S693" s="888"/>
      <c r="T693" s="888"/>
      <c r="U693" s="882"/>
      <c r="V693" s="887"/>
      <c r="W693" s="888"/>
      <c r="X693" s="888"/>
      <c r="Y693" s="888"/>
      <c r="Z693" s="882"/>
      <c r="AA693" s="882"/>
      <c r="AB693" s="882"/>
      <c r="AC693" s="882"/>
      <c r="AD693" s="882"/>
      <c r="AE693" s="882"/>
      <c r="AF693" s="882"/>
      <c r="AG693" s="882"/>
      <c r="AH693" s="882"/>
      <c r="AI693" s="882"/>
      <c r="AJ693" s="882"/>
      <c r="AK693" s="882"/>
    </row>
    <row r="694" spans="1:37" s="890" customFormat="1">
      <c r="A694" s="882">
        <v>497</v>
      </c>
      <c r="B694" s="891">
        <f t="shared" si="67"/>
        <v>-193</v>
      </c>
      <c r="C694" s="882">
        <f t="shared" si="65"/>
        <v>690</v>
      </c>
      <c r="D694" s="883">
        <v>3204</v>
      </c>
      <c r="E694" s="884" t="str">
        <f>IFERROR(VLOOKUP(Table2[[#This Row],[Player No]],Table10[[No]:[Province]],2,0),"")</f>
        <v>FOURIE Willem</v>
      </c>
      <c r="F694" s="885" t="str">
        <f>IFERROR(VLOOKUP(Table2[[#This Row],[Player No]],Table10[[No]:[Province]],3,0),"")</f>
        <v>FS</v>
      </c>
      <c r="G694" s="892">
        <v>0.25</v>
      </c>
      <c r="H694" s="886">
        <f>(Table2[[#This Row],[Points 2025]]/2)+SUM(Table2[[#This Row],[O1  ADMIN 2026]:[P2    CAPE TOWN OPEN 2026 ]])</f>
        <v>0.125</v>
      </c>
      <c r="I694" s="880">
        <f t="shared" si="64"/>
        <v>0</v>
      </c>
      <c r="J694" s="882">
        <f t="shared" si="66"/>
        <v>0</v>
      </c>
      <c r="K694" s="887" t="s">
        <v>6083</v>
      </c>
      <c r="L694" s="887" t="s">
        <v>6083</v>
      </c>
      <c r="M694" s="887" t="s">
        <v>6083</v>
      </c>
      <c r="N694" s="887"/>
      <c r="O694" s="882"/>
      <c r="P694" s="882"/>
      <c r="Q694" s="888"/>
      <c r="R694" s="888"/>
      <c r="S694" s="888"/>
      <c r="T694" s="888"/>
      <c r="U694" s="882"/>
      <c r="V694" s="887"/>
      <c r="W694" s="888"/>
      <c r="X694" s="888"/>
      <c r="Y694" s="888"/>
      <c r="Z694" s="882"/>
      <c r="AA694" s="882"/>
      <c r="AB694" s="882"/>
      <c r="AC694" s="882"/>
      <c r="AD694" s="882"/>
      <c r="AE694" s="882"/>
      <c r="AF694" s="882"/>
      <c r="AG694" s="882"/>
      <c r="AH694" s="882"/>
      <c r="AI694" s="882"/>
      <c r="AJ694" s="882"/>
      <c r="AK694" s="882"/>
    </row>
    <row r="695" spans="1:37" s="890" customFormat="1">
      <c r="A695" s="882">
        <v>504</v>
      </c>
      <c r="B695" s="891">
        <f t="shared" si="67"/>
        <v>-187</v>
      </c>
      <c r="C695" s="882">
        <f t="shared" si="65"/>
        <v>691</v>
      </c>
      <c r="D695" s="883">
        <v>3265</v>
      </c>
      <c r="E695" s="884" t="str">
        <f>IFERROR(VLOOKUP(Table2[[#This Row],[Player No]],Table10[[No]:[Province]],2,0),"")</f>
        <v>JOEMATH Erol</v>
      </c>
      <c r="F695" s="885" t="str">
        <f>IFERROR(VLOOKUP(Table2[[#This Row],[Player No]],Table10[[No]:[Province]],3,0),"")</f>
        <v>CT</v>
      </c>
      <c r="G695" s="892">
        <v>0.25</v>
      </c>
      <c r="H695" s="886">
        <f>(Table2[[#This Row],[Points 2025]]/2)+SUM(Table2[[#This Row],[O1  ADMIN 2026]:[P2    CAPE TOWN OPEN 2026 ]])</f>
        <v>0.125</v>
      </c>
      <c r="I695" s="880">
        <f t="shared" si="64"/>
        <v>0</v>
      </c>
      <c r="J695" s="882">
        <f t="shared" si="66"/>
        <v>0</v>
      </c>
      <c r="K695" s="887" t="s">
        <v>6083</v>
      </c>
      <c r="L695" s="887" t="s">
        <v>6083</v>
      </c>
      <c r="M695" s="887" t="s">
        <v>6083</v>
      </c>
      <c r="N695" s="887"/>
      <c r="O695" s="882"/>
      <c r="P695" s="882"/>
      <c r="Q695" s="888"/>
      <c r="R695" s="888"/>
      <c r="S695" s="888"/>
      <c r="T695" s="888"/>
      <c r="U695" s="882"/>
      <c r="V695" s="887"/>
      <c r="W695" s="888"/>
      <c r="X695" s="888"/>
      <c r="Y695" s="888"/>
      <c r="Z695" s="882"/>
      <c r="AA695" s="882"/>
      <c r="AB695" s="882"/>
      <c r="AC695" s="882"/>
      <c r="AD695" s="882"/>
      <c r="AE695" s="882"/>
      <c r="AF695" s="882"/>
      <c r="AG695" s="882"/>
      <c r="AH695" s="882"/>
      <c r="AI695" s="882"/>
      <c r="AJ695" s="882"/>
      <c r="AK695" s="882"/>
    </row>
    <row r="696" spans="1:37" s="890" customFormat="1">
      <c r="A696" s="882">
        <v>479</v>
      </c>
      <c r="B696" s="891">
        <f t="shared" si="67"/>
        <v>-213</v>
      </c>
      <c r="C696" s="882">
        <f t="shared" si="65"/>
        <v>692</v>
      </c>
      <c r="D696" s="883">
        <v>3295</v>
      </c>
      <c r="E696" s="884" t="str">
        <f>IFERROR(VLOOKUP(Table2[[#This Row],[Player No]],Table10[[No]:[Province]],2,0),"")</f>
        <v>SONG HONG Tony</v>
      </c>
      <c r="F696" s="885" t="str">
        <f>IFERROR(VLOOKUP(Table2[[#This Row],[Player No]],Table10[[No]:[Province]],3,0),"")</f>
        <v>JTTA</v>
      </c>
      <c r="G696" s="892">
        <v>0.25</v>
      </c>
      <c r="H696" s="886">
        <f>(Table2[[#This Row],[Points 2025]]/2)+SUM(Table2[[#This Row],[O1  ADMIN 2026]:[P2    CAPE TOWN OPEN 2026 ]])</f>
        <v>0.125</v>
      </c>
      <c r="I696" s="880">
        <f t="shared" si="64"/>
        <v>0</v>
      </c>
      <c r="J696" s="882">
        <f t="shared" si="66"/>
        <v>0</v>
      </c>
      <c r="K696" s="887" t="s">
        <v>6083</v>
      </c>
      <c r="L696" s="887" t="s">
        <v>6083</v>
      </c>
      <c r="M696" s="887" t="s">
        <v>6083</v>
      </c>
      <c r="N696" s="887"/>
      <c r="O696" s="882"/>
      <c r="P696" s="882"/>
      <c r="Q696" s="888"/>
      <c r="R696" s="888"/>
      <c r="S696" s="888"/>
      <c r="T696" s="888"/>
      <c r="U696" s="882"/>
      <c r="V696" s="887"/>
      <c r="W696" s="888"/>
      <c r="X696" s="888"/>
      <c r="Y696" s="888"/>
      <c r="Z696" s="882">
        <v>0</v>
      </c>
      <c r="AA696" s="882"/>
      <c r="AB696" s="882"/>
      <c r="AC696" s="882"/>
      <c r="AD696" s="882"/>
      <c r="AE696" s="882"/>
      <c r="AF696" s="882"/>
      <c r="AG696" s="882"/>
      <c r="AH696" s="882"/>
      <c r="AI696" s="882"/>
      <c r="AJ696" s="882"/>
      <c r="AK696" s="882"/>
    </row>
    <row r="697" spans="1:37" s="890" customFormat="1">
      <c r="A697" s="882">
        <v>480</v>
      </c>
      <c r="B697" s="891">
        <f t="shared" si="67"/>
        <v>-213</v>
      </c>
      <c r="C697" s="882">
        <f t="shared" si="65"/>
        <v>693</v>
      </c>
      <c r="D697" s="883">
        <v>3372</v>
      </c>
      <c r="E697" s="884" t="str">
        <f>IFERROR(VLOOKUP(Table2[[#This Row],[Player No]],Table10[[No]:[Province]],2,0),"")</f>
        <v>KILLIAN CJ</v>
      </c>
      <c r="F697" s="885" t="str">
        <f>IFERROR(VLOOKUP(Table2[[#This Row],[Player No]],Table10[[No]:[Province]],3,0),"")</f>
        <v>WC</v>
      </c>
      <c r="G697" s="892">
        <v>0.25</v>
      </c>
      <c r="H697" s="886">
        <f>(Table2[[#This Row],[Points 2025]]/2)+SUM(Table2[[#This Row],[O1  ADMIN 2026]:[P2    CAPE TOWN OPEN 2026 ]])</f>
        <v>0.125</v>
      </c>
      <c r="I697" s="880">
        <f t="shared" si="64"/>
        <v>0</v>
      </c>
      <c r="J697" s="882">
        <f t="shared" si="66"/>
        <v>0</v>
      </c>
      <c r="K697" s="887" t="s">
        <v>6083</v>
      </c>
      <c r="L697" s="887" t="s">
        <v>6083</v>
      </c>
      <c r="M697" s="887" t="s">
        <v>6083</v>
      </c>
      <c r="N697" s="887"/>
      <c r="O697" s="882"/>
      <c r="P697" s="882"/>
      <c r="Q697" s="888"/>
      <c r="R697" s="888"/>
      <c r="S697" s="888"/>
      <c r="T697" s="888"/>
      <c r="U697" s="882"/>
      <c r="V697" s="887"/>
      <c r="W697" s="888"/>
      <c r="X697" s="888"/>
      <c r="Y697" s="888"/>
      <c r="Z697" s="882"/>
      <c r="AA697" s="882"/>
      <c r="AB697" s="882"/>
      <c r="AC697" s="882"/>
      <c r="AD697" s="882"/>
      <c r="AE697" s="882"/>
      <c r="AF697" s="882"/>
      <c r="AG697" s="882"/>
      <c r="AH697" s="882"/>
      <c r="AI697" s="882"/>
      <c r="AJ697" s="882"/>
      <c r="AK697" s="882"/>
    </row>
    <row r="698" spans="1:37" s="890" customFormat="1">
      <c r="A698" s="882">
        <v>483</v>
      </c>
      <c r="B698" s="891">
        <f t="shared" si="67"/>
        <v>-211</v>
      </c>
      <c r="C698" s="882">
        <f t="shared" si="65"/>
        <v>694</v>
      </c>
      <c r="D698" s="883">
        <v>3373</v>
      </c>
      <c r="E698" s="884" t="str">
        <f>IFERROR(VLOOKUP(Table2[[#This Row],[Player No]],Table10[[No]:[Province]],2,0),"")</f>
        <v>SAAL Ro-marion</v>
      </c>
      <c r="F698" s="885" t="str">
        <f>IFERROR(VLOOKUP(Table2[[#This Row],[Player No]],Table10[[No]:[Province]],3,0),"")</f>
        <v>WC</v>
      </c>
      <c r="G698" s="892">
        <v>0.25</v>
      </c>
      <c r="H698" s="886">
        <f>(Table2[[#This Row],[Points 2025]]/2)+SUM(Table2[[#This Row],[O1  ADMIN 2026]:[P2    CAPE TOWN OPEN 2026 ]])</f>
        <v>0.125</v>
      </c>
      <c r="I698" s="880">
        <f t="shared" si="64"/>
        <v>0</v>
      </c>
      <c r="J698" s="882">
        <f t="shared" si="66"/>
        <v>0</v>
      </c>
      <c r="K698" s="887" t="s">
        <v>6083</v>
      </c>
      <c r="L698" s="887" t="s">
        <v>6083</v>
      </c>
      <c r="M698" s="887" t="s">
        <v>6083</v>
      </c>
      <c r="N698" s="887"/>
      <c r="O698" s="882"/>
      <c r="P698" s="882"/>
      <c r="Q698" s="888"/>
      <c r="R698" s="888"/>
      <c r="S698" s="888"/>
      <c r="T698" s="888"/>
      <c r="U698" s="882"/>
      <c r="V698" s="887"/>
      <c r="W698" s="888"/>
      <c r="X698" s="888"/>
      <c r="Y698" s="888"/>
      <c r="Z698" s="882"/>
      <c r="AA698" s="882"/>
      <c r="AB698" s="882"/>
      <c r="AC698" s="882"/>
      <c r="AD698" s="882"/>
      <c r="AE698" s="882"/>
      <c r="AF698" s="882"/>
      <c r="AG698" s="882"/>
      <c r="AH698" s="882"/>
      <c r="AI698" s="882"/>
      <c r="AJ698" s="882"/>
      <c r="AK698" s="882"/>
    </row>
    <row r="699" spans="1:37" s="890" customFormat="1">
      <c r="A699" s="882">
        <v>500</v>
      </c>
      <c r="B699" s="891">
        <f t="shared" si="67"/>
        <v>-195</v>
      </c>
      <c r="C699" s="882">
        <f t="shared" si="65"/>
        <v>695</v>
      </c>
      <c r="D699" s="883">
        <v>3404</v>
      </c>
      <c r="E699" s="884" t="str">
        <f>IFERROR(VLOOKUP(Table2[[#This Row],[Player No]],Table10[[No]:[Province]],2,0),"")</f>
        <v>SINOMSO Liqhawe</v>
      </c>
      <c r="F699" s="885" t="str">
        <f>IFERROR(VLOOKUP(Table2[[#This Row],[Player No]],Table10[[No]:[Province]],3,0),"")</f>
        <v>CT</v>
      </c>
      <c r="G699" s="892">
        <v>0.25</v>
      </c>
      <c r="H699" s="886">
        <f>(Table2[[#This Row],[Points 2025]]/2)+SUM(Table2[[#This Row],[O1  ADMIN 2026]:[P2    CAPE TOWN OPEN 2026 ]])</f>
        <v>0.125</v>
      </c>
      <c r="I699" s="880">
        <f t="shared" si="64"/>
        <v>0</v>
      </c>
      <c r="J699" s="882">
        <f t="shared" si="66"/>
        <v>0</v>
      </c>
      <c r="K699" s="887" t="s">
        <v>6083</v>
      </c>
      <c r="L699" s="887" t="s">
        <v>6083</v>
      </c>
      <c r="M699" s="887" t="s">
        <v>6083</v>
      </c>
      <c r="N699" s="887"/>
      <c r="O699" s="882"/>
      <c r="P699" s="882"/>
      <c r="Q699" s="888"/>
      <c r="R699" s="888"/>
      <c r="S699" s="888"/>
      <c r="T699" s="888"/>
      <c r="U699" s="882"/>
      <c r="V699" s="887"/>
      <c r="W699" s="888"/>
      <c r="X699" s="888"/>
      <c r="Y699" s="888"/>
      <c r="Z699" s="882"/>
      <c r="AA699" s="882"/>
      <c r="AB699" s="882"/>
      <c r="AC699" s="882"/>
      <c r="AD699" s="882"/>
      <c r="AE699" s="882"/>
      <c r="AF699" s="882"/>
      <c r="AG699" s="882"/>
      <c r="AH699" s="882"/>
      <c r="AI699" s="882"/>
      <c r="AJ699" s="882"/>
      <c r="AK699" s="882"/>
    </row>
    <row r="700" spans="1:37" s="890" customFormat="1">
      <c r="A700" s="882">
        <v>482</v>
      </c>
      <c r="B700" s="891">
        <f t="shared" si="67"/>
        <v>-214</v>
      </c>
      <c r="C700" s="882">
        <f t="shared" si="65"/>
        <v>696</v>
      </c>
      <c r="D700" s="883">
        <v>3425</v>
      </c>
      <c r="E700" s="884" t="str">
        <f>IFERROR(VLOOKUP(Table2[[#This Row],[Player No]],Table10[[No]:[Province]],2,0),"")</f>
        <v>DU PREEZ Alroy</v>
      </c>
      <c r="F700" s="885" t="str">
        <f>IFERROR(VLOOKUP(Table2[[#This Row],[Player No]],Table10[[No]:[Province]],3,0),"")</f>
        <v>CT</v>
      </c>
      <c r="G700" s="892">
        <v>0.25</v>
      </c>
      <c r="H700" s="886">
        <f>(Table2[[#This Row],[Points 2025]]/2)+SUM(Table2[[#This Row],[O1  ADMIN 2026]:[P2    CAPE TOWN OPEN 2026 ]])</f>
        <v>0.125</v>
      </c>
      <c r="I700" s="880">
        <f t="shared" si="64"/>
        <v>0</v>
      </c>
      <c r="J700" s="882">
        <f t="shared" si="66"/>
        <v>0</v>
      </c>
      <c r="K700" s="887" t="s">
        <v>6083</v>
      </c>
      <c r="L700" s="887" t="s">
        <v>6083</v>
      </c>
      <c r="M700" s="887" t="s">
        <v>6083</v>
      </c>
      <c r="N700" s="887"/>
      <c r="O700" s="882"/>
      <c r="P700" s="882"/>
      <c r="Q700" s="888"/>
      <c r="R700" s="888"/>
      <c r="S700" s="888"/>
      <c r="T700" s="888"/>
      <c r="U700" s="882"/>
      <c r="V700" s="887"/>
      <c r="W700" s="888"/>
      <c r="X700" s="888"/>
      <c r="Y700" s="888"/>
      <c r="Z700" s="882"/>
      <c r="AA700" s="882"/>
      <c r="AB700" s="882"/>
      <c r="AC700" s="882"/>
      <c r="AD700" s="882"/>
      <c r="AE700" s="882"/>
      <c r="AF700" s="882"/>
      <c r="AG700" s="882"/>
      <c r="AH700" s="882"/>
      <c r="AI700" s="882"/>
      <c r="AJ700" s="882"/>
      <c r="AK700" s="882"/>
    </row>
    <row r="701" spans="1:37" s="890" customFormat="1">
      <c r="A701" s="882">
        <v>486</v>
      </c>
      <c r="B701" s="891">
        <f t="shared" si="67"/>
        <v>-211</v>
      </c>
      <c r="C701" s="882">
        <f t="shared" si="65"/>
        <v>697</v>
      </c>
      <c r="D701" s="883">
        <v>3531</v>
      </c>
      <c r="E701" s="884" t="str">
        <f>IFERROR(VLOOKUP(Table2[[#This Row],[Player No]],Table10[[No]:[Province]],2,0),"")</f>
        <v>MOEKOA Molice</v>
      </c>
      <c r="F701" s="885" t="str">
        <f>IFERROR(VLOOKUP(Table2[[#This Row],[Player No]],Table10[[No]:[Province]],3,0),"")</f>
        <v>FS</v>
      </c>
      <c r="G701" s="892">
        <v>0.25</v>
      </c>
      <c r="H701" s="886">
        <f>(Table2[[#This Row],[Points 2025]]/2)+SUM(Table2[[#This Row],[O1  ADMIN 2026]:[P2    CAPE TOWN OPEN 2026 ]])</f>
        <v>0.125</v>
      </c>
      <c r="I701" s="880">
        <f t="shared" si="64"/>
        <v>0</v>
      </c>
      <c r="J701" s="882">
        <f t="shared" si="66"/>
        <v>0</v>
      </c>
      <c r="K701" s="887" t="s">
        <v>6083</v>
      </c>
      <c r="L701" s="887" t="s">
        <v>6083</v>
      </c>
      <c r="M701" s="887" t="s">
        <v>6083</v>
      </c>
      <c r="N701" s="887"/>
      <c r="O701" s="882"/>
      <c r="P701" s="882"/>
      <c r="Q701" s="888"/>
      <c r="R701" s="888"/>
      <c r="S701" s="888"/>
      <c r="T701" s="888"/>
      <c r="U701" s="882"/>
      <c r="V701" s="887"/>
      <c r="W701" s="888"/>
      <c r="X701" s="888"/>
      <c r="Y701" s="888"/>
      <c r="Z701" s="882"/>
      <c r="AA701" s="882"/>
      <c r="AB701" s="882"/>
      <c r="AC701" s="882"/>
      <c r="AD701" s="882"/>
      <c r="AE701" s="882"/>
      <c r="AF701" s="882"/>
      <c r="AG701" s="882"/>
      <c r="AH701" s="882"/>
      <c r="AI701" s="882"/>
      <c r="AJ701" s="882"/>
      <c r="AK701" s="882"/>
    </row>
    <row r="702" spans="1:37" s="890" customFormat="1">
      <c r="A702" s="882">
        <v>487</v>
      </c>
      <c r="B702" s="891">
        <f t="shared" si="67"/>
        <v>-211</v>
      </c>
      <c r="C702" s="882">
        <f t="shared" si="65"/>
        <v>698</v>
      </c>
      <c r="D702" s="883">
        <v>3532</v>
      </c>
      <c r="E702" s="884" t="str">
        <f>IFERROR(VLOOKUP(Table2[[#This Row],[Player No]],Table10[[No]:[Province]],2,0),"")</f>
        <v>OWADEE David</v>
      </c>
      <c r="F702" s="885" t="str">
        <f>IFERROR(VLOOKUP(Table2[[#This Row],[Player No]],Table10[[No]:[Province]],3,0),"")</f>
        <v>FS</v>
      </c>
      <c r="G702" s="892">
        <v>0.25</v>
      </c>
      <c r="H702" s="886">
        <f>(Table2[[#This Row],[Points 2025]]/2)+SUM(Table2[[#This Row],[O1  ADMIN 2026]:[P2    CAPE TOWN OPEN 2026 ]])</f>
        <v>0.125</v>
      </c>
      <c r="I702" s="880">
        <f t="shared" si="64"/>
        <v>0</v>
      </c>
      <c r="J702" s="882">
        <f t="shared" si="66"/>
        <v>0</v>
      </c>
      <c r="K702" s="887" t="s">
        <v>6083</v>
      </c>
      <c r="L702" s="887" t="s">
        <v>6083</v>
      </c>
      <c r="M702" s="887" t="s">
        <v>6083</v>
      </c>
      <c r="N702" s="887"/>
      <c r="O702" s="882"/>
      <c r="P702" s="882"/>
      <c r="Q702" s="888"/>
      <c r="R702" s="888"/>
      <c r="S702" s="888"/>
      <c r="T702" s="888"/>
      <c r="U702" s="882"/>
      <c r="V702" s="887"/>
      <c r="W702" s="888"/>
      <c r="X702" s="888"/>
      <c r="Y702" s="888"/>
      <c r="Z702" s="882"/>
      <c r="AA702" s="882"/>
      <c r="AB702" s="882"/>
      <c r="AC702" s="882"/>
      <c r="AD702" s="882"/>
      <c r="AE702" s="882"/>
      <c r="AF702" s="882"/>
      <c r="AG702" s="882"/>
      <c r="AH702" s="882"/>
      <c r="AI702" s="882"/>
      <c r="AJ702" s="882"/>
      <c r="AK702" s="882"/>
    </row>
    <row r="703" spans="1:37" s="890" customFormat="1">
      <c r="A703" s="882">
        <v>488</v>
      </c>
      <c r="B703" s="891">
        <f t="shared" si="67"/>
        <v>-211</v>
      </c>
      <c r="C703" s="882">
        <f t="shared" si="65"/>
        <v>699</v>
      </c>
      <c r="D703" s="883">
        <v>3533</v>
      </c>
      <c r="E703" s="884" t="str">
        <f>IFERROR(VLOOKUP(Table2[[#This Row],[Player No]],Table10[[No]:[Province]],2,0),"")</f>
        <v>JANTJIES Tony</v>
      </c>
      <c r="F703" s="885" t="str">
        <f>IFERROR(VLOOKUP(Table2[[#This Row],[Player No]],Table10[[No]:[Province]],3,0),"")</f>
        <v>FS</v>
      </c>
      <c r="G703" s="892">
        <v>0.25</v>
      </c>
      <c r="H703" s="886">
        <f>(Table2[[#This Row],[Points 2025]]/2)+SUM(Table2[[#This Row],[O1  ADMIN 2026]:[P2    CAPE TOWN OPEN 2026 ]])</f>
        <v>0.125</v>
      </c>
      <c r="I703" s="880">
        <f t="shared" si="64"/>
        <v>0</v>
      </c>
      <c r="J703" s="882">
        <f t="shared" si="66"/>
        <v>0</v>
      </c>
      <c r="K703" s="887" t="s">
        <v>6083</v>
      </c>
      <c r="L703" s="887" t="s">
        <v>6083</v>
      </c>
      <c r="M703" s="887" t="s">
        <v>6083</v>
      </c>
      <c r="N703" s="887"/>
      <c r="O703" s="882"/>
      <c r="P703" s="882"/>
      <c r="Q703" s="888"/>
      <c r="R703" s="888"/>
      <c r="S703" s="888"/>
      <c r="T703" s="888"/>
      <c r="U703" s="882"/>
      <c r="V703" s="887"/>
      <c r="W703" s="888"/>
      <c r="X703" s="888"/>
      <c r="Y703" s="888"/>
      <c r="Z703" s="882"/>
      <c r="AA703" s="882"/>
      <c r="AB703" s="882"/>
      <c r="AC703" s="882"/>
      <c r="AD703" s="882"/>
      <c r="AE703" s="882"/>
      <c r="AF703" s="882"/>
      <c r="AG703" s="882"/>
      <c r="AH703" s="882"/>
      <c r="AI703" s="882"/>
      <c r="AJ703" s="882"/>
      <c r="AK703" s="882"/>
    </row>
    <row r="704" spans="1:37" s="890" customFormat="1">
      <c r="A704" s="882">
        <v>489</v>
      </c>
      <c r="B704" s="891">
        <f t="shared" si="67"/>
        <v>-211</v>
      </c>
      <c r="C704" s="882">
        <f t="shared" si="65"/>
        <v>700</v>
      </c>
      <c r="D704" s="883">
        <v>3534</v>
      </c>
      <c r="E704" s="884" t="str">
        <f>IFERROR(VLOOKUP(Table2[[#This Row],[Player No]],Table10[[No]:[Province]],2,0),"")</f>
        <v>MATHETSE Seeshe</v>
      </c>
      <c r="F704" s="885" t="str">
        <f>IFERROR(VLOOKUP(Table2[[#This Row],[Player No]],Table10[[No]:[Province]],3,0),"")</f>
        <v>LES</v>
      </c>
      <c r="G704" s="892">
        <v>0.25</v>
      </c>
      <c r="H704" s="886">
        <f>(Table2[[#This Row],[Points 2025]]/2)+SUM(Table2[[#This Row],[O1  ADMIN 2026]:[P2    CAPE TOWN OPEN 2026 ]])</f>
        <v>0.125</v>
      </c>
      <c r="I704" s="880">
        <f t="shared" si="64"/>
        <v>0</v>
      </c>
      <c r="J704" s="882">
        <f t="shared" si="66"/>
        <v>0</v>
      </c>
      <c r="K704" s="887" t="s">
        <v>6083</v>
      </c>
      <c r="L704" s="887" t="s">
        <v>6083</v>
      </c>
      <c r="M704" s="887" t="s">
        <v>6083</v>
      </c>
      <c r="N704" s="887"/>
      <c r="O704" s="882"/>
      <c r="P704" s="882"/>
      <c r="Q704" s="888"/>
      <c r="R704" s="888"/>
      <c r="S704" s="888"/>
      <c r="T704" s="888">
        <v>0</v>
      </c>
      <c r="U704" s="882"/>
      <c r="V704" s="887"/>
      <c r="W704" s="888"/>
      <c r="X704" s="888"/>
      <c r="Y704" s="888"/>
      <c r="Z704" s="882"/>
      <c r="AA704" s="882"/>
      <c r="AB704" s="882"/>
      <c r="AC704" s="882"/>
      <c r="AD704" s="882"/>
      <c r="AE704" s="882"/>
      <c r="AF704" s="882"/>
      <c r="AG704" s="882"/>
      <c r="AH704" s="882"/>
      <c r="AI704" s="882"/>
      <c r="AJ704" s="882"/>
      <c r="AK704" s="882"/>
    </row>
    <row r="705" spans="1:37" s="890" customFormat="1">
      <c r="A705" s="882">
        <v>490</v>
      </c>
      <c r="B705" s="891">
        <f t="shared" si="67"/>
        <v>-211</v>
      </c>
      <c r="C705" s="882">
        <f t="shared" si="65"/>
        <v>701</v>
      </c>
      <c r="D705" s="883">
        <v>3535</v>
      </c>
      <c r="E705" s="884" t="str">
        <f>IFERROR(VLOOKUP(Table2[[#This Row],[Player No]],Table10[[No]:[Province]],2,0),"")</f>
        <v>ZITHA Katlego</v>
      </c>
      <c r="F705" s="885" t="str">
        <f>IFERROR(VLOOKUP(Table2[[#This Row],[Player No]],Table10[[No]:[Province]],3,0),"")</f>
        <v>NC</v>
      </c>
      <c r="G705" s="892">
        <v>0.25</v>
      </c>
      <c r="H705" s="886">
        <f>(Table2[[#This Row],[Points 2025]]/2)+SUM(Table2[[#This Row],[O1  ADMIN 2026]:[P2    CAPE TOWN OPEN 2026 ]])</f>
        <v>0.125</v>
      </c>
      <c r="I705" s="880">
        <f t="shared" si="64"/>
        <v>0</v>
      </c>
      <c r="J705" s="882">
        <f t="shared" si="66"/>
        <v>0</v>
      </c>
      <c r="K705" s="887" t="s">
        <v>6083</v>
      </c>
      <c r="L705" s="887" t="s">
        <v>6083</v>
      </c>
      <c r="M705" s="887" t="s">
        <v>6083</v>
      </c>
      <c r="N705" s="887"/>
      <c r="O705" s="882"/>
      <c r="P705" s="882"/>
      <c r="Q705" s="888"/>
      <c r="R705" s="888"/>
      <c r="S705" s="888"/>
      <c r="T705" s="888"/>
      <c r="U705" s="882"/>
      <c r="V705" s="887"/>
      <c r="W705" s="888"/>
      <c r="X705" s="888"/>
      <c r="Y705" s="888"/>
      <c r="Z705" s="882"/>
      <c r="AA705" s="882"/>
      <c r="AB705" s="882"/>
      <c r="AC705" s="882"/>
      <c r="AD705" s="882"/>
      <c r="AE705" s="882"/>
      <c r="AF705" s="882"/>
      <c r="AG705" s="882"/>
      <c r="AH705" s="882"/>
      <c r="AI705" s="882"/>
      <c r="AJ705" s="882"/>
      <c r="AK705" s="882"/>
    </row>
    <row r="706" spans="1:37" s="890" customFormat="1">
      <c r="A706" s="882">
        <v>492</v>
      </c>
      <c r="B706" s="891">
        <f t="shared" si="67"/>
        <v>-210</v>
      </c>
      <c r="C706" s="882">
        <f t="shared" si="65"/>
        <v>702</v>
      </c>
      <c r="D706" s="883">
        <v>3537</v>
      </c>
      <c r="E706" s="884" t="str">
        <f>IFERROR(VLOOKUP(Table2[[#This Row],[Player No]],Table10[[No]:[Province]],2,0),"")</f>
        <v>LEPHEANE Lerato</v>
      </c>
      <c r="F706" s="885" t="str">
        <f>IFERROR(VLOOKUP(Table2[[#This Row],[Player No]],Table10[[No]:[Province]],3,0),"")</f>
        <v>LES</v>
      </c>
      <c r="G706" s="892">
        <v>0.25</v>
      </c>
      <c r="H706" s="886">
        <f>(Table2[[#This Row],[Points 2025]]/2)+SUM(Table2[[#This Row],[O1  ADMIN 2026]:[P2    CAPE TOWN OPEN 2026 ]])</f>
        <v>0.125</v>
      </c>
      <c r="I706" s="880">
        <f t="shared" si="64"/>
        <v>0</v>
      </c>
      <c r="J706" s="882">
        <f t="shared" si="66"/>
        <v>0</v>
      </c>
      <c r="K706" s="887" t="s">
        <v>6083</v>
      </c>
      <c r="L706" s="887" t="s">
        <v>6083</v>
      </c>
      <c r="M706" s="887" t="s">
        <v>6083</v>
      </c>
      <c r="N706" s="887"/>
      <c r="O706" s="882"/>
      <c r="P706" s="882"/>
      <c r="Q706" s="888"/>
      <c r="R706" s="888"/>
      <c r="S706" s="888"/>
      <c r="T706" s="888">
        <v>0</v>
      </c>
      <c r="U706" s="882"/>
      <c r="V706" s="887"/>
      <c r="W706" s="888"/>
      <c r="X706" s="888"/>
      <c r="Y706" s="888"/>
      <c r="Z706" s="882"/>
      <c r="AA706" s="882"/>
      <c r="AB706" s="882"/>
      <c r="AC706" s="882"/>
      <c r="AD706" s="882"/>
      <c r="AE706" s="882"/>
      <c r="AF706" s="882"/>
      <c r="AG706" s="882"/>
      <c r="AH706" s="882"/>
      <c r="AI706" s="882"/>
      <c r="AJ706" s="882"/>
      <c r="AK706" s="882"/>
    </row>
    <row r="707" spans="1:37" s="890" customFormat="1">
      <c r="A707" s="882">
        <v>493</v>
      </c>
      <c r="B707" s="891">
        <f t="shared" ref="B707:B738" si="68">+A707-C707</f>
        <v>-210</v>
      </c>
      <c r="C707" s="882">
        <f t="shared" si="65"/>
        <v>703</v>
      </c>
      <c r="D707" s="883">
        <v>3538</v>
      </c>
      <c r="E707" s="884" t="str">
        <f>IFERROR(VLOOKUP(Table2[[#This Row],[Player No]],Table10[[No]:[Province]],2,0),"")</f>
        <v xml:space="preserve">MOKOENA Lehlohonlo </v>
      </c>
      <c r="F707" s="885" t="str">
        <f>IFERROR(VLOOKUP(Table2[[#This Row],[Player No]],Table10[[No]:[Province]],3,0),"")</f>
        <v>FS</v>
      </c>
      <c r="G707" s="892">
        <v>0.25</v>
      </c>
      <c r="H707" s="886">
        <f>(Table2[[#This Row],[Points 2025]]/2)+SUM(Table2[[#This Row],[O1  ADMIN 2026]:[P2    CAPE TOWN OPEN 2026 ]])</f>
        <v>0.125</v>
      </c>
      <c r="I707" s="880">
        <f t="shared" si="64"/>
        <v>0</v>
      </c>
      <c r="J707" s="882">
        <f t="shared" si="66"/>
        <v>0</v>
      </c>
      <c r="K707" s="887" t="s">
        <v>6083</v>
      </c>
      <c r="L707" s="887" t="s">
        <v>6083</v>
      </c>
      <c r="M707" s="887" t="s">
        <v>6083</v>
      </c>
      <c r="N707" s="887"/>
      <c r="O707" s="882"/>
      <c r="P707" s="882"/>
      <c r="Q707" s="888"/>
      <c r="R707" s="888"/>
      <c r="S707" s="888"/>
      <c r="T707" s="888"/>
      <c r="U707" s="882"/>
      <c r="V707" s="887"/>
      <c r="W707" s="888"/>
      <c r="X707" s="888"/>
      <c r="Y707" s="888"/>
      <c r="Z707" s="882"/>
      <c r="AA707" s="882"/>
      <c r="AB707" s="882"/>
      <c r="AC707" s="882"/>
      <c r="AD707" s="882"/>
      <c r="AE707" s="882"/>
      <c r="AF707" s="882"/>
      <c r="AG707" s="882"/>
      <c r="AH707" s="882"/>
      <c r="AI707" s="882"/>
      <c r="AJ707" s="882"/>
      <c r="AK707" s="882"/>
    </row>
    <row r="708" spans="1:37" s="890" customFormat="1">
      <c r="A708" s="882">
        <v>494</v>
      </c>
      <c r="B708" s="891">
        <f t="shared" si="68"/>
        <v>-210</v>
      </c>
      <c r="C708" s="882">
        <f t="shared" si="65"/>
        <v>704</v>
      </c>
      <c r="D708" s="883">
        <v>3539</v>
      </c>
      <c r="E708" s="884" t="str">
        <f>IFERROR(VLOOKUP(Table2[[#This Row],[Player No]],Table10[[No]:[Province]],2,0),"")</f>
        <v>WANG Jason</v>
      </c>
      <c r="F708" s="885" t="str">
        <f>IFERROR(VLOOKUP(Table2[[#This Row],[Player No]],Table10[[No]:[Province]],3,0),"")</f>
        <v>FS</v>
      </c>
      <c r="G708" s="892">
        <v>0.25</v>
      </c>
      <c r="H708" s="886">
        <f>(Table2[[#This Row],[Points 2025]]/2)+SUM(Table2[[#This Row],[O1  ADMIN 2026]:[P2    CAPE TOWN OPEN 2026 ]])</f>
        <v>0.125</v>
      </c>
      <c r="I708" s="880">
        <f t="shared" si="64"/>
        <v>0</v>
      </c>
      <c r="J708" s="882">
        <f t="shared" si="66"/>
        <v>0</v>
      </c>
      <c r="K708" s="887" t="s">
        <v>6083</v>
      </c>
      <c r="L708" s="887" t="s">
        <v>6083</v>
      </c>
      <c r="M708" s="887" t="s">
        <v>6083</v>
      </c>
      <c r="N708" s="887"/>
      <c r="O708" s="882"/>
      <c r="P708" s="882"/>
      <c r="Q708" s="888"/>
      <c r="R708" s="888"/>
      <c r="S708" s="888"/>
      <c r="T708" s="888"/>
      <c r="U708" s="882"/>
      <c r="V708" s="887"/>
      <c r="W708" s="888"/>
      <c r="X708" s="888"/>
      <c r="Y708" s="888"/>
      <c r="Z708" s="882"/>
      <c r="AA708" s="882"/>
      <c r="AB708" s="882"/>
      <c r="AC708" s="882"/>
      <c r="AD708" s="882"/>
      <c r="AE708" s="882"/>
      <c r="AF708" s="882"/>
      <c r="AG708" s="882"/>
      <c r="AH708" s="882"/>
      <c r="AI708" s="882"/>
      <c r="AJ708" s="882"/>
      <c r="AK708" s="882"/>
    </row>
    <row r="709" spans="1:37" s="890" customFormat="1">
      <c r="A709" s="882">
        <v>498</v>
      </c>
      <c r="B709" s="891">
        <f t="shared" si="68"/>
        <v>-207</v>
      </c>
      <c r="C709" s="882">
        <f t="shared" si="65"/>
        <v>705</v>
      </c>
      <c r="D709" s="883">
        <v>3540</v>
      </c>
      <c r="E709" s="884" t="str">
        <f>IFERROR(VLOOKUP(Table2[[#This Row],[Player No]],Table10[[No]:[Province]],2,0),"")</f>
        <v>MOTSWANA Katlego</v>
      </c>
      <c r="F709" s="885" t="str">
        <f>IFERROR(VLOOKUP(Table2[[#This Row],[Player No]],Table10[[No]:[Province]],3,0),"")</f>
        <v>NC</v>
      </c>
      <c r="G709" s="892">
        <v>0.25</v>
      </c>
      <c r="H709" s="886">
        <f>(Table2[[#This Row],[Points 2025]]/2)+SUM(Table2[[#This Row],[O1  ADMIN 2026]:[P2    CAPE TOWN OPEN 2026 ]])</f>
        <v>0.125</v>
      </c>
      <c r="I709" s="880">
        <f t="shared" ref="I709:I772" si="69">COUNTIF(K709:N709,"&gt;0")</f>
        <v>0</v>
      </c>
      <c r="J709" s="882">
        <f t="shared" si="66"/>
        <v>0</v>
      </c>
      <c r="K709" s="887" t="s">
        <v>6083</v>
      </c>
      <c r="L709" s="887" t="s">
        <v>6083</v>
      </c>
      <c r="M709" s="887" t="s">
        <v>6083</v>
      </c>
      <c r="N709" s="887"/>
      <c r="O709" s="882"/>
      <c r="P709" s="882"/>
      <c r="Q709" s="888"/>
      <c r="R709" s="888"/>
      <c r="S709" s="888"/>
      <c r="T709" s="888"/>
      <c r="U709" s="882"/>
      <c r="V709" s="887"/>
      <c r="W709" s="888"/>
      <c r="X709" s="888"/>
      <c r="Y709" s="888"/>
      <c r="Z709" s="882"/>
      <c r="AA709" s="882"/>
      <c r="AB709" s="882"/>
      <c r="AC709" s="882"/>
      <c r="AD709" s="882"/>
      <c r="AE709" s="882"/>
      <c r="AF709" s="882"/>
      <c r="AG709" s="882"/>
      <c r="AH709" s="882"/>
      <c r="AI709" s="882"/>
      <c r="AJ709" s="882"/>
      <c r="AK709" s="882"/>
    </row>
    <row r="710" spans="1:37" s="890" customFormat="1">
      <c r="A710" s="882">
        <v>499</v>
      </c>
      <c r="B710" s="891">
        <f t="shared" si="68"/>
        <v>-207</v>
      </c>
      <c r="C710" s="882">
        <f t="shared" ref="C710:C756" si="70">C709+1</f>
        <v>706</v>
      </c>
      <c r="D710" s="883">
        <v>3541</v>
      </c>
      <c r="E710" s="884" t="str">
        <f>IFERROR(VLOOKUP(Table2[[#This Row],[Player No]],Table10[[No]:[Province]],2,0),"")</f>
        <v>SCHEEPERS Wenzel</v>
      </c>
      <c r="F710" s="885" t="str">
        <f>IFERROR(VLOOKUP(Table2[[#This Row],[Player No]],Table10[[No]:[Province]],3,0),"")</f>
        <v>FS</v>
      </c>
      <c r="G710" s="892">
        <v>0.25</v>
      </c>
      <c r="H710" s="886">
        <f>(Table2[[#This Row],[Points 2025]]/2)+SUM(Table2[[#This Row],[O1  ADMIN 2026]:[P2    CAPE TOWN OPEN 2026 ]])</f>
        <v>0.125</v>
      </c>
      <c r="I710" s="880">
        <f t="shared" si="69"/>
        <v>0</v>
      </c>
      <c r="J710" s="882">
        <f t="shared" si="66"/>
        <v>0</v>
      </c>
      <c r="K710" s="887" t="s">
        <v>6083</v>
      </c>
      <c r="L710" s="887" t="s">
        <v>6083</v>
      </c>
      <c r="M710" s="887" t="s">
        <v>6083</v>
      </c>
      <c r="N710" s="887"/>
      <c r="O710" s="882"/>
      <c r="P710" s="882"/>
      <c r="Q710" s="888"/>
      <c r="R710" s="888"/>
      <c r="S710" s="888"/>
      <c r="T710" s="888"/>
      <c r="U710" s="882"/>
      <c r="V710" s="887"/>
      <c r="W710" s="888"/>
      <c r="X710" s="888"/>
      <c r="Y710" s="888"/>
      <c r="Z710" s="882"/>
      <c r="AA710" s="882"/>
      <c r="AB710" s="882"/>
      <c r="AC710" s="882"/>
      <c r="AD710" s="882"/>
      <c r="AE710" s="882"/>
      <c r="AF710" s="882"/>
      <c r="AG710" s="882"/>
      <c r="AH710" s="882"/>
      <c r="AI710" s="882"/>
      <c r="AJ710" s="882"/>
      <c r="AK710" s="882"/>
    </row>
    <row r="711" spans="1:37" s="890" customFormat="1">
      <c r="A711" s="882">
        <v>501</v>
      </c>
      <c r="B711" s="891">
        <f t="shared" si="68"/>
        <v>-206</v>
      </c>
      <c r="C711" s="882">
        <f t="shared" si="70"/>
        <v>707</v>
      </c>
      <c r="D711" s="883">
        <v>3584</v>
      </c>
      <c r="E711" s="884" t="str">
        <f>IFERROR(VLOOKUP(Table2[[#This Row],[Player No]],Table10[[No]:[Province]],2,0),"")</f>
        <v>MAKAN Jasheel</v>
      </c>
      <c r="F711" s="885" t="str">
        <f>IFERROR(VLOOKUP(Table2[[#This Row],[Player No]],Table10[[No]:[Province]],3,0),"")</f>
        <v>CT</v>
      </c>
      <c r="G711" s="892">
        <v>0.25</v>
      </c>
      <c r="H711" s="886">
        <f>(Table2[[#This Row],[Points 2025]]/2)+SUM(Table2[[#This Row],[O1  ADMIN 2026]:[P2    CAPE TOWN OPEN 2026 ]])</f>
        <v>0.125</v>
      </c>
      <c r="I711" s="880">
        <f t="shared" si="69"/>
        <v>0</v>
      </c>
      <c r="J711" s="882">
        <f t="shared" si="66"/>
        <v>0</v>
      </c>
      <c r="K711" s="887" t="s">
        <v>6083</v>
      </c>
      <c r="L711" s="887" t="s">
        <v>6083</v>
      </c>
      <c r="M711" s="887" t="s">
        <v>6083</v>
      </c>
      <c r="N711" s="887"/>
      <c r="O711" s="882"/>
      <c r="P711" s="882"/>
      <c r="Q711" s="888"/>
      <c r="R711" s="888"/>
      <c r="S711" s="888"/>
      <c r="T711" s="888"/>
      <c r="U711" s="882"/>
      <c r="V711" s="887"/>
      <c r="W711" s="888"/>
      <c r="X711" s="888"/>
      <c r="Y711" s="888"/>
      <c r="Z711" s="882"/>
      <c r="AA711" s="882"/>
      <c r="AB711" s="882"/>
      <c r="AC711" s="882"/>
      <c r="AD711" s="882"/>
      <c r="AE711" s="882"/>
      <c r="AF711" s="882"/>
      <c r="AG711" s="882"/>
      <c r="AH711" s="882"/>
      <c r="AI711" s="882"/>
      <c r="AJ711" s="882"/>
      <c r="AK711" s="882"/>
    </row>
    <row r="712" spans="1:37" s="890" customFormat="1">
      <c r="A712" s="882">
        <v>517</v>
      </c>
      <c r="B712" s="891">
        <f t="shared" si="68"/>
        <v>-191</v>
      </c>
      <c r="C712" s="882">
        <f t="shared" si="70"/>
        <v>708</v>
      </c>
      <c r="D712" s="883">
        <v>3050</v>
      </c>
      <c r="E712" s="884" t="str">
        <f>IFERROR(VLOOKUP(Table2[[#This Row],[Player No]],Table10[[No]:[Province]],2,0),"")</f>
        <v>PRINGLE Malcolm</v>
      </c>
      <c r="F712" s="885" t="str">
        <f>IFERROR(VLOOKUP(Table2[[#This Row],[Player No]],Table10[[No]:[Province]],3,0),"")</f>
        <v>CT</v>
      </c>
      <c r="G712" s="892">
        <v>0.203125</v>
      </c>
      <c r="H712" s="886">
        <f>(Table2[[#This Row],[Points 2025]]/2)+SUM(Table2[[#This Row],[O1  ADMIN 2026]:[P2    CAPE TOWN OPEN 2026 ]])</f>
        <v>0.1015625</v>
      </c>
      <c r="I712" s="880">
        <f t="shared" si="69"/>
        <v>0</v>
      </c>
      <c r="J712" s="882">
        <f t="shared" si="66"/>
        <v>0</v>
      </c>
      <c r="K712" s="887" t="s">
        <v>6083</v>
      </c>
      <c r="L712" s="887" t="s">
        <v>6083</v>
      </c>
      <c r="M712" s="887" t="s">
        <v>6083</v>
      </c>
      <c r="N712" s="887"/>
      <c r="O712" s="882"/>
      <c r="P712" s="882"/>
      <c r="Q712" s="888"/>
      <c r="R712" s="888"/>
      <c r="S712" s="888"/>
      <c r="T712" s="888"/>
      <c r="U712" s="882"/>
      <c r="V712" s="887"/>
      <c r="W712" s="888"/>
      <c r="X712" s="888"/>
      <c r="Y712" s="888"/>
      <c r="Z712" s="882"/>
      <c r="AA712" s="882"/>
      <c r="AB712" s="882"/>
      <c r="AC712" s="882"/>
      <c r="AD712" s="882"/>
      <c r="AE712" s="882"/>
      <c r="AF712" s="882"/>
      <c r="AG712" s="882"/>
      <c r="AH712" s="882"/>
      <c r="AI712" s="882"/>
      <c r="AJ712" s="882"/>
      <c r="AK712" s="882"/>
    </row>
    <row r="713" spans="1:37" s="890" customFormat="1" ht="29">
      <c r="A713" s="882">
        <v>520</v>
      </c>
      <c r="B713" s="891">
        <f t="shared" si="68"/>
        <v>-189</v>
      </c>
      <c r="C713" s="882">
        <f t="shared" si="70"/>
        <v>709</v>
      </c>
      <c r="D713" s="883">
        <v>2373</v>
      </c>
      <c r="E713" s="884" t="str">
        <f>IFERROR(VLOOKUP(Table2[[#This Row],[Player No]],Table10[[No]:[Province]],2,0),"")</f>
        <v>MOHOLOENG Kamogelo Christopher</v>
      </c>
      <c r="F713" s="885" t="str">
        <f>IFERROR(VLOOKUP(Table2[[#This Row],[Player No]],Table10[[No]:[Province]],3,0),"")</f>
        <v>NC</v>
      </c>
      <c r="G713" s="892">
        <v>0.1953125</v>
      </c>
      <c r="H713" s="886">
        <f>(Table2[[#This Row],[Points 2025]]/2)+SUM(Table2[[#This Row],[O1  ADMIN 2026]:[P2    CAPE TOWN OPEN 2026 ]])</f>
        <v>9.765625E-2</v>
      </c>
      <c r="I713" s="880">
        <f t="shared" si="69"/>
        <v>0</v>
      </c>
      <c r="J713" s="882">
        <f t="shared" si="66"/>
        <v>0</v>
      </c>
      <c r="K713" s="887" t="s">
        <v>6083</v>
      </c>
      <c r="L713" s="887" t="s">
        <v>6083</v>
      </c>
      <c r="M713" s="887" t="s">
        <v>6083</v>
      </c>
      <c r="N713" s="887"/>
      <c r="O713" s="882"/>
      <c r="P713" s="882"/>
      <c r="Q713" s="888"/>
      <c r="R713" s="888"/>
      <c r="S713" s="888"/>
      <c r="T713" s="888"/>
      <c r="U713" s="882"/>
      <c r="V713" s="887"/>
      <c r="W713" s="888"/>
      <c r="X713" s="888"/>
      <c r="Y713" s="888"/>
      <c r="Z713" s="882"/>
      <c r="AA713" s="882"/>
      <c r="AB713" s="882"/>
      <c r="AC713" s="882"/>
      <c r="AD713" s="882"/>
      <c r="AE713" s="882"/>
      <c r="AF713" s="882"/>
      <c r="AG713" s="882"/>
      <c r="AH713" s="882"/>
      <c r="AI713" s="882"/>
      <c r="AJ713" s="882"/>
      <c r="AK713" s="882"/>
    </row>
    <row r="714" spans="1:37" s="890" customFormat="1" ht="15.75" customHeight="1">
      <c r="A714" s="882">
        <v>519</v>
      </c>
      <c r="B714" s="891">
        <f t="shared" si="68"/>
        <v>-191</v>
      </c>
      <c r="C714" s="882">
        <f t="shared" si="70"/>
        <v>710</v>
      </c>
      <c r="D714" s="883">
        <v>2988</v>
      </c>
      <c r="E714" s="884" t="str">
        <f>IFERROR(VLOOKUP(Table2[[#This Row],[Player No]],Table10[[No]:[Province]],2,0),"")</f>
        <v>JOSEPH Faried</v>
      </c>
      <c r="F714" s="885" t="str">
        <f>IFERROR(VLOOKUP(Table2[[#This Row],[Player No]],Table10[[No]:[Province]],3,0),"")</f>
        <v>NC</v>
      </c>
      <c r="G714" s="892">
        <v>0.1953125</v>
      </c>
      <c r="H714" s="886">
        <f>(Table2[[#This Row],[Points 2025]]/2)+SUM(Table2[[#This Row],[O1  ADMIN 2026]:[P2    CAPE TOWN OPEN 2026 ]])</f>
        <v>9.765625E-2</v>
      </c>
      <c r="I714" s="880">
        <f t="shared" si="69"/>
        <v>0</v>
      </c>
      <c r="J714" s="882">
        <f t="shared" si="66"/>
        <v>0</v>
      </c>
      <c r="K714" s="887" t="s">
        <v>6083</v>
      </c>
      <c r="L714" s="887" t="s">
        <v>6083</v>
      </c>
      <c r="M714" s="887" t="s">
        <v>6083</v>
      </c>
      <c r="N714" s="887"/>
      <c r="O714" s="882"/>
      <c r="P714" s="882"/>
      <c r="Q714" s="888"/>
      <c r="R714" s="888"/>
      <c r="S714" s="888"/>
      <c r="T714" s="888"/>
      <c r="U714" s="882"/>
      <c r="V714" s="887"/>
      <c r="W714" s="888"/>
      <c r="X714" s="888"/>
      <c r="Y714" s="888"/>
      <c r="Z714" s="882"/>
      <c r="AA714" s="882"/>
      <c r="AB714" s="882"/>
      <c r="AC714" s="882"/>
      <c r="AD714" s="882"/>
      <c r="AE714" s="882"/>
      <c r="AF714" s="882"/>
      <c r="AG714" s="882"/>
      <c r="AH714" s="882"/>
      <c r="AI714" s="882"/>
      <c r="AJ714" s="882"/>
      <c r="AK714" s="882"/>
    </row>
    <row r="715" spans="1:37" s="890" customFormat="1">
      <c r="A715" s="882">
        <v>527</v>
      </c>
      <c r="B715" s="891">
        <f t="shared" si="68"/>
        <v>-184</v>
      </c>
      <c r="C715" s="882">
        <f t="shared" si="70"/>
        <v>711</v>
      </c>
      <c r="D715" s="883">
        <v>3277</v>
      </c>
      <c r="E715" s="884" t="str">
        <f>IFERROR(VLOOKUP(Table2[[#This Row],[Player No]],Table10[[No]:[Province]],2,0),"")</f>
        <v>HEROLD Lester</v>
      </c>
      <c r="F715" s="885" t="str">
        <f>IFERROR(VLOOKUP(Table2[[#This Row],[Player No]],Table10[[No]:[Province]],3,0),"")</f>
        <v>CT</v>
      </c>
      <c r="G715" s="892">
        <v>0.1875</v>
      </c>
      <c r="H715" s="886">
        <f>(Table2[[#This Row],[Points 2025]]/2)+SUM(Table2[[#This Row],[O1  ADMIN 2026]:[P2    CAPE TOWN OPEN 2026 ]])</f>
        <v>9.375E-2</v>
      </c>
      <c r="I715" s="880">
        <f t="shared" si="69"/>
        <v>0</v>
      </c>
      <c r="J715" s="882">
        <f t="shared" si="66"/>
        <v>0</v>
      </c>
      <c r="K715" s="887" t="s">
        <v>6083</v>
      </c>
      <c r="L715" s="887" t="s">
        <v>6083</v>
      </c>
      <c r="M715" s="887" t="s">
        <v>6083</v>
      </c>
      <c r="N715" s="887"/>
      <c r="O715" s="882"/>
      <c r="P715" s="882"/>
      <c r="Q715" s="888"/>
      <c r="R715" s="888"/>
      <c r="S715" s="888"/>
      <c r="T715" s="888"/>
      <c r="U715" s="882"/>
      <c r="V715" s="887"/>
      <c r="W715" s="888"/>
      <c r="X715" s="888"/>
      <c r="Y715" s="888"/>
      <c r="Z715" s="882"/>
      <c r="AA715" s="882"/>
      <c r="AB715" s="882"/>
      <c r="AC715" s="882"/>
      <c r="AD715" s="882"/>
      <c r="AE715" s="882"/>
      <c r="AF715" s="882"/>
      <c r="AG715" s="882"/>
      <c r="AH715" s="882"/>
      <c r="AI715" s="882"/>
      <c r="AJ715" s="882"/>
      <c r="AK715" s="882"/>
    </row>
    <row r="716" spans="1:37" s="890" customFormat="1">
      <c r="A716" s="882">
        <v>538</v>
      </c>
      <c r="B716" s="891">
        <f t="shared" si="68"/>
        <v>-174</v>
      </c>
      <c r="C716" s="882">
        <f t="shared" si="70"/>
        <v>712</v>
      </c>
      <c r="D716" s="883">
        <v>1554</v>
      </c>
      <c r="E716" s="884" t="str">
        <f>IFERROR(VLOOKUP(Table2[[#This Row],[Player No]],Table10[[No]:[Province]],2,0),"")</f>
        <v>VAN DER VENT Grant</v>
      </c>
      <c r="F716" s="885" t="str">
        <f>IFERROR(VLOOKUP(Table2[[#This Row],[Player No]],Table10[[No]:[Province]],3,0),"")</f>
        <v>CT</v>
      </c>
      <c r="G716" s="892">
        <v>0.1640625</v>
      </c>
      <c r="H716" s="886">
        <f>(Table2[[#This Row],[Points 2025]]/2)+SUM(Table2[[#This Row],[O1  ADMIN 2026]:[P2    CAPE TOWN OPEN 2026 ]])</f>
        <v>8.203125E-2</v>
      </c>
      <c r="I716" s="880">
        <f t="shared" si="69"/>
        <v>0</v>
      </c>
      <c r="J716" s="882">
        <f t="shared" si="66"/>
        <v>0</v>
      </c>
      <c r="K716" s="887" t="s">
        <v>6083</v>
      </c>
      <c r="L716" s="887" t="s">
        <v>6083</v>
      </c>
      <c r="M716" s="887" t="s">
        <v>6083</v>
      </c>
      <c r="N716" s="887"/>
      <c r="O716" s="882"/>
      <c r="P716" s="882"/>
      <c r="Q716" s="888"/>
      <c r="R716" s="888"/>
      <c r="S716" s="888"/>
      <c r="T716" s="888"/>
      <c r="U716" s="882"/>
      <c r="V716" s="887"/>
      <c r="W716" s="888"/>
      <c r="X716" s="888"/>
      <c r="Y716" s="888"/>
      <c r="Z716" s="882"/>
      <c r="AA716" s="882"/>
      <c r="AB716" s="882"/>
      <c r="AC716" s="882"/>
      <c r="AD716" s="882"/>
      <c r="AE716" s="882"/>
      <c r="AF716" s="882"/>
      <c r="AG716" s="882"/>
      <c r="AH716" s="882"/>
      <c r="AI716" s="882"/>
      <c r="AJ716" s="882"/>
      <c r="AK716" s="882"/>
    </row>
    <row r="717" spans="1:37" s="890" customFormat="1">
      <c r="A717" s="882">
        <v>544</v>
      </c>
      <c r="B717" s="891">
        <f t="shared" si="68"/>
        <v>-169</v>
      </c>
      <c r="C717" s="882">
        <f t="shared" si="70"/>
        <v>713</v>
      </c>
      <c r="D717" s="883">
        <v>1903</v>
      </c>
      <c r="E717" s="884" t="str">
        <f>IFERROR(VLOOKUP(Table2[[#This Row],[Player No]],Table10[[No]:[Province]],2,0),"")</f>
        <v xml:space="preserve">PEDRO Andrico </v>
      </c>
      <c r="F717" s="885" t="str">
        <f>IFERROR(VLOOKUP(Table2[[#This Row],[Player No]],Table10[[No]:[Province]],3,0),"")</f>
        <v>WC</v>
      </c>
      <c r="G717" s="892">
        <v>0.15625</v>
      </c>
      <c r="H717" s="886">
        <f>(Table2[[#This Row],[Points 2025]]/2)+SUM(Table2[[#This Row],[O1  ADMIN 2026]:[P2    CAPE TOWN OPEN 2026 ]])</f>
        <v>7.8125E-2</v>
      </c>
      <c r="I717" s="880">
        <f t="shared" si="69"/>
        <v>0</v>
      </c>
      <c r="J717" s="882">
        <f t="shared" si="66"/>
        <v>0</v>
      </c>
      <c r="K717" s="887" t="s">
        <v>6083</v>
      </c>
      <c r="L717" s="887" t="s">
        <v>6083</v>
      </c>
      <c r="M717" s="887" t="s">
        <v>6083</v>
      </c>
      <c r="N717" s="887"/>
      <c r="O717" s="882"/>
      <c r="P717" s="882"/>
      <c r="Q717" s="888"/>
      <c r="R717" s="888"/>
      <c r="S717" s="888"/>
      <c r="T717" s="888"/>
      <c r="U717" s="882"/>
      <c r="V717" s="887"/>
      <c r="W717" s="888"/>
      <c r="X717" s="888"/>
      <c r="Y717" s="888"/>
      <c r="Z717" s="882"/>
      <c r="AA717" s="882"/>
      <c r="AB717" s="882"/>
      <c r="AC717" s="882"/>
      <c r="AD717" s="882"/>
      <c r="AE717" s="882"/>
      <c r="AF717" s="882"/>
      <c r="AG717" s="882"/>
      <c r="AH717" s="882"/>
      <c r="AI717" s="882"/>
      <c r="AJ717" s="882"/>
      <c r="AK717" s="882"/>
    </row>
    <row r="718" spans="1:37" s="890" customFormat="1">
      <c r="A718" s="882">
        <v>543</v>
      </c>
      <c r="B718" s="891">
        <f t="shared" si="68"/>
        <v>-171</v>
      </c>
      <c r="C718" s="882">
        <f t="shared" si="70"/>
        <v>714</v>
      </c>
      <c r="D718" s="883">
        <v>2118</v>
      </c>
      <c r="E718" s="884" t="str">
        <f>IFERROR(VLOOKUP(Table2[[#This Row],[Player No]],Table10[[No]:[Province]],2,0),"")</f>
        <v xml:space="preserve">VAKALISA Inga </v>
      </c>
      <c r="F718" s="885" t="str">
        <f>IFERROR(VLOOKUP(Table2[[#This Row],[Player No]],Table10[[No]:[Province]],3,0),"")</f>
        <v>HG</v>
      </c>
      <c r="G718" s="892">
        <v>0.15625</v>
      </c>
      <c r="H718" s="886">
        <f>(Table2[[#This Row],[Points 2025]]/2)+SUM(Table2[[#This Row],[O1  ADMIN 2026]:[P2    CAPE TOWN OPEN 2026 ]])</f>
        <v>7.8125E-2</v>
      </c>
      <c r="I718" s="880">
        <f t="shared" si="69"/>
        <v>0</v>
      </c>
      <c r="J718" s="882">
        <f t="shared" si="66"/>
        <v>0</v>
      </c>
      <c r="K718" s="887" t="s">
        <v>6083</v>
      </c>
      <c r="L718" s="887" t="s">
        <v>6083</v>
      </c>
      <c r="M718" s="887" t="s">
        <v>6083</v>
      </c>
      <c r="N718" s="887"/>
      <c r="O718" s="882"/>
      <c r="P718" s="882"/>
      <c r="Q718" s="888"/>
      <c r="R718" s="888"/>
      <c r="S718" s="888"/>
      <c r="T718" s="888"/>
      <c r="U718" s="882"/>
      <c r="V718" s="887"/>
      <c r="W718" s="888"/>
      <c r="X718" s="888"/>
      <c r="Y718" s="888"/>
      <c r="Z718" s="882"/>
      <c r="AA718" s="882"/>
      <c r="AB718" s="882"/>
      <c r="AC718" s="882"/>
      <c r="AD718" s="882"/>
      <c r="AE718" s="882"/>
      <c r="AF718" s="882"/>
      <c r="AG718" s="882"/>
      <c r="AH718" s="882"/>
      <c r="AI718" s="882"/>
      <c r="AJ718" s="882"/>
      <c r="AK718" s="882"/>
    </row>
    <row r="719" spans="1:37" s="890" customFormat="1">
      <c r="A719" s="882">
        <v>542</v>
      </c>
      <c r="B719" s="891">
        <f t="shared" si="68"/>
        <v>-173</v>
      </c>
      <c r="C719" s="882">
        <f t="shared" si="70"/>
        <v>715</v>
      </c>
      <c r="D719" s="883">
        <v>2686</v>
      </c>
      <c r="E719" s="884" t="str">
        <f>IFERROR(VLOOKUP(Table2[[#This Row],[Player No]],Table10[[No]:[Province]],2,0),"")</f>
        <v>GONCALVES Joel Nunes</v>
      </c>
      <c r="F719" s="885" t="str">
        <f>IFERROR(VLOOKUP(Table2[[#This Row],[Player No]],Table10[[No]:[Province]],3,0),"")</f>
        <v>GN</v>
      </c>
      <c r="G719" s="892">
        <v>0.15625</v>
      </c>
      <c r="H719" s="886">
        <f>(Table2[[#This Row],[Points 2025]]/2)+SUM(Table2[[#This Row],[O1  ADMIN 2026]:[P2    CAPE TOWN OPEN 2026 ]])</f>
        <v>7.8125E-2</v>
      </c>
      <c r="I719" s="880">
        <f t="shared" si="69"/>
        <v>0</v>
      </c>
      <c r="J719" s="882">
        <f t="shared" si="66"/>
        <v>0</v>
      </c>
      <c r="K719" s="887" t="s">
        <v>6083</v>
      </c>
      <c r="L719" s="887" t="s">
        <v>6083</v>
      </c>
      <c r="M719" s="887" t="s">
        <v>6083</v>
      </c>
      <c r="N719" s="887"/>
      <c r="O719" s="882"/>
      <c r="P719" s="882"/>
      <c r="Q719" s="888"/>
      <c r="R719" s="888"/>
      <c r="S719" s="888"/>
      <c r="T719" s="888"/>
      <c r="U719" s="882"/>
      <c r="V719" s="887"/>
      <c r="W719" s="888"/>
      <c r="X719" s="888"/>
      <c r="Y719" s="888"/>
      <c r="Z719" s="882"/>
      <c r="AA719" s="882"/>
      <c r="AB719" s="882"/>
      <c r="AC719" s="882"/>
      <c r="AD719" s="882"/>
      <c r="AE719" s="882"/>
      <c r="AF719" s="882"/>
      <c r="AG719" s="882"/>
      <c r="AH719" s="882"/>
      <c r="AI719" s="882"/>
      <c r="AJ719" s="882"/>
      <c r="AK719" s="882"/>
    </row>
    <row r="720" spans="1:37" s="890" customFormat="1">
      <c r="A720" s="882">
        <v>541</v>
      </c>
      <c r="B720" s="891">
        <f t="shared" si="68"/>
        <v>-175</v>
      </c>
      <c r="C720" s="882">
        <f t="shared" si="70"/>
        <v>716</v>
      </c>
      <c r="D720" s="883">
        <v>2902</v>
      </c>
      <c r="E720" s="884" t="str">
        <f>IFERROR(VLOOKUP(Table2[[#This Row],[Player No]],Table10[[No]:[Province]],2,0),"")</f>
        <v>VAN DEVENTER Sias</v>
      </c>
      <c r="F720" s="885" t="str">
        <f>IFERROR(VLOOKUP(Table2[[#This Row],[Player No]],Table10[[No]:[Province]],3,0),"")</f>
        <v>GN</v>
      </c>
      <c r="G720" s="892">
        <v>0.15625</v>
      </c>
      <c r="H720" s="886">
        <f>(Table2[[#This Row],[Points 2025]]/2)+SUM(Table2[[#This Row],[O1  ADMIN 2026]:[P2    CAPE TOWN OPEN 2026 ]])</f>
        <v>7.8125E-2</v>
      </c>
      <c r="I720" s="880">
        <f t="shared" si="69"/>
        <v>0</v>
      </c>
      <c r="J720" s="882">
        <f t="shared" si="66"/>
        <v>0</v>
      </c>
      <c r="K720" s="887" t="s">
        <v>6083</v>
      </c>
      <c r="L720" s="887" t="s">
        <v>6083</v>
      </c>
      <c r="M720" s="887" t="s">
        <v>6083</v>
      </c>
      <c r="N720" s="887"/>
      <c r="O720" s="882"/>
      <c r="P720" s="882"/>
      <c r="Q720" s="888"/>
      <c r="R720" s="888"/>
      <c r="S720" s="888"/>
      <c r="T720" s="888"/>
      <c r="U720" s="882"/>
      <c r="V720" s="887"/>
      <c r="W720" s="888"/>
      <c r="X720" s="888"/>
      <c r="Y720" s="888"/>
      <c r="Z720" s="882"/>
      <c r="AA720" s="882"/>
      <c r="AB720" s="882"/>
      <c r="AC720" s="882"/>
      <c r="AD720" s="882"/>
      <c r="AE720" s="882"/>
      <c r="AF720" s="882"/>
      <c r="AG720" s="882"/>
      <c r="AH720" s="882"/>
      <c r="AI720" s="882"/>
      <c r="AJ720" s="882"/>
      <c r="AK720" s="882"/>
    </row>
    <row r="721" spans="1:37" s="890" customFormat="1">
      <c r="A721" s="882">
        <v>560</v>
      </c>
      <c r="B721" s="891">
        <f t="shared" si="68"/>
        <v>-157</v>
      </c>
      <c r="C721" s="882">
        <f t="shared" si="70"/>
        <v>717</v>
      </c>
      <c r="D721" s="883">
        <v>2275</v>
      </c>
      <c r="E721" s="884" t="str">
        <f>IFERROR(VLOOKUP(Table2[[#This Row],[Player No]],Table10[[No]:[Province]],2,0),"")</f>
        <v>O'CONNELL Brendan</v>
      </c>
      <c r="F721" s="885" t="str">
        <f>IFERROR(VLOOKUP(Table2[[#This Row],[Player No]],Table10[[No]:[Province]],3,0),"")</f>
        <v>CT</v>
      </c>
      <c r="G721" s="892">
        <v>0.1328125</v>
      </c>
      <c r="H721" s="886">
        <f>(Table2[[#This Row],[Points 2025]]/2)+SUM(Table2[[#This Row],[O1  ADMIN 2026]:[P2    CAPE TOWN OPEN 2026 ]])</f>
        <v>6.640625E-2</v>
      </c>
      <c r="I721" s="880">
        <f t="shared" si="69"/>
        <v>0</v>
      </c>
      <c r="J721" s="882">
        <f t="shared" ref="J721:J784" si="71">COUNTIF(O721:AK721,"&lt;0")</f>
        <v>0</v>
      </c>
      <c r="K721" s="887" t="s">
        <v>6083</v>
      </c>
      <c r="L721" s="887" t="s">
        <v>6083</v>
      </c>
      <c r="M721" s="887" t="s">
        <v>6083</v>
      </c>
      <c r="N721" s="887"/>
      <c r="O721" s="882"/>
      <c r="P721" s="882"/>
      <c r="Q721" s="888"/>
      <c r="R721" s="888"/>
      <c r="S721" s="888"/>
      <c r="T721" s="888"/>
      <c r="U721" s="882"/>
      <c r="V721" s="887"/>
      <c r="W721" s="888"/>
      <c r="X721" s="888"/>
      <c r="Y721" s="888"/>
      <c r="Z721" s="882"/>
      <c r="AA721" s="882"/>
      <c r="AB721" s="882"/>
      <c r="AC721" s="882"/>
      <c r="AD721" s="882"/>
      <c r="AE721" s="882"/>
      <c r="AF721" s="882"/>
      <c r="AG721" s="882"/>
      <c r="AH721" s="882"/>
      <c r="AI721" s="882"/>
      <c r="AJ721" s="882"/>
      <c r="AK721" s="882"/>
    </row>
    <row r="722" spans="1:37" s="890" customFormat="1">
      <c r="A722" s="882">
        <v>572</v>
      </c>
      <c r="B722" s="891">
        <f t="shared" si="68"/>
        <v>-146</v>
      </c>
      <c r="C722" s="882">
        <f t="shared" si="70"/>
        <v>718</v>
      </c>
      <c r="D722" s="883">
        <v>1224</v>
      </c>
      <c r="E722" s="884" t="str">
        <f>IFERROR(VLOOKUP(Table2[[#This Row],[Player No]],Table10[[No]:[Province]],2,0),"")</f>
        <v>MOTHIBI Likhetho</v>
      </c>
      <c r="F722" s="885" t="str">
        <f>IFERROR(VLOOKUP(Table2[[#This Row],[Player No]],Table10[[No]:[Province]],3,0),"")</f>
        <v>LSO</v>
      </c>
      <c r="G722" s="892">
        <v>0.125</v>
      </c>
      <c r="H722" s="886">
        <f>(Table2[[#This Row],[Points 2025]]/2)+SUM(Table2[[#This Row],[O1  ADMIN 2026]:[P2    CAPE TOWN OPEN 2026 ]])</f>
        <v>6.25E-2</v>
      </c>
      <c r="I722" s="880">
        <f t="shared" si="69"/>
        <v>0</v>
      </c>
      <c r="J722" s="882">
        <f t="shared" si="71"/>
        <v>0</v>
      </c>
      <c r="K722" s="887" t="s">
        <v>6083</v>
      </c>
      <c r="L722" s="887" t="s">
        <v>6083</v>
      </c>
      <c r="M722" s="887" t="s">
        <v>6083</v>
      </c>
      <c r="N722" s="887"/>
      <c r="O722" s="882"/>
      <c r="P722" s="882"/>
      <c r="Q722" s="888"/>
      <c r="R722" s="888"/>
      <c r="S722" s="888"/>
      <c r="T722" s="888"/>
      <c r="U722" s="882"/>
      <c r="V722" s="887"/>
      <c r="W722" s="888"/>
      <c r="X722" s="888"/>
      <c r="Y722" s="888"/>
      <c r="Z722" s="882"/>
      <c r="AA722" s="882"/>
      <c r="AB722" s="882"/>
      <c r="AC722" s="882"/>
      <c r="AD722" s="882"/>
      <c r="AE722" s="882"/>
      <c r="AF722" s="882"/>
      <c r="AG722" s="882"/>
      <c r="AH722" s="882"/>
      <c r="AI722" s="882"/>
      <c r="AJ722" s="882"/>
      <c r="AK722" s="882"/>
    </row>
    <row r="723" spans="1:37" s="890" customFormat="1">
      <c r="A723" s="882">
        <v>569</v>
      </c>
      <c r="B723" s="891">
        <f t="shared" si="68"/>
        <v>-150</v>
      </c>
      <c r="C723" s="882">
        <f t="shared" si="70"/>
        <v>719</v>
      </c>
      <c r="D723" s="883">
        <v>1381</v>
      </c>
      <c r="E723" s="884" t="str">
        <f>IFERROR(VLOOKUP(Table2[[#This Row],[Player No]],Table10[[No]:[Province]],2,0),"")</f>
        <v xml:space="preserve">NDLANZI Sibongiseni </v>
      </c>
      <c r="F723" s="885" t="str">
        <f>IFERROR(VLOOKUP(Table2[[#This Row],[Player No]],Table10[[No]:[Province]],3,0),"")</f>
        <v>UTH</v>
      </c>
      <c r="G723" s="892">
        <v>0.125</v>
      </c>
      <c r="H723" s="886">
        <f>(Table2[[#This Row],[Points 2025]]/2)+SUM(Table2[[#This Row],[O1  ADMIN 2026]:[P2    CAPE TOWN OPEN 2026 ]])</f>
        <v>6.25E-2</v>
      </c>
      <c r="I723" s="880">
        <f t="shared" si="69"/>
        <v>0</v>
      </c>
      <c r="J723" s="882">
        <f t="shared" si="71"/>
        <v>0</v>
      </c>
      <c r="K723" s="887" t="s">
        <v>6083</v>
      </c>
      <c r="L723" s="887" t="s">
        <v>6083</v>
      </c>
      <c r="M723" s="887" t="s">
        <v>6083</v>
      </c>
      <c r="N723" s="887"/>
      <c r="O723" s="882"/>
      <c r="P723" s="882"/>
      <c r="Q723" s="888"/>
      <c r="R723" s="888"/>
      <c r="S723" s="888"/>
      <c r="T723" s="888"/>
      <c r="U723" s="882"/>
      <c r="V723" s="887"/>
      <c r="W723" s="888"/>
      <c r="X723" s="888"/>
      <c r="Y723" s="888"/>
      <c r="Z723" s="882"/>
      <c r="AA723" s="882"/>
      <c r="AB723" s="882"/>
      <c r="AC723" s="882"/>
      <c r="AD723" s="882"/>
      <c r="AE723" s="882"/>
      <c r="AF723" s="882"/>
      <c r="AG723" s="882"/>
      <c r="AH723" s="882"/>
      <c r="AI723" s="882"/>
      <c r="AJ723" s="882"/>
      <c r="AK723" s="882"/>
    </row>
    <row r="724" spans="1:37" s="890" customFormat="1">
      <c r="A724" s="882">
        <v>566</v>
      </c>
      <c r="B724" s="891">
        <f t="shared" si="68"/>
        <v>-154</v>
      </c>
      <c r="C724" s="882">
        <f t="shared" si="70"/>
        <v>720</v>
      </c>
      <c r="D724" s="883">
        <v>1436</v>
      </c>
      <c r="E724" s="884" t="str">
        <f>IFERROR(VLOOKUP(Table2[[#This Row],[Player No]],Table10[[No]:[Province]],2,0),"")</f>
        <v xml:space="preserve">CLOETE Granville </v>
      </c>
      <c r="F724" s="885" t="str">
        <f>IFERROR(VLOOKUP(Table2[[#This Row],[Player No]],Table10[[No]:[Province]],3,0),"")</f>
        <v>WC</v>
      </c>
      <c r="G724" s="892">
        <v>0.125</v>
      </c>
      <c r="H724" s="886">
        <f>(Table2[[#This Row],[Points 2025]]/2)+SUM(Table2[[#This Row],[O1  ADMIN 2026]:[P2    CAPE TOWN OPEN 2026 ]])</f>
        <v>6.25E-2</v>
      </c>
      <c r="I724" s="880">
        <f t="shared" si="69"/>
        <v>0</v>
      </c>
      <c r="J724" s="882">
        <f t="shared" si="71"/>
        <v>0</v>
      </c>
      <c r="K724" s="887" t="s">
        <v>6083</v>
      </c>
      <c r="L724" s="887" t="s">
        <v>6083</v>
      </c>
      <c r="M724" s="887" t="s">
        <v>6083</v>
      </c>
      <c r="N724" s="887"/>
      <c r="O724" s="882"/>
      <c r="P724" s="882"/>
      <c r="Q724" s="888"/>
      <c r="R724" s="888"/>
      <c r="S724" s="888"/>
      <c r="T724" s="888"/>
      <c r="U724" s="882"/>
      <c r="V724" s="887"/>
      <c r="W724" s="888"/>
      <c r="X724" s="888"/>
      <c r="Y724" s="888"/>
      <c r="Z724" s="882"/>
      <c r="AA724" s="882"/>
      <c r="AB724" s="882"/>
      <c r="AC724" s="882"/>
      <c r="AD724" s="882"/>
      <c r="AE724" s="882"/>
      <c r="AF724" s="882"/>
      <c r="AG724" s="882"/>
      <c r="AH724" s="882"/>
      <c r="AI724" s="882"/>
      <c r="AJ724" s="882"/>
      <c r="AK724" s="882"/>
    </row>
    <row r="725" spans="1:37" s="890" customFormat="1">
      <c r="A725" s="882">
        <v>562</v>
      </c>
      <c r="B725" s="891">
        <f t="shared" si="68"/>
        <v>-159</v>
      </c>
      <c r="C725" s="882">
        <f t="shared" si="70"/>
        <v>721</v>
      </c>
      <c r="D725" s="883">
        <v>1589</v>
      </c>
      <c r="E725" s="884" t="str">
        <f>IFERROR(VLOOKUP(Table2[[#This Row],[Player No]],Table10[[No]:[Province]],2,0),"")</f>
        <v xml:space="preserve">BRUINERS Allan </v>
      </c>
      <c r="F725" s="885" t="str">
        <f>IFERROR(VLOOKUP(Table2[[#This Row],[Player No]],Table10[[No]:[Province]],3,0),"")</f>
        <v>CT</v>
      </c>
      <c r="G725" s="892">
        <v>0.125</v>
      </c>
      <c r="H725" s="886">
        <f>(Table2[[#This Row],[Points 2025]]/2)+SUM(Table2[[#This Row],[O1  ADMIN 2026]:[P2    CAPE TOWN OPEN 2026 ]])</f>
        <v>6.25E-2</v>
      </c>
      <c r="I725" s="880">
        <f t="shared" si="69"/>
        <v>0</v>
      </c>
      <c r="J725" s="882">
        <f t="shared" si="71"/>
        <v>0</v>
      </c>
      <c r="K725" s="887" t="s">
        <v>6083</v>
      </c>
      <c r="L725" s="887" t="s">
        <v>6083</v>
      </c>
      <c r="M725" s="887" t="s">
        <v>6083</v>
      </c>
      <c r="N725" s="887"/>
      <c r="O725" s="882"/>
      <c r="P725" s="882"/>
      <c r="Q725" s="888"/>
      <c r="R725" s="888"/>
      <c r="S725" s="888"/>
      <c r="T725" s="888"/>
      <c r="U725" s="882"/>
      <c r="V725" s="887"/>
      <c r="W725" s="888"/>
      <c r="X725" s="888"/>
      <c r="Y725" s="888"/>
      <c r="Z725" s="882"/>
      <c r="AA725" s="882"/>
      <c r="AB725" s="882"/>
      <c r="AC725" s="882"/>
      <c r="AD725" s="882"/>
      <c r="AE725" s="882"/>
      <c r="AF725" s="882"/>
      <c r="AG725" s="882"/>
      <c r="AH725" s="882"/>
      <c r="AI725" s="882"/>
      <c r="AJ725" s="882"/>
      <c r="AK725" s="882"/>
    </row>
    <row r="726" spans="1:37" s="890" customFormat="1">
      <c r="A726" s="882">
        <v>587</v>
      </c>
      <c r="B726" s="891">
        <f t="shared" si="68"/>
        <v>-135</v>
      </c>
      <c r="C726" s="882">
        <f t="shared" si="70"/>
        <v>722</v>
      </c>
      <c r="D726" s="883">
        <v>1773</v>
      </c>
      <c r="E726" s="884" t="str">
        <f>IFERROR(VLOOKUP(Table2[[#This Row],[Player No]],Table10[[No]:[Province]],2,0),"")</f>
        <v xml:space="preserve">ALEXANDER Delton </v>
      </c>
      <c r="F726" s="885" t="str">
        <f>IFERROR(VLOOKUP(Table2[[#This Row],[Player No]],Table10[[No]:[Province]],3,0),"")</f>
        <v>CT</v>
      </c>
      <c r="G726" s="892">
        <v>0.125</v>
      </c>
      <c r="H726" s="886">
        <f>(Table2[[#This Row],[Points 2025]]/2)+SUM(Table2[[#This Row],[O1  ADMIN 2026]:[P2    CAPE TOWN OPEN 2026 ]])</f>
        <v>6.25E-2</v>
      </c>
      <c r="I726" s="880">
        <f t="shared" si="69"/>
        <v>0</v>
      </c>
      <c r="J726" s="882">
        <f t="shared" si="71"/>
        <v>0</v>
      </c>
      <c r="K726" s="887" t="s">
        <v>6083</v>
      </c>
      <c r="L726" s="887" t="s">
        <v>6083</v>
      </c>
      <c r="M726" s="887" t="s">
        <v>6083</v>
      </c>
      <c r="N726" s="887"/>
      <c r="O726" s="882"/>
      <c r="P726" s="882"/>
      <c r="Q726" s="888"/>
      <c r="R726" s="888"/>
      <c r="S726" s="888"/>
      <c r="T726" s="888"/>
      <c r="U726" s="882"/>
      <c r="V726" s="887"/>
      <c r="W726" s="888"/>
      <c r="X726" s="888"/>
      <c r="Y726" s="888"/>
      <c r="Z726" s="882"/>
      <c r="AA726" s="882"/>
      <c r="AB726" s="882"/>
      <c r="AC726" s="882"/>
      <c r="AD726" s="882"/>
      <c r="AE726" s="882"/>
      <c r="AF726" s="882"/>
      <c r="AG726" s="882"/>
      <c r="AH726" s="882"/>
      <c r="AI726" s="882"/>
      <c r="AJ726" s="882"/>
      <c r="AK726" s="882"/>
    </row>
    <row r="727" spans="1:37" s="890" customFormat="1">
      <c r="A727" s="882">
        <v>570</v>
      </c>
      <c r="B727" s="891">
        <f t="shared" si="68"/>
        <v>-153</v>
      </c>
      <c r="C727" s="882">
        <f t="shared" si="70"/>
        <v>723</v>
      </c>
      <c r="D727" s="883">
        <v>2168</v>
      </c>
      <c r="E727" s="884" t="str">
        <f>IFERROR(VLOOKUP(Table2[[#This Row],[Player No]],Table10[[No]:[Province]],2,0),"")</f>
        <v>Constable Revaldo</v>
      </c>
      <c r="F727" s="885" t="str">
        <f>IFERROR(VLOOKUP(Table2[[#This Row],[Player No]],Table10[[No]:[Province]],3,0),"")</f>
        <v>EC</v>
      </c>
      <c r="G727" s="892">
        <v>0.125</v>
      </c>
      <c r="H727" s="886">
        <f>(Table2[[#This Row],[Points 2025]]/2)+SUM(Table2[[#This Row],[O1  ADMIN 2026]:[P2    CAPE TOWN OPEN 2026 ]])</f>
        <v>6.25E-2</v>
      </c>
      <c r="I727" s="880">
        <f t="shared" si="69"/>
        <v>0</v>
      </c>
      <c r="J727" s="882">
        <f t="shared" si="71"/>
        <v>0</v>
      </c>
      <c r="K727" s="887" t="s">
        <v>6083</v>
      </c>
      <c r="L727" s="887" t="s">
        <v>6083</v>
      </c>
      <c r="M727" s="887" t="s">
        <v>6083</v>
      </c>
      <c r="N727" s="887"/>
      <c r="O727" s="882"/>
      <c r="P727" s="882"/>
      <c r="Q727" s="888"/>
      <c r="R727" s="888"/>
      <c r="S727" s="888"/>
      <c r="T727" s="888"/>
      <c r="U727" s="882"/>
      <c r="V727" s="887"/>
      <c r="W727" s="888"/>
      <c r="X727" s="888"/>
      <c r="Y727" s="888"/>
      <c r="Z727" s="882"/>
      <c r="AA727" s="882"/>
      <c r="AB727" s="882"/>
      <c r="AC727" s="882"/>
      <c r="AD727" s="882"/>
      <c r="AE727" s="882"/>
      <c r="AF727" s="882"/>
      <c r="AG727" s="882"/>
      <c r="AH727" s="882"/>
      <c r="AI727" s="882"/>
      <c r="AJ727" s="882"/>
      <c r="AK727" s="882"/>
    </row>
    <row r="728" spans="1:37" s="890" customFormat="1">
      <c r="A728" s="882">
        <v>565</v>
      </c>
      <c r="B728" s="891">
        <f t="shared" si="68"/>
        <v>-159</v>
      </c>
      <c r="C728" s="882">
        <f t="shared" si="70"/>
        <v>724</v>
      </c>
      <c r="D728" s="883">
        <v>2255</v>
      </c>
      <c r="E728" s="884" t="str">
        <f>IFERROR(VLOOKUP(Table2[[#This Row],[Player No]],Table10[[No]:[Province]],2,0),"")</f>
        <v>DUPLESSIS Clinton</v>
      </c>
      <c r="F728" s="885" t="str">
        <f>IFERROR(VLOOKUP(Table2[[#This Row],[Player No]],Table10[[No]:[Province]],3,0),"")</f>
        <v>CT</v>
      </c>
      <c r="G728" s="892">
        <v>0.125</v>
      </c>
      <c r="H728" s="886">
        <f>(Table2[[#This Row],[Points 2025]]/2)+SUM(Table2[[#This Row],[O1  ADMIN 2026]:[P2    CAPE TOWN OPEN 2026 ]])</f>
        <v>6.25E-2</v>
      </c>
      <c r="I728" s="880">
        <f t="shared" si="69"/>
        <v>0</v>
      </c>
      <c r="J728" s="882">
        <f t="shared" si="71"/>
        <v>0</v>
      </c>
      <c r="K728" s="887" t="s">
        <v>6083</v>
      </c>
      <c r="L728" s="887" t="s">
        <v>6083</v>
      </c>
      <c r="M728" s="887" t="s">
        <v>6083</v>
      </c>
      <c r="N728" s="887"/>
      <c r="O728" s="882"/>
      <c r="P728" s="882"/>
      <c r="Q728" s="888"/>
      <c r="R728" s="888"/>
      <c r="S728" s="888"/>
      <c r="T728" s="888"/>
      <c r="U728" s="882"/>
      <c r="V728" s="887"/>
      <c r="W728" s="888"/>
      <c r="X728" s="888"/>
      <c r="Y728" s="888"/>
      <c r="Z728" s="882"/>
      <c r="AA728" s="882"/>
      <c r="AB728" s="882"/>
      <c r="AC728" s="882"/>
      <c r="AD728" s="882"/>
      <c r="AE728" s="882"/>
      <c r="AF728" s="882"/>
      <c r="AG728" s="882"/>
      <c r="AH728" s="882"/>
      <c r="AI728" s="882"/>
      <c r="AJ728" s="882"/>
      <c r="AK728" s="882"/>
    </row>
    <row r="729" spans="1:37" s="890" customFormat="1">
      <c r="A729" s="882">
        <v>576</v>
      </c>
      <c r="B729" s="891">
        <f t="shared" si="68"/>
        <v>-149</v>
      </c>
      <c r="C729" s="882">
        <f t="shared" si="70"/>
        <v>725</v>
      </c>
      <c r="D729" s="883">
        <v>2264</v>
      </c>
      <c r="E729" s="884" t="str">
        <f>IFERROR(VLOOKUP(Table2[[#This Row],[Player No]],Table10[[No]:[Province]],2,0),"")</f>
        <v>BOLISHETTY Yashvasin</v>
      </c>
      <c r="F729" s="885" t="str">
        <f>IFERROR(VLOOKUP(Table2[[#This Row],[Player No]],Table10[[No]:[Province]],3,0),"")</f>
        <v>GN</v>
      </c>
      <c r="G729" s="892">
        <v>0.125</v>
      </c>
      <c r="H729" s="886">
        <f>(Table2[[#This Row],[Points 2025]]/2)+SUM(Table2[[#This Row],[O1  ADMIN 2026]:[P2    CAPE TOWN OPEN 2026 ]])</f>
        <v>6.25E-2</v>
      </c>
      <c r="I729" s="880">
        <f t="shared" si="69"/>
        <v>0</v>
      </c>
      <c r="J729" s="882">
        <f t="shared" si="71"/>
        <v>0</v>
      </c>
      <c r="K729" s="887" t="s">
        <v>6083</v>
      </c>
      <c r="L729" s="887" t="s">
        <v>6083</v>
      </c>
      <c r="M729" s="887" t="s">
        <v>6083</v>
      </c>
      <c r="N729" s="887"/>
      <c r="O729" s="882"/>
      <c r="P729" s="882"/>
      <c r="Q729" s="888"/>
      <c r="R729" s="888"/>
      <c r="S729" s="888"/>
      <c r="T729" s="888"/>
      <c r="U729" s="882"/>
      <c r="V729" s="887"/>
      <c r="W729" s="888"/>
      <c r="X729" s="888"/>
      <c r="Y729" s="888"/>
      <c r="Z729" s="882"/>
      <c r="AA729" s="882"/>
      <c r="AB729" s="882"/>
      <c r="AC729" s="882"/>
      <c r="AD729" s="882"/>
      <c r="AE729" s="882"/>
      <c r="AF729" s="882"/>
      <c r="AG729" s="882"/>
      <c r="AH729" s="882"/>
      <c r="AI729" s="882"/>
      <c r="AJ729" s="882"/>
      <c r="AK729" s="882"/>
    </row>
    <row r="730" spans="1:37" s="890" customFormat="1">
      <c r="A730" s="882">
        <v>573</v>
      </c>
      <c r="B730" s="891">
        <f t="shared" si="68"/>
        <v>-153</v>
      </c>
      <c r="C730" s="882">
        <f t="shared" si="70"/>
        <v>726</v>
      </c>
      <c r="D730" s="883">
        <v>2306</v>
      </c>
      <c r="E730" s="884" t="str">
        <f>IFERROR(VLOOKUP(Table2[[#This Row],[Player No]],Table10[[No]:[Province]],2,0),"")</f>
        <v>AYANDISWA Kambuhle</v>
      </c>
      <c r="F730" s="885" t="str">
        <f>IFERROR(VLOOKUP(Table2[[#This Row],[Player No]],Table10[[No]:[Province]],3,0),"")</f>
        <v>UTH</v>
      </c>
      <c r="G730" s="892">
        <v>0.125</v>
      </c>
      <c r="H730" s="886">
        <f>(Table2[[#This Row],[Points 2025]]/2)+SUM(Table2[[#This Row],[O1  ADMIN 2026]:[P2    CAPE TOWN OPEN 2026 ]])</f>
        <v>6.25E-2</v>
      </c>
      <c r="I730" s="880">
        <f t="shared" si="69"/>
        <v>0</v>
      </c>
      <c r="J730" s="882">
        <f t="shared" si="71"/>
        <v>0</v>
      </c>
      <c r="K730" s="887" t="s">
        <v>6083</v>
      </c>
      <c r="L730" s="887" t="s">
        <v>6083</v>
      </c>
      <c r="M730" s="887" t="s">
        <v>6083</v>
      </c>
      <c r="N730" s="887"/>
      <c r="O730" s="882"/>
      <c r="P730" s="882"/>
      <c r="Q730" s="888"/>
      <c r="R730" s="888"/>
      <c r="S730" s="888"/>
      <c r="T730" s="888"/>
      <c r="U730" s="882"/>
      <c r="V730" s="887"/>
      <c r="W730" s="888"/>
      <c r="X730" s="888"/>
      <c r="Y730" s="888"/>
      <c r="Z730" s="882"/>
      <c r="AA730" s="882"/>
      <c r="AB730" s="882"/>
      <c r="AC730" s="882"/>
      <c r="AD730" s="882"/>
      <c r="AE730" s="882"/>
      <c r="AF730" s="882"/>
      <c r="AG730" s="882"/>
      <c r="AH730" s="882"/>
      <c r="AI730" s="882"/>
      <c r="AJ730" s="882"/>
      <c r="AK730" s="882"/>
    </row>
    <row r="731" spans="1:37" s="890" customFormat="1">
      <c r="A731" s="882">
        <v>582</v>
      </c>
      <c r="B731" s="891">
        <f t="shared" si="68"/>
        <v>-145</v>
      </c>
      <c r="C731" s="882">
        <f t="shared" si="70"/>
        <v>727</v>
      </c>
      <c r="D731" s="883">
        <v>2666</v>
      </c>
      <c r="E731" s="884" t="str">
        <f>IFERROR(VLOOKUP(Table2[[#This Row],[Player No]],Table10[[No]:[Province]],2,0),"")</f>
        <v>CRAIGIE Duncan</v>
      </c>
      <c r="F731" s="885" t="str">
        <f>IFERROR(VLOOKUP(Table2[[#This Row],[Player No]],Table10[[No]:[Province]],3,0),"")</f>
        <v>GN</v>
      </c>
      <c r="G731" s="892">
        <v>0.125</v>
      </c>
      <c r="H731" s="886">
        <f>(Table2[[#This Row],[Points 2025]]/2)+SUM(Table2[[#This Row],[O1  ADMIN 2026]:[P2    CAPE TOWN OPEN 2026 ]])</f>
        <v>6.25E-2</v>
      </c>
      <c r="I731" s="880">
        <f t="shared" si="69"/>
        <v>0</v>
      </c>
      <c r="J731" s="882">
        <f t="shared" si="71"/>
        <v>0</v>
      </c>
      <c r="K731" s="887" t="s">
        <v>6083</v>
      </c>
      <c r="L731" s="887" t="s">
        <v>6083</v>
      </c>
      <c r="M731" s="887" t="s">
        <v>6083</v>
      </c>
      <c r="N731" s="887"/>
      <c r="O731" s="882"/>
      <c r="P731" s="882"/>
      <c r="Q731" s="888"/>
      <c r="R731" s="888"/>
      <c r="S731" s="888"/>
      <c r="T731" s="888"/>
      <c r="U731" s="882"/>
      <c r="V731" s="887"/>
      <c r="W731" s="888"/>
      <c r="X731" s="888"/>
      <c r="Y731" s="888"/>
      <c r="Z731" s="882"/>
      <c r="AA731" s="882"/>
      <c r="AB731" s="882"/>
      <c r="AC731" s="882"/>
      <c r="AD731" s="882"/>
      <c r="AE731" s="882"/>
      <c r="AF731" s="882"/>
      <c r="AG731" s="882"/>
      <c r="AH731" s="882"/>
      <c r="AI731" s="882"/>
      <c r="AJ731" s="882"/>
      <c r="AK731" s="882"/>
    </row>
    <row r="732" spans="1:37" s="890" customFormat="1">
      <c r="A732" s="882">
        <v>579</v>
      </c>
      <c r="B732" s="891">
        <f t="shared" si="68"/>
        <v>-149</v>
      </c>
      <c r="C732" s="882">
        <f t="shared" si="70"/>
        <v>728</v>
      </c>
      <c r="D732" s="883">
        <v>2680</v>
      </c>
      <c r="E732" s="884" t="str">
        <f>IFERROR(VLOOKUP(Table2[[#This Row],[Player No]],Table10[[No]:[Province]],2,0),"")</f>
        <v>STARKE Pieter</v>
      </c>
      <c r="F732" s="885" t="str">
        <f>IFERROR(VLOOKUP(Table2[[#This Row],[Player No]],Table10[[No]:[Province]],3,0),"")</f>
        <v>GN</v>
      </c>
      <c r="G732" s="892">
        <v>0.125</v>
      </c>
      <c r="H732" s="886">
        <f>(Table2[[#This Row],[Points 2025]]/2)+SUM(Table2[[#This Row],[O1  ADMIN 2026]:[P2    CAPE TOWN OPEN 2026 ]])</f>
        <v>6.25E-2</v>
      </c>
      <c r="I732" s="880">
        <f t="shared" si="69"/>
        <v>0</v>
      </c>
      <c r="J732" s="882">
        <f t="shared" si="71"/>
        <v>0</v>
      </c>
      <c r="K732" s="887" t="s">
        <v>6083</v>
      </c>
      <c r="L732" s="887" t="s">
        <v>6083</v>
      </c>
      <c r="M732" s="887" t="s">
        <v>6083</v>
      </c>
      <c r="N732" s="887"/>
      <c r="O732" s="882"/>
      <c r="P732" s="882"/>
      <c r="Q732" s="888"/>
      <c r="R732" s="888"/>
      <c r="S732" s="888"/>
      <c r="T732" s="888"/>
      <c r="U732" s="882"/>
      <c r="V732" s="887"/>
      <c r="W732" s="888"/>
      <c r="X732" s="888"/>
      <c r="Y732" s="888"/>
      <c r="Z732" s="882"/>
      <c r="AA732" s="882"/>
      <c r="AB732" s="882"/>
      <c r="AC732" s="882"/>
      <c r="AD732" s="882"/>
      <c r="AE732" s="882"/>
      <c r="AF732" s="882"/>
      <c r="AG732" s="882"/>
      <c r="AH732" s="882"/>
      <c r="AI732" s="882"/>
      <c r="AJ732" s="882"/>
      <c r="AK732" s="882"/>
    </row>
    <row r="733" spans="1:37" s="890" customFormat="1">
      <c r="A733" s="882">
        <v>575</v>
      </c>
      <c r="B733" s="891">
        <f t="shared" si="68"/>
        <v>-154</v>
      </c>
      <c r="C733" s="882">
        <f t="shared" si="70"/>
        <v>729</v>
      </c>
      <c r="D733" s="883">
        <v>2763</v>
      </c>
      <c r="E733" s="884" t="str">
        <f>IFERROR(VLOOKUP(Table2[[#This Row],[Player No]],Table10[[No]:[Province]],2,0),"")</f>
        <v>NANA Amit</v>
      </c>
      <c r="F733" s="885" t="str">
        <f>IFERROR(VLOOKUP(Table2[[#This Row],[Player No]],Table10[[No]:[Province]],3,0),"")</f>
        <v>JTTA</v>
      </c>
      <c r="G733" s="892">
        <v>0.125</v>
      </c>
      <c r="H733" s="886">
        <f>(Table2[[#This Row],[Points 2025]]/2)+SUM(Table2[[#This Row],[O1  ADMIN 2026]:[P2    CAPE TOWN OPEN 2026 ]])</f>
        <v>6.25E-2</v>
      </c>
      <c r="I733" s="880">
        <f t="shared" si="69"/>
        <v>0</v>
      </c>
      <c r="J733" s="882">
        <f t="shared" si="71"/>
        <v>0</v>
      </c>
      <c r="K733" s="887" t="s">
        <v>6083</v>
      </c>
      <c r="L733" s="887" t="s">
        <v>6083</v>
      </c>
      <c r="M733" s="887" t="s">
        <v>6083</v>
      </c>
      <c r="N733" s="887"/>
      <c r="O733" s="882"/>
      <c r="P733" s="882"/>
      <c r="Q733" s="888"/>
      <c r="R733" s="888"/>
      <c r="S733" s="888"/>
      <c r="T733" s="888"/>
      <c r="U733" s="882"/>
      <c r="V733" s="887"/>
      <c r="W733" s="888"/>
      <c r="X733" s="888"/>
      <c r="Y733" s="888"/>
      <c r="Z733" s="882"/>
      <c r="AA733" s="882"/>
      <c r="AB733" s="882"/>
      <c r="AC733" s="882"/>
      <c r="AD733" s="882"/>
      <c r="AE733" s="882"/>
      <c r="AF733" s="882"/>
      <c r="AG733" s="882"/>
      <c r="AH733" s="882"/>
      <c r="AI733" s="882"/>
      <c r="AJ733" s="882"/>
      <c r="AK733" s="882"/>
    </row>
    <row r="734" spans="1:37" s="890" customFormat="1">
      <c r="A734" s="882">
        <v>583</v>
      </c>
      <c r="B734" s="891">
        <f t="shared" si="68"/>
        <v>-147</v>
      </c>
      <c r="C734" s="882">
        <f t="shared" si="70"/>
        <v>730</v>
      </c>
      <c r="D734" s="883">
        <v>2764</v>
      </c>
      <c r="E734" s="884" t="str">
        <f>IFERROR(VLOOKUP(Table2[[#This Row],[Player No]],Table10[[No]:[Province]],2,0),"")</f>
        <v>NDARA Sipho</v>
      </c>
      <c r="F734" s="885" t="str">
        <f>IFERROR(VLOOKUP(Table2[[#This Row],[Player No]],Table10[[No]:[Province]],3,0),"")</f>
        <v>JTTA</v>
      </c>
      <c r="G734" s="892">
        <v>0.125</v>
      </c>
      <c r="H734" s="886">
        <f>(Table2[[#This Row],[Points 2025]]/2)+SUM(Table2[[#This Row],[O1  ADMIN 2026]:[P2    CAPE TOWN OPEN 2026 ]])</f>
        <v>6.25E-2</v>
      </c>
      <c r="I734" s="880">
        <f t="shared" si="69"/>
        <v>0</v>
      </c>
      <c r="J734" s="882">
        <f t="shared" si="71"/>
        <v>0</v>
      </c>
      <c r="K734" s="887" t="s">
        <v>6083</v>
      </c>
      <c r="L734" s="887" t="s">
        <v>6083</v>
      </c>
      <c r="M734" s="887" t="s">
        <v>6083</v>
      </c>
      <c r="N734" s="887"/>
      <c r="O734" s="882"/>
      <c r="P734" s="882"/>
      <c r="Q734" s="888"/>
      <c r="R734" s="888"/>
      <c r="S734" s="888"/>
      <c r="T734" s="888"/>
      <c r="U734" s="882"/>
      <c r="V734" s="887"/>
      <c r="W734" s="888"/>
      <c r="X734" s="888"/>
      <c r="Y734" s="888"/>
      <c r="Z734" s="882"/>
      <c r="AA734" s="882"/>
      <c r="AB734" s="882"/>
      <c r="AC734" s="882"/>
      <c r="AD734" s="882"/>
      <c r="AE734" s="882"/>
      <c r="AF734" s="882"/>
      <c r="AG734" s="882"/>
      <c r="AH734" s="882"/>
      <c r="AI734" s="882"/>
      <c r="AJ734" s="882"/>
      <c r="AK734" s="882"/>
    </row>
    <row r="735" spans="1:37" s="890" customFormat="1">
      <c r="A735" s="882">
        <v>568</v>
      </c>
      <c r="B735" s="891">
        <f t="shared" si="68"/>
        <v>-163</v>
      </c>
      <c r="C735" s="882">
        <f t="shared" si="70"/>
        <v>731</v>
      </c>
      <c r="D735" s="883">
        <v>2780</v>
      </c>
      <c r="E735" s="884" t="str">
        <f>IFERROR(VLOOKUP(Table2[[#This Row],[Player No]],Table10[[No]:[Province]],2,0),"")</f>
        <v>TIETIES Henrico</v>
      </c>
      <c r="F735" s="885" t="str">
        <f>IFERROR(VLOOKUP(Table2[[#This Row],[Player No]],Table10[[No]:[Province]],3,0),"")</f>
        <v>WC</v>
      </c>
      <c r="G735" s="892">
        <v>0.125</v>
      </c>
      <c r="H735" s="886">
        <f>(Table2[[#This Row],[Points 2025]]/2)+SUM(Table2[[#This Row],[O1  ADMIN 2026]:[P2    CAPE TOWN OPEN 2026 ]])</f>
        <v>6.25E-2</v>
      </c>
      <c r="I735" s="880">
        <f t="shared" si="69"/>
        <v>0</v>
      </c>
      <c r="J735" s="882">
        <f t="shared" si="71"/>
        <v>0</v>
      </c>
      <c r="K735" s="887" t="s">
        <v>6083</v>
      </c>
      <c r="L735" s="887" t="s">
        <v>6083</v>
      </c>
      <c r="M735" s="887" t="s">
        <v>6083</v>
      </c>
      <c r="N735" s="887"/>
      <c r="O735" s="882"/>
      <c r="P735" s="882"/>
      <c r="Q735" s="888"/>
      <c r="R735" s="888"/>
      <c r="S735" s="888"/>
      <c r="T735" s="888"/>
      <c r="U735" s="882"/>
      <c r="V735" s="887"/>
      <c r="W735" s="888"/>
      <c r="X735" s="888"/>
      <c r="Y735" s="888"/>
      <c r="Z735" s="882"/>
      <c r="AA735" s="882"/>
      <c r="AB735" s="882"/>
      <c r="AC735" s="882"/>
      <c r="AD735" s="882"/>
      <c r="AE735" s="882"/>
      <c r="AF735" s="882"/>
      <c r="AG735" s="882"/>
      <c r="AH735" s="882"/>
      <c r="AI735" s="882"/>
      <c r="AJ735" s="882"/>
      <c r="AK735" s="882"/>
    </row>
    <row r="736" spans="1:37" s="890" customFormat="1">
      <c r="A736" s="882">
        <v>571</v>
      </c>
      <c r="B736" s="891">
        <f t="shared" si="68"/>
        <v>-161</v>
      </c>
      <c r="C736" s="882">
        <f t="shared" si="70"/>
        <v>732</v>
      </c>
      <c r="D736" s="883">
        <v>2877</v>
      </c>
      <c r="E736" s="884" t="str">
        <f>IFERROR(VLOOKUP(Table2[[#This Row],[Player No]],Table10[[No]:[Province]],2,0),"")</f>
        <v>MAKULUMA Aphiwe</v>
      </c>
      <c r="F736" s="885" t="str">
        <f>IFERROR(VLOOKUP(Table2[[#This Row],[Player No]],Table10[[No]:[Province]],3,0),"")</f>
        <v>EC</v>
      </c>
      <c r="G736" s="892">
        <v>0.125</v>
      </c>
      <c r="H736" s="886">
        <f>(Table2[[#This Row],[Points 2025]]/2)+SUM(Table2[[#This Row],[O1  ADMIN 2026]:[P2    CAPE TOWN OPEN 2026 ]])</f>
        <v>6.25E-2</v>
      </c>
      <c r="I736" s="880">
        <f t="shared" si="69"/>
        <v>0</v>
      </c>
      <c r="J736" s="882">
        <f t="shared" si="71"/>
        <v>0</v>
      </c>
      <c r="K736" s="887" t="s">
        <v>6083</v>
      </c>
      <c r="L736" s="887" t="s">
        <v>6083</v>
      </c>
      <c r="M736" s="887" t="s">
        <v>6083</v>
      </c>
      <c r="N736" s="887"/>
      <c r="O736" s="882"/>
      <c r="P736" s="882"/>
      <c r="Q736" s="888"/>
      <c r="R736" s="888"/>
      <c r="S736" s="888"/>
      <c r="T736" s="888"/>
      <c r="U736" s="882"/>
      <c r="V736" s="887"/>
      <c r="W736" s="888"/>
      <c r="X736" s="888"/>
      <c r="Y736" s="888"/>
      <c r="Z736" s="882"/>
      <c r="AA736" s="882"/>
      <c r="AB736" s="882"/>
      <c r="AC736" s="882"/>
      <c r="AD736" s="882"/>
      <c r="AE736" s="882"/>
      <c r="AF736" s="882"/>
      <c r="AG736" s="882"/>
      <c r="AH736" s="882"/>
      <c r="AI736" s="882"/>
      <c r="AJ736" s="882"/>
      <c r="AK736" s="882"/>
    </row>
    <row r="737" spans="1:37" s="890" customFormat="1">
      <c r="A737" s="882">
        <v>567</v>
      </c>
      <c r="B737" s="891">
        <f t="shared" si="68"/>
        <v>-166</v>
      </c>
      <c r="C737" s="882">
        <f t="shared" si="70"/>
        <v>733</v>
      </c>
      <c r="D737" s="883">
        <v>3275</v>
      </c>
      <c r="E737" s="884" t="str">
        <f>IFERROR(VLOOKUP(Table2[[#This Row],[Player No]],Table10[[No]:[Province]],2,0),"")</f>
        <v>GABRIEL Elroy</v>
      </c>
      <c r="F737" s="885" t="str">
        <f>IFERROR(VLOOKUP(Table2[[#This Row],[Player No]],Table10[[No]:[Province]],3,0),"")</f>
        <v>CT</v>
      </c>
      <c r="G737" s="892">
        <v>0.125</v>
      </c>
      <c r="H737" s="886">
        <f>(Table2[[#This Row],[Points 2025]]/2)+SUM(Table2[[#This Row],[O1  ADMIN 2026]:[P2    CAPE TOWN OPEN 2026 ]])</f>
        <v>6.25E-2</v>
      </c>
      <c r="I737" s="880">
        <f t="shared" si="69"/>
        <v>0</v>
      </c>
      <c r="J737" s="882">
        <f t="shared" si="71"/>
        <v>0</v>
      </c>
      <c r="K737" s="887" t="s">
        <v>6083</v>
      </c>
      <c r="L737" s="887" t="s">
        <v>6083</v>
      </c>
      <c r="M737" s="887" t="s">
        <v>6083</v>
      </c>
      <c r="N737" s="887"/>
      <c r="O737" s="882"/>
      <c r="P737" s="882"/>
      <c r="Q737" s="888"/>
      <c r="R737" s="888"/>
      <c r="S737" s="888"/>
      <c r="T737" s="888"/>
      <c r="U737" s="882"/>
      <c r="V737" s="887"/>
      <c r="W737" s="888"/>
      <c r="X737" s="888"/>
      <c r="Y737" s="888"/>
      <c r="Z737" s="882"/>
      <c r="AA737" s="882"/>
      <c r="AB737" s="882"/>
      <c r="AC737" s="882"/>
      <c r="AD737" s="882"/>
      <c r="AE737" s="882"/>
      <c r="AF737" s="882"/>
      <c r="AG737" s="882"/>
      <c r="AH737" s="882"/>
      <c r="AI737" s="882"/>
      <c r="AJ737" s="882"/>
      <c r="AK737" s="882"/>
    </row>
    <row r="738" spans="1:37" s="890" customFormat="1">
      <c r="A738" s="882">
        <v>574</v>
      </c>
      <c r="B738" s="891">
        <f t="shared" si="68"/>
        <v>-160</v>
      </c>
      <c r="C738" s="882">
        <f t="shared" si="70"/>
        <v>734</v>
      </c>
      <c r="D738" s="883">
        <v>3294</v>
      </c>
      <c r="E738" s="884" t="str">
        <f>IFERROR(VLOOKUP(Table2[[#This Row],[Player No]],Table10[[No]:[Province]],2,0),"")</f>
        <v>KHAMBULE Ayandiswa</v>
      </c>
      <c r="F738" s="885" t="str">
        <f>IFERROR(VLOOKUP(Table2[[#This Row],[Player No]],Table10[[No]:[Province]],3,0),"")</f>
        <v>GN</v>
      </c>
      <c r="G738" s="892">
        <v>0.125</v>
      </c>
      <c r="H738" s="886">
        <f>(Table2[[#This Row],[Points 2025]]/2)+SUM(Table2[[#This Row],[O1  ADMIN 2026]:[P2    CAPE TOWN OPEN 2026 ]])</f>
        <v>6.25E-2</v>
      </c>
      <c r="I738" s="880">
        <f t="shared" si="69"/>
        <v>0</v>
      </c>
      <c r="J738" s="882">
        <f t="shared" si="71"/>
        <v>0</v>
      </c>
      <c r="K738" s="887" t="s">
        <v>6083</v>
      </c>
      <c r="L738" s="887" t="s">
        <v>6083</v>
      </c>
      <c r="M738" s="887" t="s">
        <v>6083</v>
      </c>
      <c r="N738" s="887"/>
      <c r="O738" s="882"/>
      <c r="P738" s="882"/>
      <c r="Q738" s="888"/>
      <c r="R738" s="888"/>
      <c r="S738" s="888"/>
      <c r="T738" s="888"/>
      <c r="U738" s="882"/>
      <c r="V738" s="887"/>
      <c r="W738" s="888"/>
      <c r="X738" s="888"/>
      <c r="Y738" s="888"/>
      <c r="Z738" s="882"/>
      <c r="AA738" s="882"/>
      <c r="AB738" s="882"/>
      <c r="AC738" s="882"/>
      <c r="AD738" s="882"/>
      <c r="AE738" s="882"/>
      <c r="AF738" s="882"/>
      <c r="AG738" s="882"/>
      <c r="AH738" s="882"/>
      <c r="AI738" s="882"/>
      <c r="AJ738" s="882"/>
      <c r="AK738" s="882"/>
    </row>
    <row r="739" spans="1:37" s="890" customFormat="1">
      <c r="A739" s="882">
        <v>577</v>
      </c>
      <c r="B739" s="891">
        <f t="shared" ref="B739:B745" si="72">+A739-C739</f>
        <v>-158</v>
      </c>
      <c r="C739" s="882">
        <f t="shared" si="70"/>
        <v>735</v>
      </c>
      <c r="D739" s="883">
        <v>3297</v>
      </c>
      <c r="E739" s="884" t="str">
        <f>IFERROR(VLOOKUP(Table2[[#This Row],[Player No]],Table10[[No]:[Province]],2,0),"")</f>
        <v>MONGWERE Tumisang</v>
      </c>
      <c r="F739" s="885" t="str">
        <f>IFERROR(VLOOKUP(Table2[[#This Row],[Player No]],Table10[[No]:[Province]],3,0),"")</f>
        <v>NWP</v>
      </c>
      <c r="G739" s="892">
        <v>0.125</v>
      </c>
      <c r="H739" s="886">
        <f>(Table2[[#This Row],[Points 2025]]/2)+SUM(Table2[[#This Row],[O1  ADMIN 2026]:[P2    CAPE TOWN OPEN 2026 ]])</f>
        <v>6.25E-2</v>
      </c>
      <c r="I739" s="880">
        <f t="shared" si="69"/>
        <v>0</v>
      </c>
      <c r="J739" s="882">
        <f t="shared" si="71"/>
        <v>0</v>
      </c>
      <c r="K739" s="887" t="s">
        <v>6083</v>
      </c>
      <c r="L739" s="887" t="s">
        <v>6083</v>
      </c>
      <c r="M739" s="887" t="s">
        <v>6083</v>
      </c>
      <c r="N739" s="887"/>
      <c r="O739" s="882"/>
      <c r="P739" s="882"/>
      <c r="Q739" s="888"/>
      <c r="R739" s="888"/>
      <c r="S739" s="888"/>
      <c r="T739" s="888"/>
      <c r="U739" s="882"/>
      <c r="V739" s="887"/>
      <c r="W739" s="888"/>
      <c r="X739" s="888"/>
      <c r="Y739" s="888"/>
      <c r="Z739" s="882"/>
      <c r="AA739" s="882"/>
      <c r="AB739" s="882"/>
      <c r="AC739" s="882"/>
      <c r="AD739" s="882"/>
      <c r="AE739" s="882"/>
      <c r="AF739" s="882"/>
      <c r="AG739" s="882"/>
      <c r="AH739" s="882"/>
      <c r="AI739" s="882"/>
      <c r="AJ739" s="882"/>
      <c r="AK739" s="882"/>
    </row>
    <row r="740" spans="1:37" s="890" customFormat="1">
      <c r="A740" s="882">
        <v>581</v>
      </c>
      <c r="B740" s="891">
        <f t="shared" si="72"/>
        <v>-155</v>
      </c>
      <c r="C740" s="882">
        <f t="shared" si="70"/>
        <v>736</v>
      </c>
      <c r="D740" s="883">
        <v>3317</v>
      </c>
      <c r="E740" s="884" t="str">
        <f>IFERROR(VLOOKUP(Table2[[#This Row],[Player No]],Table10[[No]:[Province]],2,0),"")</f>
        <v>NAIDOO Delwyn</v>
      </c>
      <c r="F740" s="885" t="str">
        <f>IFERROR(VLOOKUP(Table2[[#This Row],[Player No]],Table10[[No]:[Province]],3,0),"")</f>
        <v>UMG</v>
      </c>
      <c r="G740" s="892">
        <v>0.125</v>
      </c>
      <c r="H740" s="886">
        <f>(Table2[[#This Row],[Points 2025]]/2)+SUM(Table2[[#This Row],[O1  ADMIN 2026]:[P2    CAPE TOWN OPEN 2026 ]])</f>
        <v>6.25E-2</v>
      </c>
      <c r="I740" s="880">
        <f t="shared" si="69"/>
        <v>0</v>
      </c>
      <c r="J740" s="882">
        <f t="shared" si="71"/>
        <v>0</v>
      </c>
      <c r="K740" s="887" t="s">
        <v>6083</v>
      </c>
      <c r="L740" s="887" t="s">
        <v>6083</v>
      </c>
      <c r="M740" s="887" t="s">
        <v>6083</v>
      </c>
      <c r="N740" s="887"/>
      <c r="O740" s="882"/>
      <c r="P740" s="882"/>
      <c r="Q740" s="888"/>
      <c r="R740" s="888"/>
      <c r="S740" s="888"/>
      <c r="T740" s="888"/>
      <c r="U740" s="882"/>
      <c r="V740" s="887"/>
      <c r="W740" s="888"/>
      <c r="X740" s="888"/>
      <c r="Y740" s="888"/>
      <c r="Z740" s="882"/>
      <c r="AA740" s="882"/>
      <c r="AB740" s="882"/>
      <c r="AC740" s="882"/>
      <c r="AD740" s="882"/>
      <c r="AE740" s="882"/>
      <c r="AF740" s="882"/>
      <c r="AG740" s="882"/>
      <c r="AH740" s="882"/>
      <c r="AI740" s="882"/>
      <c r="AJ740" s="882"/>
      <c r="AK740" s="882"/>
    </row>
    <row r="741" spans="1:37" s="890" customFormat="1">
      <c r="A741" s="882">
        <v>580</v>
      </c>
      <c r="B741" s="891">
        <f t="shared" si="72"/>
        <v>-157</v>
      </c>
      <c r="C741" s="882">
        <f t="shared" si="70"/>
        <v>737</v>
      </c>
      <c r="D741" s="883">
        <v>3318</v>
      </c>
      <c r="E741" s="884" t="str">
        <f>IFERROR(VLOOKUP(Table2[[#This Row],[Player No]],Table10[[No]:[Province]],2,0),"")</f>
        <v>TOTARAM Preven</v>
      </c>
      <c r="F741" s="885" t="str">
        <f>IFERROR(VLOOKUP(Table2[[#This Row],[Player No]],Table10[[No]:[Province]],3,0),"")</f>
        <v>UMG</v>
      </c>
      <c r="G741" s="892">
        <v>0.125</v>
      </c>
      <c r="H741" s="886">
        <f>(Table2[[#This Row],[Points 2025]]/2)+SUM(Table2[[#This Row],[O1  ADMIN 2026]:[P2    CAPE TOWN OPEN 2026 ]])</f>
        <v>6.25E-2</v>
      </c>
      <c r="I741" s="880">
        <f t="shared" si="69"/>
        <v>0</v>
      </c>
      <c r="J741" s="882">
        <f t="shared" si="71"/>
        <v>0</v>
      </c>
      <c r="K741" s="887" t="s">
        <v>6083</v>
      </c>
      <c r="L741" s="887" t="s">
        <v>6083</v>
      </c>
      <c r="M741" s="887" t="s">
        <v>6083</v>
      </c>
      <c r="N741" s="887"/>
      <c r="O741" s="882"/>
      <c r="P741" s="882"/>
      <c r="Q741" s="888"/>
      <c r="R741" s="888"/>
      <c r="S741" s="888"/>
      <c r="T741" s="888"/>
      <c r="U741" s="882"/>
      <c r="V741" s="887"/>
      <c r="W741" s="888"/>
      <c r="X741" s="888"/>
      <c r="Y741" s="888"/>
      <c r="Z741" s="882"/>
      <c r="AA741" s="882"/>
      <c r="AB741" s="882"/>
      <c r="AC741" s="882"/>
      <c r="AD741" s="882"/>
      <c r="AE741" s="882"/>
      <c r="AF741" s="882"/>
      <c r="AG741" s="882"/>
      <c r="AH741" s="882"/>
      <c r="AI741" s="882"/>
      <c r="AJ741" s="882"/>
      <c r="AK741" s="882"/>
    </row>
    <row r="742" spans="1:37" s="890" customFormat="1">
      <c r="A742" s="882">
        <v>588</v>
      </c>
      <c r="B742" s="891">
        <f t="shared" si="72"/>
        <v>-150</v>
      </c>
      <c r="C742" s="882">
        <f t="shared" si="70"/>
        <v>738</v>
      </c>
      <c r="D742" s="883">
        <v>3346</v>
      </c>
      <c r="E742" s="884" t="str">
        <f>IFERROR(VLOOKUP(Table2[[#This Row],[Player No]],Table10[[No]:[Province]],2,0),"")</f>
        <v>FREDERICKS Shakeel</v>
      </c>
      <c r="F742" s="885" t="str">
        <f>IFERROR(VLOOKUP(Table2[[#This Row],[Player No]],Table10[[No]:[Province]],3,0),"")</f>
        <v>CT</v>
      </c>
      <c r="G742" s="892">
        <v>0.125</v>
      </c>
      <c r="H742" s="886">
        <f>(Table2[[#This Row],[Points 2025]]/2)+SUM(Table2[[#This Row],[O1  ADMIN 2026]:[P2    CAPE TOWN OPEN 2026 ]])</f>
        <v>6.25E-2</v>
      </c>
      <c r="I742" s="880">
        <f t="shared" si="69"/>
        <v>0</v>
      </c>
      <c r="J742" s="882">
        <f t="shared" si="71"/>
        <v>0</v>
      </c>
      <c r="K742" s="887" t="s">
        <v>6083</v>
      </c>
      <c r="L742" s="887" t="s">
        <v>6083</v>
      </c>
      <c r="M742" s="887" t="s">
        <v>6083</v>
      </c>
      <c r="N742" s="887"/>
      <c r="O742" s="882"/>
      <c r="P742" s="882"/>
      <c r="Q742" s="888"/>
      <c r="R742" s="888"/>
      <c r="S742" s="888"/>
      <c r="T742" s="888"/>
      <c r="U742" s="882"/>
      <c r="V742" s="887"/>
      <c r="W742" s="888"/>
      <c r="X742" s="888"/>
      <c r="Y742" s="888"/>
      <c r="Z742" s="882"/>
      <c r="AA742" s="882"/>
      <c r="AB742" s="882"/>
      <c r="AC742" s="882"/>
      <c r="AD742" s="882"/>
      <c r="AE742" s="882"/>
      <c r="AF742" s="882"/>
      <c r="AG742" s="882"/>
      <c r="AH742" s="882"/>
      <c r="AI742" s="882"/>
      <c r="AJ742" s="882"/>
      <c r="AK742" s="882"/>
    </row>
    <row r="743" spans="1:37" s="890" customFormat="1">
      <c r="A743" s="882">
        <v>589</v>
      </c>
      <c r="B743" s="891">
        <f t="shared" si="72"/>
        <v>-150</v>
      </c>
      <c r="C743" s="882">
        <f t="shared" si="70"/>
        <v>739</v>
      </c>
      <c r="D743" s="883">
        <v>3348</v>
      </c>
      <c r="E743" s="884" t="str">
        <f>IFERROR(VLOOKUP(Table2[[#This Row],[Player No]],Table10[[No]:[Province]],2,0),"")</f>
        <v>TALJAARD Andre</v>
      </c>
      <c r="F743" s="885" t="str">
        <f>IFERROR(VLOOKUP(Table2[[#This Row],[Player No]],Table10[[No]:[Province]],3,0),"")</f>
        <v>CT</v>
      </c>
      <c r="G743" s="892">
        <v>0.125</v>
      </c>
      <c r="H743" s="886">
        <f>(Table2[[#This Row],[Points 2025]]/2)+SUM(Table2[[#This Row],[O1  ADMIN 2026]:[P2    CAPE TOWN OPEN 2026 ]])</f>
        <v>6.25E-2</v>
      </c>
      <c r="I743" s="880">
        <f t="shared" si="69"/>
        <v>0</v>
      </c>
      <c r="J743" s="882">
        <f t="shared" si="71"/>
        <v>0</v>
      </c>
      <c r="K743" s="887" t="s">
        <v>6083</v>
      </c>
      <c r="L743" s="887" t="s">
        <v>6083</v>
      </c>
      <c r="M743" s="887" t="s">
        <v>6083</v>
      </c>
      <c r="N743" s="887"/>
      <c r="O743" s="882"/>
      <c r="P743" s="882"/>
      <c r="Q743" s="888"/>
      <c r="R743" s="888"/>
      <c r="S743" s="888"/>
      <c r="T743" s="888"/>
      <c r="U743" s="882"/>
      <c r="V743" s="887"/>
      <c r="W743" s="888"/>
      <c r="X743" s="888"/>
      <c r="Y743" s="888"/>
      <c r="Z743" s="882"/>
      <c r="AA743" s="882"/>
      <c r="AB743" s="882"/>
      <c r="AC743" s="882"/>
      <c r="AD743" s="882"/>
      <c r="AE743" s="882"/>
      <c r="AF743" s="882"/>
      <c r="AG743" s="882"/>
      <c r="AH743" s="882"/>
      <c r="AI743" s="882"/>
      <c r="AJ743" s="882"/>
      <c r="AK743" s="882"/>
    </row>
    <row r="744" spans="1:37" s="890" customFormat="1">
      <c r="A744" s="882">
        <v>590</v>
      </c>
      <c r="B744" s="891">
        <f t="shared" si="72"/>
        <v>-150</v>
      </c>
      <c r="C744" s="882">
        <f t="shared" si="70"/>
        <v>740</v>
      </c>
      <c r="D744" s="883">
        <v>3351</v>
      </c>
      <c r="E744" s="884" t="str">
        <f>IFERROR(VLOOKUP(Table2[[#This Row],[Player No]],Table10[[No]:[Province]],2,0),"")</f>
        <v>DE JAGER Brandon</v>
      </c>
      <c r="F744" s="885" t="str">
        <f>IFERROR(VLOOKUP(Table2[[#This Row],[Player No]],Table10[[No]:[Province]],3,0),"")</f>
        <v>CT</v>
      </c>
      <c r="G744" s="892">
        <v>0.125</v>
      </c>
      <c r="H744" s="886">
        <f>(Table2[[#This Row],[Points 2025]]/2)+SUM(Table2[[#This Row],[O1  ADMIN 2026]:[P2    CAPE TOWN OPEN 2026 ]])</f>
        <v>6.25E-2</v>
      </c>
      <c r="I744" s="880">
        <f t="shared" si="69"/>
        <v>0</v>
      </c>
      <c r="J744" s="882">
        <f t="shared" si="71"/>
        <v>0</v>
      </c>
      <c r="K744" s="887" t="s">
        <v>6083</v>
      </c>
      <c r="L744" s="887" t="s">
        <v>6083</v>
      </c>
      <c r="M744" s="887" t="s">
        <v>6083</v>
      </c>
      <c r="N744" s="887"/>
      <c r="O744" s="882"/>
      <c r="P744" s="882"/>
      <c r="Q744" s="888"/>
      <c r="R744" s="888"/>
      <c r="S744" s="888"/>
      <c r="T744" s="888"/>
      <c r="U744" s="882"/>
      <c r="V744" s="887"/>
      <c r="W744" s="888"/>
      <c r="X744" s="888"/>
      <c r="Y744" s="888"/>
      <c r="Z744" s="882"/>
      <c r="AA744" s="882"/>
      <c r="AB744" s="882"/>
      <c r="AC744" s="882"/>
      <c r="AD744" s="882"/>
      <c r="AE744" s="882"/>
      <c r="AF744" s="882"/>
      <c r="AG744" s="882"/>
      <c r="AH744" s="882"/>
      <c r="AI744" s="882"/>
      <c r="AJ744" s="882"/>
      <c r="AK744" s="882"/>
    </row>
    <row r="745" spans="1:37" s="890" customFormat="1">
      <c r="A745" s="882">
        <v>590</v>
      </c>
      <c r="B745" s="891">
        <f t="shared" si="72"/>
        <v>-151</v>
      </c>
      <c r="C745" s="882">
        <f t="shared" si="70"/>
        <v>741</v>
      </c>
      <c r="D745" s="883">
        <v>1182</v>
      </c>
      <c r="E745" s="884" t="str">
        <f>IFERROR(VLOOKUP(Table2[[#This Row],[Player No]],Table10[[No]:[Province]],2,0),"")</f>
        <v xml:space="preserve">KUBAYI Webster </v>
      </c>
      <c r="F745" s="885" t="str">
        <f>IFERROR(VLOOKUP(Table2[[#This Row],[Player No]],Table10[[No]:[Province]],3,0),"")</f>
        <v>LIM</v>
      </c>
      <c r="G745" s="892">
        <v>0</v>
      </c>
      <c r="H745" s="886">
        <f>(Table2[[#This Row],[Points 2025]]/2)+SUM(Table2[[#This Row],[O1  ADMIN 2026]:[P2    CAPE TOWN OPEN 2026 ]])</f>
        <v>0</v>
      </c>
      <c r="I745" s="880">
        <f t="shared" si="69"/>
        <v>0</v>
      </c>
      <c r="J745" s="882">
        <f t="shared" si="71"/>
        <v>0</v>
      </c>
      <c r="K745" s="887" t="s">
        <v>6083</v>
      </c>
      <c r="L745" s="887" t="s">
        <v>6083</v>
      </c>
      <c r="M745" s="887" t="s">
        <v>6083</v>
      </c>
      <c r="N745" s="887"/>
      <c r="O745" s="882"/>
      <c r="P745" s="882"/>
      <c r="Q745" s="888"/>
      <c r="R745" s="888"/>
      <c r="S745" s="888"/>
      <c r="T745" s="888"/>
      <c r="U745" s="882"/>
      <c r="V745" s="887"/>
      <c r="W745" s="888"/>
      <c r="X745" s="888"/>
      <c r="Y745" s="888"/>
      <c r="Z745" s="882"/>
      <c r="AA745" s="882"/>
      <c r="AB745" s="882"/>
      <c r="AC745" s="882"/>
      <c r="AD745" s="882"/>
      <c r="AE745" s="882"/>
      <c r="AF745" s="882"/>
      <c r="AG745" s="882">
        <v>0</v>
      </c>
      <c r="AH745" s="882"/>
      <c r="AI745" s="882"/>
      <c r="AJ745" s="882"/>
      <c r="AK745" s="882"/>
    </row>
    <row r="746" spans="1:37" s="890" customFormat="1">
      <c r="A746" s="882"/>
      <c r="B746" s="891"/>
      <c r="C746" s="882">
        <f t="shared" si="70"/>
        <v>742</v>
      </c>
      <c r="D746" s="883">
        <v>2959</v>
      </c>
      <c r="E746" s="884" t="str">
        <f>IFERROR(VLOOKUP(Table2[[#This Row],[Player No]],Table10[[No]:[Province]],2,0),"")</f>
        <v>PULE Katlego</v>
      </c>
      <c r="F746" s="885" t="str">
        <f>IFERROR(VLOOKUP(Table2[[#This Row],[Player No]],Table10[[No]:[Province]],3,0),"")</f>
        <v>NWP</v>
      </c>
      <c r="G746" s="892">
        <v>0</v>
      </c>
      <c r="H746" s="886">
        <f>(Table2[[#This Row],[Points 2025]]/2)+SUM(Table2[[#This Row],[O1  ADMIN 2026]:[P2    CAPE TOWN OPEN 2026 ]])</f>
        <v>0</v>
      </c>
      <c r="I746" s="880">
        <f t="shared" si="69"/>
        <v>0</v>
      </c>
      <c r="J746" s="882">
        <f t="shared" si="71"/>
        <v>0</v>
      </c>
      <c r="K746" s="887" t="s">
        <v>6083</v>
      </c>
      <c r="L746" s="887" t="s">
        <v>6083</v>
      </c>
      <c r="M746" s="887" t="s">
        <v>6083</v>
      </c>
      <c r="N746" s="887"/>
      <c r="O746" s="882"/>
      <c r="P746" s="882"/>
      <c r="Q746" s="888"/>
      <c r="R746" s="888"/>
      <c r="S746" s="888"/>
      <c r="T746" s="888"/>
      <c r="U746" s="882"/>
      <c r="V746" s="887"/>
      <c r="W746" s="888">
        <v>0</v>
      </c>
      <c r="X746" s="888"/>
      <c r="Y746" s="888"/>
      <c r="Z746" s="882"/>
      <c r="AA746" s="882"/>
      <c r="AB746" s="882"/>
      <c r="AC746" s="882"/>
      <c r="AD746" s="882"/>
      <c r="AE746" s="882"/>
      <c r="AF746" s="882"/>
      <c r="AG746" s="882"/>
      <c r="AH746" s="882"/>
      <c r="AI746" s="882"/>
      <c r="AJ746" s="882"/>
      <c r="AK746" s="882"/>
    </row>
    <row r="747" spans="1:37" s="890" customFormat="1">
      <c r="A747" s="882"/>
      <c r="B747" s="891"/>
      <c r="C747" s="882">
        <f t="shared" si="70"/>
        <v>743</v>
      </c>
      <c r="D747" s="883">
        <v>3141</v>
      </c>
      <c r="E747" s="884" t="str">
        <f>IFERROR(VLOOKUP(Table2[[#This Row],[Player No]],Table10[[No]:[Province]],2,0),"")</f>
        <v>TAMAGGIES Elia</v>
      </c>
      <c r="F747" s="885" t="str">
        <f>IFERROR(VLOOKUP(Table2[[#This Row],[Player No]],Table10[[No]:[Province]],3,0),"")</f>
        <v>CT</v>
      </c>
      <c r="G747" s="892">
        <v>0</v>
      </c>
      <c r="H747" s="886">
        <f>(Table2[[#This Row],[Points 2025]]/2)+SUM(Table2[[#This Row],[O1  ADMIN 2026]:[P2    CAPE TOWN OPEN 2026 ]])</f>
        <v>0</v>
      </c>
      <c r="I747" s="880">
        <f t="shared" si="69"/>
        <v>0</v>
      </c>
      <c r="J747" s="882">
        <f t="shared" si="71"/>
        <v>0</v>
      </c>
      <c r="K747" s="887" t="s">
        <v>6083</v>
      </c>
      <c r="L747" s="887" t="s">
        <v>6083</v>
      </c>
      <c r="M747" s="887" t="s">
        <v>6083</v>
      </c>
      <c r="N747" s="887"/>
      <c r="O747" s="882"/>
      <c r="P747" s="882"/>
      <c r="Q747" s="888"/>
      <c r="R747" s="888"/>
      <c r="S747" s="888"/>
      <c r="T747" s="888"/>
      <c r="U747" s="882"/>
      <c r="V747" s="887"/>
      <c r="W747" s="888"/>
      <c r="X747" s="888"/>
      <c r="Y747" s="888"/>
      <c r="Z747" s="882"/>
      <c r="AA747" s="882"/>
      <c r="AB747" s="882">
        <v>0</v>
      </c>
      <c r="AC747" s="882"/>
      <c r="AD747" s="882"/>
      <c r="AE747" s="882"/>
      <c r="AF747" s="882"/>
      <c r="AG747" s="882"/>
      <c r="AH747" s="882"/>
      <c r="AI747" s="882"/>
      <c r="AJ747" s="882"/>
      <c r="AK747" s="882"/>
    </row>
    <row r="748" spans="1:37" s="890" customFormat="1">
      <c r="A748" s="882">
        <v>590</v>
      </c>
      <c r="B748" s="891">
        <f>+A748-C748</f>
        <v>-154</v>
      </c>
      <c r="C748" s="882">
        <f t="shared" si="70"/>
        <v>744</v>
      </c>
      <c r="D748" s="883">
        <v>3476</v>
      </c>
      <c r="E748" s="884" t="str">
        <f>IFERROR(VLOOKUP(Table2[[#This Row],[Player No]],Table10[[No]:[Province]],2,0),"")</f>
        <v>BESTER Rupie</v>
      </c>
      <c r="F748" s="885" t="str">
        <f>IFERROR(VLOOKUP(Table2[[#This Row],[Player No]],Table10[[No]:[Province]],3,0),"")</f>
        <v>FS</v>
      </c>
      <c r="G748" s="892">
        <v>0</v>
      </c>
      <c r="H748" s="886">
        <f>(Table2[[#This Row],[Points 2025]]/2)+SUM(Table2[[#This Row],[O1  ADMIN 2026]:[P2    CAPE TOWN OPEN 2026 ]])</f>
        <v>0</v>
      </c>
      <c r="I748" s="880">
        <f t="shared" si="69"/>
        <v>0</v>
      </c>
      <c r="J748" s="882">
        <f t="shared" si="71"/>
        <v>0</v>
      </c>
      <c r="K748" s="887" t="s">
        <v>6083</v>
      </c>
      <c r="L748" s="887" t="s">
        <v>6083</v>
      </c>
      <c r="M748" s="887" t="s">
        <v>6083</v>
      </c>
      <c r="N748" s="887"/>
      <c r="O748" s="882"/>
      <c r="P748" s="882"/>
      <c r="Q748" s="888"/>
      <c r="R748" s="888"/>
      <c r="S748" s="888"/>
      <c r="T748" s="888"/>
      <c r="U748" s="882"/>
      <c r="V748" s="887"/>
      <c r="W748" s="888"/>
      <c r="X748" s="888"/>
      <c r="Y748" s="888"/>
      <c r="Z748" s="882">
        <v>0</v>
      </c>
      <c r="AA748" s="882"/>
      <c r="AB748" s="882"/>
      <c r="AC748" s="882"/>
      <c r="AD748" s="882"/>
      <c r="AE748" s="882"/>
      <c r="AF748" s="882"/>
      <c r="AG748" s="882"/>
      <c r="AH748" s="882"/>
      <c r="AI748" s="882"/>
      <c r="AJ748" s="882"/>
      <c r="AK748" s="882"/>
    </row>
    <row r="749" spans="1:37" s="890" customFormat="1">
      <c r="A749" s="882"/>
      <c r="B749" s="891"/>
      <c r="C749" s="882">
        <f t="shared" si="70"/>
        <v>745</v>
      </c>
      <c r="D749" s="895">
        <v>3791</v>
      </c>
      <c r="E749" s="884" t="str">
        <f>IFERROR(VLOOKUP(Table2[[#This Row],[Player No]],Table10[[No]:[Province]],2,0),"")</f>
        <v xml:space="preserve">GOOVINDOOSAMY Kadin </v>
      </c>
      <c r="F749" s="885" t="str">
        <f>IFERROR(VLOOKUP(Table2[[#This Row],[Player No]],Table10[[No]:[Province]],3,0),"")</f>
        <v>ETTA</v>
      </c>
      <c r="G749" s="892">
        <v>0</v>
      </c>
      <c r="H749" s="886">
        <f>(Table2[[#This Row],[Points 2025]]/2)+SUM(Table2[[#This Row],[O1  ADMIN 2026]:[P2    CAPE TOWN OPEN 2026 ]])</f>
        <v>0</v>
      </c>
      <c r="I749" s="880">
        <f t="shared" si="69"/>
        <v>0</v>
      </c>
      <c r="J749" s="882">
        <f t="shared" si="71"/>
        <v>0</v>
      </c>
      <c r="K749" s="887" t="s">
        <v>6083</v>
      </c>
      <c r="L749" s="887" t="s">
        <v>6083</v>
      </c>
      <c r="M749" s="887" t="s">
        <v>6083</v>
      </c>
      <c r="N749" s="887"/>
      <c r="O749" s="882"/>
      <c r="P749" s="882"/>
      <c r="Q749" s="888"/>
      <c r="R749" s="888"/>
      <c r="S749" s="888"/>
      <c r="T749" s="888"/>
      <c r="U749" s="882"/>
      <c r="V749" s="887"/>
      <c r="W749" s="888"/>
      <c r="X749" s="888"/>
      <c r="Y749" s="888">
        <v>0</v>
      </c>
      <c r="Z749" s="882"/>
      <c r="AA749" s="882"/>
      <c r="AB749" s="882"/>
      <c r="AC749" s="882"/>
      <c r="AD749" s="882"/>
      <c r="AE749" s="882"/>
      <c r="AF749" s="882"/>
      <c r="AG749" s="882"/>
      <c r="AH749" s="882"/>
      <c r="AI749" s="882"/>
      <c r="AJ749" s="882"/>
      <c r="AK749" s="882"/>
    </row>
    <row r="750" spans="1:37" s="890" customFormat="1">
      <c r="A750" s="882">
        <v>590</v>
      </c>
      <c r="B750" s="891">
        <f>+A750-C750</f>
        <v>-156</v>
      </c>
      <c r="C750" s="882">
        <f t="shared" si="70"/>
        <v>746</v>
      </c>
      <c r="D750" s="883">
        <v>4000</v>
      </c>
      <c r="E750" s="884" t="str">
        <f>IFERROR(VLOOKUP(Table2[[#This Row],[Player No]],Table10[[No]:[Province]],2,0),"")</f>
        <v>NDLOVU Vonani Ephraim</v>
      </c>
      <c r="F750" s="885" t="str">
        <f>IFERROR(VLOOKUP(Table2[[#This Row],[Player No]],Table10[[No]:[Province]],3,0),"")</f>
        <v>LIM</v>
      </c>
      <c r="G750" s="892">
        <v>0</v>
      </c>
      <c r="H750" s="886">
        <f>(Table2[[#This Row],[Points 2025]]/2)+SUM(Table2[[#This Row],[O1  ADMIN 2026]:[P2    CAPE TOWN OPEN 2026 ]])</f>
        <v>0</v>
      </c>
      <c r="I750" s="880">
        <f t="shared" si="69"/>
        <v>0</v>
      </c>
      <c r="J750" s="882">
        <f t="shared" si="71"/>
        <v>0</v>
      </c>
      <c r="K750" s="887" t="s">
        <v>6083</v>
      </c>
      <c r="L750" s="887" t="s">
        <v>6083</v>
      </c>
      <c r="M750" s="887" t="s">
        <v>6083</v>
      </c>
      <c r="N750" s="887"/>
      <c r="O750" s="882"/>
      <c r="P750" s="882"/>
      <c r="Q750" s="888"/>
      <c r="R750" s="888"/>
      <c r="S750" s="888"/>
      <c r="T750" s="888"/>
      <c r="U750" s="882"/>
      <c r="V750" s="887"/>
      <c r="W750" s="888"/>
      <c r="X750" s="888"/>
      <c r="Y750" s="888"/>
      <c r="Z750" s="882"/>
      <c r="AA750" s="882"/>
      <c r="AB750" s="882"/>
      <c r="AC750" s="882"/>
      <c r="AD750" s="882"/>
      <c r="AE750" s="882"/>
      <c r="AF750" s="882"/>
      <c r="AG750" s="882">
        <v>0</v>
      </c>
      <c r="AH750" s="882"/>
      <c r="AI750" s="882"/>
      <c r="AJ750" s="882"/>
      <c r="AK750" s="882"/>
    </row>
    <row r="751" spans="1:37" s="890" customFormat="1">
      <c r="A751" s="882"/>
      <c r="B751" s="891"/>
      <c r="C751" s="882">
        <f t="shared" si="70"/>
        <v>747</v>
      </c>
      <c r="D751" s="883">
        <v>4272</v>
      </c>
      <c r="E751" s="884" t="str">
        <f>IFERROR(VLOOKUP(Table2[[#This Row],[Player No]],Table10[[No]:[Province]],2,0),"")</f>
        <v>PUKA Buhle</v>
      </c>
      <c r="F751" s="885" t="str">
        <f>IFERROR(VLOOKUP(Table2[[#This Row],[Player No]],Table10[[No]:[Province]],3,0),"")</f>
        <v>EC</v>
      </c>
      <c r="G751" s="892">
        <v>0</v>
      </c>
      <c r="H751" s="886">
        <f>(Table2[[#This Row],[Points 2025]]/2)+SUM(Table2[[#This Row],[O1  ADMIN 2026]:[P2    CAPE TOWN OPEN 2026 ]])</f>
        <v>0</v>
      </c>
      <c r="I751" s="880">
        <f t="shared" si="69"/>
        <v>0</v>
      </c>
      <c r="J751" s="882">
        <f t="shared" si="71"/>
        <v>0</v>
      </c>
      <c r="K751" s="887" t="s">
        <v>6083</v>
      </c>
      <c r="L751" s="887" t="s">
        <v>6083</v>
      </c>
      <c r="M751" s="887" t="s">
        <v>6083</v>
      </c>
      <c r="N751" s="887"/>
      <c r="O751" s="882"/>
      <c r="P751" s="882"/>
      <c r="Q751" s="888"/>
      <c r="R751" s="888"/>
      <c r="S751" s="888"/>
      <c r="T751" s="888"/>
      <c r="U751" s="882"/>
      <c r="V751" s="887">
        <v>0</v>
      </c>
      <c r="W751" s="888"/>
      <c r="X751" s="888"/>
      <c r="Y751" s="888"/>
      <c r="Z751" s="882"/>
      <c r="AA751" s="882"/>
      <c r="AB751" s="882"/>
      <c r="AC751" s="882"/>
      <c r="AD751" s="882"/>
      <c r="AE751" s="882"/>
      <c r="AF751" s="882"/>
      <c r="AG751" s="882"/>
      <c r="AH751" s="882"/>
      <c r="AI751" s="882"/>
      <c r="AJ751" s="882"/>
      <c r="AK751" s="882"/>
    </row>
    <row r="752" spans="1:37" s="890" customFormat="1">
      <c r="A752" s="882">
        <v>590</v>
      </c>
      <c r="B752" s="891">
        <f>+A752-C752</f>
        <v>-158</v>
      </c>
      <c r="C752" s="882">
        <f t="shared" si="70"/>
        <v>748</v>
      </c>
      <c r="D752" s="883">
        <v>4416</v>
      </c>
      <c r="E752" s="884" t="str">
        <f>IFERROR(VLOOKUP(Table2[[#This Row],[Player No]],Table10[[No]:[Province]],2,0),"")</f>
        <v>Letlotlo Rabeleng</v>
      </c>
      <c r="F752" s="885" t="str">
        <f>IFERROR(VLOOKUP(Table2[[#This Row],[Player No]],Table10[[No]:[Province]],3,0),"")</f>
        <v>FS</v>
      </c>
      <c r="G752" s="892">
        <v>0</v>
      </c>
      <c r="H752" s="886">
        <f>(Table2[[#This Row],[Points 2025]]/2)+SUM(Table2[[#This Row],[O1  ADMIN 2026]:[P2    CAPE TOWN OPEN 2026 ]])</f>
        <v>0</v>
      </c>
      <c r="I752" s="880">
        <f t="shared" si="69"/>
        <v>0</v>
      </c>
      <c r="J752" s="882">
        <f t="shared" si="71"/>
        <v>0</v>
      </c>
      <c r="K752" s="887" t="s">
        <v>6083</v>
      </c>
      <c r="L752" s="887" t="s">
        <v>6083</v>
      </c>
      <c r="M752" s="887" t="s">
        <v>6083</v>
      </c>
      <c r="N752" s="887"/>
      <c r="O752" s="882"/>
      <c r="P752" s="882"/>
      <c r="Q752" s="888"/>
      <c r="R752" s="888"/>
      <c r="S752" s="888"/>
      <c r="T752" s="888"/>
      <c r="U752" s="882"/>
      <c r="V752" s="887"/>
      <c r="W752" s="888"/>
      <c r="X752" s="888"/>
      <c r="Y752" s="888"/>
      <c r="Z752" s="882"/>
      <c r="AA752" s="882"/>
      <c r="AB752" s="882"/>
      <c r="AC752" s="882"/>
      <c r="AD752" s="882"/>
      <c r="AE752" s="882"/>
      <c r="AF752" s="882"/>
      <c r="AG752" s="882"/>
      <c r="AH752" s="882"/>
      <c r="AI752" s="882"/>
      <c r="AJ752" s="882"/>
      <c r="AK752" s="882"/>
    </row>
    <row r="753" spans="1:37" s="890" customFormat="1">
      <c r="A753" s="882"/>
      <c r="B753" s="891"/>
      <c r="C753" s="882">
        <f t="shared" si="70"/>
        <v>749</v>
      </c>
      <c r="D753" s="883">
        <v>4471</v>
      </c>
      <c r="E753" s="884" t="str">
        <f>IFERROR(VLOOKUP(Table2[[#This Row],[Player No]],Table10[[No]:[Province]],2,0),"")</f>
        <v>CHOU Johnson</v>
      </c>
      <c r="F753" s="885" t="str">
        <f>IFERROR(VLOOKUP(Table2[[#This Row],[Player No]],Table10[[No]:[Province]],3,0),"")</f>
        <v>FS</v>
      </c>
      <c r="G753" s="892">
        <v>0</v>
      </c>
      <c r="H753" s="886">
        <f>(Table2[[#This Row],[Points 2025]]/2)+SUM(Table2[[#This Row],[O1  ADMIN 2026]:[P2    CAPE TOWN OPEN 2026 ]])</f>
        <v>0</v>
      </c>
      <c r="I753" s="880">
        <f t="shared" si="69"/>
        <v>0</v>
      </c>
      <c r="J753" s="882">
        <f t="shared" si="71"/>
        <v>0</v>
      </c>
      <c r="K753" s="887" t="s">
        <v>6083</v>
      </c>
      <c r="L753" s="887" t="s">
        <v>6083</v>
      </c>
      <c r="M753" s="887" t="s">
        <v>6083</v>
      </c>
      <c r="N753" s="887"/>
      <c r="O753" s="882"/>
      <c r="P753" s="882"/>
      <c r="Q753" s="888"/>
      <c r="R753" s="888"/>
      <c r="S753" s="888"/>
      <c r="T753" s="888">
        <v>0</v>
      </c>
      <c r="U753" s="882"/>
      <c r="V753" s="887"/>
      <c r="W753" s="888"/>
      <c r="X753" s="888"/>
      <c r="Y753" s="888"/>
      <c r="Z753" s="882"/>
      <c r="AA753" s="882"/>
      <c r="AB753" s="882"/>
      <c r="AC753" s="882"/>
      <c r="AD753" s="882"/>
      <c r="AE753" s="882"/>
      <c r="AF753" s="882"/>
      <c r="AG753" s="882"/>
      <c r="AH753" s="882"/>
      <c r="AI753" s="882"/>
      <c r="AJ753" s="882"/>
      <c r="AK753" s="882"/>
    </row>
    <row r="754" spans="1:37" s="890" customFormat="1">
      <c r="A754" s="882"/>
      <c r="B754" s="891"/>
      <c r="C754" s="882">
        <f t="shared" si="70"/>
        <v>750</v>
      </c>
      <c r="D754" s="883">
        <v>4479</v>
      </c>
      <c r="E754" s="884" t="str">
        <f>IFERROR(VLOOKUP(Table2[[#This Row],[Player No]],Table10[[No]:[Province]],2,0),"")</f>
        <v>Lehlohonolo NKHOTLE</v>
      </c>
      <c r="F754" s="885" t="str">
        <f>IFERROR(VLOOKUP(Table2[[#This Row],[Player No]],Table10[[No]:[Province]],3,0),"")</f>
        <v>LES</v>
      </c>
      <c r="G754" s="892">
        <v>0</v>
      </c>
      <c r="H754" s="886">
        <f>(Table2[[#This Row],[Points 2025]]/2)+SUM(Table2[[#This Row],[O1  ADMIN 2026]:[P2    CAPE TOWN OPEN 2026 ]])</f>
        <v>0</v>
      </c>
      <c r="I754" s="880">
        <f t="shared" si="69"/>
        <v>0</v>
      </c>
      <c r="J754" s="882">
        <f t="shared" si="71"/>
        <v>0</v>
      </c>
      <c r="K754" s="887" t="s">
        <v>6083</v>
      </c>
      <c r="L754" s="887" t="s">
        <v>6083</v>
      </c>
      <c r="M754" s="887" t="s">
        <v>6083</v>
      </c>
      <c r="N754" s="887"/>
      <c r="O754" s="882"/>
      <c r="P754" s="882"/>
      <c r="Q754" s="888"/>
      <c r="R754" s="888"/>
      <c r="S754" s="888"/>
      <c r="T754" s="888">
        <v>0</v>
      </c>
      <c r="U754" s="882"/>
      <c r="V754" s="887"/>
      <c r="W754" s="888"/>
      <c r="X754" s="888"/>
      <c r="Y754" s="888"/>
      <c r="Z754" s="882"/>
      <c r="AA754" s="882"/>
      <c r="AB754" s="882"/>
      <c r="AC754" s="882"/>
      <c r="AD754" s="882"/>
      <c r="AE754" s="882"/>
      <c r="AF754" s="882"/>
      <c r="AG754" s="882"/>
      <c r="AH754" s="882"/>
      <c r="AI754" s="882"/>
      <c r="AJ754" s="882"/>
      <c r="AK754" s="882"/>
    </row>
    <row r="755" spans="1:37" s="890" customFormat="1">
      <c r="A755" s="882"/>
      <c r="B755" s="891"/>
      <c r="C755" s="882">
        <f t="shared" si="70"/>
        <v>751</v>
      </c>
      <c r="D755" s="883">
        <v>4726</v>
      </c>
      <c r="E755" s="884" t="str">
        <f>IFERROR(VLOOKUP(Table2[[#This Row],[Player No]],Table10[[No]:[Province]],2,0),"")</f>
        <v>SIYO Aphelele</v>
      </c>
      <c r="F755" s="885" t="str">
        <f>IFERROR(VLOOKUP(Table2[[#This Row],[Player No]],Table10[[No]:[Province]],3,0),"")</f>
        <v>EC</v>
      </c>
      <c r="G755" s="892">
        <v>0</v>
      </c>
      <c r="H755" s="886">
        <f>(Table2[[#This Row],[Points 2025]]/2)+SUM(Table2[[#This Row],[O1  ADMIN 2026]:[P2    CAPE TOWN OPEN 2026 ]])</f>
        <v>0</v>
      </c>
      <c r="I755" s="880">
        <f t="shared" si="69"/>
        <v>0</v>
      </c>
      <c r="J755" s="882">
        <f t="shared" si="71"/>
        <v>0</v>
      </c>
      <c r="K755" s="887" t="s">
        <v>6083</v>
      </c>
      <c r="L755" s="887" t="s">
        <v>6083</v>
      </c>
      <c r="M755" s="887" t="s">
        <v>6083</v>
      </c>
      <c r="N755" s="887"/>
      <c r="O755" s="882"/>
      <c r="P755" s="882"/>
      <c r="Q755" s="888"/>
      <c r="R755" s="888"/>
      <c r="S755" s="888"/>
      <c r="T755" s="888"/>
      <c r="U755" s="882"/>
      <c r="V755" s="887"/>
      <c r="W755" s="888"/>
      <c r="X755" s="888"/>
      <c r="Y755" s="888"/>
      <c r="Z755" s="882"/>
      <c r="AA755" s="882"/>
      <c r="AB755" s="882"/>
      <c r="AC755" s="882"/>
      <c r="AD755" s="882"/>
      <c r="AE755" s="882"/>
      <c r="AF755" s="882"/>
      <c r="AG755" s="882"/>
      <c r="AH755" s="882"/>
      <c r="AI755" s="882"/>
      <c r="AJ755" s="882"/>
      <c r="AK755" s="882"/>
    </row>
    <row r="756" spans="1:37" s="890" customFormat="1">
      <c r="A756" s="882"/>
      <c r="B756" s="891"/>
      <c r="C756" s="882">
        <f t="shared" si="70"/>
        <v>752</v>
      </c>
      <c r="D756" s="883">
        <v>3801</v>
      </c>
      <c r="E756" s="884" t="str">
        <f>IFERROR(VLOOKUP(Table2[[#This Row],[Player No]],Table10[[No]:[Province]],2,0),"")</f>
        <v>CELE Samkelo Ayabonga</v>
      </c>
      <c r="F756" s="885" t="str">
        <f>IFERROR(VLOOKUP(Table2[[#This Row],[Player No]],Table10[[No]:[Province]],3,0),"")</f>
        <v>ETTA</v>
      </c>
      <c r="G756" s="892">
        <v>0</v>
      </c>
      <c r="H756" s="886">
        <f>(Table2[[#This Row],[Points 2025]]/2)+SUM(Table2[[#This Row],[O1  ADMIN 2026]:[P2    CAPE TOWN OPEN 2026 ]])</f>
        <v>1</v>
      </c>
      <c r="I756" s="880">
        <f t="shared" si="69"/>
        <v>1</v>
      </c>
      <c r="J756" s="882">
        <f t="shared" si="71"/>
        <v>0</v>
      </c>
      <c r="K756" s="887" t="str">
        <f>IFERROR(VALUE(IF(Table2[[#This Row],[Player No]]="","",IFERROR(VLOOKUP(Table2[[#This Row],[Player No]],[3]Men!$D$2:$E$48,2,FALSE)&amp;"",""))),"")</f>
        <v/>
      </c>
      <c r="L756" s="887" t="str">
        <f>IFERROR(VALUE(IF(Table2[[#This Row],[Player No]]="","",IFERROR(VLOOKUP(Table2[[#This Row],[Player No]],[4]Men!$Z$14:$AB$62,2,FALSE)&amp;"",""))),"")</f>
        <v/>
      </c>
      <c r="M756" s="887">
        <v>1</v>
      </c>
      <c r="N756" s="887"/>
      <c r="O756" s="882"/>
      <c r="P756" s="882"/>
      <c r="Q756" s="888"/>
      <c r="R756" s="888"/>
      <c r="S756" s="888"/>
      <c r="T756" s="888"/>
      <c r="U756" s="882"/>
      <c r="V756" s="887"/>
      <c r="W756" s="888"/>
      <c r="X756" s="888"/>
      <c r="Y756" s="888"/>
      <c r="Z756" s="882"/>
      <c r="AA756" s="882"/>
      <c r="AB756" s="882"/>
      <c r="AC756" s="882"/>
      <c r="AD756" s="882"/>
      <c r="AE756" s="882"/>
      <c r="AF756" s="882"/>
      <c r="AG756" s="882"/>
      <c r="AH756" s="882"/>
      <c r="AI756" s="882"/>
      <c r="AJ756" s="882"/>
      <c r="AK756" s="882"/>
    </row>
    <row r="757" spans="1:37" s="890" customFormat="1">
      <c r="A757" s="882"/>
      <c r="B757" s="891"/>
      <c r="C757" s="882"/>
      <c r="D757" s="883"/>
      <c r="E757" s="884"/>
      <c r="F757" s="885" t="str">
        <f>IFERROR(VLOOKUP(Table2[[#This Row],[Player No]],Table10[[No]:[Province]],3,0),"")</f>
        <v/>
      </c>
      <c r="G757" s="892">
        <v>0</v>
      </c>
      <c r="H757" s="886">
        <f>(Table2[[#This Row],[Points 2025]]/2)+SUM(Table2[[#This Row],[O1  ADMIN 2026]:[P2    CAPE TOWN OPEN 2026 ]])</f>
        <v>0</v>
      </c>
      <c r="I757" s="880">
        <f t="shared" si="69"/>
        <v>0</v>
      </c>
      <c r="J757" s="882">
        <f t="shared" si="71"/>
        <v>0</v>
      </c>
      <c r="K757" s="887" t="str">
        <f>IFERROR(VALUE(IF(Table2[[#This Row],[Player No]]="","",IFERROR(VLOOKUP(Table2[[#This Row],[Player No]],[3]Men!$D$2:$E$48,2,FALSE)&amp;"",""))),"")</f>
        <v/>
      </c>
      <c r="L757" s="887" t="str">
        <f>IFERROR(VALUE(IF(Table2[[#This Row],[Player No]]="","",IFERROR(VLOOKUP(Table2[[#This Row],[Player No]],[4]Men!$Z$14:$AB$62,2,FALSE)&amp;"",""))),"")</f>
        <v/>
      </c>
      <c r="M757" s="887"/>
      <c r="N757" s="887"/>
      <c r="O757" s="882"/>
      <c r="P757" s="882"/>
      <c r="Q757" s="888"/>
      <c r="R757" s="888"/>
      <c r="S757" s="888"/>
      <c r="T757" s="888"/>
      <c r="U757" s="882"/>
      <c r="V757" s="887"/>
      <c r="W757" s="888"/>
      <c r="X757" s="888"/>
      <c r="Y757" s="888"/>
      <c r="Z757" s="882"/>
      <c r="AA757" s="882"/>
      <c r="AB757" s="882"/>
      <c r="AC757" s="882"/>
      <c r="AD757" s="882"/>
      <c r="AE757" s="882"/>
      <c r="AF757" s="882"/>
      <c r="AG757" s="882"/>
      <c r="AH757" s="882"/>
      <c r="AI757" s="882"/>
      <c r="AJ757" s="882"/>
      <c r="AK757" s="882"/>
    </row>
    <row r="758" spans="1:37" s="890" customFormat="1">
      <c r="A758" s="882"/>
      <c r="B758" s="891"/>
      <c r="C758" s="882"/>
      <c r="D758" s="883"/>
      <c r="E758" s="884"/>
      <c r="F758" s="885" t="str">
        <f>IFERROR(VLOOKUP(Table2[[#This Row],[Player No]],Table10[[No]:[Province]],3,0),"")</f>
        <v/>
      </c>
      <c r="G758" s="892">
        <v>0</v>
      </c>
      <c r="H758" s="886">
        <f>(Table2[[#This Row],[Points 2025]]/2)+SUM(Table2[[#This Row],[O1  ADMIN 2026]:[P2    CAPE TOWN OPEN 2026 ]])</f>
        <v>0</v>
      </c>
      <c r="I758" s="880">
        <f t="shared" si="69"/>
        <v>0</v>
      </c>
      <c r="J758" s="882">
        <f t="shared" si="71"/>
        <v>0</v>
      </c>
      <c r="K758" s="887" t="str">
        <f>IFERROR(VALUE(IF(Table2[[#This Row],[Player No]]="","",IFERROR(VLOOKUP(Table2[[#This Row],[Player No]],[3]Men!$D$2:$E$48,2,FALSE)&amp;"",""))),"")</f>
        <v/>
      </c>
      <c r="L758" s="887" t="str">
        <f>IFERROR(VALUE(IF(Table2[[#This Row],[Player No]]="","",IFERROR(VLOOKUP(Table2[[#This Row],[Player No]],[4]Men!$Z$14:$AB$62,2,FALSE)&amp;"",""))),"")</f>
        <v/>
      </c>
      <c r="M758" s="887"/>
      <c r="N758" s="887"/>
      <c r="O758" s="882"/>
      <c r="P758" s="882"/>
      <c r="Q758" s="888"/>
      <c r="R758" s="888"/>
      <c r="S758" s="888"/>
      <c r="T758" s="888"/>
      <c r="U758" s="882"/>
      <c r="V758" s="887"/>
      <c r="W758" s="888"/>
      <c r="X758" s="888"/>
      <c r="Y758" s="888"/>
      <c r="Z758" s="882"/>
      <c r="AA758" s="882"/>
      <c r="AB758" s="882"/>
      <c r="AC758" s="882"/>
      <c r="AD758" s="882"/>
      <c r="AE758" s="882"/>
      <c r="AF758" s="882"/>
      <c r="AG758" s="882"/>
      <c r="AH758" s="882"/>
      <c r="AI758" s="882"/>
      <c r="AJ758" s="882"/>
      <c r="AK758" s="882"/>
    </row>
    <row r="759" spans="1:37" s="890" customFormat="1">
      <c r="A759" s="882"/>
      <c r="B759" s="891"/>
      <c r="C759" s="882"/>
      <c r="D759" s="883"/>
      <c r="E759" s="884"/>
      <c r="F759" s="885" t="str">
        <f>IFERROR(VLOOKUP(Table2[[#This Row],[Player No]],Table10[[No]:[Province]],3,0),"")</f>
        <v/>
      </c>
      <c r="G759" s="892">
        <v>0</v>
      </c>
      <c r="H759" s="886">
        <f>(Table2[[#This Row],[Points 2025]]/2)+SUM(Table2[[#This Row],[O1  ADMIN 2026]:[P2    CAPE TOWN OPEN 2026 ]])</f>
        <v>0</v>
      </c>
      <c r="I759" s="880">
        <f t="shared" si="69"/>
        <v>0</v>
      </c>
      <c r="J759" s="882">
        <f t="shared" si="71"/>
        <v>0</v>
      </c>
      <c r="K759" s="887" t="str">
        <f>IFERROR(VALUE(IF(Table2[[#This Row],[Player No]]="","",IFERROR(VLOOKUP(Table2[[#This Row],[Player No]],[3]Men!$D$2:$E$48,2,FALSE)&amp;"",""))),"")</f>
        <v/>
      </c>
      <c r="L759" s="887" t="str">
        <f>IFERROR(VALUE(IF(Table2[[#This Row],[Player No]]="","",IFERROR(VLOOKUP(Table2[[#This Row],[Player No]],[4]Men!$Z$14:$AB$62,2,FALSE)&amp;"",""))),"")</f>
        <v/>
      </c>
      <c r="M759" s="887"/>
      <c r="N759" s="887"/>
      <c r="O759" s="882"/>
      <c r="P759" s="882"/>
      <c r="Q759" s="888"/>
      <c r="R759" s="888"/>
      <c r="S759" s="888"/>
      <c r="T759" s="888"/>
      <c r="U759" s="882"/>
      <c r="V759" s="887"/>
      <c r="W759" s="888"/>
      <c r="X759" s="888"/>
      <c r="Y759" s="888"/>
      <c r="Z759" s="882"/>
      <c r="AA759" s="882"/>
      <c r="AB759" s="882"/>
      <c r="AC759" s="882"/>
      <c r="AD759" s="882"/>
      <c r="AE759" s="882"/>
      <c r="AF759" s="882"/>
      <c r="AG759" s="882"/>
      <c r="AH759" s="882"/>
      <c r="AI759" s="882"/>
      <c r="AJ759" s="882"/>
      <c r="AK759" s="882"/>
    </row>
    <row r="760" spans="1:37" s="890" customFormat="1">
      <c r="A760" s="882"/>
      <c r="B760" s="891"/>
      <c r="C760" s="882"/>
      <c r="D760" s="883"/>
      <c r="E760" s="884"/>
      <c r="F760" s="885" t="str">
        <f>IFERROR(VLOOKUP(Table2[[#This Row],[Player No]],Table10[[No]:[Province]],3,0),"")</f>
        <v/>
      </c>
      <c r="G760" s="892">
        <v>0</v>
      </c>
      <c r="H760" s="886">
        <f>(Table2[[#This Row],[Points 2025]]/2)+SUM(Table2[[#This Row],[O1  ADMIN 2026]:[P2    CAPE TOWN OPEN 2026 ]])</f>
        <v>0</v>
      </c>
      <c r="I760" s="880">
        <f t="shared" si="69"/>
        <v>0</v>
      </c>
      <c r="J760" s="882">
        <f t="shared" si="71"/>
        <v>0</v>
      </c>
      <c r="K760" s="887" t="str">
        <f>IFERROR(VALUE(IF(Table2[[#This Row],[Player No]]="","",IFERROR(VLOOKUP(Table2[[#This Row],[Player No]],[3]Men!$D$2:$E$48,2,FALSE)&amp;"",""))),"")</f>
        <v/>
      </c>
      <c r="L760" s="887" t="str">
        <f>IFERROR(VALUE(IF(Table2[[#This Row],[Player No]]="","",IFERROR(VLOOKUP(Table2[[#This Row],[Player No]],[4]Men!$Z$14:$AB$62,2,FALSE)&amp;"",""))),"")</f>
        <v/>
      </c>
      <c r="M760" s="887"/>
      <c r="N760" s="887"/>
      <c r="O760" s="882"/>
      <c r="P760" s="882"/>
      <c r="Q760" s="888"/>
      <c r="R760" s="888"/>
      <c r="S760" s="888"/>
      <c r="T760" s="888"/>
      <c r="U760" s="882"/>
      <c r="V760" s="887"/>
      <c r="W760" s="888"/>
      <c r="X760" s="888"/>
      <c r="Y760" s="888"/>
      <c r="Z760" s="882"/>
      <c r="AA760" s="882"/>
      <c r="AB760" s="882"/>
      <c r="AC760" s="882"/>
      <c r="AD760" s="882"/>
      <c r="AE760" s="882"/>
      <c r="AF760" s="882"/>
      <c r="AG760" s="882"/>
      <c r="AH760" s="882"/>
      <c r="AI760" s="882"/>
      <c r="AJ760" s="882"/>
      <c r="AK760" s="882"/>
    </row>
    <row r="761" spans="1:37" s="890" customFormat="1">
      <c r="A761" s="882"/>
      <c r="B761" s="891"/>
      <c r="C761" s="882"/>
      <c r="D761" s="883"/>
      <c r="E761" s="884"/>
      <c r="F761" s="885" t="str">
        <f>IFERROR(VLOOKUP(Table2[[#This Row],[Player No]],Table10[[No]:[Province]],3,0),"")</f>
        <v/>
      </c>
      <c r="G761" s="892">
        <v>0</v>
      </c>
      <c r="H761" s="886">
        <f>(Table2[[#This Row],[Points 2025]]/2)+SUM(Table2[[#This Row],[O1  ADMIN 2026]:[P2    CAPE TOWN OPEN 2026 ]])</f>
        <v>0</v>
      </c>
      <c r="I761" s="880">
        <f t="shared" si="69"/>
        <v>0</v>
      </c>
      <c r="J761" s="882">
        <f t="shared" si="71"/>
        <v>0</v>
      </c>
      <c r="K761" s="887" t="str">
        <f>IFERROR(VALUE(IF(Table2[[#This Row],[Player No]]="","",IFERROR(VLOOKUP(Table2[[#This Row],[Player No]],[3]Men!$D$2:$E$48,2,FALSE)&amp;"",""))),"")</f>
        <v/>
      </c>
      <c r="L761" s="887" t="str">
        <f>IFERROR(VALUE(IF(Table2[[#This Row],[Player No]]="","",IFERROR(VLOOKUP(Table2[[#This Row],[Player No]],[4]Men!$Z$14:$AB$62,2,FALSE)&amp;"",""))),"")</f>
        <v/>
      </c>
      <c r="M761" s="887"/>
      <c r="N761" s="887"/>
      <c r="O761" s="882"/>
      <c r="P761" s="882"/>
      <c r="Q761" s="888"/>
      <c r="R761" s="888"/>
      <c r="S761" s="888"/>
      <c r="T761" s="888"/>
      <c r="U761" s="882"/>
      <c r="V761" s="887"/>
      <c r="W761" s="888"/>
      <c r="X761" s="888"/>
      <c r="Y761" s="888"/>
      <c r="Z761" s="882"/>
      <c r="AA761" s="882"/>
      <c r="AB761" s="882"/>
      <c r="AC761" s="882"/>
      <c r="AD761" s="882"/>
      <c r="AE761" s="882"/>
      <c r="AF761" s="882"/>
      <c r="AG761" s="882"/>
      <c r="AH761" s="882"/>
      <c r="AI761" s="882"/>
      <c r="AJ761" s="882"/>
      <c r="AK761" s="882"/>
    </row>
    <row r="762" spans="1:37" s="890" customFormat="1">
      <c r="A762" s="882"/>
      <c r="B762" s="891"/>
      <c r="C762" s="882"/>
      <c r="D762" s="883"/>
      <c r="E762" s="884"/>
      <c r="F762" s="885" t="str">
        <f>IFERROR(VLOOKUP(Table2[[#This Row],[Player No]],Table10[[No]:[Province]],3,0),"")</f>
        <v/>
      </c>
      <c r="G762" s="892">
        <v>0</v>
      </c>
      <c r="H762" s="886">
        <f>(Table2[[#This Row],[Points 2025]]/2)+SUM(Table2[[#This Row],[O1  ADMIN 2026]:[P2    CAPE TOWN OPEN 2026 ]])</f>
        <v>0</v>
      </c>
      <c r="I762" s="880">
        <f t="shared" si="69"/>
        <v>0</v>
      </c>
      <c r="J762" s="882">
        <f t="shared" si="71"/>
        <v>0</v>
      </c>
      <c r="K762" s="887" t="str">
        <f>IFERROR(VALUE(IF(Table2[[#This Row],[Player No]]="","",IFERROR(VLOOKUP(Table2[[#This Row],[Player No]],[3]Men!$D$2:$E$48,2,FALSE)&amp;"",""))),"")</f>
        <v/>
      </c>
      <c r="L762" s="887" t="str">
        <f>IFERROR(VALUE(IF(Table2[[#This Row],[Player No]]="","",IFERROR(VLOOKUP(Table2[[#This Row],[Player No]],[4]Men!$Z$14:$AB$62,2,FALSE)&amp;"",""))),"")</f>
        <v/>
      </c>
      <c r="M762" s="887"/>
      <c r="N762" s="887"/>
      <c r="O762" s="882"/>
      <c r="P762" s="882"/>
      <c r="Q762" s="888"/>
      <c r="R762" s="888"/>
      <c r="S762" s="888"/>
      <c r="T762" s="888"/>
      <c r="U762" s="882"/>
      <c r="V762" s="887"/>
      <c r="W762" s="888"/>
      <c r="X762" s="888"/>
      <c r="Y762" s="888"/>
      <c r="Z762" s="882"/>
      <c r="AA762" s="882"/>
      <c r="AB762" s="882"/>
      <c r="AC762" s="882"/>
      <c r="AD762" s="882"/>
      <c r="AE762" s="882"/>
      <c r="AF762" s="882"/>
      <c r="AG762" s="882"/>
      <c r="AH762" s="882"/>
      <c r="AI762" s="882"/>
      <c r="AJ762" s="882"/>
      <c r="AK762" s="882"/>
    </row>
    <row r="763" spans="1:37" s="890" customFormat="1">
      <c r="A763" s="882"/>
      <c r="B763" s="891"/>
      <c r="C763" s="882"/>
      <c r="D763" s="883"/>
      <c r="E763" s="884"/>
      <c r="F763" s="885" t="str">
        <f>IFERROR(VLOOKUP(Table2[[#This Row],[Player No]],Table10[[No]:[Province]],3,0),"")</f>
        <v/>
      </c>
      <c r="G763" s="892">
        <v>0</v>
      </c>
      <c r="H763" s="886">
        <f>(Table2[[#This Row],[Points 2025]]/2)+SUM(Table2[[#This Row],[O1  ADMIN 2026]:[P2    CAPE TOWN OPEN 2026 ]])</f>
        <v>0</v>
      </c>
      <c r="I763" s="880">
        <f t="shared" si="69"/>
        <v>0</v>
      </c>
      <c r="J763" s="882">
        <f t="shared" si="71"/>
        <v>0</v>
      </c>
      <c r="K763" s="887" t="str">
        <f>IFERROR(VALUE(IF(Table2[[#This Row],[Player No]]="","",IFERROR(VLOOKUP(Table2[[#This Row],[Player No]],[3]Men!$D$2:$E$48,2,FALSE)&amp;"",""))),"")</f>
        <v/>
      </c>
      <c r="L763" s="887" t="str">
        <f>IFERROR(VALUE(IF(Table2[[#This Row],[Player No]]="","",IFERROR(VLOOKUP(Table2[[#This Row],[Player No]],[4]Men!$Z$14:$AB$62,2,FALSE)&amp;"",""))),"")</f>
        <v/>
      </c>
      <c r="M763" s="887"/>
      <c r="N763" s="887"/>
      <c r="O763" s="882"/>
      <c r="P763" s="882"/>
      <c r="Q763" s="888"/>
      <c r="R763" s="888"/>
      <c r="S763" s="888"/>
      <c r="T763" s="888"/>
      <c r="U763" s="882"/>
      <c r="V763" s="887"/>
      <c r="W763" s="888"/>
      <c r="X763" s="888"/>
      <c r="Y763" s="888"/>
      <c r="Z763" s="882"/>
      <c r="AA763" s="882"/>
      <c r="AB763" s="882"/>
      <c r="AC763" s="882"/>
      <c r="AD763" s="882"/>
      <c r="AE763" s="882"/>
      <c r="AF763" s="882"/>
      <c r="AG763" s="882"/>
      <c r="AH763" s="882"/>
      <c r="AI763" s="882"/>
      <c r="AJ763" s="882"/>
      <c r="AK763" s="882"/>
    </row>
    <row r="764" spans="1:37" s="890" customFormat="1">
      <c r="A764" s="882"/>
      <c r="B764" s="891"/>
      <c r="C764" s="882"/>
      <c r="D764" s="883"/>
      <c r="E764" s="884"/>
      <c r="F764" s="885" t="str">
        <f>IFERROR(VLOOKUP(Table2[[#This Row],[Player No]],Table10[[No]:[Province]],3,0),"")</f>
        <v/>
      </c>
      <c r="G764" s="892">
        <v>0</v>
      </c>
      <c r="H764" s="886">
        <f>(Table2[[#This Row],[Points 2025]]/2)+SUM(Table2[[#This Row],[O1  ADMIN 2026]:[P2    CAPE TOWN OPEN 2026 ]])</f>
        <v>0</v>
      </c>
      <c r="I764" s="880">
        <f t="shared" si="69"/>
        <v>0</v>
      </c>
      <c r="J764" s="882">
        <f t="shared" si="71"/>
        <v>0</v>
      </c>
      <c r="K764" s="887" t="str">
        <f>IFERROR(VALUE(IF(Table2[[#This Row],[Player No]]="","",IFERROR(VLOOKUP(Table2[[#This Row],[Player No]],[3]Men!$D$2:$E$48,2,FALSE)&amp;"",""))),"")</f>
        <v/>
      </c>
      <c r="L764" s="887" t="str">
        <f>IFERROR(VALUE(IF(Table2[[#This Row],[Player No]]="","",IFERROR(VLOOKUP(Table2[[#This Row],[Player No]],[4]Men!$Z$14:$AB$62,2,FALSE)&amp;"",""))),"")</f>
        <v/>
      </c>
      <c r="M764" s="887"/>
      <c r="N764" s="887"/>
      <c r="O764" s="882"/>
      <c r="P764" s="882"/>
      <c r="Q764" s="888"/>
      <c r="R764" s="888"/>
      <c r="S764" s="888"/>
      <c r="T764" s="888"/>
      <c r="U764" s="882"/>
      <c r="V764" s="887"/>
      <c r="W764" s="888"/>
      <c r="X764" s="888"/>
      <c r="Y764" s="888"/>
      <c r="Z764" s="882"/>
      <c r="AA764" s="882"/>
      <c r="AB764" s="882"/>
      <c r="AC764" s="882"/>
      <c r="AD764" s="882"/>
      <c r="AE764" s="882"/>
      <c r="AF764" s="882"/>
      <c r="AG764" s="882"/>
      <c r="AH764" s="882"/>
      <c r="AI764" s="882"/>
      <c r="AJ764" s="882"/>
      <c r="AK764" s="882"/>
    </row>
    <row r="765" spans="1:37" s="890" customFormat="1">
      <c r="A765" s="882"/>
      <c r="B765" s="891"/>
      <c r="C765" s="882"/>
      <c r="D765" s="883"/>
      <c r="E765" s="884"/>
      <c r="F765" s="885" t="str">
        <f>IFERROR(VLOOKUP(Table2[[#This Row],[Player No]],Table10[[No]:[Province]],3,0),"")</f>
        <v/>
      </c>
      <c r="G765" s="892">
        <v>0</v>
      </c>
      <c r="H765" s="886">
        <f>(Table2[[#This Row],[Points 2025]]/2)+SUM(Table2[[#This Row],[O1  ADMIN 2026]:[P2    CAPE TOWN OPEN 2026 ]])</f>
        <v>0</v>
      </c>
      <c r="I765" s="880">
        <f t="shared" si="69"/>
        <v>0</v>
      </c>
      <c r="J765" s="882">
        <f t="shared" si="71"/>
        <v>0</v>
      </c>
      <c r="K765" s="887" t="str">
        <f>IFERROR(VALUE(IF(Table2[[#This Row],[Player No]]="","",IFERROR(VLOOKUP(Table2[[#This Row],[Player No]],[3]Men!$D$2:$E$48,2,FALSE)&amp;"",""))),"")</f>
        <v/>
      </c>
      <c r="L765" s="887" t="str">
        <f>IFERROR(VALUE(IF(Table2[[#This Row],[Player No]]="","",IFERROR(VLOOKUP(Table2[[#This Row],[Player No]],[4]Men!$Z$14:$AB$62,2,FALSE)&amp;"",""))),"")</f>
        <v/>
      </c>
      <c r="M765" s="887"/>
      <c r="N765" s="887"/>
      <c r="O765" s="882"/>
      <c r="P765" s="882"/>
      <c r="Q765" s="888"/>
      <c r="R765" s="888"/>
      <c r="S765" s="888"/>
      <c r="T765" s="888"/>
      <c r="U765" s="882"/>
      <c r="V765" s="887"/>
      <c r="W765" s="888"/>
      <c r="X765" s="888"/>
      <c r="Y765" s="888"/>
      <c r="Z765" s="882"/>
      <c r="AA765" s="882"/>
      <c r="AB765" s="882"/>
      <c r="AC765" s="882"/>
      <c r="AD765" s="882"/>
      <c r="AE765" s="882"/>
      <c r="AF765" s="882"/>
      <c r="AG765" s="882"/>
      <c r="AH765" s="882"/>
      <c r="AI765" s="882"/>
      <c r="AJ765" s="882"/>
      <c r="AK765" s="882"/>
    </row>
    <row r="766" spans="1:37" s="890" customFormat="1">
      <c r="A766" s="882"/>
      <c r="B766" s="891"/>
      <c r="C766" s="882"/>
      <c r="D766" s="883"/>
      <c r="E766" s="884"/>
      <c r="F766" s="885" t="str">
        <f>IFERROR(VLOOKUP(Table2[[#This Row],[Player No]],Table10[[No]:[Province]],3,0),"")</f>
        <v/>
      </c>
      <c r="G766" s="892">
        <v>0</v>
      </c>
      <c r="H766" s="886">
        <f>(Table2[[#This Row],[Points 2025]]/2)+SUM(Table2[[#This Row],[O1  ADMIN 2026]:[P2    CAPE TOWN OPEN 2026 ]])</f>
        <v>0</v>
      </c>
      <c r="I766" s="880">
        <f t="shared" si="69"/>
        <v>0</v>
      </c>
      <c r="J766" s="882">
        <f t="shared" si="71"/>
        <v>0</v>
      </c>
      <c r="K766" s="887" t="str">
        <f>IFERROR(VALUE(IF(Table2[[#This Row],[Player No]]="","",IFERROR(VLOOKUP(Table2[[#This Row],[Player No]],[3]Men!$D$2:$E$48,2,FALSE)&amp;"",""))),"")</f>
        <v/>
      </c>
      <c r="L766" s="887" t="str">
        <f>IFERROR(VALUE(IF(Table2[[#This Row],[Player No]]="","",IFERROR(VLOOKUP(Table2[[#This Row],[Player No]],[4]Men!$Z$14:$AB$62,2,FALSE)&amp;"",""))),"")</f>
        <v/>
      </c>
      <c r="M766" s="887"/>
      <c r="N766" s="887"/>
      <c r="O766" s="882"/>
      <c r="P766" s="882"/>
      <c r="Q766" s="888"/>
      <c r="R766" s="888"/>
      <c r="S766" s="888"/>
      <c r="T766" s="888"/>
      <c r="U766" s="882"/>
      <c r="V766" s="887"/>
      <c r="W766" s="888"/>
      <c r="X766" s="888"/>
      <c r="Y766" s="888"/>
      <c r="Z766" s="882"/>
      <c r="AA766" s="882"/>
      <c r="AB766" s="882"/>
      <c r="AC766" s="882"/>
      <c r="AD766" s="882"/>
      <c r="AE766" s="882"/>
      <c r="AF766" s="882"/>
      <c r="AG766" s="882"/>
      <c r="AH766" s="882"/>
      <c r="AI766" s="882"/>
      <c r="AJ766" s="882"/>
      <c r="AK766" s="882"/>
    </row>
    <row r="767" spans="1:37" s="890" customFormat="1">
      <c r="A767" s="882"/>
      <c r="B767" s="891"/>
      <c r="C767" s="882"/>
      <c r="D767" s="883"/>
      <c r="E767" s="884"/>
      <c r="F767" s="885" t="str">
        <f>IFERROR(VLOOKUP(Table2[[#This Row],[Player No]],Table10[[No]:[Province]],3,0),"")</f>
        <v/>
      </c>
      <c r="G767" s="892">
        <v>0</v>
      </c>
      <c r="H767" s="886">
        <f>(Table2[[#This Row],[Points 2025]]/2)+SUM(Table2[[#This Row],[O1  ADMIN 2026]:[P2    CAPE TOWN OPEN 2026 ]])</f>
        <v>0</v>
      </c>
      <c r="I767" s="880">
        <f t="shared" si="69"/>
        <v>0</v>
      </c>
      <c r="J767" s="882">
        <f t="shared" si="71"/>
        <v>0</v>
      </c>
      <c r="K767" s="887" t="str">
        <f>IFERROR(VALUE(IF(Table2[[#This Row],[Player No]]="","",IFERROR(VLOOKUP(Table2[[#This Row],[Player No]],[3]Men!$D$2:$E$48,2,FALSE)&amp;"",""))),"")</f>
        <v/>
      </c>
      <c r="L767" s="887" t="str">
        <f>IFERROR(VALUE(IF(Table2[[#This Row],[Player No]]="","",IFERROR(VLOOKUP(Table2[[#This Row],[Player No]],[4]Men!$Z$14:$AB$62,2,FALSE)&amp;"",""))),"")</f>
        <v/>
      </c>
      <c r="M767" s="887"/>
      <c r="N767" s="887"/>
      <c r="O767" s="882"/>
      <c r="P767" s="882"/>
      <c r="Q767" s="888"/>
      <c r="R767" s="888"/>
      <c r="S767" s="888"/>
      <c r="T767" s="888"/>
      <c r="U767" s="882"/>
      <c r="V767" s="887"/>
      <c r="W767" s="888"/>
      <c r="X767" s="888"/>
      <c r="Y767" s="888"/>
      <c r="Z767" s="882"/>
      <c r="AA767" s="882"/>
      <c r="AB767" s="882"/>
      <c r="AC767" s="882"/>
      <c r="AD767" s="882"/>
      <c r="AE767" s="882"/>
      <c r="AF767" s="882"/>
      <c r="AG767" s="882"/>
      <c r="AH767" s="882"/>
      <c r="AI767" s="882"/>
      <c r="AJ767" s="882"/>
      <c r="AK767" s="882"/>
    </row>
    <row r="768" spans="1:37" s="890" customFormat="1">
      <c r="A768" s="882"/>
      <c r="B768" s="891"/>
      <c r="C768" s="882"/>
      <c r="D768" s="883"/>
      <c r="E768" s="884"/>
      <c r="F768" s="885" t="str">
        <f>IFERROR(VLOOKUP(Table2[[#This Row],[Player No]],Table10[[No]:[Province]],3,0),"")</f>
        <v/>
      </c>
      <c r="G768" s="892">
        <v>0</v>
      </c>
      <c r="H768" s="886">
        <f>(Table2[[#This Row],[Points 2025]]/2)+SUM(Table2[[#This Row],[O1  ADMIN 2026]:[P2    CAPE TOWN OPEN 2026 ]])</f>
        <v>0</v>
      </c>
      <c r="I768" s="880">
        <f t="shared" si="69"/>
        <v>0</v>
      </c>
      <c r="J768" s="882">
        <f t="shared" si="71"/>
        <v>0</v>
      </c>
      <c r="K768" s="887" t="str">
        <f>IFERROR(VALUE(IF(Table2[[#This Row],[Player No]]="","",IFERROR(VLOOKUP(Table2[[#This Row],[Player No]],[3]Men!$D$2:$E$48,2,FALSE)&amp;"",""))),"")</f>
        <v/>
      </c>
      <c r="L768" s="887" t="str">
        <f>IFERROR(VALUE(IF(Table2[[#This Row],[Player No]]="","",IFERROR(VLOOKUP(Table2[[#This Row],[Player No]],[4]Men!$Z$14:$AB$62,2,FALSE)&amp;"",""))),"")</f>
        <v/>
      </c>
      <c r="M768" s="887"/>
      <c r="N768" s="887"/>
      <c r="O768" s="882"/>
      <c r="P768" s="882"/>
      <c r="Q768" s="888"/>
      <c r="R768" s="888"/>
      <c r="S768" s="888"/>
      <c r="T768" s="888"/>
      <c r="U768" s="882"/>
      <c r="V768" s="887"/>
      <c r="W768" s="888"/>
      <c r="X768" s="888"/>
      <c r="Y768" s="888"/>
      <c r="Z768" s="882"/>
      <c r="AA768" s="882"/>
      <c r="AB768" s="882"/>
      <c r="AC768" s="882"/>
      <c r="AD768" s="882"/>
      <c r="AE768" s="882"/>
      <c r="AF768" s="882"/>
      <c r="AG768" s="882"/>
      <c r="AH768" s="882"/>
      <c r="AI768" s="882"/>
      <c r="AJ768" s="882"/>
      <c r="AK768" s="882"/>
    </row>
    <row r="769" spans="1:37" s="890" customFormat="1">
      <c r="A769" s="882"/>
      <c r="B769" s="891"/>
      <c r="C769" s="882"/>
      <c r="D769" s="883"/>
      <c r="E769" s="884"/>
      <c r="F769" s="885" t="str">
        <f>IFERROR(VLOOKUP(Table2[[#This Row],[Player No]],Table10[[No]:[Province]],3,0),"")</f>
        <v/>
      </c>
      <c r="G769" s="892">
        <v>0</v>
      </c>
      <c r="H769" s="886">
        <f>(Table2[[#This Row],[Points 2025]]/2)+SUM(Table2[[#This Row],[O1  ADMIN 2026]:[P2    CAPE TOWN OPEN 2026 ]])</f>
        <v>0</v>
      </c>
      <c r="I769" s="880">
        <f t="shared" si="69"/>
        <v>0</v>
      </c>
      <c r="J769" s="882">
        <f t="shared" si="71"/>
        <v>0</v>
      </c>
      <c r="K769" s="887" t="str">
        <f>IFERROR(VALUE(IF(Table2[[#This Row],[Player No]]="","",IFERROR(VLOOKUP(Table2[[#This Row],[Player No]],[3]Men!$D$2:$E$48,2,FALSE)&amp;"",""))),"")</f>
        <v/>
      </c>
      <c r="L769" s="887" t="str">
        <f>IFERROR(VALUE(IF(Table2[[#This Row],[Player No]]="","",IFERROR(VLOOKUP(Table2[[#This Row],[Player No]],[4]Men!$Z$14:$AB$62,2,FALSE)&amp;"",""))),"")</f>
        <v/>
      </c>
      <c r="M769" s="887"/>
      <c r="N769" s="887"/>
      <c r="O769" s="882"/>
      <c r="P769" s="882"/>
      <c r="Q769" s="888"/>
      <c r="R769" s="888"/>
      <c r="S769" s="888"/>
      <c r="T769" s="888"/>
      <c r="U769" s="882"/>
      <c r="V769" s="887"/>
      <c r="W769" s="888"/>
      <c r="X769" s="888"/>
      <c r="Y769" s="888"/>
      <c r="Z769" s="882"/>
      <c r="AA769" s="882"/>
      <c r="AB769" s="882"/>
      <c r="AC769" s="882"/>
      <c r="AD769" s="882"/>
      <c r="AE769" s="882"/>
      <c r="AF769" s="882"/>
      <c r="AG769" s="882"/>
      <c r="AH769" s="882"/>
      <c r="AI769" s="882"/>
      <c r="AJ769" s="882"/>
      <c r="AK769" s="882"/>
    </row>
    <row r="770" spans="1:37" s="890" customFormat="1">
      <c r="A770" s="882"/>
      <c r="B770" s="891"/>
      <c r="C770" s="882"/>
      <c r="D770" s="883"/>
      <c r="E770" s="884"/>
      <c r="F770" s="885" t="str">
        <f>IFERROR(VLOOKUP(Table2[[#This Row],[Player No]],Table10[[No]:[Province]],3,0),"")</f>
        <v/>
      </c>
      <c r="G770" s="892">
        <v>0</v>
      </c>
      <c r="H770" s="886">
        <f>(Table2[[#This Row],[Points 2025]]/2)+SUM(Table2[[#This Row],[O1  ADMIN 2026]:[P2    CAPE TOWN OPEN 2026 ]])</f>
        <v>0</v>
      </c>
      <c r="I770" s="880">
        <f t="shared" si="69"/>
        <v>0</v>
      </c>
      <c r="J770" s="882">
        <f t="shared" si="71"/>
        <v>0</v>
      </c>
      <c r="K770" s="887" t="str">
        <f>IFERROR(VALUE(IF(Table2[[#This Row],[Player No]]="","",IFERROR(VLOOKUP(Table2[[#This Row],[Player No]],[3]Men!$D$2:$E$48,2,FALSE)&amp;"",""))),"")</f>
        <v/>
      </c>
      <c r="L770" s="887" t="str">
        <f>IFERROR(VALUE(IF(Table2[[#This Row],[Player No]]="","",IFERROR(VLOOKUP(Table2[[#This Row],[Player No]],[4]Men!$Z$14:$AB$62,2,FALSE)&amp;"",""))),"")</f>
        <v/>
      </c>
      <c r="M770" s="887"/>
      <c r="N770" s="887"/>
      <c r="O770" s="882"/>
      <c r="P770" s="882"/>
      <c r="Q770" s="888"/>
      <c r="R770" s="888"/>
      <c r="S770" s="888"/>
      <c r="T770" s="888"/>
      <c r="U770" s="882"/>
      <c r="V770" s="887"/>
      <c r="W770" s="888"/>
      <c r="X770" s="888"/>
      <c r="Y770" s="888"/>
      <c r="Z770" s="882"/>
      <c r="AA770" s="882"/>
      <c r="AB770" s="882"/>
      <c r="AC770" s="882"/>
      <c r="AD770" s="882"/>
      <c r="AE770" s="882"/>
      <c r="AF770" s="882"/>
      <c r="AG770" s="882"/>
      <c r="AH770" s="882"/>
      <c r="AI770" s="882"/>
      <c r="AJ770" s="882"/>
      <c r="AK770" s="882"/>
    </row>
    <row r="771" spans="1:37" s="890" customFormat="1">
      <c r="A771" s="882"/>
      <c r="B771" s="891"/>
      <c r="C771" s="882"/>
      <c r="D771" s="883"/>
      <c r="E771" s="884"/>
      <c r="F771" s="885" t="str">
        <f>IFERROR(VLOOKUP(Table2[[#This Row],[Player No]],Table10[[No]:[Province]],3,0),"")</f>
        <v/>
      </c>
      <c r="G771" s="892">
        <v>0</v>
      </c>
      <c r="H771" s="886">
        <f>(Table2[[#This Row],[Points 2025]]/2)+SUM(Table2[[#This Row],[O1  ADMIN 2026]:[P2    CAPE TOWN OPEN 2026 ]])</f>
        <v>0</v>
      </c>
      <c r="I771" s="880">
        <f t="shared" si="69"/>
        <v>0</v>
      </c>
      <c r="J771" s="882">
        <f t="shared" si="71"/>
        <v>0</v>
      </c>
      <c r="K771" s="887" t="str">
        <f>IFERROR(VALUE(IF(Table2[[#This Row],[Player No]]="","",IFERROR(VLOOKUP(Table2[[#This Row],[Player No]],[3]Men!$D$2:$E$48,2,FALSE)&amp;"",""))),"")</f>
        <v/>
      </c>
      <c r="L771" s="887" t="str">
        <f>IFERROR(VALUE(IF(Table2[[#This Row],[Player No]]="","",IFERROR(VLOOKUP(Table2[[#This Row],[Player No]],[4]Men!$Z$14:$AB$62,2,FALSE)&amp;"",""))),"")</f>
        <v/>
      </c>
      <c r="M771" s="887"/>
      <c r="N771" s="887"/>
      <c r="O771" s="882"/>
      <c r="P771" s="882"/>
      <c r="Q771" s="888"/>
      <c r="R771" s="888"/>
      <c r="S771" s="888"/>
      <c r="T771" s="888"/>
      <c r="U771" s="882"/>
      <c r="V771" s="887"/>
      <c r="W771" s="888"/>
      <c r="X771" s="888"/>
      <c r="Y771" s="888"/>
      <c r="Z771" s="882"/>
      <c r="AA771" s="882"/>
      <c r="AB771" s="882"/>
      <c r="AC771" s="882"/>
      <c r="AD771" s="882"/>
      <c r="AE771" s="882"/>
      <c r="AF771" s="882"/>
      <c r="AG771" s="882"/>
      <c r="AH771" s="882"/>
      <c r="AI771" s="882"/>
      <c r="AJ771" s="882"/>
      <c r="AK771" s="882"/>
    </row>
    <row r="772" spans="1:37" s="890" customFormat="1">
      <c r="A772" s="882"/>
      <c r="B772" s="891"/>
      <c r="C772" s="882"/>
      <c r="D772" s="883"/>
      <c r="E772" s="884"/>
      <c r="F772" s="885" t="str">
        <f>IFERROR(VLOOKUP(Table2[[#This Row],[Player No]],Table10[[No]:[Province]],3,0),"")</f>
        <v/>
      </c>
      <c r="G772" s="892">
        <v>0</v>
      </c>
      <c r="H772" s="886">
        <f>(Table2[[#This Row],[Points 2025]]/2)+SUM(Table2[[#This Row],[O1  ADMIN 2026]:[P2    CAPE TOWN OPEN 2026 ]])</f>
        <v>0</v>
      </c>
      <c r="I772" s="880">
        <f t="shared" si="69"/>
        <v>0</v>
      </c>
      <c r="J772" s="882">
        <f t="shared" si="71"/>
        <v>0</v>
      </c>
      <c r="K772" s="887" t="str">
        <f>IFERROR(VALUE(IF(Table2[[#This Row],[Player No]]="","",IFERROR(VLOOKUP(Table2[[#This Row],[Player No]],[3]Men!$D$2:$E$48,2,FALSE)&amp;"",""))),"")</f>
        <v/>
      </c>
      <c r="L772" s="887" t="str">
        <f>IFERROR(VALUE(IF(Table2[[#This Row],[Player No]]="","",IFERROR(VLOOKUP(Table2[[#This Row],[Player No]],[4]Men!$Z$14:$AB$62,2,FALSE)&amp;"",""))),"")</f>
        <v/>
      </c>
      <c r="M772" s="887"/>
      <c r="N772" s="887"/>
      <c r="O772" s="882"/>
      <c r="P772" s="882"/>
      <c r="Q772" s="888"/>
      <c r="R772" s="888"/>
      <c r="S772" s="888"/>
      <c r="T772" s="888"/>
      <c r="U772" s="882"/>
      <c r="V772" s="887"/>
      <c r="W772" s="888"/>
      <c r="X772" s="888"/>
      <c r="Y772" s="888"/>
      <c r="Z772" s="882"/>
      <c r="AA772" s="882"/>
      <c r="AB772" s="882"/>
      <c r="AC772" s="882"/>
      <c r="AD772" s="882"/>
      <c r="AE772" s="882"/>
      <c r="AF772" s="882"/>
      <c r="AG772" s="882"/>
      <c r="AH772" s="882"/>
      <c r="AI772" s="882"/>
      <c r="AJ772" s="882"/>
      <c r="AK772" s="882"/>
    </row>
    <row r="773" spans="1:37" s="890" customFormat="1">
      <c r="A773" s="882"/>
      <c r="B773" s="891"/>
      <c r="C773" s="882"/>
      <c r="D773" s="883"/>
      <c r="E773" s="884"/>
      <c r="F773" s="885" t="str">
        <f>IFERROR(VLOOKUP(Table2[[#This Row],[Player No]],Table10[[No]:[Province]],3,0),"")</f>
        <v/>
      </c>
      <c r="G773" s="892">
        <v>0</v>
      </c>
      <c r="H773" s="886">
        <f>(Table2[[#This Row],[Points 2025]]/2)+SUM(Table2[[#This Row],[O1  ADMIN 2026]:[P2    CAPE TOWN OPEN 2026 ]])</f>
        <v>0</v>
      </c>
      <c r="I773" s="880">
        <f t="shared" ref="I773:I836" si="73">COUNTIF(K773:N773,"&gt;0")</f>
        <v>0</v>
      </c>
      <c r="J773" s="882">
        <f t="shared" si="71"/>
        <v>0</v>
      </c>
      <c r="K773" s="887" t="str">
        <f>IFERROR(VALUE(IF(Table2[[#This Row],[Player No]]="","",IFERROR(VLOOKUP(Table2[[#This Row],[Player No]],[3]Men!$D$2:$E$48,2,FALSE)&amp;"",""))),"")</f>
        <v/>
      </c>
      <c r="L773" s="887" t="str">
        <f>IFERROR(VALUE(IF(Table2[[#This Row],[Player No]]="","",IFERROR(VLOOKUP(Table2[[#This Row],[Player No]],[4]Men!$Z$14:$AB$62,2,FALSE)&amp;"",""))),"")</f>
        <v/>
      </c>
      <c r="M773" s="887"/>
      <c r="N773" s="887"/>
      <c r="O773" s="882"/>
      <c r="P773" s="882"/>
      <c r="Q773" s="888"/>
      <c r="R773" s="888"/>
      <c r="S773" s="888"/>
      <c r="T773" s="888"/>
      <c r="U773" s="882"/>
      <c r="V773" s="887"/>
      <c r="W773" s="888"/>
      <c r="X773" s="888"/>
      <c r="Y773" s="888"/>
      <c r="Z773" s="882"/>
      <c r="AA773" s="882"/>
      <c r="AB773" s="882"/>
      <c r="AC773" s="882"/>
      <c r="AD773" s="882"/>
      <c r="AE773" s="882"/>
      <c r="AF773" s="882"/>
      <c r="AG773" s="882"/>
      <c r="AH773" s="882"/>
      <c r="AI773" s="882"/>
      <c r="AJ773" s="882"/>
      <c r="AK773" s="882"/>
    </row>
    <row r="774" spans="1:37" s="890" customFormat="1">
      <c r="A774" s="882"/>
      <c r="B774" s="891"/>
      <c r="C774" s="882"/>
      <c r="D774" s="883"/>
      <c r="E774" s="884"/>
      <c r="F774" s="885" t="str">
        <f>IFERROR(VLOOKUP(Table2[[#This Row],[Player No]],Table10[[No]:[Province]],3,0),"")</f>
        <v/>
      </c>
      <c r="G774" s="892">
        <v>0</v>
      </c>
      <c r="H774" s="886">
        <f>(Table2[[#This Row],[Points 2025]]/2)+SUM(Table2[[#This Row],[O1  ADMIN 2026]:[P2    CAPE TOWN OPEN 2026 ]])</f>
        <v>0</v>
      </c>
      <c r="I774" s="880">
        <f t="shared" si="73"/>
        <v>0</v>
      </c>
      <c r="J774" s="882">
        <f t="shared" si="71"/>
        <v>0</v>
      </c>
      <c r="K774" s="887" t="str">
        <f>IFERROR(VALUE(IF(Table2[[#This Row],[Player No]]="","",IFERROR(VLOOKUP(Table2[[#This Row],[Player No]],[3]Men!$D$2:$E$48,2,FALSE)&amp;"",""))),"")</f>
        <v/>
      </c>
      <c r="L774" s="887" t="str">
        <f>IFERROR(VALUE(IF(Table2[[#This Row],[Player No]]="","",IFERROR(VLOOKUP(Table2[[#This Row],[Player No]],[4]Men!$Z$14:$AB$62,2,FALSE)&amp;"",""))),"")</f>
        <v/>
      </c>
      <c r="M774" s="887"/>
      <c r="N774" s="887"/>
      <c r="O774" s="882"/>
      <c r="P774" s="882"/>
      <c r="Q774" s="888"/>
      <c r="R774" s="888"/>
      <c r="S774" s="888"/>
      <c r="T774" s="888"/>
      <c r="U774" s="882"/>
      <c r="V774" s="887"/>
      <c r="W774" s="888"/>
      <c r="X774" s="888"/>
      <c r="Y774" s="888"/>
      <c r="Z774" s="882"/>
      <c r="AA774" s="882"/>
      <c r="AB774" s="882"/>
      <c r="AC774" s="882"/>
      <c r="AD774" s="882"/>
      <c r="AE774" s="882"/>
      <c r="AF774" s="882"/>
      <c r="AG774" s="882"/>
      <c r="AH774" s="882"/>
      <c r="AI774" s="882"/>
      <c r="AJ774" s="882"/>
      <c r="AK774" s="882"/>
    </row>
    <row r="775" spans="1:37" s="890" customFormat="1">
      <c r="A775" s="882"/>
      <c r="B775" s="891"/>
      <c r="C775" s="882"/>
      <c r="D775" s="883"/>
      <c r="E775" s="884"/>
      <c r="F775" s="885" t="str">
        <f>IFERROR(VLOOKUP(Table2[[#This Row],[Player No]],Table10[[No]:[Province]],3,0),"")</f>
        <v/>
      </c>
      <c r="G775" s="892">
        <v>0</v>
      </c>
      <c r="H775" s="886">
        <f>(Table2[[#This Row],[Points 2025]]/2)+SUM(Table2[[#This Row],[O1  ADMIN 2026]:[P2    CAPE TOWN OPEN 2026 ]])</f>
        <v>0</v>
      </c>
      <c r="I775" s="880">
        <f t="shared" si="73"/>
        <v>0</v>
      </c>
      <c r="J775" s="882">
        <f t="shared" si="71"/>
        <v>0</v>
      </c>
      <c r="K775" s="887" t="str">
        <f>IFERROR(VALUE(IF(Table2[[#This Row],[Player No]]="","",IFERROR(VLOOKUP(Table2[[#This Row],[Player No]],[3]Men!$D$2:$E$48,2,FALSE)&amp;"",""))),"")</f>
        <v/>
      </c>
      <c r="L775" s="887" t="str">
        <f>IFERROR(VALUE(IF(Table2[[#This Row],[Player No]]="","",IFERROR(VLOOKUP(Table2[[#This Row],[Player No]],[4]Men!$Z$14:$AB$62,2,FALSE)&amp;"",""))),"")</f>
        <v/>
      </c>
      <c r="M775" s="887"/>
      <c r="N775" s="887"/>
      <c r="O775" s="882"/>
      <c r="P775" s="882"/>
      <c r="Q775" s="888"/>
      <c r="R775" s="888"/>
      <c r="S775" s="888"/>
      <c r="T775" s="888"/>
      <c r="U775" s="882"/>
      <c r="V775" s="887"/>
      <c r="W775" s="888"/>
      <c r="X775" s="888"/>
      <c r="Y775" s="888"/>
      <c r="Z775" s="882"/>
      <c r="AA775" s="882"/>
      <c r="AB775" s="882"/>
      <c r="AC775" s="882"/>
      <c r="AD775" s="882"/>
      <c r="AE775" s="882"/>
      <c r="AF775" s="882"/>
      <c r="AG775" s="882"/>
      <c r="AH775" s="882"/>
      <c r="AI775" s="882"/>
      <c r="AJ775" s="882"/>
      <c r="AK775" s="882"/>
    </row>
    <row r="776" spans="1:37" s="890" customFormat="1">
      <c r="A776" s="882"/>
      <c r="B776" s="891"/>
      <c r="C776" s="882"/>
      <c r="D776" s="883"/>
      <c r="E776" s="884"/>
      <c r="F776" s="885" t="str">
        <f>IFERROR(VLOOKUP(Table2[[#This Row],[Player No]],Table10[[No]:[Province]],3,0),"")</f>
        <v/>
      </c>
      <c r="G776" s="892">
        <v>0</v>
      </c>
      <c r="H776" s="886">
        <f>(Table2[[#This Row],[Points 2025]]/2)+SUM(Table2[[#This Row],[O1  ADMIN 2026]:[P2    CAPE TOWN OPEN 2026 ]])</f>
        <v>0</v>
      </c>
      <c r="I776" s="880">
        <f t="shared" si="73"/>
        <v>0</v>
      </c>
      <c r="J776" s="882">
        <f t="shared" si="71"/>
        <v>0</v>
      </c>
      <c r="K776" s="887" t="str">
        <f>IFERROR(VALUE(IF(Table2[[#This Row],[Player No]]="","",IFERROR(VLOOKUP(Table2[[#This Row],[Player No]],[3]Men!$D$2:$E$48,2,FALSE)&amp;"",""))),"")</f>
        <v/>
      </c>
      <c r="L776" s="887" t="str">
        <f>IFERROR(VALUE(IF(Table2[[#This Row],[Player No]]="","",IFERROR(VLOOKUP(Table2[[#This Row],[Player No]],[4]Men!$Z$14:$AB$62,2,FALSE)&amp;"",""))),"")</f>
        <v/>
      </c>
      <c r="M776" s="887"/>
      <c r="N776" s="887"/>
      <c r="O776" s="882"/>
      <c r="P776" s="882"/>
      <c r="Q776" s="888"/>
      <c r="R776" s="888"/>
      <c r="S776" s="888"/>
      <c r="T776" s="888"/>
      <c r="U776" s="882"/>
      <c r="V776" s="887"/>
      <c r="W776" s="888"/>
      <c r="X776" s="888"/>
      <c r="Y776" s="888"/>
      <c r="Z776" s="882"/>
      <c r="AA776" s="882"/>
      <c r="AB776" s="882"/>
      <c r="AC776" s="882"/>
      <c r="AD776" s="882"/>
      <c r="AE776" s="882"/>
      <c r="AF776" s="882"/>
      <c r="AG776" s="882"/>
      <c r="AH776" s="882"/>
      <c r="AI776" s="882"/>
      <c r="AJ776" s="882"/>
      <c r="AK776" s="882"/>
    </row>
    <row r="777" spans="1:37" s="890" customFormat="1">
      <c r="A777" s="882"/>
      <c r="B777" s="891"/>
      <c r="C777" s="882"/>
      <c r="D777" s="883"/>
      <c r="E777" s="884"/>
      <c r="F777" s="885" t="str">
        <f>IFERROR(VLOOKUP(Table2[[#This Row],[Player No]],Table10[[No]:[Province]],3,0),"")</f>
        <v/>
      </c>
      <c r="G777" s="892">
        <v>0</v>
      </c>
      <c r="H777" s="886">
        <f>(Table2[[#This Row],[Points 2025]]/2)+SUM(Table2[[#This Row],[O1  ADMIN 2026]:[P2    CAPE TOWN OPEN 2026 ]])</f>
        <v>0</v>
      </c>
      <c r="I777" s="880">
        <f t="shared" si="73"/>
        <v>0</v>
      </c>
      <c r="J777" s="882">
        <f t="shared" si="71"/>
        <v>0</v>
      </c>
      <c r="K777" s="887" t="str">
        <f>IFERROR(VALUE(IF(Table2[[#This Row],[Player No]]="","",IFERROR(VLOOKUP(Table2[[#This Row],[Player No]],[3]Men!$D$2:$E$48,2,FALSE)&amp;"",""))),"")</f>
        <v/>
      </c>
      <c r="L777" s="887" t="str">
        <f>IFERROR(VALUE(IF(Table2[[#This Row],[Player No]]="","",IFERROR(VLOOKUP(Table2[[#This Row],[Player No]],[4]Men!$Z$14:$AB$62,2,FALSE)&amp;"",""))),"")</f>
        <v/>
      </c>
      <c r="M777" s="887"/>
      <c r="N777" s="887"/>
      <c r="O777" s="882"/>
      <c r="P777" s="882"/>
      <c r="Q777" s="888"/>
      <c r="R777" s="888"/>
      <c r="S777" s="888"/>
      <c r="T777" s="888"/>
      <c r="U777" s="882"/>
      <c r="V777" s="887"/>
      <c r="W777" s="888"/>
      <c r="X777" s="888"/>
      <c r="Y777" s="888"/>
      <c r="Z777" s="882"/>
      <c r="AA777" s="882"/>
      <c r="AB777" s="882"/>
      <c r="AC777" s="882"/>
      <c r="AD777" s="882"/>
      <c r="AE777" s="882"/>
      <c r="AF777" s="882"/>
      <c r="AG777" s="882"/>
      <c r="AH777" s="882"/>
      <c r="AI777" s="882"/>
      <c r="AJ777" s="882"/>
      <c r="AK777" s="882"/>
    </row>
    <row r="778" spans="1:37" s="890" customFormat="1">
      <c r="A778" s="882"/>
      <c r="B778" s="891"/>
      <c r="C778" s="882"/>
      <c r="D778" s="883"/>
      <c r="E778" s="884"/>
      <c r="F778" s="885" t="str">
        <f>IFERROR(VLOOKUP(Table2[[#This Row],[Player No]],Table10[[No]:[Province]],3,0),"")</f>
        <v/>
      </c>
      <c r="G778" s="892">
        <v>0</v>
      </c>
      <c r="H778" s="886">
        <f>(Table2[[#This Row],[Points 2025]]/2)+SUM(Table2[[#This Row],[O1  ADMIN 2026]:[P2    CAPE TOWN OPEN 2026 ]])</f>
        <v>0</v>
      </c>
      <c r="I778" s="880">
        <f t="shared" si="73"/>
        <v>0</v>
      </c>
      <c r="J778" s="882">
        <f t="shared" si="71"/>
        <v>0</v>
      </c>
      <c r="K778" s="887" t="str">
        <f>IFERROR(VALUE(IF(Table2[[#This Row],[Player No]]="","",IFERROR(VLOOKUP(Table2[[#This Row],[Player No]],[3]Men!$D$2:$E$48,2,FALSE)&amp;"",""))),"")</f>
        <v/>
      </c>
      <c r="L778" s="887" t="str">
        <f>IFERROR(VALUE(IF(Table2[[#This Row],[Player No]]="","",IFERROR(VLOOKUP(Table2[[#This Row],[Player No]],[4]Men!$Z$14:$AB$62,2,FALSE)&amp;"",""))),"")</f>
        <v/>
      </c>
      <c r="M778" s="887"/>
      <c r="N778" s="887"/>
      <c r="O778" s="882"/>
      <c r="P778" s="882"/>
      <c r="Q778" s="888"/>
      <c r="R778" s="888"/>
      <c r="S778" s="888"/>
      <c r="T778" s="888"/>
      <c r="U778" s="882"/>
      <c r="V778" s="887"/>
      <c r="W778" s="888"/>
      <c r="X778" s="888"/>
      <c r="Y778" s="888"/>
      <c r="Z778" s="882"/>
      <c r="AA778" s="882"/>
      <c r="AB778" s="882"/>
      <c r="AC778" s="882"/>
      <c r="AD778" s="882"/>
      <c r="AE778" s="882"/>
      <c r="AF778" s="882"/>
      <c r="AG778" s="882"/>
      <c r="AH778" s="882"/>
      <c r="AI778" s="882"/>
      <c r="AJ778" s="882"/>
      <c r="AK778" s="882"/>
    </row>
    <row r="779" spans="1:37" s="890" customFormat="1">
      <c r="A779" s="882"/>
      <c r="B779" s="891"/>
      <c r="C779" s="882"/>
      <c r="D779" s="883"/>
      <c r="E779" s="884"/>
      <c r="F779" s="885" t="str">
        <f>IFERROR(VLOOKUP(Table2[[#This Row],[Player No]],Table10[[No]:[Province]],3,0),"")</f>
        <v/>
      </c>
      <c r="G779" s="892">
        <v>0</v>
      </c>
      <c r="H779" s="886">
        <f>(Table2[[#This Row],[Points 2025]]/2)+SUM(Table2[[#This Row],[O1  ADMIN 2026]:[P2    CAPE TOWN OPEN 2026 ]])</f>
        <v>0</v>
      </c>
      <c r="I779" s="880">
        <f t="shared" si="73"/>
        <v>0</v>
      </c>
      <c r="J779" s="882">
        <f t="shared" si="71"/>
        <v>0</v>
      </c>
      <c r="K779" s="887" t="str">
        <f>IFERROR(VALUE(IF(Table2[[#This Row],[Player No]]="","",IFERROR(VLOOKUP(Table2[[#This Row],[Player No]],[3]Men!$D$2:$E$48,2,FALSE)&amp;"",""))),"")</f>
        <v/>
      </c>
      <c r="L779" s="887" t="str">
        <f>IFERROR(VALUE(IF(Table2[[#This Row],[Player No]]="","",IFERROR(VLOOKUP(Table2[[#This Row],[Player No]],[4]Men!$Z$14:$AB$62,2,FALSE)&amp;"",""))),"")</f>
        <v/>
      </c>
      <c r="M779" s="887"/>
      <c r="N779" s="887"/>
      <c r="O779" s="882"/>
      <c r="P779" s="882"/>
      <c r="Q779" s="888"/>
      <c r="R779" s="888"/>
      <c r="S779" s="888"/>
      <c r="T779" s="888"/>
      <c r="U779" s="882"/>
      <c r="V779" s="887"/>
      <c r="W779" s="888"/>
      <c r="X779" s="888"/>
      <c r="Y779" s="888"/>
      <c r="Z779" s="882"/>
      <c r="AA779" s="882"/>
      <c r="AB779" s="882"/>
      <c r="AC779" s="882"/>
      <c r="AD779" s="882"/>
      <c r="AE779" s="882"/>
      <c r="AF779" s="882"/>
      <c r="AG779" s="882"/>
      <c r="AH779" s="882"/>
      <c r="AI779" s="882"/>
      <c r="AJ779" s="882"/>
      <c r="AK779" s="882"/>
    </row>
    <row r="780" spans="1:37" s="890" customFormat="1">
      <c r="A780" s="882"/>
      <c r="B780" s="891"/>
      <c r="C780" s="882"/>
      <c r="D780" s="883"/>
      <c r="E780" s="884"/>
      <c r="F780" s="885" t="str">
        <f>IFERROR(VLOOKUP(Table2[[#This Row],[Player No]],Table10[[No]:[Province]],3,0),"")</f>
        <v/>
      </c>
      <c r="G780" s="892">
        <v>0</v>
      </c>
      <c r="H780" s="886">
        <f>(Table2[[#This Row],[Points 2025]]/2)+SUM(Table2[[#This Row],[O1  ADMIN 2026]:[P2    CAPE TOWN OPEN 2026 ]])</f>
        <v>0</v>
      </c>
      <c r="I780" s="880">
        <f t="shared" si="73"/>
        <v>0</v>
      </c>
      <c r="J780" s="882">
        <f t="shared" si="71"/>
        <v>0</v>
      </c>
      <c r="K780" s="887" t="str">
        <f>IFERROR(VALUE(IF(Table2[[#This Row],[Player No]]="","",IFERROR(VLOOKUP(Table2[[#This Row],[Player No]],[3]Men!$D$2:$E$48,2,FALSE)&amp;"",""))),"")</f>
        <v/>
      </c>
      <c r="L780" s="887" t="str">
        <f>IFERROR(VALUE(IF(Table2[[#This Row],[Player No]]="","",IFERROR(VLOOKUP(Table2[[#This Row],[Player No]],[4]Men!$Z$14:$AB$62,2,FALSE)&amp;"",""))),"")</f>
        <v/>
      </c>
      <c r="M780" s="887"/>
      <c r="N780" s="887"/>
      <c r="O780" s="882"/>
      <c r="P780" s="882"/>
      <c r="Q780" s="888"/>
      <c r="R780" s="888"/>
      <c r="S780" s="888"/>
      <c r="T780" s="888"/>
      <c r="U780" s="882"/>
      <c r="V780" s="887"/>
      <c r="W780" s="888"/>
      <c r="X780" s="888"/>
      <c r="Y780" s="888"/>
      <c r="Z780" s="882"/>
      <c r="AA780" s="882"/>
      <c r="AB780" s="882"/>
      <c r="AC780" s="882"/>
      <c r="AD780" s="882"/>
      <c r="AE780" s="882"/>
      <c r="AF780" s="882"/>
      <c r="AG780" s="882"/>
      <c r="AH780" s="882"/>
      <c r="AI780" s="882"/>
      <c r="AJ780" s="882"/>
      <c r="AK780" s="882"/>
    </row>
    <row r="781" spans="1:37" s="890" customFormat="1">
      <c r="A781" s="882"/>
      <c r="B781" s="891"/>
      <c r="C781" s="882"/>
      <c r="D781" s="883"/>
      <c r="E781" s="884"/>
      <c r="F781" s="885" t="str">
        <f>IFERROR(VLOOKUP(Table2[[#This Row],[Player No]],Table10[[No]:[Province]],3,0),"")</f>
        <v/>
      </c>
      <c r="G781" s="892">
        <v>0</v>
      </c>
      <c r="H781" s="886">
        <f>(Table2[[#This Row],[Points 2025]]/2)+SUM(Table2[[#This Row],[O1  ADMIN 2026]:[P2    CAPE TOWN OPEN 2026 ]])</f>
        <v>0</v>
      </c>
      <c r="I781" s="880">
        <f t="shared" si="73"/>
        <v>0</v>
      </c>
      <c r="J781" s="882">
        <f t="shared" si="71"/>
        <v>0</v>
      </c>
      <c r="K781" s="887" t="str">
        <f>IFERROR(VALUE(IF(Table2[[#This Row],[Player No]]="","",IFERROR(VLOOKUP(Table2[[#This Row],[Player No]],[3]Men!$D$2:$E$48,2,FALSE)&amp;"",""))),"")</f>
        <v/>
      </c>
      <c r="L781" s="887" t="str">
        <f>IFERROR(VALUE(IF(Table2[[#This Row],[Player No]]="","",IFERROR(VLOOKUP(Table2[[#This Row],[Player No]],[4]Men!$Z$14:$AB$62,2,FALSE)&amp;"",""))),"")</f>
        <v/>
      </c>
      <c r="M781" s="887"/>
      <c r="N781" s="887"/>
      <c r="O781" s="882"/>
      <c r="P781" s="882"/>
      <c r="Q781" s="888"/>
      <c r="R781" s="888"/>
      <c r="S781" s="888"/>
      <c r="T781" s="888"/>
      <c r="U781" s="882"/>
      <c r="V781" s="887"/>
      <c r="W781" s="888"/>
      <c r="X781" s="888"/>
      <c r="Y781" s="888"/>
      <c r="Z781" s="882"/>
      <c r="AA781" s="882"/>
      <c r="AB781" s="882"/>
      <c r="AC781" s="882"/>
      <c r="AD781" s="882"/>
      <c r="AE781" s="882"/>
      <c r="AF781" s="882"/>
      <c r="AG781" s="882"/>
      <c r="AH781" s="882"/>
      <c r="AI781" s="882"/>
      <c r="AJ781" s="882"/>
      <c r="AK781" s="882"/>
    </row>
    <row r="782" spans="1:37" s="890" customFormat="1">
      <c r="A782" s="882"/>
      <c r="B782" s="891"/>
      <c r="C782" s="882"/>
      <c r="D782" s="883"/>
      <c r="E782" s="884"/>
      <c r="F782" s="885" t="str">
        <f>IFERROR(VLOOKUP(Table2[[#This Row],[Player No]],Table10[[No]:[Province]],3,0),"")</f>
        <v/>
      </c>
      <c r="G782" s="892">
        <v>0</v>
      </c>
      <c r="H782" s="886">
        <f>(Table2[[#This Row],[Points 2025]]/2)+SUM(Table2[[#This Row],[O1  ADMIN 2026]:[P2    CAPE TOWN OPEN 2026 ]])</f>
        <v>0</v>
      </c>
      <c r="I782" s="880">
        <f t="shared" si="73"/>
        <v>0</v>
      </c>
      <c r="J782" s="882">
        <f t="shared" si="71"/>
        <v>0</v>
      </c>
      <c r="K782" s="887" t="str">
        <f>IFERROR(VALUE(IF(Table2[[#This Row],[Player No]]="","",IFERROR(VLOOKUP(Table2[[#This Row],[Player No]],[3]Men!$D$2:$E$48,2,FALSE)&amp;"",""))),"")</f>
        <v/>
      </c>
      <c r="L782" s="887" t="str">
        <f>IFERROR(VALUE(IF(Table2[[#This Row],[Player No]]="","",IFERROR(VLOOKUP(Table2[[#This Row],[Player No]],[4]Men!$Z$14:$AB$62,2,FALSE)&amp;"",""))),"")</f>
        <v/>
      </c>
      <c r="M782" s="887"/>
      <c r="N782" s="887"/>
      <c r="O782" s="882"/>
      <c r="P782" s="882"/>
      <c r="Q782" s="888"/>
      <c r="R782" s="888"/>
      <c r="S782" s="888"/>
      <c r="T782" s="888"/>
      <c r="U782" s="882"/>
      <c r="V782" s="887"/>
      <c r="W782" s="888"/>
      <c r="X782" s="888"/>
      <c r="Y782" s="888"/>
      <c r="Z782" s="882"/>
      <c r="AA782" s="882"/>
      <c r="AB782" s="882"/>
      <c r="AC782" s="882"/>
      <c r="AD782" s="882"/>
      <c r="AE782" s="882"/>
      <c r="AF782" s="882"/>
      <c r="AG782" s="882"/>
      <c r="AH782" s="882"/>
      <c r="AI782" s="882"/>
      <c r="AJ782" s="882"/>
      <c r="AK782" s="882"/>
    </row>
    <row r="783" spans="1:37" s="890" customFormat="1">
      <c r="A783" s="882"/>
      <c r="B783" s="891"/>
      <c r="C783" s="882"/>
      <c r="D783" s="883"/>
      <c r="E783" s="884"/>
      <c r="F783" s="885" t="str">
        <f>IFERROR(VLOOKUP(Table2[[#This Row],[Player No]],Table10[[No]:[Province]],3,0),"")</f>
        <v/>
      </c>
      <c r="G783" s="892">
        <v>0</v>
      </c>
      <c r="H783" s="886">
        <f>(Table2[[#This Row],[Points 2025]]/2)+SUM(Table2[[#This Row],[O1  ADMIN 2026]:[P2    CAPE TOWN OPEN 2026 ]])</f>
        <v>0</v>
      </c>
      <c r="I783" s="880">
        <f t="shared" si="73"/>
        <v>0</v>
      </c>
      <c r="J783" s="882">
        <f t="shared" si="71"/>
        <v>0</v>
      </c>
      <c r="K783" s="887" t="str">
        <f>IFERROR(VALUE(IF(Table2[[#This Row],[Player No]]="","",IFERROR(VLOOKUP(Table2[[#This Row],[Player No]],[3]Men!$D$2:$E$48,2,FALSE)&amp;"",""))),"")</f>
        <v/>
      </c>
      <c r="L783" s="887" t="str">
        <f>IFERROR(VALUE(IF(Table2[[#This Row],[Player No]]="","",IFERROR(VLOOKUP(Table2[[#This Row],[Player No]],[4]Men!$Z$14:$AB$62,2,FALSE)&amp;"",""))),"")</f>
        <v/>
      </c>
      <c r="M783" s="887"/>
      <c r="N783" s="887"/>
      <c r="O783" s="882"/>
      <c r="P783" s="882"/>
      <c r="Q783" s="888"/>
      <c r="R783" s="888"/>
      <c r="S783" s="888"/>
      <c r="T783" s="888"/>
      <c r="U783" s="882"/>
      <c r="V783" s="887"/>
      <c r="W783" s="888"/>
      <c r="X783" s="888"/>
      <c r="Y783" s="888"/>
      <c r="Z783" s="882"/>
      <c r="AA783" s="882"/>
      <c r="AB783" s="882"/>
      <c r="AC783" s="882"/>
      <c r="AD783" s="882"/>
      <c r="AE783" s="882"/>
      <c r="AF783" s="882"/>
      <c r="AG783" s="882"/>
      <c r="AH783" s="882"/>
      <c r="AI783" s="882"/>
      <c r="AJ783" s="882"/>
      <c r="AK783" s="882"/>
    </row>
    <row r="784" spans="1:37" s="890" customFormat="1">
      <c r="A784" s="882"/>
      <c r="B784" s="891"/>
      <c r="C784" s="882"/>
      <c r="D784" s="883"/>
      <c r="E784" s="884"/>
      <c r="F784" s="885" t="str">
        <f>IFERROR(VLOOKUP(Table2[[#This Row],[Player No]],Table10[[No]:[Province]],3,0),"")</f>
        <v/>
      </c>
      <c r="G784" s="892">
        <v>0</v>
      </c>
      <c r="H784" s="886">
        <f>(Table2[[#This Row],[Points 2025]]/2)+SUM(Table2[[#This Row],[O1  ADMIN 2026]:[P2    CAPE TOWN OPEN 2026 ]])</f>
        <v>0</v>
      </c>
      <c r="I784" s="880">
        <f t="shared" si="73"/>
        <v>0</v>
      </c>
      <c r="J784" s="882">
        <f t="shared" si="71"/>
        <v>0</v>
      </c>
      <c r="K784" s="887" t="str">
        <f>IFERROR(VALUE(IF(Table2[[#This Row],[Player No]]="","",IFERROR(VLOOKUP(Table2[[#This Row],[Player No]],[3]Men!$D$2:$E$48,2,FALSE)&amp;"",""))),"")</f>
        <v/>
      </c>
      <c r="L784" s="887" t="str">
        <f>IFERROR(VALUE(IF(Table2[[#This Row],[Player No]]="","",IFERROR(VLOOKUP(Table2[[#This Row],[Player No]],[4]Men!$Z$14:$AB$62,2,FALSE)&amp;"",""))),"")</f>
        <v/>
      </c>
      <c r="M784" s="887"/>
      <c r="N784" s="887"/>
      <c r="O784" s="882"/>
      <c r="P784" s="882"/>
      <c r="Q784" s="888"/>
      <c r="R784" s="888"/>
      <c r="S784" s="888"/>
      <c r="T784" s="888"/>
      <c r="U784" s="882"/>
      <c r="V784" s="887"/>
      <c r="W784" s="888"/>
      <c r="X784" s="888"/>
      <c r="Y784" s="888"/>
      <c r="Z784" s="882"/>
      <c r="AA784" s="882"/>
      <c r="AB784" s="882"/>
      <c r="AC784" s="882"/>
      <c r="AD784" s="882"/>
      <c r="AE784" s="882"/>
      <c r="AF784" s="882"/>
      <c r="AG784" s="882"/>
      <c r="AH784" s="882"/>
      <c r="AI784" s="882"/>
      <c r="AJ784" s="882"/>
      <c r="AK784" s="882"/>
    </row>
    <row r="785" spans="1:37" s="890" customFormat="1">
      <c r="A785" s="882"/>
      <c r="B785" s="891"/>
      <c r="C785" s="882"/>
      <c r="D785" s="883"/>
      <c r="E785" s="884"/>
      <c r="F785" s="885" t="str">
        <f>IFERROR(VLOOKUP(Table2[[#This Row],[Player No]],Table10[[No]:[Province]],3,0),"")</f>
        <v/>
      </c>
      <c r="G785" s="892">
        <v>0</v>
      </c>
      <c r="H785" s="886">
        <f>(Table2[[#This Row],[Points 2025]]/2)+SUM(Table2[[#This Row],[O1  ADMIN 2026]:[P2    CAPE TOWN OPEN 2026 ]])</f>
        <v>0</v>
      </c>
      <c r="I785" s="880">
        <f t="shared" si="73"/>
        <v>0</v>
      </c>
      <c r="J785" s="882">
        <f t="shared" ref="J785:J848" si="74">COUNTIF(O785:AK785,"&lt;0")</f>
        <v>0</v>
      </c>
      <c r="K785" s="887" t="str">
        <f>IFERROR(VALUE(IF(Table2[[#This Row],[Player No]]="","",IFERROR(VLOOKUP(Table2[[#This Row],[Player No]],[3]Men!$D$2:$E$48,2,FALSE)&amp;"",""))),"")</f>
        <v/>
      </c>
      <c r="L785" s="887" t="str">
        <f>IFERROR(VALUE(IF(Table2[[#This Row],[Player No]]="","",IFERROR(VLOOKUP(Table2[[#This Row],[Player No]],[4]Men!$Z$14:$AB$62,2,FALSE)&amp;"",""))),"")</f>
        <v/>
      </c>
      <c r="M785" s="887"/>
      <c r="N785" s="887"/>
      <c r="O785" s="882"/>
      <c r="P785" s="882"/>
      <c r="Q785" s="888"/>
      <c r="R785" s="888"/>
      <c r="S785" s="888"/>
      <c r="T785" s="888"/>
      <c r="U785" s="882"/>
      <c r="V785" s="887"/>
      <c r="W785" s="888"/>
      <c r="X785" s="888"/>
      <c r="Y785" s="888"/>
      <c r="Z785" s="882"/>
      <c r="AA785" s="882"/>
      <c r="AB785" s="882"/>
      <c r="AC785" s="882"/>
      <c r="AD785" s="882"/>
      <c r="AE785" s="882"/>
      <c r="AF785" s="882"/>
      <c r="AG785" s="882"/>
      <c r="AH785" s="882"/>
      <c r="AI785" s="882"/>
      <c r="AJ785" s="882"/>
      <c r="AK785" s="882"/>
    </row>
    <row r="786" spans="1:37" s="890" customFormat="1">
      <c r="A786" s="882"/>
      <c r="B786" s="891"/>
      <c r="C786" s="882"/>
      <c r="D786" s="883"/>
      <c r="E786" s="884"/>
      <c r="F786" s="885" t="str">
        <f>IFERROR(VLOOKUP(Table2[[#This Row],[Player No]],Table10[[No]:[Province]],3,0),"")</f>
        <v/>
      </c>
      <c r="G786" s="892">
        <v>0</v>
      </c>
      <c r="H786" s="886">
        <f>(Table2[[#This Row],[Points 2025]]/2)+SUM(Table2[[#This Row],[O1  ADMIN 2026]:[P2    CAPE TOWN OPEN 2026 ]])</f>
        <v>0</v>
      </c>
      <c r="I786" s="880">
        <f t="shared" si="73"/>
        <v>0</v>
      </c>
      <c r="J786" s="882">
        <f t="shared" si="74"/>
        <v>0</v>
      </c>
      <c r="K786" s="887" t="str">
        <f>IFERROR(VALUE(IF(Table2[[#This Row],[Player No]]="","",IFERROR(VLOOKUP(Table2[[#This Row],[Player No]],[3]Men!$D$2:$E$48,2,FALSE)&amp;"",""))),"")</f>
        <v/>
      </c>
      <c r="L786" s="887" t="str">
        <f>IFERROR(VALUE(IF(Table2[[#This Row],[Player No]]="","",IFERROR(VLOOKUP(Table2[[#This Row],[Player No]],[4]Men!$Z$14:$AB$62,2,FALSE)&amp;"",""))),"")</f>
        <v/>
      </c>
      <c r="M786" s="887"/>
      <c r="N786" s="887"/>
      <c r="O786" s="882"/>
      <c r="P786" s="882"/>
      <c r="Q786" s="888"/>
      <c r="R786" s="888"/>
      <c r="S786" s="888"/>
      <c r="T786" s="888"/>
      <c r="U786" s="882"/>
      <c r="V786" s="887"/>
      <c r="W786" s="888"/>
      <c r="X786" s="888"/>
      <c r="Y786" s="888"/>
      <c r="Z786" s="882"/>
      <c r="AA786" s="882"/>
      <c r="AB786" s="882"/>
      <c r="AC786" s="882"/>
      <c r="AD786" s="882"/>
      <c r="AE786" s="882"/>
      <c r="AF786" s="882"/>
      <c r="AG786" s="882"/>
      <c r="AH786" s="882"/>
      <c r="AI786" s="882"/>
      <c r="AJ786" s="882"/>
      <c r="AK786" s="882"/>
    </row>
    <row r="787" spans="1:37" s="890" customFormat="1">
      <c r="A787" s="882"/>
      <c r="B787" s="891"/>
      <c r="C787" s="882"/>
      <c r="D787" s="883"/>
      <c r="E787" s="884"/>
      <c r="F787" s="885" t="str">
        <f>IFERROR(VLOOKUP(Table2[[#This Row],[Player No]],Table10[[No]:[Province]],3,0),"")</f>
        <v/>
      </c>
      <c r="G787" s="892">
        <v>0</v>
      </c>
      <c r="H787" s="886">
        <f>(Table2[[#This Row],[Points 2025]]/2)+SUM(Table2[[#This Row],[O1  ADMIN 2026]:[P2    CAPE TOWN OPEN 2026 ]])</f>
        <v>0</v>
      </c>
      <c r="I787" s="880">
        <f t="shared" si="73"/>
        <v>0</v>
      </c>
      <c r="J787" s="882">
        <f t="shared" si="74"/>
        <v>0</v>
      </c>
      <c r="K787" s="887" t="str">
        <f>IFERROR(VALUE(IF(Table2[[#This Row],[Player No]]="","",IFERROR(VLOOKUP(Table2[[#This Row],[Player No]],[3]Men!$D$2:$E$48,2,FALSE)&amp;"",""))),"")</f>
        <v/>
      </c>
      <c r="L787" s="887" t="str">
        <f>IFERROR(VALUE(IF(Table2[[#This Row],[Player No]]="","",IFERROR(VLOOKUP(Table2[[#This Row],[Player No]],[4]Men!$Z$14:$AB$62,2,FALSE)&amp;"",""))),"")</f>
        <v/>
      </c>
      <c r="M787" s="887"/>
      <c r="N787" s="887"/>
      <c r="O787" s="882"/>
      <c r="P787" s="882"/>
      <c r="Q787" s="888"/>
      <c r="R787" s="888"/>
      <c r="S787" s="888"/>
      <c r="T787" s="888"/>
      <c r="U787" s="882"/>
      <c r="V787" s="887"/>
      <c r="W787" s="888"/>
      <c r="X787" s="888"/>
      <c r="Y787" s="888"/>
      <c r="Z787" s="882"/>
      <c r="AA787" s="882"/>
      <c r="AB787" s="882"/>
      <c r="AC787" s="882"/>
      <c r="AD787" s="882"/>
      <c r="AE787" s="882"/>
      <c r="AF787" s="882"/>
      <c r="AG787" s="882"/>
      <c r="AH787" s="882"/>
      <c r="AI787" s="882"/>
      <c r="AJ787" s="882"/>
      <c r="AK787" s="882"/>
    </row>
    <row r="788" spans="1:37" s="890" customFormat="1">
      <c r="A788" s="882"/>
      <c r="B788" s="891"/>
      <c r="C788" s="882"/>
      <c r="D788" s="883"/>
      <c r="E788" s="884"/>
      <c r="F788" s="885" t="str">
        <f>IFERROR(VLOOKUP(Table2[[#This Row],[Player No]],Table10[[No]:[Province]],3,0),"")</f>
        <v/>
      </c>
      <c r="G788" s="892">
        <v>0</v>
      </c>
      <c r="H788" s="886">
        <f>(Table2[[#This Row],[Points 2025]]/2)+SUM(Table2[[#This Row],[O1  ADMIN 2026]:[P2    CAPE TOWN OPEN 2026 ]])</f>
        <v>0</v>
      </c>
      <c r="I788" s="880">
        <f t="shared" si="73"/>
        <v>0</v>
      </c>
      <c r="J788" s="882">
        <f t="shared" si="74"/>
        <v>0</v>
      </c>
      <c r="K788" s="887" t="str">
        <f>IFERROR(VALUE(IF(Table2[[#This Row],[Player No]]="","",IFERROR(VLOOKUP(Table2[[#This Row],[Player No]],[3]Men!$D$2:$E$48,2,FALSE)&amp;"",""))),"")</f>
        <v/>
      </c>
      <c r="L788" s="887" t="str">
        <f>IFERROR(VALUE(IF(Table2[[#This Row],[Player No]]="","",IFERROR(VLOOKUP(Table2[[#This Row],[Player No]],[4]Men!$Z$14:$AB$62,2,FALSE)&amp;"",""))),"")</f>
        <v/>
      </c>
      <c r="M788" s="887"/>
      <c r="N788" s="887"/>
      <c r="O788" s="882"/>
      <c r="P788" s="882"/>
      <c r="Q788" s="888"/>
      <c r="R788" s="888"/>
      <c r="S788" s="888"/>
      <c r="T788" s="888"/>
      <c r="U788" s="882"/>
      <c r="V788" s="887"/>
      <c r="W788" s="888"/>
      <c r="X788" s="888"/>
      <c r="Y788" s="888"/>
      <c r="Z788" s="882"/>
      <c r="AA788" s="882"/>
      <c r="AB788" s="882"/>
      <c r="AC788" s="882"/>
      <c r="AD788" s="882"/>
      <c r="AE788" s="882"/>
      <c r="AF788" s="882"/>
      <c r="AG788" s="882"/>
      <c r="AH788" s="882"/>
      <c r="AI788" s="882"/>
      <c r="AJ788" s="882"/>
      <c r="AK788" s="882"/>
    </row>
    <row r="789" spans="1:37" s="890" customFormat="1">
      <c r="A789" s="882"/>
      <c r="B789" s="891"/>
      <c r="C789" s="882"/>
      <c r="D789" s="883"/>
      <c r="E789" s="884"/>
      <c r="F789" s="885" t="str">
        <f>IFERROR(VLOOKUP(Table2[[#This Row],[Player No]],Table10[[No]:[Province]],3,0),"")</f>
        <v/>
      </c>
      <c r="G789" s="892">
        <v>0</v>
      </c>
      <c r="H789" s="886">
        <f>(Table2[[#This Row],[Points 2025]]/2)+SUM(Table2[[#This Row],[O1  ADMIN 2026]:[P2    CAPE TOWN OPEN 2026 ]])</f>
        <v>0</v>
      </c>
      <c r="I789" s="880">
        <f t="shared" si="73"/>
        <v>0</v>
      </c>
      <c r="J789" s="882">
        <f t="shared" si="74"/>
        <v>0</v>
      </c>
      <c r="K789" s="887" t="str">
        <f>IFERROR(VALUE(IF(Table2[[#This Row],[Player No]]="","",IFERROR(VLOOKUP(Table2[[#This Row],[Player No]],[3]Men!$D$2:$E$48,2,FALSE)&amp;"",""))),"")</f>
        <v/>
      </c>
      <c r="L789" s="887" t="str">
        <f>IFERROR(VALUE(IF(Table2[[#This Row],[Player No]]="","",IFERROR(VLOOKUP(Table2[[#This Row],[Player No]],[4]Men!$Z$14:$AB$62,2,FALSE)&amp;"",""))),"")</f>
        <v/>
      </c>
      <c r="M789" s="887"/>
      <c r="N789" s="887"/>
      <c r="O789" s="882"/>
      <c r="P789" s="882"/>
      <c r="Q789" s="888"/>
      <c r="R789" s="888"/>
      <c r="S789" s="888"/>
      <c r="T789" s="888"/>
      <c r="U789" s="882"/>
      <c r="V789" s="887"/>
      <c r="W789" s="888"/>
      <c r="X789" s="888"/>
      <c r="Y789" s="888"/>
      <c r="Z789" s="882"/>
      <c r="AA789" s="882"/>
      <c r="AB789" s="882"/>
      <c r="AC789" s="882"/>
      <c r="AD789" s="882"/>
      <c r="AE789" s="882"/>
      <c r="AF789" s="882"/>
      <c r="AG789" s="882"/>
      <c r="AH789" s="882"/>
      <c r="AI789" s="882"/>
      <c r="AJ789" s="882"/>
      <c r="AK789" s="882"/>
    </row>
    <row r="790" spans="1:37" s="890" customFormat="1">
      <c r="A790" s="882"/>
      <c r="B790" s="891"/>
      <c r="C790" s="882"/>
      <c r="D790" s="883"/>
      <c r="E790" s="884"/>
      <c r="F790" s="885" t="str">
        <f>IFERROR(VLOOKUP(Table2[[#This Row],[Player No]],Table10[[No]:[Province]],3,0),"")</f>
        <v/>
      </c>
      <c r="G790" s="892">
        <v>0</v>
      </c>
      <c r="H790" s="886">
        <f>(Table2[[#This Row],[Points 2025]]/2)+SUM(Table2[[#This Row],[O1  ADMIN 2026]:[P2    CAPE TOWN OPEN 2026 ]])</f>
        <v>0</v>
      </c>
      <c r="I790" s="880">
        <f t="shared" si="73"/>
        <v>0</v>
      </c>
      <c r="J790" s="882">
        <f t="shared" si="74"/>
        <v>0</v>
      </c>
      <c r="K790" s="887" t="str">
        <f>IFERROR(VALUE(IF(Table2[[#This Row],[Player No]]="","",IFERROR(VLOOKUP(Table2[[#This Row],[Player No]],[3]Men!$D$2:$E$48,2,FALSE)&amp;"",""))),"")</f>
        <v/>
      </c>
      <c r="L790" s="887" t="str">
        <f>IFERROR(VALUE(IF(Table2[[#This Row],[Player No]]="","",IFERROR(VLOOKUP(Table2[[#This Row],[Player No]],[4]Men!$Z$14:$AB$62,2,FALSE)&amp;"",""))),"")</f>
        <v/>
      </c>
      <c r="M790" s="887"/>
      <c r="N790" s="887"/>
      <c r="O790" s="882"/>
      <c r="P790" s="882"/>
      <c r="Q790" s="888"/>
      <c r="R790" s="888"/>
      <c r="S790" s="888"/>
      <c r="T790" s="888"/>
      <c r="U790" s="882"/>
      <c r="V790" s="887"/>
      <c r="W790" s="888"/>
      <c r="X790" s="888"/>
      <c r="Y790" s="888"/>
      <c r="Z790" s="882"/>
      <c r="AA790" s="882"/>
      <c r="AB790" s="882"/>
      <c r="AC790" s="882"/>
      <c r="AD790" s="882"/>
      <c r="AE790" s="882"/>
      <c r="AF790" s="882"/>
      <c r="AG790" s="882"/>
      <c r="AH790" s="882"/>
      <c r="AI790" s="882"/>
      <c r="AJ790" s="882"/>
      <c r="AK790" s="882"/>
    </row>
    <row r="791" spans="1:37" s="890" customFormat="1">
      <c r="A791" s="882"/>
      <c r="B791" s="891"/>
      <c r="C791" s="882"/>
      <c r="D791" s="883"/>
      <c r="E791" s="884"/>
      <c r="F791" s="885" t="str">
        <f>IFERROR(VLOOKUP(Table2[[#This Row],[Player No]],Table10[[No]:[Province]],3,0),"")</f>
        <v/>
      </c>
      <c r="G791" s="892">
        <v>0</v>
      </c>
      <c r="H791" s="886">
        <f>(Table2[[#This Row],[Points 2025]]/2)+SUM(Table2[[#This Row],[O1  ADMIN 2026]:[P2    CAPE TOWN OPEN 2026 ]])</f>
        <v>0</v>
      </c>
      <c r="I791" s="880">
        <f t="shared" si="73"/>
        <v>0</v>
      </c>
      <c r="J791" s="882">
        <f t="shared" si="74"/>
        <v>0</v>
      </c>
      <c r="K791" s="887" t="str">
        <f>IFERROR(VALUE(IF(Table2[[#This Row],[Player No]]="","",IFERROR(VLOOKUP(Table2[[#This Row],[Player No]],[3]Men!$D$2:$E$48,2,FALSE)&amp;"",""))),"")</f>
        <v/>
      </c>
      <c r="L791" s="887" t="str">
        <f>IFERROR(VALUE(IF(Table2[[#This Row],[Player No]]="","",IFERROR(VLOOKUP(Table2[[#This Row],[Player No]],[4]Men!$Z$14:$AB$62,2,FALSE)&amp;"",""))),"")</f>
        <v/>
      </c>
      <c r="M791" s="887"/>
      <c r="N791" s="887"/>
      <c r="O791" s="882"/>
      <c r="P791" s="882"/>
      <c r="Q791" s="888"/>
      <c r="R791" s="888"/>
      <c r="S791" s="888"/>
      <c r="T791" s="888"/>
      <c r="U791" s="882"/>
      <c r="V791" s="887"/>
      <c r="W791" s="888"/>
      <c r="X791" s="888"/>
      <c r="Y791" s="888"/>
      <c r="Z791" s="882"/>
      <c r="AA791" s="882"/>
      <c r="AB791" s="882"/>
      <c r="AC791" s="882"/>
      <c r="AD791" s="882"/>
      <c r="AE791" s="882"/>
      <c r="AF791" s="882"/>
      <c r="AG791" s="882"/>
      <c r="AH791" s="882"/>
      <c r="AI791" s="882"/>
      <c r="AJ791" s="882"/>
      <c r="AK791" s="882"/>
    </row>
    <row r="792" spans="1:37" s="890" customFormat="1">
      <c r="A792" s="882"/>
      <c r="B792" s="891"/>
      <c r="C792" s="882"/>
      <c r="D792" s="883"/>
      <c r="E792" s="884"/>
      <c r="F792" s="885" t="str">
        <f>IFERROR(VLOOKUP(Table2[[#This Row],[Player No]],Table10[[No]:[Province]],3,0),"")</f>
        <v/>
      </c>
      <c r="G792" s="892">
        <v>0</v>
      </c>
      <c r="H792" s="886">
        <f>(Table2[[#This Row],[Points 2025]]/2)+SUM(Table2[[#This Row],[O1  ADMIN 2026]:[P2    CAPE TOWN OPEN 2026 ]])</f>
        <v>0</v>
      </c>
      <c r="I792" s="880">
        <f t="shared" si="73"/>
        <v>0</v>
      </c>
      <c r="J792" s="882">
        <f t="shared" si="74"/>
        <v>0</v>
      </c>
      <c r="K792" s="887" t="str">
        <f>IFERROR(VALUE(IF(Table2[[#This Row],[Player No]]="","",IFERROR(VLOOKUP(Table2[[#This Row],[Player No]],[3]Men!$D$2:$E$48,2,FALSE)&amp;"",""))),"")</f>
        <v/>
      </c>
      <c r="L792" s="887" t="str">
        <f>IFERROR(VALUE(IF(Table2[[#This Row],[Player No]]="","",IFERROR(VLOOKUP(Table2[[#This Row],[Player No]],[4]Men!$Z$14:$AB$62,2,FALSE)&amp;"",""))),"")</f>
        <v/>
      </c>
      <c r="M792" s="887"/>
      <c r="N792" s="887"/>
      <c r="O792" s="882"/>
      <c r="P792" s="882"/>
      <c r="Q792" s="888"/>
      <c r="R792" s="888"/>
      <c r="S792" s="888"/>
      <c r="T792" s="888"/>
      <c r="U792" s="882"/>
      <c r="V792" s="887"/>
      <c r="W792" s="888"/>
      <c r="X792" s="888"/>
      <c r="Y792" s="888"/>
      <c r="Z792" s="882"/>
      <c r="AA792" s="882"/>
      <c r="AB792" s="882"/>
      <c r="AC792" s="882"/>
      <c r="AD792" s="882"/>
      <c r="AE792" s="882"/>
      <c r="AF792" s="882"/>
      <c r="AG792" s="882"/>
      <c r="AH792" s="882"/>
      <c r="AI792" s="882"/>
      <c r="AJ792" s="882"/>
      <c r="AK792" s="882"/>
    </row>
    <row r="793" spans="1:37" s="890" customFormat="1">
      <c r="A793" s="882"/>
      <c r="B793" s="891"/>
      <c r="C793" s="882"/>
      <c r="D793" s="883"/>
      <c r="E793" s="884"/>
      <c r="F793" s="885" t="str">
        <f>IFERROR(VLOOKUP(Table2[[#This Row],[Player No]],Table10[[No]:[Province]],3,0),"")</f>
        <v/>
      </c>
      <c r="G793" s="892">
        <v>0</v>
      </c>
      <c r="H793" s="886">
        <f>(Table2[[#This Row],[Points 2025]]/2)+SUM(Table2[[#This Row],[O1  ADMIN 2026]:[P2    CAPE TOWN OPEN 2026 ]])</f>
        <v>0</v>
      </c>
      <c r="I793" s="880">
        <f t="shared" si="73"/>
        <v>0</v>
      </c>
      <c r="J793" s="882">
        <f t="shared" si="74"/>
        <v>0</v>
      </c>
      <c r="K793" s="887" t="str">
        <f>IFERROR(VALUE(IF(Table2[[#This Row],[Player No]]="","",IFERROR(VLOOKUP(Table2[[#This Row],[Player No]],[3]Men!$D$2:$E$48,2,FALSE)&amp;"",""))),"")</f>
        <v/>
      </c>
      <c r="L793" s="887" t="str">
        <f>IFERROR(VALUE(IF(Table2[[#This Row],[Player No]]="","",IFERROR(VLOOKUP(Table2[[#This Row],[Player No]],[4]Men!$Z$14:$AB$62,2,FALSE)&amp;"",""))),"")</f>
        <v/>
      </c>
      <c r="M793" s="887"/>
      <c r="N793" s="887"/>
      <c r="O793" s="882"/>
      <c r="P793" s="882"/>
      <c r="Q793" s="888"/>
      <c r="R793" s="888"/>
      <c r="S793" s="888"/>
      <c r="T793" s="888"/>
      <c r="U793" s="882"/>
      <c r="V793" s="887"/>
      <c r="W793" s="888"/>
      <c r="X793" s="888"/>
      <c r="Y793" s="888"/>
      <c r="Z793" s="882"/>
      <c r="AA793" s="882"/>
      <c r="AB793" s="882"/>
      <c r="AC793" s="882"/>
      <c r="AD793" s="882"/>
      <c r="AE793" s="882"/>
      <c r="AF793" s="882"/>
      <c r="AG793" s="882"/>
      <c r="AH793" s="882"/>
      <c r="AI793" s="882"/>
      <c r="AJ793" s="882"/>
      <c r="AK793" s="882"/>
    </row>
    <row r="794" spans="1:37" s="890" customFormat="1">
      <c r="A794" s="882"/>
      <c r="B794" s="891"/>
      <c r="C794" s="882"/>
      <c r="D794" s="883"/>
      <c r="E794" s="884"/>
      <c r="F794" s="885" t="str">
        <f>IFERROR(VLOOKUP(Table2[[#This Row],[Player No]],Table10[[No]:[Province]],3,0),"")</f>
        <v/>
      </c>
      <c r="G794" s="892">
        <v>0</v>
      </c>
      <c r="H794" s="886">
        <f>(Table2[[#This Row],[Points 2025]]/2)+SUM(Table2[[#This Row],[O1  ADMIN 2026]:[P2    CAPE TOWN OPEN 2026 ]])</f>
        <v>0</v>
      </c>
      <c r="I794" s="880">
        <f t="shared" si="73"/>
        <v>0</v>
      </c>
      <c r="J794" s="882">
        <f t="shared" si="74"/>
        <v>0</v>
      </c>
      <c r="K794" s="887" t="str">
        <f>IFERROR(VALUE(IF(Table2[[#This Row],[Player No]]="","",IFERROR(VLOOKUP(Table2[[#This Row],[Player No]],[3]Men!$D$2:$E$48,2,FALSE)&amp;"",""))),"")</f>
        <v/>
      </c>
      <c r="L794" s="887" t="str">
        <f>IFERROR(VALUE(IF(Table2[[#This Row],[Player No]]="","",IFERROR(VLOOKUP(Table2[[#This Row],[Player No]],[4]Men!$Z$14:$AB$62,2,FALSE)&amp;"",""))),"")</f>
        <v/>
      </c>
      <c r="M794" s="887"/>
      <c r="N794" s="887"/>
      <c r="O794" s="882"/>
      <c r="P794" s="882"/>
      <c r="Q794" s="888"/>
      <c r="R794" s="888"/>
      <c r="S794" s="888"/>
      <c r="T794" s="888"/>
      <c r="U794" s="882"/>
      <c r="V794" s="887"/>
      <c r="W794" s="888"/>
      <c r="X794" s="888"/>
      <c r="Y794" s="888"/>
      <c r="Z794" s="882"/>
      <c r="AA794" s="882"/>
      <c r="AB794" s="882"/>
      <c r="AC794" s="882"/>
      <c r="AD794" s="882"/>
      <c r="AE794" s="882"/>
      <c r="AF794" s="882"/>
      <c r="AG794" s="882"/>
      <c r="AH794" s="882"/>
      <c r="AI794" s="882"/>
      <c r="AJ794" s="882"/>
      <c r="AK794" s="882"/>
    </row>
    <row r="795" spans="1:37" s="890" customFormat="1">
      <c r="A795" s="882"/>
      <c r="B795" s="891"/>
      <c r="C795" s="882"/>
      <c r="D795" s="883"/>
      <c r="E795" s="884"/>
      <c r="F795" s="885" t="str">
        <f>IFERROR(VLOOKUP(Table2[[#This Row],[Player No]],Table10[[No]:[Province]],3,0),"")</f>
        <v/>
      </c>
      <c r="G795" s="892">
        <v>0</v>
      </c>
      <c r="H795" s="886">
        <f>(Table2[[#This Row],[Points 2025]]/2)+SUM(Table2[[#This Row],[O1  ADMIN 2026]:[P2    CAPE TOWN OPEN 2026 ]])</f>
        <v>0</v>
      </c>
      <c r="I795" s="880">
        <f t="shared" si="73"/>
        <v>0</v>
      </c>
      <c r="J795" s="882">
        <f t="shared" si="74"/>
        <v>0</v>
      </c>
      <c r="K795" s="887" t="str">
        <f>IFERROR(VALUE(IF(Table2[[#This Row],[Player No]]="","",IFERROR(VLOOKUP(Table2[[#This Row],[Player No]],[3]Men!$D$2:$E$48,2,FALSE)&amp;"",""))),"")</f>
        <v/>
      </c>
      <c r="L795" s="887" t="str">
        <f>IFERROR(VALUE(IF(Table2[[#This Row],[Player No]]="","",IFERROR(VLOOKUP(Table2[[#This Row],[Player No]],[4]Men!$Z$14:$AB$62,2,FALSE)&amp;"",""))),"")</f>
        <v/>
      </c>
      <c r="M795" s="887"/>
      <c r="N795" s="887"/>
      <c r="O795" s="882"/>
      <c r="P795" s="882"/>
      <c r="Q795" s="888"/>
      <c r="R795" s="888"/>
      <c r="S795" s="888"/>
      <c r="T795" s="888"/>
      <c r="U795" s="882"/>
      <c r="V795" s="887"/>
      <c r="W795" s="888"/>
      <c r="X795" s="888"/>
      <c r="Y795" s="888"/>
      <c r="Z795" s="882"/>
      <c r="AA795" s="882"/>
      <c r="AB795" s="882"/>
      <c r="AC795" s="882"/>
      <c r="AD795" s="882"/>
      <c r="AE795" s="882"/>
      <c r="AF795" s="882"/>
      <c r="AG795" s="882"/>
      <c r="AH795" s="882"/>
      <c r="AI795" s="882"/>
      <c r="AJ795" s="882"/>
      <c r="AK795" s="882"/>
    </row>
    <row r="796" spans="1:37" s="890" customFormat="1">
      <c r="A796" s="882"/>
      <c r="B796" s="891"/>
      <c r="C796" s="882"/>
      <c r="D796" s="883"/>
      <c r="E796" s="884"/>
      <c r="F796" s="885" t="str">
        <f>IFERROR(VLOOKUP(Table2[[#This Row],[Player No]],Table10[[No]:[Province]],3,0),"")</f>
        <v/>
      </c>
      <c r="G796" s="892">
        <v>0</v>
      </c>
      <c r="H796" s="886">
        <f>(Table2[[#This Row],[Points 2025]]/2)+SUM(Table2[[#This Row],[O1  ADMIN 2026]:[P2    CAPE TOWN OPEN 2026 ]])</f>
        <v>0</v>
      </c>
      <c r="I796" s="880">
        <f t="shared" si="73"/>
        <v>0</v>
      </c>
      <c r="J796" s="882">
        <f t="shared" si="74"/>
        <v>0</v>
      </c>
      <c r="K796" s="887" t="str">
        <f>IFERROR(VALUE(IF(Table2[[#This Row],[Player No]]="","",IFERROR(VLOOKUP(Table2[[#This Row],[Player No]],[3]Men!$D$2:$E$48,2,FALSE)&amp;"",""))),"")</f>
        <v/>
      </c>
      <c r="L796" s="887" t="str">
        <f>IFERROR(VALUE(IF(Table2[[#This Row],[Player No]]="","",IFERROR(VLOOKUP(Table2[[#This Row],[Player No]],[4]Men!$Z$14:$AB$62,2,FALSE)&amp;"",""))),"")</f>
        <v/>
      </c>
      <c r="M796" s="887"/>
      <c r="N796" s="887"/>
      <c r="O796" s="882"/>
      <c r="P796" s="882"/>
      <c r="Q796" s="888"/>
      <c r="R796" s="888"/>
      <c r="S796" s="888"/>
      <c r="T796" s="888"/>
      <c r="U796" s="882"/>
      <c r="V796" s="887"/>
      <c r="W796" s="888"/>
      <c r="X796" s="888"/>
      <c r="Y796" s="888"/>
      <c r="Z796" s="882"/>
      <c r="AA796" s="882"/>
      <c r="AB796" s="882"/>
      <c r="AC796" s="882"/>
      <c r="AD796" s="882"/>
      <c r="AE796" s="882"/>
      <c r="AF796" s="882"/>
      <c r="AG796" s="882"/>
      <c r="AH796" s="882"/>
      <c r="AI796" s="882"/>
      <c r="AJ796" s="882"/>
      <c r="AK796" s="882"/>
    </row>
    <row r="797" spans="1:37" s="890" customFormat="1">
      <c r="A797" s="882"/>
      <c r="B797" s="891"/>
      <c r="C797" s="882"/>
      <c r="D797" s="883"/>
      <c r="E797" s="884"/>
      <c r="F797" s="885" t="str">
        <f>IFERROR(VLOOKUP(Table2[[#This Row],[Player No]],Table10[[No]:[Province]],3,0),"")</f>
        <v/>
      </c>
      <c r="G797" s="892">
        <v>0</v>
      </c>
      <c r="H797" s="886">
        <f>(Table2[[#This Row],[Points 2025]]/2)+SUM(Table2[[#This Row],[O1  ADMIN 2026]:[P2    CAPE TOWN OPEN 2026 ]])</f>
        <v>0</v>
      </c>
      <c r="I797" s="880">
        <f t="shared" si="73"/>
        <v>0</v>
      </c>
      <c r="J797" s="882">
        <f t="shared" si="74"/>
        <v>0</v>
      </c>
      <c r="K797" s="887" t="str">
        <f>IFERROR(VALUE(IF(Table2[[#This Row],[Player No]]="","",IFERROR(VLOOKUP(Table2[[#This Row],[Player No]],[3]Men!$D$2:$E$48,2,FALSE)&amp;"",""))),"")</f>
        <v/>
      </c>
      <c r="L797" s="887" t="str">
        <f>IFERROR(VALUE(IF(Table2[[#This Row],[Player No]]="","",IFERROR(VLOOKUP(Table2[[#This Row],[Player No]],[4]Men!$Z$14:$AB$62,2,FALSE)&amp;"",""))),"")</f>
        <v/>
      </c>
      <c r="M797" s="887"/>
      <c r="N797" s="887"/>
      <c r="O797" s="882"/>
      <c r="P797" s="882"/>
      <c r="Q797" s="888"/>
      <c r="R797" s="888"/>
      <c r="S797" s="888"/>
      <c r="T797" s="888"/>
      <c r="U797" s="882"/>
      <c r="V797" s="887"/>
      <c r="W797" s="888"/>
      <c r="X797" s="888"/>
      <c r="Y797" s="888"/>
      <c r="Z797" s="882"/>
      <c r="AA797" s="882"/>
      <c r="AB797" s="882"/>
      <c r="AC797" s="882"/>
      <c r="AD797" s="882"/>
      <c r="AE797" s="882"/>
      <c r="AF797" s="882"/>
      <c r="AG797" s="882"/>
      <c r="AH797" s="882"/>
      <c r="AI797" s="882"/>
      <c r="AJ797" s="882"/>
      <c r="AK797" s="882"/>
    </row>
    <row r="798" spans="1:37" s="890" customFormat="1">
      <c r="A798" s="882"/>
      <c r="B798" s="891"/>
      <c r="C798" s="882"/>
      <c r="D798" s="883"/>
      <c r="E798" s="884"/>
      <c r="F798" s="885" t="str">
        <f>IFERROR(VLOOKUP(Table2[[#This Row],[Player No]],Table10[[No]:[Province]],3,0),"")</f>
        <v/>
      </c>
      <c r="G798" s="892">
        <v>0</v>
      </c>
      <c r="H798" s="886">
        <f>(Table2[[#This Row],[Points 2025]]/2)+SUM(Table2[[#This Row],[O1  ADMIN 2026]:[P2    CAPE TOWN OPEN 2026 ]])</f>
        <v>0</v>
      </c>
      <c r="I798" s="880">
        <f t="shared" si="73"/>
        <v>0</v>
      </c>
      <c r="J798" s="882">
        <f t="shared" si="74"/>
        <v>0</v>
      </c>
      <c r="K798" s="887" t="str">
        <f>IFERROR(VALUE(IF(Table2[[#This Row],[Player No]]="","",IFERROR(VLOOKUP(Table2[[#This Row],[Player No]],[3]Men!$D$2:$E$48,2,FALSE)&amp;"",""))),"")</f>
        <v/>
      </c>
      <c r="L798" s="887" t="str">
        <f>IFERROR(VALUE(IF(Table2[[#This Row],[Player No]]="","",IFERROR(VLOOKUP(Table2[[#This Row],[Player No]],[4]Men!$Z$14:$AB$62,2,FALSE)&amp;"",""))),"")</f>
        <v/>
      </c>
      <c r="M798" s="887"/>
      <c r="N798" s="887"/>
      <c r="O798" s="882"/>
      <c r="P798" s="882"/>
      <c r="Q798" s="888"/>
      <c r="R798" s="888"/>
      <c r="S798" s="888"/>
      <c r="T798" s="888"/>
      <c r="U798" s="882"/>
      <c r="V798" s="887"/>
      <c r="W798" s="888"/>
      <c r="X798" s="888"/>
      <c r="Y798" s="888"/>
      <c r="Z798" s="882"/>
      <c r="AA798" s="882"/>
      <c r="AB798" s="882"/>
      <c r="AC798" s="882"/>
      <c r="AD798" s="882"/>
      <c r="AE798" s="882"/>
      <c r="AF798" s="882"/>
      <c r="AG798" s="882"/>
      <c r="AH798" s="882"/>
      <c r="AI798" s="882"/>
      <c r="AJ798" s="882"/>
      <c r="AK798" s="882"/>
    </row>
    <row r="799" spans="1:37" s="890" customFormat="1">
      <c r="A799" s="882"/>
      <c r="B799" s="891"/>
      <c r="C799" s="882"/>
      <c r="D799" s="883"/>
      <c r="E799" s="884"/>
      <c r="F799" s="885" t="str">
        <f>IFERROR(VLOOKUP(Table2[[#This Row],[Player No]],Table10[[No]:[Province]],3,0),"")</f>
        <v/>
      </c>
      <c r="G799" s="892">
        <v>0</v>
      </c>
      <c r="H799" s="886">
        <f>(Table2[[#This Row],[Points 2025]]/2)+SUM(Table2[[#This Row],[O1  ADMIN 2026]:[P2    CAPE TOWN OPEN 2026 ]])</f>
        <v>0</v>
      </c>
      <c r="I799" s="880">
        <f t="shared" si="73"/>
        <v>0</v>
      </c>
      <c r="J799" s="882">
        <f t="shared" si="74"/>
        <v>0</v>
      </c>
      <c r="K799" s="887" t="str">
        <f>IFERROR(VALUE(IF(Table2[[#This Row],[Player No]]="","",IFERROR(VLOOKUP(Table2[[#This Row],[Player No]],[3]Men!$D$2:$E$48,2,FALSE)&amp;"",""))),"")</f>
        <v/>
      </c>
      <c r="L799" s="887" t="str">
        <f>IFERROR(VALUE(IF(Table2[[#This Row],[Player No]]="","",IFERROR(VLOOKUP(Table2[[#This Row],[Player No]],[4]Men!$Z$14:$AB$62,2,FALSE)&amp;"",""))),"")</f>
        <v/>
      </c>
      <c r="M799" s="887"/>
      <c r="N799" s="887"/>
      <c r="O799" s="882"/>
      <c r="P799" s="882"/>
      <c r="Q799" s="888"/>
      <c r="R799" s="888"/>
      <c r="S799" s="888"/>
      <c r="T799" s="888"/>
      <c r="U799" s="882"/>
      <c r="V799" s="887"/>
      <c r="W799" s="888"/>
      <c r="X799" s="888"/>
      <c r="Y799" s="888"/>
      <c r="Z799" s="882"/>
      <c r="AA799" s="882"/>
      <c r="AB799" s="882"/>
      <c r="AC799" s="882"/>
      <c r="AD799" s="882"/>
      <c r="AE799" s="882"/>
      <c r="AF799" s="882"/>
      <c r="AG799" s="882"/>
      <c r="AH799" s="882"/>
      <c r="AI799" s="882"/>
      <c r="AJ799" s="882"/>
      <c r="AK799" s="882"/>
    </row>
    <row r="800" spans="1:37" s="890" customFormat="1">
      <c r="A800" s="882"/>
      <c r="B800" s="891"/>
      <c r="C800" s="882"/>
      <c r="D800" s="883"/>
      <c r="E800" s="884"/>
      <c r="F800" s="885" t="str">
        <f>IFERROR(VLOOKUP(Table2[[#This Row],[Player No]],Table10[[No]:[Province]],3,0),"")</f>
        <v/>
      </c>
      <c r="G800" s="892">
        <v>0</v>
      </c>
      <c r="H800" s="886">
        <f>(Table2[[#This Row],[Points 2025]]/2)+SUM(Table2[[#This Row],[O1  ADMIN 2026]:[P2    CAPE TOWN OPEN 2026 ]])</f>
        <v>0</v>
      </c>
      <c r="I800" s="880">
        <f t="shared" si="73"/>
        <v>0</v>
      </c>
      <c r="J800" s="882">
        <f t="shared" si="74"/>
        <v>0</v>
      </c>
      <c r="K800" s="887" t="str">
        <f>IFERROR(VALUE(IF(Table2[[#This Row],[Player No]]="","",IFERROR(VLOOKUP(Table2[[#This Row],[Player No]],[3]Men!$D$2:$E$48,2,FALSE)&amp;"",""))),"")</f>
        <v/>
      </c>
      <c r="L800" s="887" t="str">
        <f>IFERROR(VALUE(IF(Table2[[#This Row],[Player No]]="","",IFERROR(VLOOKUP(Table2[[#This Row],[Player No]],[4]Men!$Z$14:$AB$62,2,FALSE)&amp;"",""))),"")</f>
        <v/>
      </c>
      <c r="M800" s="887"/>
      <c r="N800" s="887"/>
      <c r="O800" s="882"/>
      <c r="P800" s="882"/>
      <c r="Q800" s="888"/>
      <c r="R800" s="888"/>
      <c r="S800" s="888"/>
      <c r="T800" s="888"/>
      <c r="U800" s="882"/>
      <c r="V800" s="887"/>
      <c r="W800" s="888"/>
      <c r="X800" s="888"/>
      <c r="Y800" s="888"/>
      <c r="Z800" s="882"/>
      <c r="AA800" s="882"/>
      <c r="AB800" s="882"/>
      <c r="AC800" s="882"/>
      <c r="AD800" s="882"/>
      <c r="AE800" s="882"/>
      <c r="AF800" s="882"/>
      <c r="AG800" s="882"/>
      <c r="AH800" s="882"/>
      <c r="AI800" s="882"/>
      <c r="AJ800" s="882"/>
      <c r="AK800" s="882"/>
    </row>
    <row r="801" spans="1:37" s="890" customFormat="1">
      <c r="A801" s="882"/>
      <c r="B801" s="891"/>
      <c r="C801" s="882"/>
      <c r="D801" s="883"/>
      <c r="E801" s="884"/>
      <c r="F801" s="885" t="str">
        <f>IFERROR(VLOOKUP(Table2[[#This Row],[Player No]],Table10[[No]:[Province]],3,0),"")</f>
        <v/>
      </c>
      <c r="G801" s="892">
        <v>0</v>
      </c>
      <c r="H801" s="886">
        <f>(Table2[[#This Row],[Points 2025]]/2)+SUM(Table2[[#This Row],[O1  ADMIN 2026]:[P2    CAPE TOWN OPEN 2026 ]])</f>
        <v>0</v>
      </c>
      <c r="I801" s="880">
        <f t="shared" si="73"/>
        <v>0</v>
      </c>
      <c r="J801" s="882">
        <f t="shared" si="74"/>
        <v>0</v>
      </c>
      <c r="K801" s="887" t="str">
        <f>IFERROR(VALUE(IF(Table2[[#This Row],[Player No]]="","",IFERROR(VLOOKUP(Table2[[#This Row],[Player No]],[3]Men!$D$2:$E$48,2,FALSE)&amp;"",""))),"")</f>
        <v/>
      </c>
      <c r="L801" s="887" t="str">
        <f>IFERROR(VALUE(IF(Table2[[#This Row],[Player No]]="","",IFERROR(VLOOKUP(Table2[[#This Row],[Player No]],[4]Men!$Z$14:$AB$62,2,FALSE)&amp;"",""))),"")</f>
        <v/>
      </c>
      <c r="M801" s="887"/>
      <c r="N801" s="887"/>
      <c r="O801" s="882"/>
      <c r="P801" s="882"/>
      <c r="Q801" s="888"/>
      <c r="R801" s="888"/>
      <c r="S801" s="888"/>
      <c r="T801" s="888"/>
      <c r="U801" s="882"/>
      <c r="V801" s="887"/>
      <c r="W801" s="888"/>
      <c r="X801" s="888"/>
      <c r="Y801" s="888"/>
      <c r="Z801" s="882"/>
      <c r="AA801" s="882"/>
      <c r="AB801" s="882"/>
      <c r="AC801" s="882"/>
      <c r="AD801" s="882"/>
      <c r="AE801" s="882"/>
      <c r="AF801" s="882"/>
      <c r="AG801" s="882"/>
      <c r="AH801" s="882"/>
      <c r="AI801" s="882"/>
      <c r="AJ801" s="882"/>
      <c r="AK801" s="882"/>
    </row>
    <row r="802" spans="1:37" s="890" customFormat="1">
      <c r="A802" s="882"/>
      <c r="B802" s="891"/>
      <c r="C802" s="882"/>
      <c r="D802" s="883"/>
      <c r="E802" s="884"/>
      <c r="F802" s="885" t="str">
        <f>IFERROR(VLOOKUP(Table2[[#This Row],[Player No]],Table10[[No]:[Province]],3,0),"")</f>
        <v/>
      </c>
      <c r="G802" s="892">
        <v>0</v>
      </c>
      <c r="H802" s="886">
        <f>(Table2[[#This Row],[Points 2025]]/2)+SUM(Table2[[#This Row],[O1  ADMIN 2026]:[P2    CAPE TOWN OPEN 2026 ]])</f>
        <v>0</v>
      </c>
      <c r="I802" s="880">
        <f t="shared" si="73"/>
        <v>0</v>
      </c>
      <c r="J802" s="882">
        <f t="shared" si="74"/>
        <v>0</v>
      </c>
      <c r="K802" s="887" t="str">
        <f>IFERROR(VALUE(IF(Table2[[#This Row],[Player No]]="","",IFERROR(VLOOKUP(Table2[[#This Row],[Player No]],[3]Men!$D$2:$E$48,2,FALSE)&amp;"",""))),"")</f>
        <v/>
      </c>
      <c r="L802" s="887" t="str">
        <f>IFERROR(VALUE(IF(Table2[[#This Row],[Player No]]="","",IFERROR(VLOOKUP(Table2[[#This Row],[Player No]],[4]Men!$Z$14:$AB$62,2,FALSE)&amp;"",""))),"")</f>
        <v/>
      </c>
      <c r="M802" s="887"/>
      <c r="N802" s="887"/>
      <c r="O802" s="882"/>
      <c r="P802" s="882"/>
      <c r="Q802" s="888"/>
      <c r="R802" s="888"/>
      <c r="S802" s="888"/>
      <c r="T802" s="888"/>
      <c r="U802" s="882"/>
      <c r="V802" s="887"/>
      <c r="W802" s="888"/>
      <c r="X802" s="888"/>
      <c r="Y802" s="888"/>
      <c r="Z802" s="882"/>
      <c r="AA802" s="882"/>
      <c r="AB802" s="882"/>
      <c r="AC802" s="882"/>
      <c r="AD802" s="882"/>
      <c r="AE802" s="882"/>
      <c r="AF802" s="882"/>
      <c r="AG802" s="882"/>
      <c r="AH802" s="882"/>
      <c r="AI802" s="882"/>
      <c r="AJ802" s="882"/>
      <c r="AK802" s="882"/>
    </row>
    <row r="803" spans="1:37" s="890" customFormat="1">
      <c r="A803" s="882"/>
      <c r="B803" s="891"/>
      <c r="C803" s="882"/>
      <c r="D803" s="883"/>
      <c r="E803" s="884"/>
      <c r="F803" s="885" t="str">
        <f>IFERROR(VLOOKUP(Table2[[#This Row],[Player No]],Table10[[No]:[Province]],3,0),"")</f>
        <v/>
      </c>
      <c r="G803" s="892">
        <v>0</v>
      </c>
      <c r="H803" s="886">
        <f>(Table2[[#This Row],[Points 2025]]/2)+SUM(Table2[[#This Row],[O1  ADMIN 2026]:[P2    CAPE TOWN OPEN 2026 ]])</f>
        <v>0</v>
      </c>
      <c r="I803" s="880">
        <f t="shared" si="73"/>
        <v>0</v>
      </c>
      <c r="J803" s="882">
        <f t="shared" si="74"/>
        <v>0</v>
      </c>
      <c r="K803" s="887" t="str">
        <f>IFERROR(VALUE(IF(Table2[[#This Row],[Player No]]="","",IFERROR(VLOOKUP(Table2[[#This Row],[Player No]],[3]Men!$D$2:$E$48,2,FALSE)&amp;"",""))),"")</f>
        <v/>
      </c>
      <c r="L803" s="887" t="str">
        <f>IFERROR(VALUE(IF(Table2[[#This Row],[Player No]]="","",IFERROR(VLOOKUP(Table2[[#This Row],[Player No]],[4]Men!$Z$14:$AB$62,2,FALSE)&amp;"",""))),"")</f>
        <v/>
      </c>
      <c r="M803" s="887"/>
      <c r="N803" s="887"/>
      <c r="O803" s="882"/>
      <c r="P803" s="882"/>
      <c r="Q803" s="888"/>
      <c r="R803" s="888"/>
      <c r="S803" s="888"/>
      <c r="T803" s="888"/>
      <c r="U803" s="882"/>
      <c r="V803" s="887"/>
      <c r="W803" s="888"/>
      <c r="X803" s="888"/>
      <c r="Y803" s="888"/>
      <c r="Z803" s="882"/>
      <c r="AA803" s="882"/>
      <c r="AB803" s="882"/>
      <c r="AC803" s="882"/>
      <c r="AD803" s="882"/>
      <c r="AE803" s="882"/>
      <c r="AF803" s="882"/>
      <c r="AG803" s="882"/>
      <c r="AH803" s="882"/>
      <c r="AI803" s="882"/>
      <c r="AJ803" s="882"/>
      <c r="AK803" s="882"/>
    </row>
    <row r="804" spans="1:37" s="890" customFormat="1">
      <c r="A804" s="882"/>
      <c r="B804" s="891"/>
      <c r="C804" s="882"/>
      <c r="D804" s="883"/>
      <c r="E804" s="884"/>
      <c r="F804" s="885" t="str">
        <f>IFERROR(VLOOKUP(Table2[[#This Row],[Player No]],Table10[[No]:[Province]],3,0),"")</f>
        <v/>
      </c>
      <c r="G804" s="892">
        <v>0</v>
      </c>
      <c r="H804" s="886">
        <f>(Table2[[#This Row],[Points 2025]]/2)+SUM(Table2[[#This Row],[O1  ADMIN 2026]:[P2    CAPE TOWN OPEN 2026 ]])</f>
        <v>0</v>
      </c>
      <c r="I804" s="880">
        <f t="shared" si="73"/>
        <v>0</v>
      </c>
      <c r="J804" s="882">
        <f t="shared" si="74"/>
        <v>0</v>
      </c>
      <c r="K804" s="887" t="str">
        <f>IFERROR(VALUE(IF(Table2[[#This Row],[Player No]]="","",IFERROR(VLOOKUP(Table2[[#This Row],[Player No]],[3]Men!$D$2:$E$48,2,FALSE)&amp;"",""))),"")</f>
        <v/>
      </c>
      <c r="L804" s="887" t="str">
        <f>IFERROR(VALUE(IF(Table2[[#This Row],[Player No]]="","",IFERROR(VLOOKUP(Table2[[#This Row],[Player No]],[4]Men!$Z$14:$AB$62,2,FALSE)&amp;"",""))),"")</f>
        <v/>
      </c>
      <c r="M804" s="887"/>
      <c r="N804" s="887"/>
      <c r="O804" s="882"/>
      <c r="P804" s="882"/>
      <c r="Q804" s="888"/>
      <c r="R804" s="888"/>
      <c r="S804" s="888"/>
      <c r="T804" s="888"/>
      <c r="U804" s="882"/>
      <c r="V804" s="887"/>
      <c r="W804" s="888"/>
      <c r="X804" s="888"/>
      <c r="Y804" s="888"/>
      <c r="Z804" s="882"/>
      <c r="AA804" s="882"/>
      <c r="AB804" s="882"/>
      <c r="AC804" s="882"/>
      <c r="AD804" s="882"/>
      <c r="AE804" s="882"/>
      <c r="AF804" s="882"/>
      <c r="AG804" s="882"/>
      <c r="AH804" s="882"/>
      <c r="AI804" s="882"/>
      <c r="AJ804" s="882"/>
      <c r="AK804" s="882"/>
    </row>
    <row r="805" spans="1:37" s="890" customFormat="1">
      <c r="A805" s="882"/>
      <c r="B805" s="891"/>
      <c r="C805" s="882"/>
      <c r="D805" s="883"/>
      <c r="E805" s="884"/>
      <c r="F805" s="885" t="str">
        <f>IFERROR(VLOOKUP(Table2[[#This Row],[Player No]],Table10[[No]:[Province]],3,0),"")</f>
        <v/>
      </c>
      <c r="G805" s="892">
        <v>0</v>
      </c>
      <c r="H805" s="886">
        <f>(Table2[[#This Row],[Points 2025]]/2)+SUM(Table2[[#This Row],[O1  ADMIN 2026]:[P2    CAPE TOWN OPEN 2026 ]])</f>
        <v>0</v>
      </c>
      <c r="I805" s="880">
        <f t="shared" si="73"/>
        <v>0</v>
      </c>
      <c r="J805" s="882">
        <f t="shared" si="74"/>
        <v>0</v>
      </c>
      <c r="K805" s="887" t="str">
        <f>IFERROR(VALUE(IF(Table2[[#This Row],[Player No]]="","",IFERROR(VLOOKUP(Table2[[#This Row],[Player No]],[3]Men!$D$2:$E$48,2,FALSE)&amp;"",""))),"")</f>
        <v/>
      </c>
      <c r="L805" s="887" t="str">
        <f>IFERROR(VALUE(IF(Table2[[#This Row],[Player No]]="","",IFERROR(VLOOKUP(Table2[[#This Row],[Player No]],[4]Men!$Z$14:$AB$62,2,FALSE)&amp;"",""))),"")</f>
        <v/>
      </c>
      <c r="M805" s="887"/>
      <c r="N805" s="887"/>
      <c r="O805" s="882"/>
      <c r="P805" s="882"/>
      <c r="Q805" s="888"/>
      <c r="R805" s="888"/>
      <c r="S805" s="888"/>
      <c r="T805" s="888"/>
      <c r="U805" s="882"/>
      <c r="V805" s="887"/>
      <c r="W805" s="888"/>
      <c r="X805" s="888"/>
      <c r="Y805" s="888"/>
      <c r="Z805" s="882"/>
      <c r="AA805" s="882"/>
      <c r="AB805" s="882"/>
      <c r="AC805" s="882"/>
      <c r="AD805" s="882"/>
      <c r="AE805" s="882"/>
      <c r="AF805" s="882"/>
      <c r="AG805" s="882"/>
      <c r="AH805" s="882"/>
      <c r="AI805" s="882"/>
      <c r="AJ805" s="882"/>
      <c r="AK805" s="882"/>
    </row>
    <row r="806" spans="1:37" s="890" customFormat="1">
      <c r="A806" s="882"/>
      <c r="B806" s="891"/>
      <c r="C806" s="882"/>
      <c r="D806" s="883"/>
      <c r="E806" s="884"/>
      <c r="F806" s="885" t="str">
        <f>IFERROR(VLOOKUP(Table2[[#This Row],[Player No]],Table10[[No]:[Province]],3,0),"")</f>
        <v/>
      </c>
      <c r="G806" s="892">
        <v>0</v>
      </c>
      <c r="H806" s="886">
        <f>(Table2[[#This Row],[Points 2025]]/2)+SUM(Table2[[#This Row],[O1  ADMIN 2026]:[P2    CAPE TOWN OPEN 2026 ]])</f>
        <v>0</v>
      </c>
      <c r="I806" s="880">
        <f t="shared" si="73"/>
        <v>0</v>
      </c>
      <c r="J806" s="882">
        <f t="shared" si="74"/>
        <v>0</v>
      </c>
      <c r="K806" s="887" t="str">
        <f>IFERROR(VALUE(IF(Table2[[#This Row],[Player No]]="","",IFERROR(VLOOKUP(Table2[[#This Row],[Player No]],[3]Men!$D$2:$E$48,2,FALSE)&amp;"",""))),"")</f>
        <v/>
      </c>
      <c r="L806" s="887" t="str">
        <f>IFERROR(VALUE(IF(Table2[[#This Row],[Player No]]="","",IFERROR(VLOOKUP(Table2[[#This Row],[Player No]],[4]Men!$Z$14:$AB$62,2,FALSE)&amp;"",""))),"")</f>
        <v/>
      </c>
      <c r="M806" s="887"/>
      <c r="N806" s="887"/>
      <c r="O806" s="882"/>
      <c r="P806" s="882"/>
      <c r="Q806" s="888"/>
      <c r="R806" s="888"/>
      <c r="S806" s="888"/>
      <c r="T806" s="888"/>
      <c r="U806" s="882"/>
      <c r="V806" s="887"/>
      <c r="W806" s="888"/>
      <c r="X806" s="888"/>
      <c r="Y806" s="888"/>
      <c r="Z806" s="882"/>
      <c r="AA806" s="882"/>
      <c r="AB806" s="882"/>
      <c r="AC806" s="882"/>
      <c r="AD806" s="882"/>
      <c r="AE806" s="882"/>
      <c r="AF806" s="882"/>
      <c r="AG806" s="882"/>
      <c r="AH806" s="882"/>
      <c r="AI806" s="882"/>
      <c r="AJ806" s="882"/>
      <c r="AK806" s="882"/>
    </row>
    <row r="807" spans="1:37" s="890" customFormat="1">
      <c r="A807" s="882"/>
      <c r="B807" s="891"/>
      <c r="C807" s="882"/>
      <c r="D807" s="883"/>
      <c r="E807" s="884"/>
      <c r="F807" s="885" t="str">
        <f>IFERROR(VLOOKUP(Table2[[#This Row],[Player No]],Table10[[No]:[Province]],3,0),"")</f>
        <v/>
      </c>
      <c r="G807" s="892">
        <v>0</v>
      </c>
      <c r="H807" s="886">
        <f>(Table2[[#This Row],[Points 2025]]/2)+SUM(Table2[[#This Row],[O1  ADMIN 2026]:[P2    CAPE TOWN OPEN 2026 ]])</f>
        <v>0</v>
      </c>
      <c r="I807" s="880">
        <f t="shared" si="73"/>
        <v>0</v>
      </c>
      <c r="J807" s="882">
        <f t="shared" si="74"/>
        <v>0</v>
      </c>
      <c r="K807" s="887" t="str">
        <f>IFERROR(VALUE(IF(Table2[[#This Row],[Player No]]="","",IFERROR(VLOOKUP(Table2[[#This Row],[Player No]],[3]Men!$D$2:$E$48,2,FALSE)&amp;"",""))),"")</f>
        <v/>
      </c>
      <c r="L807" s="887" t="str">
        <f>IFERROR(VALUE(IF(Table2[[#This Row],[Player No]]="","",IFERROR(VLOOKUP(Table2[[#This Row],[Player No]],[4]Men!$Z$14:$AB$62,2,FALSE)&amp;"",""))),"")</f>
        <v/>
      </c>
      <c r="M807" s="887"/>
      <c r="N807" s="887"/>
      <c r="O807" s="882"/>
      <c r="P807" s="882"/>
      <c r="Q807" s="888"/>
      <c r="R807" s="888"/>
      <c r="S807" s="888"/>
      <c r="T807" s="888"/>
      <c r="U807" s="882"/>
      <c r="V807" s="887"/>
      <c r="W807" s="888"/>
      <c r="X807" s="888"/>
      <c r="Y807" s="888"/>
      <c r="Z807" s="882"/>
      <c r="AA807" s="882"/>
      <c r="AB807" s="882"/>
      <c r="AC807" s="882"/>
      <c r="AD807" s="882"/>
      <c r="AE807" s="882"/>
      <c r="AF807" s="882"/>
      <c r="AG807" s="882"/>
      <c r="AH807" s="882"/>
      <c r="AI807" s="882"/>
      <c r="AJ807" s="882"/>
      <c r="AK807" s="882"/>
    </row>
    <row r="808" spans="1:37" s="890" customFormat="1">
      <c r="A808" s="882"/>
      <c r="B808" s="891"/>
      <c r="C808" s="882"/>
      <c r="D808" s="883"/>
      <c r="E808" s="884"/>
      <c r="F808" s="885" t="str">
        <f>IFERROR(VLOOKUP(Table2[[#This Row],[Player No]],Table10[[No]:[Province]],3,0),"")</f>
        <v/>
      </c>
      <c r="G808" s="892">
        <v>0</v>
      </c>
      <c r="H808" s="886">
        <f>(Table2[[#This Row],[Points 2025]]/2)+SUM(Table2[[#This Row],[O1  ADMIN 2026]:[P2    CAPE TOWN OPEN 2026 ]])</f>
        <v>0</v>
      </c>
      <c r="I808" s="880">
        <f t="shared" si="73"/>
        <v>0</v>
      </c>
      <c r="J808" s="882">
        <f t="shared" si="74"/>
        <v>0</v>
      </c>
      <c r="K808" s="887" t="str">
        <f>IFERROR(VALUE(IF(Table2[[#This Row],[Player No]]="","",IFERROR(VLOOKUP(Table2[[#This Row],[Player No]],[3]Men!$D$2:$E$48,2,FALSE)&amp;"",""))),"")</f>
        <v/>
      </c>
      <c r="L808" s="887" t="str">
        <f>IFERROR(VALUE(IF(Table2[[#This Row],[Player No]]="","",IFERROR(VLOOKUP(Table2[[#This Row],[Player No]],[4]Men!$Z$14:$AB$62,2,FALSE)&amp;"",""))),"")</f>
        <v/>
      </c>
      <c r="M808" s="887"/>
      <c r="N808" s="887"/>
      <c r="O808" s="882"/>
      <c r="P808" s="882"/>
      <c r="Q808" s="888"/>
      <c r="R808" s="888"/>
      <c r="S808" s="888"/>
      <c r="T808" s="888"/>
      <c r="U808" s="882"/>
      <c r="V808" s="887"/>
      <c r="W808" s="888"/>
      <c r="X808" s="888"/>
      <c r="Y808" s="888"/>
      <c r="Z808" s="882"/>
      <c r="AA808" s="882"/>
      <c r="AB808" s="882"/>
      <c r="AC808" s="882"/>
      <c r="AD808" s="882"/>
      <c r="AE808" s="882"/>
      <c r="AF808" s="882"/>
      <c r="AG808" s="882"/>
      <c r="AH808" s="882"/>
      <c r="AI808" s="882"/>
      <c r="AJ808" s="882"/>
      <c r="AK808" s="882"/>
    </row>
    <row r="809" spans="1:37" s="890" customFormat="1">
      <c r="A809" s="882"/>
      <c r="B809" s="891"/>
      <c r="C809" s="882"/>
      <c r="D809" s="883"/>
      <c r="E809" s="884"/>
      <c r="F809" s="885" t="str">
        <f>IFERROR(VLOOKUP(Table2[[#This Row],[Player No]],Table10[[No]:[Province]],3,0),"")</f>
        <v/>
      </c>
      <c r="G809" s="892">
        <v>0</v>
      </c>
      <c r="H809" s="886">
        <f>(Table2[[#This Row],[Points 2025]]/2)+SUM(Table2[[#This Row],[O1  ADMIN 2026]:[P2    CAPE TOWN OPEN 2026 ]])</f>
        <v>0</v>
      </c>
      <c r="I809" s="880">
        <f t="shared" si="73"/>
        <v>0</v>
      </c>
      <c r="J809" s="882">
        <f t="shared" si="74"/>
        <v>0</v>
      </c>
      <c r="K809" s="887" t="str">
        <f>IFERROR(VALUE(IF(Table2[[#This Row],[Player No]]="","",IFERROR(VLOOKUP(Table2[[#This Row],[Player No]],[3]Men!$D$2:$E$48,2,FALSE)&amp;"",""))),"")</f>
        <v/>
      </c>
      <c r="L809" s="887" t="str">
        <f>IFERROR(VALUE(IF(Table2[[#This Row],[Player No]]="","",IFERROR(VLOOKUP(Table2[[#This Row],[Player No]],[4]Men!$Z$14:$AB$62,2,FALSE)&amp;"",""))),"")</f>
        <v/>
      </c>
      <c r="M809" s="887"/>
      <c r="N809" s="887"/>
      <c r="O809" s="882"/>
      <c r="P809" s="882"/>
      <c r="Q809" s="888"/>
      <c r="R809" s="888"/>
      <c r="S809" s="888"/>
      <c r="T809" s="888"/>
      <c r="U809" s="882"/>
      <c r="V809" s="887"/>
      <c r="W809" s="888"/>
      <c r="X809" s="888"/>
      <c r="Y809" s="888"/>
      <c r="Z809" s="882"/>
      <c r="AA809" s="882"/>
      <c r="AB809" s="882"/>
      <c r="AC809" s="882"/>
      <c r="AD809" s="882"/>
      <c r="AE809" s="882"/>
      <c r="AF809" s="882"/>
      <c r="AG809" s="882"/>
      <c r="AH809" s="882"/>
      <c r="AI809" s="882"/>
      <c r="AJ809" s="882"/>
      <c r="AK809" s="882"/>
    </row>
    <row r="810" spans="1:37" s="890" customFormat="1">
      <c r="A810" s="882"/>
      <c r="B810" s="891"/>
      <c r="C810" s="882"/>
      <c r="D810" s="883"/>
      <c r="E810" s="884"/>
      <c r="F810" s="885" t="str">
        <f>IFERROR(VLOOKUP(Table2[[#This Row],[Player No]],Table10[[No]:[Province]],3,0),"")</f>
        <v/>
      </c>
      <c r="G810" s="892">
        <v>0</v>
      </c>
      <c r="H810" s="886">
        <f>(Table2[[#This Row],[Points 2025]]/2)+SUM(Table2[[#This Row],[O1  ADMIN 2026]:[P2    CAPE TOWN OPEN 2026 ]])</f>
        <v>0</v>
      </c>
      <c r="I810" s="880">
        <f t="shared" si="73"/>
        <v>0</v>
      </c>
      <c r="J810" s="882">
        <f t="shared" si="74"/>
        <v>0</v>
      </c>
      <c r="K810" s="887" t="str">
        <f>IFERROR(VALUE(IF(Table2[[#This Row],[Player No]]="","",IFERROR(VLOOKUP(Table2[[#This Row],[Player No]],[3]Men!$D$2:$E$48,2,FALSE)&amp;"",""))),"")</f>
        <v/>
      </c>
      <c r="L810" s="887" t="str">
        <f>IFERROR(VALUE(IF(Table2[[#This Row],[Player No]]="","",IFERROR(VLOOKUP(Table2[[#This Row],[Player No]],[4]Men!$Z$14:$AB$62,2,FALSE)&amp;"",""))),"")</f>
        <v/>
      </c>
      <c r="M810" s="887"/>
      <c r="N810" s="887"/>
      <c r="O810" s="882"/>
      <c r="P810" s="882"/>
      <c r="Q810" s="888"/>
      <c r="R810" s="888"/>
      <c r="S810" s="888"/>
      <c r="T810" s="888"/>
      <c r="U810" s="882"/>
      <c r="V810" s="887"/>
      <c r="W810" s="888"/>
      <c r="X810" s="888"/>
      <c r="Y810" s="888"/>
      <c r="Z810" s="882"/>
      <c r="AA810" s="882"/>
      <c r="AB810" s="882"/>
      <c r="AC810" s="882"/>
      <c r="AD810" s="882"/>
      <c r="AE810" s="882"/>
      <c r="AF810" s="882"/>
      <c r="AG810" s="882"/>
      <c r="AH810" s="882"/>
      <c r="AI810" s="882"/>
      <c r="AJ810" s="882"/>
      <c r="AK810" s="882"/>
    </row>
    <row r="811" spans="1:37" s="890" customFormat="1">
      <c r="A811" s="882"/>
      <c r="B811" s="891"/>
      <c r="C811" s="882"/>
      <c r="D811" s="883"/>
      <c r="E811" s="884"/>
      <c r="F811" s="885" t="str">
        <f>IFERROR(VLOOKUP(Table2[[#This Row],[Player No]],Table10[[No]:[Province]],3,0),"")</f>
        <v/>
      </c>
      <c r="G811" s="892">
        <v>0</v>
      </c>
      <c r="H811" s="886">
        <f>(Table2[[#This Row],[Points 2025]]/2)+SUM(Table2[[#This Row],[O1  ADMIN 2026]:[P2    CAPE TOWN OPEN 2026 ]])</f>
        <v>0</v>
      </c>
      <c r="I811" s="880">
        <f t="shared" si="73"/>
        <v>0</v>
      </c>
      <c r="J811" s="882">
        <f t="shared" si="74"/>
        <v>0</v>
      </c>
      <c r="K811" s="887" t="str">
        <f>IFERROR(VALUE(IF(Table2[[#This Row],[Player No]]="","",IFERROR(VLOOKUP(Table2[[#This Row],[Player No]],[3]Men!$D$2:$E$48,2,FALSE)&amp;"",""))),"")</f>
        <v/>
      </c>
      <c r="L811" s="887" t="str">
        <f>IFERROR(VALUE(IF(Table2[[#This Row],[Player No]]="","",IFERROR(VLOOKUP(Table2[[#This Row],[Player No]],[4]Men!$Z$14:$AB$62,2,FALSE)&amp;"",""))),"")</f>
        <v/>
      </c>
      <c r="M811" s="887"/>
      <c r="N811" s="887"/>
      <c r="O811" s="882"/>
      <c r="P811" s="882"/>
      <c r="Q811" s="888"/>
      <c r="R811" s="888"/>
      <c r="S811" s="888"/>
      <c r="T811" s="888"/>
      <c r="U811" s="882"/>
      <c r="V811" s="887"/>
      <c r="W811" s="888"/>
      <c r="X811" s="888"/>
      <c r="Y811" s="888"/>
      <c r="Z811" s="882"/>
      <c r="AA811" s="882"/>
      <c r="AB811" s="882"/>
      <c r="AC811" s="882"/>
      <c r="AD811" s="882"/>
      <c r="AE811" s="882"/>
      <c r="AF811" s="882"/>
      <c r="AG811" s="882"/>
      <c r="AH811" s="882"/>
      <c r="AI811" s="882"/>
      <c r="AJ811" s="882"/>
      <c r="AK811" s="882"/>
    </row>
    <row r="812" spans="1:37" s="890" customFormat="1">
      <c r="A812" s="882"/>
      <c r="B812" s="891"/>
      <c r="C812" s="882"/>
      <c r="D812" s="883"/>
      <c r="E812" s="884"/>
      <c r="F812" s="885" t="str">
        <f>IFERROR(VLOOKUP(Table2[[#This Row],[Player No]],Table10[[No]:[Province]],3,0),"")</f>
        <v/>
      </c>
      <c r="G812" s="892">
        <v>0</v>
      </c>
      <c r="H812" s="886">
        <f>(Table2[[#This Row],[Points 2025]]/2)+SUM(Table2[[#This Row],[O1  ADMIN 2026]:[P2    CAPE TOWN OPEN 2026 ]])</f>
        <v>0</v>
      </c>
      <c r="I812" s="880">
        <f t="shared" si="73"/>
        <v>0</v>
      </c>
      <c r="J812" s="882">
        <f t="shared" si="74"/>
        <v>0</v>
      </c>
      <c r="K812" s="887" t="str">
        <f>IFERROR(VALUE(IF(Table2[[#This Row],[Player No]]="","",IFERROR(VLOOKUP(Table2[[#This Row],[Player No]],[3]Men!$D$2:$E$48,2,FALSE)&amp;"",""))),"")</f>
        <v/>
      </c>
      <c r="L812" s="887" t="str">
        <f>IFERROR(VALUE(IF(Table2[[#This Row],[Player No]]="","",IFERROR(VLOOKUP(Table2[[#This Row],[Player No]],[4]Men!$Z$14:$AB$62,2,FALSE)&amp;"",""))),"")</f>
        <v/>
      </c>
      <c r="M812" s="887"/>
      <c r="N812" s="887"/>
      <c r="O812" s="882"/>
      <c r="P812" s="882"/>
      <c r="Q812" s="888"/>
      <c r="R812" s="888"/>
      <c r="S812" s="888"/>
      <c r="T812" s="888"/>
      <c r="U812" s="882"/>
      <c r="V812" s="887"/>
      <c r="W812" s="888"/>
      <c r="X812" s="888"/>
      <c r="Y812" s="888"/>
      <c r="Z812" s="882"/>
      <c r="AA812" s="882"/>
      <c r="AB812" s="882"/>
      <c r="AC812" s="882"/>
      <c r="AD812" s="882"/>
      <c r="AE812" s="882"/>
      <c r="AF812" s="882"/>
      <c r="AG812" s="882"/>
      <c r="AH812" s="882"/>
      <c r="AI812" s="882"/>
      <c r="AJ812" s="882"/>
      <c r="AK812" s="882"/>
    </row>
    <row r="813" spans="1:37" s="890" customFormat="1">
      <c r="A813" s="882"/>
      <c r="B813" s="891"/>
      <c r="C813" s="882"/>
      <c r="D813" s="883"/>
      <c r="E813" s="884"/>
      <c r="F813" s="885" t="str">
        <f>IFERROR(VLOOKUP(Table2[[#This Row],[Player No]],Table10[[No]:[Province]],3,0),"")</f>
        <v/>
      </c>
      <c r="G813" s="892">
        <v>0</v>
      </c>
      <c r="H813" s="886">
        <f>(Table2[[#This Row],[Points 2025]]/2)+SUM(Table2[[#This Row],[O1  ADMIN 2026]:[P2    CAPE TOWN OPEN 2026 ]])</f>
        <v>0</v>
      </c>
      <c r="I813" s="880">
        <f t="shared" si="73"/>
        <v>0</v>
      </c>
      <c r="J813" s="882">
        <f t="shared" si="74"/>
        <v>0</v>
      </c>
      <c r="K813" s="887" t="str">
        <f>IFERROR(VALUE(IF(Table2[[#This Row],[Player No]]="","",IFERROR(VLOOKUP(Table2[[#This Row],[Player No]],[3]Men!$D$2:$E$48,2,FALSE)&amp;"",""))),"")</f>
        <v/>
      </c>
      <c r="L813" s="887" t="str">
        <f>IFERROR(VALUE(IF(Table2[[#This Row],[Player No]]="","",IFERROR(VLOOKUP(Table2[[#This Row],[Player No]],[4]Men!$Z$14:$AB$62,2,FALSE)&amp;"",""))),"")</f>
        <v/>
      </c>
      <c r="M813" s="887"/>
      <c r="N813" s="887"/>
      <c r="O813" s="882"/>
      <c r="P813" s="882"/>
      <c r="Q813" s="888"/>
      <c r="R813" s="888"/>
      <c r="S813" s="888"/>
      <c r="T813" s="888"/>
      <c r="U813" s="882"/>
      <c r="V813" s="887"/>
      <c r="W813" s="888"/>
      <c r="X813" s="888"/>
      <c r="Y813" s="888"/>
      <c r="Z813" s="882"/>
      <c r="AA813" s="882"/>
      <c r="AB813" s="882"/>
      <c r="AC813" s="882"/>
      <c r="AD813" s="882"/>
      <c r="AE813" s="882"/>
      <c r="AF813" s="882"/>
      <c r="AG813" s="882"/>
      <c r="AH813" s="882"/>
      <c r="AI813" s="882"/>
      <c r="AJ813" s="882"/>
      <c r="AK813" s="882"/>
    </row>
    <row r="814" spans="1:37" s="890" customFormat="1">
      <c r="A814" s="882"/>
      <c r="B814" s="891"/>
      <c r="C814" s="882"/>
      <c r="D814" s="883"/>
      <c r="E814" s="884"/>
      <c r="F814" s="885" t="str">
        <f>IFERROR(VLOOKUP(Table2[[#This Row],[Player No]],Table10[[No]:[Province]],3,0),"")</f>
        <v/>
      </c>
      <c r="G814" s="892">
        <v>0</v>
      </c>
      <c r="H814" s="886">
        <f>(Table2[[#This Row],[Points 2025]]/2)+SUM(Table2[[#This Row],[O1  ADMIN 2026]:[P2    CAPE TOWN OPEN 2026 ]])</f>
        <v>0</v>
      </c>
      <c r="I814" s="880">
        <f t="shared" si="73"/>
        <v>0</v>
      </c>
      <c r="J814" s="882">
        <f t="shared" si="74"/>
        <v>0</v>
      </c>
      <c r="K814" s="887" t="str">
        <f>IFERROR(VALUE(IF(Table2[[#This Row],[Player No]]="","",IFERROR(VLOOKUP(Table2[[#This Row],[Player No]],[3]Men!$D$2:$E$48,2,FALSE)&amp;"",""))),"")</f>
        <v/>
      </c>
      <c r="L814" s="887" t="str">
        <f>IFERROR(VALUE(IF(Table2[[#This Row],[Player No]]="","",IFERROR(VLOOKUP(Table2[[#This Row],[Player No]],[4]Men!$Z$14:$AB$62,2,FALSE)&amp;"",""))),"")</f>
        <v/>
      </c>
      <c r="M814" s="887"/>
      <c r="N814" s="887"/>
      <c r="O814" s="882"/>
      <c r="P814" s="882"/>
      <c r="Q814" s="888"/>
      <c r="R814" s="888"/>
      <c r="S814" s="888"/>
      <c r="T814" s="888"/>
      <c r="U814" s="882"/>
      <c r="V814" s="887"/>
      <c r="W814" s="888"/>
      <c r="X814" s="888"/>
      <c r="Y814" s="888"/>
      <c r="Z814" s="882"/>
      <c r="AA814" s="882"/>
      <c r="AB814" s="882"/>
      <c r="AC814" s="882"/>
      <c r="AD814" s="882"/>
      <c r="AE814" s="882"/>
      <c r="AF814" s="882"/>
      <c r="AG814" s="882"/>
      <c r="AH814" s="882"/>
      <c r="AI814" s="882"/>
      <c r="AJ814" s="882"/>
      <c r="AK814" s="882"/>
    </row>
    <row r="815" spans="1:37" s="890" customFormat="1">
      <c r="A815" s="882"/>
      <c r="B815" s="891"/>
      <c r="C815" s="882"/>
      <c r="D815" s="883"/>
      <c r="E815" s="884"/>
      <c r="F815" s="885" t="str">
        <f>IFERROR(VLOOKUP(Table2[[#This Row],[Player No]],Table10[[No]:[Province]],3,0),"")</f>
        <v/>
      </c>
      <c r="G815" s="892">
        <v>0</v>
      </c>
      <c r="H815" s="886">
        <f>(Table2[[#This Row],[Points 2025]]/2)+SUM(Table2[[#This Row],[O1  ADMIN 2026]:[P2    CAPE TOWN OPEN 2026 ]])</f>
        <v>0</v>
      </c>
      <c r="I815" s="880">
        <f t="shared" si="73"/>
        <v>0</v>
      </c>
      <c r="J815" s="882">
        <f t="shared" si="74"/>
        <v>0</v>
      </c>
      <c r="K815" s="887" t="str">
        <f>IFERROR(VALUE(IF(Table2[[#This Row],[Player No]]="","",IFERROR(VLOOKUP(Table2[[#This Row],[Player No]],[3]Men!$D$2:$E$48,2,FALSE)&amp;"",""))),"")</f>
        <v/>
      </c>
      <c r="L815" s="887" t="str">
        <f>IFERROR(VALUE(IF(Table2[[#This Row],[Player No]]="","",IFERROR(VLOOKUP(Table2[[#This Row],[Player No]],[4]Men!$Z$14:$AB$62,2,FALSE)&amp;"",""))),"")</f>
        <v/>
      </c>
      <c r="M815" s="887"/>
      <c r="N815" s="887"/>
      <c r="O815" s="882"/>
      <c r="P815" s="882"/>
      <c r="Q815" s="888"/>
      <c r="R815" s="888"/>
      <c r="S815" s="888"/>
      <c r="T815" s="888"/>
      <c r="U815" s="882"/>
      <c r="V815" s="887"/>
      <c r="W815" s="888"/>
      <c r="X815" s="888"/>
      <c r="Y815" s="888"/>
      <c r="Z815" s="882"/>
      <c r="AA815" s="882"/>
      <c r="AB815" s="882"/>
      <c r="AC815" s="882"/>
      <c r="AD815" s="882"/>
      <c r="AE815" s="882"/>
      <c r="AF815" s="882"/>
      <c r="AG815" s="882"/>
      <c r="AH815" s="882"/>
      <c r="AI815" s="882"/>
      <c r="AJ815" s="882"/>
      <c r="AK815" s="882"/>
    </row>
    <row r="816" spans="1:37" s="890" customFormat="1">
      <c r="A816" s="882"/>
      <c r="B816" s="891"/>
      <c r="C816" s="882"/>
      <c r="D816" s="883"/>
      <c r="E816" s="884"/>
      <c r="F816" s="885" t="str">
        <f>IFERROR(VLOOKUP(Table2[[#This Row],[Player No]],Table10[[No]:[Province]],3,0),"")</f>
        <v/>
      </c>
      <c r="G816" s="892">
        <v>0</v>
      </c>
      <c r="H816" s="886">
        <f>(Table2[[#This Row],[Points 2025]]/2)+SUM(Table2[[#This Row],[O1  ADMIN 2026]:[P2    CAPE TOWN OPEN 2026 ]])</f>
        <v>0</v>
      </c>
      <c r="I816" s="880">
        <f t="shared" si="73"/>
        <v>0</v>
      </c>
      <c r="J816" s="882">
        <f t="shared" si="74"/>
        <v>0</v>
      </c>
      <c r="K816" s="887" t="str">
        <f>IFERROR(VALUE(IF(Table2[[#This Row],[Player No]]="","",IFERROR(VLOOKUP(Table2[[#This Row],[Player No]],[3]Men!$D$2:$E$48,2,FALSE)&amp;"",""))),"")</f>
        <v/>
      </c>
      <c r="L816" s="887" t="str">
        <f>IFERROR(VALUE(IF(Table2[[#This Row],[Player No]]="","",IFERROR(VLOOKUP(Table2[[#This Row],[Player No]],[4]Men!$Z$14:$AB$62,2,FALSE)&amp;"",""))),"")</f>
        <v/>
      </c>
      <c r="M816" s="887"/>
      <c r="N816" s="887"/>
      <c r="O816" s="882"/>
      <c r="P816" s="882"/>
      <c r="Q816" s="888"/>
      <c r="R816" s="888"/>
      <c r="S816" s="888"/>
      <c r="T816" s="888"/>
      <c r="U816" s="882"/>
      <c r="V816" s="887"/>
      <c r="W816" s="888"/>
      <c r="X816" s="888"/>
      <c r="Y816" s="888"/>
      <c r="Z816" s="882"/>
      <c r="AA816" s="882"/>
      <c r="AB816" s="882"/>
      <c r="AC816" s="882"/>
      <c r="AD816" s="882"/>
      <c r="AE816" s="882"/>
      <c r="AF816" s="882"/>
      <c r="AG816" s="882"/>
      <c r="AH816" s="882"/>
      <c r="AI816" s="882"/>
      <c r="AJ816" s="882"/>
      <c r="AK816" s="882"/>
    </row>
    <row r="817" spans="1:37" s="890" customFormat="1">
      <c r="A817" s="882"/>
      <c r="B817" s="891"/>
      <c r="C817" s="882"/>
      <c r="D817" s="883"/>
      <c r="E817" s="884"/>
      <c r="F817" s="885" t="str">
        <f>IFERROR(VLOOKUP(Table2[[#This Row],[Player No]],Table10[[No]:[Province]],3,0),"")</f>
        <v/>
      </c>
      <c r="G817" s="892">
        <v>0</v>
      </c>
      <c r="H817" s="886">
        <f>(Table2[[#This Row],[Points 2025]]/2)+SUM(Table2[[#This Row],[O1  ADMIN 2026]:[P2    CAPE TOWN OPEN 2026 ]])</f>
        <v>0</v>
      </c>
      <c r="I817" s="880">
        <f t="shared" si="73"/>
        <v>0</v>
      </c>
      <c r="J817" s="882">
        <f t="shared" si="74"/>
        <v>0</v>
      </c>
      <c r="K817" s="887" t="str">
        <f>IFERROR(VALUE(IF(Table2[[#This Row],[Player No]]="","",IFERROR(VLOOKUP(Table2[[#This Row],[Player No]],[3]Men!$D$2:$E$48,2,FALSE)&amp;"",""))),"")</f>
        <v/>
      </c>
      <c r="L817" s="887" t="str">
        <f>IFERROR(VALUE(IF(Table2[[#This Row],[Player No]]="","",IFERROR(VLOOKUP(Table2[[#This Row],[Player No]],[4]Men!$Z$14:$AB$62,2,FALSE)&amp;"",""))),"")</f>
        <v/>
      </c>
      <c r="M817" s="887"/>
      <c r="N817" s="887"/>
      <c r="O817" s="882"/>
      <c r="P817" s="882"/>
      <c r="Q817" s="888"/>
      <c r="R817" s="888"/>
      <c r="S817" s="888"/>
      <c r="T817" s="888"/>
      <c r="U817" s="882"/>
      <c r="V817" s="887"/>
      <c r="W817" s="888"/>
      <c r="X817" s="888"/>
      <c r="Y817" s="888"/>
      <c r="Z817" s="882"/>
      <c r="AA817" s="882"/>
      <c r="AB817" s="882"/>
      <c r="AC817" s="882"/>
      <c r="AD817" s="882"/>
      <c r="AE817" s="882"/>
      <c r="AF817" s="882"/>
      <c r="AG817" s="882"/>
      <c r="AH817" s="882"/>
      <c r="AI817" s="882"/>
      <c r="AJ817" s="882"/>
      <c r="AK817" s="882"/>
    </row>
    <row r="818" spans="1:37" s="890" customFormat="1">
      <c r="A818" s="882"/>
      <c r="B818" s="891"/>
      <c r="C818" s="882"/>
      <c r="D818" s="883"/>
      <c r="E818" s="884"/>
      <c r="F818" s="885" t="str">
        <f>IFERROR(VLOOKUP(Table2[[#This Row],[Player No]],Table10[[No]:[Province]],3,0),"")</f>
        <v/>
      </c>
      <c r="G818" s="892">
        <v>0</v>
      </c>
      <c r="H818" s="886">
        <f>(Table2[[#This Row],[Points 2025]]/2)+SUM(Table2[[#This Row],[O1  ADMIN 2026]:[P2    CAPE TOWN OPEN 2026 ]])</f>
        <v>0</v>
      </c>
      <c r="I818" s="880">
        <f t="shared" si="73"/>
        <v>0</v>
      </c>
      <c r="J818" s="882">
        <f t="shared" si="74"/>
        <v>0</v>
      </c>
      <c r="K818" s="887" t="str">
        <f>IFERROR(VALUE(IF(Table2[[#This Row],[Player No]]="","",IFERROR(VLOOKUP(Table2[[#This Row],[Player No]],[3]Men!$D$2:$E$48,2,FALSE)&amp;"",""))),"")</f>
        <v/>
      </c>
      <c r="L818" s="887" t="str">
        <f>IFERROR(VALUE(IF(Table2[[#This Row],[Player No]]="","",IFERROR(VLOOKUP(Table2[[#This Row],[Player No]],[4]Men!$Z$14:$AB$62,2,FALSE)&amp;"",""))),"")</f>
        <v/>
      </c>
      <c r="M818" s="887"/>
      <c r="N818" s="887"/>
      <c r="O818" s="882"/>
      <c r="P818" s="882"/>
      <c r="Q818" s="888"/>
      <c r="R818" s="888"/>
      <c r="S818" s="888"/>
      <c r="T818" s="888"/>
      <c r="U818" s="882"/>
      <c r="V818" s="887"/>
      <c r="W818" s="888"/>
      <c r="X818" s="888"/>
      <c r="Y818" s="888"/>
      <c r="Z818" s="882"/>
      <c r="AA818" s="882"/>
      <c r="AB818" s="882"/>
      <c r="AC818" s="882"/>
      <c r="AD818" s="882"/>
      <c r="AE818" s="882"/>
      <c r="AF818" s="882"/>
      <c r="AG818" s="882"/>
      <c r="AH818" s="882"/>
      <c r="AI818" s="882"/>
      <c r="AJ818" s="882"/>
      <c r="AK818" s="882"/>
    </row>
    <row r="819" spans="1:37" s="890" customFormat="1">
      <c r="A819" s="882"/>
      <c r="B819" s="891"/>
      <c r="C819" s="882"/>
      <c r="D819" s="883"/>
      <c r="E819" s="884"/>
      <c r="F819" s="885" t="str">
        <f>IFERROR(VLOOKUP(Table2[[#This Row],[Player No]],Table10[[No]:[Province]],3,0),"")</f>
        <v/>
      </c>
      <c r="G819" s="892">
        <v>0</v>
      </c>
      <c r="H819" s="886">
        <f>(Table2[[#This Row],[Points 2025]]/2)+SUM(Table2[[#This Row],[O1  ADMIN 2026]:[P2    CAPE TOWN OPEN 2026 ]])</f>
        <v>0</v>
      </c>
      <c r="I819" s="880">
        <f t="shared" si="73"/>
        <v>0</v>
      </c>
      <c r="J819" s="882">
        <f t="shared" si="74"/>
        <v>0</v>
      </c>
      <c r="K819" s="887" t="str">
        <f>IFERROR(VALUE(IF(Table2[[#This Row],[Player No]]="","",IFERROR(VLOOKUP(Table2[[#This Row],[Player No]],[3]Men!$D$2:$E$48,2,FALSE)&amp;"",""))),"")</f>
        <v/>
      </c>
      <c r="L819" s="887" t="str">
        <f>IFERROR(VALUE(IF(Table2[[#This Row],[Player No]]="","",IFERROR(VLOOKUP(Table2[[#This Row],[Player No]],[4]Men!$Z$14:$AB$62,2,FALSE)&amp;"",""))),"")</f>
        <v/>
      </c>
      <c r="M819" s="887"/>
      <c r="N819" s="887"/>
      <c r="O819" s="882"/>
      <c r="P819" s="882"/>
      <c r="Q819" s="888"/>
      <c r="R819" s="888"/>
      <c r="S819" s="888"/>
      <c r="T819" s="888"/>
      <c r="U819" s="882"/>
      <c r="V819" s="887"/>
      <c r="W819" s="888"/>
      <c r="X819" s="888"/>
      <c r="Y819" s="888"/>
      <c r="Z819" s="882"/>
      <c r="AA819" s="882"/>
      <c r="AB819" s="882"/>
      <c r="AC819" s="882"/>
      <c r="AD819" s="882"/>
      <c r="AE819" s="882"/>
      <c r="AF819" s="882"/>
      <c r="AG819" s="882"/>
      <c r="AH819" s="882"/>
      <c r="AI819" s="882"/>
      <c r="AJ819" s="882"/>
      <c r="AK819" s="882"/>
    </row>
    <row r="820" spans="1:37" s="890" customFormat="1">
      <c r="A820" s="882"/>
      <c r="B820" s="891"/>
      <c r="C820" s="882"/>
      <c r="D820" s="883"/>
      <c r="E820" s="884"/>
      <c r="F820" s="885" t="str">
        <f>IFERROR(VLOOKUP(Table2[[#This Row],[Player No]],Table10[[No]:[Province]],3,0),"")</f>
        <v/>
      </c>
      <c r="G820" s="892">
        <v>0</v>
      </c>
      <c r="H820" s="886">
        <f>(Table2[[#This Row],[Points 2025]]/2)+SUM(Table2[[#This Row],[O1  ADMIN 2026]:[P2    CAPE TOWN OPEN 2026 ]])</f>
        <v>0</v>
      </c>
      <c r="I820" s="880">
        <f t="shared" si="73"/>
        <v>0</v>
      </c>
      <c r="J820" s="882">
        <f t="shared" si="74"/>
        <v>0</v>
      </c>
      <c r="K820" s="887" t="str">
        <f>IFERROR(VALUE(IF(Table2[[#This Row],[Player No]]="","",IFERROR(VLOOKUP(Table2[[#This Row],[Player No]],[3]Men!$D$2:$E$48,2,FALSE)&amp;"",""))),"")</f>
        <v/>
      </c>
      <c r="L820" s="887" t="str">
        <f>IFERROR(VALUE(IF(Table2[[#This Row],[Player No]]="","",IFERROR(VLOOKUP(Table2[[#This Row],[Player No]],[4]Men!$Z$14:$AB$62,2,FALSE)&amp;"",""))),"")</f>
        <v/>
      </c>
      <c r="M820" s="887"/>
      <c r="N820" s="887"/>
      <c r="O820" s="882"/>
      <c r="P820" s="882"/>
      <c r="Q820" s="888"/>
      <c r="R820" s="888"/>
      <c r="S820" s="888"/>
      <c r="T820" s="888"/>
      <c r="U820" s="882"/>
      <c r="V820" s="887"/>
      <c r="W820" s="888"/>
      <c r="X820" s="888"/>
      <c r="Y820" s="888"/>
      <c r="Z820" s="882"/>
      <c r="AA820" s="882"/>
      <c r="AB820" s="882"/>
      <c r="AC820" s="882"/>
      <c r="AD820" s="882"/>
      <c r="AE820" s="882"/>
      <c r="AF820" s="882"/>
      <c r="AG820" s="882"/>
      <c r="AH820" s="882"/>
      <c r="AI820" s="882"/>
      <c r="AJ820" s="882"/>
      <c r="AK820" s="882"/>
    </row>
    <row r="821" spans="1:37" s="890" customFormat="1">
      <c r="A821" s="882"/>
      <c r="B821" s="891"/>
      <c r="C821" s="882"/>
      <c r="D821" s="883"/>
      <c r="E821" s="884"/>
      <c r="F821" s="885" t="str">
        <f>IFERROR(VLOOKUP(Table2[[#This Row],[Player No]],Table10[[No]:[Province]],3,0),"")</f>
        <v/>
      </c>
      <c r="G821" s="892">
        <v>0</v>
      </c>
      <c r="H821" s="886">
        <f>(Table2[[#This Row],[Points 2025]]/2)+SUM(Table2[[#This Row],[O1  ADMIN 2026]:[P2    CAPE TOWN OPEN 2026 ]])</f>
        <v>0</v>
      </c>
      <c r="I821" s="880">
        <f t="shared" si="73"/>
        <v>0</v>
      </c>
      <c r="J821" s="882">
        <f t="shared" si="74"/>
        <v>0</v>
      </c>
      <c r="K821" s="887" t="str">
        <f>IFERROR(VALUE(IF(Table2[[#This Row],[Player No]]="","",IFERROR(VLOOKUP(Table2[[#This Row],[Player No]],[3]Men!$D$2:$E$48,2,FALSE)&amp;"",""))),"")</f>
        <v/>
      </c>
      <c r="L821" s="887" t="str">
        <f>IFERROR(VALUE(IF(Table2[[#This Row],[Player No]]="","",IFERROR(VLOOKUP(Table2[[#This Row],[Player No]],[4]Men!$Z$14:$AB$62,2,FALSE)&amp;"",""))),"")</f>
        <v/>
      </c>
      <c r="M821" s="887"/>
      <c r="N821" s="887"/>
      <c r="O821" s="882"/>
      <c r="P821" s="882"/>
      <c r="Q821" s="888"/>
      <c r="R821" s="888"/>
      <c r="S821" s="888"/>
      <c r="T821" s="888"/>
      <c r="U821" s="882"/>
      <c r="V821" s="887"/>
      <c r="W821" s="888"/>
      <c r="X821" s="888"/>
      <c r="Y821" s="888"/>
      <c r="Z821" s="882"/>
      <c r="AA821" s="882"/>
      <c r="AB821" s="882"/>
      <c r="AC821" s="882"/>
      <c r="AD821" s="882"/>
      <c r="AE821" s="882"/>
      <c r="AF821" s="882"/>
      <c r="AG821" s="882"/>
      <c r="AH821" s="882"/>
      <c r="AI821" s="882"/>
      <c r="AJ821" s="882"/>
      <c r="AK821" s="882"/>
    </row>
    <row r="822" spans="1:37" s="890" customFormat="1">
      <c r="A822" s="882"/>
      <c r="B822" s="891"/>
      <c r="C822" s="882"/>
      <c r="D822" s="883"/>
      <c r="E822" s="884"/>
      <c r="F822" s="885" t="str">
        <f>IFERROR(VLOOKUP(Table2[[#This Row],[Player No]],Table10[[No]:[Province]],3,0),"")</f>
        <v/>
      </c>
      <c r="G822" s="892">
        <v>0</v>
      </c>
      <c r="H822" s="886">
        <f>(Table2[[#This Row],[Points 2025]]/2)+SUM(Table2[[#This Row],[O1  ADMIN 2026]:[P2    CAPE TOWN OPEN 2026 ]])</f>
        <v>0</v>
      </c>
      <c r="I822" s="880">
        <f t="shared" si="73"/>
        <v>0</v>
      </c>
      <c r="J822" s="882">
        <f t="shared" si="74"/>
        <v>0</v>
      </c>
      <c r="K822" s="887" t="str">
        <f>IFERROR(VALUE(IF(Table2[[#This Row],[Player No]]="","",IFERROR(VLOOKUP(Table2[[#This Row],[Player No]],[3]Men!$D$2:$E$48,2,FALSE)&amp;"",""))),"")</f>
        <v/>
      </c>
      <c r="L822" s="887" t="str">
        <f>IFERROR(VALUE(IF(Table2[[#This Row],[Player No]]="","",IFERROR(VLOOKUP(Table2[[#This Row],[Player No]],[4]Men!$Z$14:$AB$62,2,FALSE)&amp;"",""))),"")</f>
        <v/>
      </c>
      <c r="M822" s="887"/>
      <c r="N822" s="887"/>
      <c r="O822" s="882"/>
      <c r="P822" s="882"/>
      <c r="Q822" s="888"/>
      <c r="R822" s="888"/>
      <c r="S822" s="888"/>
      <c r="T822" s="888"/>
      <c r="U822" s="882"/>
      <c r="V822" s="887"/>
      <c r="W822" s="888"/>
      <c r="X822" s="888"/>
      <c r="Y822" s="888"/>
      <c r="Z822" s="882"/>
      <c r="AA822" s="882"/>
      <c r="AB822" s="882"/>
      <c r="AC822" s="882"/>
      <c r="AD822" s="882"/>
      <c r="AE822" s="882"/>
      <c r="AF822" s="882"/>
      <c r="AG822" s="882"/>
      <c r="AH822" s="882"/>
      <c r="AI822" s="882"/>
      <c r="AJ822" s="882"/>
      <c r="AK822" s="882"/>
    </row>
    <row r="823" spans="1:37" s="890" customFormat="1">
      <c r="A823" s="882"/>
      <c r="B823" s="891"/>
      <c r="C823" s="882"/>
      <c r="D823" s="883"/>
      <c r="E823" s="884"/>
      <c r="F823" s="885" t="str">
        <f>IFERROR(VLOOKUP(Table2[[#This Row],[Player No]],Table10[[No]:[Province]],3,0),"")</f>
        <v/>
      </c>
      <c r="G823" s="892">
        <v>0</v>
      </c>
      <c r="H823" s="886">
        <f>(Table2[[#This Row],[Points 2025]]/2)+SUM(Table2[[#This Row],[O1  ADMIN 2026]:[P2    CAPE TOWN OPEN 2026 ]])</f>
        <v>0</v>
      </c>
      <c r="I823" s="880">
        <f t="shared" si="73"/>
        <v>0</v>
      </c>
      <c r="J823" s="882">
        <f t="shared" si="74"/>
        <v>0</v>
      </c>
      <c r="K823" s="887" t="str">
        <f>IFERROR(VALUE(IF(Table2[[#This Row],[Player No]]="","",IFERROR(VLOOKUP(Table2[[#This Row],[Player No]],[3]Men!$D$2:$E$48,2,FALSE)&amp;"",""))),"")</f>
        <v/>
      </c>
      <c r="L823" s="887" t="str">
        <f>IFERROR(VALUE(IF(Table2[[#This Row],[Player No]]="","",IFERROR(VLOOKUP(Table2[[#This Row],[Player No]],[4]Men!$Z$14:$AB$62,2,FALSE)&amp;"",""))),"")</f>
        <v/>
      </c>
      <c r="M823" s="887"/>
      <c r="N823" s="887"/>
      <c r="O823" s="882"/>
      <c r="P823" s="882"/>
      <c r="Q823" s="888"/>
      <c r="R823" s="888"/>
      <c r="S823" s="888"/>
      <c r="T823" s="888"/>
      <c r="U823" s="882"/>
      <c r="V823" s="887"/>
      <c r="W823" s="888"/>
      <c r="X823" s="888"/>
      <c r="Y823" s="888"/>
      <c r="Z823" s="882"/>
      <c r="AA823" s="882"/>
      <c r="AB823" s="882"/>
      <c r="AC823" s="882"/>
      <c r="AD823" s="882"/>
      <c r="AE823" s="882"/>
      <c r="AF823" s="882"/>
      <c r="AG823" s="882"/>
      <c r="AH823" s="882"/>
      <c r="AI823" s="882"/>
      <c r="AJ823" s="882"/>
      <c r="AK823" s="882"/>
    </row>
    <row r="824" spans="1:37" s="890" customFormat="1">
      <c r="A824" s="882"/>
      <c r="B824" s="891"/>
      <c r="C824" s="882"/>
      <c r="D824" s="883"/>
      <c r="E824" s="884"/>
      <c r="F824" s="885" t="str">
        <f>IFERROR(VLOOKUP(Table2[[#This Row],[Player No]],Table10[[No]:[Province]],3,0),"")</f>
        <v/>
      </c>
      <c r="G824" s="892">
        <v>0</v>
      </c>
      <c r="H824" s="886">
        <f>(Table2[[#This Row],[Points 2025]]/2)+SUM(Table2[[#This Row],[O1  ADMIN 2026]:[P2    CAPE TOWN OPEN 2026 ]])</f>
        <v>0</v>
      </c>
      <c r="I824" s="880">
        <f t="shared" si="73"/>
        <v>0</v>
      </c>
      <c r="J824" s="882">
        <f t="shared" si="74"/>
        <v>0</v>
      </c>
      <c r="K824" s="887" t="str">
        <f>IFERROR(VALUE(IF(Table2[[#This Row],[Player No]]="","",IFERROR(VLOOKUP(Table2[[#This Row],[Player No]],[3]Men!$D$2:$E$48,2,FALSE)&amp;"",""))),"")</f>
        <v/>
      </c>
      <c r="L824" s="887" t="str">
        <f>IFERROR(VALUE(IF(Table2[[#This Row],[Player No]]="","",IFERROR(VLOOKUP(Table2[[#This Row],[Player No]],[4]Men!$Z$14:$AB$62,2,FALSE)&amp;"",""))),"")</f>
        <v/>
      </c>
      <c r="M824" s="887"/>
      <c r="N824" s="887"/>
      <c r="O824" s="882"/>
      <c r="P824" s="882"/>
      <c r="Q824" s="888"/>
      <c r="R824" s="888"/>
      <c r="S824" s="888"/>
      <c r="T824" s="888"/>
      <c r="U824" s="882"/>
      <c r="V824" s="887"/>
      <c r="W824" s="888"/>
      <c r="X824" s="888"/>
      <c r="Y824" s="888"/>
      <c r="Z824" s="882"/>
      <c r="AA824" s="882"/>
      <c r="AB824" s="882"/>
      <c r="AC824" s="882"/>
      <c r="AD824" s="882"/>
      <c r="AE824" s="882"/>
      <c r="AF824" s="882"/>
      <c r="AG824" s="882"/>
      <c r="AH824" s="882"/>
      <c r="AI824" s="882"/>
      <c r="AJ824" s="882"/>
      <c r="AK824" s="882"/>
    </row>
    <row r="825" spans="1:37" s="890" customFormat="1">
      <c r="A825" s="882"/>
      <c r="B825" s="891"/>
      <c r="C825" s="882"/>
      <c r="D825" s="883"/>
      <c r="E825" s="884"/>
      <c r="F825" s="885" t="str">
        <f>IFERROR(VLOOKUP(Table2[[#This Row],[Player No]],Table10[[No]:[Province]],3,0),"")</f>
        <v/>
      </c>
      <c r="G825" s="892">
        <v>0</v>
      </c>
      <c r="H825" s="886">
        <f>(Table2[[#This Row],[Points 2025]]/2)+SUM(Table2[[#This Row],[O1  ADMIN 2026]:[P2    CAPE TOWN OPEN 2026 ]])</f>
        <v>0</v>
      </c>
      <c r="I825" s="880">
        <f t="shared" si="73"/>
        <v>0</v>
      </c>
      <c r="J825" s="882">
        <f t="shared" si="74"/>
        <v>0</v>
      </c>
      <c r="K825" s="887" t="str">
        <f>IFERROR(VALUE(IF(Table2[[#This Row],[Player No]]="","",IFERROR(VLOOKUP(Table2[[#This Row],[Player No]],[3]Men!$D$2:$E$48,2,FALSE)&amp;"",""))),"")</f>
        <v/>
      </c>
      <c r="L825" s="887" t="str">
        <f>IFERROR(VALUE(IF(Table2[[#This Row],[Player No]]="","",IFERROR(VLOOKUP(Table2[[#This Row],[Player No]],[4]Men!$Z$14:$AB$62,2,FALSE)&amp;"",""))),"")</f>
        <v/>
      </c>
      <c r="M825" s="887"/>
      <c r="N825" s="887"/>
      <c r="O825" s="882"/>
      <c r="P825" s="882"/>
      <c r="Q825" s="888"/>
      <c r="R825" s="888"/>
      <c r="S825" s="888"/>
      <c r="T825" s="888"/>
      <c r="U825" s="882"/>
      <c r="V825" s="887"/>
      <c r="W825" s="888"/>
      <c r="X825" s="888"/>
      <c r="Y825" s="888"/>
      <c r="Z825" s="882"/>
      <c r="AA825" s="882"/>
      <c r="AB825" s="882"/>
      <c r="AC825" s="882"/>
      <c r="AD825" s="882"/>
      <c r="AE825" s="882"/>
      <c r="AF825" s="882"/>
      <c r="AG825" s="882"/>
      <c r="AH825" s="882"/>
      <c r="AI825" s="882"/>
      <c r="AJ825" s="882"/>
      <c r="AK825" s="882"/>
    </row>
    <row r="826" spans="1:37" s="890" customFormat="1">
      <c r="A826" s="882"/>
      <c r="B826" s="891"/>
      <c r="C826" s="882"/>
      <c r="D826" s="883"/>
      <c r="E826" s="884"/>
      <c r="F826" s="885" t="str">
        <f>IFERROR(VLOOKUP(Table2[[#This Row],[Player No]],Table10[[No]:[Province]],3,0),"")</f>
        <v/>
      </c>
      <c r="G826" s="892">
        <v>0</v>
      </c>
      <c r="H826" s="886">
        <f>(Table2[[#This Row],[Points 2025]]/2)+SUM(Table2[[#This Row],[O1  ADMIN 2026]:[P2    CAPE TOWN OPEN 2026 ]])</f>
        <v>0</v>
      </c>
      <c r="I826" s="880">
        <f t="shared" si="73"/>
        <v>0</v>
      </c>
      <c r="J826" s="882">
        <f t="shared" si="74"/>
        <v>0</v>
      </c>
      <c r="K826" s="887" t="str">
        <f>IFERROR(VALUE(IF(Table2[[#This Row],[Player No]]="","",IFERROR(VLOOKUP(Table2[[#This Row],[Player No]],[3]Men!$D$2:$E$48,2,FALSE)&amp;"",""))),"")</f>
        <v/>
      </c>
      <c r="L826" s="887" t="str">
        <f>IFERROR(VALUE(IF(Table2[[#This Row],[Player No]]="","",IFERROR(VLOOKUP(Table2[[#This Row],[Player No]],[4]Men!$Z$14:$AB$62,2,FALSE)&amp;"",""))),"")</f>
        <v/>
      </c>
      <c r="M826" s="887"/>
      <c r="N826" s="887"/>
      <c r="O826" s="882"/>
      <c r="P826" s="882"/>
      <c r="Q826" s="888"/>
      <c r="R826" s="888"/>
      <c r="S826" s="888"/>
      <c r="T826" s="888"/>
      <c r="U826" s="882"/>
      <c r="V826" s="887"/>
      <c r="W826" s="888"/>
      <c r="X826" s="888"/>
      <c r="Y826" s="888"/>
      <c r="Z826" s="882"/>
      <c r="AA826" s="882"/>
      <c r="AB826" s="882"/>
      <c r="AC826" s="882"/>
      <c r="AD826" s="882"/>
      <c r="AE826" s="882"/>
      <c r="AF826" s="882"/>
      <c r="AG826" s="882"/>
      <c r="AH826" s="882"/>
      <c r="AI826" s="882"/>
      <c r="AJ826" s="882"/>
      <c r="AK826" s="882"/>
    </row>
    <row r="827" spans="1:37" s="890" customFormat="1">
      <c r="A827" s="882"/>
      <c r="B827" s="891"/>
      <c r="C827" s="882"/>
      <c r="D827" s="883"/>
      <c r="E827" s="884"/>
      <c r="F827" s="885" t="str">
        <f>IFERROR(VLOOKUP(Table2[[#This Row],[Player No]],Table10[[No]:[Province]],3,0),"")</f>
        <v/>
      </c>
      <c r="G827" s="892">
        <v>0</v>
      </c>
      <c r="H827" s="886">
        <f>(Table2[[#This Row],[Points 2025]]/2)+SUM(Table2[[#This Row],[O1  ADMIN 2026]:[P2    CAPE TOWN OPEN 2026 ]])</f>
        <v>0</v>
      </c>
      <c r="I827" s="880">
        <f t="shared" si="73"/>
        <v>0</v>
      </c>
      <c r="J827" s="882">
        <f t="shared" si="74"/>
        <v>0</v>
      </c>
      <c r="K827" s="887" t="str">
        <f>IFERROR(VALUE(IF(Table2[[#This Row],[Player No]]="","",IFERROR(VLOOKUP(Table2[[#This Row],[Player No]],[3]Men!$D$2:$E$48,2,FALSE)&amp;"",""))),"")</f>
        <v/>
      </c>
      <c r="L827" s="887" t="str">
        <f>IFERROR(VALUE(IF(Table2[[#This Row],[Player No]]="","",IFERROR(VLOOKUP(Table2[[#This Row],[Player No]],[4]Men!$Z$14:$AB$62,2,FALSE)&amp;"",""))),"")</f>
        <v/>
      </c>
      <c r="M827" s="887"/>
      <c r="N827" s="887"/>
      <c r="O827" s="882"/>
      <c r="P827" s="882"/>
      <c r="Q827" s="888"/>
      <c r="R827" s="888"/>
      <c r="S827" s="888"/>
      <c r="T827" s="888"/>
      <c r="U827" s="882"/>
      <c r="V827" s="887"/>
      <c r="W827" s="888"/>
      <c r="X827" s="888"/>
      <c r="Y827" s="888"/>
      <c r="Z827" s="882"/>
      <c r="AA827" s="882"/>
      <c r="AB827" s="882"/>
      <c r="AC827" s="882"/>
      <c r="AD827" s="882"/>
      <c r="AE827" s="882"/>
      <c r="AF827" s="882"/>
      <c r="AG827" s="882"/>
      <c r="AH827" s="882"/>
      <c r="AI827" s="882"/>
      <c r="AJ827" s="882"/>
      <c r="AK827" s="882"/>
    </row>
    <row r="828" spans="1:37" s="890" customFormat="1">
      <c r="A828" s="882"/>
      <c r="B828" s="891"/>
      <c r="C828" s="882"/>
      <c r="D828" s="883"/>
      <c r="E828" s="884"/>
      <c r="F828" s="885" t="str">
        <f>IFERROR(VLOOKUP(Table2[[#This Row],[Player No]],Table10[[No]:[Province]],3,0),"")</f>
        <v/>
      </c>
      <c r="G828" s="892">
        <v>0</v>
      </c>
      <c r="H828" s="886">
        <f>(Table2[[#This Row],[Points 2025]]/2)+SUM(Table2[[#This Row],[O1  ADMIN 2026]:[P2    CAPE TOWN OPEN 2026 ]])</f>
        <v>0</v>
      </c>
      <c r="I828" s="880">
        <f t="shared" si="73"/>
        <v>0</v>
      </c>
      <c r="J828" s="882">
        <f t="shared" si="74"/>
        <v>0</v>
      </c>
      <c r="K828" s="887" t="str">
        <f>IFERROR(VALUE(IF(Table2[[#This Row],[Player No]]="","",IFERROR(VLOOKUP(Table2[[#This Row],[Player No]],[3]Men!$D$2:$E$48,2,FALSE)&amp;"",""))),"")</f>
        <v/>
      </c>
      <c r="L828" s="887" t="str">
        <f>IFERROR(VALUE(IF(Table2[[#This Row],[Player No]]="","",IFERROR(VLOOKUP(Table2[[#This Row],[Player No]],[4]Men!$Z$14:$AB$62,2,FALSE)&amp;"",""))),"")</f>
        <v/>
      </c>
      <c r="M828" s="887"/>
      <c r="N828" s="887"/>
      <c r="O828" s="882"/>
      <c r="P828" s="882"/>
      <c r="Q828" s="888"/>
      <c r="R828" s="888"/>
      <c r="S828" s="888"/>
      <c r="T828" s="888"/>
      <c r="U828" s="882"/>
      <c r="V828" s="887"/>
      <c r="W828" s="888"/>
      <c r="X828" s="888"/>
      <c r="Y828" s="888"/>
      <c r="Z828" s="882"/>
      <c r="AA828" s="882"/>
      <c r="AB828" s="882"/>
      <c r="AC828" s="882"/>
      <c r="AD828" s="882"/>
      <c r="AE828" s="882"/>
      <c r="AF828" s="882"/>
      <c r="AG828" s="882"/>
      <c r="AH828" s="882"/>
      <c r="AI828" s="882"/>
      <c r="AJ828" s="882"/>
      <c r="AK828" s="882"/>
    </row>
    <row r="829" spans="1:37" s="890" customFormat="1">
      <c r="A829" s="882"/>
      <c r="B829" s="891"/>
      <c r="C829" s="882"/>
      <c r="D829" s="883"/>
      <c r="E829" s="884"/>
      <c r="F829" s="885" t="str">
        <f>IFERROR(VLOOKUP(Table2[[#This Row],[Player No]],Table10[[No]:[Province]],3,0),"")</f>
        <v/>
      </c>
      <c r="G829" s="892">
        <v>0</v>
      </c>
      <c r="H829" s="886">
        <f>(Table2[[#This Row],[Points 2025]]/2)+SUM(Table2[[#This Row],[O1  ADMIN 2026]:[P2    CAPE TOWN OPEN 2026 ]])</f>
        <v>0</v>
      </c>
      <c r="I829" s="880">
        <f t="shared" si="73"/>
        <v>0</v>
      </c>
      <c r="J829" s="882">
        <f t="shared" si="74"/>
        <v>0</v>
      </c>
      <c r="K829" s="887" t="str">
        <f>IFERROR(VALUE(IF(Table2[[#This Row],[Player No]]="","",IFERROR(VLOOKUP(Table2[[#This Row],[Player No]],[3]Men!$D$2:$E$48,2,FALSE)&amp;"",""))),"")</f>
        <v/>
      </c>
      <c r="L829" s="887" t="str">
        <f>IFERROR(VALUE(IF(Table2[[#This Row],[Player No]]="","",IFERROR(VLOOKUP(Table2[[#This Row],[Player No]],[4]Men!$Z$14:$AB$62,2,FALSE)&amp;"",""))),"")</f>
        <v/>
      </c>
      <c r="M829" s="887"/>
      <c r="N829" s="887"/>
      <c r="O829" s="882"/>
      <c r="P829" s="882"/>
      <c r="Q829" s="888"/>
      <c r="R829" s="888"/>
      <c r="S829" s="888"/>
      <c r="T829" s="888"/>
      <c r="U829" s="882"/>
      <c r="V829" s="887"/>
      <c r="W829" s="888"/>
      <c r="X829" s="888"/>
      <c r="Y829" s="888"/>
      <c r="Z829" s="882"/>
      <c r="AA829" s="882"/>
      <c r="AB829" s="882"/>
      <c r="AC829" s="882"/>
      <c r="AD829" s="882"/>
      <c r="AE829" s="882"/>
      <c r="AF829" s="882"/>
      <c r="AG829" s="882"/>
      <c r="AH829" s="882"/>
      <c r="AI829" s="882"/>
      <c r="AJ829" s="882"/>
      <c r="AK829" s="882"/>
    </row>
    <row r="830" spans="1:37" s="890" customFormat="1">
      <c r="A830" s="882"/>
      <c r="B830" s="891"/>
      <c r="C830" s="882"/>
      <c r="D830" s="883"/>
      <c r="E830" s="884"/>
      <c r="F830" s="885" t="str">
        <f>IFERROR(VLOOKUP(Table2[[#This Row],[Player No]],Table10[[No]:[Province]],3,0),"")</f>
        <v/>
      </c>
      <c r="G830" s="892">
        <v>0</v>
      </c>
      <c r="H830" s="886">
        <f>(Table2[[#This Row],[Points 2025]]/2)+SUM(Table2[[#This Row],[O1  ADMIN 2026]:[P2    CAPE TOWN OPEN 2026 ]])</f>
        <v>0</v>
      </c>
      <c r="I830" s="880">
        <f t="shared" si="73"/>
        <v>0</v>
      </c>
      <c r="J830" s="882">
        <f t="shared" si="74"/>
        <v>0</v>
      </c>
      <c r="K830" s="887" t="str">
        <f>IFERROR(VALUE(IF(Table2[[#This Row],[Player No]]="","",IFERROR(VLOOKUP(Table2[[#This Row],[Player No]],[3]Men!$D$2:$E$48,2,FALSE)&amp;"",""))),"")</f>
        <v/>
      </c>
      <c r="L830" s="887" t="str">
        <f>IFERROR(VALUE(IF(Table2[[#This Row],[Player No]]="","",IFERROR(VLOOKUP(Table2[[#This Row],[Player No]],[4]Men!$Z$14:$AB$62,2,FALSE)&amp;"",""))),"")</f>
        <v/>
      </c>
      <c r="M830" s="887"/>
      <c r="N830" s="887"/>
      <c r="O830" s="882"/>
      <c r="P830" s="882"/>
      <c r="Q830" s="888"/>
      <c r="R830" s="888"/>
      <c r="S830" s="888"/>
      <c r="T830" s="888"/>
      <c r="U830" s="882"/>
      <c r="V830" s="887"/>
      <c r="W830" s="888"/>
      <c r="X830" s="888"/>
      <c r="Y830" s="888"/>
      <c r="Z830" s="882"/>
      <c r="AA830" s="882"/>
      <c r="AB830" s="882"/>
      <c r="AC830" s="882"/>
      <c r="AD830" s="882"/>
      <c r="AE830" s="882"/>
      <c r="AF830" s="882"/>
      <c r="AG830" s="882"/>
      <c r="AH830" s="882"/>
      <c r="AI830" s="882"/>
      <c r="AJ830" s="882"/>
      <c r="AK830" s="882"/>
    </row>
    <row r="831" spans="1:37" s="890" customFormat="1">
      <c r="A831" s="882"/>
      <c r="B831" s="891"/>
      <c r="C831" s="882"/>
      <c r="D831" s="883"/>
      <c r="E831" s="884"/>
      <c r="F831" s="885" t="str">
        <f>IFERROR(VLOOKUP(Table2[[#This Row],[Player No]],Table10[[No]:[Province]],3,0),"")</f>
        <v/>
      </c>
      <c r="G831" s="892">
        <v>0</v>
      </c>
      <c r="H831" s="886">
        <f>(Table2[[#This Row],[Points 2025]]/2)+SUM(Table2[[#This Row],[O1  ADMIN 2026]:[P2    CAPE TOWN OPEN 2026 ]])</f>
        <v>0</v>
      </c>
      <c r="I831" s="880">
        <f t="shared" si="73"/>
        <v>0</v>
      </c>
      <c r="J831" s="882">
        <f t="shared" si="74"/>
        <v>0</v>
      </c>
      <c r="K831" s="887" t="str">
        <f>IFERROR(VALUE(IF(Table2[[#This Row],[Player No]]="","",IFERROR(VLOOKUP(Table2[[#This Row],[Player No]],[3]Men!$D$2:$E$48,2,FALSE)&amp;"",""))),"")</f>
        <v/>
      </c>
      <c r="L831" s="887" t="str">
        <f>IFERROR(VALUE(IF(Table2[[#This Row],[Player No]]="","",IFERROR(VLOOKUP(Table2[[#This Row],[Player No]],[4]Men!$Z$14:$AB$62,2,FALSE)&amp;"",""))),"")</f>
        <v/>
      </c>
      <c r="M831" s="887"/>
      <c r="N831" s="887"/>
      <c r="O831" s="882"/>
      <c r="P831" s="882"/>
      <c r="Q831" s="888"/>
      <c r="R831" s="888"/>
      <c r="S831" s="888"/>
      <c r="T831" s="888"/>
      <c r="U831" s="882"/>
      <c r="V831" s="887"/>
      <c r="W831" s="888"/>
      <c r="X831" s="888"/>
      <c r="Y831" s="888"/>
      <c r="Z831" s="882"/>
      <c r="AA831" s="882"/>
      <c r="AB831" s="882"/>
      <c r="AC831" s="882"/>
      <c r="AD831" s="882"/>
      <c r="AE831" s="882"/>
      <c r="AF831" s="882"/>
      <c r="AG831" s="882"/>
      <c r="AH831" s="882"/>
      <c r="AI831" s="882"/>
      <c r="AJ831" s="882"/>
      <c r="AK831" s="882"/>
    </row>
    <row r="832" spans="1:37" s="890" customFormat="1">
      <c r="A832" s="882"/>
      <c r="B832" s="891"/>
      <c r="C832" s="882"/>
      <c r="D832" s="883"/>
      <c r="E832" s="884"/>
      <c r="F832" s="885" t="str">
        <f>IFERROR(VLOOKUP(Table2[[#This Row],[Player No]],Table10[[No]:[Province]],3,0),"")</f>
        <v/>
      </c>
      <c r="G832" s="892">
        <v>0</v>
      </c>
      <c r="H832" s="886">
        <f>(Table2[[#This Row],[Points 2025]]/2)+SUM(Table2[[#This Row],[O1  ADMIN 2026]:[P2    CAPE TOWN OPEN 2026 ]])</f>
        <v>0</v>
      </c>
      <c r="I832" s="880">
        <f t="shared" si="73"/>
        <v>0</v>
      </c>
      <c r="J832" s="882">
        <f t="shared" si="74"/>
        <v>0</v>
      </c>
      <c r="K832" s="887" t="str">
        <f>IFERROR(VALUE(IF(Table2[[#This Row],[Player No]]="","",IFERROR(VLOOKUP(Table2[[#This Row],[Player No]],[3]Men!$D$2:$E$48,2,FALSE)&amp;"",""))),"")</f>
        <v/>
      </c>
      <c r="L832" s="887" t="str">
        <f>IFERROR(VALUE(IF(Table2[[#This Row],[Player No]]="","",IFERROR(VLOOKUP(Table2[[#This Row],[Player No]],[4]Men!$Z$14:$AB$62,2,FALSE)&amp;"",""))),"")</f>
        <v/>
      </c>
      <c r="M832" s="887"/>
      <c r="N832" s="887"/>
      <c r="O832" s="882"/>
      <c r="P832" s="882"/>
      <c r="Q832" s="888"/>
      <c r="R832" s="888"/>
      <c r="S832" s="888"/>
      <c r="T832" s="888"/>
      <c r="U832" s="882"/>
      <c r="V832" s="887"/>
      <c r="W832" s="888"/>
      <c r="X832" s="888"/>
      <c r="Y832" s="888"/>
      <c r="Z832" s="882"/>
      <c r="AA832" s="882"/>
      <c r="AB832" s="882"/>
      <c r="AC832" s="882"/>
      <c r="AD832" s="882"/>
      <c r="AE832" s="882"/>
      <c r="AF832" s="882"/>
      <c r="AG832" s="882"/>
      <c r="AH832" s="882"/>
      <c r="AI832" s="882"/>
      <c r="AJ832" s="882"/>
      <c r="AK832" s="882"/>
    </row>
    <row r="833" spans="1:37" s="890" customFormat="1">
      <c r="A833" s="882"/>
      <c r="B833" s="891"/>
      <c r="C833" s="882"/>
      <c r="D833" s="883"/>
      <c r="E833" s="884"/>
      <c r="F833" s="885" t="str">
        <f>IFERROR(VLOOKUP(Table2[[#This Row],[Player No]],Table10[[No]:[Province]],3,0),"")</f>
        <v/>
      </c>
      <c r="G833" s="892">
        <v>0</v>
      </c>
      <c r="H833" s="886">
        <f>(Table2[[#This Row],[Points 2025]]/2)+SUM(Table2[[#This Row],[O1  ADMIN 2026]:[P2    CAPE TOWN OPEN 2026 ]])</f>
        <v>0</v>
      </c>
      <c r="I833" s="880">
        <f t="shared" si="73"/>
        <v>0</v>
      </c>
      <c r="J833" s="882">
        <f t="shared" si="74"/>
        <v>0</v>
      </c>
      <c r="K833" s="887" t="str">
        <f>IFERROR(VALUE(IF(Table2[[#This Row],[Player No]]="","",IFERROR(VLOOKUP(Table2[[#This Row],[Player No]],[3]Men!$D$2:$E$48,2,FALSE)&amp;"",""))),"")</f>
        <v/>
      </c>
      <c r="L833" s="887" t="str">
        <f>IFERROR(VALUE(IF(Table2[[#This Row],[Player No]]="","",IFERROR(VLOOKUP(Table2[[#This Row],[Player No]],[4]Men!$Z$14:$AB$62,2,FALSE)&amp;"",""))),"")</f>
        <v/>
      </c>
      <c r="M833" s="887"/>
      <c r="N833" s="887"/>
      <c r="O833" s="882"/>
      <c r="P833" s="882"/>
      <c r="Q833" s="888"/>
      <c r="R833" s="888"/>
      <c r="S833" s="888"/>
      <c r="T833" s="888"/>
      <c r="U833" s="882"/>
      <c r="V833" s="887"/>
      <c r="W833" s="888"/>
      <c r="X833" s="888"/>
      <c r="Y833" s="888"/>
      <c r="Z833" s="882"/>
      <c r="AA833" s="882"/>
      <c r="AB833" s="882"/>
      <c r="AC833" s="882"/>
      <c r="AD833" s="882"/>
      <c r="AE833" s="882"/>
      <c r="AF833" s="882"/>
      <c r="AG833" s="882"/>
      <c r="AH833" s="882"/>
      <c r="AI833" s="882"/>
      <c r="AJ833" s="882"/>
      <c r="AK833" s="882"/>
    </row>
    <row r="834" spans="1:37" s="890" customFormat="1">
      <c r="A834" s="882"/>
      <c r="B834" s="891"/>
      <c r="C834" s="882"/>
      <c r="D834" s="883"/>
      <c r="E834" s="884"/>
      <c r="F834" s="885" t="str">
        <f>IFERROR(VLOOKUP(Table2[[#This Row],[Player No]],Table10[[No]:[Province]],3,0),"")</f>
        <v/>
      </c>
      <c r="G834" s="892">
        <v>0</v>
      </c>
      <c r="H834" s="886">
        <f>(Table2[[#This Row],[Points 2025]]/2)+SUM(Table2[[#This Row],[O1  ADMIN 2026]:[P2    CAPE TOWN OPEN 2026 ]])</f>
        <v>0</v>
      </c>
      <c r="I834" s="880">
        <f t="shared" si="73"/>
        <v>0</v>
      </c>
      <c r="J834" s="882">
        <f t="shared" si="74"/>
        <v>0</v>
      </c>
      <c r="K834" s="887" t="str">
        <f>IFERROR(VALUE(IF(Table2[[#This Row],[Player No]]="","",IFERROR(VLOOKUP(Table2[[#This Row],[Player No]],[3]Men!$D$2:$E$48,2,FALSE)&amp;"",""))),"")</f>
        <v/>
      </c>
      <c r="L834" s="887" t="str">
        <f>IFERROR(VALUE(IF(Table2[[#This Row],[Player No]]="","",IFERROR(VLOOKUP(Table2[[#This Row],[Player No]],[4]Men!$Z$14:$AB$62,2,FALSE)&amp;"",""))),"")</f>
        <v/>
      </c>
      <c r="M834" s="887"/>
      <c r="N834" s="887"/>
      <c r="O834" s="882"/>
      <c r="P834" s="882"/>
      <c r="Q834" s="888"/>
      <c r="R834" s="888"/>
      <c r="S834" s="888"/>
      <c r="T834" s="888"/>
      <c r="U834" s="882"/>
      <c r="V834" s="887"/>
      <c r="W834" s="888"/>
      <c r="X834" s="888"/>
      <c r="Y834" s="888"/>
      <c r="Z834" s="882"/>
      <c r="AA834" s="882"/>
      <c r="AB834" s="882"/>
      <c r="AC834" s="882"/>
      <c r="AD834" s="882"/>
      <c r="AE834" s="882"/>
      <c r="AF834" s="882"/>
      <c r="AG834" s="882"/>
      <c r="AH834" s="882"/>
      <c r="AI834" s="882"/>
      <c r="AJ834" s="882"/>
      <c r="AK834" s="882"/>
    </row>
    <row r="835" spans="1:37" s="890" customFormat="1">
      <c r="A835" s="882"/>
      <c r="B835" s="891"/>
      <c r="C835" s="882"/>
      <c r="D835" s="883"/>
      <c r="E835" s="884"/>
      <c r="F835" s="885" t="str">
        <f>IFERROR(VLOOKUP(Table2[[#This Row],[Player No]],Table10[[No]:[Province]],3,0),"")</f>
        <v/>
      </c>
      <c r="G835" s="892">
        <v>0</v>
      </c>
      <c r="H835" s="886">
        <f>(Table2[[#This Row],[Points 2025]]/2)+SUM(Table2[[#This Row],[O1  ADMIN 2026]:[P2    CAPE TOWN OPEN 2026 ]])</f>
        <v>0</v>
      </c>
      <c r="I835" s="880">
        <f t="shared" si="73"/>
        <v>0</v>
      </c>
      <c r="J835" s="882">
        <f t="shared" si="74"/>
        <v>0</v>
      </c>
      <c r="K835" s="887" t="str">
        <f>IFERROR(VALUE(IF(Table2[[#This Row],[Player No]]="","",IFERROR(VLOOKUP(Table2[[#This Row],[Player No]],[3]Men!$D$2:$E$48,2,FALSE)&amp;"",""))),"")</f>
        <v/>
      </c>
      <c r="L835" s="887" t="str">
        <f>IFERROR(VALUE(IF(Table2[[#This Row],[Player No]]="","",IFERROR(VLOOKUP(Table2[[#This Row],[Player No]],[4]Men!$Z$14:$AB$62,2,FALSE)&amp;"",""))),"")</f>
        <v/>
      </c>
      <c r="M835" s="887"/>
      <c r="N835" s="887"/>
      <c r="O835" s="882"/>
      <c r="P835" s="882"/>
      <c r="Q835" s="888"/>
      <c r="R835" s="888"/>
      <c r="S835" s="888"/>
      <c r="T835" s="888"/>
      <c r="U835" s="882"/>
      <c r="V835" s="887"/>
      <c r="W835" s="888"/>
      <c r="X835" s="888"/>
      <c r="Y835" s="888"/>
      <c r="Z835" s="882"/>
      <c r="AA835" s="882"/>
      <c r="AB835" s="882"/>
      <c r="AC835" s="882"/>
      <c r="AD835" s="882"/>
      <c r="AE835" s="882"/>
      <c r="AF835" s="882"/>
      <c r="AG835" s="882"/>
      <c r="AH835" s="882"/>
      <c r="AI835" s="882"/>
      <c r="AJ835" s="882"/>
      <c r="AK835" s="882"/>
    </row>
    <row r="836" spans="1:37" s="890" customFormat="1">
      <c r="A836" s="882"/>
      <c r="B836" s="891"/>
      <c r="C836" s="882"/>
      <c r="D836" s="883"/>
      <c r="E836" s="884"/>
      <c r="F836" s="885" t="str">
        <f>IFERROR(VLOOKUP(Table2[[#This Row],[Player No]],Table10[[No]:[Province]],3,0),"")</f>
        <v/>
      </c>
      <c r="G836" s="892">
        <v>0</v>
      </c>
      <c r="H836" s="886">
        <f>(Table2[[#This Row],[Points 2025]]/2)+SUM(Table2[[#This Row],[O1  ADMIN 2026]:[P2    CAPE TOWN OPEN 2026 ]])</f>
        <v>0</v>
      </c>
      <c r="I836" s="880">
        <f t="shared" si="73"/>
        <v>0</v>
      </c>
      <c r="J836" s="882">
        <f t="shared" si="74"/>
        <v>0</v>
      </c>
      <c r="K836" s="887" t="str">
        <f>IFERROR(VALUE(IF(Table2[[#This Row],[Player No]]="","",IFERROR(VLOOKUP(Table2[[#This Row],[Player No]],[3]Men!$D$2:$E$48,2,FALSE)&amp;"",""))),"")</f>
        <v/>
      </c>
      <c r="L836" s="887" t="str">
        <f>IFERROR(VALUE(IF(Table2[[#This Row],[Player No]]="","",IFERROR(VLOOKUP(Table2[[#This Row],[Player No]],[4]Men!$Z$14:$AB$62,2,FALSE)&amp;"",""))),"")</f>
        <v/>
      </c>
      <c r="M836" s="887"/>
      <c r="N836" s="887"/>
      <c r="O836" s="882"/>
      <c r="P836" s="882"/>
      <c r="Q836" s="888"/>
      <c r="R836" s="888"/>
      <c r="S836" s="888"/>
      <c r="T836" s="888"/>
      <c r="U836" s="882"/>
      <c r="V836" s="887"/>
      <c r="W836" s="888"/>
      <c r="X836" s="888"/>
      <c r="Y836" s="888"/>
      <c r="Z836" s="882"/>
      <c r="AA836" s="882"/>
      <c r="AB836" s="882"/>
      <c r="AC836" s="882"/>
      <c r="AD836" s="882"/>
      <c r="AE836" s="882"/>
      <c r="AF836" s="882"/>
      <c r="AG836" s="882"/>
      <c r="AH836" s="882"/>
      <c r="AI836" s="882"/>
      <c r="AJ836" s="882"/>
      <c r="AK836" s="882"/>
    </row>
    <row r="837" spans="1:37" s="890" customFormat="1">
      <c r="A837" s="882"/>
      <c r="B837" s="891"/>
      <c r="C837" s="882"/>
      <c r="D837" s="883"/>
      <c r="E837" s="884"/>
      <c r="F837" s="885" t="str">
        <f>IFERROR(VLOOKUP(Table2[[#This Row],[Player No]],Table10[[No]:[Province]],3,0),"")</f>
        <v/>
      </c>
      <c r="G837" s="892">
        <v>0</v>
      </c>
      <c r="H837" s="886">
        <f>(Table2[[#This Row],[Points 2025]]/2)+SUM(Table2[[#This Row],[O1  ADMIN 2026]:[P2    CAPE TOWN OPEN 2026 ]])</f>
        <v>0</v>
      </c>
      <c r="I837" s="880">
        <f t="shared" ref="I837:I900" si="75">COUNTIF(K837:N837,"&gt;0")</f>
        <v>0</v>
      </c>
      <c r="J837" s="882">
        <f t="shared" si="74"/>
        <v>0</v>
      </c>
      <c r="K837" s="887" t="str">
        <f>IFERROR(VALUE(IF(Table2[[#This Row],[Player No]]="","",IFERROR(VLOOKUP(Table2[[#This Row],[Player No]],[3]Men!$D$2:$E$48,2,FALSE)&amp;"",""))),"")</f>
        <v/>
      </c>
      <c r="L837" s="887" t="str">
        <f>IFERROR(VALUE(IF(Table2[[#This Row],[Player No]]="","",IFERROR(VLOOKUP(Table2[[#This Row],[Player No]],[4]Men!$Z$14:$AB$62,2,FALSE)&amp;"",""))),"")</f>
        <v/>
      </c>
      <c r="M837" s="887"/>
      <c r="N837" s="887"/>
      <c r="O837" s="882"/>
      <c r="P837" s="882"/>
      <c r="Q837" s="888"/>
      <c r="R837" s="888"/>
      <c r="S837" s="888"/>
      <c r="T837" s="888"/>
      <c r="U837" s="882"/>
      <c r="V837" s="887"/>
      <c r="W837" s="888"/>
      <c r="X837" s="888"/>
      <c r="Y837" s="888"/>
      <c r="Z837" s="882"/>
      <c r="AA837" s="882"/>
      <c r="AB837" s="882"/>
      <c r="AC837" s="882"/>
      <c r="AD837" s="882"/>
      <c r="AE837" s="882"/>
      <c r="AF837" s="882"/>
      <c r="AG837" s="882"/>
      <c r="AH837" s="882"/>
      <c r="AI837" s="882"/>
      <c r="AJ837" s="882"/>
      <c r="AK837" s="882"/>
    </row>
    <row r="838" spans="1:37" s="890" customFormat="1">
      <c r="A838" s="882"/>
      <c r="B838" s="891"/>
      <c r="C838" s="882"/>
      <c r="D838" s="883"/>
      <c r="E838" s="884"/>
      <c r="F838" s="885" t="str">
        <f>IFERROR(VLOOKUP(Table2[[#This Row],[Player No]],Table10[[No]:[Province]],3,0),"")</f>
        <v/>
      </c>
      <c r="G838" s="892">
        <v>0</v>
      </c>
      <c r="H838" s="886">
        <f>(Table2[[#This Row],[Points 2025]]/2)+SUM(Table2[[#This Row],[O1  ADMIN 2026]:[P2    CAPE TOWN OPEN 2026 ]])</f>
        <v>0</v>
      </c>
      <c r="I838" s="880">
        <f t="shared" si="75"/>
        <v>0</v>
      </c>
      <c r="J838" s="882">
        <f t="shared" si="74"/>
        <v>0</v>
      </c>
      <c r="K838" s="887" t="str">
        <f>IFERROR(VALUE(IF(Table2[[#This Row],[Player No]]="","",IFERROR(VLOOKUP(Table2[[#This Row],[Player No]],[3]Men!$D$2:$E$48,2,FALSE)&amp;"",""))),"")</f>
        <v/>
      </c>
      <c r="L838" s="887" t="str">
        <f>IFERROR(VALUE(IF(Table2[[#This Row],[Player No]]="","",IFERROR(VLOOKUP(Table2[[#This Row],[Player No]],[4]Men!$Z$14:$AB$62,2,FALSE)&amp;"",""))),"")</f>
        <v/>
      </c>
      <c r="M838" s="887"/>
      <c r="N838" s="887"/>
      <c r="O838" s="882"/>
      <c r="P838" s="882"/>
      <c r="Q838" s="888"/>
      <c r="R838" s="888"/>
      <c r="S838" s="888"/>
      <c r="T838" s="888"/>
      <c r="U838" s="882"/>
      <c r="V838" s="887"/>
      <c r="W838" s="888"/>
      <c r="X838" s="888"/>
      <c r="Y838" s="888"/>
      <c r="Z838" s="882"/>
      <c r="AA838" s="882"/>
      <c r="AB838" s="882"/>
      <c r="AC838" s="882"/>
      <c r="AD838" s="882"/>
      <c r="AE838" s="882"/>
      <c r="AF838" s="882"/>
      <c r="AG838" s="882"/>
      <c r="AH838" s="882"/>
      <c r="AI838" s="882"/>
      <c r="AJ838" s="882"/>
      <c r="AK838" s="882"/>
    </row>
    <row r="839" spans="1:37" s="890" customFormat="1">
      <c r="A839" s="882"/>
      <c r="B839" s="891"/>
      <c r="C839" s="882"/>
      <c r="D839" s="883"/>
      <c r="E839" s="884"/>
      <c r="F839" s="885" t="str">
        <f>IFERROR(VLOOKUP(Table2[[#This Row],[Player No]],Table10[[No]:[Province]],3,0),"")</f>
        <v/>
      </c>
      <c r="G839" s="892">
        <v>0</v>
      </c>
      <c r="H839" s="886">
        <f>(Table2[[#This Row],[Points 2025]]/2)+SUM(Table2[[#This Row],[O1  ADMIN 2026]:[P2    CAPE TOWN OPEN 2026 ]])</f>
        <v>0</v>
      </c>
      <c r="I839" s="880">
        <f t="shared" si="75"/>
        <v>0</v>
      </c>
      <c r="J839" s="882">
        <f t="shared" si="74"/>
        <v>0</v>
      </c>
      <c r="K839" s="887" t="str">
        <f>IFERROR(VALUE(IF(Table2[[#This Row],[Player No]]="","",IFERROR(VLOOKUP(Table2[[#This Row],[Player No]],[3]Men!$D$2:$E$48,2,FALSE)&amp;"",""))),"")</f>
        <v/>
      </c>
      <c r="L839" s="887" t="str">
        <f>IFERROR(VALUE(IF(Table2[[#This Row],[Player No]]="","",IFERROR(VLOOKUP(Table2[[#This Row],[Player No]],[4]Men!$Z$14:$AB$62,2,FALSE)&amp;"",""))),"")</f>
        <v/>
      </c>
      <c r="M839" s="887"/>
      <c r="N839" s="887"/>
      <c r="O839" s="882"/>
      <c r="P839" s="882"/>
      <c r="Q839" s="888"/>
      <c r="R839" s="888"/>
      <c r="S839" s="888"/>
      <c r="T839" s="888"/>
      <c r="U839" s="882"/>
      <c r="V839" s="887"/>
      <c r="W839" s="888"/>
      <c r="X839" s="888"/>
      <c r="Y839" s="888"/>
      <c r="Z839" s="882"/>
      <c r="AA839" s="882"/>
      <c r="AB839" s="882"/>
      <c r="AC839" s="882"/>
      <c r="AD839" s="882"/>
      <c r="AE839" s="882"/>
      <c r="AF839" s="882"/>
      <c r="AG839" s="882"/>
      <c r="AH839" s="882"/>
      <c r="AI839" s="882"/>
      <c r="AJ839" s="882"/>
      <c r="AK839" s="882"/>
    </row>
    <row r="840" spans="1:37" s="890" customFormat="1">
      <c r="A840" s="882"/>
      <c r="B840" s="891"/>
      <c r="C840" s="882"/>
      <c r="D840" s="883"/>
      <c r="E840" s="884"/>
      <c r="F840" s="885" t="str">
        <f>IFERROR(VLOOKUP(Table2[[#This Row],[Player No]],Table10[[No]:[Province]],3,0),"")</f>
        <v/>
      </c>
      <c r="G840" s="892">
        <v>0</v>
      </c>
      <c r="H840" s="886">
        <f>(Table2[[#This Row],[Points 2025]]/2)+SUM(Table2[[#This Row],[O1  ADMIN 2026]:[P2    CAPE TOWN OPEN 2026 ]])</f>
        <v>0</v>
      </c>
      <c r="I840" s="880">
        <f t="shared" si="75"/>
        <v>0</v>
      </c>
      <c r="J840" s="882">
        <f t="shared" si="74"/>
        <v>0</v>
      </c>
      <c r="K840" s="887" t="str">
        <f>IFERROR(VALUE(IF(Table2[[#This Row],[Player No]]="","",IFERROR(VLOOKUP(Table2[[#This Row],[Player No]],[3]Men!$D$2:$E$48,2,FALSE)&amp;"",""))),"")</f>
        <v/>
      </c>
      <c r="L840" s="887" t="str">
        <f>IFERROR(VALUE(IF(Table2[[#This Row],[Player No]]="","",IFERROR(VLOOKUP(Table2[[#This Row],[Player No]],[4]Men!$Z$14:$AB$62,2,FALSE)&amp;"",""))),"")</f>
        <v/>
      </c>
      <c r="M840" s="887"/>
      <c r="N840" s="887"/>
      <c r="O840" s="882"/>
      <c r="P840" s="882"/>
      <c r="Q840" s="888"/>
      <c r="R840" s="888"/>
      <c r="S840" s="888"/>
      <c r="T840" s="888"/>
      <c r="U840" s="882"/>
      <c r="V840" s="887"/>
      <c r="W840" s="888"/>
      <c r="X840" s="888"/>
      <c r="Y840" s="888"/>
      <c r="Z840" s="882"/>
      <c r="AA840" s="882"/>
      <c r="AB840" s="882"/>
      <c r="AC840" s="882"/>
      <c r="AD840" s="882"/>
      <c r="AE840" s="882"/>
      <c r="AF840" s="882"/>
      <c r="AG840" s="882"/>
      <c r="AH840" s="882"/>
      <c r="AI840" s="882"/>
      <c r="AJ840" s="882"/>
      <c r="AK840" s="882"/>
    </row>
    <row r="841" spans="1:37" s="890" customFormat="1">
      <c r="A841" s="882"/>
      <c r="B841" s="891"/>
      <c r="C841" s="882"/>
      <c r="D841" s="883"/>
      <c r="E841" s="884"/>
      <c r="F841" s="885" t="str">
        <f>IFERROR(VLOOKUP(Table2[[#This Row],[Player No]],Table10[[No]:[Province]],3,0),"")</f>
        <v/>
      </c>
      <c r="G841" s="892">
        <v>0</v>
      </c>
      <c r="H841" s="886">
        <f>(Table2[[#This Row],[Points 2025]]/2)+SUM(Table2[[#This Row],[O1  ADMIN 2026]:[P2    CAPE TOWN OPEN 2026 ]])</f>
        <v>0</v>
      </c>
      <c r="I841" s="880">
        <f t="shared" si="75"/>
        <v>0</v>
      </c>
      <c r="J841" s="882">
        <f t="shared" si="74"/>
        <v>0</v>
      </c>
      <c r="K841" s="887" t="str">
        <f>IFERROR(VALUE(IF(Table2[[#This Row],[Player No]]="","",IFERROR(VLOOKUP(Table2[[#This Row],[Player No]],[3]Men!$D$2:$E$48,2,FALSE)&amp;"",""))),"")</f>
        <v/>
      </c>
      <c r="L841" s="887" t="str">
        <f>IFERROR(VALUE(IF(Table2[[#This Row],[Player No]]="","",IFERROR(VLOOKUP(Table2[[#This Row],[Player No]],[4]Men!$Z$14:$AB$62,2,FALSE)&amp;"",""))),"")</f>
        <v/>
      </c>
      <c r="M841" s="887"/>
      <c r="N841" s="887"/>
      <c r="O841" s="882"/>
      <c r="P841" s="882"/>
      <c r="Q841" s="888"/>
      <c r="R841" s="888"/>
      <c r="S841" s="888"/>
      <c r="T841" s="888"/>
      <c r="U841" s="882"/>
      <c r="V841" s="887"/>
      <c r="W841" s="888"/>
      <c r="X841" s="888"/>
      <c r="Y841" s="888"/>
      <c r="Z841" s="882"/>
      <c r="AA841" s="882"/>
      <c r="AB841" s="882"/>
      <c r="AC841" s="882"/>
      <c r="AD841" s="882"/>
      <c r="AE841" s="882"/>
      <c r="AF841" s="882"/>
      <c r="AG841" s="882"/>
      <c r="AH841" s="882"/>
      <c r="AI841" s="882"/>
      <c r="AJ841" s="882"/>
      <c r="AK841" s="882"/>
    </row>
    <row r="842" spans="1:37" s="890" customFormat="1">
      <c r="A842" s="882"/>
      <c r="B842" s="891"/>
      <c r="C842" s="882"/>
      <c r="D842" s="883"/>
      <c r="E842" s="884"/>
      <c r="F842" s="885" t="str">
        <f>IFERROR(VLOOKUP(Table2[[#This Row],[Player No]],Table10[[No]:[Province]],3,0),"")</f>
        <v/>
      </c>
      <c r="G842" s="892">
        <v>0</v>
      </c>
      <c r="H842" s="886">
        <f>(Table2[[#This Row],[Points 2025]]/2)+SUM(Table2[[#This Row],[O1  ADMIN 2026]:[P2    CAPE TOWN OPEN 2026 ]])</f>
        <v>0</v>
      </c>
      <c r="I842" s="880">
        <f t="shared" si="75"/>
        <v>0</v>
      </c>
      <c r="J842" s="882">
        <f t="shared" si="74"/>
        <v>0</v>
      </c>
      <c r="K842" s="887" t="str">
        <f>IFERROR(VALUE(IF(Table2[[#This Row],[Player No]]="","",IFERROR(VLOOKUP(Table2[[#This Row],[Player No]],[3]Men!$D$2:$E$48,2,FALSE)&amp;"",""))),"")</f>
        <v/>
      </c>
      <c r="L842" s="887" t="str">
        <f>IFERROR(VALUE(IF(Table2[[#This Row],[Player No]]="","",IFERROR(VLOOKUP(Table2[[#This Row],[Player No]],[4]Men!$Z$14:$AB$62,2,FALSE)&amp;"",""))),"")</f>
        <v/>
      </c>
      <c r="M842" s="887"/>
      <c r="N842" s="887"/>
      <c r="O842" s="882"/>
      <c r="P842" s="882"/>
      <c r="Q842" s="888"/>
      <c r="R842" s="888"/>
      <c r="S842" s="888"/>
      <c r="T842" s="888"/>
      <c r="U842" s="882"/>
      <c r="V842" s="887"/>
      <c r="W842" s="888"/>
      <c r="X842" s="888"/>
      <c r="Y842" s="888"/>
      <c r="Z842" s="882"/>
      <c r="AA842" s="882"/>
      <c r="AB842" s="882"/>
      <c r="AC842" s="882"/>
      <c r="AD842" s="882"/>
      <c r="AE842" s="882"/>
      <c r="AF842" s="882"/>
      <c r="AG842" s="882"/>
      <c r="AH842" s="882"/>
      <c r="AI842" s="882"/>
      <c r="AJ842" s="882"/>
      <c r="AK842" s="882"/>
    </row>
    <row r="843" spans="1:37" s="890" customFormat="1">
      <c r="A843" s="882"/>
      <c r="B843" s="891"/>
      <c r="C843" s="882"/>
      <c r="D843" s="883"/>
      <c r="E843" s="884"/>
      <c r="F843" s="885" t="str">
        <f>IFERROR(VLOOKUP(Table2[[#This Row],[Player No]],Table10[[No]:[Province]],3,0),"")</f>
        <v/>
      </c>
      <c r="G843" s="892">
        <v>0</v>
      </c>
      <c r="H843" s="886">
        <f>(Table2[[#This Row],[Points 2025]]/2)+SUM(Table2[[#This Row],[O1  ADMIN 2026]:[P2    CAPE TOWN OPEN 2026 ]])</f>
        <v>0</v>
      </c>
      <c r="I843" s="880">
        <f t="shared" si="75"/>
        <v>0</v>
      </c>
      <c r="J843" s="882">
        <f t="shared" si="74"/>
        <v>0</v>
      </c>
      <c r="K843" s="887" t="str">
        <f>IFERROR(VALUE(IF(Table2[[#This Row],[Player No]]="","",IFERROR(VLOOKUP(Table2[[#This Row],[Player No]],[3]Men!$D$2:$E$48,2,FALSE)&amp;"",""))),"")</f>
        <v/>
      </c>
      <c r="L843" s="887" t="str">
        <f>IFERROR(VALUE(IF(Table2[[#This Row],[Player No]]="","",IFERROR(VLOOKUP(Table2[[#This Row],[Player No]],[4]Men!$Z$14:$AB$62,2,FALSE)&amp;"",""))),"")</f>
        <v/>
      </c>
      <c r="M843" s="887"/>
      <c r="N843" s="887"/>
      <c r="O843" s="882"/>
      <c r="P843" s="882"/>
      <c r="Q843" s="888"/>
      <c r="R843" s="888"/>
      <c r="S843" s="888"/>
      <c r="T843" s="888"/>
      <c r="U843" s="882"/>
      <c r="V843" s="887"/>
      <c r="W843" s="888"/>
      <c r="X843" s="888"/>
      <c r="Y843" s="888"/>
      <c r="Z843" s="882"/>
      <c r="AA843" s="882"/>
      <c r="AB843" s="882"/>
      <c r="AC843" s="882"/>
      <c r="AD843" s="882"/>
      <c r="AE843" s="882"/>
      <c r="AF843" s="882"/>
      <c r="AG843" s="882"/>
      <c r="AH843" s="882"/>
      <c r="AI843" s="882"/>
      <c r="AJ843" s="882"/>
      <c r="AK843" s="882"/>
    </row>
    <row r="844" spans="1:37" s="890" customFormat="1">
      <c r="A844" s="882"/>
      <c r="B844" s="891"/>
      <c r="C844" s="882"/>
      <c r="D844" s="883"/>
      <c r="E844" s="884"/>
      <c r="F844" s="885" t="str">
        <f>IFERROR(VLOOKUP(Table2[[#This Row],[Player No]],Table10[[No]:[Province]],3,0),"")</f>
        <v/>
      </c>
      <c r="G844" s="892">
        <v>0</v>
      </c>
      <c r="H844" s="886">
        <f>(Table2[[#This Row],[Points 2025]]/2)+SUM(Table2[[#This Row],[O1  ADMIN 2026]:[P2    CAPE TOWN OPEN 2026 ]])</f>
        <v>0</v>
      </c>
      <c r="I844" s="880">
        <f t="shared" si="75"/>
        <v>0</v>
      </c>
      <c r="J844" s="882">
        <f t="shared" si="74"/>
        <v>0</v>
      </c>
      <c r="K844" s="887" t="str">
        <f>IFERROR(VALUE(IF(Table2[[#This Row],[Player No]]="","",IFERROR(VLOOKUP(Table2[[#This Row],[Player No]],[3]Men!$D$2:$E$48,2,FALSE)&amp;"",""))),"")</f>
        <v/>
      </c>
      <c r="L844" s="887" t="str">
        <f>IFERROR(VALUE(IF(Table2[[#This Row],[Player No]]="","",IFERROR(VLOOKUP(Table2[[#This Row],[Player No]],[4]Men!$Z$14:$AB$62,2,FALSE)&amp;"",""))),"")</f>
        <v/>
      </c>
      <c r="M844" s="887"/>
      <c r="N844" s="887"/>
      <c r="O844" s="882"/>
      <c r="P844" s="882"/>
      <c r="Q844" s="888"/>
      <c r="R844" s="888"/>
      <c r="S844" s="888"/>
      <c r="T844" s="888"/>
      <c r="U844" s="882"/>
      <c r="V844" s="887"/>
      <c r="W844" s="888"/>
      <c r="X844" s="888"/>
      <c r="Y844" s="888"/>
      <c r="Z844" s="882"/>
      <c r="AA844" s="882"/>
      <c r="AB844" s="882"/>
      <c r="AC844" s="882"/>
      <c r="AD844" s="882"/>
      <c r="AE844" s="882"/>
      <c r="AF844" s="882"/>
      <c r="AG844" s="882"/>
      <c r="AH844" s="882"/>
      <c r="AI844" s="882"/>
      <c r="AJ844" s="882"/>
      <c r="AK844" s="882"/>
    </row>
    <row r="845" spans="1:37" s="890" customFormat="1">
      <c r="A845" s="882"/>
      <c r="B845" s="891"/>
      <c r="C845" s="882"/>
      <c r="D845" s="883"/>
      <c r="E845" s="884"/>
      <c r="F845" s="885" t="str">
        <f>IFERROR(VLOOKUP(Table2[[#This Row],[Player No]],Table10[[No]:[Province]],3,0),"")</f>
        <v/>
      </c>
      <c r="G845" s="892">
        <v>0</v>
      </c>
      <c r="H845" s="886">
        <f>(Table2[[#This Row],[Points 2025]]/2)+SUM(Table2[[#This Row],[O1  ADMIN 2026]:[P2    CAPE TOWN OPEN 2026 ]])</f>
        <v>0</v>
      </c>
      <c r="I845" s="880">
        <f t="shared" si="75"/>
        <v>0</v>
      </c>
      <c r="J845" s="882">
        <f t="shared" si="74"/>
        <v>0</v>
      </c>
      <c r="K845" s="887" t="str">
        <f>IFERROR(VALUE(IF(Table2[[#This Row],[Player No]]="","",IFERROR(VLOOKUP(Table2[[#This Row],[Player No]],[3]Men!$D$2:$E$48,2,FALSE)&amp;"",""))),"")</f>
        <v/>
      </c>
      <c r="L845" s="887" t="str">
        <f>IFERROR(VALUE(IF(Table2[[#This Row],[Player No]]="","",IFERROR(VLOOKUP(Table2[[#This Row],[Player No]],[4]Men!$Z$14:$AB$62,2,FALSE)&amp;"",""))),"")</f>
        <v/>
      </c>
      <c r="M845" s="887"/>
      <c r="N845" s="887"/>
      <c r="O845" s="882"/>
      <c r="P845" s="882"/>
      <c r="Q845" s="888"/>
      <c r="R845" s="888"/>
      <c r="S845" s="888"/>
      <c r="T845" s="888"/>
      <c r="U845" s="882"/>
      <c r="V845" s="887"/>
      <c r="W845" s="888"/>
      <c r="X845" s="888"/>
      <c r="Y845" s="888"/>
      <c r="Z845" s="882"/>
      <c r="AA845" s="882"/>
      <c r="AB845" s="882"/>
      <c r="AC845" s="882"/>
      <c r="AD845" s="882"/>
      <c r="AE845" s="882"/>
      <c r="AF845" s="882"/>
      <c r="AG845" s="882"/>
      <c r="AH845" s="882"/>
      <c r="AI845" s="882"/>
      <c r="AJ845" s="882"/>
      <c r="AK845" s="882"/>
    </row>
    <row r="846" spans="1:37" s="890" customFormat="1">
      <c r="A846" s="882"/>
      <c r="B846" s="891"/>
      <c r="C846" s="882"/>
      <c r="D846" s="883"/>
      <c r="E846" s="884"/>
      <c r="F846" s="885" t="str">
        <f>IFERROR(VLOOKUP(Table2[[#This Row],[Player No]],Table10[[No]:[Province]],3,0),"")</f>
        <v/>
      </c>
      <c r="G846" s="892">
        <v>0</v>
      </c>
      <c r="H846" s="886">
        <f>(Table2[[#This Row],[Points 2025]]/2)+SUM(Table2[[#This Row],[O1  ADMIN 2026]:[P2    CAPE TOWN OPEN 2026 ]])</f>
        <v>0</v>
      </c>
      <c r="I846" s="880">
        <f t="shared" si="75"/>
        <v>0</v>
      </c>
      <c r="J846" s="882">
        <f t="shared" si="74"/>
        <v>0</v>
      </c>
      <c r="K846" s="887" t="str">
        <f>IFERROR(VALUE(IF(Table2[[#This Row],[Player No]]="","",IFERROR(VLOOKUP(Table2[[#This Row],[Player No]],[3]Men!$D$2:$E$48,2,FALSE)&amp;"",""))),"")</f>
        <v/>
      </c>
      <c r="L846" s="887" t="str">
        <f>IFERROR(VALUE(IF(Table2[[#This Row],[Player No]]="","",IFERROR(VLOOKUP(Table2[[#This Row],[Player No]],[4]Men!$Z$14:$AB$62,2,FALSE)&amp;"",""))),"")</f>
        <v/>
      </c>
      <c r="M846" s="887"/>
      <c r="N846" s="887"/>
      <c r="O846" s="882"/>
      <c r="P846" s="882"/>
      <c r="Q846" s="888"/>
      <c r="R846" s="888"/>
      <c r="S846" s="888"/>
      <c r="T846" s="888"/>
      <c r="U846" s="882"/>
      <c r="V846" s="887"/>
      <c r="W846" s="888"/>
      <c r="X846" s="888"/>
      <c r="Y846" s="888"/>
      <c r="Z846" s="882"/>
      <c r="AA846" s="882"/>
      <c r="AB846" s="882"/>
      <c r="AC846" s="882"/>
      <c r="AD846" s="882"/>
      <c r="AE846" s="882"/>
      <c r="AF846" s="882"/>
      <c r="AG846" s="882"/>
      <c r="AH846" s="882"/>
      <c r="AI846" s="882"/>
      <c r="AJ846" s="882"/>
      <c r="AK846" s="882"/>
    </row>
    <row r="847" spans="1:37" s="890" customFormat="1">
      <c r="A847" s="882"/>
      <c r="B847" s="891"/>
      <c r="C847" s="882"/>
      <c r="D847" s="883"/>
      <c r="E847" s="884"/>
      <c r="F847" s="885" t="str">
        <f>IFERROR(VLOOKUP(Table2[[#This Row],[Player No]],Table10[[No]:[Province]],3,0),"")</f>
        <v/>
      </c>
      <c r="G847" s="892">
        <v>0</v>
      </c>
      <c r="H847" s="886">
        <f>(Table2[[#This Row],[Points 2025]]/2)+SUM(Table2[[#This Row],[O1  ADMIN 2026]:[P2    CAPE TOWN OPEN 2026 ]])</f>
        <v>0</v>
      </c>
      <c r="I847" s="880">
        <f t="shared" si="75"/>
        <v>0</v>
      </c>
      <c r="J847" s="882">
        <f t="shared" si="74"/>
        <v>0</v>
      </c>
      <c r="K847" s="887" t="str">
        <f>IFERROR(VALUE(IF(Table2[[#This Row],[Player No]]="","",IFERROR(VLOOKUP(Table2[[#This Row],[Player No]],[3]Men!$D$2:$E$48,2,FALSE)&amp;"",""))),"")</f>
        <v/>
      </c>
      <c r="L847" s="887" t="str">
        <f>IFERROR(VALUE(IF(Table2[[#This Row],[Player No]]="","",IFERROR(VLOOKUP(Table2[[#This Row],[Player No]],[4]Men!$Z$14:$AB$62,2,FALSE)&amp;"",""))),"")</f>
        <v/>
      </c>
      <c r="M847" s="887"/>
      <c r="N847" s="887"/>
      <c r="O847" s="882"/>
      <c r="P847" s="882"/>
      <c r="Q847" s="888"/>
      <c r="R847" s="888"/>
      <c r="S847" s="888"/>
      <c r="T847" s="888"/>
      <c r="U847" s="882"/>
      <c r="V847" s="887"/>
      <c r="W847" s="888"/>
      <c r="X847" s="888"/>
      <c r="Y847" s="888"/>
      <c r="Z847" s="882"/>
      <c r="AA847" s="882"/>
      <c r="AB847" s="882"/>
      <c r="AC847" s="882"/>
      <c r="AD847" s="882"/>
      <c r="AE847" s="882"/>
      <c r="AF847" s="882"/>
      <c r="AG847" s="882"/>
      <c r="AH847" s="882"/>
      <c r="AI847" s="882"/>
      <c r="AJ847" s="882"/>
      <c r="AK847" s="882"/>
    </row>
    <row r="848" spans="1:37" s="890" customFormat="1">
      <c r="A848" s="882"/>
      <c r="B848" s="891"/>
      <c r="C848" s="882"/>
      <c r="D848" s="883"/>
      <c r="E848" s="884"/>
      <c r="F848" s="885" t="str">
        <f>IFERROR(VLOOKUP(Table2[[#This Row],[Player No]],Table10[[No]:[Province]],3,0),"")</f>
        <v/>
      </c>
      <c r="G848" s="892">
        <v>0</v>
      </c>
      <c r="H848" s="886">
        <f>(Table2[[#This Row],[Points 2025]]/2)+SUM(Table2[[#This Row],[O1  ADMIN 2026]:[P2    CAPE TOWN OPEN 2026 ]])</f>
        <v>0</v>
      </c>
      <c r="I848" s="880">
        <f t="shared" si="75"/>
        <v>0</v>
      </c>
      <c r="J848" s="882">
        <f t="shared" si="74"/>
        <v>0</v>
      </c>
      <c r="K848" s="887" t="str">
        <f>IFERROR(VALUE(IF(Table2[[#This Row],[Player No]]="","",IFERROR(VLOOKUP(Table2[[#This Row],[Player No]],[3]Men!$D$2:$E$48,2,FALSE)&amp;"",""))),"")</f>
        <v/>
      </c>
      <c r="L848" s="887" t="str">
        <f>IFERROR(VALUE(IF(Table2[[#This Row],[Player No]]="","",IFERROR(VLOOKUP(Table2[[#This Row],[Player No]],[4]Men!$Z$14:$AB$62,2,FALSE)&amp;"",""))),"")</f>
        <v/>
      </c>
      <c r="M848" s="887"/>
      <c r="N848" s="887"/>
      <c r="O848" s="882"/>
      <c r="P848" s="882"/>
      <c r="Q848" s="888"/>
      <c r="R848" s="888"/>
      <c r="S848" s="888"/>
      <c r="T848" s="888"/>
      <c r="U848" s="882"/>
      <c r="V848" s="887"/>
      <c r="W848" s="888"/>
      <c r="X848" s="888"/>
      <c r="Y848" s="888"/>
      <c r="Z848" s="882"/>
      <c r="AA848" s="882"/>
      <c r="AB848" s="882"/>
      <c r="AC848" s="882"/>
      <c r="AD848" s="882"/>
      <c r="AE848" s="882"/>
      <c r="AF848" s="882"/>
      <c r="AG848" s="882"/>
      <c r="AH848" s="882"/>
      <c r="AI848" s="882"/>
      <c r="AJ848" s="882"/>
      <c r="AK848" s="882"/>
    </row>
    <row r="849" spans="1:37" s="890" customFormat="1">
      <c r="A849" s="882"/>
      <c r="B849" s="891"/>
      <c r="C849" s="882"/>
      <c r="D849" s="883"/>
      <c r="E849" s="884"/>
      <c r="F849" s="885" t="str">
        <f>IFERROR(VLOOKUP(Table2[[#This Row],[Player No]],Table10[[No]:[Province]],3,0),"")</f>
        <v/>
      </c>
      <c r="G849" s="892">
        <v>0</v>
      </c>
      <c r="H849" s="886">
        <f>(Table2[[#This Row],[Points 2025]]/2)+SUM(Table2[[#This Row],[O1  ADMIN 2026]:[P2    CAPE TOWN OPEN 2026 ]])</f>
        <v>0</v>
      </c>
      <c r="I849" s="880">
        <f t="shared" si="75"/>
        <v>0</v>
      </c>
      <c r="J849" s="882">
        <f t="shared" ref="J849:J912" si="76">COUNTIF(O849:AK849,"&lt;0")</f>
        <v>0</v>
      </c>
      <c r="K849" s="887" t="str">
        <f>IFERROR(VALUE(IF(Table2[[#This Row],[Player No]]="","",IFERROR(VLOOKUP(Table2[[#This Row],[Player No]],[3]Men!$D$2:$E$48,2,FALSE)&amp;"",""))),"")</f>
        <v/>
      </c>
      <c r="L849" s="887" t="str">
        <f>IFERROR(VALUE(IF(Table2[[#This Row],[Player No]]="","",IFERROR(VLOOKUP(Table2[[#This Row],[Player No]],[4]Men!$Z$14:$AB$62,2,FALSE)&amp;"",""))),"")</f>
        <v/>
      </c>
      <c r="M849" s="887"/>
      <c r="N849" s="887"/>
      <c r="O849" s="882"/>
      <c r="P849" s="882"/>
      <c r="Q849" s="888"/>
      <c r="R849" s="888"/>
      <c r="S849" s="888"/>
      <c r="T849" s="888"/>
      <c r="U849" s="882"/>
      <c r="V849" s="887"/>
      <c r="W849" s="888"/>
      <c r="X849" s="888"/>
      <c r="Y849" s="888"/>
      <c r="Z849" s="882"/>
      <c r="AA849" s="882"/>
      <c r="AB849" s="882"/>
      <c r="AC849" s="882"/>
      <c r="AD849" s="882"/>
      <c r="AE849" s="882"/>
      <c r="AF849" s="882"/>
      <c r="AG849" s="882"/>
      <c r="AH849" s="882"/>
      <c r="AI849" s="882"/>
      <c r="AJ849" s="882"/>
      <c r="AK849" s="882"/>
    </row>
    <row r="850" spans="1:37" s="890" customFormat="1">
      <c r="A850" s="882"/>
      <c r="B850" s="891"/>
      <c r="C850" s="882"/>
      <c r="D850" s="883"/>
      <c r="E850" s="884"/>
      <c r="F850" s="885" t="str">
        <f>IFERROR(VLOOKUP(Table2[[#This Row],[Player No]],Table10[[No]:[Province]],3,0),"")</f>
        <v/>
      </c>
      <c r="G850" s="892">
        <v>0</v>
      </c>
      <c r="H850" s="886">
        <f>(Table2[[#This Row],[Points 2025]]/2)+SUM(Table2[[#This Row],[O1  ADMIN 2026]:[P2    CAPE TOWN OPEN 2026 ]])</f>
        <v>0</v>
      </c>
      <c r="I850" s="880">
        <f t="shared" si="75"/>
        <v>0</v>
      </c>
      <c r="J850" s="882">
        <f t="shared" si="76"/>
        <v>0</v>
      </c>
      <c r="K850" s="887" t="str">
        <f>IFERROR(VALUE(IF(Table2[[#This Row],[Player No]]="","",IFERROR(VLOOKUP(Table2[[#This Row],[Player No]],[3]Men!$D$2:$E$48,2,FALSE)&amp;"",""))),"")</f>
        <v/>
      </c>
      <c r="L850" s="887" t="str">
        <f>IFERROR(VALUE(IF(Table2[[#This Row],[Player No]]="","",IFERROR(VLOOKUP(Table2[[#This Row],[Player No]],[4]Men!$Z$14:$AB$62,2,FALSE)&amp;"",""))),"")</f>
        <v/>
      </c>
      <c r="M850" s="887"/>
      <c r="N850" s="887"/>
      <c r="O850" s="882"/>
      <c r="P850" s="882"/>
      <c r="Q850" s="888"/>
      <c r="R850" s="888"/>
      <c r="S850" s="888"/>
      <c r="T850" s="888"/>
      <c r="U850" s="882"/>
      <c r="V850" s="887"/>
      <c r="W850" s="888"/>
      <c r="X850" s="888"/>
      <c r="Y850" s="888"/>
      <c r="Z850" s="882"/>
      <c r="AA850" s="882"/>
      <c r="AB850" s="882"/>
      <c r="AC850" s="882"/>
      <c r="AD850" s="882"/>
      <c r="AE850" s="882"/>
      <c r="AF850" s="882"/>
      <c r="AG850" s="882"/>
      <c r="AH850" s="882"/>
      <c r="AI850" s="882"/>
      <c r="AJ850" s="882"/>
      <c r="AK850" s="882"/>
    </row>
    <row r="851" spans="1:37" s="890" customFormat="1">
      <c r="A851" s="882"/>
      <c r="B851" s="891"/>
      <c r="C851" s="882"/>
      <c r="D851" s="883"/>
      <c r="E851" s="884"/>
      <c r="F851" s="885" t="str">
        <f>IFERROR(VLOOKUP(Table2[[#This Row],[Player No]],Table10[[No]:[Province]],3,0),"")</f>
        <v/>
      </c>
      <c r="G851" s="892">
        <v>0</v>
      </c>
      <c r="H851" s="886">
        <f>(Table2[[#This Row],[Points 2025]]/2)+SUM(Table2[[#This Row],[O1  ADMIN 2026]:[P2    CAPE TOWN OPEN 2026 ]])</f>
        <v>0</v>
      </c>
      <c r="I851" s="880">
        <f t="shared" si="75"/>
        <v>0</v>
      </c>
      <c r="J851" s="882">
        <f t="shared" si="76"/>
        <v>0</v>
      </c>
      <c r="K851" s="887" t="str">
        <f>IFERROR(VALUE(IF(Table2[[#This Row],[Player No]]="","",IFERROR(VLOOKUP(Table2[[#This Row],[Player No]],[3]Men!$D$2:$E$48,2,FALSE)&amp;"",""))),"")</f>
        <v/>
      </c>
      <c r="L851" s="887" t="str">
        <f>IFERROR(VALUE(IF(Table2[[#This Row],[Player No]]="","",IFERROR(VLOOKUP(Table2[[#This Row],[Player No]],[4]Men!$Z$14:$AB$62,2,FALSE)&amp;"",""))),"")</f>
        <v/>
      </c>
      <c r="M851" s="887"/>
      <c r="N851" s="887"/>
      <c r="O851" s="882"/>
      <c r="P851" s="882"/>
      <c r="Q851" s="888"/>
      <c r="R851" s="888"/>
      <c r="S851" s="888"/>
      <c r="T851" s="888"/>
      <c r="U851" s="882"/>
      <c r="V851" s="887"/>
      <c r="W851" s="888"/>
      <c r="X851" s="888"/>
      <c r="Y851" s="888"/>
      <c r="Z851" s="882"/>
      <c r="AA851" s="882"/>
      <c r="AB851" s="882"/>
      <c r="AC851" s="882"/>
      <c r="AD851" s="882"/>
      <c r="AE851" s="882"/>
      <c r="AF851" s="882"/>
      <c r="AG851" s="882"/>
      <c r="AH851" s="882"/>
      <c r="AI851" s="882"/>
      <c r="AJ851" s="882"/>
      <c r="AK851" s="882"/>
    </row>
    <row r="852" spans="1:37" s="890" customFormat="1">
      <c r="A852" s="882"/>
      <c r="B852" s="891"/>
      <c r="C852" s="882"/>
      <c r="D852" s="883"/>
      <c r="E852" s="884"/>
      <c r="F852" s="885" t="str">
        <f>IFERROR(VLOOKUP(Table2[[#This Row],[Player No]],Table10[[No]:[Province]],3,0),"")</f>
        <v/>
      </c>
      <c r="G852" s="892">
        <v>0</v>
      </c>
      <c r="H852" s="886">
        <f>(Table2[[#This Row],[Points 2025]]/2)+SUM(Table2[[#This Row],[O1  ADMIN 2026]:[P2    CAPE TOWN OPEN 2026 ]])</f>
        <v>0</v>
      </c>
      <c r="I852" s="880">
        <f t="shared" si="75"/>
        <v>0</v>
      </c>
      <c r="J852" s="882">
        <f t="shared" si="76"/>
        <v>0</v>
      </c>
      <c r="K852" s="887" t="str">
        <f>IFERROR(VALUE(IF(Table2[[#This Row],[Player No]]="","",IFERROR(VLOOKUP(Table2[[#This Row],[Player No]],[3]Men!$D$2:$E$48,2,FALSE)&amp;"",""))),"")</f>
        <v/>
      </c>
      <c r="L852" s="887" t="str">
        <f>IFERROR(VALUE(IF(Table2[[#This Row],[Player No]]="","",IFERROR(VLOOKUP(Table2[[#This Row],[Player No]],[4]Men!$Z$14:$AB$62,2,FALSE)&amp;"",""))),"")</f>
        <v/>
      </c>
      <c r="M852" s="887"/>
      <c r="N852" s="887"/>
      <c r="O852" s="882"/>
      <c r="P852" s="882"/>
      <c r="Q852" s="888"/>
      <c r="R852" s="888"/>
      <c r="S852" s="888"/>
      <c r="T852" s="888"/>
      <c r="U852" s="882"/>
      <c r="V852" s="887"/>
      <c r="W852" s="888"/>
      <c r="X852" s="888"/>
      <c r="Y852" s="888"/>
      <c r="Z852" s="882"/>
      <c r="AA852" s="882"/>
      <c r="AB852" s="882"/>
      <c r="AC852" s="882"/>
      <c r="AD852" s="882"/>
      <c r="AE852" s="882"/>
      <c r="AF852" s="882"/>
      <c r="AG852" s="882"/>
      <c r="AH852" s="882"/>
      <c r="AI852" s="882"/>
      <c r="AJ852" s="882"/>
      <c r="AK852" s="882"/>
    </row>
    <row r="853" spans="1:37" s="890" customFormat="1">
      <c r="A853" s="882"/>
      <c r="B853" s="891"/>
      <c r="C853" s="882"/>
      <c r="D853" s="883"/>
      <c r="E853" s="884"/>
      <c r="F853" s="885" t="str">
        <f>IFERROR(VLOOKUP(Table2[[#This Row],[Player No]],Table10[[No]:[Province]],3,0),"")</f>
        <v/>
      </c>
      <c r="G853" s="892">
        <v>0</v>
      </c>
      <c r="H853" s="886">
        <f>(Table2[[#This Row],[Points 2025]]/2)+SUM(Table2[[#This Row],[O1  ADMIN 2026]:[P2    CAPE TOWN OPEN 2026 ]])</f>
        <v>0</v>
      </c>
      <c r="I853" s="880">
        <f t="shared" si="75"/>
        <v>0</v>
      </c>
      <c r="J853" s="882">
        <f t="shared" si="76"/>
        <v>0</v>
      </c>
      <c r="K853" s="887" t="str">
        <f>IFERROR(VALUE(IF(Table2[[#This Row],[Player No]]="","",IFERROR(VLOOKUP(Table2[[#This Row],[Player No]],[3]Men!$D$2:$E$48,2,FALSE)&amp;"",""))),"")</f>
        <v/>
      </c>
      <c r="L853" s="887" t="str">
        <f>IFERROR(VALUE(IF(Table2[[#This Row],[Player No]]="","",IFERROR(VLOOKUP(Table2[[#This Row],[Player No]],[4]Men!$Z$14:$AB$62,2,FALSE)&amp;"",""))),"")</f>
        <v/>
      </c>
      <c r="M853" s="887"/>
      <c r="N853" s="887"/>
      <c r="O853" s="882"/>
      <c r="P853" s="882"/>
      <c r="Q853" s="888"/>
      <c r="R853" s="888"/>
      <c r="S853" s="888"/>
      <c r="T853" s="888"/>
      <c r="U853" s="882"/>
      <c r="V853" s="887"/>
      <c r="W853" s="888"/>
      <c r="X853" s="888"/>
      <c r="Y853" s="888"/>
      <c r="Z853" s="882"/>
      <c r="AA853" s="882"/>
      <c r="AB853" s="882"/>
      <c r="AC853" s="882"/>
      <c r="AD853" s="882"/>
      <c r="AE853" s="882"/>
      <c r="AF853" s="882"/>
      <c r="AG853" s="882"/>
      <c r="AH853" s="882"/>
      <c r="AI853" s="882"/>
      <c r="AJ853" s="882"/>
      <c r="AK853" s="882"/>
    </row>
    <row r="854" spans="1:37" s="890" customFormat="1">
      <c r="A854" s="882"/>
      <c r="B854" s="891"/>
      <c r="C854" s="882"/>
      <c r="D854" s="883"/>
      <c r="E854" s="884"/>
      <c r="F854" s="885" t="str">
        <f>IFERROR(VLOOKUP(Table2[[#This Row],[Player No]],Table10[[No]:[Province]],3,0),"")</f>
        <v/>
      </c>
      <c r="G854" s="892">
        <v>0</v>
      </c>
      <c r="H854" s="886">
        <f>(Table2[[#This Row],[Points 2025]]/2)+SUM(Table2[[#This Row],[O1  ADMIN 2026]:[P2    CAPE TOWN OPEN 2026 ]])</f>
        <v>0</v>
      </c>
      <c r="I854" s="880">
        <f t="shared" si="75"/>
        <v>0</v>
      </c>
      <c r="J854" s="882">
        <f t="shared" si="76"/>
        <v>0</v>
      </c>
      <c r="K854" s="887" t="str">
        <f>IFERROR(VALUE(IF(Table2[[#This Row],[Player No]]="","",IFERROR(VLOOKUP(Table2[[#This Row],[Player No]],[3]Men!$D$2:$E$48,2,FALSE)&amp;"",""))),"")</f>
        <v/>
      </c>
      <c r="L854" s="887" t="str">
        <f>IFERROR(VALUE(IF(Table2[[#This Row],[Player No]]="","",IFERROR(VLOOKUP(Table2[[#This Row],[Player No]],[4]Men!$Z$14:$AB$62,2,FALSE)&amp;"",""))),"")</f>
        <v/>
      </c>
      <c r="M854" s="887"/>
      <c r="N854" s="887"/>
      <c r="O854" s="882"/>
      <c r="P854" s="882"/>
      <c r="Q854" s="888"/>
      <c r="R854" s="888"/>
      <c r="S854" s="888"/>
      <c r="T854" s="888"/>
      <c r="U854" s="882"/>
      <c r="V854" s="887"/>
      <c r="W854" s="888"/>
      <c r="X854" s="888"/>
      <c r="Y854" s="888"/>
      <c r="Z854" s="882"/>
      <c r="AA854" s="882"/>
      <c r="AB854" s="882"/>
      <c r="AC854" s="882"/>
      <c r="AD854" s="882"/>
      <c r="AE854" s="882"/>
      <c r="AF854" s="882"/>
      <c r="AG854" s="882"/>
      <c r="AH854" s="882"/>
      <c r="AI854" s="882"/>
      <c r="AJ854" s="882"/>
      <c r="AK854" s="882"/>
    </row>
    <row r="855" spans="1:37" s="890" customFormat="1">
      <c r="A855" s="882"/>
      <c r="B855" s="891"/>
      <c r="C855" s="882"/>
      <c r="D855" s="883"/>
      <c r="E855" s="884"/>
      <c r="F855" s="885" t="str">
        <f>IFERROR(VLOOKUP(Table2[[#This Row],[Player No]],Table10[[No]:[Province]],3,0),"")</f>
        <v/>
      </c>
      <c r="G855" s="892">
        <v>0</v>
      </c>
      <c r="H855" s="886">
        <f>(Table2[[#This Row],[Points 2025]]/2)+SUM(Table2[[#This Row],[O1  ADMIN 2026]:[P2    CAPE TOWN OPEN 2026 ]])</f>
        <v>0</v>
      </c>
      <c r="I855" s="880">
        <f t="shared" si="75"/>
        <v>0</v>
      </c>
      <c r="J855" s="882">
        <f t="shared" si="76"/>
        <v>0</v>
      </c>
      <c r="K855" s="887" t="str">
        <f>IFERROR(VALUE(IF(Table2[[#This Row],[Player No]]="","",IFERROR(VLOOKUP(Table2[[#This Row],[Player No]],[3]Men!$D$2:$E$48,2,FALSE)&amp;"",""))),"")</f>
        <v/>
      </c>
      <c r="L855" s="887" t="str">
        <f>IFERROR(VALUE(IF(Table2[[#This Row],[Player No]]="","",IFERROR(VLOOKUP(Table2[[#This Row],[Player No]],[4]Men!$Z$14:$AB$62,2,FALSE)&amp;"",""))),"")</f>
        <v/>
      </c>
      <c r="M855" s="887"/>
      <c r="N855" s="887"/>
      <c r="O855" s="882"/>
      <c r="P855" s="882"/>
      <c r="Q855" s="888"/>
      <c r="R855" s="888"/>
      <c r="S855" s="888"/>
      <c r="T855" s="888"/>
      <c r="U855" s="882"/>
      <c r="V855" s="887"/>
      <c r="W855" s="888"/>
      <c r="X855" s="888"/>
      <c r="Y855" s="888"/>
      <c r="Z855" s="882"/>
      <c r="AA855" s="882"/>
      <c r="AB855" s="882"/>
      <c r="AC855" s="882"/>
      <c r="AD855" s="882"/>
      <c r="AE855" s="882"/>
      <c r="AF855" s="882"/>
      <c r="AG855" s="882"/>
      <c r="AH855" s="882"/>
      <c r="AI855" s="882"/>
      <c r="AJ855" s="882"/>
      <c r="AK855" s="882"/>
    </row>
    <row r="856" spans="1:37" s="890" customFormat="1">
      <c r="A856" s="882"/>
      <c r="B856" s="891"/>
      <c r="C856" s="882"/>
      <c r="D856" s="883"/>
      <c r="E856" s="884"/>
      <c r="F856" s="885" t="str">
        <f>IFERROR(VLOOKUP(Table2[[#This Row],[Player No]],Table10[[No]:[Province]],3,0),"")</f>
        <v/>
      </c>
      <c r="G856" s="892">
        <v>0</v>
      </c>
      <c r="H856" s="886">
        <f>(Table2[[#This Row],[Points 2025]]/2)+SUM(Table2[[#This Row],[O1  ADMIN 2026]:[P2    CAPE TOWN OPEN 2026 ]])</f>
        <v>0</v>
      </c>
      <c r="I856" s="880">
        <f t="shared" si="75"/>
        <v>0</v>
      </c>
      <c r="J856" s="882">
        <f t="shared" si="76"/>
        <v>0</v>
      </c>
      <c r="K856" s="887" t="str">
        <f>IFERROR(VALUE(IF(Table2[[#This Row],[Player No]]="","",IFERROR(VLOOKUP(Table2[[#This Row],[Player No]],[3]Men!$D$2:$E$48,2,FALSE)&amp;"",""))),"")</f>
        <v/>
      </c>
      <c r="L856" s="887" t="str">
        <f>IFERROR(VALUE(IF(Table2[[#This Row],[Player No]]="","",IFERROR(VLOOKUP(Table2[[#This Row],[Player No]],[4]Men!$Z$14:$AB$62,2,FALSE)&amp;"",""))),"")</f>
        <v/>
      </c>
      <c r="M856" s="887"/>
      <c r="N856" s="887"/>
      <c r="O856" s="882"/>
      <c r="P856" s="882"/>
      <c r="Q856" s="888"/>
      <c r="R856" s="888"/>
      <c r="S856" s="888"/>
      <c r="T856" s="888"/>
      <c r="U856" s="882"/>
      <c r="V856" s="887"/>
      <c r="W856" s="888"/>
      <c r="X856" s="888"/>
      <c r="Y856" s="888"/>
      <c r="Z856" s="882"/>
      <c r="AA856" s="882"/>
      <c r="AB856" s="882"/>
      <c r="AC856" s="882"/>
      <c r="AD856" s="882"/>
      <c r="AE856" s="882"/>
      <c r="AF856" s="882"/>
      <c r="AG856" s="882"/>
      <c r="AH856" s="882"/>
      <c r="AI856" s="882"/>
      <c r="AJ856" s="882"/>
      <c r="AK856" s="882"/>
    </row>
    <row r="857" spans="1:37" s="890" customFormat="1">
      <c r="A857" s="882"/>
      <c r="B857" s="891"/>
      <c r="C857" s="882"/>
      <c r="D857" s="883"/>
      <c r="E857" s="884"/>
      <c r="F857" s="885" t="str">
        <f>IFERROR(VLOOKUP(Table2[[#This Row],[Player No]],Table10[[No]:[Province]],3,0),"")</f>
        <v/>
      </c>
      <c r="G857" s="892">
        <v>0</v>
      </c>
      <c r="H857" s="886">
        <f>(Table2[[#This Row],[Points 2025]]/2)+SUM(Table2[[#This Row],[O1  ADMIN 2026]:[P2    CAPE TOWN OPEN 2026 ]])</f>
        <v>0</v>
      </c>
      <c r="I857" s="880">
        <f t="shared" si="75"/>
        <v>0</v>
      </c>
      <c r="J857" s="882">
        <f t="shared" si="76"/>
        <v>0</v>
      </c>
      <c r="K857" s="887" t="str">
        <f>IFERROR(VALUE(IF(Table2[[#This Row],[Player No]]="","",IFERROR(VLOOKUP(Table2[[#This Row],[Player No]],[3]Men!$D$2:$E$48,2,FALSE)&amp;"",""))),"")</f>
        <v/>
      </c>
      <c r="L857" s="887" t="str">
        <f>IFERROR(VALUE(IF(Table2[[#This Row],[Player No]]="","",IFERROR(VLOOKUP(Table2[[#This Row],[Player No]],[4]Men!$Z$14:$AB$62,2,FALSE)&amp;"",""))),"")</f>
        <v/>
      </c>
      <c r="M857" s="887"/>
      <c r="N857" s="887"/>
      <c r="O857" s="882"/>
      <c r="P857" s="882"/>
      <c r="Q857" s="888"/>
      <c r="R857" s="888"/>
      <c r="S857" s="888"/>
      <c r="T857" s="888"/>
      <c r="U857" s="882"/>
      <c r="V857" s="887"/>
      <c r="W857" s="888"/>
      <c r="X857" s="888"/>
      <c r="Y857" s="888"/>
      <c r="Z857" s="882"/>
      <c r="AA857" s="882"/>
      <c r="AB857" s="882"/>
      <c r="AC857" s="882"/>
      <c r="AD857" s="882"/>
      <c r="AE857" s="882"/>
      <c r="AF857" s="882"/>
      <c r="AG857" s="882"/>
      <c r="AH857" s="882"/>
      <c r="AI857" s="882"/>
      <c r="AJ857" s="882"/>
      <c r="AK857" s="882"/>
    </row>
    <row r="858" spans="1:37" s="890" customFormat="1">
      <c r="A858" s="882"/>
      <c r="B858" s="891"/>
      <c r="C858" s="882"/>
      <c r="D858" s="883"/>
      <c r="E858" s="884"/>
      <c r="F858" s="885" t="str">
        <f>IFERROR(VLOOKUP(Table2[[#This Row],[Player No]],Table10[[No]:[Province]],3,0),"")</f>
        <v/>
      </c>
      <c r="G858" s="892">
        <v>0</v>
      </c>
      <c r="H858" s="886">
        <f>(Table2[[#This Row],[Points 2025]]/2)+SUM(Table2[[#This Row],[O1  ADMIN 2026]:[P2    CAPE TOWN OPEN 2026 ]])</f>
        <v>0</v>
      </c>
      <c r="I858" s="880">
        <f t="shared" si="75"/>
        <v>0</v>
      </c>
      <c r="J858" s="882">
        <f t="shared" si="76"/>
        <v>0</v>
      </c>
      <c r="K858" s="887" t="str">
        <f>IFERROR(VALUE(IF(Table2[[#This Row],[Player No]]="","",IFERROR(VLOOKUP(Table2[[#This Row],[Player No]],[3]Men!$D$2:$E$48,2,FALSE)&amp;"",""))),"")</f>
        <v/>
      </c>
      <c r="L858" s="887" t="str">
        <f>IFERROR(VALUE(IF(Table2[[#This Row],[Player No]]="","",IFERROR(VLOOKUP(Table2[[#This Row],[Player No]],[4]Men!$Z$14:$AB$62,2,FALSE)&amp;"",""))),"")</f>
        <v/>
      </c>
      <c r="M858" s="887"/>
      <c r="N858" s="887"/>
      <c r="O858" s="882"/>
      <c r="P858" s="882"/>
      <c r="Q858" s="888"/>
      <c r="R858" s="888"/>
      <c r="S858" s="888"/>
      <c r="T858" s="888"/>
      <c r="U858" s="882"/>
      <c r="V858" s="887"/>
      <c r="W858" s="888"/>
      <c r="X858" s="888"/>
      <c r="Y858" s="888"/>
      <c r="Z858" s="882"/>
      <c r="AA858" s="882"/>
      <c r="AB858" s="882"/>
      <c r="AC858" s="882"/>
      <c r="AD858" s="882"/>
      <c r="AE858" s="882"/>
      <c r="AF858" s="882"/>
      <c r="AG858" s="882"/>
      <c r="AH858" s="882"/>
      <c r="AI858" s="882"/>
      <c r="AJ858" s="882"/>
      <c r="AK858" s="882"/>
    </row>
    <row r="859" spans="1:37" s="890" customFormat="1">
      <c r="A859" s="882"/>
      <c r="B859" s="891"/>
      <c r="C859" s="882"/>
      <c r="D859" s="883"/>
      <c r="E859" s="884"/>
      <c r="F859" s="885" t="str">
        <f>IFERROR(VLOOKUP(Table2[[#This Row],[Player No]],Table10[[No]:[Province]],3,0),"")</f>
        <v/>
      </c>
      <c r="G859" s="892">
        <v>0</v>
      </c>
      <c r="H859" s="886">
        <f>(Table2[[#This Row],[Points 2025]]/2)+SUM(Table2[[#This Row],[O1  ADMIN 2026]:[P2    CAPE TOWN OPEN 2026 ]])</f>
        <v>0</v>
      </c>
      <c r="I859" s="880">
        <f t="shared" si="75"/>
        <v>0</v>
      </c>
      <c r="J859" s="882">
        <f t="shared" si="76"/>
        <v>0</v>
      </c>
      <c r="K859" s="887" t="str">
        <f>IFERROR(VALUE(IF(Table2[[#This Row],[Player No]]="","",IFERROR(VLOOKUP(Table2[[#This Row],[Player No]],[3]Men!$D$2:$E$48,2,FALSE)&amp;"",""))),"")</f>
        <v/>
      </c>
      <c r="L859" s="887" t="str">
        <f>IFERROR(VALUE(IF(Table2[[#This Row],[Player No]]="","",IFERROR(VLOOKUP(Table2[[#This Row],[Player No]],[4]Men!$Z$14:$AB$62,2,FALSE)&amp;"",""))),"")</f>
        <v/>
      </c>
      <c r="M859" s="887"/>
      <c r="N859" s="887"/>
      <c r="O859" s="882"/>
      <c r="P859" s="882"/>
      <c r="Q859" s="888"/>
      <c r="R859" s="888"/>
      <c r="S859" s="888"/>
      <c r="T859" s="888"/>
      <c r="U859" s="882"/>
      <c r="V859" s="887"/>
      <c r="W859" s="888"/>
      <c r="X859" s="888"/>
      <c r="Y859" s="888"/>
      <c r="Z859" s="882"/>
      <c r="AA859" s="882"/>
      <c r="AB859" s="882"/>
      <c r="AC859" s="882"/>
      <c r="AD859" s="882"/>
      <c r="AE859" s="882"/>
      <c r="AF859" s="882"/>
      <c r="AG859" s="882"/>
      <c r="AH859" s="882"/>
      <c r="AI859" s="882"/>
      <c r="AJ859" s="882"/>
      <c r="AK859" s="882"/>
    </row>
    <row r="860" spans="1:37" s="890" customFormat="1">
      <c r="A860" s="882"/>
      <c r="B860" s="891"/>
      <c r="C860" s="882"/>
      <c r="D860" s="883"/>
      <c r="E860" s="884"/>
      <c r="F860" s="885" t="str">
        <f>IFERROR(VLOOKUP(Table2[[#This Row],[Player No]],Table10[[No]:[Province]],3,0),"")</f>
        <v/>
      </c>
      <c r="G860" s="892">
        <v>0</v>
      </c>
      <c r="H860" s="886">
        <f>(Table2[[#This Row],[Points 2025]]/2)+SUM(Table2[[#This Row],[O1  ADMIN 2026]:[P2    CAPE TOWN OPEN 2026 ]])</f>
        <v>0</v>
      </c>
      <c r="I860" s="880">
        <f t="shared" si="75"/>
        <v>0</v>
      </c>
      <c r="J860" s="882">
        <f t="shared" si="76"/>
        <v>0</v>
      </c>
      <c r="K860" s="887" t="str">
        <f>IFERROR(VALUE(IF(Table2[[#This Row],[Player No]]="","",IFERROR(VLOOKUP(Table2[[#This Row],[Player No]],[3]Men!$D$2:$E$48,2,FALSE)&amp;"",""))),"")</f>
        <v/>
      </c>
      <c r="L860" s="887" t="str">
        <f>IFERROR(VALUE(IF(Table2[[#This Row],[Player No]]="","",IFERROR(VLOOKUP(Table2[[#This Row],[Player No]],[4]Men!$Z$14:$AB$62,2,FALSE)&amp;"",""))),"")</f>
        <v/>
      </c>
      <c r="M860" s="887"/>
      <c r="N860" s="887"/>
      <c r="O860" s="882"/>
      <c r="P860" s="882"/>
      <c r="Q860" s="888"/>
      <c r="R860" s="888"/>
      <c r="S860" s="888"/>
      <c r="T860" s="888"/>
      <c r="U860" s="882"/>
      <c r="V860" s="887"/>
      <c r="W860" s="888"/>
      <c r="X860" s="888"/>
      <c r="Y860" s="888"/>
      <c r="Z860" s="882"/>
      <c r="AA860" s="882"/>
      <c r="AB860" s="882"/>
      <c r="AC860" s="882"/>
      <c r="AD860" s="882"/>
      <c r="AE860" s="882"/>
      <c r="AF860" s="882"/>
      <c r="AG860" s="882"/>
      <c r="AH860" s="882"/>
      <c r="AI860" s="882"/>
      <c r="AJ860" s="882"/>
      <c r="AK860" s="882"/>
    </row>
    <row r="861" spans="1:37" s="890" customFormat="1">
      <c r="A861" s="882"/>
      <c r="B861" s="891"/>
      <c r="C861" s="882"/>
      <c r="D861" s="883"/>
      <c r="E861" s="884"/>
      <c r="F861" s="885" t="str">
        <f>IFERROR(VLOOKUP(Table2[[#This Row],[Player No]],Table10[[No]:[Province]],3,0),"")</f>
        <v/>
      </c>
      <c r="G861" s="892">
        <v>0</v>
      </c>
      <c r="H861" s="886">
        <f>(Table2[[#This Row],[Points 2025]]/2)+SUM(Table2[[#This Row],[O1  ADMIN 2026]:[P2    CAPE TOWN OPEN 2026 ]])</f>
        <v>0</v>
      </c>
      <c r="I861" s="880">
        <f t="shared" si="75"/>
        <v>0</v>
      </c>
      <c r="J861" s="882">
        <f t="shared" si="76"/>
        <v>0</v>
      </c>
      <c r="K861" s="887" t="str">
        <f>IFERROR(VALUE(IF(Table2[[#This Row],[Player No]]="","",IFERROR(VLOOKUP(Table2[[#This Row],[Player No]],[3]Men!$D$2:$E$48,2,FALSE)&amp;"",""))),"")</f>
        <v/>
      </c>
      <c r="L861" s="887" t="str">
        <f>IFERROR(VALUE(IF(Table2[[#This Row],[Player No]]="","",IFERROR(VLOOKUP(Table2[[#This Row],[Player No]],[4]Men!$Z$14:$AB$62,2,FALSE)&amp;"",""))),"")</f>
        <v/>
      </c>
      <c r="M861" s="887"/>
      <c r="N861" s="887"/>
      <c r="O861" s="882"/>
      <c r="P861" s="882"/>
      <c r="Q861" s="888"/>
      <c r="R861" s="888"/>
      <c r="S861" s="888"/>
      <c r="T861" s="888"/>
      <c r="U861" s="882"/>
      <c r="V861" s="887"/>
      <c r="W861" s="888"/>
      <c r="X861" s="888"/>
      <c r="Y861" s="888"/>
      <c r="Z861" s="882"/>
      <c r="AA861" s="882"/>
      <c r="AB861" s="882"/>
      <c r="AC861" s="882"/>
      <c r="AD861" s="882"/>
      <c r="AE861" s="882"/>
      <c r="AF861" s="882"/>
      <c r="AG861" s="882"/>
      <c r="AH861" s="882"/>
      <c r="AI861" s="882"/>
      <c r="AJ861" s="882"/>
      <c r="AK861" s="882"/>
    </row>
    <row r="862" spans="1:37" s="890" customFormat="1">
      <c r="A862" s="882"/>
      <c r="B862" s="891"/>
      <c r="C862" s="882"/>
      <c r="D862" s="883"/>
      <c r="E862" s="884"/>
      <c r="F862" s="885" t="str">
        <f>IFERROR(VLOOKUP(Table2[[#This Row],[Player No]],Table10[[No]:[Province]],3,0),"")</f>
        <v/>
      </c>
      <c r="G862" s="892">
        <v>0</v>
      </c>
      <c r="H862" s="886">
        <f>(Table2[[#This Row],[Points 2025]]/2)+SUM(Table2[[#This Row],[O1  ADMIN 2026]:[P2    CAPE TOWN OPEN 2026 ]])</f>
        <v>0</v>
      </c>
      <c r="I862" s="880">
        <f t="shared" si="75"/>
        <v>0</v>
      </c>
      <c r="J862" s="882">
        <f t="shared" si="76"/>
        <v>0</v>
      </c>
      <c r="K862" s="887" t="str">
        <f>IFERROR(VALUE(IF(Table2[[#This Row],[Player No]]="","",IFERROR(VLOOKUP(Table2[[#This Row],[Player No]],[3]Men!$D$2:$E$48,2,FALSE)&amp;"",""))),"")</f>
        <v/>
      </c>
      <c r="L862" s="887" t="str">
        <f>IFERROR(VALUE(IF(Table2[[#This Row],[Player No]]="","",IFERROR(VLOOKUP(Table2[[#This Row],[Player No]],[4]Men!$Z$14:$AB$62,2,FALSE)&amp;"",""))),"")</f>
        <v/>
      </c>
      <c r="M862" s="887"/>
      <c r="N862" s="887"/>
      <c r="O862" s="882"/>
      <c r="P862" s="882"/>
      <c r="Q862" s="888"/>
      <c r="R862" s="888"/>
      <c r="S862" s="888"/>
      <c r="T862" s="888"/>
      <c r="U862" s="882"/>
      <c r="V862" s="887"/>
      <c r="W862" s="888"/>
      <c r="X862" s="888"/>
      <c r="Y862" s="888"/>
      <c r="Z862" s="882"/>
      <c r="AA862" s="882"/>
      <c r="AB862" s="882"/>
      <c r="AC862" s="882"/>
      <c r="AD862" s="882"/>
      <c r="AE862" s="882"/>
      <c r="AF862" s="882"/>
      <c r="AG862" s="882"/>
      <c r="AH862" s="882"/>
      <c r="AI862" s="882"/>
      <c r="AJ862" s="882"/>
      <c r="AK862" s="882"/>
    </row>
    <row r="863" spans="1:37" s="890" customFormat="1">
      <c r="A863" s="882"/>
      <c r="B863" s="891"/>
      <c r="C863" s="882"/>
      <c r="D863" s="883"/>
      <c r="E863" s="884"/>
      <c r="F863" s="885" t="str">
        <f>IFERROR(VLOOKUP(Table2[[#This Row],[Player No]],Table10[[No]:[Province]],3,0),"")</f>
        <v/>
      </c>
      <c r="G863" s="892">
        <v>0</v>
      </c>
      <c r="H863" s="886">
        <f>(Table2[[#This Row],[Points 2025]]/2)+SUM(Table2[[#This Row],[O1  ADMIN 2026]:[P2    CAPE TOWN OPEN 2026 ]])</f>
        <v>0</v>
      </c>
      <c r="I863" s="880">
        <f t="shared" si="75"/>
        <v>0</v>
      </c>
      <c r="J863" s="882">
        <f t="shared" si="76"/>
        <v>0</v>
      </c>
      <c r="K863" s="887" t="str">
        <f>IFERROR(VALUE(IF(Table2[[#This Row],[Player No]]="","",IFERROR(VLOOKUP(Table2[[#This Row],[Player No]],[3]Men!$D$2:$E$48,2,FALSE)&amp;"",""))),"")</f>
        <v/>
      </c>
      <c r="L863" s="887" t="str">
        <f>IFERROR(VALUE(IF(Table2[[#This Row],[Player No]]="","",IFERROR(VLOOKUP(Table2[[#This Row],[Player No]],[4]Men!$Z$14:$AB$62,2,FALSE)&amp;"",""))),"")</f>
        <v/>
      </c>
      <c r="M863" s="887"/>
      <c r="N863" s="887"/>
      <c r="O863" s="882"/>
      <c r="P863" s="882"/>
      <c r="Q863" s="888"/>
      <c r="R863" s="888"/>
      <c r="S863" s="888"/>
      <c r="T863" s="888"/>
      <c r="U863" s="882"/>
      <c r="V863" s="887"/>
      <c r="W863" s="888"/>
      <c r="X863" s="888"/>
      <c r="Y863" s="888"/>
      <c r="Z863" s="882"/>
      <c r="AA863" s="882"/>
      <c r="AB863" s="882"/>
      <c r="AC863" s="882"/>
      <c r="AD863" s="882"/>
      <c r="AE863" s="882"/>
      <c r="AF863" s="882"/>
      <c r="AG863" s="882"/>
      <c r="AH863" s="882"/>
      <c r="AI863" s="882"/>
      <c r="AJ863" s="882"/>
      <c r="AK863" s="882"/>
    </row>
    <row r="864" spans="1:37" s="890" customFormat="1">
      <c r="A864" s="882"/>
      <c r="B864" s="891"/>
      <c r="C864" s="882"/>
      <c r="D864" s="883"/>
      <c r="E864" s="884"/>
      <c r="F864" s="885" t="str">
        <f>IFERROR(VLOOKUP(Table2[[#This Row],[Player No]],Table10[[No]:[Province]],3,0),"")</f>
        <v/>
      </c>
      <c r="G864" s="892">
        <v>0</v>
      </c>
      <c r="H864" s="886">
        <f>(Table2[[#This Row],[Points 2025]]/2)+SUM(Table2[[#This Row],[O1  ADMIN 2026]:[P2    CAPE TOWN OPEN 2026 ]])</f>
        <v>0</v>
      </c>
      <c r="I864" s="880">
        <f t="shared" si="75"/>
        <v>0</v>
      </c>
      <c r="J864" s="882">
        <f t="shared" si="76"/>
        <v>0</v>
      </c>
      <c r="K864" s="887" t="str">
        <f>IFERROR(VALUE(IF(Table2[[#This Row],[Player No]]="","",IFERROR(VLOOKUP(Table2[[#This Row],[Player No]],[3]Men!$D$2:$E$48,2,FALSE)&amp;"",""))),"")</f>
        <v/>
      </c>
      <c r="L864" s="887" t="str">
        <f>IFERROR(VALUE(IF(Table2[[#This Row],[Player No]]="","",IFERROR(VLOOKUP(Table2[[#This Row],[Player No]],[4]Men!$Z$14:$AB$62,2,FALSE)&amp;"",""))),"")</f>
        <v/>
      </c>
      <c r="M864" s="887"/>
      <c r="N864" s="887"/>
      <c r="O864" s="882"/>
      <c r="P864" s="882"/>
      <c r="Q864" s="888"/>
      <c r="R864" s="888"/>
      <c r="S864" s="888"/>
      <c r="T864" s="888"/>
      <c r="U864" s="882"/>
      <c r="V864" s="887"/>
      <c r="W864" s="888"/>
      <c r="X864" s="888"/>
      <c r="Y864" s="888"/>
      <c r="Z864" s="882"/>
      <c r="AA864" s="882"/>
      <c r="AB864" s="882"/>
      <c r="AC864" s="882"/>
      <c r="AD864" s="882"/>
      <c r="AE864" s="882"/>
      <c r="AF864" s="882"/>
      <c r="AG864" s="882"/>
      <c r="AH864" s="882"/>
      <c r="AI864" s="882"/>
      <c r="AJ864" s="882"/>
      <c r="AK864" s="882"/>
    </row>
    <row r="865" spans="1:37" s="890" customFormat="1">
      <c r="A865" s="882"/>
      <c r="B865" s="891"/>
      <c r="C865" s="882"/>
      <c r="D865" s="883"/>
      <c r="E865" s="884"/>
      <c r="F865" s="885" t="str">
        <f>IFERROR(VLOOKUP(Table2[[#This Row],[Player No]],Table10[[No]:[Province]],3,0),"")</f>
        <v/>
      </c>
      <c r="G865" s="892">
        <v>0</v>
      </c>
      <c r="H865" s="886">
        <f>(Table2[[#This Row],[Points 2025]]/2)+SUM(Table2[[#This Row],[O1  ADMIN 2026]:[P2    CAPE TOWN OPEN 2026 ]])</f>
        <v>0</v>
      </c>
      <c r="I865" s="880">
        <f t="shared" si="75"/>
        <v>0</v>
      </c>
      <c r="J865" s="882">
        <f t="shared" si="76"/>
        <v>0</v>
      </c>
      <c r="K865" s="887" t="str">
        <f>IFERROR(VALUE(IF(Table2[[#This Row],[Player No]]="","",IFERROR(VLOOKUP(Table2[[#This Row],[Player No]],[3]Men!$D$2:$E$48,2,FALSE)&amp;"",""))),"")</f>
        <v/>
      </c>
      <c r="L865" s="887" t="str">
        <f>IFERROR(VALUE(IF(Table2[[#This Row],[Player No]]="","",IFERROR(VLOOKUP(Table2[[#This Row],[Player No]],[4]Men!$Z$14:$AB$62,2,FALSE)&amp;"",""))),"")</f>
        <v/>
      </c>
      <c r="M865" s="887"/>
      <c r="N865" s="887"/>
      <c r="O865" s="882"/>
      <c r="P865" s="882"/>
      <c r="Q865" s="888"/>
      <c r="R865" s="888"/>
      <c r="S865" s="888"/>
      <c r="T865" s="888"/>
      <c r="U865" s="882"/>
      <c r="V865" s="887"/>
      <c r="W865" s="888"/>
      <c r="X865" s="888"/>
      <c r="Y865" s="888"/>
      <c r="Z865" s="882"/>
      <c r="AA865" s="882"/>
      <c r="AB865" s="882"/>
      <c r="AC865" s="882"/>
      <c r="AD865" s="882"/>
      <c r="AE865" s="882"/>
      <c r="AF865" s="882"/>
      <c r="AG865" s="882"/>
      <c r="AH865" s="882"/>
      <c r="AI865" s="882"/>
      <c r="AJ865" s="882"/>
      <c r="AK865" s="882"/>
    </row>
    <row r="866" spans="1:37" s="890" customFormat="1">
      <c r="A866" s="882"/>
      <c r="B866" s="891"/>
      <c r="C866" s="882"/>
      <c r="D866" s="883"/>
      <c r="E866" s="884"/>
      <c r="F866" s="885" t="str">
        <f>IFERROR(VLOOKUP(Table2[[#This Row],[Player No]],Table10[[No]:[Province]],3,0),"")</f>
        <v/>
      </c>
      <c r="G866" s="892">
        <v>0</v>
      </c>
      <c r="H866" s="886">
        <f>(Table2[[#This Row],[Points 2025]]/2)+SUM(Table2[[#This Row],[O1  ADMIN 2026]:[P2    CAPE TOWN OPEN 2026 ]])</f>
        <v>0</v>
      </c>
      <c r="I866" s="880">
        <f t="shared" si="75"/>
        <v>0</v>
      </c>
      <c r="J866" s="882">
        <f t="shared" si="76"/>
        <v>0</v>
      </c>
      <c r="K866" s="887" t="str">
        <f>IFERROR(VALUE(IF(Table2[[#This Row],[Player No]]="","",IFERROR(VLOOKUP(Table2[[#This Row],[Player No]],[3]Men!$D$2:$E$48,2,FALSE)&amp;"",""))),"")</f>
        <v/>
      </c>
      <c r="L866" s="887" t="str">
        <f>IFERROR(VALUE(IF(Table2[[#This Row],[Player No]]="","",IFERROR(VLOOKUP(Table2[[#This Row],[Player No]],[4]Men!$Z$14:$AB$62,2,FALSE)&amp;"",""))),"")</f>
        <v/>
      </c>
      <c r="M866" s="887"/>
      <c r="N866" s="887"/>
      <c r="O866" s="882"/>
      <c r="P866" s="882"/>
      <c r="Q866" s="888"/>
      <c r="R866" s="888"/>
      <c r="S866" s="888"/>
      <c r="T866" s="888"/>
      <c r="U866" s="882"/>
      <c r="V866" s="887"/>
      <c r="W866" s="888"/>
      <c r="X866" s="888"/>
      <c r="Y866" s="888"/>
      <c r="Z866" s="882"/>
      <c r="AA866" s="882"/>
      <c r="AB866" s="882"/>
      <c r="AC866" s="882"/>
      <c r="AD866" s="882"/>
      <c r="AE866" s="882"/>
      <c r="AF866" s="882"/>
      <c r="AG866" s="882"/>
      <c r="AH866" s="882"/>
      <c r="AI866" s="882"/>
      <c r="AJ866" s="882"/>
      <c r="AK866" s="882"/>
    </row>
    <row r="867" spans="1:37" s="890" customFormat="1">
      <c r="A867" s="882"/>
      <c r="B867" s="891"/>
      <c r="C867" s="882"/>
      <c r="D867" s="883"/>
      <c r="E867" s="884"/>
      <c r="F867" s="885" t="str">
        <f>IFERROR(VLOOKUP(Table2[[#This Row],[Player No]],Table10[[No]:[Province]],3,0),"")</f>
        <v/>
      </c>
      <c r="G867" s="892">
        <v>0</v>
      </c>
      <c r="H867" s="886">
        <f>(Table2[[#This Row],[Points 2025]]/2)+SUM(Table2[[#This Row],[O1  ADMIN 2026]:[P2    CAPE TOWN OPEN 2026 ]])</f>
        <v>0</v>
      </c>
      <c r="I867" s="880">
        <f t="shared" si="75"/>
        <v>0</v>
      </c>
      <c r="J867" s="882">
        <f t="shared" si="76"/>
        <v>0</v>
      </c>
      <c r="K867" s="887" t="str">
        <f>IFERROR(VALUE(IF(Table2[[#This Row],[Player No]]="","",IFERROR(VLOOKUP(Table2[[#This Row],[Player No]],[3]Men!$D$2:$E$48,2,FALSE)&amp;"",""))),"")</f>
        <v/>
      </c>
      <c r="L867" s="887" t="str">
        <f>IFERROR(VALUE(IF(Table2[[#This Row],[Player No]]="","",IFERROR(VLOOKUP(Table2[[#This Row],[Player No]],[4]Men!$Z$14:$AB$62,2,FALSE)&amp;"",""))),"")</f>
        <v/>
      </c>
      <c r="M867" s="887"/>
      <c r="N867" s="887"/>
      <c r="O867" s="882"/>
      <c r="P867" s="882"/>
      <c r="Q867" s="888"/>
      <c r="R867" s="888"/>
      <c r="S867" s="888"/>
      <c r="T867" s="888"/>
      <c r="U867" s="882"/>
      <c r="V867" s="887"/>
      <c r="W867" s="888"/>
      <c r="X867" s="888"/>
      <c r="Y867" s="888"/>
      <c r="Z867" s="882"/>
      <c r="AA867" s="882"/>
      <c r="AB867" s="882"/>
      <c r="AC867" s="882"/>
      <c r="AD867" s="882"/>
      <c r="AE867" s="882"/>
      <c r="AF867" s="882"/>
      <c r="AG867" s="882"/>
      <c r="AH867" s="882"/>
      <c r="AI867" s="882"/>
      <c r="AJ867" s="882"/>
      <c r="AK867" s="882"/>
    </row>
    <row r="868" spans="1:37" s="890" customFormat="1">
      <c r="A868" s="882"/>
      <c r="B868" s="891"/>
      <c r="C868" s="882"/>
      <c r="D868" s="883"/>
      <c r="E868" s="884"/>
      <c r="F868" s="885" t="str">
        <f>IFERROR(VLOOKUP(Table2[[#This Row],[Player No]],Table10[[No]:[Province]],3,0),"")</f>
        <v/>
      </c>
      <c r="G868" s="892">
        <v>0</v>
      </c>
      <c r="H868" s="886">
        <f>(Table2[[#This Row],[Points 2025]]/2)+SUM(Table2[[#This Row],[O1  ADMIN 2026]:[P2    CAPE TOWN OPEN 2026 ]])</f>
        <v>0</v>
      </c>
      <c r="I868" s="880">
        <f t="shared" si="75"/>
        <v>0</v>
      </c>
      <c r="J868" s="882">
        <f t="shared" si="76"/>
        <v>0</v>
      </c>
      <c r="K868" s="887" t="str">
        <f>IFERROR(VALUE(IF(Table2[[#This Row],[Player No]]="","",IFERROR(VLOOKUP(Table2[[#This Row],[Player No]],[3]Men!$D$2:$E$48,2,FALSE)&amp;"",""))),"")</f>
        <v/>
      </c>
      <c r="L868" s="887" t="str">
        <f>IFERROR(VALUE(IF(Table2[[#This Row],[Player No]]="","",IFERROR(VLOOKUP(Table2[[#This Row],[Player No]],[4]Men!$Z$14:$AB$62,2,FALSE)&amp;"",""))),"")</f>
        <v/>
      </c>
      <c r="M868" s="887"/>
      <c r="N868" s="887"/>
      <c r="O868" s="882"/>
      <c r="P868" s="882"/>
      <c r="Q868" s="888"/>
      <c r="R868" s="888"/>
      <c r="S868" s="888"/>
      <c r="T868" s="888"/>
      <c r="U868" s="882"/>
      <c r="V868" s="887"/>
      <c r="W868" s="888"/>
      <c r="X868" s="888"/>
      <c r="Y868" s="888"/>
      <c r="Z868" s="882"/>
      <c r="AA868" s="882"/>
      <c r="AB868" s="882"/>
      <c r="AC868" s="882"/>
      <c r="AD868" s="882"/>
      <c r="AE868" s="882"/>
      <c r="AF868" s="882"/>
      <c r="AG868" s="882"/>
      <c r="AH868" s="882"/>
      <c r="AI868" s="882"/>
      <c r="AJ868" s="882"/>
      <c r="AK868" s="882"/>
    </row>
    <row r="869" spans="1:37" s="890" customFormat="1">
      <c r="A869" s="882"/>
      <c r="B869" s="891"/>
      <c r="C869" s="882"/>
      <c r="D869" s="883"/>
      <c r="E869" s="884"/>
      <c r="F869" s="885" t="str">
        <f>IFERROR(VLOOKUP(Table2[[#This Row],[Player No]],Table10[[No]:[Province]],3,0),"")</f>
        <v/>
      </c>
      <c r="G869" s="892">
        <v>0</v>
      </c>
      <c r="H869" s="886">
        <f>(Table2[[#This Row],[Points 2025]]/2)+SUM(Table2[[#This Row],[O1  ADMIN 2026]:[P2    CAPE TOWN OPEN 2026 ]])</f>
        <v>0</v>
      </c>
      <c r="I869" s="880">
        <f t="shared" si="75"/>
        <v>0</v>
      </c>
      <c r="J869" s="882">
        <f t="shared" si="76"/>
        <v>0</v>
      </c>
      <c r="K869" s="887" t="str">
        <f>IFERROR(VALUE(IF(Table2[[#This Row],[Player No]]="","",IFERROR(VLOOKUP(Table2[[#This Row],[Player No]],[3]Men!$D$2:$E$48,2,FALSE)&amp;"",""))),"")</f>
        <v/>
      </c>
      <c r="L869" s="887" t="str">
        <f>IFERROR(VALUE(IF(Table2[[#This Row],[Player No]]="","",IFERROR(VLOOKUP(Table2[[#This Row],[Player No]],[4]Men!$Z$14:$AB$62,2,FALSE)&amp;"",""))),"")</f>
        <v/>
      </c>
      <c r="M869" s="887"/>
      <c r="N869" s="887"/>
      <c r="O869" s="882"/>
      <c r="P869" s="882"/>
      <c r="Q869" s="888"/>
      <c r="R869" s="888"/>
      <c r="S869" s="888"/>
      <c r="T869" s="888"/>
      <c r="U869" s="882"/>
      <c r="V869" s="887"/>
      <c r="W869" s="888"/>
      <c r="X869" s="888"/>
      <c r="Y869" s="888"/>
      <c r="Z869" s="882"/>
      <c r="AA869" s="882"/>
      <c r="AB869" s="882"/>
      <c r="AC869" s="882"/>
      <c r="AD869" s="882"/>
      <c r="AE869" s="882"/>
      <c r="AF869" s="882"/>
      <c r="AG869" s="882"/>
      <c r="AH869" s="882"/>
      <c r="AI869" s="882"/>
      <c r="AJ869" s="882"/>
      <c r="AK869" s="882"/>
    </row>
    <row r="870" spans="1:37" s="890" customFormat="1">
      <c r="A870" s="882"/>
      <c r="B870" s="891"/>
      <c r="C870" s="882"/>
      <c r="D870" s="883"/>
      <c r="E870" s="884"/>
      <c r="F870" s="885" t="str">
        <f>IFERROR(VLOOKUP(Table2[[#This Row],[Player No]],Table10[[No]:[Province]],3,0),"")</f>
        <v/>
      </c>
      <c r="G870" s="892">
        <v>0</v>
      </c>
      <c r="H870" s="886">
        <f>(Table2[[#This Row],[Points 2025]]/2)+SUM(Table2[[#This Row],[O1  ADMIN 2026]:[P2    CAPE TOWN OPEN 2026 ]])</f>
        <v>0</v>
      </c>
      <c r="I870" s="880">
        <f t="shared" si="75"/>
        <v>0</v>
      </c>
      <c r="J870" s="882">
        <f t="shared" si="76"/>
        <v>0</v>
      </c>
      <c r="K870" s="887" t="str">
        <f>IFERROR(VALUE(IF(Table2[[#This Row],[Player No]]="","",IFERROR(VLOOKUP(Table2[[#This Row],[Player No]],[3]Men!$D$2:$E$48,2,FALSE)&amp;"",""))),"")</f>
        <v/>
      </c>
      <c r="L870" s="887" t="str">
        <f>IFERROR(VALUE(IF(Table2[[#This Row],[Player No]]="","",IFERROR(VLOOKUP(Table2[[#This Row],[Player No]],[4]Men!$Z$14:$AB$62,2,FALSE)&amp;"",""))),"")</f>
        <v/>
      </c>
      <c r="M870" s="887"/>
      <c r="N870" s="887"/>
      <c r="O870" s="882"/>
      <c r="P870" s="882"/>
      <c r="Q870" s="888"/>
      <c r="R870" s="888"/>
      <c r="S870" s="888"/>
      <c r="T870" s="888"/>
      <c r="U870" s="882"/>
      <c r="V870" s="887"/>
      <c r="W870" s="888"/>
      <c r="X870" s="888"/>
      <c r="Y870" s="888"/>
      <c r="Z870" s="882"/>
      <c r="AA870" s="882"/>
      <c r="AB870" s="882"/>
      <c r="AC870" s="882"/>
      <c r="AD870" s="882"/>
      <c r="AE870" s="882"/>
      <c r="AF870" s="882"/>
      <c r="AG870" s="882"/>
      <c r="AH870" s="882"/>
      <c r="AI870" s="882"/>
      <c r="AJ870" s="882"/>
      <c r="AK870" s="882"/>
    </row>
    <row r="871" spans="1:37" s="890" customFormat="1">
      <c r="A871" s="882"/>
      <c r="B871" s="891"/>
      <c r="C871" s="882"/>
      <c r="D871" s="883"/>
      <c r="E871" s="884"/>
      <c r="F871" s="885" t="str">
        <f>IFERROR(VLOOKUP(Table2[[#This Row],[Player No]],Table10[[No]:[Province]],3,0),"")</f>
        <v/>
      </c>
      <c r="G871" s="892">
        <v>0</v>
      </c>
      <c r="H871" s="886">
        <f>(Table2[[#This Row],[Points 2025]]/2)+SUM(Table2[[#This Row],[O1  ADMIN 2026]:[P2    CAPE TOWN OPEN 2026 ]])</f>
        <v>0</v>
      </c>
      <c r="I871" s="880">
        <f t="shared" si="75"/>
        <v>0</v>
      </c>
      <c r="J871" s="882">
        <f t="shared" si="76"/>
        <v>0</v>
      </c>
      <c r="K871" s="887" t="str">
        <f>IFERROR(VALUE(IF(Table2[[#This Row],[Player No]]="","",IFERROR(VLOOKUP(Table2[[#This Row],[Player No]],[3]Men!$D$2:$E$48,2,FALSE)&amp;"",""))),"")</f>
        <v/>
      </c>
      <c r="L871" s="887" t="str">
        <f>IFERROR(VALUE(IF(Table2[[#This Row],[Player No]]="","",IFERROR(VLOOKUP(Table2[[#This Row],[Player No]],[4]Men!$Z$14:$AB$62,2,FALSE)&amp;"",""))),"")</f>
        <v/>
      </c>
      <c r="M871" s="887"/>
      <c r="N871" s="887"/>
      <c r="O871" s="882"/>
      <c r="P871" s="882"/>
      <c r="Q871" s="888"/>
      <c r="R871" s="888"/>
      <c r="S871" s="888"/>
      <c r="T871" s="888"/>
      <c r="U871" s="882"/>
      <c r="V871" s="887"/>
      <c r="W871" s="888"/>
      <c r="X871" s="888"/>
      <c r="Y871" s="888"/>
      <c r="Z871" s="882"/>
      <c r="AA871" s="882"/>
      <c r="AB871" s="882"/>
      <c r="AC871" s="882"/>
      <c r="AD871" s="882"/>
      <c r="AE871" s="882"/>
      <c r="AF871" s="882"/>
      <c r="AG871" s="882"/>
      <c r="AH871" s="882"/>
      <c r="AI871" s="882"/>
      <c r="AJ871" s="882"/>
      <c r="AK871" s="882"/>
    </row>
    <row r="872" spans="1:37" s="890" customFormat="1">
      <c r="A872" s="882"/>
      <c r="B872" s="891"/>
      <c r="C872" s="882"/>
      <c r="D872" s="883"/>
      <c r="E872" s="884"/>
      <c r="F872" s="885" t="str">
        <f>IFERROR(VLOOKUP(Table2[[#This Row],[Player No]],Table10[[No]:[Province]],3,0),"")</f>
        <v/>
      </c>
      <c r="G872" s="892">
        <v>0</v>
      </c>
      <c r="H872" s="886">
        <f>(Table2[[#This Row],[Points 2025]]/2)+SUM(Table2[[#This Row],[O1  ADMIN 2026]:[P2    CAPE TOWN OPEN 2026 ]])</f>
        <v>0</v>
      </c>
      <c r="I872" s="880">
        <f t="shared" si="75"/>
        <v>0</v>
      </c>
      <c r="J872" s="882">
        <f t="shared" si="76"/>
        <v>0</v>
      </c>
      <c r="K872" s="887" t="str">
        <f>IFERROR(VALUE(IF(Table2[[#This Row],[Player No]]="","",IFERROR(VLOOKUP(Table2[[#This Row],[Player No]],[3]Men!$D$2:$E$48,2,FALSE)&amp;"",""))),"")</f>
        <v/>
      </c>
      <c r="L872" s="887" t="str">
        <f>IFERROR(VALUE(IF(Table2[[#This Row],[Player No]]="","",IFERROR(VLOOKUP(Table2[[#This Row],[Player No]],[4]Men!$Z$14:$AB$62,2,FALSE)&amp;"",""))),"")</f>
        <v/>
      </c>
      <c r="M872" s="887"/>
      <c r="N872" s="887"/>
      <c r="O872" s="882"/>
      <c r="P872" s="882"/>
      <c r="Q872" s="888"/>
      <c r="R872" s="888"/>
      <c r="S872" s="888"/>
      <c r="T872" s="888"/>
      <c r="U872" s="882"/>
      <c r="V872" s="887"/>
      <c r="W872" s="888"/>
      <c r="X872" s="888"/>
      <c r="Y872" s="888"/>
      <c r="Z872" s="882"/>
      <c r="AA872" s="882"/>
      <c r="AB872" s="882"/>
      <c r="AC872" s="882"/>
      <c r="AD872" s="882"/>
      <c r="AE872" s="882"/>
      <c r="AF872" s="882"/>
      <c r="AG872" s="882"/>
      <c r="AH872" s="882"/>
      <c r="AI872" s="882"/>
      <c r="AJ872" s="882"/>
      <c r="AK872" s="882"/>
    </row>
    <row r="873" spans="1:37" s="890" customFormat="1">
      <c r="A873" s="882"/>
      <c r="B873" s="891"/>
      <c r="C873" s="882"/>
      <c r="D873" s="883"/>
      <c r="E873" s="884"/>
      <c r="F873" s="885" t="str">
        <f>IFERROR(VLOOKUP(Table2[[#This Row],[Player No]],Table10[[No]:[Province]],3,0),"")</f>
        <v/>
      </c>
      <c r="G873" s="892">
        <v>0</v>
      </c>
      <c r="H873" s="886">
        <f>(Table2[[#This Row],[Points 2025]]/2)+SUM(Table2[[#This Row],[O1  ADMIN 2026]:[P2    CAPE TOWN OPEN 2026 ]])</f>
        <v>0</v>
      </c>
      <c r="I873" s="880">
        <f t="shared" si="75"/>
        <v>0</v>
      </c>
      <c r="J873" s="882">
        <f t="shared" si="76"/>
        <v>0</v>
      </c>
      <c r="K873" s="887" t="str">
        <f>IFERROR(VALUE(IF(Table2[[#This Row],[Player No]]="","",IFERROR(VLOOKUP(Table2[[#This Row],[Player No]],[3]Men!$D$2:$E$48,2,FALSE)&amp;"",""))),"")</f>
        <v/>
      </c>
      <c r="L873" s="887" t="str">
        <f>IFERROR(VALUE(IF(Table2[[#This Row],[Player No]]="","",IFERROR(VLOOKUP(Table2[[#This Row],[Player No]],[4]Men!$Z$14:$AB$62,2,FALSE)&amp;"",""))),"")</f>
        <v/>
      </c>
      <c r="M873" s="887"/>
      <c r="N873" s="887"/>
      <c r="O873" s="882"/>
      <c r="P873" s="882"/>
      <c r="Q873" s="888"/>
      <c r="R873" s="888"/>
      <c r="S873" s="888"/>
      <c r="T873" s="888"/>
      <c r="U873" s="882"/>
      <c r="V873" s="887"/>
      <c r="W873" s="888"/>
      <c r="X873" s="888"/>
      <c r="Y873" s="888"/>
      <c r="Z873" s="882"/>
      <c r="AA873" s="882"/>
      <c r="AB873" s="882"/>
      <c r="AC873" s="882"/>
      <c r="AD873" s="882"/>
      <c r="AE873" s="882"/>
      <c r="AF873" s="882"/>
      <c r="AG873" s="882"/>
      <c r="AH873" s="882"/>
      <c r="AI873" s="882"/>
      <c r="AJ873" s="882"/>
      <c r="AK873" s="882"/>
    </row>
    <row r="874" spans="1:37" s="890" customFormat="1">
      <c r="A874" s="882"/>
      <c r="B874" s="891"/>
      <c r="C874" s="882"/>
      <c r="D874" s="883"/>
      <c r="E874" s="884"/>
      <c r="F874" s="885" t="str">
        <f>IFERROR(VLOOKUP(Table2[[#This Row],[Player No]],Table10[[No]:[Province]],3,0),"")</f>
        <v/>
      </c>
      <c r="G874" s="892">
        <v>0</v>
      </c>
      <c r="H874" s="886">
        <f>(Table2[[#This Row],[Points 2025]]/2)+SUM(Table2[[#This Row],[O1  ADMIN 2026]:[P2    CAPE TOWN OPEN 2026 ]])</f>
        <v>0</v>
      </c>
      <c r="I874" s="880">
        <f t="shared" si="75"/>
        <v>0</v>
      </c>
      <c r="J874" s="882">
        <f t="shared" si="76"/>
        <v>0</v>
      </c>
      <c r="K874" s="887" t="str">
        <f>IFERROR(VALUE(IF(Table2[[#This Row],[Player No]]="","",IFERROR(VLOOKUP(Table2[[#This Row],[Player No]],[3]Men!$D$2:$E$48,2,FALSE)&amp;"",""))),"")</f>
        <v/>
      </c>
      <c r="L874" s="887" t="str">
        <f>IFERROR(VALUE(IF(Table2[[#This Row],[Player No]]="","",IFERROR(VLOOKUP(Table2[[#This Row],[Player No]],[4]Men!$Z$14:$AB$62,2,FALSE)&amp;"",""))),"")</f>
        <v/>
      </c>
      <c r="M874" s="887"/>
      <c r="N874" s="887"/>
      <c r="O874" s="882"/>
      <c r="P874" s="882"/>
      <c r="Q874" s="888"/>
      <c r="R874" s="888"/>
      <c r="S874" s="888"/>
      <c r="T874" s="888"/>
      <c r="U874" s="882"/>
      <c r="V874" s="887"/>
      <c r="W874" s="888"/>
      <c r="X874" s="888"/>
      <c r="Y874" s="888"/>
      <c r="Z874" s="882"/>
      <c r="AA874" s="882"/>
      <c r="AB874" s="882"/>
      <c r="AC874" s="882"/>
      <c r="AD874" s="882"/>
      <c r="AE874" s="882"/>
      <c r="AF874" s="882"/>
      <c r="AG874" s="882"/>
      <c r="AH874" s="882"/>
      <c r="AI874" s="882"/>
      <c r="AJ874" s="882"/>
      <c r="AK874" s="882"/>
    </row>
    <row r="875" spans="1:37" s="890" customFormat="1">
      <c r="A875" s="882"/>
      <c r="B875" s="891"/>
      <c r="C875" s="882"/>
      <c r="D875" s="883"/>
      <c r="E875" s="884"/>
      <c r="F875" s="885" t="str">
        <f>IFERROR(VLOOKUP(Table2[[#This Row],[Player No]],Table10[[No]:[Province]],3,0),"")</f>
        <v/>
      </c>
      <c r="G875" s="892">
        <v>0</v>
      </c>
      <c r="H875" s="886">
        <f>(Table2[[#This Row],[Points 2025]]/2)+SUM(Table2[[#This Row],[O1  ADMIN 2026]:[P2    CAPE TOWN OPEN 2026 ]])</f>
        <v>0</v>
      </c>
      <c r="I875" s="880">
        <f t="shared" si="75"/>
        <v>0</v>
      </c>
      <c r="J875" s="882">
        <f t="shared" si="76"/>
        <v>0</v>
      </c>
      <c r="K875" s="887" t="str">
        <f>IFERROR(VALUE(IF(Table2[[#This Row],[Player No]]="","",IFERROR(VLOOKUP(Table2[[#This Row],[Player No]],[3]Men!$D$2:$E$48,2,FALSE)&amp;"",""))),"")</f>
        <v/>
      </c>
      <c r="L875" s="887" t="str">
        <f>IFERROR(VALUE(IF(Table2[[#This Row],[Player No]]="","",IFERROR(VLOOKUP(Table2[[#This Row],[Player No]],[4]Men!$Z$14:$AB$62,2,FALSE)&amp;"",""))),"")</f>
        <v/>
      </c>
      <c r="M875" s="887"/>
      <c r="N875" s="887"/>
      <c r="O875" s="882"/>
      <c r="P875" s="882"/>
      <c r="Q875" s="888"/>
      <c r="R875" s="888"/>
      <c r="S875" s="888"/>
      <c r="T875" s="888"/>
      <c r="U875" s="882"/>
      <c r="V875" s="887"/>
      <c r="W875" s="888"/>
      <c r="X875" s="888"/>
      <c r="Y875" s="888"/>
      <c r="Z875" s="882"/>
      <c r="AA875" s="882"/>
      <c r="AB875" s="882"/>
      <c r="AC875" s="882"/>
      <c r="AD875" s="882"/>
      <c r="AE875" s="882"/>
      <c r="AF875" s="882"/>
      <c r="AG875" s="882"/>
      <c r="AH875" s="882"/>
      <c r="AI875" s="882"/>
      <c r="AJ875" s="882"/>
      <c r="AK875" s="882"/>
    </row>
    <row r="876" spans="1:37" s="890" customFormat="1">
      <c r="A876" s="882"/>
      <c r="B876" s="891"/>
      <c r="C876" s="882"/>
      <c r="D876" s="883"/>
      <c r="E876" s="884"/>
      <c r="F876" s="885" t="str">
        <f>IFERROR(VLOOKUP(Table2[[#This Row],[Player No]],Table10[[No]:[Province]],3,0),"")</f>
        <v/>
      </c>
      <c r="G876" s="892">
        <v>0</v>
      </c>
      <c r="H876" s="886">
        <f>(Table2[[#This Row],[Points 2025]]/2)+SUM(Table2[[#This Row],[O1  ADMIN 2026]:[P2    CAPE TOWN OPEN 2026 ]])</f>
        <v>0</v>
      </c>
      <c r="I876" s="880">
        <f t="shared" si="75"/>
        <v>0</v>
      </c>
      <c r="J876" s="882">
        <f t="shared" si="76"/>
        <v>0</v>
      </c>
      <c r="K876" s="887" t="str">
        <f>IFERROR(VALUE(IF(Table2[[#This Row],[Player No]]="","",IFERROR(VLOOKUP(Table2[[#This Row],[Player No]],[3]Men!$D$2:$E$48,2,FALSE)&amp;"",""))),"")</f>
        <v/>
      </c>
      <c r="L876" s="887" t="str">
        <f>IFERROR(VALUE(IF(Table2[[#This Row],[Player No]]="","",IFERROR(VLOOKUP(Table2[[#This Row],[Player No]],[4]Men!$Z$14:$AB$62,2,FALSE)&amp;"",""))),"")</f>
        <v/>
      </c>
      <c r="M876" s="887"/>
      <c r="N876" s="887"/>
      <c r="O876" s="882"/>
      <c r="P876" s="882"/>
      <c r="Q876" s="888"/>
      <c r="R876" s="888"/>
      <c r="S876" s="888"/>
      <c r="T876" s="888"/>
      <c r="U876" s="882"/>
      <c r="V876" s="887"/>
      <c r="W876" s="888"/>
      <c r="X876" s="888"/>
      <c r="Y876" s="888"/>
      <c r="Z876" s="882"/>
      <c r="AA876" s="882"/>
      <c r="AB876" s="882"/>
      <c r="AC876" s="882"/>
      <c r="AD876" s="882"/>
      <c r="AE876" s="882"/>
      <c r="AF876" s="882"/>
      <c r="AG876" s="882"/>
      <c r="AH876" s="882"/>
      <c r="AI876" s="882"/>
      <c r="AJ876" s="882"/>
      <c r="AK876" s="882"/>
    </row>
    <row r="877" spans="1:37" s="890" customFormat="1">
      <c r="A877" s="882"/>
      <c r="B877" s="891"/>
      <c r="C877" s="882"/>
      <c r="D877" s="883"/>
      <c r="E877" s="884"/>
      <c r="F877" s="885" t="str">
        <f>IFERROR(VLOOKUP(Table2[[#This Row],[Player No]],Table10[[No]:[Province]],3,0),"")</f>
        <v/>
      </c>
      <c r="G877" s="892">
        <v>0</v>
      </c>
      <c r="H877" s="886">
        <f>(Table2[[#This Row],[Points 2025]]/2)+SUM(Table2[[#This Row],[O1  ADMIN 2026]:[P2    CAPE TOWN OPEN 2026 ]])</f>
        <v>0</v>
      </c>
      <c r="I877" s="880">
        <f t="shared" si="75"/>
        <v>0</v>
      </c>
      <c r="J877" s="882">
        <f t="shared" si="76"/>
        <v>0</v>
      </c>
      <c r="K877" s="887" t="str">
        <f>IFERROR(VALUE(IF(Table2[[#This Row],[Player No]]="","",IFERROR(VLOOKUP(Table2[[#This Row],[Player No]],[3]Men!$D$2:$E$48,2,FALSE)&amp;"",""))),"")</f>
        <v/>
      </c>
      <c r="L877" s="887" t="str">
        <f>IFERROR(VALUE(IF(Table2[[#This Row],[Player No]]="","",IFERROR(VLOOKUP(Table2[[#This Row],[Player No]],[4]Men!$Z$14:$AB$62,2,FALSE)&amp;"",""))),"")</f>
        <v/>
      </c>
      <c r="M877" s="887"/>
      <c r="N877" s="887"/>
      <c r="O877" s="882"/>
      <c r="P877" s="882"/>
      <c r="Q877" s="888"/>
      <c r="R877" s="888"/>
      <c r="S877" s="888"/>
      <c r="T877" s="888"/>
      <c r="U877" s="882"/>
      <c r="V877" s="887"/>
      <c r="W877" s="888"/>
      <c r="X877" s="888"/>
      <c r="Y877" s="888"/>
      <c r="Z877" s="882"/>
      <c r="AA877" s="882"/>
      <c r="AB877" s="882"/>
      <c r="AC877" s="882"/>
      <c r="AD877" s="882"/>
      <c r="AE877" s="882"/>
      <c r="AF877" s="882"/>
      <c r="AG877" s="882"/>
      <c r="AH877" s="882"/>
      <c r="AI877" s="882"/>
      <c r="AJ877" s="882"/>
      <c r="AK877" s="882"/>
    </row>
    <row r="878" spans="1:37" s="890" customFormat="1">
      <c r="A878" s="882"/>
      <c r="B878" s="891"/>
      <c r="C878" s="882"/>
      <c r="D878" s="883"/>
      <c r="E878" s="884"/>
      <c r="F878" s="885" t="str">
        <f>IFERROR(VLOOKUP(Table2[[#This Row],[Player No]],Table10[[No]:[Province]],3,0),"")</f>
        <v/>
      </c>
      <c r="G878" s="892">
        <v>0</v>
      </c>
      <c r="H878" s="886">
        <f>(Table2[[#This Row],[Points 2025]]/2)+SUM(Table2[[#This Row],[O1  ADMIN 2026]:[P2    CAPE TOWN OPEN 2026 ]])</f>
        <v>0</v>
      </c>
      <c r="I878" s="880">
        <f t="shared" si="75"/>
        <v>0</v>
      </c>
      <c r="J878" s="882">
        <f t="shared" si="76"/>
        <v>0</v>
      </c>
      <c r="K878" s="887" t="str">
        <f>IFERROR(VALUE(IF(Table2[[#This Row],[Player No]]="","",IFERROR(VLOOKUP(Table2[[#This Row],[Player No]],[3]Men!$D$2:$E$48,2,FALSE)&amp;"",""))),"")</f>
        <v/>
      </c>
      <c r="L878" s="887" t="str">
        <f>IFERROR(VALUE(IF(Table2[[#This Row],[Player No]]="","",IFERROR(VLOOKUP(Table2[[#This Row],[Player No]],[4]Men!$Z$14:$AB$62,2,FALSE)&amp;"",""))),"")</f>
        <v/>
      </c>
      <c r="M878" s="887"/>
      <c r="N878" s="887"/>
      <c r="O878" s="882"/>
      <c r="P878" s="882"/>
      <c r="Q878" s="888"/>
      <c r="R878" s="888"/>
      <c r="S878" s="888"/>
      <c r="T878" s="888"/>
      <c r="U878" s="882"/>
      <c r="V878" s="887"/>
      <c r="W878" s="888"/>
      <c r="X878" s="888"/>
      <c r="Y878" s="888"/>
      <c r="Z878" s="882"/>
      <c r="AA878" s="882"/>
      <c r="AB878" s="882"/>
      <c r="AC878" s="882"/>
      <c r="AD878" s="882"/>
      <c r="AE878" s="882"/>
      <c r="AF878" s="882"/>
      <c r="AG878" s="882"/>
      <c r="AH878" s="882"/>
      <c r="AI878" s="882"/>
      <c r="AJ878" s="882"/>
      <c r="AK878" s="882"/>
    </row>
    <row r="879" spans="1:37" s="890" customFormat="1">
      <c r="A879" s="882"/>
      <c r="B879" s="891"/>
      <c r="C879" s="882"/>
      <c r="D879" s="883"/>
      <c r="E879" s="884"/>
      <c r="F879" s="885" t="str">
        <f>IFERROR(VLOOKUP(Table2[[#This Row],[Player No]],Table10[[No]:[Province]],3,0),"")</f>
        <v/>
      </c>
      <c r="G879" s="892">
        <v>0</v>
      </c>
      <c r="H879" s="886">
        <f>(Table2[[#This Row],[Points 2025]]/2)+SUM(Table2[[#This Row],[O1  ADMIN 2026]:[P2    CAPE TOWN OPEN 2026 ]])</f>
        <v>0</v>
      </c>
      <c r="I879" s="880">
        <f t="shared" si="75"/>
        <v>0</v>
      </c>
      <c r="J879" s="882">
        <f t="shared" si="76"/>
        <v>0</v>
      </c>
      <c r="K879" s="887" t="str">
        <f>IFERROR(VALUE(IF(Table2[[#This Row],[Player No]]="","",IFERROR(VLOOKUP(Table2[[#This Row],[Player No]],[3]Men!$D$2:$E$48,2,FALSE)&amp;"",""))),"")</f>
        <v/>
      </c>
      <c r="L879" s="887" t="str">
        <f>IFERROR(VALUE(IF(Table2[[#This Row],[Player No]]="","",IFERROR(VLOOKUP(Table2[[#This Row],[Player No]],[4]Men!$Z$14:$AB$62,2,FALSE)&amp;"",""))),"")</f>
        <v/>
      </c>
      <c r="M879" s="887"/>
      <c r="N879" s="887"/>
      <c r="O879" s="882"/>
      <c r="P879" s="882"/>
      <c r="Q879" s="888"/>
      <c r="R879" s="888"/>
      <c r="S879" s="888"/>
      <c r="T879" s="888"/>
      <c r="U879" s="882"/>
      <c r="V879" s="887"/>
      <c r="W879" s="888"/>
      <c r="X879" s="888"/>
      <c r="Y879" s="888"/>
      <c r="Z879" s="882"/>
      <c r="AA879" s="882"/>
      <c r="AB879" s="882"/>
      <c r="AC879" s="882"/>
      <c r="AD879" s="882"/>
      <c r="AE879" s="882"/>
      <c r="AF879" s="882"/>
      <c r="AG879" s="882"/>
      <c r="AH879" s="882"/>
      <c r="AI879" s="882"/>
      <c r="AJ879" s="882"/>
      <c r="AK879" s="882"/>
    </row>
    <row r="880" spans="1:37" s="890" customFormat="1">
      <c r="A880" s="882"/>
      <c r="B880" s="891"/>
      <c r="C880" s="882"/>
      <c r="D880" s="883"/>
      <c r="E880" s="884"/>
      <c r="F880" s="885" t="str">
        <f>IFERROR(VLOOKUP(Table2[[#This Row],[Player No]],Table10[[No]:[Province]],3,0),"")</f>
        <v/>
      </c>
      <c r="G880" s="892">
        <v>0</v>
      </c>
      <c r="H880" s="886">
        <f>(Table2[[#This Row],[Points 2025]]/2)+SUM(Table2[[#This Row],[O1  ADMIN 2026]:[P2    CAPE TOWN OPEN 2026 ]])</f>
        <v>0</v>
      </c>
      <c r="I880" s="880">
        <f t="shared" si="75"/>
        <v>0</v>
      </c>
      <c r="J880" s="882">
        <f t="shared" si="76"/>
        <v>0</v>
      </c>
      <c r="K880" s="887" t="str">
        <f>IFERROR(VALUE(IF(Table2[[#This Row],[Player No]]="","",IFERROR(VLOOKUP(Table2[[#This Row],[Player No]],[3]Men!$D$2:$E$48,2,FALSE)&amp;"",""))),"")</f>
        <v/>
      </c>
      <c r="L880" s="887" t="str">
        <f>IFERROR(VALUE(IF(Table2[[#This Row],[Player No]]="","",IFERROR(VLOOKUP(Table2[[#This Row],[Player No]],[4]Men!$Z$14:$AB$62,2,FALSE)&amp;"",""))),"")</f>
        <v/>
      </c>
      <c r="M880" s="887"/>
      <c r="N880" s="887"/>
      <c r="O880" s="882"/>
      <c r="P880" s="882"/>
      <c r="Q880" s="888"/>
      <c r="R880" s="888"/>
      <c r="S880" s="888"/>
      <c r="T880" s="888"/>
      <c r="U880" s="882"/>
      <c r="V880" s="887"/>
      <c r="W880" s="888"/>
      <c r="X880" s="888"/>
      <c r="Y880" s="888"/>
      <c r="Z880" s="882"/>
      <c r="AA880" s="882"/>
      <c r="AB880" s="882"/>
      <c r="AC880" s="882"/>
      <c r="AD880" s="882"/>
      <c r="AE880" s="882"/>
      <c r="AF880" s="882"/>
      <c r="AG880" s="882"/>
      <c r="AH880" s="882"/>
      <c r="AI880" s="882"/>
      <c r="AJ880" s="882"/>
      <c r="AK880" s="882"/>
    </row>
    <row r="881" spans="1:37" s="890" customFormat="1">
      <c r="A881" s="882"/>
      <c r="B881" s="891"/>
      <c r="C881" s="882"/>
      <c r="D881" s="883"/>
      <c r="E881" s="884"/>
      <c r="F881" s="885" t="str">
        <f>IFERROR(VLOOKUP(Table2[[#This Row],[Player No]],Table10[[No]:[Province]],3,0),"")</f>
        <v/>
      </c>
      <c r="G881" s="892">
        <v>0</v>
      </c>
      <c r="H881" s="886">
        <f>(Table2[[#This Row],[Points 2025]]/2)+SUM(Table2[[#This Row],[O1  ADMIN 2026]:[P2    CAPE TOWN OPEN 2026 ]])</f>
        <v>0</v>
      </c>
      <c r="I881" s="880">
        <f t="shared" si="75"/>
        <v>0</v>
      </c>
      <c r="J881" s="882">
        <f t="shared" si="76"/>
        <v>0</v>
      </c>
      <c r="K881" s="887" t="str">
        <f>IFERROR(VALUE(IF(Table2[[#This Row],[Player No]]="","",IFERROR(VLOOKUP(Table2[[#This Row],[Player No]],[3]Men!$D$2:$E$48,2,FALSE)&amp;"",""))),"")</f>
        <v/>
      </c>
      <c r="L881" s="887" t="str">
        <f>IFERROR(VALUE(IF(Table2[[#This Row],[Player No]]="","",IFERROR(VLOOKUP(Table2[[#This Row],[Player No]],[4]Men!$Z$14:$AB$62,2,FALSE)&amp;"",""))),"")</f>
        <v/>
      </c>
      <c r="M881" s="887"/>
      <c r="N881" s="887"/>
      <c r="O881" s="882"/>
      <c r="P881" s="882"/>
      <c r="Q881" s="888"/>
      <c r="R881" s="888"/>
      <c r="S881" s="888"/>
      <c r="T881" s="888"/>
      <c r="U881" s="882"/>
      <c r="V881" s="887"/>
      <c r="W881" s="888"/>
      <c r="X881" s="888"/>
      <c r="Y881" s="888"/>
      <c r="Z881" s="882"/>
      <c r="AA881" s="882"/>
      <c r="AB881" s="882"/>
      <c r="AC881" s="882"/>
      <c r="AD881" s="882"/>
      <c r="AE881" s="882"/>
      <c r="AF881" s="882"/>
      <c r="AG881" s="882"/>
      <c r="AH881" s="882"/>
      <c r="AI881" s="882"/>
      <c r="AJ881" s="882"/>
      <c r="AK881" s="882"/>
    </row>
    <row r="882" spans="1:37" s="890" customFormat="1">
      <c r="A882" s="882"/>
      <c r="B882" s="891"/>
      <c r="C882" s="882"/>
      <c r="D882" s="883"/>
      <c r="E882" s="884"/>
      <c r="F882" s="885" t="str">
        <f>IFERROR(VLOOKUP(Table2[[#This Row],[Player No]],Table10[[No]:[Province]],3,0),"")</f>
        <v/>
      </c>
      <c r="G882" s="892">
        <v>0</v>
      </c>
      <c r="H882" s="886">
        <f>(Table2[[#This Row],[Points 2025]]/2)+SUM(Table2[[#This Row],[O1  ADMIN 2026]:[P2    CAPE TOWN OPEN 2026 ]])</f>
        <v>0</v>
      </c>
      <c r="I882" s="880">
        <f t="shared" si="75"/>
        <v>0</v>
      </c>
      <c r="J882" s="882">
        <f t="shared" si="76"/>
        <v>0</v>
      </c>
      <c r="K882" s="887" t="str">
        <f>IFERROR(VALUE(IF(Table2[[#This Row],[Player No]]="","",IFERROR(VLOOKUP(Table2[[#This Row],[Player No]],[3]Men!$D$2:$E$48,2,FALSE)&amp;"",""))),"")</f>
        <v/>
      </c>
      <c r="L882" s="887" t="str">
        <f>IFERROR(VALUE(IF(Table2[[#This Row],[Player No]]="","",IFERROR(VLOOKUP(Table2[[#This Row],[Player No]],[4]Men!$Z$14:$AB$62,2,FALSE)&amp;"",""))),"")</f>
        <v/>
      </c>
      <c r="M882" s="887"/>
      <c r="N882" s="887"/>
      <c r="O882" s="882"/>
      <c r="P882" s="882"/>
      <c r="Q882" s="888"/>
      <c r="R882" s="888"/>
      <c r="S882" s="888"/>
      <c r="T882" s="888"/>
      <c r="U882" s="882"/>
      <c r="V882" s="887"/>
      <c r="W882" s="888"/>
      <c r="X882" s="888"/>
      <c r="Y882" s="888"/>
      <c r="Z882" s="882"/>
      <c r="AA882" s="882"/>
      <c r="AB882" s="882"/>
      <c r="AC882" s="882"/>
      <c r="AD882" s="882"/>
      <c r="AE882" s="882"/>
      <c r="AF882" s="882"/>
      <c r="AG882" s="882"/>
      <c r="AH882" s="882"/>
      <c r="AI882" s="882"/>
      <c r="AJ882" s="882"/>
      <c r="AK882" s="882"/>
    </row>
    <row r="883" spans="1:37" s="890" customFormat="1">
      <c r="A883" s="882"/>
      <c r="B883" s="891"/>
      <c r="C883" s="882"/>
      <c r="D883" s="883"/>
      <c r="E883" s="884"/>
      <c r="F883" s="885" t="str">
        <f>IFERROR(VLOOKUP(Table2[[#This Row],[Player No]],Table10[[No]:[Province]],3,0),"")</f>
        <v/>
      </c>
      <c r="G883" s="892">
        <v>0</v>
      </c>
      <c r="H883" s="886">
        <f>(Table2[[#This Row],[Points 2025]]/2)+SUM(Table2[[#This Row],[O1  ADMIN 2026]:[P2    CAPE TOWN OPEN 2026 ]])</f>
        <v>0</v>
      </c>
      <c r="I883" s="880">
        <f t="shared" si="75"/>
        <v>0</v>
      </c>
      <c r="J883" s="882">
        <f t="shared" si="76"/>
        <v>0</v>
      </c>
      <c r="K883" s="887" t="str">
        <f>IFERROR(VALUE(IF(Table2[[#This Row],[Player No]]="","",IFERROR(VLOOKUP(Table2[[#This Row],[Player No]],[3]Men!$D$2:$E$48,2,FALSE)&amp;"",""))),"")</f>
        <v/>
      </c>
      <c r="L883" s="887" t="str">
        <f>IFERROR(VALUE(IF(Table2[[#This Row],[Player No]]="","",IFERROR(VLOOKUP(Table2[[#This Row],[Player No]],[4]Men!$Z$14:$AB$62,2,FALSE)&amp;"",""))),"")</f>
        <v/>
      </c>
      <c r="M883" s="887"/>
      <c r="N883" s="887"/>
      <c r="O883" s="882"/>
      <c r="P883" s="882"/>
      <c r="Q883" s="888"/>
      <c r="R883" s="888"/>
      <c r="S883" s="888"/>
      <c r="T883" s="888"/>
      <c r="U883" s="882"/>
      <c r="V883" s="887"/>
      <c r="W883" s="888"/>
      <c r="X883" s="888"/>
      <c r="Y883" s="888"/>
      <c r="Z883" s="882"/>
      <c r="AA883" s="882"/>
      <c r="AB883" s="882"/>
      <c r="AC883" s="882"/>
      <c r="AD883" s="882"/>
      <c r="AE883" s="882"/>
      <c r="AF883" s="882"/>
      <c r="AG883" s="882"/>
      <c r="AH883" s="882"/>
      <c r="AI883" s="882"/>
      <c r="AJ883" s="882"/>
      <c r="AK883" s="882"/>
    </row>
    <row r="884" spans="1:37" s="890" customFormat="1">
      <c r="A884" s="882"/>
      <c r="B884" s="891"/>
      <c r="C884" s="882"/>
      <c r="D884" s="883"/>
      <c r="E884" s="884"/>
      <c r="F884" s="885" t="str">
        <f>IFERROR(VLOOKUP(Table2[[#This Row],[Player No]],Table10[[No]:[Province]],3,0),"")</f>
        <v/>
      </c>
      <c r="G884" s="892">
        <v>0</v>
      </c>
      <c r="H884" s="886">
        <f>(Table2[[#This Row],[Points 2025]]/2)+SUM(Table2[[#This Row],[O1  ADMIN 2026]:[P2    CAPE TOWN OPEN 2026 ]])</f>
        <v>0</v>
      </c>
      <c r="I884" s="880">
        <f t="shared" si="75"/>
        <v>0</v>
      </c>
      <c r="J884" s="882">
        <f t="shared" si="76"/>
        <v>0</v>
      </c>
      <c r="K884" s="887" t="str">
        <f>IFERROR(VALUE(IF(Table2[[#This Row],[Player No]]="","",IFERROR(VLOOKUP(Table2[[#This Row],[Player No]],[3]Men!$D$2:$E$48,2,FALSE)&amp;"",""))),"")</f>
        <v/>
      </c>
      <c r="L884" s="887" t="str">
        <f>IFERROR(VALUE(IF(Table2[[#This Row],[Player No]]="","",IFERROR(VLOOKUP(Table2[[#This Row],[Player No]],[4]Men!$Z$14:$AB$62,2,FALSE)&amp;"",""))),"")</f>
        <v/>
      </c>
      <c r="M884" s="887"/>
      <c r="N884" s="887"/>
      <c r="O884" s="882"/>
      <c r="P884" s="882"/>
      <c r="Q884" s="888"/>
      <c r="R884" s="888"/>
      <c r="S884" s="888"/>
      <c r="T884" s="888"/>
      <c r="U884" s="882"/>
      <c r="V884" s="887"/>
      <c r="W884" s="888"/>
      <c r="X884" s="888"/>
      <c r="Y884" s="888"/>
      <c r="Z884" s="882"/>
      <c r="AA884" s="882"/>
      <c r="AB884" s="882"/>
      <c r="AC884" s="882"/>
      <c r="AD884" s="882"/>
      <c r="AE884" s="882"/>
      <c r="AF884" s="882"/>
      <c r="AG884" s="882"/>
      <c r="AH884" s="882"/>
      <c r="AI884" s="882"/>
      <c r="AJ884" s="882"/>
      <c r="AK884" s="882"/>
    </row>
    <row r="885" spans="1:37" s="890" customFormat="1">
      <c r="A885" s="882"/>
      <c r="B885" s="891"/>
      <c r="C885" s="882"/>
      <c r="D885" s="883"/>
      <c r="E885" s="884"/>
      <c r="F885" s="885" t="str">
        <f>IFERROR(VLOOKUP(Table2[[#This Row],[Player No]],Table10[[No]:[Province]],3,0),"")</f>
        <v/>
      </c>
      <c r="G885" s="892">
        <v>0</v>
      </c>
      <c r="H885" s="886">
        <f>(Table2[[#This Row],[Points 2025]]/2)+SUM(Table2[[#This Row],[O1  ADMIN 2026]:[P2    CAPE TOWN OPEN 2026 ]])</f>
        <v>0</v>
      </c>
      <c r="I885" s="880">
        <f t="shared" si="75"/>
        <v>0</v>
      </c>
      <c r="J885" s="882">
        <f t="shared" si="76"/>
        <v>0</v>
      </c>
      <c r="K885" s="887" t="str">
        <f>IFERROR(VALUE(IF(Table2[[#This Row],[Player No]]="","",IFERROR(VLOOKUP(Table2[[#This Row],[Player No]],[3]Men!$D$2:$E$48,2,FALSE)&amp;"",""))),"")</f>
        <v/>
      </c>
      <c r="L885" s="887" t="str">
        <f>IFERROR(VALUE(IF(Table2[[#This Row],[Player No]]="","",IFERROR(VLOOKUP(Table2[[#This Row],[Player No]],[4]Men!$Z$14:$AB$62,2,FALSE)&amp;"",""))),"")</f>
        <v/>
      </c>
      <c r="M885" s="887"/>
      <c r="N885" s="887"/>
      <c r="O885" s="882"/>
      <c r="P885" s="882"/>
      <c r="Q885" s="888"/>
      <c r="R885" s="888"/>
      <c r="S885" s="888"/>
      <c r="T885" s="888"/>
      <c r="U885" s="882"/>
      <c r="V885" s="887"/>
      <c r="W885" s="888"/>
      <c r="X885" s="888"/>
      <c r="Y885" s="888"/>
      <c r="Z885" s="882"/>
      <c r="AA885" s="882"/>
      <c r="AB885" s="882"/>
      <c r="AC885" s="882"/>
      <c r="AD885" s="882"/>
      <c r="AE885" s="882"/>
      <c r="AF885" s="882"/>
      <c r="AG885" s="882"/>
      <c r="AH885" s="882"/>
      <c r="AI885" s="882"/>
      <c r="AJ885" s="882"/>
      <c r="AK885" s="882"/>
    </row>
    <row r="886" spans="1:37" s="890" customFormat="1">
      <c r="A886" s="882"/>
      <c r="B886" s="891"/>
      <c r="C886" s="882"/>
      <c r="D886" s="883"/>
      <c r="E886" s="884"/>
      <c r="F886" s="885" t="str">
        <f>IFERROR(VLOOKUP(Table2[[#This Row],[Player No]],Table10[[No]:[Province]],3,0),"")</f>
        <v/>
      </c>
      <c r="G886" s="892">
        <v>0</v>
      </c>
      <c r="H886" s="886">
        <f>(Table2[[#This Row],[Points 2025]]/2)+SUM(Table2[[#This Row],[O1  ADMIN 2026]:[P2    CAPE TOWN OPEN 2026 ]])</f>
        <v>0</v>
      </c>
      <c r="I886" s="880">
        <f t="shared" si="75"/>
        <v>0</v>
      </c>
      <c r="J886" s="882">
        <f t="shared" si="76"/>
        <v>0</v>
      </c>
      <c r="K886" s="887" t="str">
        <f>IFERROR(VALUE(IF(Table2[[#This Row],[Player No]]="","",IFERROR(VLOOKUP(Table2[[#This Row],[Player No]],[3]Men!$D$2:$E$48,2,FALSE)&amp;"",""))),"")</f>
        <v/>
      </c>
      <c r="L886" s="887" t="str">
        <f>IFERROR(VALUE(IF(Table2[[#This Row],[Player No]]="","",IFERROR(VLOOKUP(Table2[[#This Row],[Player No]],[4]Men!$Z$14:$AB$62,2,FALSE)&amp;"",""))),"")</f>
        <v/>
      </c>
      <c r="M886" s="887"/>
      <c r="N886" s="887"/>
      <c r="O886" s="882"/>
      <c r="P886" s="882"/>
      <c r="Q886" s="888"/>
      <c r="R886" s="888"/>
      <c r="S886" s="888"/>
      <c r="T886" s="888"/>
      <c r="U886" s="882"/>
      <c r="V886" s="887"/>
      <c r="W886" s="888"/>
      <c r="X886" s="888"/>
      <c r="Y886" s="888"/>
      <c r="Z886" s="882"/>
      <c r="AA886" s="882"/>
      <c r="AB886" s="882"/>
      <c r="AC886" s="882"/>
      <c r="AD886" s="882"/>
      <c r="AE886" s="882"/>
      <c r="AF886" s="882"/>
      <c r="AG886" s="882"/>
      <c r="AH886" s="882"/>
      <c r="AI886" s="882"/>
      <c r="AJ886" s="882"/>
      <c r="AK886" s="882"/>
    </row>
    <row r="887" spans="1:37" s="890" customFormat="1">
      <c r="A887" s="882"/>
      <c r="B887" s="891"/>
      <c r="C887" s="882"/>
      <c r="D887" s="883"/>
      <c r="E887" s="884"/>
      <c r="F887" s="885" t="str">
        <f>IFERROR(VLOOKUP(Table2[[#This Row],[Player No]],Table10[[No]:[Province]],3,0),"")</f>
        <v/>
      </c>
      <c r="G887" s="892">
        <v>0</v>
      </c>
      <c r="H887" s="886">
        <f>(Table2[[#This Row],[Points 2025]]/2)+SUM(Table2[[#This Row],[O1  ADMIN 2026]:[P2    CAPE TOWN OPEN 2026 ]])</f>
        <v>0</v>
      </c>
      <c r="I887" s="880">
        <f t="shared" si="75"/>
        <v>0</v>
      </c>
      <c r="J887" s="882">
        <f t="shared" si="76"/>
        <v>0</v>
      </c>
      <c r="K887" s="887" t="str">
        <f>IFERROR(VALUE(IF(Table2[[#This Row],[Player No]]="","",IFERROR(VLOOKUP(Table2[[#This Row],[Player No]],[3]Men!$D$2:$E$48,2,FALSE)&amp;"",""))),"")</f>
        <v/>
      </c>
      <c r="L887" s="887" t="str">
        <f>IFERROR(VALUE(IF(Table2[[#This Row],[Player No]]="","",IFERROR(VLOOKUP(Table2[[#This Row],[Player No]],[4]Men!$Z$14:$AB$62,2,FALSE)&amp;"",""))),"")</f>
        <v/>
      </c>
      <c r="M887" s="887"/>
      <c r="N887" s="887"/>
      <c r="O887" s="882"/>
      <c r="P887" s="882"/>
      <c r="Q887" s="888"/>
      <c r="R887" s="888"/>
      <c r="S887" s="888"/>
      <c r="T887" s="888"/>
      <c r="U887" s="882"/>
      <c r="V887" s="887"/>
      <c r="W887" s="888"/>
      <c r="X887" s="888"/>
      <c r="Y887" s="888"/>
      <c r="Z887" s="882"/>
      <c r="AA887" s="882"/>
      <c r="AB887" s="882"/>
      <c r="AC887" s="882"/>
      <c r="AD887" s="882"/>
      <c r="AE887" s="882"/>
      <c r="AF887" s="882"/>
      <c r="AG887" s="882"/>
      <c r="AH887" s="882"/>
      <c r="AI887" s="882"/>
      <c r="AJ887" s="882"/>
      <c r="AK887" s="882"/>
    </row>
    <row r="888" spans="1:37" s="890" customFormat="1">
      <c r="A888" s="882"/>
      <c r="B888" s="891"/>
      <c r="C888" s="882"/>
      <c r="D888" s="883"/>
      <c r="E888" s="884"/>
      <c r="F888" s="885" t="str">
        <f>IFERROR(VLOOKUP(Table2[[#This Row],[Player No]],Table10[[No]:[Province]],3,0),"")</f>
        <v/>
      </c>
      <c r="G888" s="892">
        <v>0</v>
      </c>
      <c r="H888" s="886">
        <f>(Table2[[#This Row],[Points 2025]]/2)+SUM(Table2[[#This Row],[O1  ADMIN 2026]:[P2    CAPE TOWN OPEN 2026 ]])</f>
        <v>0</v>
      </c>
      <c r="I888" s="880">
        <f t="shared" si="75"/>
        <v>0</v>
      </c>
      <c r="J888" s="882">
        <f t="shared" si="76"/>
        <v>0</v>
      </c>
      <c r="K888" s="887" t="str">
        <f>IFERROR(VALUE(IF(Table2[[#This Row],[Player No]]="","",IFERROR(VLOOKUP(Table2[[#This Row],[Player No]],[3]Men!$D$2:$E$48,2,FALSE)&amp;"",""))),"")</f>
        <v/>
      </c>
      <c r="L888" s="887" t="str">
        <f>IFERROR(VALUE(IF(Table2[[#This Row],[Player No]]="","",IFERROR(VLOOKUP(Table2[[#This Row],[Player No]],[4]Men!$Z$14:$AB$62,2,FALSE)&amp;"",""))),"")</f>
        <v/>
      </c>
      <c r="M888" s="887"/>
      <c r="N888" s="887"/>
      <c r="O888" s="882"/>
      <c r="P888" s="882"/>
      <c r="Q888" s="888"/>
      <c r="R888" s="888"/>
      <c r="S888" s="888"/>
      <c r="T888" s="888"/>
      <c r="U888" s="882"/>
      <c r="V888" s="887"/>
      <c r="W888" s="888"/>
      <c r="X888" s="888"/>
      <c r="Y888" s="888"/>
      <c r="Z888" s="882"/>
      <c r="AA888" s="882"/>
      <c r="AB888" s="882"/>
      <c r="AC888" s="882"/>
      <c r="AD888" s="882"/>
      <c r="AE888" s="882"/>
      <c r="AF888" s="882"/>
      <c r="AG888" s="882"/>
      <c r="AH888" s="882"/>
      <c r="AI888" s="882"/>
      <c r="AJ888" s="882"/>
      <c r="AK888" s="882"/>
    </row>
    <row r="889" spans="1:37" s="890" customFormat="1">
      <c r="A889" s="882"/>
      <c r="B889" s="891"/>
      <c r="C889" s="882"/>
      <c r="D889" s="883"/>
      <c r="E889" s="884"/>
      <c r="F889" s="885" t="str">
        <f>IFERROR(VLOOKUP(Table2[[#This Row],[Player No]],Table10[[No]:[Province]],3,0),"")</f>
        <v/>
      </c>
      <c r="G889" s="892">
        <v>0</v>
      </c>
      <c r="H889" s="886">
        <f>(Table2[[#This Row],[Points 2025]]/2)+SUM(Table2[[#This Row],[O1  ADMIN 2026]:[P2    CAPE TOWN OPEN 2026 ]])</f>
        <v>0</v>
      </c>
      <c r="I889" s="880">
        <f t="shared" si="75"/>
        <v>0</v>
      </c>
      <c r="J889" s="882">
        <f t="shared" si="76"/>
        <v>0</v>
      </c>
      <c r="K889" s="887" t="str">
        <f>IFERROR(VALUE(IF(Table2[[#This Row],[Player No]]="","",IFERROR(VLOOKUP(Table2[[#This Row],[Player No]],[3]Men!$D$2:$E$48,2,FALSE)&amp;"",""))),"")</f>
        <v/>
      </c>
      <c r="L889" s="887" t="str">
        <f>IFERROR(VALUE(IF(Table2[[#This Row],[Player No]]="","",IFERROR(VLOOKUP(Table2[[#This Row],[Player No]],[4]Men!$Z$14:$AB$62,2,FALSE)&amp;"",""))),"")</f>
        <v/>
      </c>
      <c r="M889" s="887"/>
      <c r="N889" s="887"/>
      <c r="O889" s="882"/>
      <c r="P889" s="882"/>
      <c r="Q889" s="888"/>
      <c r="R889" s="888"/>
      <c r="S889" s="888"/>
      <c r="T889" s="888"/>
      <c r="U889" s="882"/>
      <c r="V889" s="887"/>
      <c r="W889" s="888"/>
      <c r="X889" s="888"/>
      <c r="Y889" s="888"/>
      <c r="Z889" s="882"/>
      <c r="AA889" s="882"/>
      <c r="AB889" s="882"/>
      <c r="AC889" s="882"/>
      <c r="AD889" s="882"/>
      <c r="AE889" s="882"/>
      <c r="AF889" s="882"/>
      <c r="AG889" s="882"/>
      <c r="AH889" s="882"/>
      <c r="AI889" s="882"/>
      <c r="AJ889" s="882"/>
      <c r="AK889" s="882"/>
    </row>
    <row r="890" spans="1:37" s="890" customFormat="1">
      <c r="A890" s="882"/>
      <c r="B890" s="891"/>
      <c r="C890" s="882"/>
      <c r="D890" s="883"/>
      <c r="E890" s="884"/>
      <c r="F890" s="885" t="str">
        <f>IFERROR(VLOOKUP(Table2[[#This Row],[Player No]],Table10[[No]:[Province]],3,0),"")</f>
        <v/>
      </c>
      <c r="G890" s="892">
        <v>0</v>
      </c>
      <c r="H890" s="886">
        <f>(Table2[[#This Row],[Points 2025]]/2)+SUM(Table2[[#This Row],[O1  ADMIN 2026]:[P2    CAPE TOWN OPEN 2026 ]])</f>
        <v>0</v>
      </c>
      <c r="I890" s="880">
        <f t="shared" si="75"/>
        <v>0</v>
      </c>
      <c r="J890" s="882">
        <f t="shared" si="76"/>
        <v>0</v>
      </c>
      <c r="K890" s="887" t="str">
        <f>IFERROR(VALUE(IF(Table2[[#This Row],[Player No]]="","",IFERROR(VLOOKUP(Table2[[#This Row],[Player No]],[3]Men!$D$2:$E$48,2,FALSE)&amp;"",""))),"")</f>
        <v/>
      </c>
      <c r="L890" s="887" t="str">
        <f>IFERROR(VALUE(IF(Table2[[#This Row],[Player No]]="","",IFERROR(VLOOKUP(Table2[[#This Row],[Player No]],[4]Men!$Z$14:$AB$62,2,FALSE)&amp;"",""))),"")</f>
        <v/>
      </c>
      <c r="M890" s="887"/>
      <c r="N890" s="887"/>
      <c r="O890" s="882"/>
      <c r="P890" s="882"/>
      <c r="Q890" s="888"/>
      <c r="R890" s="888"/>
      <c r="S890" s="888"/>
      <c r="T890" s="888"/>
      <c r="U890" s="882"/>
      <c r="V890" s="887"/>
      <c r="W890" s="888"/>
      <c r="X890" s="888"/>
      <c r="Y890" s="888"/>
      <c r="Z890" s="882"/>
      <c r="AA890" s="882"/>
      <c r="AB890" s="882"/>
      <c r="AC890" s="882"/>
      <c r="AD890" s="882"/>
      <c r="AE890" s="882"/>
      <c r="AF890" s="882"/>
      <c r="AG890" s="882"/>
      <c r="AH890" s="882"/>
      <c r="AI890" s="882"/>
      <c r="AJ890" s="882"/>
      <c r="AK890" s="882"/>
    </row>
    <row r="891" spans="1:37" s="890" customFormat="1">
      <c r="A891" s="882"/>
      <c r="B891" s="891"/>
      <c r="C891" s="882"/>
      <c r="D891" s="883"/>
      <c r="E891" s="884"/>
      <c r="F891" s="885" t="str">
        <f>IFERROR(VLOOKUP(Table2[[#This Row],[Player No]],Table10[[No]:[Province]],3,0),"")</f>
        <v/>
      </c>
      <c r="G891" s="892">
        <v>0</v>
      </c>
      <c r="H891" s="886">
        <f>(Table2[[#This Row],[Points 2025]]/2)+SUM(Table2[[#This Row],[O1  ADMIN 2026]:[P2    CAPE TOWN OPEN 2026 ]])</f>
        <v>0</v>
      </c>
      <c r="I891" s="880">
        <f t="shared" si="75"/>
        <v>0</v>
      </c>
      <c r="J891" s="882">
        <f t="shared" si="76"/>
        <v>0</v>
      </c>
      <c r="K891" s="887" t="str">
        <f>IFERROR(VALUE(IF(Table2[[#This Row],[Player No]]="","",IFERROR(VLOOKUP(Table2[[#This Row],[Player No]],[3]Men!$D$2:$E$48,2,FALSE)&amp;"",""))),"")</f>
        <v/>
      </c>
      <c r="L891" s="887" t="str">
        <f>IFERROR(VALUE(IF(Table2[[#This Row],[Player No]]="","",IFERROR(VLOOKUP(Table2[[#This Row],[Player No]],[4]Men!$Z$14:$AB$62,2,FALSE)&amp;"",""))),"")</f>
        <v/>
      </c>
      <c r="M891" s="887"/>
      <c r="N891" s="887"/>
      <c r="O891" s="882"/>
      <c r="P891" s="882"/>
      <c r="Q891" s="888"/>
      <c r="R891" s="888"/>
      <c r="S891" s="888"/>
      <c r="T891" s="888"/>
      <c r="U891" s="882"/>
      <c r="V891" s="887"/>
      <c r="W891" s="888"/>
      <c r="X891" s="888"/>
      <c r="Y891" s="888"/>
      <c r="Z891" s="882"/>
      <c r="AA891" s="882"/>
      <c r="AB891" s="882"/>
      <c r="AC891" s="882"/>
      <c r="AD891" s="882"/>
      <c r="AE891" s="882"/>
      <c r="AF891" s="882"/>
      <c r="AG891" s="882"/>
      <c r="AH891" s="882"/>
      <c r="AI891" s="882"/>
      <c r="AJ891" s="882"/>
      <c r="AK891" s="882"/>
    </row>
    <row r="892" spans="1:37" s="890" customFormat="1">
      <c r="A892" s="882"/>
      <c r="B892" s="891"/>
      <c r="C892" s="882"/>
      <c r="D892" s="883"/>
      <c r="E892" s="884"/>
      <c r="F892" s="885" t="str">
        <f>IFERROR(VLOOKUP(Table2[[#This Row],[Player No]],Table10[[No]:[Province]],3,0),"")</f>
        <v/>
      </c>
      <c r="G892" s="892">
        <v>0</v>
      </c>
      <c r="H892" s="886">
        <f>(Table2[[#This Row],[Points 2025]]/2)+SUM(Table2[[#This Row],[O1  ADMIN 2026]:[P2    CAPE TOWN OPEN 2026 ]])</f>
        <v>0</v>
      </c>
      <c r="I892" s="880">
        <f t="shared" si="75"/>
        <v>0</v>
      </c>
      <c r="J892" s="882">
        <f t="shared" si="76"/>
        <v>0</v>
      </c>
      <c r="K892" s="887" t="str">
        <f>IFERROR(VALUE(IF(Table2[[#This Row],[Player No]]="","",IFERROR(VLOOKUP(Table2[[#This Row],[Player No]],[3]Men!$D$2:$E$48,2,FALSE)&amp;"",""))),"")</f>
        <v/>
      </c>
      <c r="L892" s="887" t="str">
        <f>IFERROR(VALUE(IF(Table2[[#This Row],[Player No]]="","",IFERROR(VLOOKUP(Table2[[#This Row],[Player No]],[4]Men!$Z$14:$AB$62,2,FALSE)&amp;"",""))),"")</f>
        <v/>
      </c>
      <c r="M892" s="887"/>
      <c r="N892" s="887"/>
      <c r="O892" s="882"/>
      <c r="P892" s="882"/>
      <c r="Q892" s="888"/>
      <c r="R892" s="888"/>
      <c r="S892" s="888"/>
      <c r="T892" s="888"/>
      <c r="U892" s="882"/>
      <c r="V892" s="887"/>
      <c r="W892" s="888"/>
      <c r="X892" s="888"/>
      <c r="Y892" s="888"/>
      <c r="Z892" s="882"/>
      <c r="AA892" s="882"/>
      <c r="AB892" s="882"/>
      <c r="AC892" s="882"/>
      <c r="AD892" s="882"/>
      <c r="AE892" s="882"/>
      <c r="AF892" s="882"/>
      <c r="AG892" s="882"/>
      <c r="AH892" s="882"/>
      <c r="AI892" s="882"/>
      <c r="AJ892" s="882"/>
      <c r="AK892" s="882"/>
    </row>
    <row r="893" spans="1:37" s="890" customFormat="1">
      <c r="A893" s="882"/>
      <c r="B893" s="891"/>
      <c r="C893" s="882"/>
      <c r="D893" s="883"/>
      <c r="E893" s="884"/>
      <c r="F893" s="885" t="str">
        <f>IFERROR(VLOOKUP(Table2[[#This Row],[Player No]],Table10[[No]:[Province]],3,0),"")</f>
        <v/>
      </c>
      <c r="G893" s="892">
        <v>0</v>
      </c>
      <c r="H893" s="886">
        <f>(Table2[[#This Row],[Points 2025]]/2)+SUM(Table2[[#This Row],[O1  ADMIN 2026]:[P2    CAPE TOWN OPEN 2026 ]])</f>
        <v>0</v>
      </c>
      <c r="I893" s="880">
        <f t="shared" si="75"/>
        <v>0</v>
      </c>
      <c r="J893" s="882">
        <f t="shared" si="76"/>
        <v>0</v>
      </c>
      <c r="K893" s="887" t="str">
        <f>IFERROR(VALUE(IF(Table2[[#This Row],[Player No]]="","",IFERROR(VLOOKUP(Table2[[#This Row],[Player No]],[3]Men!$D$2:$E$48,2,FALSE)&amp;"",""))),"")</f>
        <v/>
      </c>
      <c r="L893" s="887" t="str">
        <f>IFERROR(VALUE(IF(Table2[[#This Row],[Player No]]="","",IFERROR(VLOOKUP(Table2[[#This Row],[Player No]],[4]Men!$Z$14:$AB$62,2,FALSE)&amp;"",""))),"")</f>
        <v/>
      </c>
      <c r="M893" s="887"/>
      <c r="N893" s="887"/>
      <c r="O893" s="882"/>
      <c r="P893" s="882"/>
      <c r="Q893" s="888"/>
      <c r="R893" s="888"/>
      <c r="S893" s="888"/>
      <c r="T893" s="888"/>
      <c r="U893" s="882"/>
      <c r="V893" s="887"/>
      <c r="W893" s="888"/>
      <c r="X893" s="888"/>
      <c r="Y893" s="888"/>
      <c r="Z893" s="882"/>
      <c r="AA893" s="882"/>
      <c r="AB893" s="882"/>
      <c r="AC893" s="882"/>
      <c r="AD893" s="882"/>
      <c r="AE893" s="882"/>
      <c r="AF893" s="882"/>
      <c r="AG893" s="882"/>
      <c r="AH893" s="882"/>
      <c r="AI893" s="882"/>
      <c r="AJ893" s="882"/>
      <c r="AK893" s="882"/>
    </row>
    <row r="894" spans="1:37" s="890" customFormat="1">
      <c r="A894" s="882"/>
      <c r="B894" s="891"/>
      <c r="C894" s="882"/>
      <c r="D894" s="883"/>
      <c r="E894" s="884"/>
      <c r="F894" s="885" t="str">
        <f>IFERROR(VLOOKUP(Table2[[#This Row],[Player No]],Table10[[No]:[Province]],3,0),"")</f>
        <v/>
      </c>
      <c r="G894" s="892">
        <v>0</v>
      </c>
      <c r="H894" s="886">
        <f>(Table2[[#This Row],[Points 2025]]/2)+SUM(Table2[[#This Row],[O1  ADMIN 2026]:[P2    CAPE TOWN OPEN 2026 ]])</f>
        <v>0</v>
      </c>
      <c r="I894" s="880">
        <f t="shared" si="75"/>
        <v>0</v>
      </c>
      <c r="J894" s="882">
        <f t="shared" si="76"/>
        <v>0</v>
      </c>
      <c r="K894" s="887" t="str">
        <f>IFERROR(VALUE(IF(Table2[[#This Row],[Player No]]="","",IFERROR(VLOOKUP(Table2[[#This Row],[Player No]],[3]Men!$D$2:$E$48,2,FALSE)&amp;"",""))),"")</f>
        <v/>
      </c>
      <c r="L894" s="887" t="str">
        <f>IFERROR(VALUE(IF(Table2[[#This Row],[Player No]]="","",IFERROR(VLOOKUP(Table2[[#This Row],[Player No]],[4]Men!$Z$14:$AB$62,2,FALSE)&amp;"",""))),"")</f>
        <v/>
      </c>
      <c r="M894" s="887"/>
      <c r="N894" s="887"/>
      <c r="O894" s="882"/>
      <c r="P894" s="882"/>
      <c r="Q894" s="888"/>
      <c r="R894" s="888"/>
      <c r="S894" s="888"/>
      <c r="T894" s="888"/>
      <c r="U894" s="882"/>
      <c r="V894" s="887"/>
      <c r="W894" s="888"/>
      <c r="X894" s="888"/>
      <c r="Y894" s="888"/>
      <c r="Z894" s="882"/>
      <c r="AA894" s="882"/>
      <c r="AB894" s="882"/>
      <c r="AC894" s="882"/>
      <c r="AD894" s="882"/>
      <c r="AE894" s="882"/>
      <c r="AF894" s="882"/>
      <c r="AG894" s="882"/>
      <c r="AH894" s="882"/>
      <c r="AI894" s="882"/>
      <c r="AJ894" s="882"/>
      <c r="AK894" s="882"/>
    </row>
    <row r="895" spans="1:37" s="890" customFormat="1">
      <c r="A895" s="882"/>
      <c r="B895" s="891"/>
      <c r="C895" s="882"/>
      <c r="D895" s="883"/>
      <c r="E895" s="884"/>
      <c r="F895" s="885" t="str">
        <f>IFERROR(VLOOKUP(Table2[[#This Row],[Player No]],Table10[[No]:[Province]],3,0),"")</f>
        <v/>
      </c>
      <c r="G895" s="892">
        <v>0</v>
      </c>
      <c r="H895" s="886">
        <f>(Table2[[#This Row],[Points 2025]]/2)+SUM(Table2[[#This Row],[O1  ADMIN 2026]:[P2    CAPE TOWN OPEN 2026 ]])</f>
        <v>0</v>
      </c>
      <c r="I895" s="880">
        <f t="shared" si="75"/>
        <v>0</v>
      </c>
      <c r="J895" s="882">
        <f t="shared" si="76"/>
        <v>0</v>
      </c>
      <c r="K895" s="887" t="str">
        <f>IFERROR(VALUE(IF(Table2[[#This Row],[Player No]]="","",IFERROR(VLOOKUP(Table2[[#This Row],[Player No]],[3]Men!$D$2:$E$48,2,FALSE)&amp;"",""))),"")</f>
        <v/>
      </c>
      <c r="L895" s="887" t="str">
        <f>IFERROR(VALUE(IF(Table2[[#This Row],[Player No]]="","",IFERROR(VLOOKUP(Table2[[#This Row],[Player No]],[4]Men!$Z$14:$AB$62,2,FALSE)&amp;"",""))),"")</f>
        <v/>
      </c>
      <c r="M895" s="887"/>
      <c r="N895" s="887"/>
      <c r="O895" s="882"/>
      <c r="P895" s="882"/>
      <c r="Q895" s="888"/>
      <c r="R895" s="888"/>
      <c r="S895" s="888"/>
      <c r="T895" s="888"/>
      <c r="U895" s="882"/>
      <c r="V895" s="887"/>
      <c r="W895" s="888"/>
      <c r="X895" s="888"/>
      <c r="Y895" s="888"/>
      <c r="Z895" s="882"/>
      <c r="AA895" s="882"/>
      <c r="AB895" s="882"/>
      <c r="AC895" s="882"/>
      <c r="AD895" s="882"/>
      <c r="AE895" s="882"/>
      <c r="AF895" s="882"/>
      <c r="AG895" s="882"/>
      <c r="AH895" s="882"/>
      <c r="AI895" s="882"/>
      <c r="AJ895" s="882"/>
      <c r="AK895" s="882"/>
    </row>
    <row r="896" spans="1:37" s="890" customFormat="1">
      <c r="A896" s="882"/>
      <c r="B896" s="891"/>
      <c r="C896" s="882"/>
      <c r="D896" s="883"/>
      <c r="E896" s="884"/>
      <c r="F896" s="885" t="str">
        <f>IFERROR(VLOOKUP(Table2[[#This Row],[Player No]],Table10[[No]:[Province]],3,0),"")</f>
        <v/>
      </c>
      <c r="G896" s="892">
        <v>0</v>
      </c>
      <c r="H896" s="886">
        <f>(Table2[[#This Row],[Points 2025]]/2)+SUM(Table2[[#This Row],[O1  ADMIN 2026]:[P2    CAPE TOWN OPEN 2026 ]])</f>
        <v>0</v>
      </c>
      <c r="I896" s="880">
        <f t="shared" si="75"/>
        <v>0</v>
      </c>
      <c r="J896" s="882">
        <f t="shared" si="76"/>
        <v>0</v>
      </c>
      <c r="K896" s="887" t="str">
        <f>IFERROR(VALUE(IF(Table2[[#This Row],[Player No]]="","",IFERROR(VLOOKUP(Table2[[#This Row],[Player No]],[3]Men!$D$2:$E$48,2,FALSE)&amp;"",""))),"")</f>
        <v/>
      </c>
      <c r="L896" s="887" t="str">
        <f>IFERROR(VALUE(IF(Table2[[#This Row],[Player No]]="","",IFERROR(VLOOKUP(Table2[[#This Row],[Player No]],[4]Men!$Z$14:$AB$62,2,FALSE)&amp;"",""))),"")</f>
        <v/>
      </c>
      <c r="M896" s="887"/>
      <c r="N896" s="887"/>
      <c r="O896" s="882"/>
      <c r="P896" s="882"/>
      <c r="Q896" s="888"/>
      <c r="R896" s="888"/>
      <c r="S896" s="888"/>
      <c r="T896" s="888"/>
      <c r="U896" s="882"/>
      <c r="V896" s="887"/>
      <c r="W896" s="888"/>
      <c r="X896" s="888"/>
      <c r="Y896" s="888"/>
      <c r="Z896" s="882"/>
      <c r="AA896" s="882"/>
      <c r="AB896" s="882"/>
      <c r="AC896" s="882"/>
      <c r="AD896" s="882"/>
      <c r="AE896" s="882"/>
      <c r="AF896" s="882"/>
      <c r="AG896" s="882"/>
      <c r="AH896" s="882"/>
      <c r="AI896" s="882"/>
      <c r="AJ896" s="882"/>
      <c r="AK896" s="882"/>
    </row>
    <row r="897" spans="1:37" s="890" customFormat="1">
      <c r="A897" s="882"/>
      <c r="B897" s="891"/>
      <c r="C897" s="882"/>
      <c r="D897" s="883"/>
      <c r="E897" s="884"/>
      <c r="F897" s="885" t="str">
        <f>IFERROR(VLOOKUP(Table2[[#This Row],[Player No]],Table10[[No]:[Province]],3,0),"")</f>
        <v/>
      </c>
      <c r="G897" s="892">
        <v>0</v>
      </c>
      <c r="H897" s="886">
        <f>(Table2[[#This Row],[Points 2025]]/2)+SUM(Table2[[#This Row],[O1  ADMIN 2026]:[P2    CAPE TOWN OPEN 2026 ]])</f>
        <v>0</v>
      </c>
      <c r="I897" s="880">
        <f t="shared" si="75"/>
        <v>0</v>
      </c>
      <c r="J897" s="882">
        <f t="shared" si="76"/>
        <v>0</v>
      </c>
      <c r="K897" s="887" t="str">
        <f>IFERROR(VALUE(IF(Table2[[#This Row],[Player No]]="","",IFERROR(VLOOKUP(Table2[[#This Row],[Player No]],[3]Men!$D$2:$E$48,2,FALSE)&amp;"",""))),"")</f>
        <v/>
      </c>
      <c r="L897" s="887" t="str">
        <f>IFERROR(VALUE(IF(Table2[[#This Row],[Player No]]="","",IFERROR(VLOOKUP(Table2[[#This Row],[Player No]],[4]Men!$Z$14:$AB$62,2,FALSE)&amp;"",""))),"")</f>
        <v/>
      </c>
      <c r="M897" s="887"/>
      <c r="N897" s="887"/>
      <c r="O897" s="882"/>
      <c r="P897" s="882"/>
      <c r="Q897" s="888"/>
      <c r="R897" s="888"/>
      <c r="S897" s="888"/>
      <c r="T897" s="888"/>
      <c r="U897" s="882"/>
      <c r="V897" s="887"/>
      <c r="W897" s="888"/>
      <c r="X897" s="888"/>
      <c r="Y897" s="888"/>
      <c r="Z897" s="882"/>
      <c r="AA897" s="882"/>
      <c r="AB897" s="882"/>
      <c r="AC897" s="882"/>
      <c r="AD897" s="882"/>
      <c r="AE897" s="882"/>
      <c r="AF897" s="882"/>
      <c r="AG897" s="882"/>
      <c r="AH897" s="882"/>
      <c r="AI897" s="882"/>
      <c r="AJ897" s="882"/>
      <c r="AK897" s="882"/>
    </row>
    <row r="898" spans="1:37" s="890" customFormat="1">
      <c r="A898" s="882"/>
      <c r="B898" s="891"/>
      <c r="C898" s="882"/>
      <c r="D898" s="883"/>
      <c r="E898" s="884"/>
      <c r="F898" s="885" t="str">
        <f>IFERROR(VLOOKUP(Table2[[#This Row],[Player No]],Table10[[No]:[Province]],3,0),"")</f>
        <v/>
      </c>
      <c r="G898" s="892">
        <v>0</v>
      </c>
      <c r="H898" s="886">
        <f>(Table2[[#This Row],[Points 2025]]/2)+SUM(Table2[[#This Row],[O1  ADMIN 2026]:[P2    CAPE TOWN OPEN 2026 ]])</f>
        <v>0</v>
      </c>
      <c r="I898" s="880">
        <f t="shared" si="75"/>
        <v>0</v>
      </c>
      <c r="J898" s="882">
        <f t="shared" si="76"/>
        <v>0</v>
      </c>
      <c r="K898" s="887" t="str">
        <f>IFERROR(VALUE(IF(Table2[[#This Row],[Player No]]="","",IFERROR(VLOOKUP(Table2[[#This Row],[Player No]],[3]Men!$D$2:$E$48,2,FALSE)&amp;"",""))),"")</f>
        <v/>
      </c>
      <c r="L898" s="887" t="str">
        <f>IFERROR(VALUE(IF(Table2[[#This Row],[Player No]]="","",IFERROR(VLOOKUP(Table2[[#This Row],[Player No]],[4]Men!$Z$14:$AB$62,2,FALSE)&amp;"",""))),"")</f>
        <v/>
      </c>
      <c r="M898" s="887"/>
      <c r="N898" s="887"/>
      <c r="O898" s="882"/>
      <c r="P898" s="882"/>
      <c r="Q898" s="888"/>
      <c r="R898" s="888"/>
      <c r="S898" s="888"/>
      <c r="T898" s="888"/>
      <c r="U898" s="882"/>
      <c r="V898" s="887"/>
      <c r="W898" s="888"/>
      <c r="X898" s="888"/>
      <c r="Y898" s="888"/>
      <c r="Z898" s="882"/>
      <c r="AA898" s="882"/>
      <c r="AB898" s="882"/>
      <c r="AC898" s="882"/>
      <c r="AD898" s="882"/>
      <c r="AE898" s="882"/>
      <c r="AF898" s="882"/>
      <c r="AG898" s="882"/>
      <c r="AH898" s="882"/>
      <c r="AI898" s="882"/>
      <c r="AJ898" s="882"/>
      <c r="AK898" s="882"/>
    </row>
    <row r="899" spans="1:37" s="890" customFormat="1">
      <c r="A899" s="882"/>
      <c r="B899" s="891"/>
      <c r="C899" s="882"/>
      <c r="D899" s="883"/>
      <c r="E899" s="884"/>
      <c r="F899" s="885" t="str">
        <f>IFERROR(VLOOKUP(Table2[[#This Row],[Player No]],Table10[[No]:[Province]],3,0),"")</f>
        <v/>
      </c>
      <c r="G899" s="892">
        <v>0</v>
      </c>
      <c r="H899" s="886">
        <f>(Table2[[#This Row],[Points 2025]]/2)+SUM(Table2[[#This Row],[O1  ADMIN 2026]:[P2    CAPE TOWN OPEN 2026 ]])</f>
        <v>0</v>
      </c>
      <c r="I899" s="880">
        <f t="shared" si="75"/>
        <v>0</v>
      </c>
      <c r="J899" s="882">
        <f t="shared" si="76"/>
        <v>0</v>
      </c>
      <c r="K899" s="887" t="str">
        <f>IFERROR(VALUE(IF(Table2[[#This Row],[Player No]]="","",IFERROR(VLOOKUP(Table2[[#This Row],[Player No]],[3]Men!$D$2:$E$48,2,FALSE)&amp;"",""))),"")</f>
        <v/>
      </c>
      <c r="L899" s="887" t="str">
        <f>IFERROR(VALUE(IF(Table2[[#This Row],[Player No]]="","",IFERROR(VLOOKUP(Table2[[#This Row],[Player No]],[4]Men!$Z$14:$AB$62,2,FALSE)&amp;"",""))),"")</f>
        <v/>
      </c>
      <c r="M899" s="887"/>
      <c r="N899" s="887"/>
      <c r="O899" s="882"/>
      <c r="P899" s="882"/>
      <c r="Q899" s="888"/>
      <c r="R899" s="888"/>
      <c r="S899" s="888"/>
      <c r="T899" s="888"/>
      <c r="U899" s="882"/>
      <c r="V899" s="887"/>
      <c r="W899" s="888"/>
      <c r="X899" s="888"/>
      <c r="Y899" s="888"/>
      <c r="Z899" s="882"/>
      <c r="AA899" s="882"/>
      <c r="AB899" s="882"/>
      <c r="AC899" s="882"/>
      <c r="AD899" s="882"/>
      <c r="AE899" s="882"/>
      <c r="AF899" s="882"/>
      <c r="AG899" s="882"/>
      <c r="AH899" s="882"/>
      <c r="AI899" s="882"/>
      <c r="AJ899" s="882"/>
      <c r="AK899" s="882"/>
    </row>
    <row r="900" spans="1:37" s="890" customFormat="1">
      <c r="A900" s="882"/>
      <c r="B900" s="891"/>
      <c r="C900" s="882"/>
      <c r="D900" s="883"/>
      <c r="E900" s="884"/>
      <c r="F900" s="885" t="str">
        <f>IFERROR(VLOOKUP(Table2[[#This Row],[Player No]],Table10[[No]:[Province]],3,0),"")</f>
        <v/>
      </c>
      <c r="G900" s="892">
        <v>0</v>
      </c>
      <c r="H900" s="886">
        <f>(Table2[[#This Row],[Points 2025]]/2)+SUM(Table2[[#This Row],[O1  ADMIN 2026]:[P2    CAPE TOWN OPEN 2026 ]])</f>
        <v>0</v>
      </c>
      <c r="I900" s="880">
        <f t="shared" si="75"/>
        <v>0</v>
      </c>
      <c r="J900" s="882">
        <f t="shared" si="76"/>
        <v>0</v>
      </c>
      <c r="K900" s="887" t="str">
        <f>IFERROR(VALUE(IF(Table2[[#This Row],[Player No]]="","",IFERROR(VLOOKUP(Table2[[#This Row],[Player No]],[3]Men!$D$2:$E$48,2,FALSE)&amp;"",""))),"")</f>
        <v/>
      </c>
      <c r="L900" s="887" t="str">
        <f>IFERROR(VALUE(IF(Table2[[#This Row],[Player No]]="","",IFERROR(VLOOKUP(Table2[[#This Row],[Player No]],[4]Men!$Z$14:$AB$62,2,FALSE)&amp;"",""))),"")</f>
        <v/>
      </c>
      <c r="M900" s="887"/>
      <c r="N900" s="887"/>
      <c r="O900" s="882"/>
      <c r="P900" s="882"/>
      <c r="Q900" s="888"/>
      <c r="R900" s="888"/>
      <c r="S900" s="888"/>
      <c r="T900" s="888"/>
      <c r="U900" s="882"/>
      <c r="V900" s="887"/>
      <c r="W900" s="888"/>
      <c r="X900" s="888"/>
      <c r="Y900" s="888"/>
      <c r="Z900" s="882"/>
      <c r="AA900" s="882"/>
      <c r="AB900" s="882"/>
      <c r="AC900" s="882"/>
      <c r="AD900" s="882"/>
      <c r="AE900" s="882"/>
      <c r="AF900" s="882"/>
      <c r="AG900" s="882"/>
      <c r="AH900" s="882"/>
      <c r="AI900" s="882"/>
      <c r="AJ900" s="882"/>
      <c r="AK900" s="882"/>
    </row>
    <row r="901" spans="1:37" s="890" customFormat="1">
      <c r="A901" s="882"/>
      <c r="B901" s="891"/>
      <c r="C901" s="882"/>
      <c r="D901" s="883"/>
      <c r="E901" s="884"/>
      <c r="F901" s="885" t="str">
        <f>IFERROR(VLOOKUP(Table2[[#This Row],[Player No]],Table10[[No]:[Province]],3,0),"")</f>
        <v/>
      </c>
      <c r="G901" s="892">
        <v>0</v>
      </c>
      <c r="H901" s="886">
        <f>(Table2[[#This Row],[Points 2025]]/2)+SUM(Table2[[#This Row],[O1  ADMIN 2026]:[P2    CAPE TOWN OPEN 2026 ]])</f>
        <v>0</v>
      </c>
      <c r="I901" s="880">
        <f t="shared" ref="I901:I964" si="77">COUNTIF(K901:N901,"&gt;0")</f>
        <v>0</v>
      </c>
      <c r="J901" s="882">
        <f t="shared" si="76"/>
        <v>0</v>
      </c>
      <c r="K901" s="887" t="str">
        <f>IFERROR(VALUE(IF(Table2[[#This Row],[Player No]]="","",IFERROR(VLOOKUP(Table2[[#This Row],[Player No]],[3]Men!$D$2:$E$48,2,FALSE)&amp;"",""))),"")</f>
        <v/>
      </c>
      <c r="L901" s="887" t="str">
        <f>IFERROR(VALUE(IF(Table2[[#This Row],[Player No]]="","",IFERROR(VLOOKUP(Table2[[#This Row],[Player No]],[4]Men!$Z$14:$AB$62,2,FALSE)&amp;"",""))),"")</f>
        <v/>
      </c>
      <c r="M901" s="887"/>
      <c r="N901" s="887"/>
      <c r="O901" s="882"/>
      <c r="P901" s="882"/>
      <c r="Q901" s="888"/>
      <c r="R901" s="888"/>
      <c r="S901" s="888"/>
      <c r="T901" s="888"/>
      <c r="U901" s="882"/>
      <c r="V901" s="887"/>
      <c r="W901" s="888"/>
      <c r="X901" s="888"/>
      <c r="Y901" s="888"/>
      <c r="Z901" s="882"/>
      <c r="AA901" s="882"/>
      <c r="AB901" s="882"/>
      <c r="AC901" s="882"/>
      <c r="AD901" s="882"/>
      <c r="AE901" s="882"/>
      <c r="AF901" s="882"/>
      <c r="AG901" s="882"/>
      <c r="AH901" s="882"/>
      <c r="AI901" s="882"/>
      <c r="AJ901" s="882"/>
      <c r="AK901" s="882"/>
    </row>
    <row r="902" spans="1:37" s="890" customFormat="1">
      <c r="A902" s="882"/>
      <c r="B902" s="891"/>
      <c r="C902" s="882"/>
      <c r="D902" s="883"/>
      <c r="E902" s="884"/>
      <c r="F902" s="885" t="str">
        <f>IFERROR(VLOOKUP(Table2[[#This Row],[Player No]],Table10[[No]:[Province]],3,0),"")</f>
        <v/>
      </c>
      <c r="G902" s="892">
        <v>0</v>
      </c>
      <c r="H902" s="886">
        <f>(Table2[[#This Row],[Points 2025]]/2)+SUM(Table2[[#This Row],[O1  ADMIN 2026]:[P2    CAPE TOWN OPEN 2026 ]])</f>
        <v>0</v>
      </c>
      <c r="I902" s="880">
        <f t="shared" si="77"/>
        <v>0</v>
      </c>
      <c r="J902" s="882">
        <f t="shared" si="76"/>
        <v>0</v>
      </c>
      <c r="K902" s="887" t="str">
        <f>IFERROR(VALUE(IF(Table2[[#This Row],[Player No]]="","",IFERROR(VLOOKUP(Table2[[#This Row],[Player No]],[3]Men!$D$2:$E$48,2,FALSE)&amp;"",""))),"")</f>
        <v/>
      </c>
      <c r="L902" s="887" t="str">
        <f>IFERROR(VALUE(IF(Table2[[#This Row],[Player No]]="","",IFERROR(VLOOKUP(Table2[[#This Row],[Player No]],[4]Men!$Z$14:$AB$62,2,FALSE)&amp;"",""))),"")</f>
        <v/>
      </c>
      <c r="M902" s="887"/>
      <c r="N902" s="887"/>
      <c r="O902" s="882"/>
      <c r="P902" s="882"/>
      <c r="Q902" s="888"/>
      <c r="R902" s="888"/>
      <c r="S902" s="888"/>
      <c r="T902" s="888"/>
      <c r="U902" s="882"/>
      <c r="V902" s="887"/>
      <c r="W902" s="888"/>
      <c r="X902" s="888"/>
      <c r="Y902" s="888"/>
      <c r="Z902" s="882"/>
      <c r="AA902" s="882"/>
      <c r="AB902" s="882"/>
      <c r="AC902" s="882"/>
      <c r="AD902" s="882"/>
      <c r="AE902" s="882"/>
      <c r="AF902" s="882"/>
      <c r="AG902" s="882"/>
      <c r="AH902" s="882"/>
      <c r="AI902" s="882"/>
      <c r="AJ902" s="882"/>
      <c r="AK902" s="882"/>
    </row>
    <row r="903" spans="1:37" s="890" customFormat="1">
      <c r="A903" s="882"/>
      <c r="B903" s="891"/>
      <c r="C903" s="882"/>
      <c r="D903" s="883"/>
      <c r="E903" s="884"/>
      <c r="F903" s="885" t="str">
        <f>IFERROR(VLOOKUP(Table2[[#This Row],[Player No]],Table10[[No]:[Province]],3,0),"")</f>
        <v/>
      </c>
      <c r="G903" s="892">
        <v>0</v>
      </c>
      <c r="H903" s="886">
        <f>(Table2[[#This Row],[Points 2025]]/2)+SUM(Table2[[#This Row],[O1  ADMIN 2026]:[P2    CAPE TOWN OPEN 2026 ]])</f>
        <v>0</v>
      </c>
      <c r="I903" s="880">
        <f t="shared" si="77"/>
        <v>0</v>
      </c>
      <c r="J903" s="882">
        <f t="shared" si="76"/>
        <v>0</v>
      </c>
      <c r="K903" s="887" t="str">
        <f>IFERROR(VALUE(IF(Table2[[#This Row],[Player No]]="","",IFERROR(VLOOKUP(Table2[[#This Row],[Player No]],[3]Men!$D$2:$E$48,2,FALSE)&amp;"",""))),"")</f>
        <v/>
      </c>
      <c r="L903" s="887" t="str">
        <f>IFERROR(VALUE(IF(Table2[[#This Row],[Player No]]="","",IFERROR(VLOOKUP(Table2[[#This Row],[Player No]],[4]Men!$Z$14:$AB$62,2,FALSE)&amp;"",""))),"")</f>
        <v/>
      </c>
      <c r="M903" s="887"/>
      <c r="N903" s="887"/>
      <c r="O903" s="882"/>
      <c r="P903" s="882"/>
      <c r="Q903" s="888"/>
      <c r="R903" s="888"/>
      <c r="S903" s="888"/>
      <c r="T903" s="888"/>
      <c r="U903" s="882"/>
      <c r="V903" s="887"/>
      <c r="W903" s="888"/>
      <c r="X903" s="888"/>
      <c r="Y903" s="888"/>
      <c r="Z903" s="882"/>
      <c r="AA903" s="882"/>
      <c r="AB903" s="882"/>
      <c r="AC903" s="882"/>
      <c r="AD903" s="882"/>
      <c r="AE903" s="882"/>
      <c r="AF903" s="882"/>
      <c r="AG903" s="882"/>
      <c r="AH903" s="882"/>
      <c r="AI903" s="882"/>
      <c r="AJ903" s="882"/>
      <c r="AK903" s="882"/>
    </row>
    <row r="904" spans="1:37" s="890" customFormat="1">
      <c r="A904" s="882"/>
      <c r="B904" s="891"/>
      <c r="C904" s="882"/>
      <c r="D904" s="883"/>
      <c r="E904" s="884"/>
      <c r="F904" s="885" t="str">
        <f>IFERROR(VLOOKUP(Table2[[#This Row],[Player No]],Table10[[No]:[Province]],3,0),"")</f>
        <v/>
      </c>
      <c r="G904" s="892">
        <v>0</v>
      </c>
      <c r="H904" s="886">
        <f>(Table2[[#This Row],[Points 2025]]/2)+SUM(Table2[[#This Row],[O1  ADMIN 2026]:[P2    CAPE TOWN OPEN 2026 ]])</f>
        <v>0</v>
      </c>
      <c r="I904" s="880">
        <f t="shared" si="77"/>
        <v>0</v>
      </c>
      <c r="J904" s="882">
        <f t="shared" si="76"/>
        <v>0</v>
      </c>
      <c r="K904" s="887" t="str">
        <f>IFERROR(VALUE(IF(Table2[[#This Row],[Player No]]="","",IFERROR(VLOOKUP(Table2[[#This Row],[Player No]],[3]Men!$D$2:$E$48,2,FALSE)&amp;"",""))),"")</f>
        <v/>
      </c>
      <c r="L904" s="887" t="str">
        <f>IFERROR(VALUE(IF(Table2[[#This Row],[Player No]]="","",IFERROR(VLOOKUP(Table2[[#This Row],[Player No]],[4]Men!$Z$14:$AB$62,2,FALSE)&amp;"",""))),"")</f>
        <v/>
      </c>
      <c r="M904" s="887"/>
      <c r="N904" s="887"/>
      <c r="O904" s="882"/>
      <c r="P904" s="882"/>
      <c r="Q904" s="888"/>
      <c r="R904" s="888"/>
      <c r="S904" s="888"/>
      <c r="T904" s="888"/>
      <c r="U904" s="882"/>
      <c r="V904" s="887"/>
      <c r="W904" s="888"/>
      <c r="X904" s="888"/>
      <c r="Y904" s="888"/>
      <c r="Z904" s="882"/>
      <c r="AA904" s="882"/>
      <c r="AB904" s="882"/>
      <c r="AC904" s="882"/>
      <c r="AD904" s="882"/>
      <c r="AE904" s="882"/>
      <c r="AF904" s="882"/>
      <c r="AG904" s="882"/>
      <c r="AH904" s="882"/>
      <c r="AI904" s="882"/>
      <c r="AJ904" s="882"/>
      <c r="AK904" s="882"/>
    </row>
    <row r="905" spans="1:37" s="890" customFormat="1">
      <c r="A905" s="882"/>
      <c r="B905" s="891"/>
      <c r="C905" s="882"/>
      <c r="D905" s="883"/>
      <c r="E905" s="884"/>
      <c r="F905" s="885" t="str">
        <f>IFERROR(VLOOKUP(Table2[[#This Row],[Player No]],Table10[[No]:[Province]],3,0),"")</f>
        <v/>
      </c>
      <c r="G905" s="892">
        <v>0</v>
      </c>
      <c r="H905" s="886">
        <f>(Table2[[#This Row],[Points 2025]]/2)+SUM(Table2[[#This Row],[O1  ADMIN 2026]:[P2    CAPE TOWN OPEN 2026 ]])</f>
        <v>0</v>
      </c>
      <c r="I905" s="880">
        <f t="shared" si="77"/>
        <v>0</v>
      </c>
      <c r="J905" s="882">
        <f t="shared" si="76"/>
        <v>0</v>
      </c>
      <c r="K905" s="887" t="str">
        <f>IFERROR(VALUE(IF(Table2[[#This Row],[Player No]]="","",IFERROR(VLOOKUP(Table2[[#This Row],[Player No]],[3]Men!$D$2:$E$48,2,FALSE)&amp;"",""))),"")</f>
        <v/>
      </c>
      <c r="L905" s="887" t="str">
        <f>IFERROR(VALUE(IF(Table2[[#This Row],[Player No]]="","",IFERROR(VLOOKUP(Table2[[#This Row],[Player No]],[4]Men!$Z$14:$AB$62,2,FALSE)&amp;"",""))),"")</f>
        <v/>
      </c>
      <c r="M905" s="887"/>
      <c r="N905" s="887"/>
      <c r="O905" s="882"/>
      <c r="P905" s="882"/>
      <c r="Q905" s="888"/>
      <c r="R905" s="888"/>
      <c r="S905" s="888"/>
      <c r="T905" s="888"/>
      <c r="U905" s="882"/>
      <c r="V905" s="887"/>
      <c r="W905" s="888"/>
      <c r="X905" s="888"/>
      <c r="Y905" s="888"/>
      <c r="Z905" s="882"/>
      <c r="AA905" s="882"/>
      <c r="AB905" s="882"/>
      <c r="AC905" s="882"/>
      <c r="AD905" s="882"/>
      <c r="AE905" s="882"/>
      <c r="AF905" s="882"/>
      <c r="AG905" s="882"/>
      <c r="AH905" s="882"/>
      <c r="AI905" s="882"/>
      <c r="AJ905" s="882"/>
      <c r="AK905" s="882"/>
    </row>
    <row r="906" spans="1:37" s="890" customFormat="1">
      <c r="A906" s="882"/>
      <c r="B906" s="891"/>
      <c r="C906" s="882"/>
      <c r="D906" s="883"/>
      <c r="E906" s="884"/>
      <c r="F906" s="885" t="str">
        <f>IFERROR(VLOOKUP(Table2[[#This Row],[Player No]],Table10[[No]:[Province]],3,0),"")</f>
        <v/>
      </c>
      <c r="G906" s="892">
        <v>0</v>
      </c>
      <c r="H906" s="886">
        <f>(Table2[[#This Row],[Points 2025]]/2)+SUM(Table2[[#This Row],[O1  ADMIN 2026]:[P2    CAPE TOWN OPEN 2026 ]])</f>
        <v>0</v>
      </c>
      <c r="I906" s="880">
        <f t="shared" si="77"/>
        <v>0</v>
      </c>
      <c r="J906" s="882">
        <f t="shared" si="76"/>
        <v>0</v>
      </c>
      <c r="K906" s="887" t="str">
        <f>IFERROR(VALUE(IF(Table2[[#This Row],[Player No]]="","",IFERROR(VLOOKUP(Table2[[#This Row],[Player No]],[3]Men!$D$2:$E$48,2,FALSE)&amp;"",""))),"")</f>
        <v/>
      </c>
      <c r="L906" s="887" t="str">
        <f>IFERROR(VALUE(IF(Table2[[#This Row],[Player No]]="","",IFERROR(VLOOKUP(Table2[[#This Row],[Player No]],[4]Men!$Z$14:$AB$62,2,FALSE)&amp;"",""))),"")</f>
        <v/>
      </c>
      <c r="M906" s="887"/>
      <c r="N906" s="887"/>
      <c r="O906" s="882"/>
      <c r="P906" s="882"/>
      <c r="Q906" s="888"/>
      <c r="R906" s="888"/>
      <c r="S906" s="888"/>
      <c r="T906" s="888"/>
      <c r="U906" s="882"/>
      <c r="V906" s="887"/>
      <c r="W906" s="888"/>
      <c r="X906" s="888"/>
      <c r="Y906" s="888"/>
      <c r="Z906" s="882"/>
      <c r="AA906" s="882"/>
      <c r="AB906" s="882"/>
      <c r="AC906" s="882"/>
      <c r="AD906" s="882"/>
      <c r="AE906" s="882"/>
      <c r="AF906" s="882"/>
      <c r="AG906" s="882"/>
      <c r="AH906" s="882"/>
      <c r="AI906" s="882"/>
      <c r="AJ906" s="882"/>
      <c r="AK906" s="882"/>
    </row>
    <row r="907" spans="1:37" s="890" customFormat="1">
      <c r="A907" s="882"/>
      <c r="B907" s="891"/>
      <c r="C907" s="882"/>
      <c r="D907" s="883"/>
      <c r="E907" s="884"/>
      <c r="F907" s="885" t="str">
        <f>IFERROR(VLOOKUP(Table2[[#This Row],[Player No]],Table10[[No]:[Province]],3,0),"")</f>
        <v/>
      </c>
      <c r="G907" s="892">
        <v>0</v>
      </c>
      <c r="H907" s="886">
        <f>(Table2[[#This Row],[Points 2025]]/2)+SUM(Table2[[#This Row],[O1  ADMIN 2026]:[P2    CAPE TOWN OPEN 2026 ]])</f>
        <v>0</v>
      </c>
      <c r="I907" s="880">
        <f t="shared" si="77"/>
        <v>0</v>
      </c>
      <c r="J907" s="882">
        <f t="shared" si="76"/>
        <v>0</v>
      </c>
      <c r="K907" s="887" t="str">
        <f>IFERROR(VALUE(IF(Table2[[#This Row],[Player No]]="","",IFERROR(VLOOKUP(Table2[[#This Row],[Player No]],[3]Men!$D$2:$E$48,2,FALSE)&amp;"",""))),"")</f>
        <v/>
      </c>
      <c r="L907" s="887" t="str">
        <f>IFERROR(VALUE(IF(Table2[[#This Row],[Player No]]="","",IFERROR(VLOOKUP(Table2[[#This Row],[Player No]],[4]Men!$Z$14:$AB$62,2,FALSE)&amp;"",""))),"")</f>
        <v/>
      </c>
      <c r="M907" s="887"/>
      <c r="N907" s="887"/>
      <c r="O907" s="882"/>
      <c r="P907" s="882"/>
      <c r="Q907" s="888"/>
      <c r="R907" s="888"/>
      <c r="S907" s="888"/>
      <c r="T907" s="888"/>
      <c r="U907" s="882"/>
      <c r="V907" s="887"/>
      <c r="W907" s="888"/>
      <c r="X907" s="888"/>
      <c r="Y907" s="888"/>
      <c r="Z907" s="882"/>
      <c r="AA907" s="882"/>
      <c r="AB907" s="882"/>
      <c r="AC907" s="882"/>
      <c r="AD907" s="882"/>
      <c r="AE907" s="882"/>
      <c r="AF907" s="882"/>
      <c r="AG907" s="882"/>
      <c r="AH907" s="882"/>
      <c r="AI907" s="882"/>
      <c r="AJ907" s="882"/>
      <c r="AK907" s="882"/>
    </row>
    <row r="908" spans="1:37" s="890" customFormat="1">
      <c r="A908" s="882"/>
      <c r="B908" s="891"/>
      <c r="C908" s="882"/>
      <c r="D908" s="883"/>
      <c r="E908" s="884"/>
      <c r="F908" s="885" t="str">
        <f>IFERROR(VLOOKUP(Table2[[#This Row],[Player No]],Table10[[No]:[Province]],3,0),"")</f>
        <v/>
      </c>
      <c r="G908" s="892">
        <v>0</v>
      </c>
      <c r="H908" s="886">
        <f>(Table2[[#This Row],[Points 2025]]/2)+SUM(Table2[[#This Row],[O1  ADMIN 2026]:[P2    CAPE TOWN OPEN 2026 ]])</f>
        <v>0</v>
      </c>
      <c r="I908" s="880">
        <f t="shared" si="77"/>
        <v>0</v>
      </c>
      <c r="J908" s="882">
        <f t="shared" si="76"/>
        <v>0</v>
      </c>
      <c r="K908" s="887" t="str">
        <f>IFERROR(VALUE(IF(Table2[[#This Row],[Player No]]="","",IFERROR(VLOOKUP(Table2[[#This Row],[Player No]],[3]Men!$D$2:$E$48,2,FALSE)&amp;"",""))),"")</f>
        <v/>
      </c>
      <c r="L908" s="887" t="str">
        <f>IFERROR(VALUE(IF(Table2[[#This Row],[Player No]]="","",IFERROR(VLOOKUP(Table2[[#This Row],[Player No]],[4]Men!$Z$14:$AB$62,2,FALSE)&amp;"",""))),"")</f>
        <v/>
      </c>
      <c r="M908" s="887"/>
      <c r="N908" s="887"/>
      <c r="O908" s="882"/>
      <c r="P908" s="882"/>
      <c r="Q908" s="888"/>
      <c r="R908" s="888"/>
      <c r="S908" s="888"/>
      <c r="T908" s="888"/>
      <c r="U908" s="882"/>
      <c r="V908" s="887"/>
      <c r="W908" s="888"/>
      <c r="X908" s="888"/>
      <c r="Y908" s="888"/>
      <c r="Z908" s="882"/>
      <c r="AA908" s="882"/>
      <c r="AB908" s="882"/>
      <c r="AC908" s="882"/>
      <c r="AD908" s="882"/>
      <c r="AE908" s="882"/>
      <c r="AF908" s="882"/>
      <c r="AG908" s="882"/>
      <c r="AH908" s="882"/>
      <c r="AI908" s="882"/>
      <c r="AJ908" s="882"/>
      <c r="AK908" s="882"/>
    </row>
    <row r="909" spans="1:37" s="890" customFormat="1">
      <c r="A909" s="882"/>
      <c r="B909" s="891"/>
      <c r="C909" s="882"/>
      <c r="D909" s="883"/>
      <c r="E909" s="884"/>
      <c r="F909" s="885" t="str">
        <f>IFERROR(VLOOKUP(Table2[[#This Row],[Player No]],Table10[[No]:[Province]],3,0),"")</f>
        <v/>
      </c>
      <c r="G909" s="892">
        <v>0</v>
      </c>
      <c r="H909" s="886">
        <f>(Table2[[#This Row],[Points 2025]]/2)+SUM(Table2[[#This Row],[O1  ADMIN 2026]:[P2    CAPE TOWN OPEN 2026 ]])</f>
        <v>0</v>
      </c>
      <c r="I909" s="880">
        <f t="shared" si="77"/>
        <v>0</v>
      </c>
      <c r="J909" s="882">
        <f t="shared" si="76"/>
        <v>0</v>
      </c>
      <c r="K909" s="887" t="str">
        <f>IFERROR(VALUE(IF(Table2[[#This Row],[Player No]]="","",IFERROR(VLOOKUP(Table2[[#This Row],[Player No]],[3]Men!$D$2:$E$48,2,FALSE)&amp;"",""))),"")</f>
        <v/>
      </c>
      <c r="L909" s="887" t="str">
        <f>IFERROR(VALUE(IF(Table2[[#This Row],[Player No]]="","",IFERROR(VLOOKUP(Table2[[#This Row],[Player No]],[4]Men!$Z$14:$AB$62,2,FALSE)&amp;"",""))),"")</f>
        <v/>
      </c>
      <c r="M909" s="887"/>
      <c r="N909" s="887"/>
      <c r="O909" s="882"/>
      <c r="P909" s="882"/>
      <c r="Q909" s="888"/>
      <c r="R909" s="888"/>
      <c r="S909" s="888"/>
      <c r="T909" s="888"/>
      <c r="U909" s="882"/>
      <c r="V909" s="887"/>
      <c r="W909" s="888"/>
      <c r="X909" s="888"/>
      <c r="Y909" s="888"/>
      <c r="Z909" s="882"/>
      <c r="AA909" s="882"/>
      <c r="AB909" s="882"/>
      <c r="AC909" s="882"/>
      <c r="AD909" s="882"/>
      <c r="AE909" s="882"/>
      <c r="AF909" s="882"/>
      <c r="AG909" s="882"/>
      <c r="AH909" s="882"/>
      <c r="AI909" s="882"/>
      <c r="AJ909" s="882"/>
      <c r="AK909" s="882"/>
    </row>
    <row r="910" spans="1:37" s="890" customFormat="1">
      <c r="A910" s="882"/>
      <c r="B910" s="891"/>
      <c r="C910" s="882"/>
      <c r="D910" s="883"/>
      <c r="E910" s="884"/>
      <c r="F910" s="885" t="str">
        <f>IFERROR(VLOOKUP(Table2[[#This Row],[Player No]],Table10[[No]:[Province]],3,0),"")</f>
        <v/>
      </c>
      <c r="G910" s="892">
        <v>0</v>
      </c>
      <c r="H910" s="886">
        <f>(Table2[[#This Row],[Points 2025]]/2)+SUM(Table2[[#This Row],[O1  ADMIN 2026]:[P2    CAPE TOWN OPEN 2026 ]])</f>
        <v>0</v>
      </c>
      <c r="I910" s="880">
        <f t="shared" si="77"/>
        <v>0</v>
      </c>
      <c r="J910" s="882">
        <f t="shared" si="76"/>
        <v>0</v>
      </c>
      <c r="K910" s="887" t="str">
        <f>IFERROR(VALUE(IF(Table2[[#This Row],[Player No]]="","",IFERROR(VLOOKUP(Table2[[#This Row],[Player No]],[3]Men!$D$2:$E$48,2,FALSE)&amp;"",""))),"")</f>
        <v/>
      </c>
      <c r="L910" s="887" t="str">
        <f>IFERROR(VALUE(IF(Table2[[#This Row],[Player No]]="","",IFERROR(VLOOKUP(Table2[[#This Row],[Player No]],[4]Men!$Z$14:$AB$62,2,FALSE)&amp;"",""))),"")</f>
        <v/>
      </c>
      <c r="M910" s="887"/>
      <c r="N910" s="887"/>
      <c r="O910" s="882"/>
      <c r="P910" s="882"/>
      <c r="Q910" s="888"/>
      <c r="R910" s="888"/>
      <c r="S910" s="888"/>
      <c r="T910" s="888"/>
      <c r="U910" s="882"/>
      <c r="V910" s="887"/>
      <c r="W910" s="888"/>
      <c r="X910" s="888"/>
      <c r="Y910" s="888"/>
      <c r="Z910" s="882"/>
      <c r="AA910" s="882"/>
      <c r="AB910" s="882"/>
      <c r="AC910" s="882"/>
      <c r="AD910" s="882"/>
      <c r="AE910" s="882"/>
      <c r="AF910" s="882"/>
      <c r="AG910" s="882"/>
      <c r="AH910" s="882"/>
      <c r="AI910" s="882"/>
      <c r="AJ910" s="882"/>
      <c r="AK910" s="882"/>
    </row>
    <row r="911" spans="1:37" s="890" customFormat="1">
      <c r="A911" s="882"/>
      <c r="B911" s="891"/>
      <c r="C911" s="882"/>
      <c r="D911" s="883"/>
      <c r="E911" s="884"/>
      <c r="F911" s="885" t="str">
        <f>IFERROR(VLOOKUP(Table2[[#This Row],[Player No]],Table10[[No]:[Province]],3,0),"")</f>
        <v/>
      </c>
      <c r="G911" s="892">
        <v>0</v>
      </c>
      <c r="H911" s="886">
        <f>(Table2[[#This Row],[Points 2025]]/2)+SUM(Table2[[#This Row],[O1  ADMIN 2026]:[P2    CAPE TOWN OPEN 2026 ]])</f>
        <v>0</v>
      </c>
      <c r="I911" s="880">
        <f t="shared" si="77"/>
        <v>0</v>
      </c>
      <c r="J911" s="882">
        <f t="shared" si="76"/>
        <v>0</v>
      </c>
      <c r="K911" s="887" t="str">
        <f>IFERROR(VALUE(IF(Table2[[#This Row],[Player No]]="","",IFERROR(VLOOKUP(Table2[[#This Row],[Player No]],[3]Men!$D$2:$E$48,2,FALSE)&amp;"",""))),"")</f>
        <v/>
      </c>
      <c r="L911" s="887" t="str">
        <f>IFERROR(VALUE(IF(Table2[[#This Row],[Player No]]="","",IFERROR(VLOOKUP(Table2[[#This Row],[Player No]],[4]Men!$Z$14:$AB$62,2,FALSE)&amp;"",""))),"")</f>
        <v/>
      </c>
      <c r="M911" s="887"/>
      <c r="N911" s="887"/>
      <c r="O911" s="882"/>
      <c r="P911" s="882"/>
      <c r="Q911" s="888"/>
      <c r="R911" s="888"/>
      <c r="S911" s="888"/>
      <c r="T911" s="888"/>
      <c r="U911" s="882"/>
      <c r="V911" s="887"/>
      <c r="W911" s="888"/>
      <c r="X911" s="888"/>
      <c r="Y911" s="888"/>
      <c r="Z911" s="882"/>
      <c r="AA911" s="882"/>
      <c r="AB911" s="882"/>
      <c r="AC911" s="882"/>
      <c r="AD911" s="882"/>
      <c r="AE911" s="882"/>
      <c r="AF911" s="882"/>
      <c r="AG911" s="882"/>
      <c r="AH911" s="882"/>
      <c r="AI911" s="882"/>
      <c r="AJ911" s="882"/>
      <c r="AK911" s="882"/>
    </row>
    <row r="912" spans="1:37" s="890" customFormat="1">
      <c r="A912" s="882"/>
      <c r="B912" s="891"/>
      <c r="C912" s="882"/>
      <c r="D912" s="883"/>
      <c r="E912" s="884"/>
      <c r="F912" s="885" t="str">
        <f>IFERROR(VLOOKUP(Table2[[#This Row],[Player No]],Table10[[No]:[Province]],3,0),"")</f>
        <v/>
      </c>
      <c r="G912" s="892">
        <v>0</v>
      </c>
      <c r="H912" s="886">
        <f>(Table2[[#This Row],[Points 2025]]/2)+SUM(Table2[[#This Row],[O1  ADMIN 2026]:[P2    CAPE TOWN OPEN 2026 ]])</f>
        <v>0</v>
      </c>
      <c r="I912" s="880">
        <f t="shared" si="77"/>
        <v>0</v>
      </c>
      <c r="J912" s="882">
        <f t="shared" si="76"/>
        <v>0</v>
      </c>
      <c r="K912" s="887" t="str">
        <f>IFERROR(VALUE(IF(Table2[[#This Row],[Player No]]="","",IFERROR(VLOOKUP(Table2[[#This Row],[Player No]],[3]Men!$D$2:$E$48,2,FALSE)&amp;"",""))),"")</f>
        <v/>
      </c>
      <c r="L912" s="887" t="str">
        <f>IFERROR(VALUE(IF(Table2[[#This Row],[Player No]]="","",IFERROR(VLOOKUP(Table2[[#This Row],[Player No]],[4]Men!$Z$14:$AB$62,2,FALSE)&amp;"",""))),"")</f>
        <v/>
      </c>
      <c r="M912" s="887"/>
      <c r="N912" s="887"/>
      <c r="O912" s="882"/>
      <c r="P912" s="882"/>
      <c r="Q912" s="888"/>
      <c r="R912" s="888"/>
      <c r="S912" s="888"/>
      <c r="T912" s="888"/>
      <c r="U912" s="882"/>
      <c r="V912" s="887"/>
      <c r="W912" s="888"/>
      <c r="X912" s="888"/>
      <c r="Y912" s="888"/>
      <c r="Z912" s="882"/>
      <c r="AA912" s="882"/>
      <c r="AB912" s="882"/>
      <c r="AC912" s="882"/>
      <c r="AD912" s="882"/>
      <c r="AE912" s="882"/>
      <c r="AF912" s="882"/>
      <c r="AG912" s="882"/>
      <c r="AH912" s="882"/>
      <c r="AI912" s="882"/>
      <c r="AJ912" s="882"/>
      <c r="AK912" s="882"/>
    </row>
    <row r="913" spans="1:37" s="890" customFormat="1">
      <c r="A913" s="882"/>
      <c r="B913" s="891"/>
      <c r="C913" s="882"/>
      <c r="D913" s="883"/>
      <c r="E913" s="884"/>
      <c r="F913" s="885" t="str">
        <f>IFERROR(VLOOKUP(Table2[[#This Row],[Player No]],Table10[[No]:[Province]],3,0),"")</f>
        <v/>
      </c>
      <c r="G913" s="892">
        <v>0</v>
      </c>
      <c r="H913" s="886">
        <f>(Table2[[#This Row],[Points 2025]]/2)+SUM(Table2[[#This Row],[O1  ADMIN 2026]:[P2    CAPE TOWN OPEN 2026 ]])</f>
        <v>0</v>
      </c>
      <c r="I913" s="880">
        <f t="shared" si="77"/>
        <v>0</v>
      </c>
      <c r="J913" s="882">
        <f t="shared" ref="J913:J976" si="78">COUNTIF(O913:AK913,"&lt;0")</f>
        <v>0</v>
      </c>
      <c r="K913" s="887" t="str">
        <f>IFERROR(VALUE(IF(Table2[[#This Row],[Player No]]="","",IFERROR(VLOOKUP(Table2[[#This Row],[Player No]],[3]Men!$D$2:$E$48,2,FALSE)&amp;"",""))),"")</f>
        <v/>
      </c>
      <c r="L913" s="887" t="str">
        <f>IFERROR(VALUE(IF(Table2[[#This Row],[Player No]]="","",IFERROR(VLOOKUP(Table2[[#This Row],[Player No]],[4]Men!$Z$14:$AB$62,2,FALSE)&amp;"",""))),"")</f>
        <v/>
      </c>
      <c r="M913" s="887"/>
      <c r="N913" s="887"/>
      <c r="O913" s="882"/>
      <c r="P913" s="882"/>
      <c r="Q913" s="888"/>
      <c r="R913" s="888"/>
      <c r="S913" s="888"/>
      <c r="T913" s="888"/>
      <c r="U913" s="882"/>
      <c r="V913" s="887"/>
      <c r="W913" s="888"/>
      <c r="X913" s="888"/>
      <c r="Y913" s="888"/>
      <c r="Z913" s="882"/>
      <c r="AA913" s="882"/>
      <c r="AB913" s="882"/>
      <c r="AC913" s="882"/>
      <c r="AD913" s="882"/>
      <c r="AE913" s="882"/>
      <c r="AF913" s="882"/>
      <c r="AG913" s="882"/>
      <c r="AH913" s="882"/>
      <c r="AI913" s="882"/>
      <c r="AJ913" s="882"/>
      <c r="AK913" s="882"/>
    </row>
    <row r="914" spans="1:37" s="890" customFormat="1">
      <c r="A914" s="882"/>
      <c r="B914" s="891"/>
      <c r="C914" s="882"/>
      <c r="D914" s="883"/>
      <c r="E914" s="884"/>
      <c r="F914" s="885" t="str">
        <f>IFERROR(VLOOKUP(Table2[[#This Row],[Player No]],Table10[[No]:[Province]],3,0),"")</f>
        <v/>
      </c>
      <c r="G914" s="892">
        <v>0</v>
      </c>
      <c r="H914" s="886">
        <f>(Table2[[#This Row],[Points 2025]]/2)+SUM(Table2[[#This Row],[O1  ADMIN 2026]:[P2    CAPE TOWN OPEN 2026 ]])</f>
        <v>0</v>
      </c>
      <c r="I914" s="880">
        <f t="shared" si="77"/>
        <v>0</v>
      </c>
      <c r="J914" s="882">
        <f t="shared" si="78"/>
        <v>0</v>
      </c>
      <c r="K914" s="887" t="str">
        <f>IFERROR(VALUE(IF(Table2[[#This Row],[Player No]]="","",IFERROR(VLOOKUP(Table2[[#This Row],[Player No]],[3]Men!$D$2:$E$48,2,FALSE)&amp;"",""))),"")</f>
        <v/>
      </c>
      <c r="L914" s="887" t="str">
        <f>IFERROR(VALUE(IF(Table2[[#This Row],[Player No]]="","",IFERROR(VLOOKUP(Table2[[#This Row],[Player No]],[4]Men!$Z$14:$AB$62,2,FALSE)&amp;"",""))),"")</f>
        <v/>
      </c>
      <c r="M914" s="887"/>
      <c r="N914" s="887"/>
      <c r="O914" s="882"/>
      <c r="P914" s="882"/>
      <c r="Q914" s="888"/>
      <c r="R914" s="888"/>
      <c r="S914" s="888"/>
      <c r="T914" s="888"/>
      <c r="U914" s="882"/>
      <c r="V914" s="887"/>
      <c r="W914" s="888"/>
      <c r="X914" s="888"/>
      <c r="Y914" s="888"/>
      <c r="Z914" s="882"/>
      <c r="AA914" s="882"/>
      <c r="AB914" s="882"/>
      <c r="AC914" s="882"/>
      <c r="AD914" s="882"/>
      <c r="AE914" s="882"/>
      <c r="AF914" s="882"/>
      <c r="AG914" s="882"/>
      <c r="AH914" s="882"/>
      <c r="AI914" s="882"/>
      <c r="AJ914" s="882"/>
      <c r="AK914" s="882"/>
    </row>
    <row r="915" spans="1:37" s="890" customFormat="1">
      <c r="A915" s="882"/>
      <c r="B915" s="891"/>
      <c r="C915" s="882"/>
      <c r="D915" s="883"/>
      <c r="E915" s="884"/>
      <c r="F915" s="885" t="str">
        <f>IFERROR(VLOOKUP(Table2[[#This Row],[Player No]],Table10[[No]:[Province]],3,0),"")</f>
        <v/>
      </c>
      <c r="G915" s="892">
        <v>0</v>
      </c>
      <c r="H915" s="886">
        <f>(Table2[[#This Row],[Points 2025]]/2)+SUM(Table2[[#This Row],[O1  ADMIN 2026]:[P2    CAPE TOWN OPEN 2026 ]])</f>
        <v>0</v>
      </c>
      <c r="I915" s="880">
        <f t="shared" si="77"/>
        <v>0</v>
      </c>
      <c r="J915" s="882">
        <f t="shared" si="78"/>
        <v>0</v>
      </c>
      <c r="K915" s="887" t="str">
        <f>IFERROR(VALUE(IF(Table2[[#This Row],[Player No]]="","",IFERROR(VLOOKUP(Table2[[#This Row],[Player No]],[3]Men!$D$2:$E$48,2,FALSE)&amp;"",""))),"")</f>
        <v/>
      </c>
      <c r="L915" s="887" t="str">
        <f>IFERROR(VALUE(IF(Table2[[#This Row],[Player No]]="","",IFERROR(VLOOKUP(Table2[[#This Row],[Player No]],[4]Men!$Z$14:$AB$62,2,FALSE)&amp;"",""))),"")</f>
        <v/>
      </c>
      <c r="M915" s="887"/>
      <c r="N915" s="887"/>
      <c r="O915" s="882"/>
      <c r="P915" s="882"/>
      <c r="Q915" s="888"/>
      <c r="R915" s="888"/>
      <c r="S915" s="888"/>
      <c r="T915" s="888"/>
      <c r="U915" s="882"/>
      <c r="V915" s="887"/>
      <c r="W915" s="888"/>
      <c r="X915" s="888"/>
      <c r="Y915" s="888"/>
      <c r="Z915" s="882"/>
      <c r="AA915" s="882"/>
      <c r="AB915" s="882"/>
      <c r="AC915" s="882"/>
      <c r="AD915" s="882"/>
      <c r="AE915" s="882"/>
      <c r="AF915" s="882"/>
      <c r="AG915" s="882"/>
      <c r="AH915" s="882"/>
      <c r="AI915" s="882"/>
      <c r="AJ915" s="882"/>
      <c r="AK915" s="882"/>
    </row>
    <row r="916" spans="1:37" s="890" customFormat="1">
      <c r="A916" s="882"/>
      <c r="B916" s="891"/>
      <c r="C916" s="882"/>
      <c r="D916" s="883"/>
      <c r="E916" s="884"/>
      <c r="F916" s="885" t="str">
        <f>IFERROR(VLOOKUP(Table2[[#This Row],[Player No]],Table10[[No]:[Province]],3,0),"")</f>
        <v/>
      </c>
      <c r="G916" s="892">
        <v>0</v>
      </c>
      <c r="H916" s="886">
        <f>(Table2[[#This Row],[Points 2025]]/2)+SUM(Table2[[#This Row],[O1  ADMIN 2026]:[P2    CAPE TOWN OPEN 2026 ]])</f>
        <v>0</v>
      </c>
      <c r="I916" s="880">
        <f t="shared" si="77"/>
        <v>0</v>
      </c>
      <c r="J916" s="882">
        <f t="shared" si="78"/>
        <v>0</v>
      </c>
      <c r="K916" s="887" t="str">
        <f>IFERROR(VALUE(IF(Table2[[#This Row],[Player No]]="","",IFERROR(VLOOKUP(Table2[[#This Row],[Player No]],[3]Men!$D$2:$E$48,2,FALSE)&amp;"",""))),"")</f>
        <v/>
      </c>
      <c r="L916" s="887" t="str">
        <f>IFERROR(VALUE(IF(Table2[[#This Row],[Player No]]="","",IFERROR(VLOOKUP(Table2[[#This Row],[Player No]],[4]Men!$Z$14:$AB$62,2,FALSE)&amp;"",""))),"")</f>
        <v/>
      </c>
      <c r="M916" s="887"/>
      <c r="N916" s="887"/>
      <c r="O916" s="882"/>
      <c r="P916" s="882"/>
      <c r="Q916" s="888"/>
      <c r="R916" s="888"/>
      <c r="S916" s="888"/>
      <c r="T916" s="888"/>
      <c r="U916" s="882"/>
      <c r="V916" s="887"/>
      <c r="W916" s="888"/>
      <c r="X916" s="888"/>
      <c r="Y916" s="888"/>
      <c r="Z916" s="882"/>
      <c r="AA916" s="882"/>
      <c r="AB916" s="882"/>
      <c r="AC916" s="882"/>
      <c r="AD916" s="882"/>
      <c r="AE916" s="882"/>
      <c r="AF916" s="882"/>
      <c r="AG916" s="882"/>
      <c r="AH916" s="882"/>
      <c r="AI916" s="882"/>
      <c r="AJ916" s="882"/>
      <c r="AK916" s="882"/>
    </row>
    <row r="917" spans="1:37" s="890" customFormat="1">
      <c r="A917" s="882"/>
      <c r="B917" s="891"/>
      <c r="C917" s="882"/>
      <c r="D917" s="883"/>
      <c r="E917" s="884"/>
      <c r="F917" s="885" t="str">
        <f>IFERROR(VLOOKUP(Table2[[#This Row],[Player No]],Table10[[No]:[Province]],3,0),"")</f>
        <v/>
      </c>
      <c r="G917" s="892">
        <v>0</v>
      </c>
      <c r="H917" s="886">
        <f>(Table2[[#This Row],[Points 2025]]/2)+SUM(Table2[[#This Row],[O1  ADMIN 2026]:[P2    CAPE TOWN OPEN 2026 ]])</f>
        <v>0</v>
      </c>
      <c r="I917" s="880">
        <f t="shared" si="77"/>
        <v>0</v>
      </c>
      <c r="J917" s="882">
        <f t="shared" si="78"/>
        <v>0</v>
      </c>
      <c r="K917" s="887" t="str">
        <f>IFERROR(VALUE(IF(Table2[[#This Row],[Player No]]="","",IFERROR(VLOOKUP(Table2[[#This Row],[Player No]],[3]Men!$D$2:$E$48,2,FALSE)&amp;"",""))),"")</f>
        <v/>
      </c>
      <c r="L917" s="887" t="str">
        <f>IFERROR(VALUE(IF(Table2[[#This Row],[Player No]]="","",IFERROR(VLOOKUP(Table2[[#This Row],[Player No]],[4]Men!$Z$14:$AB$62,2,FALSE)&amp;"",""))),"")</f>
        <v/>
      </c>
      <c r="M917" s="887"/>
      <c r="N917" s="887"/>
      <c r="O917" s="882"/>
      <c r="P917" s="882"/>
      <c r="Q917" s="888"/>
      <c r="R917" s="888"/>
      <c r="S917" s="888"/>
      <c r="T917" s="888"/>
      <c r="U917" s="882"/>
      <c r="V917" s="887"/>
      <c r="W917" s="888"/>
      <c r="X917" s="888"/>
      <c r="Y917" s="888"/>
      <c r="Z917" s="882"/>
      <c r="AA917" s="882"/>
      <c r="AB917" s="882"/>
      <c r="AC917" s="882"/>
      <c r="AD917" s="882"/>
      <c r="AE917" s="882"/>
      <c r="AF917" s="882"/>
      <c r="AG917" s="882"/>
      <c r="AH917" s="882"/>
      <c r="AI917" s="882"/>
      <c r="AJ917" s="882"/>
      <c r="AK917" s="882"/>
    </row>
    <row r="918" spans="1:37" s="890" customFormat="1">
      <c r="A918" s="882"/>
      <c r="B918" s="891"/>
      <c r="C918" s="882"/>
      <c r="D918" s="883"/>
      <c r="E918" s="884"/>
      <c r="F918" s="885" t="str">
        <f>IFERROR(VLOOKUP(Table2[[#This Row],[Player No]],Table10[[No]:[Province]],3,0),"")</f>
        <v/>
      </c>
      <c r="G918" s="892">
        <v>0</v>
      </c>
      <c r="H918" s="886">
        <f>(Table2[[#This Row],[Points 2025]]/2)+SUM(Table2[[#This Row],[O1  ADMIN 2026]:[P2    CAPE TOWN OPEN 2026 ]])</f>
        <v>0</v>
      </c>
      <c r="I918" s="880">
        <f t="shared" si="77"/>
        <v>0</v>
      </c>
      <c r="J918" s="882">
        <f t="shared" si="78"/>
        <v>0</v>
      </c>
      <c r="K918" s="887" t="str">
        <f>IFERROR(VALUE(IF(Table2[[#This Row],[Player No]]="","",IFERROR(VLOOKUP(Table2[[#This Row],[Player No]],[3]Men!$D$2:$E$48,2,FALSE)&amp;"",""))),"")</f>
        <v/>
      </c>
      <c r="L918" s="887" t="str">
        <f>IFERROR(VALUE(IF(Table2[[#This Row],[Player No]]="","",IFERROR(VLOOKUP(Table2[[#This Row],[Player No]],[4]Men!$Z$14:$AB$62,2,FALSE)&amp;"",""))),"")</f>
        <v/>
      </c>
      <c r="M918" s="887"/>
      <c r="N918" s="887"/>
      <c r="O918" s="882"/>
      <c r="P918" s="882"/>
      <c r="Q918" s="888"/>
      <c r="R918" s="888"/>
      <c r="S918" s="888"/>
      <c r="T918" s="888"/>
      <c r="U918" s="882"/>
      <c r="V918" s="887"/>
      <c r="W918" s="888"/>
      <c r="X918" s="888"/>
      <c r="Y918" s="888"/>
      <c r="Z918" s="882"/>
      <c r="AA918" s="882"/>
      <c r="AB918" s="882"/>
      <c r="AC918" s="882"/>
      <c r="AD918" s="882"/>
      <c r="AE918" s="882"/>
      <c r="AF918" s="882"/>
      <c r="AG918" s="882"/>
      <c r="AH918" s="882"/>
      <c r="AI918" s="882"/>
      <c r="AJ918" s="882"/>
      <c r="AK918" s="882"/>
    </row>
    <row r="919" spans="1:37" s="890" customFormat="1">
      <c r="A919" s="882"/>
      <c r="B919" s="891"/>
      <c r="C919" s="882"/>
      <c r="D919" s="883"/>
      <c r="E919" s="884"/>
      <c r="F919" s="885" t="str">
        <f>IFERROR(VLOOKUP(Table2[[#This Row],[Player No]],Table10[[No]:[Province]],3,0),"")</f>
        <v/>
      </c>
      <c r="G919" s="892">
        <v>0</v>
      </c>
      <c r="H919" s="886">
        <f>(Table2[[#This Row],[Points 2025]]/2)+SUM(Table2[[#This Row],[O1  ADMIN 2026]:[P2    CAPE TOWN OPEN 2026 ]])</f>
        <v>0</v>
      </c>
      <c r="I919" s="880">
        <f t="shared" si="77"/>
        <v>0</v>
      </c>
      <c r="J919" s="882">
        <f t="shared" si="78"/>
        <v>0</v>
      </c>
      <c r="K919" s="887" t="str">
        <f>IFERROR(VALUE(IF(Table2[[#This Row],[Player No]]="","",IFERROR(VLOOKUP(Table2[[#This Row],[Player No]],[3]Men!$D$2:$E$48,2,FALSE)&amp;"",""))),"")</f>
        <v/>
      </c>
      <c r="L919" s="887" t="str">
        <f>IFERROR(VALUE(IF(Table2[[#This Row],[Player No]]="","",IFERROR(VLOOKUP(Table2[[#This Row],[Player No]],[4]Men!$Z$14:$AB$62,2,FALSE)&amp;"",""))),"")</f>
        <v/>
      </c>
      <c r="M919" s="887"/>
      <c r="N919" s="887"/>
      <c r="O919" s="882"/>
      <c r="P919" s="882"/>
      <c r="Q919" s="888"/>
      <c r="R919" s="888"/>
      <c r="S919" s="888"/>
      <c r="T919" s="888"/>
      <c r="U919" s="882"/>
      <c r="V919" s="887"/>
      <c r="W919" s="888"/>
      <c r="X919" s="888"/>
      <c r="Y919" s="888"/>
      <c r="Z919" s="882"/>
      <c r="AA919" s="882"/>
      <c r="AB919" s="882"/>
      <c r="AC919" s="882"/>
      <c r="AD919" s="882"/>
      <c r="AE919" s="882"/>
      <c r="AF919" s="882"/>
      <c r="AG919" s="882"/>
      <c r="AH919" s="882"/>
      <c r="AI919" s="882"/>
      <c r="AJ919" s="882"/>
      <c r="AK919" s="882"/>
    </row>
    <row r="920" spans="1:37" s="890" customFormat="1">
      <c r="A920" s="882"/>
      <c r="B920" s="891"/>
      <c r="C920" s="882"/>
      <c r="D920" s="883"/>
      <c r="E920" s="884"/>
      <c r="F920" s="885" t="str">
        <f>IFERROR(VLOOKUP(Table2[[#This Row],[Player No]],Table10[[No]:[Province]],3,0),"")</f>
        <v/>
      </c>
      <c r="G920" s="892">
        <v>0</v>
      </c>
      <c r="H920" s="886">
        <f>(Table2[[#This Row],[Points 2025]]/2)+SUM(Table2[[#This Row],[O1  ADMIN 2026]:[P2    CAPE TOWN OPEN 2026 ]])</f>
        <v>0</v>
      </c>
      <c r="I920" s="880">
        <f t="shared" si="77"/>
        <v>0</v>
      </c>
      <c r="J920" s="882">
        <f t="shared" si="78"/>
        <v>0</v>
      </c>
      <c r="K920" s="887" t="str">
        <f>IFERROR(VALUE(IF(Table2[[#This Row],[Player No]]="","",IFERROR(VLOOKUP(Table2[[#This Row],[Player No]],[3]Men!$D$2:$E$48,2,FALSE)&amp;"",""))),"")</f>
        <v/>
      </c>
      <c r="L920" s="887" t="str">
        <f>IFERROR(VALUE(IF(Table2[[#This Row],[Player No]]="","",IFERROR(VLOOKUP(Table2[[#This Row],[Player No]],[4]Men!$Z$14:$AB$62,2,FALSE)&amp;"",""))),"")</f>
        <v/>
      </c>
      <c r="M920" s="887"/>
      <c r="N920" s="887"/>
      <c r="O920" s="882"/>
      <c r="P920" s="882"/>
      <c r="Q920" s="888"/>
      <c r="R920" s="888"/>
      <c r="S920" s="888"/>
      <c r="T920" s="888"/>
      <c r="U920" s="882"/>
      <c r="V920" s="887"/>
      <c r="W920" s="888"/>
      <c r="X920" s="888"/>
      <c r="Y920" s="888"/>
      <c r="Z920" s="882"/>
      <c r="AA920" s="882"/>
      <c r="AB920" s="882"/>
      <c r="AC920" s="882"/>
      <c r="AD920" s="882"/>
      <c r="AE920" s="882"/>
      <c r="AF920" s="882"/>
      <c r="AG920" s="882"/>
      <c r="AH920" s="882"/>
      <c r="AI920" s="882"/>
      <c r="AJ920" s="882"/>
      <c r="AK920" s="882"/>
    </row>
    <row r="921" spans="1:37" s="890" customFormat="1">
      <c r="A921" s="882"/>
      <c r="B921" s="891"/>
      <c r="C921" s="882"/>
      <c r="D921" s="883"/>
      <c r="E921" s="884"/>
      <c r="F921" s="885" t="str">
        <f>IFERROR(VLOOKUP(Table2[[#This Row],[Player No]],Table10[[No]:[Province]],3,0),"")</f>
        <v/>
      </c>
      <c r="G921" s="892">
        <v>0</v>
      </c>
      <c r="H921" s="886">
        <f>(Table2[[#This Row],[Points 2025]]/2)+SUM(Table2[[#This Row],[O1  ADMIN 2026]:[P2    CAPE TOWN OPEN 2026 ]])</f>
        <v>0</v>
      </c>
      <c r="I921" s="880">
        <f t="shared" si="77"/>
        <v>0</v>
      </c>
      <c r="J921" s="882">
        <f t="shared" si="78"/>
        <v>0</v>
      </c>
      <c r="K921" s="887" t="str">
        <f>IFERROR(VALUE(IF(Table2[[#This Row],[Player No]]="","",IFERROR(VLOOKUP(Table2[[#This Row],[Player No]],[3]Men!$D$2:$E$48,2,FALSE)&amp;"",""))),"")</f>
        <v/>
      </c>
      <c r="L921" s="887" t="str">
        <f>IFERROR(VALUE(IF(Table2[[#This Row],[Player No]]="","",IFERROR(VLOOKUP(Table2[[#This Row],[Player No]],[4]Men!$Z$14:$AB$62,2,FALSE)&amp;"",""))),"")</f>
        <v/>
      </c>
      <c r="M921" s="887"/>
      <c r="N921" s="887"/>
      <c r="O921" s="882"/>
      <c r="P921" s="882"/>
      <c r="Q921" s="888"/>
      <c r="R921" s="888"/>
      <c r="S921" s="888"/>
      <c r="T921" s="888"/>
      <c r="U921" s="882"/>
      <c r="V921" s="887"/>
      <c r="W921" s="888"/>
      <c r="X921" s="888"/>
      <c r="Y921" s="888"/>
      <c r="Z921" s="882"/>
      <c r="AA921" s="882"/>
      <c r="AB921" s="882"/>
      <c r="AC921" s="882"/>
      <c r="AD921" s="882"/>
      <c r="AE921" s="882"/>
      <c r="AF921" s="882"/>
      <c r="AG921" s="882"/>
      <c r="AH921" s="882"/>
      <c r="AI921" s="882"/>
      <c r="AJ921" s="882"/>
      <c r="AK921" s="882"/>
    </row>
    <row r="922" spans="1:37" s="890" customFormat="1">
      <c r="A922" s="882"/>
      <c r="B922" s="891"/>
      <c r="C922" s="882"/>
      <c r="D922" s="883"/>
      <c r="E922" s="884"/>
      <c r="F922" s="885" t="str">
        <f>IFERROR(VLOOKUP(Table2[[#This Row],[Player No]],Table10[[No]:[Province]],3,0),"")</f>
        <v/>
      </c>
      <c r="G922" s="892">
        <v>0</v>
      </c>
      <c r="H922" s="886">
        <f>(Table2[[#This Row],[Points 2025]]/2)+SUM(Table2[[#This Row],[O1  ADMIN 2026]:[P2    CAPE TOWN OPEN 2026 ]])</f>
        <v>0</v>
      </c>
      <c r="I922" s="880">
        <f t="shared" si="77"/>
        <v>0</v>
      </c>
      <c r="J922" s="882">
        <f t="shared" si="78"/>
        <v>0</v>
      </c>
      <c r="K922" s="887" t="str">
        <f>IFERROR(VALUE(IF(Table2[[#This Row],[Player No]]="","",IFERROR(VLOOKUP(Table2[[#This Row],[Player No]],[3]Men!$D$2:$E$48,2,FALSE)&amp;"",""))),"")</f>
        <v/>
      </c>
      <c r="L922" s="887" t="str">
        <f>IFERROR(VALUE(IF(Table2[[#This Row],[Player No]]="","",IFERROR(VLOOKUP(Table2[[#This Row],[Player No]],[4]Men!$Z$14:$AB$62,2,FALSE)&amp;"",""))),"")</f>
        <v/>
      </c>
      <c r="M922" s="887"/>
      <c r="N922" s="887"/>
      <c r="O922" s="882"/>
      <c r="P922" s="882"/>
      <c r="Q922" s="888"/>
      <c r="R922" s="888"/>
      <c r="S922" s="888"/>
      <c r="T922" s="888"/>
      <c r="U922" s="882"/>
      <c r="V922" s="887"/>
      <c r="W922" s="888"/>
      <c r="X922" s="888"/>
      <c r="Y922" s="888"/>
      <c r="Z922" s="882"/>
      <c r="AA922" s="882"/>
      <c r="AB922" s="882"/>
      <c r="AC922" s="882"/>
      <c r="AD922" s="882"/>
      <c r="AE922" s="882"/>
      <c r="AF922" s="882"/>
      <c r="AG922" s="882"/>
      <c r="AH922" s="882"/>
      <c r="AI922" s="882"/>
      <c r="AJ922" s="882"/>
      <c r="AK922" s="882"/>
    </row>
    <row r="923" spans="1:37" s="890" customFormat="1">
      <c r="A923" s="882"/>
      <c r="B923" s="891"/>
      <c r="C923" s="882"/>
      <c r="D923" s="883"/>
      <c r="E923" s="884"/>
      <c r="F923" s="885" t="str">
        <f>IFERROR(VLOOKUP(Table2[[#This Row],[Player No]],Table10[[No]:[Province]],3,0),"")</f>
        <v/>
      </c>
      <c r="G923" s="892">
        <v>0</v>
      </c>
      <c r="H923" s="886">
        <f>(Table2[[#This Row],[Points 2025]]/2)+SUM(Table2[[#This Row],[O1  ADMIN 2026]:[P2    CAPE TOWN OPEN 2026 ]])</f>
        <v>0</v>
      </c>
      <c r="I923" s="880">
        <f t="shared" si="77"/>
        <v>0</v>
      </c>
      <c r="J923" s="882">
        <f t="shared" si="78"/>
        <v>0</v>
      </c>
      <c r="K923" s="887" t="str">
        <f>IFERROR(VALUE(IF(Table2[[#This Row],[Player No]]="","",IFERROR(VLOOKUP(Table2[[#This Row],[Player No]],[3]Men!$D$2:$E$48,2,FALSE)&amp;"",""))),"")</f>
        <v/>
      </c>
      <c r="L923" s="887" t="str">
        <f>IFERROR(VALUE(IF(Table2[[#This Row],[Player No]]="","",IFERROR(VLOOKUP(Table2[[#This Row],[Player No]],[4]Men!$Z$14:$AB$62,2,FALSE)&amp;"",""))),"")</f>
        <v/>
      </c>
      <c r="M923" s="887"/>
      <c r="N923" s="887"/>
      <c r="O923" s="882"/>
      <c r="P923" s="882"/>
      <c r="Q923" s="888"/>
      <c r="R923" s="888"/>
      <c r="S923" s="888"/>
      <c r="T923" s="888"/>
      <c r="U923" s="882"/>
      <c r="V923" s="887"/>
      <c r="W923" s="888"/>
      <c r="X923" s="888"/>
      <c r="Y923" s="888"/>
      <c r="Z923" s="882"/>
      <c r="AA923" s="882"/>
      <c r="AB923" s="882"/>
      <c r="AC923" s="882"/>
      <c r="AD923" s="882"/>
      <c r="AE923" s="882"/>
      <c r="AF923" s="882"/>
      <c r="AG923" s="882"/>
      <c r="AH923" s="882"/>
      <c r="AI923" s="882"/>
      <c r="AJ923" s="882"/>
      <c r="AK923" s="882"/>
    </row>
    <row r="924" spans="1:37" s="890" customFormat="1">
      <c r="A924" s="882"/>
      <c r="B924" s="891"/>
      <c r="C924" s="882"/>
      <c r="D924" s="883"/>
      <c r="E924" s="884"/>
      <c r="F924" s="885" t="str">
        <f>IFERROR(VLOOKUP(Table2[[#This Row],[Player No]],Table10[[No]:[Province]],3,0),"")</f>
        <v/>
      </c>
      <c r="G924" s="892">
        <v>0</v>
      </c>
      <c r="H924" s="886">
        <f>(Table2[[#This Row],[Points 2025]]/2)+SUM(Table2[[#This Row],[O1  ADMIN 2026]:[P2    CAPE TOWN OPEN 2026 ]])</f>
        <v>0</v>
      </c>
      <c r="I924" s="880">
        <f t="shared" si="77"/>
        <v>0</v>
      </c>
      <c r="J924" s="882">
        <f t="shared" si="78"/>
        <v>0</v>
      </c>
      <c r="K924" s="887" t="str">
        <f>IFERROR(VALUE(IF(Table2[[#This Row],[Player No]]="","",IFERROR(VLOOKUP(Table2[[#This Row],[Player No]],[3]Men!$D$2:$E$48,2,FALSE)&amp;"",""))),"")</f>
        <v/>
      </c>
      <c r="L924" s="887" t="str">
        <f>IFERROR(VALUE(IF(Table2[[#This Row],[Player No]]="","",IFERROR(VLOOKUP(Table2[[#This Row],[Player No]],[4]Men!$Z$14:$AB$62,2,FALSE)&amp;"",""))),"")</f>
        <v/>
      </c>
      <c r="M924" s="887"/>
      <c r="N924" s="887"/>
      <c r="O924" s="882"/>
      <c r="P924" s="882"/>
      <c r="Q924" s="888"/>
      <c r="R924" s="888"/>
      <c r="S924" s="888"/>
      <c r="T924" s="888"/>
      <c r="U924" s="882"/>
      <c r="V924" s="887"/>
      <c r="W924" s="888"/>
      <c r="X924" s="888"/>
      <c r="Y924" s="888"/>
      <c r="Z924" s="882"/>
      <c r="AA924" s="882"/>
      <c r="AB924" s="882"/>
      <c r="AC924" s="882"/>
      <c r="AD924" s="882"/>
      <c r="AE924" s="882"/>
      <c r="AF924" s="882"/>
      <c r="AG924" s="882"/>
      <c r="AH924" s="882"/>
      <c r="AI924" s="882"/>
      <c r="AJ924" s="882"/>
      <c r="AK924" s="882"/>
    </row>
    <row r="925" spans="1:37" s="890" customFormat="1">
      <c r="A925" s="882"/>
      <c r="B925" s="891"/>
      <c r="C925" s="882"/>
      <c r="D925" s="883"/>
      <c r="E925" s="884"/>
      <c r="F925" s="885" t="str">
        <f>IFERROR(VLOOKUP(Table2[[#This Row],[Player No]],Table10[[No]:[Province]],3,0),"")</f>
        <v/>
      </c>
      <c r="G925" s="892">
        <v>0</v>
      </c>
      <c r="H925" s="886">
        <f>(Table2[[#This Row],[Points 2025]]/2)+SUM(Table2[[#This Row],[O1  ADMIN 2026]:[P2    CAPE TOWN OPEN 2026 ]])</f>
        <v>0</v>
      </c>
      <c r="I925" s="880">
        <f t="shared" si="77"/>
        <v>0</v>
      </c>
      <c r="J925" s="882">
        <f t="shared" si="78"/>
        <v>0</v>
      </c>
      <c r="K925" s="887" t="str">
        <f>IFERROR(VALUE(IF(Table2[[#This Row],[Player No]]="","",IFERROR(VLOOKUP(Table2[[#This Row],[Player No]],[3]Men!$D$2:$E$48,2,FALSE)&amp;"",""))),"")</f>
        <v/>
      </c>
      <c r="L925" s="887" t="str">
        <f>IFERROR(VALUE(IF(Table2[[#This Row],[Player No]]="","",IFERROR(VLOOKUP(Table2[[#This Row],[Player No]],[4]Men!$Z$14:$AB$62,2,FALSE)&amp;"",""))),"")</f>
        <v/>
      </c>
      <c r="M925" s="887"/>
      <c r="N925" s="887"/>
      <c r="O925" s="882"/>
      <c r="P925" s="882"/>
      <c r="Q925" s="888"/>
      <c r="R925" s="888"/>
      <c r="S925" s="888"/>
      <c r="T925" s="888"/>
      <c r="U925" s="882"/>
      <c r="V925" s="887"/>
      <c r="W925" s="888"/>
      <c r="X925" s="888"/>
      <c r="Y925" s="888"/>
      <c r="Z925" s="882"/>
      <c r="AA925" s="882"/>
      <c r="AB925" s="882"/>
      <c r="AC925" s="882"/>
      <c r="AD925" s="882"/>
      <c r="AE925" s="882"/>
      <c r="AF925" s="882"/>
      <c r="AG925" s="882"/>
      <c r="AH925" s="882"/>
      <c r="AI925" s="882"/>
      <c r="AJ925" s="882"/>
      <c r="AK925" s="882"/>
    </row>
    <row r="926" spans="1:37" s="890" customFormat="1">
      <c r="A926" s="882"/>
      <c r="B926" s="891"/>
      <c r="C926" s="882"/>
      <c r="D926" s="883"/>
      <c r="E926" s="884"/>
      <c r="F926" s="885" t="str">
        <f>IFERROR(VLOOKUP(Table2[[#This Row],[Player No]],Table10[[No]:[Province]],3,0),"")</f>
        <v/>
      </c>
      <c r="G926" s="892">
        <v>0</v>
      </c>
      <c r="H926" s="886">
        <f>(Table2[[#This Row],[Points 2025]]/2)+SUM(Table2[[#This Row],[O1  ADMIN 2026]:[P2    CAPE TOWN OPEN 2026 ]])</f>
        <v>0</v>
      </c>
      <c r="I926" s="880">
        <f t="shared" si="77"/>
        <v>0</v>
      </c>
      <c r="J926" s="882">
        <f t="shared" si="78"/>
        <v>0</v>
      </c>
      <c r="K926" s="887" t="str">
        <f>IFERROR(VALUE(IF(Table2[[#This Row],[Player No]]="","",IFERROR(VLOOKUP(Table2[[#This Row],[Player No]],[3]Men!$D$2:$E$48,2,FALSE)&amp;"",""))),"")</f>
        <v/>
      </c>
      <c r="L926" s="887" t="str">
        <f>IFERROR(VALUE(IF(Table2[[#This Row],[Player No]]="","",IFERROR(VLOOKUP(Table2[[#This Row],[Player No]],[4]Men!$Z$14:$AB$62,2,FALSE)&amp;"",""))),"")</f>
        <v/>
      </c>
      <c r="M926" s="887"/>
      <c r="N926" s="887"/>
      <c r="O926" s="882"/>
      <c r="P926" s="882"/>
      <c r="Q926" s="888"/>
      <c r="R926" s="888"/>
      <c r="S926" s="888"/>
      <c r="T926" s="888"/>
      <c r="U926" s="882"/>
      <c r="V926" s="887"/>
      <c r="W926" s="888"/>
      <c r="X926" s="888"/>
      <c r="Y926" s="888"/>
      <c r="Z926" s="882"/>
      <c r="AA926" s="882"/>
      <c r="AB926" s="882"/>
      <c r="AC926" s="882"/>
      <c r="AD926" s="882"/>
      <c r="AE926" s="882"/>
      <c r="AF926" s="882"/>
      <c r="AG926" s="882"/>
      <c r="AH926" s="882"/>
      <c r="AI926" s="882"/>
      <c r="AJ926" s="882"/>
      <c r="AK926" s="882"/>
    </row>
    <row r="927" spans="1:37" s="890" customFormat="1">
      <c r="A927" s="882"/>
      <c r="B927" s="891"/>
      <c r="C927" s="882"/>
      <c r="D927" s="883"/>
      <c r="E927" s="884"/>
      <c r="F927" s="885" t="str">
        <f>IFERROR(VLOOKUP(Table2[[#This Row],[Player No]],Table10[[No]:[Province]],3,0),"")</f>
        <v/>
      </c>
      <c r="G927" s="892">
        <v>0</v>
      </c>
      <c r="H927" s="886">
        <f>(Table2[[#This Row],[Points 2025]]/2)+SUM(Table2[[#This Row],[O1  ADMIN 2026]:[P2    CAPE TOWN OPEN 2026 ]])</f>
        <v>0</v>
      </c>
      <c r="I927" s="880">
        <f t="shared" si="77"/>
        <v>0</v>
      </c>
      <c r="J927" s="882">
        <f t="shared" si="78"/>
        <v>0</v>
      </c>
      <c r="K927" s="887" t="str">
        <f>IFERROR(VALUE(IF(Table2[[#This Row],[Player No]]="","",IFERROR(VLOOKUP(Table2[[#This Row],[Player No]],[3]Men!$D$2:$E$48,2,FALSE)&amp;"",""))),"")</f>
        <v/>
      </c>
      <c r="L927" s="887" t="str">
        <f>IFERROR(VALUE(IF(Table2[[#This Row],[Player No]]="","",IFERROR(VLOOKUP(Table2[[#This Row],[Player No]],[4]Men!$Z$14:$AB$62,2,FALSE)&amp;"",""))),"")</f>
        <v/>
      </c>
      <c r="M927" s="887"/>
      <c r="N927" s="887"/>
      <c r="O927" s="882"/>
      <c r="P927" s="882"/>
      <c r="Q927" s="888"/>
      <c r="R927" s="888"/>
      <c r="S927" s="888"/>
      <c r="T927" s="888"/>
      <c r="U927" s="882"/>
      <c r="V927" s="887"/>
      <c r="W927" s="888"/>
      <c r="X927" s="888"/>
      <c r="Y927" s="888"/>
      <c r="Z927" s="882"/>
      <c r="AA927" s="882"/>
      <c r="AB927" s="882"/>
      <c r="AC927" s="882"/>
      <c r="AD927" s="882"/>
      <c r="AE927" s="882"/>
      <c r="AF927" s="882"/>
      <c r="AG927" s="882"/>
      <c r="AH927" s="882"/>
      <c r="AI927" s="882"/>
      <c r="AJ927" s="882"/>
      <c r="AK927" s="882"/>
    </row>
    <row r="928" spans="1:37" s="890" customFormat="1">
      <c r="A928" s="882"/>
      <c r="B928" s="891"/>
      <c r="C928" s="882"/>
      <c r="D928" s="883"/>
      <c r="E928" s="884"/>
      <c r="F928" s="885" t="str">
        <f>IFERROR(VLOOKUP(Table2[[#This Row],[Player No]],Table10[[No]:[Province]],3,0),"")</f>
        <v/>
      </c>
      <c r="G928" s="892">
        <v>0</v>
      </c>
      <c r="H928" s="886">
        <f>(Table2[[#This Row],[Points 2025]]/2)+SUM(Table2[[#This Row],[O1  ADMIN 2026]:[P2    CAPE TOWN OPEN 2026 ]])</f>
        <v>0</v>
      </c>
      <c r="I928" s="880">
        <f t="shared" si="77"/>
        <v>0</v>
      </c>
      <c r="J928" s="882">
        <f t="shared" si="78"/>
        <v>0</v>
      </c>
      <c r="K928" s="887" t="str">
        <f>IFERROR(VALUE(IF(Table2[[#This Row],[Player No]]="","",IFERROR(VLOOKUP(Table2[[#This Row],[Player No]],[3]Men!$D$2:$E$48,2,FALSE)&amp;"",""))),"")</f>
        <v/>
      </c>
      <c r="L928" s="887" t="str">
        <f>IFERROR(VALUE(IF(Table2[[#This Row],[Player No]]="","",IFERROR(VLOOKUP(Table2[[#This Row],[Player No]],[4]Men!$Z$14:$AB$62,2,FALSE)&amp;"",""))),"")</f>
        <v/>
      </c>
      <c r="M928" s="887"/>
      <c r="N928" s="887"/>
      <c r="O928" s="882"/>
      <c r="P928" s="882"/>
      <c r="Q928" s="888"/>
      <c r="R928" s="888"/>
      <c r="S928" s="888"/>
      <c r="T928" s="888"/>
      <c r="U928" s="882"/>
      <c r="V928" s="887"/>
      <c r="W928" s="888"/>
      <c r="X928" s="888"/>
      <c r="Y928" s="888"/>
      <c r="Z928" s="882"/>
      <c r="AA928" s="882"/>
      <c r="AB928" s="882"/>
      <c r="AC928" s="882"/>
      <c r="AD928" s="882"/>
      <c r="AE928" s="882"/>
      <c r="AF928" s="882"/>
      <c r="AG928" s="882"/>
      <c r="AH928" s="882"/>
      <c r="AI928" s="882"/>
      <c r="AJ928" s="882"/>
      <c r="AK928" s="882"/>
    </row>
    <row r="929" spans="1:38" s="890" customFormat="1">
      <c r="A929" s="882"/>
      <c r="B929" s="891"/>
      <c r="C929" s="882"/>
      <c r="D929" s="883"/>
      <c r="E929" s="884"/>
      <c r="F929" s="885" t="str">
        <f>IFERROR(VLOOKUP(Table2[[#This Row],[Player No]],Table10[[No]:[Province]],3,0),"")</f>
        <v/>
      </c>
      <c r="G929" s="892">
        <v>0</v>
      </c>
      <c r="H929" s="886">
        <f>(Table2[[#This Row],[Points 2025]]/2)+SUM(Table2[[#This Row],[O1  ADMIN 2026]:[P2    CAPE TOWN OPEN 2026 ]])</f>
        <v>0</v>
      </c>
      <c r="I929" s="880">
        <f t="shared" si="77"/>
        <v>0</v>
      </c>
      <c r="J929" s="882">
        <f t="shared" si="78"/>
        <v>0</v>
      </c>
      <c r="K929" s="887" t="str">
        <f>IFERROR(VALUE(IF(Table2[[#This Row],[Player No]]="","",IFERROR(VLOOKUP(Table2[[#This Row],[Player No]],[3]Men!$D$2:$E$48,2,FALSE)&amp;"",""))),"")</f>
        <v/>
      </c>
      <c r="L929" s="887" t="str">
        <f>IFERROR(VALUE(IF(Table2[[#This Row],[Player No]]="","",IFERROR(VLOOKUP(Table2[[#This Row],[Player No]],[4]Men!$Z$14:$AB$62,2,FALSE)&amp;"",""))),"")</f>
        <v/>
      </c>
      <c r="M929" s="887"/>
      <c r="N929" s="887"/>
      <c r="O929" s="882"/>
      <c r="P929" s="882"/>
      <c r="Q929" s="888"/>
      <c r="R929" s="888"/>
      <c r="S929" s="888"/>
      <c r="T929" s="888"/>
      <c r="U929" s="882"/>
      <c r="V929" s="887"/>
      <c r="W929" s="888"/>
      <c r="X929" s="888"/>
      <c r="Y929" s="888"/>
      <c r="Z929" s="882"/>
      <c r="AA929" s="882"/>
      <c r="AB929" s="882"/>
      <c r="AC929" s="882"/>
      <c r="AD929" s="882"/>
      <c r="AE929" s="882"/>
      <c r="AF929" s="882"/>
      <c r="AG929" s="882"/>
      <c r="AH929" s="882"/>
      <c r="AI929" s="882"/>
      <c r="AJ929" s="882"/>
      <c r="AK929" s="882"/>
    </row>
    <row r="930" spans="1:38" s="890" customFormat="1">
      <c r="A930" s="882"/>
      <c r="B930" s="891"/>
      <c r="C930" s="882"/>
      <c r="D930" s="883"/>
      <c r="E930" s="884"/>
      <c r="F930" s="885" t="str">
        <f>IFERROR(VLOOKUP(Table2[[#This Row],[Player No]],Table10[[No]:[Province]],3,0),"")</f>
        <v/>
      </c>
      <c r="G930" s="892">
        <v>0</v>
      </c>
      <c r="H930" s="886">
        <f>(Table2[[#This Row],[Points 2025]]/2)+SUM(Table2[[#This Row],[O1  ADMIN 2026]:[P2    CAPE TOWN OPEN 2026 ]])</f>
        <v>0</v>
      </c>
      <c r="I930" s="880">
        <f t="shared" si="77"/>
        <v>0</v>
      </c>
      <c r="J930" s="882">
        <f t="shared" si="78"/>
        <v>0</v>
      </c>
      <c r="K930" s="887" t="str">
        <f>IFERROR(VALUE(IF(Table2[[#This Row],[Player No]]="","",IFERROR(VLOOKUP(Table2[[#This Row],[Player No]],[3]Men!$D$2:$E$48,2,FALSE)&amp;"",""))),"")</f>
        <v/>
      </c>
      <c r="L930" s="887" t="str">
        <f>IFERROR(VALUE(IF(Table2[[#This Row],[Player No]]="","",IFERROR(VLOOKUP(Table2[[#This Row],[Player No]],[4]Men!$Z$14:$AB$62,2,FALSE)&amp;"",""))),"")</f>
        <v/>
      </c>
      <c r="M930" s="887"/>
      <c r="N930" s="887"/>
      <c r="O930" s="882"/>
      <c r="P930" s="882"/>
      <c r="Q930" s="888"/>
      <c r="R930" s="888"/>
      <c r="S930" s="888"/>
      <c r="T930" s="888"/>
      <c r="U930" s="882"/>
      <c r="V930" s="887"/>
      <c r="W930" s="888"/>
      <c r="X930" s="888"/>
      <c r="Y930" s="888"/>
      <c r="Z930" s="882"/>
      <c r="AA930" s="882"/>
      <c r="AB930" s="882"/>
      <c r="AC930" s="882"/>
      <c r="AD930" s="882"/>
      <c r="AE930" s="882"/>
      <c r="AF930" s="882"/>
      <c r="AG930" s="882"/>
      <c r="AH930" s="882"/>
      <c r="AI930" s="882"/>
      <c r="AJ930" s="882"/>
      <c r="AK930" s="882"/>
    </row>
    <row r="931" spans="1:38" s="890" customFormat="1">
      <c r="A931" s="882"/>
      <c r="B931" s="891"/>
      <c r="C931" s="882"/>
      <c r="D931" s="883"/>
      <c r="E931" s="884"/>
      <c r="F931" s="885" t="str">
        <f>IFERROR(VLOOKUP(Table2[[#This Row],[Player No]],Table10[[No]:[Province]],3,0),"")</f>
        <v/>
      </c>
      <c r="G931" s="892">
        <v>0</v>
      </c>
      <c r="H931" s="886">
        <f>(Table2[[#This Row],[Points 2025]]/2)+SUM(Table2[[#This Row],[O1  ADMIN 2026]:[P2    CAPE TOWN OPEN 2026 ]])</f>
        <v>0</v>
      </c>
      <c r="I931" s="880">
        <f t="shared" si="77"/>
        <v>0</v>
      </c>
      <c r="J931" s="882">
        <f t="shared" si="78"/>
        <v>0</v>
      </c>
      <c r="K931" s="887" t="str">
        <f>IFERROR(VALUE(IF(Table2[[#This Row],[Player No]]="","",IFERROR(VLOOKUP(Table2[[#This Row],[Player No]],[3]Men!$D$2:$E$48,2,FALSE)&amp;"",""))),"")</f>
        <v/>
      </c>
      <c r="L931" s="887" t="str">
        <f>IFERROR(VALUE(IF(Table2[[#This Row],[Player No]]="","",IFERROR(VLOOKUP(Table2[[#This Row],[Player No]],[4]Men!$Z$14:$AB$62,2,FALSE)&amp;"",""))),"")</f>
        <v/>
      </c>
      <c r="M931" s="887"/>
      <c r="N931" s="887"/>
      <c r="O931" s="882"/>
      <c r="P931" s="882"/>
      <c r="Q931" s="888"/>
      <c r="R931" s="888"/>
      <c r="S931" s="888"/>
      <c r="T931" s="888"/>
      <c r="U931" s="882"/>
      <c r="V931" s="887"/>
      <c r="W931" s="888"/>
      <c r="X931" s="888"/>
      <c r="Y931" s="888"/>
      <c r="Z931" s="882"/>
      <c r="AA931" s="882"/>
      <c r="AB931" s="882"/>
      <c r="AC931" s="882"/>
      <c r="AD931" s="882"/>
      <c r="AE931" s="882"/>
      <c r="AF931" s="882"/>
      <c r="AG931" s="882"/>
      <c r="AH931" s="882"/>
      <c r="AI931" s="882"/>
      <c r="AJ931" s="882"/>
      <c r="AK931" s="882"/>
    </row>
    <row r="932" spans="1:38" s="890" customFormat="1">
      <c r="A932" s="882"/>
      <c r="B932" s="891"/>
      <c r="C932" s="882"/>
      <c r="D932" s="883"/>
      <c r="E932" s="884"/>
      <c r="F932" s="885" t="str">
        <f>IFERROR(VLOOKUP(Table2[[#This Row],[Player No]],Table10[[No]:[Province]],3,0),"")</f>
        <v/>
      </c>
      <c r="G932" s="892">
        <v>0</v>
      </c>
      <c r="H932" s="886">
        <f>(Table2[[#This Row],[Points 2025]]/2)+SUM(Table2[[#This Row],[O1  ADMIN 2026]:[P2    CAPE TOWN OPEN 2026 ]])</f>
        <v>0</v>
      </c>
      <c r="I932" s="880">
        <f t="shared" si="77"/>
        <v>0</v>
      </c>
      <c r="J932" s="882">
        <f t="shared" si="78"/>
        <v>0</v>
      </c>
      <c r="K932" s="887" t="str">
        <f>IFERROR(VALUE(IF(Table2[[#This Row],[Player No]]="","",IFERROR(VLOOKUP(Table2[[#This Row],[Player No]],[3]Men!$D$2:$E$48,2,FALSE)&amp;"",""))),"")</f>
        <v/>
      </c>
      <c r="L932" s="887" t="str">
        <f>IFERROR(VALUE(IF(Table2[[#This Row],[Player No]]="","",IFERROR(VLOOKUP(Table2[[#This Row],[Player No]],[4]Men!$Z$14:$AB$62,2,FALSE)&amp;"",""))),"")</f>
        <v/>
      </c>
      <c r="M932" s="887"/>
      <c r="N932" s="887"/>
      <c r="O932" s="882"/>
      <c r="P932" s="882"/>
      <c r="Q932" s="888"/>
      <c r="R932" s="888"/>
      <c r="S932" s="888"/>
      <c r="T932" s="888"/>
      <c r="U932" s="882"/>
      <c r="V932" s="887"/>
      <c r="W932" s="888"/>
      <c r="X932" s="888"/>
      <c r="Y932" s="888"/>
      <c r="Z932" s="882"/>
      <c r="AA932" s="882"/>
      <c r="AB932" s="882"/>
      <c r="AC932" s="882"/>
      <c r="AD932" s="882"/>
      <c r="AE932" s="882"/>
      <c r="AF932" s="882"/>
      <c r="AG932" s="882"/>
      <c r="AH932" s="882"/>
      <c r="AI932" s="882"/>
      <c r="AJ932" s="882"/>
      <c r="AK932" s="882"/>
    </row>
    <row r="933" spans="1:38" s="890" customFormat="1">
      <c r="A933" s="882"/>
      <c r="B933" s="891"/>
      <c r="C933" s="882"/>
      <c r="D933" s="883"/>
      <c r="E933" s="884"/>
      <c r="F933" s="885" t="str">
        <f>IFERROR(VLOOKUP(Table2[[#This Row],[Player No]],Table10[[No]:[Province]],3,0),"")</f>
        <v/>
      </c>
      <c r="G933" s="892">
        <v>0</v>
      </c>
      <c r="H933" s="886">
        <f>(Table2[[#This Row],[Points 2025]]/2)+SUM(Table2[[#This Row],[O1  ADMIN 2026]:[P2    CAPE TOWN OPEN 2026 ]])</f>
        <v>0</v>
      </c>
      <c r="I933" s="880">
        <f t="shared" si="77"/>
        <v>0</v>
      </c>
      <c r="J933" s="882">
        <f t="shared" si="78"/>
        <v>0</v>
      </c>
      <c r="K933" s="887" t="str">
        <f>IFERROR(VALUE(IF(Table2[[#This Row],[Player No]]="","",IFERROR(VLOOKUP(Table2[[#This Row],[Player No]],[3]Men!$D$2:$E$48,2,FALSE)&amp;"",""))),"")</f>
        <v/>
      </c>
      <c r="L933" s="887" t="str">
        <f>IFERROR(VALUE(IF(Table2[[#This Row],[Player No]]="","",IFERROR(VLOOKUP(Table2[[#This Row],[Player No]],[4]Men!$Z$14:$AB$62,2,FALSE)&amp;"",""))),"")</f>
        <v/>
      </c>
      <c r="M933" s="887"/>
      <c r="N933" s="887"/>
      <c r="O933" s="882"/>
      <c r="P933" s="882"/>
      <c r="Q933" s="888"/>
      <c r="R933" s="888"/>
      <c r="S933" s="888"/>
      <c r="T933" s="888"/>
      <c r="U933" s="882"/>
      <c r="V933" s="887"/>
      <c r="W933" s="888"/>
      <c r="X933" s="888"/>
      <c r="Y933" s="888"/>
      <c r="Z933" s="882"/>
      <c r="AA933" s="882"/>
      <c r="AB933" s="882"/>
      <c r="AC933" s="882"/>
      <c r="AD933" s="882"/>
      <c r="AE933" s="882"/>
      <c r="AF933" s="882"/>
      <c r="AG933" s="882"/>
      <c r="AH933" s="882"/>
      <c r="AI933" s="882"/>
      <c r="AJ933" s="882"/>
      <c r="AK933" s="882"/>
    </row>
    <row r="934" spans="1:38" s="890" customFormat="1">
      <c r="A934" s="882"/>
      <c r="B934" s="891"/>
      <c r="C934" s="882"/>
      <c r="D934" s="883"/>
      <c r="E934" s="884"/>
      <c r="F934" s="885" t="str">
        <f>IFERROR(VLOOKUP(Table2[[#This Row],[Player No]],Table10[[No]:[Province]],3,0),"")</f>
        <v/>
      </c>
      <c r="G934" s="892">
        <v>0</v>
      </c>
      <c r="H934" s="886">
        <f>(Table2[[#This Row],[Points 2025]]/2)+SUM(Table2[[#This Row],[O1  ADMIN 2026]:[P2    CAPE TOWN OPEN 2026 ]])</f>
        <v>0</v>
      </c>
      <c r="I934" s="880">
        <f t="shared" si="77"/>
        <v>0</v>
      </c>
      <c r="J934" s="882">
        <f t="shared" si="78"/>
        <v>0</v>
      </c>
      <c r="K934" s="887" t="str">
        <f>IFERROR(VALUE(IF(Table2[[#This Row],[Player No]]="","",IFERROR(VLOOKUP(Table2[[#This Row],[Player No]],[3]Men!$D$2:$E$48,2,FALSE)&amp;"",""))),"")</f>
        <v/>
      </c>
      <c r="L934" s="887" t="str">
        <f>IFERROR(VALUE(IF(Table2[[#This Row],[Player No]]="","",IFERROR(VLOOKUP(Table2[[#This Row],[Player No]],[4]Men!$Z$14:$AB$62,2,FALSE)&amp;"",""))),"")</f>
        <v/>
      </c>
      <c r="M934" s="887"/>
      <c r="N934" s="887"/>
      <c r="O934" s="882"/>
      <c r="P934" s="882"/>
      <c r="Q934" s="888"/>
      <c r="R934" s="888"/>
      <c r="S934" s="888"/>
      <c r="T934" s="888"/>
      <c r="U934" s="882"/>
      <c r="V934" s="887"/>
      <c r="W934" s="888"/>
      <c r="X934" s="888"/>
      <c r="Y934" s="888"/>
      <c r="Z934" s="882"/>
      <c r="AA934" s="882"/>
      <c r="AB934" s="882"/>
      <c r="AC934" s="882"/>
      <c r="AD934" s="882"/>
      <c r="AE934" s="882"/>
      <c r="AF934" s="882"/>
      <c r="AG934" s="882"/>
      <c r="AH934" s="882"/>
      <c r="AI934" s="882"/>
      <c r="AJ934" s="882"/>
      <c r="AK934" s="882"/>
    </row>
    <row r="935" spans="1:38" s="890" customFormat="1">
      <c r="A935" s="882"/>
      <c r="B935" s="891"/>
      <c r="C935" s="882"/>
      <c r="D935" s="883"/>
      <c r="E935" s="884"/>
      <c r="F935" s="885" t="str">
        <f>IFERROR(VLOOKUP(Table2[[#This Row],[Player No]],Table10[[No]:[Province]],3,0),"")</f>
        <v/>
      </c>
      <c r="G935" s="892">
        <v>0</v>
      </c>
      <c r="H935" s="886">
        <f>(Table2[[#This Row],[Points 2025]]/2)+SUM(Table2[[#This Row],[O1  ADMIN 2026]:[P2    CAPE TOWN OPEN 2026 ]])</f>
        <v>0</v>
      </c>
      <c r="I935" s="880">
        <f t="shared" si="77"/>
        <v>0</v>
      </c>
      <c r="J935" s="882">
        <f t="shared" si="78"/>
        <v>0</v>
      </c>
      <c r="K935" s="887" t="str">
        <f>IFERROR(VALUE(IF(Table2[[#This Row],[Player No]]="","",IFERROR(VLOOKUP(Table2[[#This Row],[Player No]],[3]Men!$D$2:$E$48,2,FALSE)&amp;"",""))),"")</f>
        <v/>
      </c>
      <c r="L935" s="887" t="str">
        <f>IFERROR(VALUE(IF(Table2[[#This Row],[Player No]]="","",IFERROR(VLOOKUP(Table2[[#This Row],[Player No]],[4]Men!$Z$14:$AB$62,2,FALSE)&amp;"",""))),"")</f>
        <v/>
      </c>
      <c r="M935" s="887"/>
      <c r="N935" s="887"/>
      <c r="O935" s="882"/>
      <c r="P935" s="882"/>
      <c r="Q935" s="888"/>
      <c r="R935" s="888"/>
      <c r="S935" s="888"/>
      <c r="T935" s="888"/>
      <c r="U935" s="882"/>
      <c r="V935" s="887"/>
      <c r="W935" s="888"/>
      <c r="X935" s="888"/>
      <c r="Y935" s="888"/>
      <c r="Z935" s="882"/>
      <c r="AA935" s="882"/>
      <c r="AB935" s="882"/>
      <c r="AC935" s="882"/>
      <c r="AD935" s="882"/>
      <c r="AE935" s="882"/>
      <c r="AF935" s="882"/>
      <c r="AG935" s="882"/>
      <c r="AH935" s="882"/>
      <c r="AI935" s="882"/>
      <c r="AJ935" s="882"/>
      <c r="AK935" s="882"/>
    </row>
    <row r="936" spans="1:38" s="890" customFormat="1">
      <c r="A936" s="882"/>
      <c r="B936" s="891"/>
      <c r="C936" s="882"/>
      <c r="D936" s="883"/>
      <c r="E936" s="884"/>
      <c r="F936" s="885" t="str">
        <f>IFERROR(VLOOKUP(Table2[[#This Row],[Player No]],Table10[[No]:[Province]],3,0),"")</f>
        <v/>
      </c>
      <c r="G936" s="892">
        <v>0</v>
      </c>
      <c r="H936" s="886">
        <f>(Table2[[#This Row],[Points 2025]]/2)+SUM(Table2[[#This Row],[O1  ADMIN 2026]:[P2    CAPE TOWN OPEN 2026 ]])</f>
        <v>0</v>
      </c>
      <c r="I936" s="880">
        <f t="shared" si="77"/>
        <v>0</v>
      </c>
      <c r="J936" s="882">
        <f t="shared" si="78"/>
        <v>0</v>
      </c>
      <c r="K936" s="887" t="str">
        <f>IFERROR(VALUE(IF(Table2[[#This Row],[Player No]]="","",IFERROR(VLOOKUP(Table2[[#This Row],[Player No]],[3]Men!$D$2:$E$48,2,FALSE)&amp;"",""))),"")</f>
        <v/>
      </c>
      <c r="L936" s="887" t="str">
        <f>IFERROR(VALUE(IF(Table2[[#This Row],[Player No]]="","",IFERROR(VLOOKUP(Table2[[#This Row],[Player No]],[4]Men!$Z$14:$AB$62,2,FALSE)&amp;"",""))),"")</f>
        <v/>
      </c>
      <c r="M936" s="887"/>
      <c r="N936" s="887"/>
      <c r="O936" s="882"/>
      <c r="P936" s="882"/>
      <c r="Q936" s="888"/>
      <c r="R936" s="888"/>
      <c r="S936" s="888"/>
      <c r="T936" s="888"/>
      <c r="U936" s="882"/>
      <c r="V936" s="887"/>
      <c r="W936" s="888"/>
      <c r="X936" s="888"/>
      <c r="Y936" s="888"/>
      <c r="Z936" s="882"/>
      <c r="AA936" s="882"/>
      <c r="AB936" s="882"/>
      <c r="AC936" s="882"/>
      <c r="AD936" s="882"/>
      <c r="AE936" s="882"/>
      <c r="AF936" s="882"/>
      <c r="AG936" s="882"/>
      <c r="AH936" s="882"/>
      <c r="AI936" s="882"/>
      <c r="AJ936" s="882"/>
      <c r="AK936" s="882"/>
    </row>
    <row r="937" spans="1:38" s="890" customFormat="1">
      <c r="A937" s="882"/>
      <c r="B937" s="891"/>
      <c r="C937" s="882"/>
      <c r="D937" s="883"/>
      <c r="E937" s="884"/>
      <c r="F937" s="885" t="str">
        <f>IFERROR(VLOOKUP(Table2[[#This Row],[Player No]],Table10[[No]:[Province]],3,0),"")</f>
        <v/>
      </c>
      <c r="G937" s="892">
        <v>0</v>
      </c>
      <c r="H937" s="886">
        <f>(Table2[[#This Row],[Points 2025]]/2)+SUM(Table2[[#This Row],[O1  ADMIN 2026]:[P2    CAPE TOWN OPEN 2026 ]])</f>
        <v>0</v>
      </c>
      <c r="I937" s="880">
        <f t="shared" si="77"/>
        <v>0</v>
      </c>
      <c r="J937" s="882">
        <f t="shared" si="78"/>
        <v>0</v>
      </c>
      <c r="K937" s="887" t="str">
        <f>IFERROR(VALUE(IF(Table2[[#This Row],[Player No]]="","",IFERROR(VLOOKUP(Table2[[#This Row],[Player No]],[3]Men!$D$2:$E$48,2,FALSE)&amp;"",""))),"")</f>
        <v/>
      </c>
      <c r="L937" s="887" t="str">
        <f>IFERROR(VALUE(IF(Table2[[#This Row],[Player No]]="","",IFERROR(VLOOKUP(Table2[[#This Row],[Player No]],[4]Men!$Z$14:$AB$62,2,FALSE)&amp;"",""))),"")</f>
        <v/>
      </c>
      <c r="M937" s="887"/>
      <c r="N937" s="887"/>
      <c r="O937" s="882"/>
      <c r="P937" s="882"/>
      <c r="Q937" s="888"/>
      <c r="R937" s="888"/>
      <c r="S937" s="888"/>
      <c r="T937" s="888"/>
      <c r="U937" s="882"/>
      <c r="V937" s="887"/>
      <c r="W937" s="888"/>
      <c r="X937" s="888"/>
      <c r="Y937" s="888"/>
      <c r="Z937" s="882"/>
      <c r="AA937" s="882"/>
      <c r="AB937" s="882"/>
      <c r="AC937" s="882"/>
      <c r="AD937" s="882"/>
      <c r="AE937" s="882"/>
      <c r="AF937" s="882"/>
      <c r="AG937" s="882"/>
      <c r="AH937" s="882"/>
      <c r="AI937" s="882"/>
      <c r="AJ937" s="882"/>
      <c r="AK937" s="882"/>
    </row>
    <row r="938" spans="1:38" s="890" customFormat="1">
      <c r="A938" s="882"/>
      <c r="B938" s="891"/>
      <c r="C938" s="882"/>
      <c r="D938" s="883"/>
      <c r="E938" s="884"/>
      <c r="F938" s="885" t="str">
        <f>IFERROR(VLOOKUP(Table2[[#This Row],[Player No]],Table10[[No]:[Province]],3,0),"")</f>
        <v/>
      </c>
      <c r="G938" s="892">
        <v>0</v>
      </c>
      <c r="H938" s="886">
        <f>(Table2[[#This Row],[Points 2025]]/2)+SUM(Table2[[#This Row],[O1  ADMIN 2026]:[P2    CAPE TOWN OPEN 2026 ]])</f>
        <v>0</v>
      </c>
      <c r="I938" s="880">
        <f t="shared" si="77"/>
        <v>0</v>
      </c>
      <c r="J938" s="882">
        <f t="shared" si="78"/>
        <v>0</v>
      </c>
      <c r="K938" s="887" t="str">
        <f>IFERROR(VALUE(IF(Table2[[#This Row],[Player No]]="","",IFERROR(VLOOKUP(Table2[[#This Row],[Player No]],[3]Men!$D$2:$E$48,2,FALSE)&amp;"",""))),"")</f>
        <v/>
      </c>
      <c r="L938" s="887" t="str">
        <f>IFERROR(VALUE(IF(Table2[[#This Row],[Player No]]="","",IFERROR(VLOOKUP(Table2[[#This Row],[Player No]],[4]Men!$Z$14:$AB$62,2,FALSE)&amp;"",""))),"")</f>
        <v/>
      </c>
      <c r="M938" s="887"/>
      <c r="N938" s="887"/>
      <c r="O938" s="882"/>
      <c r="P938" s="882"/>
      <c r="Q938" s="888"/>
      <c r="R938" s="888"/>
      <c r="S938" s="888"/>
      <c r="T938" s="888"/>
      <c r="U938" s="882"/>
      <c r="V938" s="887"/>
      <c r="W938" s="888"/>
      <c r="X938" s="888"/>
      <c r="Y938" s="888"/>
      <c r="Z938" s="882"/>
      <c r="AA938" s="882"/>
      <c r="AB938" s="882"/>
      <c r="AC938" s="882"/>
      <c r="AD938" s="882"/>
      <c r="AE938" s="882"/>
      <c r="AF938" s="882"/>
      <c r="AG938" s="882"/>
      <c r="AH938" s="882"/>
      <c r="AI938" s="882"/>
      <c r="AJ938" s="882"/>
      <c r="AK938" s="882"/>
    </row>
    <row r="939" spans="1:38" s="890" customFormat="1">
      <c r="A939" s="882"/>
      <c r="B939" s="891"/>
      <c r="C939" s="882"/>
      <c r="D939" s="883"/>
      <c r="E939" s="884"/>
      <c r="F939" s="885" t="str">
        <f>IFERROR(VLOOKUP(Table2[[#This Row],[Player No]],Table10[[No]:[Province]],3,0),"")</f>
        <v/>
      </c>
      <c r="G939" s="892">
        <v>0</v>
      </c>
      <c r="H939" s="886">
        <f>(Table2[[#This Row],[Points 2025]]/2)+SUM(Table2[[#This Row],[O1  ADMIN 2026]:[P2    CAPE TOWN OPEN 2026 ]])</f>
        <v>0</v>
      </c>
      <c r="I939" s="880">
        <f t="shared" si="77"/>
        <v>0</v>
      </c>
      <c r="J939" s="882">
        <f t="shared" si="78"/>
        <v>0</v>
      </c>
      <c r="K939" s="887" t="str">
        <f>IFERROR(VALUE(IF(Table2[[#This Row],[Player No]]="","",IFERROR(VLOOKUP(Table2[[#This Row],[Player No]],[3]Men!$D$2:$E$48,2,FALSE)&amp;"",""))),"")</f>
        <v/>
      </c>
      <c r="L939" s="887" t="str">
        <f>IFERROR(VALUE(IF(Table2[[#This Row],[Player No]]="","",IFERROR(VLOOKUP(Table2[[#This Row],[Player No]],[4]Men!$Z$14:$AB$62,2,FALSE)&amp;"",""))),"")</f>
        <v/>
      </c>
      <c r="M939" s="887"/>
      <c r="N939" s="887"/>
      <c r="O939" s="882"/>
      <c r="P939" s="882"/>
      <c r="Q939" s="888"/>
      <c r="R939" s="888"/>
      <c r="S939" s="888"/>
      <c r="T939" s="888"/>
      <c r="U939" s="882"/>
      <c r="V939" s="887"/>
      <c r="W939" s="888"/>
      <c r="X939" s="888"/>
      <c r="Y939" s="888"/>
      <c r="Z939" s="882"/>
      <c r="AA939" s="882"/>
      <c r="AB939" s="882"/>
      <c r="AC939" s="882"/>
      <c r="AD939" s="882"/>
      <c r="AE939" s="882"/>
      <c r="AF939" s="882"/>
      <c r="AG939" s="882"/>
      <c r="AH939" s="882"/>
      <c r="AI939" s="882"/>
      <c r="AJ939" s="882"/>
      <c r="AK939" s="882"/>
    </row>
    <row r="940" spans="1:38" s="890" customFormat="1">
      <c r="A940" s="882"/>
      <c r="B940" s="891"/>
      <c r="C940" s="882"/>
      <c r="D940" s="883"/>
      <c r="E940" s="884"/>
      <c r="F940" s="885" t="str">
        <f>IFERROR(VLOOKUP(Table2[[#This Row],[Player No]],Table10[[No]:[Province]],3,0),"")</f>
        <v/>
      </c>
      <c r="G940" s="892">
        <v>0</v>
      </c>
      <c r="H940" s="886">
        <f>(Table2[[#This Row],[Points 2025]]/2)+SUM(Table2[[#This Row],[O1  ADMIN 2026]:[P2    CAPE TOWN OPEN 2026 ]])</f>
        <v>0</v>
      </c>
      <c r="I940" s="880">
        <f t="shared" si="77"/>
        <v>0</v>
      </c>
      <c r="J940" s="882">
        <f t="shared" si="78"/>
        <v>0</v>
      </c>
      <c r="K940" s="887" t="str">
        <f>IFERROR(VALUE(IF(Table2[[#This Row],[Player No]]="","",IFERROR(VLOOKUP(Table2[[#This Row],[Player No]],[3]Men!$D$2:$E$48,2,FALSE)&amp;"",""))),"")</f>
        <v/>
      </c>
      <c r="L940" s="887" t="str">
        <f>IFERROR(VALUE(IF(Table2[[#This Row],[Player No]]="","",IFERROR(VLOOKUP(Table2[[#This Row],[Player No]],[4]Men!$Z$14:$AB$62,2,FALSE)&amp;"",""))),"")</f>
        <v/>
      </c>
      <c r="M940" s="887"/>
      <c r="N940" s="887"/>
      <c r="O940" s="882"/>
      <c r="P940" s="882"/>
      <c r="Q940" s="888"/>
      <c r="R940" s="888"/>
      <c r="S940" s="888"/>
      <c r="T940" s="888"/>
      <c r="U940" s="882"/>
      <c r="V940" s="887"/>
      <c r="W940" s="888"/>
      <c r="X940" s="888"/>
      <c r="Y940" s="888"/>
      <c r="Z940" s="882"/>
      <c r="AA940" s="882"/>
      <c r="AB940" s="882"/>
      <c r="AC940" s="882"/>
      <c r="AD940" s="882"/>
      <c r="AE940" s="882"/>
      <c r="AF940" s="882"/>
      <c r="AG940" s="882"/>
      <c r="AH940" s="882"/>
      <c r="AI940" s="882"/>
      <c r="AJ940" s="882"/>
      <c r="AK940" s="882"/>
    </row>
    <row r="941" spans="1:38" s="890" customFormat="1">
      <c r="A941" s="882"/>
      <c r="B941" s="891"/>
      <c r="C941" s="882"/>
      <c r="D941" s="883"/>
      <c r="E941" s="884"/>
      <c r="F941" s="885" t="str">
        <f>IFERROR(VLOOKUP(Table2[[#This Row],[Player No]],Table10[[No]:[Province]],3,0),"")</f>
        <v/>
      </c>
      <c r="G941" s="892">
        <v>0</v>
      </c>
      <c r="H941" s="886">
        <f>(Table2[[#This Row],[Points 2025]]/2)+SUM(Table2[[#This Row],[O1  ADMIN 2026]:[P2    CAPE TOWN OPEN 2026 ]])</f>
        <v>0</v>
      </c>
      <c r="I941" s="880">
        <f t="shared" si="77"/>
        <v>0</v>
      </c>
      <c r="J941" s="882">
        <f t="shared" si="78"/>
        <v>0</v>
      </c>
      <c r="K941" s="887" t="str">
        <f>IFERROR(VALUE(IF(Table2[[#This Row],[Player No]]="","",IFERROR(VLOOKUP(Table2[[#This Row],[Player No]],[3]Men!$D$2:$E$48,2,FALSE)&amp;"",""))),"")</f>
        <v/>
      </c>
      <c r="L941" s="887" t="str">
        <f>IFERROR(VALUE(IF(Table2[[#This Row],[Player No]]="","",IFERROR(VLOOKUP(Table2[[#This Row],[Player No]],[4]Men!$Z$14:$AB$62,2,FALSE)&amp;"",""))),"")</f>
        <v/>
      </c>
      <c r="M941" s="887"/>
      <c r="N941" s="887"/>
      <c r="O941" s="882"/>
      <c r="P941" s="882"/>
      <c r="Q941" s="888"/>
      <c r="R941" s="888"/>
      <c r="S941" s="888"/>
      <c r="T941" s="888"/>
      <c r="U941" s="882"/>
      <c r="V941" s="887"/>
      <c r="W941" s="888"/>
      <c r="X941" s="888"/>
      <c r="Y941" s="888"/>
      <c r="Z941" s="882"/>
      <c r="AA941" s="882"/>
      <c r="AB941" s="882"/>
      <c r="AC941" s="882"/>
      <c r="AD941" s="882"/>
      <c r="AE941" s="882"/>
      <c r="AF941" s="882"/>
      <c r="AG941" s="882"/>
      <c r="AH941" s="882"/>
      <c r="AI941" s="882"/>
      <c r="AJ941" s="882"/>
      <c r="AK941" s="882"/>
    </row>
    <row r="942" spans="1:38">
      <c r="A942" s="882"/>
      <c r="B942" s="891"/>
      <c r="C942" s="882"/>
      <c r="D942" s="883"/>
      <c r="E942" s="884"/>
      <c r="F942" s="885" t="str">
        <f>IFERROR(VLOOKUP(Table2[[#This Row],[Player No]],Table10[[No]:[Province]],3,0),"")</f>
        <v/>
      </c>
      <c r="G942" s="892">
        <v>0</v>
      </c>
      <c r="H942" s="886">
        <f>(Table2[[#This Row],[Points 2025]]/2)+SUM(Table2[[#This Row],[O1  ADMIN 2026]:[P2    CAPE TOWN OPEN 2026 ]])</f>
        <v>0</v>
      </c>
      <c r="I942" s="880">
        <f t="shared" si="77"/>
        <v>0</v>
      </c>
      <c r="J942" s="882">
        <f t="shared" si="78"/>
        <v>0</v>
      </c>
      <c r="K942" s="887" t="str">
        <f>IFERROR(VALUE(IF(Table2[[#This Row],[Player No]]="","",IFERROR(VLOOKUP(Table2[[#This Row],[Player No]],[3]Men!$D$2:$E$48,2,FALSE)&amp;"",""))),"")</f>
        <v/>
      </c>
      <c r="L942" s="887" t="str">
        <f>IFERROR(VALUE(IF(Table2[[#This Row],[Player No]]="","",IFERROR(VLOOKUP(Table2[[#This Row],[Player No]],[4]Men!$Z$14:$AB$62,2,FALSE)&amp;"",""))),"")</f>
        <v/>
      </c>
      <c r="M942" s="887"/>
      <c r="N942" s="887"/>
      <c r="O942" s="882"/>
      <c r="P942" s="882"/>
      <c r="Q942" s="888"/>
      <c r="R942" s="888"/>
      <c r="S942" s="882"/>
      <c r="T942" s="888"/>
      <c r="U942" s="882"/>
      <c r="V942" s="887"/>
      <c r="W942" s="888"/>
      <c r="X942" s="882"/>
      <c r="Y942" s="888"/>
      <c r="Z942" s="882"/>
      <c r="AA942" s="882"/>
      <c r="AB942" s="882"/>
      <c r="AC942" s="882"/>
      <c r="AD942" s="882"/>
      <c r="AE942" s="882"/>
      <c r="AF942" s="882"/>
      <c r="AG942" s="882"/>
      <c r="AH942" s="882"/>
      <c r="AI942" s="882"/>
      <c r="AJ942" s="882"/>
      <c r="AK942" s="882"/>
      <c r="AL942" s="865"/>
    </row>
    <row r="943" spans="1:38">
      <c r="A943" s="882"/>
      <c r="B943" s="891"/>
      <c r="C943" s="882"/>
      <c r="D943" s="883"/>
      <c r="E943" s="884"/>
      <c r="F943" s="885" t="str">
        <f>IFERROR(VLOOKUP(Table2[[#This Row],[Player No]],Table10[[No]:[Province]],3,0),"")</f>
        <v/>
      </c>
      <c r="G943" s="892">
        <v>0</v>
      </c>
      <c r="H943" s="886">
        <f>(Table2[[#This Row],[Points 2025]]/2)+SUM(Table2[[#This Row],[O1  ADMIN 2026]:[P2    CAPE TOWN OPEN 2026 ]])</f>
        <v>0</v>
      </c>
      <c r="I943" s="880">
        <f t="shared" si="77"/>
        <v>0</v>
      </c>
      <c r="J943" s="882">
        <f t="shared" si="78"/>
        <v>0</v>
      </c>
      <c r="K943" s="887" t="str">
        <f>IFERROR(VALUE(IF(Table2[[#This Row],[Player No]]="","",IFERROR(VLOOKUP(Table2[[#This Row],[Player No]],[3]Men!$D$2:$E$48,2,FALSE)&amp;"",""))),"")</f>
        <v/>
      </c>
      <c r="L943" s="887" t="str">
        <f>IFERROR(VALUE(IF(Table2[[#This Row],[Player No]]="","",IFERROR(VLOOKUP(Table2[[#This Row],[Player No]],[4]Men!$Z$14:$AB$62,2,FALSE)&amp;"",""))),"")</f>
        <v/>
      </c>
      <c r="M943" s="887"/>
      <c r="N943" s="887"/>
      <c r="O943" s="882"/>
      <c r="P943" s="882"/>
      <c r="Q943" s="888"/>
      <c r="R943" s="888"/>
      <c r="S943" s="882"/>
      <c r="T943" s="888"/>
      <c r="U943" s="882"/>
      <c r="V943" s="887"/>
      <c r="W943" s="888"/>
      <c r="X943" s="882"/>
      <c r="Y943" s="888"/>
      <c r="Z943" s="882"/>
      <c r="AA943" s="882"/>
      <c r="AB943" s="882"/>
      <c r="AC943" s="882"/>
      <c r="AD943" s="882"/>
      <c r="AE943" s="882"/>
      <c r="AF943" s="882"/>
      <c r="AG943" s="882"/>
      <c r="AH943" s="882"/>
      <c r="AI943" s="882"/>
      <c r="AJ943" s="882"/>
      <c r="AK943" s="882"/>
      <c r="AL943" s="865"/>
    </row>
    <row r="944" spans="1:38">
      <c r="A944" s="882"/>
      <c r="B944" s="891"/>
      <c r="C944" s="882"/>
      <c r="D944" s="883"/>
      <c r="E944" s="884"/>
      <c r="F944" s="885" t="str">
        <f>IFERROR(VLOOKUP(Table2[[#This Row],[Player No]],Table10[[No]:[Province]],3,0),"")</f>
        <v/>
      </c>
      <c r="G944" s="892">
        <v>0</v>
      </c>
      <c r="H944" s="886">
        <f>(Table2[[#This Row],[Points 2025]]/2)+SUM(Table2[[#This Row],[O1  ADMIN 2026]:[P2    CAPE TOWN OPEN 2026 ]])</f>
        <v>0</v>
      </c>
      <c r="I944" s="880">
        <f t="shared" si="77"/>
        <v>0</v>
      </c>
      <c r="J944" s="882">
        <f t="shared" si="78"/>
        <v>0</v>
      </c>
      <c r="K944" s="887" t="str">
        <f>IFERROR(VALUE(IF(Table2[[#This Row],[Player No]]="","",IFERROR(VLOOKUP(Table2[[#This Row],[Player No]],[3]Men!$D$2:$E$48,2,FALSE)&amp;"",""))),"")</f>
        <v/>
      </c>
      <c r="L944" s="887" t="str">
        <f>IFERROR(VALUE(IF(Table2[[#This Row],[Player No]]="","",IFERROR(VLOOKUP(Table2[[#This Row],[Player No]],[4]Men!$Z$14:$AB$62,2,FALSE)&amp;"",""))),"")</f>
        <v/>
      </c>
      <c r="M944" s="887"/>
      <c r="N944" s="887"/>
      <c r="O944" s="882"/>
      <c r="P944" s="882"/>
      <c r="Q944" s="888"/>
      <c r="R944" s="888"/>
      <c r="S944" s="882"/>
      <c r="T944" s="888"/>
      <c r="U944" s="882"/>
      <c r="V944" s="887"/>
      <c r="W944" s="888"/>
      <c r="X944" s="882"/>
      <c r="Y944" s="888"/>
      <c r="Z944" s="882"/>
      <c r="AA944" s="882"/>
      <c r="AB944" s="882"/>
      <c r="AC944" s="882"/>
      <c r="AD944" s="882"/>
      <c r="AE944" s="882"/>
      <c r="AF944" s="882"/>
      <c r="AG944" s="882"/>
      <c r="AH944" s="882"/>
      <c r="AI944" s="882"/>
      <c r="AJ944" s="882"/>
      <c r="AK944" s="882"/>
      <c r="AL944" s="865"/>
    </row>
    <row r="945" spans="1:38">
      <c r="A945" s="882"/>
      <c r="B945" s="891"/>
      <c r="C945" s="882"/>
      <c r="D945" s="883"/>
      <c r="E945" s="884"/>
      <c r="F945" s="885" t="str">
        <f>IFERROR(VLOOKUP(Table2[[#This Row],[Player No]],Table10[[No]:[Province]],3,0),"")</f>
        <v/>
      </c>
      <c r="G945" s="892">
        <v>0</v>
      </c>
      <c r="H945" s="886">
        <f>(Table2[[#This Row],[Points 2025]]/2)+SUM(Table2[[#This Row],[O1  ADMIN 2026]:[P2    CAPE TOWN OPEN 2026 ]])</f>
        <v>0</v>
      </c>
      <c r="I945" s="880">
        <f t="shared" si="77"/>
        <v>0</v>
      </c>
      <c r="J945" s="882">
        <f t="shared" si="78"/>
        <v>0</v>
      </c>
      <c r="K945" s="887" t="str">
        <f>IFERROR(VALUE(IF(Table2[[#This Row],[Player No]]="","",IFERROR(VLOOKUP(Table2[[#This Row],[Player No]],[3]Men!$D$2:$E$48,2,FALSE)&amp;"",""))),"")</f>
        <v/>
      </c>
      <c r="L945" s="887" t="str">
        <f>IFERROR(VALUE(IF(Table2[[#This Row],[Player No]]="","",IFERROR(VLOOKUP(Table2[[#This Row],[Player No]],[4]Men!$Z$14:$AB$62,2,FALSE)&amp;"",""))),"")</f>
        <v/>
      </c>
      <c r="M945" s="887"/>
      <c r="N945" s="887"/>
      <c r="O945" s="882"/>
      <c r="P945" s="882"/>
      <c r="Q945" s="888"/>
      <c r="R945" s="888"/>
      <c r="S945" s="882"/>
      <c r="T945" s="888"/>
      <c r="U945" s="882"/>
      <c r="V945" s="887"/>
      <c r="W945" s="888"/>
      <c r="X945" s="882"/>
      <c r="Y945" s="888"/>
      <c r="Z945" s="882"/>
      <c r="AA945" s="882"/>
      <c r="AB945" s="882"/>
      <c r="AC945" s="882"/>
      <c r="AD945" s="882"/>
      <c r="AE945" s="882"/>
      <c r="AF945" s="882"/>
      <c r="AG945" s="882"/>
      <c r="AH945" s="882"/>
      <c r="AI945" s="882"/>
      <c r="AJ945" s="882"/>
      <c r="AK945" s="882"/>
      <c r="AL945" s="865"/>
    </row>
    <row r="946" spans="1:38">
      <c r="A946" s="882"/>
      <c r="B946" s="891"/>
      <c r="C946" s="882"/>
      <c r="D946" s="883"/>
      <c r="E946" s="884"/>
      <c r="F946" s="885" t="str">
        <f>IFERROR(VLOOKUP(Table2[[#This Row],[Player No]],Table10[[No]:[Province]],3,0),"")</f>
        <v/>
      </c>
      <c r="G946" s="892">
        <v>0</v>
      </c>
      <c r="H946" s="886">
        <f>(Table2[[#This Row],[Points 2025]]/2)+SUM(Table2[[#This Row],[O1  ADMIN 2026]:[P2    CAPE TOWN OPEN 2026 ]])</f>
        <v>0</v>
      </c>
      <c r="I946" s="880">
        <f t="shared" si="77"/>
        <v>0</v>
      </c>
      <c r="J946" s="882">
        <f t="shared" si="78"/>
        <v>0</v>
      </c>
      <c r="K946" s="887" t="str">
        <f>IFERROR(VALUE(IF(Table2[[#This Row],[Player No]]="","",IFERROR(VLOOKUP(Table2[[#This Row],[Player No]],[3]Men!$D$2:$E$48,2,FALSE)&amp;"",""))),"")</f>
        <v/>
      </c>
      <c r="L946" s="887" t="str">
        <f>IFERROR(VALUE(IF(Table2[[#This Row],[Player No]]="","",IFERROR(VLOOKUP(Table2[[#This Row],[Player No]],[4]Men!$Z$14:$AB$62,2,FALSE)&amp;"",""))),"")</f>
        <v/>
      </c>
      <c r="M946" s="887"/>
      <c r="N946" s="887"/>
      <c r="O946" s="882"/>
      <c r="P946" s="882"/>
      <c r="Q946" s="888"/>
      <c r="R946" s="888"/>
      <c r="S946" s="882"/>
      <c r="T946" s="888"/>
      <c r="U946" s="882"/>
      <c r="V946" s="887"/>
      <c r="W946" s="888"/>
      <c r="X946" s="882"/>
      <c r="Y946" s="888"/>
      <c r="Z946" s="882"/>
      <c r="AA946" s="882"/>
      <c r="AB946" s="882"/>
      <c r="AC946" s="882"/>
      <c r="AD946" s="882"/>
      <c r="AE946" s="882"/>
      <c r="AF946" s="882"/>
      <c r="AG946" s="882"/>
      <c r="AH946" s="882"/>
      <c r="AI946" s="882"/>
      <c r="AJ946" s="882"/>
      <c r="AK946" s="882"/>
      <c r="AL946" s="865"/>
    </row>
    <row r="947" spans="1:38">
      <c r="A947" s="882"/>
      <c r="B947" s="891"/>
      <c r="C947" s="882"/>
      <c r="D947" s="883"/>
      <c r="E947" s="884"/>
      <c r="F947" s="885" t="str">
        <f>IFERROR(VLOOKUP(Table2[[#This Row],[Player No]],Table10[[No]:[Province]],3,0),"")</f>
        <v/>
      </c>
      <c r="G947" s="892">
        <v>0</v>
      </c>
      <c r="H947" s="886">
        <f>(Table2[[#This Row],[Points 2025]]/2)+SUM(Table2[[#This Row],[O1  ADMIN 2026]:[P2    CAPE TOWN OPEN 2026 ]])</f>
        <v>0</v>
      </c>
      <c r="I947" s="880">
        <f t="shared" si="77"/>
        <v>0</v>
      </c>
      <c r="J947" s="882">
        <f t="shared" si="78"/>
        <v>0</v>
      </c>
      <c r="K947" s="887" t="str">
        <f>IFERROR(VALUE(IF(Table2[[#This Row],[Player No]]="","",IFERROR(VLOOKUP(Table2[[#This Row],[Player No]],[3]Men!$D$2:$E$48,2,FALSE)&amp;"",""))),"")</f>
        <v/>
      </c>
      <c r="L947" s="887" t="str">
        <f>IFERROR(VALUE(IF(Table2[[#This Row],[Player No]]="","",IFERROR(VLOOKUP(Table2[[#This Row],[Player No]],[4]Men!$Z$14:$AB$62,2,FALSE)&amp;"",""))),"")</f>
        <v/>
      </c>
      <c r="M947" s="887"/>
      <c r="N947" s="887"/>
      <c r="O947" s="882"/>
      <c r="P947" s="882"/>
      <c r="Q947" s="888"/>
      <c r="R947" s="888"/>
      <c r="S947" s="882"/>
      <c r="T947" s="888"/>
      <c r="U947" s="882"/>
      <c r="V947" s="887"/>
      <c r="W947" s="888"/>
      <c r="X947" s="882"/>
      <c r="Y947" s="888"/>
      <c r="Z947" s="882"/>
      <c r="AA947" s="882"/>
      <c r="AB947" s="882"/>
      <c r="AC947" s="882"/>
      <c r="AD947" s="882"/>
      <c r="AE947" s="882"/>
      <c r="AF947" s="882"/>
      <c r="AG947" s="882"/>
      <c r="AH947" s="882"/>
      <c r="AI947" s="882"/>
      <c r="AJ947" s="882"/>
      <c r="AK947" s="882"/>
      <c r="AL947" s="865"/>
    </row>
    <row r="948" spans="1:38">
      <c r="A948" s="882"/>
      <c r="B948" s="891"/>
      <c r="C948" s="882"/>
      <c r="D948" s="883"/>
      <c r="E948" s="884"/>
      <c r="F948" s="885" t="str">
        <f>IFERROR(VLOOKUP(Table2[[#This Row],[Player No]],Table10[[No]:[Province]],3,0),"")</f>
        <v/>
      </c>
      <c r="G948" s="892">
        <v>0</v>
      </c>
      <c r="H948" s="886">
        <f>(Table2[[#This Row],[Points 2025]]/2)+SUM(Table2[[#This Row],[O1  ADMIN 2026]:[P2    CAPE TOWN OPEN 2026 ]])</f>
        <v>0</v>
      </c>
      <c r="I948" s="880">
        <f t="shared" si="77"/>
        <v>0</v>
      </c>
      <c r="J948" s="882">
        <f t="shared" si="78"/>
        <v>0</v>
      </c>
      <c r="K948" s="887" t="str">
        <f>IFERROR(VALUE(IF(Table2[[#This Row],[Player No]]="","",IFERROR(VLOOKUP(Table2[[#This Row],[Player No]],[3]Men!$D$2:$E$48,2,FALSE)&amp;"",""))),"")</f>
        <v/>
      </c>
      <c r="L948" s="887" t="str">
        <f>IFERROR(VALUE(IF(Table2[[#This Row],[Player No]]="","",IFERROR(VLOOKUP(Table2[[#This Row],[Player No]],[4]Men!$Z$14:$AB$62,2,FALSE)&amp;"",""))),"")</f>
        <v/>
      </c>
      <c r="M948" s="887"/>
      <c r="N948" s="887"/>
      <c r="O948" s="882"/>
      <c r="P948" s="882"/>
      <c r="Q948" s="888"/>
      <c r="R948" s="888"/>
      <c r="S948" s="882"/>
      <c r="T948" s="888"/>
      <c r="U948" s="882"/>
      <c r="V948" s="887"/>
      <c r="W948" s="888"/>
      <c r="X948" s="882"/>
      <c r="Y948" s="888"/>
      <c r="Z948" s="882"/>
      <c r="AA948" s="882"/>
      <c r="AB948" s="882"/>
      <c r="AC948" s="882"/>
      <c r="AD948" s="882"/>
      <c r="AE948" s="882"/>
      <c r="AF948" s="882"/>
      <c r="AG948" s="882"/>
      <c r="AH948" s="882"/>
      <c r="AI948" s="882"/>
      <c r="AJ948" s="882"/>
      <c r="AK948" s="882"/>
      <c r="AL948" s="865"/>
    </row>
    <row r="949" spans="1:38">
      <c r="A949" s="882"/>
      <c r="B949" s="891"/>
      <c r="C949" s="882"/>
      <c r="D949" s="883"/>
      <c r="E949" s="884"/>
      <c r="F949" s="885" t="str">
        <f>IFERROR(VLOOKUP(Table2[[#This Row],[Player No]],Table10[[No]:[Province]],3,0),"")</f>
        <v/>
      </c>
      <c r="G949" s="892">
        <v>0</v>
      </c>
      <c r="H949" s="886">
        <f>(Table2[[#This Row],[Points 2025]]/2)+SUM(Table2[[#This Row],[O1  ADMIN 2026]:[P2    CAPE TOWN OPEN 2026 ]])</f>
        <v>0</v>
      </c>
      <c r="I949" s="880">
        <f t="shared" si="77"/>
        <v>0</v>
      </c>
      <c r="J949" s="882">
        <f t="shared" si="78"/>
        <v>0</v>
      </c>
      <c r="K949" s="887" t="str">
        <f>IFERROR(VALUE(IF(Table2[[#This Row],[Player No]]="","",IFERROR(VLOOKUP(Table2[[#This Row],[Player No]],[3]Men!$D$2:$E$48,2,FALSE)&amp;"",""))),"")</f>
        <v/>
      </c>
      <c r="L949" s="887" t="str">
        <f>IFERROR(VALUE(IF(Table2[[#This Row],[Player No]]="","",IFERROR(VLOOKUP(Table2[[#This Row],[Player No]],[4]Men!$Z$14:$AB$62,2,FALSE)&amp;"",""))),"")</f>
        <v/>
      </c>
      <c r="M949" s="887"/>
      <c r="N949" s="887"/>
      <c r="O949" s="882"/>
      <c r="P949" s="882"/>
      <c r="Q949" s="888"/>
      <c r="R949" s="888"/>
      <c r="S949" s="882"/>
      <c r="T949" s="888"/>
      <c r="U949" s="882"/>
      <c r="V949" s="887"/>
      <c r="W949" s="888"/>
      <c r="X949" s="882"/>
      <c r="Y949" s="888"/>
      <c r="Z949" s="882"/>
      <c r="AA949" s="882"/>
      <c r="AB949" s="882"/>
      <c r="AC949" s="882"/>
      <c r="AD949" s="882"/>
      <c r="AE949" s="882"/>
      <c r="AF949" s="882"/>
      <c r="AG949" s="882"/>
      <c r="AH949" s="882"/>
      <c r="AI949" s="882"/>
      <c r="AJ949" s="882"/>
      <c r="AK949" s="882"/>
      <c r="AL949" s="865"/>
    </row>
    <row r="950" spans="1:38">
      <c r="A950" s="882"/>
      <c r="B950" s="891"/>
      <c r="C950" s="882"/>
      <c r="D950" s="883"/>
      <c r="E950" s="884"/>
      <c r="F950" s="885" t="str">
        <f>IFERROR(VLOOKUP(Table2[[#This Row],[Player No]],Table10[[No]:[Province]],3,0),"")</f>
        <v/>
      </c>
      <c r="G950" s="892">
        <v>0</v>
      </c>
      <c r="H950" s="886">
        <f>(Table2[[#This Row],[Points 2025]]/2)+SUM(Table2[[#This Row],[O1  ADMIN 2026]:[P2    CAPE TOWN OPEN 2026 ]])</f>
        <v>0</v>
      </c>
      <c r="I950" s="880">
        <f t="shared" si="77"/>
        <v>0</v>
      </c>
      <c r="J950" s="882">
        <f t="shared" si="78"/>
        <v>0</v>
      </c>
      <c r="K950" s="887" t="str">
        <f>IFERROR(VALUE(IF(Table2[[#This Row],[Player No]]="","",IFERROR(VLOOKUP(Table2[[#This Row],[Player No]],[3]Men!$D$2:$E$48,2,FALSE)&amp;"",""))),"")</f>
        <v/>
      </c>
      <c r="L950" s="887" t="str">
        <f>IFERROR(VALUE(IF(Table2[[#This Row],[Player No]]="","",IFERROR(VLOOKUP(Table2[[#This Row],[Player No]],[4]Men!$Z$14:$AB$62,2,FALSE)&amp;"",""))),"")</f>
        <v/>
      </c>
      <c r="M950" s="887"/>
      <c r="N950" s="887"/>
      <c r="O950" s="882"/>
      <c r="P950" s="882"/>
      <c r="Q950" s="888"/>
      <c r="R950" s="888"/>
      <c r="S950" s="882"/>
      <c r="T950" s="888"/>
      <c r="U950" s="882"/>
      <c r="V950" s="887"/>
      <c r="W950" s="888"/>
      <c r="X950" s="882"/>
      <c r="Y950" s="888"/>
      <c r="Z950" s="882"/>
      <c r="AA950" s="882"/>
      <c r="AB950" s="882"/>
      <c r="AC950" s="882"/>
      <c r="AD950" s="882"/>
      <c r="AE950" s="882"/>
      <c r="AF950" s="882"/>
      <c r="AG950" s="882"/>
      <c r="AH950" s="882"/>
      <c r="AI950" s="882"/>
      <c r="AJ950" s="882"/>
      <c r="AK950" s="882"/>
      <c r="AL950" s="865"/>
    </row>
    <row r="951" spans="1:38">
      <c r="A951" s="882"/>
      <c r="B951" s="891"/>
      <c r="C951" s="882"/>
      <c r="D951" s="883"/>
      <c r="E951" s="884"/>
      <c r="F951" s="885" t="str">
        <f>IFERROR(VLOOKUP(Table2[[#This Row],[Player No]],Table10[[No]:[Province]],3,0),"")</f>
        <v/>
      </c>
      <c r="G951" s="892">
        <v>0</v>
      </c>
      <c r="H951" s="886">
        <f>(Table2[[#This Row],[Points 2025]]/2)+SUM(Table2[[#This Row],[O1  ADMIN 2026]:[P2    CAPE TOWN OPEN 2026 ]])</f>
        <v>0</v>
      </c>
      <c r="I951" s="880">
        <f t="shared" si="77"/>
        <v>0</v>
      </c>
      <c r="J951" s="882">
        <f t="shared" si="78"/>
        <v>0</v>
      </c>
      <c r="K951" s="887" t="str">
        <f>IFERROR(VALUE(IF(Table2[[#This Row],[Player No]]="","",IFERROR(VLOOKUP(Table2[[#This Row],[Player No]],[3]Men!$D$2:$E$48,2,FALSE)&amp;"",""))),"")</f>
        <v/>
      </c>
      <c r="L951" s="887" t="str">
        <f>IFERROR(VALUE(IF(Table2[[#This Row],[Player No]]="","",IFERROR(VLOOKUP(Table2[[#This Row],[Player No]],[4]Men!$Z$14:$AB$62,2,FALSE)&amp;"",""))),"")</f>
        <v/>
      </c>
      <c r="M951" s="887"/>
      <c r="N951" s="887"/>
      <c r="O951" s="882"/>
      <c r="P951" s="882"/>
      <c r="Q951" s="888"/>
      <c r="R951" s="888"/>
      <c r="S951" s="882"/>
      <c r="T951" s="888"/>
      <c r="U951" s="882"/>
      <c r="V951" s="887"/>
      <c r="W951" s="888"/>
      <c r="X951" s="882"/>
      <c r="Y951" s="888"/>
      <c r="Z951" s="882"/>
      <c r="AA951" s="882"/>
      <c r="AB951" s="882"/>
      <c r="AC951" s="882"/>
      <c r="AD951" s="882"/>
      <c r="AE951" s="882"/>
      <c r="AF951" s="882"/>
      <c r="AG951" s="882"/>
      <c r="AH951" s="882"/>
      <c r="AI951" s="882"/>
      <c r="AJ951" s="882"/>
      <c r="AK951" s="882"/>
      <c r="AL951" s="865"/>
    </row>
    <row r="952" spans="1:38">
      <c r="A952" s="882"/>
      <c r="B952" s="891"/>
      <c r="C952" s="882"/>
      <c r="D952" s="883"/>
      <c r="E952" s="884"/>
      <c r="F952" s="885" t="str">
        <f>IFERROR(VLOOKUP(Table2[[#This Row],[Player No]],Table10[[No]:[Province]],3,0),"")</f>
        <v/>
      </c>
      <c r="G952" s="892">
        <v>0</v>
      </c>
      <c r="H952" s="886">
        <f>(Table2[[#This Row],[Points 2025]]/2)+SUM(Table2[[#This Row],[O1  ADMIN 2026]:[P2    CAPE TOWN OPEN 2026 ]])</f>
        <v>0</v>
      </c>
      <c r="I952" s="880">
        <f t="shared" si="77"/>
        <v>0</v>
      </c>
      <c r="J952" s="882">
        <f t="shared" si="78"/>
        <v>0</v>
      </c>
      <c r="K952" s="887" t="str">
        <f>IFERROR(VALUE(IF(Table2[[#This Row],[Player No]]="","",IFERROR(VLOOKUP(Table2[[#This Row],[Player No]],[3]Men!$D$2:$E$48,2,FALSE)&amp;"",""))),"")</f>
        <v/>
      </c>
      <c r="L952" s="887" t="str">
        <f>IFERROR(VALUE(IF(Table2[[#This Row],[Player No]]="","",IFERROR(VLOOKUP(Table2[[#This Row],[Player No]],[4]Men!$Z$14:$AB$62,2,FALSE)&amp;"",""))),"")</f>
        <v/>
      </c>
      <c r="M952" s="887"/>
      <c r="N952" s="887"/>
      <c r="O952" s="882"/>
      <c r="P952" s="882"/>
      <c r="Q952" s="888"/>
      <c r="R952" s="888"/>
      <c r="S952" s="882"/>
      <c r="T952" s="888"/>
      <c r="U952" s="882"/>
      <c r="V952" s="887"/>
      <c r="W952" s="888"/>
      <c r="X952" s="882"/>
      <c r="Y952" s="888"/>
      <c r="Z952" s="882"/>
      <c r="AA952" s="882"/>
      <c r="AB952" s="882"/>
      <c r="AC952" s="882"/>
      <c r="AD952" s="882"/>
      <c r="AE952" s="882"/>
      <c r="AF952" s="882"/>
      <c r="AG952" s="882"/>
      <c r="AH952" s="882"/>
      <c r="AI952" s="882"/>
      <c r="AJ952" s="882"/>
      <c r="AK952" s="882"/>
      <c r="AL952" s="865"/>
    </row>
    <row r="953" spans="1:38">
      <c r="A953" s="882"/>
      <c r="B953" s="891"/>
      <c r="C953" s="882"/>
      <c r="D953" s="883"/>
      <c r="E953" s="884"/>
      <c r="F953" s="885" t="str">
        <f>IFERROR(VLOOKUP(Table2[[#This Row],[Player No]],Table10[[No]:[Province]],3,0),"")</f>
        <v/>
      </c>
      <c r="G953" s="892">
        <v>0</v>
      </c>
      <c r="H953" s="886">
        <f>(Table2[[#This Row],[Points 2025]]/2)+SUM(Table2[[#This Row],[O1  ADMIN 2026]:[P2    CAPE TOWN OPEN 2026 ]])</f>
        <v>0</v>
      </c>
      <c r="I953" s="880">
        <f t="shared" si="77"/>
        <v>0</v>
      </c>
      <c r="J953" s="882">
        <f t="shared" si="78"/>
        <v>0</v>
      </c>
      <c r="K953" s="887" t="str">
        <f>IFERROR(VALUE(IF(Table2[[#This Row],[Player No]]="","",IFERROR(VLOOKUP(Table2[[#This Row],[Player No]],[3]Men!$D$2:$E$48,2,FALSE)&amp;"",""))),"")</f>
        <v/>
      </c>
      <c r="L953" s="887" t="str">
        <f>IFERROR(VALUE(IF(Table2[[#This Row],[Player No]]="","",IFERROR(VLOOKUP(Table2[[#This Row],[Player No]],[4]Men!$Z$14:$AB$62,2,FALSE)&amp;"",""))),"")</f>
        <v/>
      </c>
      <c r="M953" s="887"/>
      <c r="N953" s="887"/>
      <c r="O953" s="882"/>
      <c r="P953" s="882"/>
      <c r="Q953" s="888"/>
      <c r="R953" s="888"/>
      <c r="S953" s="882"/>
      <c r="T953" s="888"/>
      <c r="U953" s="882"/>
      <c r="V953" s="887"/>
      <c r="W953" s="888"/>
      <c r="X953" s="882"/>
      <c r="Y953" s="888"/>
      <c r="Z953" s="882"/>
      <c r="AA953" s="882"/>
      <c r="AB953" s="882"/>
      <c r="AC953" s="882"/>
      <c r="AD953" s="882"/>
      <c r="AE953" s="882"/>
      <c r="AF953" s="882"/>
      <c r="AG953" s="882"/>
      <c r="AH953" s="882"/>
      <c r="AI953" s="882"/>
      <c r="AJ953" s="882"/>
      <c r="AK953" s="882"/>
      <c r="AL953" s="865"/>
    </row>
    <row r="954" spans="1:38">
      <c r="A954" s="882"/>
      <c r="B954" s="891"/>
      <c r="C954" s="882"/>
      <c r="D954" s="883"/>
      <c r="E954" s="884"/>
      <c r="F954" s="885" t="str">
        <f>IFERROR(VLOOKUP(Table2[[#This Row],[Player No]],Table10[[No]:[Province]],3,0),"")</f>
        <v/>
      </c>
      <c r="G954" s="892">
        <v>0</v>
      </c>
      <c r="H954" s="886">
        <f>(Table2[[#This Row],[Points 2025]]/2)+SUM(Table2[[#This Row],[O1  ADMIN 2026]:[P2    CAPE TOWN OPEN 2026 ]])</f>
        <v>0</v>
      </c>
      <c r="I954" s="880">
        <f t="shared" si="77"/>
        <v>0</v>
      </c>
      <c r="J954" s="882">
        <f t="shared" si="78"/>
        <v>0</v>
      </c>
      <c r="K954" s="887" t="str">
        <f>IFERROR(VALUE(IF(Table2[[#This Row],[Player No]]="","",IFERROR(VLOOKUP(Table2[[#This Row],[Player No]],[3]Men!$D$2:$E$48,2,FALSE)&amp;"",""))),"")</f>
        <v/>
      </c>
      <c r="L954" s="887" t="str">
        <f>IFERROR(VALUE(IF(Table2[[#This Row],[Player No]]="","",IFERROR(VLOOKUP(Table2[[#This Row],[Player No]],[4]Men!$Z$14:$AB$62,2,FALSE)&amp;"",""))),"")</f>
        <v/>
      </c>
      <c r="M954" s="887"/>
      <c r="N954" s="887"/>
      <c r="O954" s="882"/>
      <c r="P954" s="882"/>
      <c r="Q954" s="888"/>
      <c r="R954" s="888"/>
      <c r="S954" s="882"/>
      <c r="T954" s="888"/>
      <c r="U954" s="882"/>
      <c r="V954" s="887"/>
      <c r="W954" s="888"/>
      <c r="X954" s="882"/>
      <c r="Y954" s="888"/>
      <c r="Z954" s="882"/>
      <c r="AA954" s="882"/>
      <c r="AB954" s="882"/>
      <c r="AC954" s="882"/>
      <c r="AD954" s="882"/>
      <c r="AE954" s="882"/>
      <c r="AF954" s="882"/>
      <c r="AG954" s="882"/>
      <c r="AH954" s="882"/>
      <c r="AI954" s="882"/>
      <c r="AJ954" s="882"/>
      <c r="AK954" s="882"/>
      <c r="AL954" s="865"/>
    </row>
    <row r="955" spans="1:38">
      <c r="A955" s="882"/>
      <c r="B955" s="891"/>
      <c r="C955" s="882"/>
      <c r="D955" s="883"/>
      <c r="E955" s="884"/>
      <c r="F955" s="885" t="str">
        <f>IFERROR(VLOOKUP(Table2[[#This Row],[Player No]],Table10[[No]:[Province]],3,0),"")</f>
        <v/>
      </c>
      <c r="G955" s="892">
        <v>0</v>
      </c>
      <c r="H955" s="886">
        <f>(Table2[[#This Row],[Points 2025]]/2)+SUM(Table2[[#This Row],[O1  ADMIN 2026]:[P2    CAPE TOWN OPEN 2026 ]])</f>
        <v>0</v>
      </c>
      <c r="I955" s="880">
        <f t="shared" si="77"/>
        <v>0</v>
      </c>
      <c r="J955" s="882">
        <f t="shared" si="78"/>
        <v>0</v>
      </c>
      <c r="K955" s="887" t="str">
        <f>IFERROR(VALUE(IF(Table2[[#This Row],[Player No]]="","",IFERROR(VLOOKUP(Table2[[#This Row],[Player No]],[3]Men!$D$2:$E$48,2,FALSE)&amp;"",""))),"")</f>
        <v/>
      </c>
      <c r="L955" s="887" t="str">
        <f>IFERROR(VALUE(IF(Table2[[#This Row],[Player No]]="","",IFERROR(VLOOKUP(Table2[[#This Row],[Player No]],[4]Men!$Z$14:$AB$62,2,FALSE)&amp;"",""))),"")</f>
        <v/>
      </c>
      <c r="M955" s="887"/>
      <c r="N955" s="887"/>
      <c r="O955" s="882"/>
      <c r="P955" s="882"/>
      <c r="Q955" s="888"/>
      <c r="R955" s="888"/>
      <c r="S955" s="882"/>
      <c r="T955" s="888"/>
      <c r="U955" s="882"/>
      <c r="V955" s="887"/>
      <c r="W955" s="888"/>
      <c r="X955" s="882"/>
      <c r="Y955" s="888"/>
      <c r="Z955" s="882"/>
      <c r="AA955" s="882"/>
      <c r="AB955" s="882"/>
      <c r="AC955" s="882"/>
      <c r="AD955" s="882"/>
      <c r="AE955" s="882"/>
      <c r="AF955" s="882"/>
      <c r="AG955" s="882"/>
      <c r="AH955" s="882"/>
      <c r="AI955" s="882"/>
      <c r="AJ955" s="882"/>
      <c r="AK955" s="882"/>
      <c r="AL955" s="865"/>
    </row>
    <row r="956" spans="1:38">
      <c r="A956" s="882"/>
      <c r="B956" s="891"/>
      <c r="C956" s="882"/>
      <c r="D956" s="883"/>
      <c r="E956" s="884"/>
      <c r="F956" s="885" t="str">
        <f>IFERROR(VLOOKUP(Table2[[#This Row],[Player No]],Table10[[No]:[Province]],3,0),"")</f>
        <v/>
      </c>
      <c r="G956" s="892">
        <v>0</v>
      </c>
      <c r="H956" s="886">
        <f>(Table2[[#This Row],[Points 2025]]/2)+SUM(Table2[[#This Row],[O1  ADMIN 2026]:[P2    CAPE TOWN OPEN 2026 ]])</f>
        <v>0</v>
      </c>
      <c r="I956" s="880">
        <f t="shared" si="77"/>
        <v>0</v>
      </c>
      <c r="J956" s="882">
        <f t="shared" si="78"/>
        <v>0</v>
      </c>
      <c r="K956" s="887" t="str">
        <f>IFERROR(VALUE(IF(Table2[[#This Row],[Player No]]="","",IFERROR(VLOOKUP(Table2[[#This Row],[Player No]],[3]Men!$D$2:$E$48,2,FALSE)&amp;"",""))),"")</f>
        <v/>
      </c>
      <c r="L956" s="887" t="str">
        <f>IFERROR(VALUE(IF(Table2[[#This Row],[Player No]]="","",IFERROR(VLOOKUP(Table2[[#This Row],[Player No]],[4]Men!$Z$14:$AB$62,2,FALSE)&amp;"",""))),"")</f>
        <v/>
      </c>
      <c r="M956" s="887"/>
      <c r="N956" s="887"/>
      <c r="O956" s="882"/>
      <c r="P956" s="882"/>
      <c r="Q956" s="888"/>
      <c r="R956" s="888"/>
      <c r="S956" s="882"/>
      <c r="T956" s="888"/>
      <c r="U956" s="882"/>
      <c r="V956" s="887"/>
      <c r="W956" s="888"/>
      <c r="X956" s="882"/>
      <c r="Y956" s="888"/>
      <c r="Z956" s="882"/>
      <c r="AA956" s="882"/>
      <c r="AB956" s="882"/>
      <c r="AC956" s="882"/>
      <c r="AD956" s="882"/>
      <c r="AE956" s="882"/>
      <c r="AF956" s="882"/>
      <c r="AG956" s="882"/>
      <c r="AH956" s="882"/>
      <c r="AI956" s="882"/>
      <c r="AJ956" s="882"/>
      <c r="AK956" s="882"/>
      <c r="AL956" s="865"/>
    </row>
    <row r="957" spans="1:38">
      <c r="A957" s="882"/>
      <c r="B957" s="891"/>
      <c r="C957" s="882"/>
      <c r="D957" s="883"/>
      <c r="E957" s="884"/>
      <c r="F957" s="885" t="str">
        <f>IFERROR(VLOOKUP(Table2[[#This Row],[Player No]],Table10[[No]:[Province]],3,0),"")</f>
        <v/>
      </c>
      <c r="G957" s="892">
        <v>0</v>
      </c>
      <c r="H957" s="886">
        <f>(Table2[[#This Row],[Points 2025]]/2)+SUM(Table2[[#This Row],[O1  ADMIN 2026]:[P2    CAPE TOWN OPEN 2026 ]])</f>
        <v>0</v>
      </c>
      <c r="I957" s="880">
        <f t="shared" si="77"/>
        <v>0</v>
      </c>
      <c r="J957" s="882">
        <f t="shared" si="78"/>
        <v>0</v>
      </c>
      <c r="K957" s="887" t="str">
        <f>IFERROR(VALUE(IF(Table2[[#This Row],[Player No]]="","",IFERROR(VLOOKUP(Table2[[#This Row],[Player No]],[3]Men!$D$2:$E$48,2,FALSE)&amp;"",""))),"")</f>
        <v/>
      </c>
      <c r="L957" s="887" t="str">
        <f>IFERROR(VALUE(IF(Table2[[#This Row],[Player No]]="","",IFERROR(VLOOKUP(Table2[[#This Row],[Player No]],[4]Men!$Z$14:$AB$62,2,FALSE)&amp;"",""))),"")</f>
        <v/>
      </c>
      <c r="M957" s="887"/>
      <c r="N957" s="887"/>
      <c r="O957" s="882"/>
      <c r="P957" s="882"/>
      <c r="Q957" s="888"/>
      <c r="R957" s="888"/>
      <c r="S957" s="882"/>
      <c r="T957" s="888"/>
      <c r="U957" s="882"/>
      <c r="V957" s="887"/>
      <c r="W957" s="888"/>
      <c r="X957" s="882"/>
      <c r="Y957" s="888"/>
      <c r="Z957" s="882"/>
      <c r="AA957" s="882"/>
      <c r="AB957" s="882"/>
      <c r="AC957" s="882"/>
      <c r="AD957" s="882"/>
      <c r="AE957" s="882"/>
      <c r="AF957" s="882"/>
      <c r="AG957" s="882"/>
      <c r="AH957" s="882"/>
      <c r="AI957" s="882"/>
      <c r="AJ957" s="882"/>
      <c r="AK957" s="882"/>
      <c r="AL957" s="865"/>
    </row>
    <row r="958" spans="1:38">
      <c r="A958" s="901"/>
      <c r="B958" s="902">
        <f t="shared" ref="B958:B989" si="79">+A958-C958</f>
        <v>0</v>
      </c>
      <c r="C958" s="903"/>
      <c r="D958" s="904"/>
      <c r="E958" s="905"/>
      <c r="F958" s="906" t="str">
        <f>IFERROR(VLOOKUP(Table2[[#This Row],[Player No]],Table10[[No]:[Province]],3,0),"")</f>
        <v/>
      </c>
      <c r="G958" s="907">
        <v>0</v>
      </c>
      <c r="H958" s="908">
        <f>(Table2[[#This Row],[Points 2025]]/2)+SUM(Table2[[#This Row],[O1  ADMIN 2026]:[P2    CAPE TOWN OPEN 2026 ]])</f>
        <v>0</v>
      </c>
      <c r="I958" s="880">
        <f t="shared" si="77"/>
        <v>0</v>
      </c>
      <c r="J958" s="882">
        <f t="shared" si="78"/>
        <v>0</v>
      </c>
      <c r="K958" s="887" t="str">
        <f>IFERROR(VALUE(IF(Table2[[#This Row],[Player No]]="","",IFERROR(VLOOKUP(Table2[[#This Row],[Player No]],[3]Men!$D$2:$E$48,2,FALSE)&amp;"",""))),"")</f>
        <v/>
      </c>
      <c r="L958" s="887" t="str">
        <f>IFERROR(VALUE(IF(Table2[[#This Row],[Player No]]="","",IFERROR(VLOOKUP(Table2[[#This Row],[Player No]],[4]Men!$Z$14:$AB$62,2,FALSE)&amp;"",""))),"")</f>
        <v/>
      </c>
      <c r="M958" s="887"/>
      <c r="N958" s="887"/>
      <c r="O958" s="909"/>
      <c r="P958" s="909"/>
      <c r="Q958" s="910"/>
      <c r="R958" s="910"/>
      <c r="S958" s="909"/>
      <c r="T958" s="910"/>
      <c r="U958" s="909"/>
      <c r="V958" s="911"/>
      <c r="W958" s="910"/>
      <c r="X958" s="909"/>
      <c r="Y958" s="910"/>
      <c r="Z958" s="909"/>
      <c r="AA958" s="909"/>
      <c r="AB958" s="909"/>
      <c r="AC958" s="909"/>
      <c r="AD958" s="909"/>
      <c r="AE958" s="909"/>
      <c r="AF958" s="909"/>
      <c r="AG958" s="909"/>
      <c r="AH958" s="909"/>
      <c r="AI958" s="909"/>
      <c r="AJ958" s="909"/>
      <c r="AK958" s="909"/>
      <c r="AL958" s="865"/>
    </row>
    <row r="959" spans="1:38">
      <c r="A959" s="901"/>
      <c r="B959" s="902">
        <f t="shared" si="79"/>
        <v>0</v>
      </c>
      <c r="C959" s="903"/>
      <c r="D959" s="904"/>
      <c r="E959" s="905"/>
      <c r="F959" s="906" t="str">
        <f>IFERROR(VLOOKUP(Table2[[#This Row],[Player No]],Table10[[No]:[Province]],3,0),"")</f>
        <v/>
      </c>
      <c r="G959" s="907">
        <v>0</v>
      </c>
      <c r="H959" s="908">
        <f>(Table2[[#This Row],[Points 2025]]/2)+SUM(Table2[[#This Row],[O1  ADMIN 2026]:[P2    CAPE TOWN OPEN 2026 ]])</f>
        <v>0</v>
      </c>
      <c r="I959" s="880">
        <f t="shared" si="77"/>
        <v>0</v>
      </c>
      <c r="J959" s="882">
        <f t="shared" si="78"/>
        <v>0</v>
      </c>
      <c r="K959" s="887" t="str">
        <f>IFERROR(VALUE(IF(Table2[[#This Row],[Player No]]="","",IFERROR(VLOOKUP(Table2[[#This Row],[Player No]],[3]Men!$D$2:$E$48,2,FALSE)&amp;"",""))),"")</f>
        <v/>
      </c>
      <c r="L959" s="887" t="str">
        <f>IFERROR(VALUE(IF(Table2[[#This Row],[Player No]]="","",IFERROR(VLOOKUP(Table2[[#This Row],[Player No]],[4]Men!$Z$14:$AB$62,2,FALSE)&amp;"",""))),"")</f>
        <v/>
      </c>
      <c r="M959" s="887"/>
      <c r="N959" s="887"/>
      <c r="O959" s="909"/>
      <c r="P959" s="909"/>
      <c r="Q959" s="910"/>
      <c r="R959" s="910"/>
      <c r="S959" s="909"/>
      <c r="T959" s="910"/>
      <c r="U959" s="909"/>
      <c r="V959" s="911"/>
      <c r="W959" s="910"/>
      <c r="X959" s="909"/>
      <c r="Y959" s="910"/>
      <c r="Z959" s="909"/>
      <c r="AA959" s="909"/>
      <c r="AB959" s="909"/>
      <c r="AC959" s="909"/>
      <c r="AD959" s="909"/>
      <c r="AE959" s="909"/>
      <c r="AF959" s="909"/>
      <c r="AG959" s="909"/>
      <c r="AH959" s="909"/>
      <c r="AI959" s="909"/>
      <c r="AJ959" s="909"/>
      <c r="AK959" s="909"/>
      <c r="AL959" s="865"/>
    </row>
    <row r="960" spans="1:38">
      <c r="A960" s="901"/>
      <c r="B960" s="902">
        <f t="shared" si="79"/>
        <v>0</v>
      </c>
      <c r="C960" s="903"/>
      <c r="D960" s="904"/>
      <c r="E960" s="905"/>
      <c r="F960" s="906" t="str">
        <f>IFERROR(VLOOKUP(Table2[[#This Row],[Player No]],Table10[[No]:[Province]],3,0),"")</f>
        <v/>
      </c>
      <c r="G960" s="907">
        <v>0</v>
      </c>
      <c r="H960" s="908">
        <f>(Table2[[#This Row],[Points 2025]]/2)+SUM(Table2[[#This Row],[O1  ADMIN 2026]:[P2    CAPE TOWN OPEN 2026 ]])</f>
        <v>0</v>
      </c>
      <c r="I960" s="880">
        <f t="shared" si="77"/>
        <v>0</v>
      </c>
      <c r="J960" s="882">
        <f t="shared" si="78"/>
        <v>0</v>
      </c>
      <c r="K960" s="887" t="str">
        <f>IFERROR(VALUE(IF(Table2[[#This Row],[Player No]]="","",IFERROR(VLOOKUP(Table2[[#This Row],[Player No]],[3]Men!$D$2:$E$48,2,FALSE)&amp;"",""))),"")</f>
        <v/>
      </c>
      <c r="L960" s="887" t="str">
        <f>IFERROR(VALUE(IF(Table2[[#This Row],[Player No]]="","",IFERROR(VLOOKUP(Table2[[#This Row],[Player No]],[4]Men!$Z$14:$AB$62,2,FALSE)&amp;"",""))),"")</f>
        <v/>
      </c>
      <c r="M960" s="887"/>
      <c r="N960" s="887"/>
      <c r="O960" s="909"/>
      <c r="P960" s="909"/>
      <c r="Q960" s="910"/>
      <c r="R960" s="910"/>
      <c r="S960" s="909"/>
      <c r="T960" s="910"/>
      <c r="U960" s="909"/>
      <c r="V960" s="911"/>
      <c r="W960" s="910"/>
      <c r="X960" s="909"/>
      <c r="Y960" s="910"/>
      <c r="Z960" s="909"/>
      <c r="AA960" s="909"/>
      <c r="AB960" s="909"/>
      <c r="AC960" s="909"/>
      <c r="AD960" s="909"/>
      <c r="AE960" s="909"/>
      <c r="AF960" s="909"/>
      <c r="AG960" s="909"/>
      <c r="AH960" s="909"/>
      <c r="AI960" s="909"/>
      <c r="AJ960" s="909"/>
      <c r="AK960" s="909"/>
      <c r="AL960" s="865"/>
    </row>
    <row r="961" spans="1:38">
      <c r="A961" s="901"/>
      <c r="B961" s="902">
        <f t="shared" si="79"/>
        <v>0</v>
      </c>
      <c r="C961" s="903"/>
      <c r="D961" s="904"/>
      <c r="E961" s="905"/>
      <c r="F961" s="906" t="str">
        <f>IFERROR(VLOOKUP(Table2[[#This Row],[Player No]],Table10[[No]:[Province]],3,0),"")</f>
        <v/>
      </c>
      <c r="G961" s="907">
        <v>0</v>
      </c>
      <c r="H961" s="908">
        <f>(Table2[[#This Row],[Points 2025]]/2)+SUM(Table2[[#This Row],[O1  ADMIN 2026]:[P2    CAPE TOWN OPEN 2026 ]])</f>
        <v>0</v>
      </c>
      <c r="I961" s="880">
        <f t="shared" si="77"/>
        <v>0</v>
      </c>
      <c r="J961" s="882">
        <f t="shared" si="78"/>
        <v>0</v>
      </c>
      <c r="K961" s="887" t="str">
        <f>IFERROR(VALUE(IF(Table2[[#This Row],[Player No]]="","",IFERROR(VLOOKUP(Table2[[#This Row],[Player No]],[3]Men!$D$2:$E$48,2,FALSE)&amp;"",""))),"")</f>
        <v/>
      </c>
      <c r="L961" s="887" t="str">
        <f>IFERROR(VALUE(IF(Table2[[#This Row],[Player No]]="","",IFERROR(VLOOKUP(Table2[[#This Row],[Player No]],[4]Men!$Z$14:$AB$62,2,FALSE)&amp;"",""))),"")</f>
        <v/>
      </c>
      <c r="M961" s="887"/>
      <c r="N961" s="887"/>
      <c r="O961" s="909"/>
      <c r="P961" s="909"/>
      <c r="Q961" s="910"/>
      <c r="R961" s="910"/>
      <c r="S961" s="909"/>
      <c r="T961" s="910"/>
      <c r="U961" s="909"/>
      <c r="V961" s="911"/>
      <c r="W961" s="910"/>
      <c r="X961" s="909"/>
      <c r="Y961" s="910"/>
      <c r="Z961" s="909"/>
      <c r="AA961" s="909"/>
      <c r="AB961" s="909"/>
      <c r="AC961" s="909"/>
      <c r="AD961" s="909"/>
      <c r="AE961" s="909"/>
      <c r="AF961" s="909"/>
      <c r="AG961" s="909"/>
      <c r="AH961" s="909"/>
      <c r="AI961" s="909"/>
      <c r="AJ961" s="909"/>
      <c r="AK961" s="909"/>
      <c r="AL961" s="865"/>
    </row>
    <row r="962" spans="1:38">
      <c r="A962" s="901"/>
      <c r="B962" s="902">
        <f t="shared" si="79"/>
        <v>0</v>
      </c>
      <c r="C962" s="903"/>
      <c r="D962" s="904"/>
      <c r="E962" s="905"/>
      <c r="F962" s="906" t="str">
        <f>IFERROR(VLOOKUP(Table2[[#This Row],[Player No]],Table10[[No]:[Province]],3,0),"")</f>
        <v/>
      </c>
      <c r="G962" s="907">
        <v>0</v>
      </c>
      <c r="H962" s="908">
        <f>(Table2[[#This Row],[Points 2025]]/2)+SUM(Table2[[#This Row],[O1  ADMIN 2026]:[P2    CAPE TOWN OPEN 2026 ]])</f>
        <v>0</v>
      </c>
      <c r="I962" s="880">
        <f t="shared" si="77"/>
        <v>0</v>
      </c>
      <c r="J962" s="882">
        <f t="shared" si="78"/>
        <v>0</v>
      </c>
      <c r="K962" s="887" t="str">
        <f>IFERROR(VALUE(IF(Table2[[#This Row],[Player No]]="","",IFERROR(VLOOKUP(Table2[[#This Row],[Player No]],[3]Men!$D$2:$E$48,2,FALSE)&amp;"",""))),"")</f>
        <v/>
      </c>
      <c r="L962" s="887" t="str">
        <f>IFERROR(VALUE(IF(Table2[[#This Row],[Player No]]="","",IFERROR(VLOOKUP(Table2[[#This Row],[Player No]],[4]Men!$Z$14:$AB$62,2,FALSE)&amp;"",""))),"")</f>
        <v/>
      </c>
      <c r="M962" s="887"/>
      <c r="N962" s="887"/>
      <c r="O962" s="909"/>
      <c r="P962" s="909"/>
      <c r="Q962" s="910"/>
      <c r="R962" s="910"/>
      <c r="S962" s="909"/>
      <c r="T962" s="910"/>
      <c r="U962" s="909"/>
      <c r="V962" s="911"/>
      <c r="W962" s="910"/>
      <c r="X962" s="909"/>
      <c r="Y962" s="910"/>
      <c r="Z962" s="909"/>
      <c r="AA962" s="909"/>
      <c r="AB962" s="909"/>
      <c r="AC962" s="909"/>
      <c r="AD962" s="909"/>
      <c r="AE962" s="909"/>
      <c r="AF962" s="909"/>
      <c r="AG962" s="909"/>
      <c r="AH962" s="909"/>
      <c r="AI962" s="909"/>
      <c r="AJ962" s="909"/>
      <c r="AK962" s="909"/>
      <c r="AL962" s="865"/>
    </row>
    <row r="963" spans="1:38">
      <c r="A963" s="901"/>
      <c r="B963" s="902">
        <f t="shared" si="79"/>
        <v>0</v>
      </c>
      <c r="C963" s="903"/>
      <c r="D963" s="904"/>
      <c r="E963" s="905"/>
      <c r="F963" s="906" t="str">
        <f>IFERROR(VLOOKUP(Table2[[#This Row],[Player No]],Table10[[No]:[Province]],3,0),"")</f>
        <v/>
      </c>
      <c r="G963" s="907">
        <v>0</v>
      </c>
      <c r="H963" s="908">
        <f>(Table2[[#This Row],[Points 2025]]/2)+SUM(Table2[[#This Row],[O1  ADMIN 2026]:[P2    CAPE TOWN OPEN 2026 ]])</f>
        <v>0</v>
      </c>
      <c r="I963" s="880">
        <f t="shared" si="77"/>
        <v>0</v>
      </c>
      <c r="J963" s="882">
        <f t="shared" si="78"/>
        <v>0</v>
      </c>
      <c r="K963" s="887" t="str">
        <f>IFERROR(VALUE(IF(Table2[[#This Row],[Player No]]="","",IFERROR(VLOOKUP(Table2[[#This Row],[Player No]],[3]Men!$D$2:$E$48,2,FALSE)&amp;"",""))),"")</f>
        <v/>
      </c>
      <c r="L963" s="887" t="str">
        <f>IFERROR(VALUE(IF(Table2[[#This Row],[Player No]]="","",IFERROR(VLOOKUP(Table2[[#This Row],[Player No]],[4]Men!$Z$14:$AB$62,2,FALSE)&amp;"",""))),"")</f>
        <v/>
      </c>
      <c r="M963" s="887"/>
      <c r="N963" s="887"/>
      <c r="O963" s="909"/>
      <c r="P963" s="909"/>
      <c r="Q963" s="910"/>
      <c r="R963" s="910"/>
      <c r="S963" s="909"/>
      <c r="T963" s="910"/>
      <c r="U963" s="909"/>
      <c r="V963" s="911"/>
      <c r="W963" s="910"/>
      <c r="X963" s="909"/>
      <c r="Y963" s="910"/>
      <c r="Z963" s="909"/>
      <c r="AA963" s="909"/>
      <c r="AB963" s="909"/>
      <c r="AC963" s="909"/>
      <c r="AD963" s="909"/>
      <c r="AE963" s="909"/>
      <c r="AF963" s="909"/>
      <c r="AG963" s="909"/>
      <c r="AH963" s="909"/>
      <c r="AI963" s="909"/>
      <c r="AJ963" s="909"/>
      <c r="AK963" s="909"/>
      <c r="AL963" s="865"/>
    </row>
    <row r="964" spans="1:38">
      <c r="A964" s="901"/>
      <c r="B964" s="902">
        <f t="shared" si="79"/>
        <v>0</v>
      </c>
      <c r="C964" s="903"/>
      <c r="D964" s="904"/>
      <c r="E964" s="905"/>
      <c r="F964" s="906" t="str">
        <f>IFERROR(VLOOKUP(Table2[[#This Row],[Player No]],Table10[[No]:[Province]],3,0),"")</f>
        <v/>
      </c>
      <c r="G964" s="907">
        <v>0</v>
      </c>
      <c r="H964" s="908">
        <f>(Table2[[#This Row],[Points 2025]]/2)+SUM(Table2[[#This Row],[O1  ADMIN 2026]:[P2    CAPE TOWN OPEN 2026 ]])</f>
        <v>0</v>
      </c>
      <c r="I964" s="880">
        <f t="shared" si="77"/>
        <v>0</v>
      </c>
      <c r="J964" s="882">
        <f t="shared" si="78"/>
        <v>0</v>
      </c>
      <c r="K964" s="887" t="str">
        <f>IFERROR(VALUE(IF(Table2[[#This Row],[Player No]]="","",IFERROR(VLOOKUP(Table2[[#This Row],[Player No]],[3]Men!$D$2:$E$48,2,FALSE)&amp;"",""))),"")</f>
        <v/>
      </c>
      <c r="L964" s="887" t="str">
        <f>IFERROR(VALUE(IF(Table2[[#This Row],[Player No]]="","",IFERROR(VLOOKUP(Table2[[#This Row],[Player No]],[4]Men!$Z$14:$AB$62,2,FALSE)&amp;"",""))),"")</f>
        <v/>
      </c>
      <c r="M964" s="887"/>
      <c r="N964" s="887"/>
      <c r="O964" s="909"/>
      <c r="P964" s="909"/>
      <c r="Q964" s="910"/>
      <c r="R964" s="910"/>
      <c r="S964" s="909"/>
      <c r="T964" s="910"/>
      <c r="U964" s="909"/>
      <c r="V964" s="911"/>
      <c r="W964" s="910"/>
      <c r="X964" s="909"/>
      <c r="Y964" s="910"/>
      <c r="Z964" s="909"/>
      <c r="AA964" s="909"/>
      <c r="AB964" s="909"/>
      <c r="AC964" s="909"/>
      <c r="AD964" s="909"/>
      <c r="AE964" s="909"/>
      <c r="AF964" s="909"/>
      <c r="AG964" s="909"/>
      <c r="AH964" s="909"/>
      <c r="AI964" s="909"/>
      <c r="AJ964" s="909"/>
      <c r="AK964" s="909"/>
      <c r="AL964" s="865"/>
    </row>
    <row r="965" spans="1:38">
      <c r="A965" s="901"/>
      <c r="B965" s="902">
        <f t="shared" si="79"/>
        <v>0</v>
      </c>
      <c r="C965" s="903"/>
      <c r="D965" s="904"/>
      <c r="E965" s="905"/>
      <c r="F965" s="906" t="str">
        <f>IFERROR(VLOOKUP(Table2[[#This Row],[Player No]],Table10[[No]:[Province]],3,0),"")</f>
        <v/>
      </c>
      <c r="G965" s="907">
        <v>0</v>
      </c>
      <c r="H965" s="908">
        <f>(Table2[[#This Row],[Points 2025]]/2)+SUM(Table2[[#This Row],[O1  ADMIN 2026]:[P2    CAPE TOWN OPEN 2026 ]])</f>
        <v>0</v>
      </c>
      <c r="I965" s="880">
        <f t="shared" ref="I965:I1012" si="80">COUNTIF(K965:N965,"&gt;0")</f>
        <v>0</v>
      </c>
      <c r="J965" s="882">
        <f t="shared" si="78"/>
        <v>0</v>
      </c>
      <c r="K965" s="887" t="str">
        <f>IFERROR(VALUE(IF(Table2[[#This Row],[Player No]]="","",IFERROR(VLOOKUP(Table2[[#This Row],[Player No]],[3]Men!$D$2:$E$48,2,FALSE)&amp;"",""))),"")</f>
        <v/>
      </c>
      <c r="L965" s="887" t="str">
        <f>IFERROR(VALUE(IF(Table2[[#This Row],[Player No]]="","",IFERROR(VLOOKUP(Table2[[#This Row],[Player No]],[4]Men!$Z$14:$AB$62,2,FALSE)&amp;"",""))),"")</f>
        <v/>
      </c>
      <c r="M965" s="887"/>
      <c r="N965" s="887"/>
      <c r="O965" s="909"/>
      <c r="P965" s="909"/>
      <c r="Q965" s="910"/>
      <c r="R965" s="910"/>
      <c r="S965" s="909"/>
      <c r="T965" s="910"/>
      <c r="U965" s="909"/>
      <c r="V965" s="911"/>
      <c r="W965" s="910"/>
      <c r="X965" s="909"/>
      <c r="Y965" s="910"/>
      <c r="Z965" s="909"/>
      <c r="AA965" s="909"/>
      <c r="AB965" s="909"/>
      <c r="AC965" s="909"/>
      <c r="AD965" s="909"/>
      <c r="AE965" s="909"/>
      <c r="AF965" s="909"/>
      <c r="AG965" s="909"/>
      <c r="AH965" s="909"/>
      <c r="AI965" s="909"/>
      <c r="AJ965" s="909"/>
      <c r="AK965" s="909"/>
      <c r="AL965" s="865"/>
    </row>
    <row r="966" spans="1:38">
      <c r="A966" s="901"/>
      <c r="B966" s="902">
        <f t="shared" si="79"/>
        <v>0</v>
      </c>
      <c r="C966" s="903"/>
      <c r="D966" s="904"/>
      <c r="E966" s="905"/>
      <c r="F966" s="906" t="str">
        <f>IFERROR(VLOOKUP(Table2[[#This Row],[Player No]],Table10[[No]:[Province]],3,0),"")</f>
        <v/>
      </c>
      <c r="G966" s="907">
        <v>0</v>
      </c>
      <c r="H966" s="908">
        <f>(Table2[[#This Row],[Points 2025]]/2)+SUM(Table2[[#This Row],[O1  ADMIN 2026]:[P2    CAPE TOWN OPEN 2026 ]])</f>
        <v>0</v>
      </c>
      <c r="I966" s="880">
        <f t="shared" si="80"/>
        <v>0</v>
      </c>
      <c r="J966" s="882">
        <f t="shared" si="78"/>
        <v>0</v>
      </c>
      <c r="K966" s="887" t="str">
        <f>IFERROR(VALUE(IF(Table2[[#This Row],[Player No]]="","",IFERROR(VLOOKUP(Table2[[#This Row],[Player No]],[3]Men!$D$2:$E$48,2,FALSE)&amp;"",""))),"")</f>
        <v/>
      </c>
      <c r="L966" s="887" t="str">
        <f>IFERROR(VALUE(IF(Table2[[#This Row],[Player No]]="","",IFERROR(VLOOKUP(Table2[[#This Row],[Player No]],[4]Men!$Z$14:$AB$62,2,FALSE)&amp;"",""))),"")</f>
        <v/>
      </c>
      <c r="M966" s="887"/>
      <c r="N966" s="887"/>
      <c r="O966" s="909"/>
      <c r="P966" s="909"/>
      <c r="Q966" s="910"/>
      <c r="R966" s="910"/>
      <c r="S966" s="909"/>
      <c r="T966" s="910"/>
      <c r="U966" s="909"/>
      <c r="V966" s="911"/>
      <c r="W966" s="910"/>
      <c r="X966" s="909"/>
      <c r="Y966" s="910"/>
      <c r="Z966" s="909"/>
      <c r="AA966" s="909"/>
      <c r="AB966" s="909"/>
      <c r="AC966" s="909"/>
      <c r="AD966" s="909"/>
      <c r="AE966" s="909"/>
      <c r="AF966" s="909"/>
      <c r="AG966" s="909"/>
      <c r="AH966" s="909"/>
      <c r="AI966" s="909"/>
      <c r="AJ966" s="909"/>
      <c r="AK966" s="909"/>
      <c r="AL966" s="865"/>
    </row>
    <row r="967" spans="1:38">
      <c r="A967" s="901"/>
      <c r="B967" s="902">
        <f t="shared" si="79"/>
        <v>0</v>
      </c>
      <c r="C967" s="903"/>
      <c r="D967" s="904"/>
      <c r="E967" s="905"/>
      <c r="F967" s="906" t="str">
        <f>IFERROR(VLOOKUP(Table2[[#This Row],[Player No]],Table10[[No]:[Province]],3,0),"")</f>
        <v/>
      </c>
      <c r="G967" s="907">
        <v>0</v>
      </c>
      <c r="H967" s="908">
        <f>(Table2[[#This Row],[Points 2025]]/2)+SUM(Table2[[#This Row],[O1  ADMIN 2026]:[P2    CAPE TOWN OPEN 2026 ]])</f>
        <v>0</v>
      </c>
      <c r="I967" s="880">
        <f t="shared" si="80"/>
        <v>0</v>
      </c>
      <c r="J967" s="882">
        <f t="shared" si="78"/>
        <v>0</v>
      </c>
      <c r="K967" s="887" t="str">
        <f>IFERROR(VALUE(IF(Table2[[#This Row],[Player No]]="","",IFERROR(VLOOKUP(Table2[[#This Row],[Player No]],[3]Men!$D$2:$E$48,2,FALSE)&amp;"",""))),"")</f>
        <v/>
      </c>
      <c r="L967" s="887" t="str">
        <f>IFERROR(VALUE(IF(Table2[[#This Row],[Player No]]="","",IFERROR(VLOOKUP(Table2[[#This Row],[Player No]],[4]Men!$Z$14:$AB$62,2,FALSE)&amp;"",""))),"")</f>
        <v/>
      </c>
      <c r="M967" s="887"/>
      <c r="N967" s="887"/>
      <c r="O967" s="909"/>
      <c r="P967" s="909"/>
      <c r="Q967" s="910"/>
      <c r="R967" s="910"/>
      <c r="S967" s="909"/>
      <c r="T967" s="910"/>
      <c r="U967" s="909"/>
      <c r="V967" s="911"/>
      <c r="W967" s="910"/>
      <c r="X967" s="909"/>
      <c r="Y967" s="910"/>
      <c r="Z967" s="909"/>
      <c r="AA967" s="909"/>
      <c r="AB967" s="909"/>
      <c r="AC967" s="909"/>
      <c r="AD967" s="909"/>
      <c r="AE967" s="909"/>
      <c r="AF967" s="909"/>
      <c r="AG967" s="909"/>
      <c r="AH967" s="909"/>
      <c r="AI967" s="909"/>
      <c r="AJ967" s="909"/>
      <c r="AK967" s="909"/>
      <c r="AL967" s="865"/>
    </row>
    <row r="968" spans="1:38">
      <c r="A968" s="901"/>
      <c r="B968" s="902">
        <f t="shared" si="79"/>
        <v>0</v>
      </c>
      <c r="C968" s="903"/>
      <c r="D968" s="904"/>
      <c r="E968" s="905"/>
      <c r="F968" s="906" t="str">
        <f>IFERROR(VLOOKUP(Table2[[#This Row],[Player No]],Table10[[No]:[Province]],3,0),"")</f>
        <v/>
      </c>
      <c r="G968" s="907">
        <v>0</v>
      </c>
      <c r="H968" s="908">
        <f>(Table2[[#This Row],[Points 2025]]/2)+SUM(Table2[[#This Row],[O1  ADMIN 2026]:[P2    CAPE TOWN OPEN 2026 ]])</f>
        <v>0</v>
      </c>
      <c r="I968" s="880">
        <f t="shared" si="80"/>
        <v>0</v>
      </c>
      <c r="J968" s="882">
        <f t="shared" si="78"/>
        <v>0</v>
      </c>
      <c r="K968" s="887" t="str">
        <f>IFERROR(VALUE(IF(Table2[[#This Row],[Player No]]="","",IFERROR(VLOOKUP(Table2[[#This Row],[Player No]],[3]Men!$D$2:$E$48,2,FALSE)&amp;"",""))),"")</f>
        <v/>
      </c>
      <c r="L968" s="887" t="str">
        <f>IFERROR(VALUE(IF(Table2[[#This Row],[Player No]]="","",IFERROR(VLOOKUP(Table2[[#This Row],[Player No]],[4]Men!$Z$14:$AB$62,2,FALSE)&amp;"",""))),"")</f>
        <v/>
      </c>
      <c r="M968" s="887"/>
      <c r="N968" s="887"/>
      <c r="O968" s="909"/>
      <c r="P968" s="909"/>
      <c r="Q968" s="910"/>
      <c r="R968" s="910"/>
      <c r="S968" s="909"/>
      <c r="T968" s="910"/>
      <c r="U968" s="909"/>
      <c r="V968" s="911"/>
      <c r="W968" s="910"/>
      <c r="X968" s="909"/>
      <c r="Y968" s="910"/>
      <c r="Z968" s="909"/>
      <c r="AA968" s="909"/>
      <c r="AB968" s="909"/>
      <c r="AC968" s="909"/>
      <c r="AD968" s="909"/>
      <c r="AE968" s="909"/>
      <c r="AF968" s="909"/>
      <c r="AG968" s="909"/>
      <c r="AH968" s="909"/>
      <c r="AI968" s="909"/>
      <c r="AJ968" s="909"/>
      <c r="AK968" s="909"/>
      <c r="AL968" s="865"/>
    </row>
    <row r="969" spans="1:38">
      <c r="A969" s="901"/>
      <c r="B969" s="902">
        <f t="shared" si="79"/>
        <v>0</v>
      </c>
      <c r="C969" s="903"/>
      <c r="D969" s="904"/>
      <c r="E969" s="905"/>
      <c r="F969" s="906" t="str">
        <f>IFERROR(VLOOKUP(Table2[[#This Row],[Player No]],Table10[[No]:[Province]],3,0),"")</f>
        <v/>
      </c>
      <c r="G969" s="907">
        <v>0</v>
      </c>
      <c r="H969" s="908">
        <f>(Table2[[#This Row],[Points 2025]]/2)+SUM(Table2[[#This Row],[O1  ADMIN 2026]:[P2    CAPE TOWN OPEN 2026 ]])</f>
        <v>0</v>
      </c>
      <c r="I969" s="880">
        <f t="shared" si="80"/>
        <v>0</v>
      </c>
      <c r="J969" s="882">
        <f t="shared" si="78"/>
        <v>0</v>
      </c>
      <c r="K969" s="887" t="str">
        <f>IFERROR(VALUE(IF(Table2[[#This Row],[Player No]]="","",IFERROR(VLOOKUP(Table2[[#This Row],[Player No]],[3]Men!$D$2:$E$48,2,FALSE)&amp;"",""))),"")</f>
        <v/>
      </c>
      <c r="L969" s="887" t="str">
        <f>IFERROR(VALUE(IF(Table2[[#This Row],[Player No]]="","",IFERROR(VLOOKUP(Table2[[#This Row],[Player No]],[4]Men!$Z$14:$AB$62,2,FALSE)&amp;"",""))),"")</f>
        <v/>
      </c>
      <c r="M969" s="887"/>
      <c r="N969" s="887"/>
      <c r="O969" s="909"/>
      <c r="P969" s="909"/>
      <c r="Q969" s="910"/>
      <c r="R969" s="910"/>
      <c r="S969" s="909"/>
      <c r="T969" s="910"/>
      <c r="U969" s="909"/>
      <c r="V969" s="911"/>
      <c r="W969" s="910"/>
      <c r="X969" s="909"/>
      <c r="Y969" s="910"/>
      <c r="Z969" s="909"/>
      <c r="AA969" s="909"/>
      <c r="AB969" s="909"/>
      <c r="AC969" s="909"/>
      <c r="AD969" s="909"/>
      <c r="AE969" s="909"/>
      <c r="AF969" s="909"/>
      <c r="AG969" s="909"/>
      <c r="AH969" s="909"/>
      <c r="AI969" s="909"/>
      <c r="AJ969" s="909"/>
      <c r="AK969" s="909"/>
      <c r="AL969" s="865"/>
    </row>
    <row r="970" spans="1:38">
      <c r="A970" s="901"/>
      <c r="B970" s="902">
        <f t="shared" si="79"/>
        <v>0</v>
      </c>
      <c r="C970" s="903"/>
      <c r="D970" s="904"/>
      <c r="E970" s="905"/>
      <c r="F970" s="906" t="str">
        <f>IFERROR(VLOOKUP(Table2[[#This Row],[Player No]],Table10[[No]:[Province]],3,0),"")</f>
        <v/>
      </c>
      <c r="G970" s="907">
        <v>0</v>
      </c>
      <c r="H970" s="908">
        <f>(Table2[[#This Row],[Points 2025]]/2)+SUM(Table2[[#This Row],[O1  ADMIN 2026]:[P2    CAPE TOWN OPEN 2026 ]])</f>
        <v>0</v>
      </c>
      <c r="I970" s="880">
        <f t="shared" si="80"/>
        <v>0</v>
      </c>
      <c r="J970" s="882">
        <f t="shared" si="78"/>
        <v>0</v>
      </c>
      <c r="K970" s="887" t="str">
        <f>IFERROR(VALUE(IF(Table2[[#This Row],[Player No]]="","",IFERROR(VLOOKUP(Table2[[#This Row],[Player No]],[3]Men!$D$2:$E$48,2,FALSE)&amp;"",""))),"")</f>
        <v/>
      </c>
      <c r="L970" s="887" t="str">
        <f>IFERROR(VALUE(IF(Table2[[#This Row],[Player No]]="","",IFERROR(VLOOKUP(Table2[[#This Row],[Player No]],[4]Men!$Z$14:$AB$62,2,FALSE)&amp;"",""))),"")</f>
        <v/>
      </c>
      <c r="M970" s="887"/>
      <c r="N970" s="887"/>
      <c r="O970" s="909"/>
      <c r="P970" s="909"/>
      <c r="Q970" s="910"/>
      <c r="R970" s="910"/>
      <c r="S970" s="909"/>
      <c r="T970" s="910"/>
      <c r="U970" s="909"/>
      <c r="V970" s="911"/>
      <c r="W970" s="910"/>
      <c r="X970" s="909"/>
      <c r="Y970" s="910"/>
      <c r="Z970" s="909"/>
      <c r="AA970" s="909"/>
      <c r="AB970" s="909"/>
      <c r="AC970" s="909"/>
      <c r="AD970" s="909"/>
      <c r="AE970" s="909"/>
      <c r="AF970" s="909"/>
      <c r="AG970" s="909"/>
      <c r="AH970" s="909"/>
      <c r="AI970" s="909"/>
      <c r="AJ970" s="909"/>
      <c r="AK970" s="909"/>
      <c r="AL970" s="865"/>
    </row>
    <row r="971" spans="1:38">
      <c r="A971" s="901"/>
      <c r="B971" s="902">
        <f t="shared" si="79"/>
        <v>0</v>
      </c>
      <c r="C971" s="903"/>
      <c r="D971" s="904"/>
      <c r="E971" s="905"/>
      <c r="F971" s="906" t="str">
        <f>IFERROR(VLOOKUP(Table2[[#This Row],[Player No]],Table10[[No]:[Province]],3,0),"")</f>
        <v/>
      </c>
      <c r="G971" s="907">
        <v>0</v>
      </c>
      <c r="H971" s="908">
        <f>(Table2[[#This Row],[Points 2025]]/2)+SUM(Table2[[#This Row],[O1  ADMIN 2026]:[P2    CAPE TOWN OPEN 2026 ]])</f>
        <v>0</v>
      </c>
      <c r="I971" s="880">
        <f t="shared" si="80"/>
        <v>0</v>
      </c>
      <c r="J971" s="882">
        <f t="shared" si="78"/>
        <v>0</v>
      </c>
      <c r="K971" s="887" t="str">
        <f>IFERROR(VALUE(IF(Table2[[#This Row],[Player No]]="","",IFERROR(VLOOKUP(Table2[[#This Row],[Player No]],[3]Men!$D$2:$E$48,2,FALSE)&amp;"",""))),"")</f>
        <v/>
      </c>
      <c r="L971" s="887" t="str">
        <f>IFERROR(VALUE(IF(Table2[[#This Row],[Player No]]="","",IFERROR(VLOOKUP(Table2[[#This Row],[Player No]],[4]Men!$Z$14:$AB$62,2,FALSE)&amp;"",""))),"")</f>
        <v/>
      </c>
      <c r="M971" s="887"/>
      <c r="N971" s="887"/>
      <c r="O971" s="909"/>
      <c r="P971" s="909"/>
      <c r="Q971" s="910"/>
      <c r="R971" s="910"/>
      <c r="S971" s="909"/>
      <c r="T971" s="910"/>
      <c r="U971" s="909"/>
      <c r="V971" s="911"/>
      <c r="W971" s="910"/>
      <c r="X971" s="909"/>
      <c r="Y971" s="910"/>
      <c r="Z971" s="909"/>
      <c r="AA971" s="909"/>
      <c r="AB971" s="909"/>
      <c r="AC971" s="909"/>
      <c r="AD971" s="909"/>
      <c r="AE971" s="909"/>
      <c r="AF971" s="909"/>
      <c r="AG971" s="909"/>
      <c r="AH971" s="909"/>
      <c r="AI971" s="909"/>
      <c r="AJ971" s="909"/>
      <c r="AK971" s="909"/>
      <c r="AL971" s="865"/>
    </row>
    <row r="972" spans="1:38">
      <c r="A972" s="901"/>
      <c r="B972" s="902">
        <f t="shared" si="79"/>
        <v>0</v>
      </c>
      <c r="C972" s="903"/>
      <c r="D972" s="904"/>
      <c r="E972" s="905"/>
      <c r="F972" s="906" t="str">
        <f>IFERROR(VLOOKUP(Table2[[#This Row],[Player No]],Table10[[No]:[Province]],3,0),"")</f>
        <v/>
      </c>
      <c r="G972" s="907">
        <v>0</v>
      </c>
      <c r="H972" s="908">
        <f>(Table2[[#This Row],[Points 2025]]/2)+SUM(Table2[[#This Row],[O1  ADMIN 2026]:[P2    CAPE TOWN OPEN 2026 ]])</f>
        <v>0</v>
      </c>
      <c r="I972" s="880">
        <f t="shared" si="80"/>
        <v>0</v>
      </c>
      <c r="J972" s="882">
        <f t="shared" si="78"/>
        <v>0</v>
      </c>
      <c r="K972" s="887" t="str">
        <f>IFERROR(VALUE(IF(Table2[[#This Row],[Player No]]="","",IFERROR(VLOOKUP(Table2[[#This Row],[Player No]],[3]Men!$D$2:$E$48,2,FALSE)&amp;"",""))),"")</f>
        <v/>
      </c>
      <c r="L972" s="887" t="str">
        <f>IFERROR(VALUE(IF(Table2[[#This Row],[Player No]]="","",IFERROR(VLOOKUP(Table2[[#This Row],[Player No]],[4]Men!$Z$14:$AB$62,2,FALSE)&amp;"",""))),"")</f>
        <v/>
      </c>
      <c r="M972" s="887"/>
      <c r="N972" s="887"/>
      <c r="O972" s="909"/>
      <c r="P972" s="909"/>
      <c r="Q972" s="910"/>
      <c r="R972" s="910"/>
      <c r="S972" s="909"/>
      <c r="T972" s="910"/>
      <c r="U972" s="909"/>
      <c r="V972" s="911"/>
      <c r="W972" s="910"/>
      <c r="X972" s="909"/>
      <c r="Y972" s="910"/>
      <c r="Z972" s="909"/>
      <c r="AA972" s="909"/>
      <c r="AB972" s="909"/>
      <c r="AC972" s="909"/>
      <c r="AD972" s="909"/>
      <c r="AE972" s="909"/>
      <c r="AF972" s="909"/>
      <c r="AG972" s="909"/>
      <c r="AH972" s="909"/>
      <c r="AI972" s="909"/>
      <c r="AJ972" s="909"/>
      <c r="AK972" s="909"/>
      <c r="AL972" s="865"/>
    </row>
    <row r="973" spans="1:38">
      <c r="A973" s="901"/>
      <c r="B973" s="902">
        <f t="shared" si="79"/>
        <v>0</v>
      </c>
      <c r="C973" s="903"/>
      <c r="D973" s="904"/>
      <c r="E973" s="905"/>
      <c r="F973" s="906" t="str">
        <f>IFERROR(VLOOKUP(Table2[[#This Row],[Player No]],Table10[[No]:[Province]],3,0),"")</f>
        <v/>
      </c>
      <c r="G973" s="907">
        <v>0</v>
      </c>
      <c r="H973" s="908">
        <f>(Table2[[#This Row],[Points 2025]]/2)+SUM(Table2[[#This Row],[O1  ADMIN 2026]:[P2    CAPE TOWN OPEN 2026 ]])</f>
        <v>0</v>
      </c>
      <c r="I973" s="880">
        <f t="shared" si="80"/>
        <v>0</v>
      </c>
      <c r="J973" s="882">
        <f t="shared" si="78"/>
        <v>0</v>
      </c>
      <c r="K973" s="887" t="str">
        <f>IFERROR(VALUE(IF(Table2[[#This Row],[Player No]]="","",IFERROR(VLOOKUP(Table2[[#This Row],[Player No]],[3]Men!$D$2:$E$48,2,FALSE)&amp;"",""))),"")</f>
        <v/>
      </c>
      <c r="L973" s="887" t="str">
        <f>IFERROR(VALUE(IF(Table2[[#This Row],[Player No]]="","",IFERROR(VLOOKUP(Table2[[#This Row],[Player No]],[4]Men!$Z$14:$AB$62,2,FALSE)&amp;"",""))),"")</f>
        <v/>
      </c>
      <c r="M973" s="887"/>
      <c r="N973" s="887"/>
      <c r="O973" s="909"/>
      <c r="P973" s="909"/>
      <c r="Q973" s="910"/>
      <c r="R973" s="910"/>
      <c r="S973" s="909"/>
      <c r="T973" s="910"/>
      <c r="U973" s="909"/>
      <c r="V973" s="911"/>
      <c r="W973" s="910"/>
      <c r="X973" s="909"/>
      <c r="Y973" s="910"/>
      <c r="Z973" s="909"/>
      <c r="AA973" s="909"/>
      <c r="AB973" s="909"/>
      <c r="AC973" s="909"/>
      <c r="AD973" s="909"/>
      <c r="AE973" s="909"/>
      <c r="AF973" s="909"/>
      <c r="AG973" s="909"/>
      <c r="AH973" s="909"/>
      <c r="AI973" s="909"/>
      <c r="AJ973" s="909"/>
      <c r="AK973" s="909"/>
      <c r="AL973" s="865"/>
    </row>
    <row r="974" spans="1:38">
      <c r="A974" s="901"/>
      <c r="B974" s="902">
        <f t="shared" si="79"/>
        <v>0</v>
      </c>
      <c r="C974" s="903"/>
      <c r="D974" s="904"/>
      <c r="E974" s="905"/>
      <c r="F974" s="906" t="str">
        <f>IFERROR(VLOOKUP(Table2[[#This Row],[Player No]],Table10[[No]:[Province]],3,0),"")</f>
        <v/>
      </c>
      <c r="G974" s="907">
        <v>0</v>
      </c>
      <c r="H974" s="908">
        <f>(Table2[[#This Row],[Points 2025]]/2)+SUM(Table2[[#This Row],[O1  ADMIN 2026]:[P2    CAPE TOWN OPEN 2026 ]])</f>
        <v>0</v>
      </c>
      <c r="I974" s="880">
        <f t="shared" si="80"/>
        <v>0</v>
      </c>
      <c r="J974" s="882">
        <f t="shared" si="78"/>
        <v>0</v>
      </c>
      <c r="K974" s="887" t="str">
        <f>IFERROR(VALUE(IF(Table2[[#This Row],[Player No]]="","",IFERROR(VLOOKUP(Table2[[#This Row],[Player No]],[3]Men!$D$2:$E$48,2,FALSE)&amp;"",""))),"")</f>
        <v/>
      </c>
      <c r="L974" s="887" t="str">
        <f>IFERROR(VALUE(IF(Table2[[#This Row],[Player No]]="","",IFERROR(VLOOKUP(Table2[[#This Row],[Player No]],[4]Men!$Z$14:$AB$62,2,FALSE)&amp;"",""))),"")</f>
        <v/>
      </c>
      <c r="M974" s="887"/>
      <c r="N974" s="887"/>
      <c r="O974" s="909"/>
      <c r="P974" s="909"/>
      <c r="Q974" s="910"/>
      <c r="R974" s="910"/>
      <c r="S974" s="909"/>
      <c r="T974" s="910"/>
      <c r="U974" s="909"/>
      <c r="V974" s="911"/>
      <c r="W974" s="910"/>
      <c r="X974" s="909"/>
      <c r="Y974" s="910"/>
      <c r="Z974" s="909"/>
      <c r="AA974" s="909"/>
      <c r="AB974" s="909"/>
      <c r="AC974" s="909"/>
      <c r="AD974" s="909"/>
      <c r="AE974" s="909"/>
      <c r="AF974" s="909"/>
      <c r="AG974" s="909"/>
      <c r="AH974" s="909"/>
      <c r="AI974" s="909"/>
      <c r="AJ974" s="909"/>
      <c r="AK974" s="909"/>
      <c r="AL974" s="865"/>
    </row>
    <row r="975" spans="1:38">
      <c r="A975" s="901"/>
      <c r="B975" s="902">
        <f t="shared" si="79"/>
        <v>0</v>
      </c>
      <c r="C975" s="903"/>
      <c r="D975" s="904"/>
      <c r="E975" s="905"/>
      <c r="F975" s="906" t="str">
        <f>IFERROR(VLOOKUP(Table2[[#This Row],[Player No]],Table10[[No]:[Province]],3,0),"")</f>
        <v/>
      </c>
      <c r="G975" s="907">
        <v>0</v>
      </c>
      <c r="H975" s="908">
        <f>(Table2[[#This Row],[Points 2025]]/2)+SUM(Table2[[#This Row],[O1  ADMIN 2026]:[P2    CAPE TOWN OPEN 2026 ]])</f>
        <v>0</v>
      </c>
      <c r="I975" s="880">
        <f t="shared" si="80"/>
        <v>0</v>
      </c>
      <c r="J975" s="882">
        <f t="shared" si="78"/>
        <v>0</v>
      </c>
      <c r="K975" s="887" t="str">
        <f>IFERROR(VALUE(IF(Table2[[#This Row],[Player No]]="","",IFERROR(VLOOKUP(Table2[[#This Row],[Player No]],[3]Men!$D$2:$E$48,2,FALSE)&amp;"",""))),"")</f>
        <v/>
      </c>
      <c r="L975" s="887" t="str">
        <f>IFERROR(VALUE(IF(Table2[[#This Row],[Player No]]="","",IFERROR(VLOOKUP(Table2[[#This Row],[Player No]],[4]Men!$Z$14:$AB$62,2,FALSE)&amp;"",""))),"")</f>
        <v/>
      </c>
      <c r="M975" s="887"/>
      <c r="N975" s="887"/>
      <c r="O975" s="909"/>
      <c r="P975" s="909"/>
      <c r="Q975" s="910"/>
      <c r="R975" s="910"/>
      <c r="S975" s="909"/>
      <c r="T975" s="910"/>
      <c r="U975" s="909"/>
      <c r="V975" s="911"/>
      <c r="W975" s="910"/>
      <c r="X975" s="909"/>
      <c r="Y975" s="910"/>
      <c r="Z975" s="909"/>
      <c r="AA975" s="909"/>
      <c r="AB975" s="909"/>
      <c r="AC975" s="909"/>
      <c r="AD975" s="909"/>
      <c r="AE975" s="909"/>
      <c r="AF975" s="909"/>
      <c r="AG975" s="909"/>
      <c r="AH975" s="909"/>
      <c r="AI975" s="909"/>
      <c r="AJ975" s="909"/>
      <c r="AK975" s="909"/>
      <c r="AL975" s="865"/>
    </row>
    <row r="976" spans="1:38">
      <c r="A976" s="901"/>
      <c r="B976" s="902">
        <f t="shared" si="79"/>
        <v>0</v>
      </c>
      <c r="C976" s="903"/>
      <c r="D976" s="904"/>
      <c r="E976" s="905"/>
      <c r="F976" s="906" t="str">
        <f>IFERROR(VLOOKUP(Table2[[#This Row],[Player No]],Table10[[No]:[Province]],3,0),"")</f>
        <v/>
      </c>
      <c r="G976" s="907">
        <v>0</v>
      </c>
      <c r="H976" s="908">
        <f>(Table2[[#This Row],[Points 2025]]/2)+SUM(Table2[[#This Row],[O1  ADMIN 2026]:[P2    CAPE TOWN OPEN 2026 ]])</f>
        <v>0</v>
      </c>
      <c r="I976" s="880">
        <f t="shared" si="80"/>
        <v>0</v>
      </c>
      <c r="J976" s="882">
        <f t="shared" si="78"/>
        <v>0</v>
      </c>
      <c r="K976" s="887" t="str">
        <f>IFERROR(VALUE(IF(Table2[[#This Row],[Player No]]="","",IFERROR(VLOOKUP(Table2[[#This Row],[Player No]],[3]Men!$D$2:$E$48,2,FALSE)&amp;"",""))),"")</f>
        <v/>
      </c>
      <c r="L976" s="887" t="str">
        <f>IFERROR(VALUE(IF(Table2[[#This Row],[Player No]]="","",IFERROR(VLOOKUP(Table2[[#This Row],[Player No]],[4]Men!$Z$14:$AB$62,2,FALSE)&amp;"",""))),"")</f>
        <v/>
      </c>
      <c r="M976" s="887"/>
      <c r="N976" s="887"/>
      <c r="O976" s="909"/>
      <c r="P976" s="909"/>
      <c r="Q976" s="910"/>
      <c r="R976" s="910"/>
      <c r="S976" s="909"/>
      <c r="T976" s="910"/>
      <c r="U976" s="909"/>
      <c r="V976" s="911"/>
      <c r="W976" s="910"/>
      <c r="X976" s="909"/>
      <c r="Y976" s="910"/>
      <c r="Z976" s="909"/>
      <c r="AA976" s="909"/>
      <c r="AB976" s="909"/>
      <c r="AC976" s="909"/>
      <c r="AD976" s="909"/>
      <c r="AE976" s="909"/>
      <c r="AF976" s="909"/>
      <c r="AG976" s="909"/>
      <c r="AH976" s="909"/>
      <c r="AI976" s="909"/>
      <c r="AJ976" s="909"/>
      <c r="AK976" s="909"/>
      <c r="AL976" s="865"/>
    </row>
    <row r="977" spans="1:38">
      <c r="A977" s="901"/>
      <c r="B977" s="902">
        <f t="shared" si="79"/>
        <v>0</v>
      </c>
      <c r="C977" s="903"/>
      <c r="D977" s="904"/>
      <c r="E977" s="905"/>
      <c r="F977" s="906" t="str">
        <f>IFERROR(VLOOKUP(Table2[[#This Row],[Player No]],Table10[[No]:[Province]],3,0),"")</f>
        <v/>
      </c>
      <c r="G977" s="907">
        <v>0</v>
      </c>
      <c r="H977" s="908">
        <f>(Table2[[#This Row],[Points 2025]]/2)+SUM(Table2[[#This Row],[O1  ADMIN 2026]:[P2    CAPE TOWN OPEN 2026 ]])</f>
        <v>0</v>
      </c>
      <c r="I977" s="880">
        <f t="shared" si="80"/>
        <v>0</v>
      </c>
      <c r="J977" s="882">
        <f t="shared" ref="J977:J1012" si="81">COUNTIF(O977:AK977,"&lt;0")</f>
        <v>0</v>
      </c>
      <c r="K977" s="887" t="str">
        <f>IFERROR(VALUE(IF(Table2[[#This Row],[Player No]]="","",IFERROR(VLOOKUP(Table2[[#This Row],[Player No]],[3]Men!$D$2:$E$48,2,FALSE)&amp;"",""))),"")</f>
        <v/>
      </c>
      <c r="L977" s="887" t="str">
        <f>IFERROR(VALUE(IF(Table2[[#This Row],[Player No]]="","",IFERROR(VLOOKUP(Table2[[#This Row],[Player No]],[4]Men!$Z$14:$AB$62,2,FALSE)&amp;"",""))),"")</f>
        <v/>
      </c>
      <c r="M977" s="887"/>
      <c r="N977" s="887"/>
      <c r="O977" s="909"/>
      <c r="P977" s="909"/>
      <c r="Q977" s="910"/>
      <c r="R977" s="910"/>
      <c r="S977" s="909"/>
      <c r="T977" s="910"/>
      <c r="U977" s="909"/>
      <c r="V977" s="911"/>
      <c r="W977" s="910"/>
      <c r="X977" s="909"/>
      <c r="Y977" s="910"/>
      <c r="Z977" s="909"/>
      <c r="AA977" s="909"/>
      <c r="AB977" s="909"/>
      <c r="AC977" s="909"/>
      <c r="AD977" s="909"/>
      <c r="AE977" s="909"/>
      <c r="AF977" s="909"/>
      <c r="AG977" s="909"/>
      <c r="AH977" s="909"/>
      <c r="AI977" s="909"/>
      <c r="AJ977" s="909"/>
      <c r="AK977" s="909"/>
      <c r="AL977" s="865"/>
    </row>
    <row r="978" spans="1:38">
      <c r="A978" s="901"/>
      <c r="B978" s="902">
        <f t="shared" si="79"/>
        <v>0</v>
      </c>
      <c r="C978" s="903"/>
      <c r="D978" s="904"/>
      <c r="E978" s="905"/>
      <c r="F978" s="906" t="str">
        <f>IFERROR(VLOOKUP(Table2[[#This Row],[Player No]],Table10[[No]:[Province]],3,0),"")</f>
        <v/>
      </c>
      <c r="G978" s="907">
        <v>0</v>
      </c>
      <c r="H978" s="908">
        <f>(Table2[[#This Row],[Points 2025]]/2)+SUM(Table2[[#This Row],[O1  ADMIN 2026]:[P2    CAPE TOWN OPEN 2026 ]])</f>
        <v>0</v>
      </c>
      <c r="I978" s="880">
        <f t="shared" si="80"/>
        <v>0</v>
      </c>
      <c r="J978" s="882">
        <f t="shared" si="81"/>
        <v>0</v>
      </c>
      <c r="K978" s="887" t="str">
        <f>IFERROR(VALUE(IF(Table2[[#This Row],[Player No]]="","",IFERROR(VLOOKUP(Table2[[#This Row],[Player No]],[3]Men!$D$2:$E$48,2,FALSE)&amp;"",""))),"")</f>
        <v/>
      </c>
      <c r="L978" s="887" t="str">
        <f>IFERROR(VALUE(IF(Table2[[#This Row],[Player No]]="","",IFERROR(VLOOKUP(Table2[[#This Row],[Player No]],[4]Men!$Z$14:$AB$62,2,FALSE)&amp;"",""))),"")</f>
        <v/>
      </c>
      <c r="M978" s="887"/>
      <c r="N978" s="887"/>
      <c r="O978" s="909"/>
      <c r="P978" s="909"/>
      <c r="Q978" s="910"/>
      <c r="R978" s="910"/>
      <c r="S978" s="909"/>
      <c r="T978" s="910"/>
      <c r="U978" s="909"/>
      <c r="V978" s="911"/>
      <c r="W978" s="910"/>
      <c r="X978" s="909"/>
      <c r="Y978" s="910"/>
      <c r="Z978" s="909"/>
      <c r="AA978" s="909"/>
      <c r="AB978" s="909"/>
      <c r="AC978" s="909"/>
      <c r="AD978" s="909"/>
      <c r="AE978" s="909"/>
      <c r="AF978" s="909"/>
      <c r="AG978" s="909"/>
      <c r="AH978" s="909"/>
      <c r="AI978" s="909"/>
      <c r="AJ978" s="909"/>
      <c r="AK978" s="909"/>
      <c r="AL978" s="865"/>
    </row>
    <row r="979" spans="1:38">
      <c r="A979" s="901"/>
      <c r="B979" s="902">
        <f t="shared" si="79"/>
        <v>0</v>
      </c>
      <c r="C979" s="903"/>
      <c r="D979" s="904"/>
      <c r="E979" s="905"/>
      <c r="F979" s="906" t="str">
        <f>IFERROR(VLOOKUP(Table2[[#This Row],[Player No]],Table10[[No]:[Province]],3,0),"")</f>
        <v/>
      </c>
      <c r="G979" s="907">
        <v>0</v>
      </c>
      <c r="H979" s="908">
        <f>(Table2[[#This Row],[Points 2025]]/2)+SUM(Table2[[#This Row],[O1  ADMIN 2026]:[P2    CAPE TOWN OPEN 2026 ]])</f>
        <v>0</v>
      </c>
      <c r="I979" s="880">
        <f t="shared" si="80"/>
        <v>0</v>
      </c>
      <c r="J979" s="882">
        <f t="shared" si="81"/>
        <v>0</v>
      </c>
      <c r="K979" s="887" t="str">
        <f>IFERROR(VALUE(IF(Table2[[#This Row],[Player No]]="","",IFERROR(VLOOKUP(Table2[[#This Row],[Player No]],[3]Men!$D$2:$E$48,2,FALSE)&amp;"",""))),"")</f>
        <v/>
      </c>
      <c r="L979" s="887" t="str">
        <f>IFERROR(VALUE(IF(Table2[[#This Row],[Player No]]="","",IFERROR(VLOOKUP(Table2[[#This Row],[Player No]],[4]Men!$Z$14:$AB$62,2,FALSE)&amp;"",""))),"")</f>
        <v/>
      </c>
      <c r="M979" s="887"/>
      <c r="N979" s="887"/>
      <c r="O979" s="909"/>
      <c r="P979" s="909"/>
      <c r="Q979" s="910"/>
      <c r="R979" s="910"/>
      <c r="S979" s="909"/>
      <c r="T979" s="910"/>
      <c r="U979" s="909"/>
      <c r="V979" s="911"/>
      <c r="W979" s="910"/>
      <c r="X979" s="909"/>
      <c r="Y979" s="910"/>
      <c r="Z979" s="909"/>
      <c r="AA979" s="909"/>
      <c r="AB979" s="909"/>
      <c r="AC979" s="909"/>
      <c r="AD979" s="909"/>
      <c r="AE979" s="909"/>
      <c r="AF979" s="909"/>
      <c r="AG979" s="909"/>
      <c r="AH979" s="909"/>
      <c r="AI979" s="909"/>
      <c r="AJ979" s="909"/>
      <c r="AK979" s="909"/>
      <c r="AL979" s="865"/>
    </row>
    <row r="980" spans="1:38">
      <c r="A980" s="901"/>
      <c r="B980" s="902">
        <f t="shared" si="79"/>
        <v>0</v>
      </c>
      <c r="C980" s="903"/>
      <c r="D980" s="904"/>
      <c r="E980" s="905"/>
      <c r="F980" s="906" t="str">
        <f>IFERROR(VLOOKUP(Table2[[#This Row],[Player No]],Table10[[No]:[Province]],3,0),"")</f>
        <v/>
      </c>
      <c r="G980" s="907">
        <v>0</v>
      </c>
      <c r="H980" s="908">
        <f>(Table2[[#This Row],[Points 2025]]/2)+SUM(Table2[[#This Row],[O1  ADMIN 2026]:[P2    CAPE TOWN OPEN 2026 ]])</f>
        <v>0</v>
      </c>
      <c r="I980" s="880">
        <f t="shared" si="80"/>
        <v>0</v>
      </c>
      <c r="J980" s="882">
        <f t="shared" si="81"/>
        <v>0</v>
      </c>
      <c r="K980" s="887" t="str">
        <f>IFERROR(VALUE(IF(Table2[[#This Row],[Player No]]="","",IFERROR(VLOOKUP(Table2[[#This Row],[Player No]],[3]Men!$D$2:$E$48,2,FALSE)&amp;"",""))),"")</f>
        <v/>
      </c>
      <c r="L980" s="887" t="str">
        <f>IFERROR(VALUE(IF(Table2[[#This Row],[Player No]]="","",IFERROR(VLOOKUP(Table2[[#This Row],[Player No]],[4]Men!$Z$14:$AB$62,2,FALSE)&amp;"",""))),"")</f>
        <v/>
      </c>
      <c r="M980" s="887"/>
      <c r="N980" s="887"/>
      <c r="O980" s="909"/>
      <c r="P980" s="909"/>
      <c r="Q980" s="910"/>
      <c r="R980" s="910"/>
      <c r="S980" s="909"/>
      <c r="T980" s="910"/>
      <c r="U980" s="909"/>
      <c r="V980" s="911"/>
      <c r="W980" s="910"/>
      <c r="X980" s="909"/>
      <c r="Y980" s="910"/>
      <c r="Z980" s="909"/>
      <c r="AA980" s="909"/>
      <c r="AB980" s="909"/>
      <c r="AC980" s="909"/>
      <c r="AD980" s="909"/>
      <c r="AE980" s="909"/>
      <c r="AF980" s="909"/>
      <c r="AG980" s="909"/>
      <c r="AH980" s="909"/>
      <c r="AI980" s="909"/>
      <c r="AJ980" s="909"/>
      <c r="AK980" s="909"/>
      <c r="AL980" s="865"/>
    </row>
    <row r="981" spans="1:38">
      <c r="A981" s="901"/>
      <c r="B981" s="902">
        <f t="shared" si="79"/>
        <v>0</v>
      </c>
      <c r="C981" s="903"/>
      <c r="D981" s="904"/>
      <c r="E981" s="905"/>
      <c r="F981" s="906" t="str">
        <f>IFERROR(VLOOKUP(Table2[[#This Row],[Player No]],Table10[[No]:[Province]],3,0),"")</f>
        <v/>
      </c>
      <c r="G981" s="907">
        <v>0</v>
      </c>
      <c r="H981" s="908">
        <f>(Table2[[#This Row],[Points 2025]]/2)+SUM(Table2[[#This Row],[O1  ADMIN 2026]:[P2    CAPE TOWN OPEN 2026 ]])</f>
        <v>0</v>
      </c>
      <c r="I981" s="880">
        <f t="shared" si="80"/>
        <v>0</v>
      </c>
      <c r="J981" s="882">
        <f t="shared" si="81"/>
        <v>0</v>
      </c>
      <c r="K981" s="887" t="str">
        <f>IFERROR(VALUE(IF(Table2[[#This Row],[Player No]]="","",IFERROR(VLOOKUP(Table2[[#This Row],[Player No]],[3]Men!$D$2:$E$48,2,FALSE)&amp;"",""))),"")</f>
        <v/>
      </c>
      <c r="L981" s="887" t="str">
        <f>IFERROR(VALUE(IF(Table2[[#This Row],[Player No]]="","",IFERROR(VLOOKUP(Table2[[#This Row],[Player No]],[4]Men!$Z$14:$AB$62,2,FALSE)&amp;"",""))),"")</f>
        <v/>
      </c>
      <c r="M981" s="887"/>
      <c r="N981" s="887"/>
      <c r="O981" s="909"/>
      <c r="P981" s="909"/>
      <c r="Q981" s="910"/>
      <c r="R981" s="910"/>
      <c r="S981" s="909"/>
      <c r="T981" s="910"/>
      <c r="U981" s="909"/>
      <c r="V981" s="911"/>
      <c r="W981" s="910"/>
      <c r="X981" s="909"/>
      <c r="Y981" s="910"/>
      <c r="Z981" s="909"/>
      <c r="AA981" s="909"/>
      <c r="AB981" s="909"/>
      <c r="AC981" s="909"/>
      <c r="AD981" s="909"/>
      <c r="AE981" s="909"/>
      <c r="AF981" s="909"/>
      <c r="AG981" s="909"/>
      <c r="AH981" s="909"/>
      <c r="AI981" s="909"/>
      <c r="AJ981" s="909"/>
      <c r="AK981" s="909"/>
      <c r="AL981" s="865"/>
    </row>
    <row r="982" spans="1:38">
      <c r="A982" s="901"/>
      <c r="B982" s="902">
        <f t="shared" si="79"/>
        <v>0</v>
      </c>
      <c r="C982" s="903"/>
      <c r="D982" s="904"/>
      <c r="E982" s="905"/>
      <c r="F982" s="906" t="str">
        <f>IFERROR(VLOOKUP(Table2[[#This Row],[Player No]],Table10[[No]:[Province]],3,0),"")</f>
        <v/>
      </c>
      <c r="G982" s="907">
        <v>0</v>
      </c>
      <c r="H982" s="908">
        <f>(Table2[[#This Row],[Points 2025]]/2)+SUM(Table2[[#This Row],[O1  ADMIN 2026]:[P2    CAPE TOWN OPEN 2026 ]])</f>
        <v>0</v>
      </c>
      <c r="I982" s="880">
        <f t="shared" si="80"/>
        <v>0</v>
      </c>
      <c r="J982" s="882">
        <f t="shared" si="81"/>
        <v>0</v>
      </c>
      <c r="K982" s="887" t="str">
        <f>IFERROR(VALUE(IF(Table2[[#This Row],[Player No]]="","",IFERROR(VLOOKUP(Table2[[#This Row],[Player No]],[3]Men!$D$2:$E$48,2,FALSE)&amp;"",""))),"")</f>
        <v/>
      </c>
      <c r="L982" s="887" t="str">
        <f>IFERROR(VALUE(IF(Table2[[#This Row],[Player No]]="","",IFERROR(VLOOKUP(Table2[[#This Row],[Player No]],[4]Men!$Z$14:$AB$62,2,FALSE)&amp;"",""))),"")</f>
        <v/>
      </c>
      <c r="M982" s="887"/>
      <c r="N982" s="887"/>
      <c r="O982" s="909"/>
      <c r="P982" s="909"/>
      <c r="Q982" s="910"/>
      <c r="R982" s="910"/>
      <c r="S982" s="909"/>
      <c r="T982" s="910"/>
      <c r="U982" s="909"/>
      <c r="V982" s="911"/>
      <c r="W982" s="910"/>
      <c r="X982" s="909"/>
      <c r="Y982" s="910"/>
      <c r="Z982" s="909"/>
      <c r="AA982" s="909"/>
      <c r="AB982" s="909"/>
      <c r="AC982" s="909"/>
      <c r="AD982" s="909"/>
      <c r="AE982" s="909"/>
      <c r="AF982" s="909"/>
      <c r="AG982" s="909"/>
      <c r="AH982" s="909"/>
      <c r="AI982" s="909"/>
      <c r="AJ982" s="909"/>
      <c r="AK982" s="909"/>
      <c r="AL982" s="865"/>
    </row>
    <row r="983" spans="1:38">
      <c r="A983" s="901"/>
      <c r="B983" s="902">
        <f t="shared" si="79"/>
        <v>0</v>
      </c>
      <c r="C983" s="903"/>
      <c r="D983" s="904"/>
      <c r="E983" s="905"/>
      <c r="F983" s="906" t="str">
        <f>IFERROR(VLOOKUP(Table2[[#This Row],[Player No]],Table10[[No]:[Province]],3,0),"")</f>
        <v/>
      </c>
      <c r="G983" s="907">
        <v>0</v>
      </c>
      <c r="H983" s="908">
        <f>(Table2[[#This Row],[Points 2025]]/2)+SUM(Table2[[#This Row],[O1  ADMIN 2026]:[P2    CAPE TOWN OPEN 2026 ]])</f>
        <v>0</v>
      </c>
      <c r="I983" s="880">
        <f t="shared" si="80"/>
        <v>0</v>
      </c>
      <c r="J983" s="882">
        <f t="shared" si="81"/>
        <v>0</v>
      </c>
      <c r="K983" s="887" t="str">
        <f>IFERROR(VALUE(IF(Table2[[#This Row],[Player No]]="","",IFERROR(VLOOKUP(Table2[[#This Row],[Player No]],[3]Men!$D$2:$E$48,2,FALSE)&amp;"",""))),"")</f>
        <v/>
      </c>
      <c r="L983" s="887" t="str">
        <f>IFERROR(VALUE(IF(Table2[[#This Row],[Player No]]="","",IFERROR(VLOOKUP(Table2[[#This Row],[Player No]],[4]Men!$Z$14:$AB$62,2,FALSE)&amp;"",""))),"")</f>
        <v/>
      </c>
      <c r="M983" s="887"/>
      <c r="N983" s="887"/>
      <c r="O983" s="909"/>
      <c r="P983" s="909"/>
      <c r="Q983" s="910"/>
      <c r="R983" s="910"/>
      <c r="S983" s="909"/>
      <c r="T983" s="910"/>
      <c r="U983" s="909"/>
      <c r="V983" s="911"/>
      <c r="W983" s="910"/>
      <c r="X983" s="909"/>
      <c r="Y983" s="910"/>
      <c r="Z983" s="909"/>
      <c r="AA983" s="909"/>
      <c r="AB983" s="909"/>
      <c r="AC983" s="909"/>
      <c r="AD983" s="909"/>
      <c r="AE983" s="909"/>
      <c r="AF983" s="909"/>
      <c r="AG983" s="909"/>
      <c r="AH983" s="909"/>
      <c r="AI983" s="909"/>
      <c r="AJ983" s="909"/>
      <c r="AK983" s="909"/>
      <c r="AL983" s="865"/>
    </row>
    <row r="984" spans="1:38">
      <c r="A984" s="901"/>
      <c r="B984" s="902">
        <f t="shared" si="79"/>
        <v>0</v>
      </c>
      <c r="C984" s="903"/>
      <c r="D984" s="904"/>
      <c r="E984" s="905"/>
      <c r="F984" s="906" t="str">
        <f>IFERROR(VLOOKUP(Table2[[#This Row],[Player No]],Table10[[No]:[Province]],3,0),"")</f>
        <v/>
      </c>
      <c r="G984" s="907">
        <v>0</v>
      </c>
      <c r="H984" s="908">
        <f>(Table2[[#This Row],[Points 2025]]/2)+SUM(Table2[[#This Row],[O1  ADMIN 2026]:[P2    CAPE TOWN OPEN 2026 ]])</f>
        <v>0</v>
      </c>
      <c r="I984" s="880">
        <f t="shared" si="80"/>
        <v>0</v>
      </c>
      <c r="J984" s="882">
        <f t="shared" si="81"/>
        <v>0</v>
      </c>
      <c r="K984" s="887" t="str">
        <f>IFERROR(VALUE(IF(Table2[[#This Row],[Player No]]="","",IFERROR(VLOOKUP(Table2[[#This Row],[Player No]],[3]Men!$D$2:$E$48,2,FALSE)&amp;"",""))),"")</f>
        <v/>
      </c>
      <c r="L984" s="887" t="str">
        <f>IFERROR(VALUE(IF(Table2[[#This Row],[Player No]]="","",IFERROR(VLOOKUP(Table2[[#This Row],[Player No]],[4]Men!$Z$14:$AB$62,2,FALSE)&amp;"",""))),"")</f>
        <v/>
      </c>
      <c r="M984" s="887"/>
      <c r="N984" s="887"/>
      <c r="O984" s="909"/>
      <c r="P984" s="909"/>
      <c r="Q984" s="910"/>
      <c r="R984" s="910"/>
      <c r="S984" s="909"/>
      <c r="T984" s="910"/>
      <c r="U984" s="909"/>
      <c r="V984" s="911"/>
      <c r="W984" s="910"/>
      <c r="X984" s="909"/>
      <c r="Y984" s="910"/>
      <c r="Z984" s="909"/>
      <c r="AA984" s="909"/>
      <c r="AB984" s="909"/>
      <c r="AC984" s="909"/>
      <c r="AD984" s="909"/>
      <c r="AE984" s="909"/>
      <c r="AF984" s="909"/>
      <c r="AG984" s="909"/>
      <c r="AH984" s="909"/>
      <c r="AI984" s="909"/>
      <c r="AJ984" s="909"/>
      <c r="AK984" s="909"/>
      <c r="AL984" s="865"/>
    </row>
    <row r="985" spans="1:38">
      <c r="A985" s="901"/>
      <c r="B985" s="902">
        <f t="shared" si="79"/>
        <v>0</v>
      </c>
      <c r="C985" s="903"/>
      <c r="D985" s="904"/>
      <c r="E985" s="905"/>
      <c r="F985" s="906" t="str">
        <f>IFERROR(VLOOKUP(Table2[[#This Row],[Player No]],Table10[[No]:[Province]],3,0),"")</f>
        <v/>
      </c>
      <c r="G985" s="907">
        <v>0</v>
      </c>
      <c r="H985" s="908">
        <f>(Table2[[#This Row],[Points 2025]]/2)+SUM(Table2[[#This Row],[O1  ADMIN 2026]:[P2    CAPE TOWN OPEN 2026 ]])</f>
        <v>0</v>
      </c>
      <c r="I985" s="880">
        <f t="shared" si="80"/>
        <v>0</v>
      </c>
      <c r="J985" s="882">
        <f t="shared" si="81"/>
        <v>0</v>
      </c>
      <c r="K985" s="887" t="str">
        <f>IFERROR(VALUE(IF(Table2[[#This Row],[Player No]]="","",IFERROR(VLOOKUP(Table2[[#This Row],[Player No]],[3]Men!$D$2:$E$48,2,FALSE)&amp;"",""))),"")</f>
        <v/>
      </c>
      <c r="L985" s="887" t="str">
        <f>IFERROR(VALUE(IF(Table2[[#This Row],[Player No]]="","",IFERROR(VLOOKUP(Table2[[#This Row],[Player No]],[4]Men!$Z$14:$AB$62,2,FALSE)&amp;"",""))),"")</f>
        <v/>
      </c>
      <c r="M985" s="887"/>
      <c r="N985" s="887"/>
      <c r="O985" s="909"/>
      <c r="P985" s="909"/>
      <c r="Q985" s="910"/>
      <c r="R985" s="910"/>
      <c r="S985" s="909"/>
      <c r="T985" s="910"/>
      <c r="U985" s="909"/>
      <c r="V985" s="911"/>
      <c r="W985" s="910"/>
      <c r="X985" s="909"/>
      <c r="Y985" s="910"/>
      <c r="Z985" s="909"/>
      <c r="AA985" s="909"/>
      <c r="AB985" s="909"/>
      <c r="AC985" s="909"/>
      <c r="AD985" s="909"/>
      <c r="AE985" s="909"/>
      <c r="AF985" s="909"/>
      <c r="AG985" s="909"/>
      <c r="AH985" s="909"/>
      <c r="AI985" s="909"/>
      <c r="AJ985" s="909"/>
      <c r="AK985" s="909"/>
      <c r="AL985" s="865"/>
    </row>
    <row r="986" spans="1:38">
      <c r="A986" s="901"/>
      <c r="B986" s="902">
        <f t="shared" si="79"/>
        <v>0</v>
      </c>
      <c r="C986" s="903"/>
      <c r="D986" s="904"/>
      <c r="E986" s="905"/>
      <c r="F986" s="906" t="str">
        <f>IFERROR(VLOOKUP(Table2[[#This Row],[Player No]],Table10[[No]:[Province]],3,0),"")</f>
        <v/>
      </c>
      <c r="G986" s="907">
        <v>0</v>
      </c>
      <c r="H986" s="908">
        <f>(Table2[[#This Row],[Points 2025]]/2)+SUM(Table2[[#This Row],[O1  ADMIN 2026]:[P2    CAPE TOWN OPEN 2026 ]])</f>
        <v>0</v>
      </c>
      <c r="I986" s="880">
        <f t="shared" si="80"/>
        <v>0</v>
      </c>
      <c r="J986" s="882">
        <f t="shared" si="81"/>
        <v>0</v>
      </c>
      <c r="K986" s="887" t="str">
        <f>IFERROR(VALUE(IF(Table2[[#This Row],[Player No]]="","",IFERROR(VLOOKUP(Table2[[#This Row],[Player No]],[3]Men!$D$2:$E$48,2,FALSE)&amp;"",""))),"")</f>
        <v/>
      </c>
      <c r="L986" s="887" t="str">
        <f>IFERROR(VALUE(IF(Table2[[#This Row],[Player No]]="","",IFERROR(VLOOKUP(Table2[[#This Row],[Player No]],[4]Men!$Z$14:$AB$62,2,FALSE)&amp;"",""))),"")</f>
        <v/>
      </c>
      <c r="M986" s="887"/>
      <c r="N986" s="887"/>
      <c r="O986" s="909"/>
      <c r="P986" s="909"/>
      <c r="Q986" s="910"/>
      <c r="R986" s="910"/>
      <c r="S986" s="909"/>
      <c r="T986" s="910"/>
      <c r="U986" s="909"/>
      <c r="V986" s="911"/>
      <c r="W986" s="910"/>
      <c r="X986" s="909"/>
      <c r="Y986" s="910"/>
      <c r="Z986" s="909"/>
      <c r="AA986" s="909"/>
      <c r="AB986" s="909"/>
      <c r="AC986" s="909"/>
      <c r="AD986" s="909"/>
      <c r="AE986" s="909"/>
      <c r="AF986" s="909"/>
      <c r="AG986" s="909"/>
      <c r="AH986" s="909"/>
      <c r="AI986" s="909"/>
      <c r="AJ986" s="909"/>
      <c r="AK986" s="909"/>
      <c r="AL986" s="865"/>
    </row>
    <row r="987" spans="1:38">
      <c r="A987" s="901"/>
      <c r="B987" s="902">
        <f t="shared" si="79"/>
        <v>0</v>
      </c>
      <c r="C987" s="903"/>
      <c r="D987" s="904"/>
      <c r="E987" s="905"/>
      <c r="F987" s="906" t="str">
        <f>IFERROR(VLOOKUP(Table2[[#This Row],[Player No]],Table10[[No]:[Province]],3,0),"")</f>
        <v/>
      </c>
      <c r="G987" s="907">
        <v>0</v>
      </c>
      <c r="H987" s="908">
        <f>(Table2[[#This Row],[Points 2025]]/2)+SUM(Table2[[#This Row],[O1  ADMIN 2026]:[P2    CAPE TOWN OPEN 2026 ]])</f>
        <v>0</v>
      </c>
      <c r="I987" s="880">
        <f t="shared" si="80"/>
        <v>0</v>
      </c>
      <c r="J987" s="882">
        <f t="shared" si="81"/>
        <v>0</v>
      </c>
      <c r="K987" s="887" t="str">
        <f>IFERROR(VALUE(IF(Table2[[#This Row],[Player No]]="","",IFERROR(VLOOKUP(Table2[[#This Row],[Player No]],[3]Men!$D$2:$E$48,2,FALSE)&amp;"",""))),"")</f>
        <v/>
      </c>
      <c r="L987" s="887" t="str">
        <f>IFERROR(VALUE(IF(Table2[[#This Row],[Player No]]="","",IFERROR(VLOOKUP(Table2[[#This Row],[Player No]],[4]Men!$Z$14:$AB$62,2,FALSE)&amp;"",""))),"")</f>
        <v/>
      </c>
      <c r="M987" s="887"/>
      <c r="N987" s="887"/>
      <c r="O987" s="909"/>
      <c r="P987" s="909"/>
      <c r="Q987" s="910"/>
      <c r="R987" s="910"/>
      <c r="S987" s="909"/>
      <c r="T987" s="910"/>
      <c r="U987" s="909"/>
      <c r="V987" s="911"/>
      <c r="W987" s="910"/>
      <c r="X987" s="909"/>
      <c r="Y987" s="910"/>
      <c r="Z987" s="909"/>
      <c r="AA987" s="909"/>
      <c r="AB987" s="909"/>
      <c r="AC987" s="909"/>
      <c r="AD987" s="909"/>
      <c r="AE987" s="909"/>
      <c r="AF987" s="909"/>
      <c r="AG987" s="909"/>
      <c r="AH987" s="909"/>
      <c r="AI987" s="909"/>
      <c r="AJ987" s="909"/>
      <c r="AK987" s="909"/>
      <c r="AL987" s="865"/>
    </row>
    <row r="988" spans="1:38">
      <c r="A988" s="901"/>
      <c r="B988" s="902">
        <f t="shared" si="79"/>
        <v>0</v>
      </c>
      <c r="C988" s="903"/>
      <c r="D988" s="904"/>
      <c r="E988" s="905"/>
      <c r="F988" s="906" t="str">
        <f>IFERROR(VLOOKUP(Table2[[#This Row],[Player No]],Table10[[No]:[Province]],3,0),"")</f>
        <v/>
      </c>
      <c r="G988" s="907">
        <v>0</v>
      </c>
      <c r="H988" s="908">
        <f>(Table2[[#This Row],[Points 2025]]/2)+SUM(Table2[[#This Row],[O1  ADMIN 2026]:[P2    CAPE TOWN OPEN 2026 ]])</f>
        <v>0</v>
      </c>
      <c r="I988" s="880">
        <f t="shared" si="80"/>
        <v>0</v>
      </c>
      <c r="J988" s="882">
        <f t="shared" si="81"/>
        <v>0</v>
      </c>
      <c r="K988" s="887" t="str">
        <f>IFERROR(VALUE(IF(Table2[[#This Row],[Player No]]="","",IFERROR(VLOOKUP(Table2[[#This Row],[Player No]],[3]Men!$D$2:$E$48,2,FALSE)&amp;"",""))),"")</f>
        <v/>
      </c>
      <c r="L988" s="887" t="str">
        <f>IFERROR(VALUE(IF(Table2[[#This Row],[Player No]]="","",IFERROR(VLOOKUP(Table2[[#This Row],[Player No]],[4]Men!$Z$14:$AB$62,2,FALSE)&amp;"",""))),"")</f>
        <v/>
      </c>
      <c r="M988" s="887"/>
      <c r="N988" s="887"/>
      <c r="O988" s="909"/>
      <c r="P988" s="909"/>
      <c r="Q988" s="910"/>
      <c r="R988" s="910"/>
      <c r="S988" s="909"/>
      <c r="T988" s="910"/>
      <c r="U988" s="909"/>
      <c r="V988" s="911"/>
      <c r="W988" s="910"/>
      <c r="X988" s="909"/>
      <c r="Y988" s="910"/>
      <c r="Z988" s="909"/>
      <c r="AA988" s="909"/>
      <c r="AB988" s="909"/>
      <c r="AC988" s="909"/>
      <c r="AD988" s="909"/>
      <c r="AE988" s="909"/>
      <c r="AF988" s="909"/>
      <c r="AG988" s="909"/>
      <c r="AH988" s="909"/>
      <c r="AI988" s="909"/>
      <c r="AJ988" s="909"/>
      <c r="AK988" s="909"/>
      <c r="AL988" s="865"/>
    </row>
    <row r="989" spans="1:38">
      <c r="A989" s="901"/>
      <c r="B989" s="902">
        <f t="shared" si="79"/>
        <v>0</v>
      </c>
      <c r="C989" s="903"/>
      <c r="D989" s="904"/>
      <c r="E989" s="905"/>
      <c r="F989" s="906" t="str">
        <f>IFERROR(VLOOKUP(Table2[[#This Row],[Player No]],Table10[[No]:[Province]],3,0),"")</f>
        <v/>
      </c>
      <c r="G989" s="907">
        <v>0</v>
      </c>
      <c r="H989" s="908">
        <f>(Table2[[#This Row],[Points 2025]]/2)+SUM(Table2[[#This Row],[O1  ADMIN 2026]:[P2    CAPE TOWN OPEN 2026 ]])</f>
        <v>0</v>
      </c>
      <c r="I989" s="880">
        <f t="shared" si="80"/>
        <v>0</v>
      </c>
      <c r="J989" s="882">
        <f t="shared" si="81"/>
        <v>0</v>
      </c>
      <c r="K989" s="887" t="str">
        <f>IFERROR(VALUE(IF(Table2[[#This Row],[Player No]]="","",IFERROR(VLOOKUP(Table2[[#This Row],[Player No]],[3]Men!$D$2:$E$48,2,FALSE)&amp;"",""))),"")</f>
        <v/>
      </c>
      <c r="L989" s="887" t="str">
        <f>IFERROR(VALUE(IF(Table2[[#This Row],[Player No]]="","",IFERROR(VLOOKUP(Table2[[#This Row],[Player No]],[4]Men!$Z$14:$AB$62,2,FALSE)&amp;"",""))),"")</f>
        <v/>
      </c>
      <c r="M989" s="887"/>
      <c r="N989" s="887"/>
      <c r="O989" s="909"/>
      <c r="P989" s="909"/>
      <c r="Q989" s="910"/>
      <c r="R989" s="910"/>
      <c r="S989" s="909"/>
      <c r="T989" s="910"/>
      <c r="U989" s="909"/>
      <c r="V989" s="911"/>
      <c r="W989" s="910"/>
      <c r="X989" s="909"/>
      <c r="Y989" s="910"/>
      <c r="Z989" s="909"/>
      <c r="AA989" s="909"/>
      <c r="AB989" s="909"/>
      <c r="AC989" s="909"/>
      <c r="AD989" s="909"/>
      <c r="AE989" s="909"/>
      <c r="AF989" s="909"/>
      <c r="AG989" s="909"/>
      <c r="AH989" s="909"/>
      <c r="AI989" s="909"/>
      <c r="AJ989" s="909"/>
      <c r="AK989" s="909"/>
      <c r="AL989" s="865"/>
    </row>
    <row r="990" spans="1:38">
      <c r="A990" s="901"/>
      <c r="B990" s="902">
        <f t="shared" ref="B990:B1012" si="82">+A990-C990</f>
        <v>0</v>
      </c>
      <c r="C990" s="903"/>
      <c r="D990" s="904"/>
      <c r="E990" s="905"/>
      <c r="F990" s="906" t="str">
        <f>IFERROR(VLOOKUP(Table2[[#This Row],[Player No]],Table10[[No]:[Province]],3,0),"")</f>
        <v/>
      </c>
      <c r="G990" s="907">
        <v>0</v>
      </c>
      <c r="H990" s="908">
        <f>(Table2[[#This Row],[Points 2025]]/2)+SUM(Table2[[#This Row],[O1  ADMIN 2026]:[P2    CAPE TOWN OPEN 2026 ]])</f>
        <v>0</v>
      </c>
      <c r="I990" s="880">
        <f t="shared" si="80"/>
        <v>0</v>
      </c>
      <c r="J990" s="882">
        <f t="shared" si="81"/>
        <v>0</v>
      </c>
      <c r="K990" s="887" t="str">
        <f>IFERROR(VALUE(IF(Table2[[#This Row],[Player No]]="","",IFERROR(VLOOKUP(Table2[[#This Row],[Player No]],[3]Men!$D$2:$E$48,2,FALSE)&amp;"",""))),"")</f>
        <v/>
      </c>
      <c r="L990" s="887" t="str">
        <f>IFERROR(VALUE(IF(Table2[[#This Row],[Player No]]="","",IFERROR(VLOOKUP(Table2[[#This Row],[Player No]],[4]Men!$Z$14:$AB$62,2,FALSE)&amp;"",""))),"")</f>
        <v/>
      </c>
      <c r="M990" s="887"/>
      <c r="N990" s="887"/>
      <c r="O990" s="909"/>
      <c r="P990" s="909"/>
      <c r="Q990" s="910"/>
      <c r="R990" s="910"/>
      <c r="S990" s="909"/>
      <c r="T990" s="910"/>
      <c r="U990" s="909"/>
      <c r="V990" s="911"/>
      <c r="W990" s="910"/>
      <c r="X990" s="909"/>
      <c r="Y990" s="910"/>
      <c r="Z990" s="909"/>
      <c r="AA990" s="909"/>
      <c r="AB990" s="909"/>
      <c r="AC990" s="909"/>
      <c r="AD990" s="909"/>
      <c r="AE990" s="909"/>
      <c r="AF990" s="909"/>
      <c r="AG990" s="909"/>
      <c r="AH990" s="909"/>
      <c r="AI990" s="909"/>
      <c r="AJ990" s="909"/>
      <c r="AK990" s="909"/>
      <c r="AL990" s="865"/>
    </row>
    <row r="991" spans="1:38">
      <c r="A991" s="901"/>
      <c r="B991" s="902">
        <f t="shared" si="82"/>
        <v>0</v>
      </c>
      <c r="C991" s="903"/>
      <c r="D991" s="904"/>
      <c r="E991" s="905"/>
      <c r="F991" s="906" t="str">
        <f>IFERROR(VLOOKUP(Table2[[#This Row],[Player No]],Table10[[No]:[Province]],3,0),"")</f>
        <v/>
      </c>
      <c r="G991" s="907">
        <v>0</v>
      </c>
      <c r="H991" s="908">
        <f>(Table2[[#This Row],[Points 2025]]/2)+SUM(Table2[[#This Row],[O1  ADMIN 2026]:[P2    CAPE TOWN OPEN 2026 ]])</f>
        <v>0</v>
      </c>
      <c r="I991" s="880">
        <f t="shared" si="80"/>
        <v>0</v>
      </c>
      <c r="J991" s="882">
        <f t="shared" si="81"/>
        <v>0</v>
      </c>
      <c r="K991" s="887" t="str">
        <f>IFERROR(VALUE(IF(Table2[[#This Row],[Player No]]="","",IFERROR(VLOOKUP(Table2[[#This Row],[Player No]],[3]Men!$D$2:$E$48,2,FALSE)&amp;"",""))),"")</f>
        <v/>
      </c>
      <c r="L991" s="887" t="str">
        <f>IFERROR(VALUE(IF(Table2[[#This Row],[Player No]]="","",IFERROR(VLOOKUP(Table2[[#This Row],[Player No]],[4]Men!$Z$14:$AB$62,2,FALSE)&amp;"",""))),"")</f>
        <v/>
      </c>
      <c r="M991" s="887"/>
      <c r="N991" s="887"/>
      <c r="O991" s="909"/>
      <c r="P991" s="909"/>
      <c r="Q991" s="910"/>
      <c r="R991" s="910"/>
      <c r="S991" s="909"/>
      <c r="T991" s="910"/>
      <c r="U991" s="909"/>
      <c r="V991" s="911"/>
      <c r="W991" s="910"/>
      <c r="X991" s="909"/>
      <c r="Y991" s="910"/>
      <c r="Z991" s="909"/>
      <c r="AA991" s="909"/>
      <c r="AB991" s="909"/>
      <c r="AC991" s="909"/>
      <c r="AD991" s="909"/>
      <c r="AE991" s="909"/>
      <c r="AF991" s="909"/>
      <c r="AG991" s="909"/>
      <c r="AH991" s="909"/>
      <c r="AI991" s="909"/>
      <c r="AJ991" s="909"/>
      <c r="AK991" s="909"/>
      <c r="AL991" s="865"/>
    </row>
    <row r="992" spans="1:38">
      <c r="A992" s="901"/>
      <c r="B992" s="902">
        <f t="shared" si="82"/>
        <v>0</v>
      </c>
      <c r="C992" s="903"/>
      <c r="D992" s="904"/>
      <c r="E992" s="905"/>
      <c r="F992" s="906" t="str">
        <f>IFERROR(VLOOKUP(Table2[[#This Row],[Player No]],Table10[[No]:[Province]],3,0),"")</f>
        <v/>
      </c>
      <c r="G992" s="907">
        <v>0</v>
      </c>
      <c r="H992" s="908">
        <f>(Table2[[#This Row],[Points 2025]]/2)+SUM(Table2[[#This Row],[O1  ADMIN 2026]:[P2    CAPE TOWN OPEN 2026 ]])</f>
        <v>0</v>
      </c>
      <c r="I992" s="880">
        <f t="shared" si="80"/>
        <v>0</v>
      </c>
      <c r="J992" s="882">
        <f t="shared" si="81"/>
        <v>0</v>
      </c>
      <c r="K992" s="887" t="str">
        <f>IFERROR(VALUE(IF(Table2[[#This Row],[Player No]]="","",IFERROR(VLOOKUP(Table2[[#This Row],[Player No]],[3]Men!$D$2:$E$48,2,FALSE)&amp;"",""))),"")</f>
        <v/>
      </c>
      <c r="L992" s="887" t="str">
        <f>IFERROR(VALUE(IF(Table2[[#This Row],[Player No]]="","",IFERROR(VLOOKUP(Table2[[#This Row],[Player No]],[4]Men!$Z$14:$AB$62,2,FALSE)&amp;"",""))),"")</f>
        <v/>
      </c>
      <c r="M992" s="887"/>
      <c r="N992" s="887"/>
      <c r="O992" s="909"/>
      <c r="P992" s="909"/>
      <c r="Q992" s="910"/>
      <c r="R992" s="910"/>
      <c r="S992" s="909"/>
      <c r="T992" s="910"/>
      <c r="U992" s="909"/>
      <c r="V992" s="911"/>
      <c r="W992" s="910"/>
      <c r="X992" s="909"/>
      <c r="Y992" s="910"/>
      <c r="Z992" s="909"/>
      <c r="AA992" s="909"/>
      <c r="AB992" s="909"/>
      <c r="AC992" s="909"/>
      <c r="AD992" s="909"/>
      <c r="AE992" s="909"/>
      <c r="AF992" s="909"/>
      <c r="AG992" s="909"/>
      <c r="AH992" s="909"/>
      <c r="AI992" s="909"/>
      <c r="AJ992" s="909"/>
      <c r="AK992" s="909"/>
      <c r="AL992" s="865"/>
    </row>
    <row r="993" spans="1:38">
      <c r="A993" s="901"/>
      <c r="B993" s="902">
        <f t="shared" si="82"/>
        <v>0</v>
      </c>
      <c r="C993" s="903"/>
      <c r="D993" s="904"/>
      <c r="E993" s="905"/>
      <c r="F993" s="906" t="str">
        <f>IFERROR(VLOOKUP(Table2[[#This Row],[Player No]],Table10[[No]:[Province]],3,0),"")</f>
        <v/>
      </c>
      <c r="G993" s="907">
        <v>0</v>
      </c>
      <c r="H993" s="908">
        <f>(Table2[[#This Row],[Points 2025]]/2)+SUM(Table2[[#This Row],[O1  ADMIN 2026]:[P2    CAPE TOWN OPEN 2026 ]])</f>
        <v>0</v>
      </c>
      <c r="I993" s="880">
        <f t="shared" si="80"/>
        <v>0</v>
      </c>
      <c r="J993" s="882">
        <f t="shared" si="81"/>
        <v>0</v>
      </c>
      <c r="K993" s="887" t="str">
        <f>IFERROR(VALUE(IF(Table2[[#This Row],[Player No]]="","",IFERROR(VLOOKUP(Table2[[#This Row],[Player No]],[3]Men!$D$2:$E$48,2,FALSE)&amp;"",""))),"")</f>
        <v/>
      </c>
      <c r="L993" s="887" t="str">
        <f>IFERROR(VALUE(IF(Table2[[#This Row],[Player No]]="","",IFERROR(VLOOKUP(Table2[[#This Row],[Player No]],[4]Men!$Z$14:$AB$62,2,FALSE)&amp;"",""))),"")</f>
        <v/>
      </c>
      <c r="M993" s="887"/>
      <c r="N993" s="887"/>
      <c r="O993" s="909"/>
      <c r="P993" s="909"/>
      <c r="Q993" s="910"/>
      <c r="R993" s="910"/>
      <c r="S993" s="909"/>
      <c r="T993" s="910"/>
      <c r="U993" s="909"/>
      <c r="V993" s="911"/>
      <c r="W993" s="910"/>
      <c r="X993" s="909"/>
      <c r="Y993" s="910"/>
      <c r="Z993" s="909"/>
      <c r="AA993" s="909"/>
      <c r="AB993" s="909"/>
      <c r="AC993" s="909"/>
      <c r="AD993" s="909"/>
      <c r="AE993" s="909"/>
      <c r="AF993" s="909"/>
      <c r="AG993" s="909"/>
      <c r="AH993" s="909"/>
      <c r="AI993" s="909"/>
      <c r="AJ993" s="909"/>
      <c r="AK993" s="909"/>
      <c r="AL993" s="865"/>
    </row>
    <row r="994" spans="1:38">
      <c r="A994" s="1012"/>
      <c r="B994" s="1015">
        <f t="shared" si="82"/>
        <v>0</v>
      </c>
      <c r="C994" s="1017"/>
      <c r="D994" s="1019"/>
      <c r="E994" s="1024"/>
      <c r="F994" s="1026" t="str">
        <f>IFERROR(VLOOKUP(Table2[[#This Row],[Player No]],Table10[[No]:[Province]],3,0),"")</f>
        <v/>
      </c>
      <c r="G994" s="1028">
        <v>0</v>
      </c>
      <c r="H994" s="1030">
        <f>(Table2[[#This Row],[Points 2025]]/2)+SUM(Table2[[#This Row],[O1  ADMIN 2026]:[P2    CAPE TOWN OPEN 2026 ]])</f>
        <v>0</v>
      </c>
      <c r="I994" s="1007">
        <f t="shared" si="80"/>
        <v>0</v>
      </c>
      <c r="J994" s="1007">
        <f t="shared" si="81"/>
        <v>0</v>
      </c>
      <c r="K994" s="1007" t="str">
        <f>IFERROR(VALUE(IF(Table2[[#This Row],[Player No]]="","",IFERROR(VLOOKUP(Table2[[#This Row],[Player No]],[3]Men!$D$2:$E$48,2,FALSE)&amp;"",""))),"")</f>
        <v/>
      </c>
      <c r="L994" s="1007" t="str">
        <f>IFERROR(VALUE(IF(Table2[[#This Row],[Player No]]="","",IFERROR(VLOOKUP(Table2[[#This Row],[Player No]],[4]Men!$Z$14:$AB$62,2,FALSE)&amp;"",""))),"")</f>
        <v/>
      </c>
      <c r="M994" s="1007"/>
      <c r="N994" s="1007"/>
      <c r="O994" s="1036"/>
      <c r="P994" s="1036"/>
      <c r="Q994" s="1036"/>
      <c r="R994" s="1036"/>
      <c r="S994" s="1036"/>
      <c r="T994" s="1036"/>
      <c r="U994" s="1036"/>
      <c r="V994" s="1036"/>
      <c r="W994" s="1036"/>
      <c r="X994" s="1036"/>
      <c r="Y994" s="1036"/>
      <c r="Z994" s="1036"/>
      <c r="AA994" s="1036"/>
      <c r="AB994" s="1036"/>
      <c r="AC994" s="1036"/>
      <c r="AD994" s="1036"/>
      <c r="AE994" s="1036"/>
      <c r="AF994" s="1036"/>
      <c r="AG994" s="1036"/>
      <c r="AH994" s="1036"/>
      <c r="AI994" s="1036"/>
      <c r="AJ994" s="1036"/>
      <c r="AK994" s="1036"/>
    </row>
    <row r="995" spans="1:38">
      <c r="A995" s="1012"/>
      <c r="B995" s="1015">
        <f t="shared" si="82"/>
        <v>0</v>
      </c>
      <c r="C995" s="1017"/>
      <c r="D995" s="1019"/>
      <c r="E995" s="1024"/>
      <c r="F995" s="1026" t="str">
        <f>IFERROR(VLOOKUP(Table2[[#This Row],[Player No]],Table10[[No]:[Province]],3,0),"")</f>
        <v/>
      </c>
      <c r="G995" s="1028">
        <v>0</v>
      </c>
      <c r="H995" s="1030">
        <f>(Table2[[#This Row],[Points 2025]]/2)+SUM(Table2[[#This Row],[O1  ADMIN 2026]:[P2    CAPE TOWN OPEN 2026 ]])</f>
        <v>0</v>
      </c>
      <c r="I995" s="1007">
        <f t="shared" si="80"/>
        <v>0</v>
      </c>
      <c r="J995" s="1007">
        <f t="shared" si="81"/>
        <v>0</v>
      </c>
      <c r="K995" s="1007" t="str">
        <f>IFERROR(VALUE(IF(Table2[[#This Row],[Player No]]="","",IFERROR(VLOOKUP(Table2[[#This Row],[Player No]],[3]Men!$D$2:$E$48,2,FALSE)&amp;"",""))),"")</f>
        <v/>
      </c>
      <c r="L995" s="1007" t="str">
        <f>IFERROR(VALUE(IF(Table2[[#This Row],[Player No]]="","",IFERROR(VLOOKUP(Table2[[#This Row],[Player No]],[4]Men!$Z$14:$AB$62,2,FALSE)&amp;"",""))),"")</f>
        <v/>
      </c>
      <c r="M995" s="1007"/>
      <c r="N995" s="1007"/>
      <c r="O995" s="1036"/>
      <c r="P995" s="1036"/>
      <c r="Q995" s="1036"/>
      <c r="R995" s="1036"/>
      <c r="S995" s="1036"/>
      <c r="T995" s="1036"/>
      <c r="U995" s="1036"/>
      <c r="V995" s="1036"/>
      <c r="W995" s="1036"/>
      <c r="X995" s="1036"/>
      <c r="Y995" s="1036"/>
      <c r="Z995" s="1036"/>
      <c r="AA995" s="1036"/>
      <c r="AB995" s="1036"/>
      <c r="AC995" s="1036"/>
      <c r="AD995" s="1036"/>
      <c r="AE995" s="1036"/>
      <c r="AF995" s="1036"/>
      <c r="AG995" s="1036"/>
      <c r="AH995" s="1036"/>
      <c r="AI995" s="1036"/>
      <c r="AJ995" s="1036"/>
      <c r="AK995" s="1036"/>
    </row>
    <row r="996" spans="1:38">
      <c r="A996" s="1012"/>
      <c r="B996" s="1015">
        <f t="shared" si="82"/>
        <v>0</v>
      </c>
      <c r="C996" s="1017"/>
      <c r="D996" s="1019"/>
      <c r="E996" s="1024"/>
      <c r="F996" s="1026" t="str">
        <f>IFERROR(VLOOKUP(Table2[[#This Row],[Player No]],Table10[[No]:[Province]],3,0),"")</f>
        <v/>
      </c>
      <c r="G996" s="1028">
        <v>0</v>
      </c>
      <c r="H996" s="1030">
        <f>(Table2[[#This Row],[Points 2025]]/2)+SUM(Table2[[#This Row],[O1  ADMIN 2026]:[P2    CAPE TOWN OPEN 2026 ]])</f>
        <v>0</v>
      </c>
      <c r="I996" s="1007">
        <f t="shared" si="80"/>
        <v>0</v>
      </c>
      <c r="J996" s="1007">
        <f t="shared" si="81"/>
        <v>0</v>
      </c>
      <c r="K996" s="1007" t="str">
        <f>IFERROR(VALUE(IF(Table2[[#This Row],[Player No]]="","",IFERROR(VLOOKUP(Table2[[#This Row],[Player No]],[3]Men!$D$2:$E$48,2,FALSE)&amp;"",""))),"")</f>
        <v/>
      </c>
      <c r="L996" s="1007" t="str">
        <f>IFERROR(VALUE(IF(Table2[[#This Row],[Player No]]="","",IFERROR(VLOOKUP(Table2[[#This Row],[Player No]],[4]Men!$Z$14:$AB$62,2,FALSE)&amp;"",""))),"")</f>
        <v/>
      </c>
      <c r="M996" s="1007"/>
      <c r="N996" s="1007"/>
      <c r="O996" s="1036"/>
      <c r="P996" s="1036"/>
      <c r="Q996" s="1036"/>
      <c r="R996" s="1036"/>
      <c r="S996" s="1036"/>
      <c r="T996" s="1036"/>
      <c r="U996" s="1036"/>
      <c r="V996" s="1036"/>
      <c r="W996" s="1036"/>
      <c r="X996" s="1036"/>
      <c r="Y996" s="1036"/>
      <c r="Z996" s="1036"/>
      <c r="AA996" s="1036"/>
      <c r="AB996" s="1036"/>
      <c r="AC996" s="1036"/>
      <c r="AD996" s="1036"/>
      <c r="AE996" s="1036"/>
      <c r="AF996" s="1036"/>
      <c r="AG996" s="1036"/>
      <c r="AH996" s="1036"/>
      <c r="AI996" s="1036"/>
      <c r="AJ996" s="1036"/>
      <c r="AK996" s="1036"/>
    </row>
    <row r="997" spans="1:38">
      <c r="A997" s="1012"/>
      <c r="B997" s="1015">
        <f t="shared" si="82"/>
        <v>0</v>
      </c>
      <c r="C997" s="1017"/>
      <c r="D997" s="1019"/>
      <c r="E997" s="1024"/>
      <c r="F997" s="1026" t="str">
        <f>IFERROR(VLOOKUP(Table2[[#This Row],[Player No]],Table10[[No]:[Province]],3,0),"")</f>
        <v/>
      </c>
      <c r="G997" s="1028">
        <v>0</v>
      </c>
      <c r="H997" s="1030">
        <f>(Table2[[#This Row],[Points 2025]]/2)+SUM(Table2[[#This Row],[O1  ADMIN 2026]:[P2    CAPE TOWN OPEN 2026 ]])</f>
        <v>0</v>
      </c>
      <c r="I997" s="1007">
        <f t="shared" si="80"/>
        <v>0</v>
      </c>
      <c r="J997" s="1007">
        <f t="shared" si="81"/>
        <v>0</v>
      </c>
      <c r="K997" s="1007" t="str">
        <f>IFERROR(VALUE(IF(Table2[[#This Row],[Player No]]="","",IFERROR(VLOOKUP(Table2[[#This Row],[Player No]],[3]Men!$D$2:$E$48,2,FALSE)&amp;"",""))),"")</f>
        <v/>
      </c>
      <c r="L997" s="1007" t="str">
        <f>IFERROR(VALUE(IF(Table2[[#This Row],[Player No]]="","",IFERROR(VLOOKUP(Table2[[#This Row],[Player No]],[4]Men!$Z$14:$AB$62,2,FALSE)&amp;"",""))),"")</f>
        <v/>
      </c>
      <c r="M997" s="1007"/>
      <c r="N997" s="1007"/>
      <c r="O997" s="1036"/>
      <c r="P997" s="1036"/>
      <c r="Q997" s="1036"/>
      <c r="R997" s="1036"/>
      <c r="S997" s="1036"/>
      <c r="T997" s="1036"/>
      <c r="U997" s="1036"/>
      <c r="V997" s="1036"/>
      <c r="W997" s="1036"/>
      <c r="X997" s="1036"/>
      <c r="Y997" s="1036"/>
      <c r="Z997" s="1036"/>
      <c r="AA997" s="1036"/>
      <c r="AB997" s="1036"/>
      <c r="AC997" s="1036"/>
      <c r="AD997" s="1036"/>
      <c r="AE997" s="1036"/>
      <c r="AF997" s="1036"/>
      <c r="AG997" s="1036"/>
      <c r="AH997" s="1036"/>
      <c r="AI997" s="1036"/>
      <c r="AJ997" s="1036"/>
      <c r="AK997" s="1036"/>
    </row>
    <row r="998" spans="1:38">
      <c r="A998" s="1012"/>
      <c r="B998" s="1015">
        <f t="shared" si="82"/>
        <v>0</v>
      </c>
      <c r="C998" s="1017"/>
      <c r="D998" s="1019"/>
      <c r="E998" s="1024"/>
      <c r="F998" s="1026" t="str">
        <f>IFERROR(VLOOKUP(Table2[[#This Row],[Player No]],Table10[[No]:[Province]],3,0),"")</f>
        <v/>
      </c>
      <c r="G998" s="1028">
        <v>0</v>
      </c>
      <c r="H998" s="1030">
        <f>(Table2[[#This Row],[Points 2025]]/2)+SUM(Table2[[#This Row],[O1  ADMIN 2026]:[P2    CAPE TOWN OPEN 2026 ]])</f>
        <v>0</v>
      </c>
      <c r="I998" s="1007">
        <f t="shared" si="80"/>
        <v>0</v>
      </c>
      <c r="J998" s="1007">
        <f t="shared" si="81"/>
        <v>0</v>
      </c>
      <c r="K998" s="1007" t="str">
        <f>IFERROR(VALUE(IF(Table2[[#This Row],[Player No]]="","",IFERROR(VLOOKUP(Table2[[#This Row],[Player No]],[3]Men!$D$2:$E$48,2,FALSE)&amp;"",""))),"")</f>
        <v/>
      </c>
      <c r="L998" s="1007" t="str">
        <f>IFERROR(VALUE(IF(Table2[[#This Row],[Player No]]="","",IFERROR(VLOOKUP(Table2[[#This Row],[Player No]],[4]Men!$Z$14:$AB$62,2,FALSE)&amp;"",""))),"")</f>
        <v/>
      </c>
      <c r="M998" s="1007"/>
      <c r="N998" s="1007"/>
      <c r="O998" s="1036"/>
      <c r="P998" s="1036"/>
      <c r="Q998" s="1036"/>
      <c r="R998" s="1036"/>
      <c r="S998" s="1036"/>
      <c r="T998" s="1036"/>
      <c r="U998" s="1036"/>
      <c r="V998" s="1036"/>
      <c r="W998" s="1036"/>
      <c r="X998" s="1036"/>
      <c r="Y998" s="1036"/>
      <c r="Z998" s="1036"/>
      <c r="AA998" s="1036"/>
      <c r="AB998" s="1036"/>
      <c r="AC998" s="1036"/>
      <c r="AD998" s="1036"/>
      <c r="AE998" s="1036"/>
      <c r="AF998" s="1036"/>
      <c r="AG998" s="1036"/>
      <c r="AH998" s="1036"/>
      <c r="AI998" s="1036"/>
      <c r="AJ998" s="1036"/>
      <c r="AK998" s="1036"/>
    </row>
    <row r="999" spans="1:38">
      <c r="A999" s="1012"/>
      <c r="B999" s="1015">
        <f t="shared" si="82"/>
        <v>0</v>
      </c>
      <c r="C999" s="1017"/>
      <c r="D999" s="1019"/>
      <c r="E999" s="1024"/>
      <c r="F999" s="1026" t="str">
        <f>IFERROR(VLOOKUP(Table2[[#This Row],[Player No]],Table10[[No]:[Province]],3,0),"")</f>
        <v/>
      </c>
      <c r="G999" s="1028">
        <v>0</v>
      </c>
      <c r="H999" s="1030">
        <f>(Table2[[#This Row],[Points 2025]]/2)+SUM(Table2[[#This Row],[O1  ADMIN 2026]:[P2    CAPE TOWN OPEN 2026 ]])</f>
        <v>0</v>
      </c>
      <c r="I999" s="1007">
        <f t="shared" si="80"/>
        <v>0</v>
      </c>
      <c r="J999" s="1007">
        <f t="shared" si="81"/>
        <v>0</v>
      </c>
      <c r="K999" s="1007" t="str">
        <f>IFERROR(VALUE(IF(Table2[[#This Row],[Player No]]="","",IFERROR(VLOOKUP(Table2[[#This Row],[Player No]],[3]Men!$D$2:$E$48,2,FALSE)&amp;"",""))),"")</f>
        <v/>
      </c>
      <c r="L999" s="1007" t="str">
        <f>IFERROR(VALUE(IF(Table2[[#This Row],[Player No]]="","",IFERROR(VLOOKUP(Table2[[#This Row],[Player No]],[4]Men!$Z$14:$AB$62,2,FALSE)&amp;"",""))),"")</f>
        <v/>
      </c>
      <c r="M999" s="1007"/>
      <c r="N999" s="1007"/>
      <c r="O999" s="1036"/>
      <c r="P999" s="1036"/>
      <c r="Q999" s="1036"/>
      <c r="R999" s="1036"/>
      <c r="S999" s="1036"/>
      <c r="T999" s="1036"/>
      <c r="U999" s="1036"/>
      <c r="V999" s="1036"/>
      <c r="W999" s="1036"/>
      <c r="X999" s="1036"/>
      <c r="Y999" s="1036"/>
      <c r="Z999" s="1036"/>
      <c r="AA999" s="1036"/>
      <c r="AB999" s="1036"/>
      <c r="AC999" s="1036"/>
      <c r="AD999" s="1036"/>
      <c r="AE999" s="1036"/>
      <c r="AF999" s="1036"/>
      <c r="AG999" s="1036"/>
      <c r="AH999" s="1036"/>
      <c r="AI999" s="1036"/>
      <c r="AJ999" s="1036"/>
      <c r="AK999" s="1036"/>
    </row>
    <row r="1000" spans="1:38">
      <c r="A1000" s="1012"/>
      <c r="B1000" s="1015">
        <f t="shared" si="82"/>
        <v>0</v>
      </c>
      <c r="C1000" s="1017"/>
      <c r="D1000" s="1019"/>
      <c r="E1000" s="1024"/>
      <c r="F1000" s="1026" t="str">
        <f>IFERROR(VLOOKUP(Table2[[#This Row],[Player No]],Table10[[No]:[Province]],3,0),"")</f>
        <v/>
      </c>
      <c r="G1000" s="907">
        <v>0</v>
      </c>
      <c r="H1000" s="1030">
        <f>(Table2[[#This Row],[Points 2025]]/2)+SUM(Table2[[#This Row],[O1  ADMIN 2026]:[P2    CAPE TOWN OPEN 2026 ]])</f>
        <v>0</v>
      </c>
      <c r="I1000" s="1007">
        <f t="shared" si="80"/>
        <v>0</v>
      </c>
      <c r="J1000" s="1007">
        <f t="shared" si="81"/>
        <v>0</v>
      </c>
      <c r="K1000" s="1007" t="str">
        <f>IFERROR(VALUE(IF(Table2[[#This Row],[Player No]]="","",IFERROR(VLOOKUP(Table2[[#This Row],[Player No]],[3]Men!$D$2:$E$48,2,FALSE)&amp;"",""))),"")</f>
        <v/>
      </c>
      <c r="L1000" s="1007" t="str">
        <f>IFERROR(VALUE(IF(Table2[[#This Row],[Player No]]="","",IFERROR(VLOOKUP(Table2[[#This Row],[Player No]],[4]Men!$Z$14:$AB$62,2,FALSE)&amp;"",""))),"")</f>
        <v/>
      </c>
      <c r="M1000" s="1007"/>
      <c r="N1000" s="1007"/>
      <c r="O1000" s="1036"/>
      <c r="P1000" s="1036"/>
      <c r="Q1000" s="1036"/>
      <c r="R1000" s="1036"/>
      <c r="S1000" s="1036"/>
      <c r="T1000" s="1036"/>
      <c r="U1000" s="1036"/>
      <c r="V1000" s="1036"/>
      <c r="W1000" s="1036"/>
      <c r="X1000" s="1036"/>
      <c r="Y1000" s="1036"/>
      <c r="Z1000" s="1036"/>
      <c r="AA1000" s="1036"/>
      <c r="AB1000" s="1036"/>
      <c r="AC1000" s="1036"/>
      <c r="AD1000" s="1036"/>
      <c r="AE1000" s="1036"/>
      <c r="AF1000" s="1036"/>
      <c r="AG1000" s="1036"/>
      <c r="AH1000" s="1036"/>
      <c r="AI1000" s="1036"/>
      <c r="AJ1000" s="1036"/>
      <c r="AK1000" s="1036"/>
    </row>
    <row r="1001" spans="1:38">
      <c r="A1001" s="1012"/>
      <c r="B1001" s="1015">
        <f t="shared" si="82"/>
        <v>0</v>
      </c>
      <c r="C1001" s="1017"/>
      <c r="D1001" s="1019"/>
      <c r="E1001" s="1024"/>
      <c r="F1001" s="1026" t="str">
        <f>IFERROR(VLOOKUP(Table2[[#This Row],[Player No]],Table10[[No]:[Province]],3,0),"")</f>
        <v/>
      </c>
      <c r="G1001" s="907">
        <v>0</v>
      </c>
      <c r="H1001" s="1030">
        <f>(Table2[[#This Row],[Points 2025]]/2)+SUM(Table2[[#This Row],[O1  ADMIN 2026]:[P2    CAPE TOWN OPEN 2026 ]])</f>
        <v>0</v>
      </c>
      <c r="I1001" s="1007">
        <f t="shared" si="80"/>
        <v>0</v>
      </c>
      <c r="J1001" s="1007">
        <f t="shared" si="81"/>
        <v>0</v>
      </c>
      <c r="K1001" s="1007" t="str">
        <f>IFERROR(VALUE(IF(Table2[[#This Row],[Player No]]="","",IFERROR(VLOOKUP(Table2[[#This Row],[Player No]],[3]Men!$D$2:$E$48,2,FALSE)&amp;"",""))),"")</f>
        <v/>
      </c>
      <c r="L1001" s="1007" t="str">
        <f>IFERROR(VALUE(IF(Table2[[#This Row],[Player No]]="","",IFERROR(VLOOKUP(Table2[[#This Row],[Player No]],[4]Men!$Z$14:$AB$62,2,FALSE)&amp;"",""))),"")</f>
        <v/>
      </c>
      <c r="M1001" s="1007"/>
      <c r="N1001" s="1007"/>
      <c r="O1001" s="1036"/>
      <c r="P1001" s="1036"/>
      <c r="Q1001" s="1036"/>
      <c r="R1001" s="1036"/>
      <c r="S1001" s="1036"/>
      <c r="T1001" s="1036"/>
      <c r="U1001" s="1036"/>
      <c r="V1001" s="1036"/>
      <c r="W1001" s="1036"/>
      <c r="X1001" s="1036"/>
      <c r="Y1001" s="1036"/>
      <c r="Z1001" s="1036"/>
      <c r="AA1001" s="1036"/>
      <c r="AB1001" s="1036"/>
      <c r="AC1001" s="1036"/>
      <c r="AD1001" s="1036"/>
      <c r="AE1001" s="1036"/>
      <c r="AF1001" s="1036"/>
      <c r="AG1001" s="1036"/>
      <c r="AH1001" s="1036"/>
      <c r="AI1001" s="1036"/>
      <c r="AJ1001" s="1036"/>
      <c r="AK1001" s="1036"/>
    </row>
    <row r="1002" spans="1:38">
      <c r="A1002" s="1012"/>
      <c r="B1002" s="1015">
        <f t="shared" si="82"/>
        <v>0</v>
      </c>
      <c r="C1002" s="1017"/>
      <c r="D1002" s="1019"/>
      <c r="E1002" s="1024"/>
      <c r="F1002" s="1026" t="str">
        <f>IFERROR(VLOOKUP(Table2[[#This Row],[Player No]],Table10[[No]:[Province]],3,0),"")</f>
        <v/>
      </c>
      <c r="G1002" s="907">
        <v>0</v>
      </c>
      <c r="H1002" s="1030">
        <f>(Table2[[#This Row],[Points 2025]]/2)+SUM(Table2[[#This Row],[O1  ADMIN 2026]:[P2    CAPE TOWN OPEN 2026 ]])</f>
        <v>0</v>
      </c>
      <c r="I1002" s="1007">
        <f t="shared" si="80"/>
        <v>0</v>
      </c>
      <c r="J1002" s="1007">
        <f t="shared" si="81"/>
        <v>0</v>
      </c>
      <c r="K1002" s="1007" t="str">
        <f>IFERROR(VALUE(IF(Table2[[#This Row],[Player No]]="","",IFERROR(VLOOKUP(Table2[[#This Row],[Player No]],[3]Men!$D$2:$E$48,2,FALSE)&amp;"",""))),"")</f>
        <v/>
      </c>
      <c r="L1002" s="1007" t="str">
        <f>IFERROR(VALUE(IF(Table2[[#This Row],[Player No]]="","",IFERROR(VLOOKUP(Table2[[#This Row],[Player No]],[4]Men!$Z$14:$AB$62,2,FALSE)&amp;"",""))),"")</f>
        <v/>
      </c>
      <c r="M1002" s="1007"/>
      <c r="N1002" s="1007"/>
      <c r="O1002" s="1036"/>
      <c r="P1002" s="1036"/>
      <c r="Q1002" s="1036"/>
      <c r="R1002" s="1036"/>
      <c r="S1002" s="1036"/>
      <c r="T1002" s="1036"/>
      <c r="U1002" s="1036"/>
      <c r="V1002" s="1036"/>
      <c r="W1002" s="1036"/>
      <c r="X1002" s="1036"/>
      <c r="Y1002" s="1036"/>
      <c r="Z1002" s="1036"/>
      <c r="AA1002" s="1036"/>
      <c r="AB1002" s="1036"/>
      <c r="AC1002" s="1036"/>
      <c r="AD1002" s="1036"/>
      <c r="AE1002" s="1036"/>
      <c r="AF1002" s="1036"/>
      <c r="AG1002" s="1036"/>
      <c r="AH1002" s="1036"/>
      <c r="AI1002" s="1036"/>
      <c r="AJ1002" s="1036"/>
      <c r="AK1002" s="1036"/>
    </row>
    <row r="1003" spans="1:38">
      <c r="A1003" s="1012"/>
      <c r="B1003" s="1015">
        <f t="shared" si="82"/>
        <v>0</v>
      </c>
      <c r="C1003" s="1017"/>
      <c r="D1003" s="1019"/>
      <c r="E1003" s="1024"/>
      <c r="F1003" s="1026" t="str">
        <f>IFERROR(VLOOKUP(Table2[[#This Row],[Player No]],Table10[[No]:[Province]],3,0),"")</f>
        <v/>
      </c>
      <c r="G1003" s="907">
        <v>0</v>
      </c>
      <c r="H1003" s="1030">
        <f>(Table2[[#This Row],[Points 2025]]/2)+SUM(Table2[[#This Row],[O1  ADMIN 2026]:[P2    CAPE TOWN OPEN 2026 ]])</f>
        <v>0</v>
      </c>
      <c r="I1003" s="1007">
        <f t="shared" si="80"/>
        <v>0</v>
      </c>
      <c r="J1003" s="1007">
        <f t="shared" si="81"/>
        <v>0</v>
      </c>
      <c r="K1003" s="1007" t="str">
        <f>IFERROR(VALUE(IF(Table2[[#This Row],[Player No]]="","",IFERROR(VLOOKUP(Table2[[#This Row],[Player No]],[3]Men!$D$2:$E$48,2,FALSE)&amp;"",""))),"")</f>
        <v/>
      </c>
      <c r="L1003" s="1007" t="str">
        <f>IFERROR(VALUE(IF(Table2[[#This Row],[Player No]]="","",IFERROR(VLOOKUP(Table2[[#This Row],[Player No]],[4]Men!$Z$14:$AB$62,2,FALSE)&amp;"",""))),"")</f>
        <v/>
      </c>
      <c r="M1003" s="1007"/>
      <c r="N1003" s="1007"/>
      <c r="O1003" s="1036"/>
      <c r="P1003" s="1036"/>
      <c r="Q1003" s="1036"/>
      <c r="R1003" s="1036"/>
      <c r="S1003" s="1036"/>
      <c r="T1003" s="1036"/>
      <c r="U1003" s="1036"/>
      <c r="V1003" s="1036"/>
      <c r="W1003" s="1036"/>
      <c r="X1003" s="1036"/>
      <c r="Y1003" s="1036"/>
      <c r="Z1003" s="1036"/>
      <c r="AA1003" s="1036"/>
      <c r="AB1003" s="1036"/>
      <c r="AC1003" s="1036"/>
      <c r="AD1003" s="1036"/>
      <c r="AE1003" s="1036"/>
      <c r="AF1003" s="1036"/>
      <c r="AG1003" s="1036"/>
      <c r="AH1003" s="1036"/>
      <c r="AI1003" s="1036"/>
      <c r="AJ1003" s="1036"/>
      <c r="AK1003" s="1036"/>
    </row>
    <row r="1004" spans="1:38">
      <c r="A1004" s="1012"/>
      <c r="B1004" s="1015">
        <f t="shared" si="82"/>
        <v>0</v>
      </c>
      <c r="C1004" s="1017"/>
      <c r="D1004" s="1019"/>
      <c r="E1004" s="1024"/>
      <c r="F1004" s="1026" t="str">
        <f>IFERROR(VLOOKUP(Table2[[#This Row],[Player No]],Table10[[No]:[Province]],3,0),"")</f>
        <v/>
      </c>
      <c r="G1004" s="907">
        <v>0</v>
      </c>
      <c r="H1004" s="1030">
        <f>(Table2[[#This Row],[Points 2025]]/2)+SUM(Table2[[#This Row],[O1  ADMIN 2026]:[P2    CAPE TOWN OPEN 2026 ]])</f>
        <v>0</v>
      </c>
      <c r="I1004" s="1007">
        <f t="shared" si="80"/>
        <v>0</v>
      </c>
      <c r="J1004" s="1007">
        <f t="shared" si="81"/>
        <v>0</v>
      </c>
      <c r="K1004" s="1007" t="str">
        <f>IFERROR(VALUE(IF(Table2[[#This Row],[Player No]]="","",IFERROR(VLOOKUP(Table2[[#This Row],[Player No]],[3]Men!$D$2:$E$48,2,FALSE)&amp;"",""))),"")</f>
        <v/>
      </c>
      <c r="L1004" s="1007" t="str">
        <f>IFERROR(VALUE(IF(Table2[[#This Row],[Player No]]="","",IFERROR(VLOOKUP(Table2[[#This Row],[Player No]],[4]Men!$Z$14:$AB$62,2,FALSE)&amp;"",""))),"")</f>
        <v/>
      </c>
      <c r="M1004" s="1007"/>
      <c r="N1004" s="1007"/>
      <c r="O1004" s="1036"/>
      <c r="P1004" s="1036"/>
      <c r="Q1004" s="1036"/>
      <c r="R1004" s="1036"/>
      <c r="S1004" s="1036"/>
      <c r="T1004" s="1036"/>
      <c r="U1004" s="1036"/>
      <c r="V1004" s="1036"/>
      <c r="W1004" s="1036"/>
      <c r="X1004" s="1036"/>
      <c r="Y1004" s="1036"/>
      <c r="Z1004" s="1036"/>
      <c r="AA1004" s="1036"/>
      <c r="AB1004" s="1036"/>
      <c r="AC1004" s="1036"/>
      <c r="AD1004" s="1036"/>
      <c r="AE1004" s="1036"/>
      <c r="AF1004" s="1036"/>
      <c r="AG1004" s="1036"/>
      <c r="AH1004" s="1036"/>
      <c r="AI1004" s="1036"/>
      <c r="AJ1004" s="1036"/>
      <c r="AK1004" s="1036"/>
    </row>
    <row r="1005" spans="1:38">
      <c r="A1005" s="1012"/>
      <c r="B1005" s="1015">
        <f t="shared" si="82"/>
        <v>0</v>
      </c>
      <c r="C1005" s="1017"/>
      <c r="D1005" s="1019"/>
      <c r="E1005" s="1024"/>
      <c r="F1005" s="1026" t="str">
        <f>IFERROR(VLOOKUP(Table2[[#This Row],[Player No]],Table10[[No]:[Province]],3,0),"")</f>
        <v/>
      </c>
      <c r="G1005" s="1028">
        <v>0</v>
      </c>
      <c r="H1005" s="1030">
        <f>(Table2[[#This Row],[Points 2025]]/2)+SUM(Table2[[#This Row],[O1  ADMIN 2026]:[P2    CAPE TOWN OPEN 2026 ]])</f>
        <v>0</v>
      </c>
      <c r="I1005" s="1007">
        <f t="shared" si="80"/>
        <v>0</v>
      </c>
      <c r="J1005" s="1007">
        <f t="shared" si="81"/>
        <v>0</v>
      </c>
      <c r="K1005" s="1007" t="str">
        <f>IFERROR(VALUE(IF(Table2[[#This Row],[Player No]]="","",IFERROR(VLOOKUP(Table2[[#This Row],[Player No]],[3]Men!$D$2:$E$48,2,FALSE)&amp;"",""))),"")</f>
        <v/>
      </c>
      <c r="L1005" s="1007" t="str">
        <f>IFERROR(VALUE(IF(Table2[[#This Row],[Player No]]="","",IFERROR(VLOOKUP(Table2[[#This Row],[Player No]],[4]Men!$Z$14:$AB$62,2,FALSE)&amp;"",""))),"")</f>
        <v/>
      </c>
      <c r="M1005" s="1007"/>
      <c r="N1005" s="1007"/>
      <c r="O1005" s="1036"/>
      <c r="P1005" s="1036"/>
      <c r="Q1005" s="1036"/>
      <c r="R1005" s="1036"/>
      <c r="S1005" s="1036"/>
      <c r="T1005" s="1036"/>
      <c r="U1005" s="1036"/>
      <c r="V1005" s="1036"/>
      <c r="W1005" s="1036"/>
      <c r="X1005" s="1036"/>
      <c r="Y1005" s="1036"/>
      <c r="Z1005" s="1036"/>
      <c r="AA1005" s="1036"/>
      <c r="AB1005" s="1036"/>
      <c r="AC1005" s="1036"/>
      <c r="AD1005" s="1036"/>
      <c r="AE1005" s="1036"/>
      <c r="AF1005" s="1036"/>
      <c r="AG1005" s="1036"/>
      <c r="AH1005" s="1036"/>
      <c r="AI1005" s="1036"/>
      <c r="AJ1005" s="1036"/>
      <c r="AK1005" s="1036"/>
    </row>
    <row r="1006" spans="1:38">
      <c r="A1006" s="1012"/>
      <c r="B1006" s="1015">
        <f t="shared" si="82"/>
        <v>0</v>
      </c>
      <c r="C1006" s="1017"/>
      <c r="D1006" s="1019"/>
      <c r="E1006" s="1024"/>
      <c r="F1006" s="1026" t="str">
        <f>IFERROR(VLOOKUP(Table2[[#This Row],[Player No]],Table10[[No]:[Province]],3,0),"")</f>
        <v/>
      </c>
      <c r="G1006" s="1028">
        <v>0</v>
      </c>
      <c r="H1006" s="1030">
        <f>(Table2[[#This Row],[Points 2025]]/2)+SUM(Table2[[#This Row],[O1  ADMIN 2026]:[P2    CAPE TOWN OPEN 2026 ]])</f>
        <v>0</v>
      </c>
      <c r="I1006" s="1007">
        <f t="shared" si="80"/>
        <v>0</v>
      </c>
      <c r="J1006" s="1007">
        <f t="shared" si="81"/>
        <v>0</v>
      </c>
      <c r="K1006" s="1007" t="str">
        <f>IFERROR(VALUE(IF(Table2[[#This Row],[Player No]]="","",IFERROR(VLOOKUP(Table2[[#This Row],[Player No]],[3]Men!$D$2:$E$48,2,FALSE)&amp;"",""))),"")</f>
        <v/>
      </c>
      <c r="L1006" s="1007" t="str">
        <f>IFERROR(VALUE(IF(Table2[[#This Row],[Player No]]="","",IFERROR(VLOOKUP(Table2[[#This Row],[Player No]],[4]Men!$Z$14:$AB$62,2,FALSE)&amp;"",""))),"")</f>
        <v/>
      </c>
      <c r="M1006" s="1007"/>
      <c r="N1006" s="1007"/>
      <c r="O1006" s="1036"/>
      <c r="P1006" s="1036"/>
      <c r="Q1006" s="1036"/>
      <c r="R1006" s="1036"/>
      <c r="S1006" s="1036"/>
      <c r="T1006" s="1036"/>
      <c r="U1006" s="1036"/>
      <c r="V1006" s="1036"/>
      <c r="W1006" s="1036"/>
      <c r="X1006" s="1036"/>
      <c r="Y1006" s="1036"/>
      <c r="Z1006" s="1036"/>
      <c r="AA1006" s="1036"/>
      <c r="AB1006" s="1036"/>
      <c r="AC1006" s="1036"/>
      <c r="AD1006" s="1036"/>
      <c r="AE1006" s="1036"/>
      <c r="AF1006" s="1036"/>
      <c r="AG1006" s="1036"/>
      <c r="AH1006" s="1036"/>
      <c r="AI1006" s="1036"/>
      <c r="AJ1006" s="1036"/>
      <c r="AK1006" s="1036"/>
    </row>
    <row r="1007" spans="1:38">
      <c r="A1007" s="1012"/>
      <c r="B1007" s="1015">
        <f t="shared" si="82"/>
        <v>0</v>
      </c>
      <c r="C1007" s="1017"/>
      <c r="D1007" s="1019"/>
      <c r="E1007" s="1024"/>
      <c r="F1007" s="1026" t="str">
        <f>IFERROR(VLOOKUP(Table2[[#This Row],[Player No]],Table10[[No]:[Province]],3,0),"")</f>
        <v/>
      </c>
      <c r="G1007" s="1028">
        <v>0</v>
      </c>
      <c r="H1007" s="1030">
        <f>(Table2[[#This Row],[Points 2025]]/2)+SUM(Table2[[#This Row],[O1  ADMIN 2026]:[P2    CAPE TOWN OPEN 2026 ]])</f>
        <v>0</v>
      </c>
      <c r="I1007" s="1007">
        <f t="shared" si="80"/>
        <v>0</v>
      </c>
      <c r="J1007" s="1007">
        <f t="shared" si="81"/>
        <v>0</v>
      </c>
      <c r="K1007" s="1007" t="str">
        <f>IFERROR(VALUE(IF(Table2[[#This Row],[Player No]]="","",IFERROR(VLOOKUP(Table2[[#This Row],[Player No]],[3]Men!$D$2:$E$48,2,FALSE)&amp;"",""))),"")</f>
        <v/>
      </c>
      <c r="L1007" s="1007" t="str">
        <f>IFERROR(VALUE(IF(Table2[[#This Row],[Player No]]="","",IFERROR(VLOOKUP(Table2[[#This Row],[Player No]],[4]Men!$Z$14:$AB$62,2,FALSE)&amp;"",""))),"")</f>
        <v/>
      </c>
      <c r="M1007" s="1007"/>
      <c r="N1007" s="1007"/>
      <c r="O1007" s="1036"/>
      <c r="P1007" s="1036"/>
      <c r="Q1007" s="1036"/>
      <c r="R1007" s="1036"/>
      <c r="S1007" s="1036"/>
      <c r="T1007" s="1036"/>
      <c r="U1007" s="1036"/>
      <c r="V1007" s="1036"/>
      <c r="W1007" s="1036"/>
      <c r="X1007" s="1036"/>
      <c r="Y1007" s="1036"/>
      <c r="Z1007" s="1036"/>
      <c r="AA1007" s="1036"/>
      <c r="AB1007" s="1036"/>
      <c r="AC1007" s="1036"/>
      <c r="AD1007" s="1036"/>
      <c r="AE1007" s="1036"/>
      <c r="AF1007" s="1036"/>
      <c r="AG1007" s="1036"/>
      <c r="AH1007" s="1036"/>
      <c r="AI1007" s="1036"/>
      <c r="AJ1007" s="1036"/>
      <c r="AK1007" s="1036"/>
    </row>
    <row r="1008" spans="1:38">
      <c r="A1008" s="1012"/>
      <c r="B1008" s="1015">
        <f t="shared" si="82"/>
        <v>0</v>
      </c>
      <c r="C1008" s="1017"/>
      <c r="D1008" s="1019"/>
      <c r="E1008" s="1024"/>
      <c r="F1008" s="1026" t="str">
        <f>IFERROR(VLOOKUP(Table2[[#This Row],[Player No]],Table10[[No]:[Province]],3,0),"")</f>
        <v/>
      </c>
      <c r="G1008" s="1028">
        <v>0</v>
      </c>
      <c r="H1008" s="1030">
        <f>(Table2[[#This Row],[Points 2025]]/2)+SUM(Table2[[#This Row],[O1  ADMIN 2026]:[P2    CAPE TOWN OPEN 2026 ]])</f>
        <v>0</v>
      </c>
      <c r="I1008" s="1007">
        <f t="shared" si="80"/>
        <v>0</v>
      </c>
      <c r="J1008" s="1007">
        <f t="shared" si="81"/>
        <v>0</v>
      </c>
      <c r="K1008" s="1007" t="str">
        <f>IFERROR(VALUE(IF(Table2[[#This Row],[Player No]]="","",IFERROR(VLOOKUP(Table2[[#This Row],[Player No]],[3]Men!$D$2:$E$48,2,FALSE)&amp;"",""))),"")</f>
        <v/>
      </c>
      <c r="L1008" s="1007" t="str">
        <f>IFERROR(VALUE(IF(Table2[[#This Row],[Player No]]="","",IFERROR(VLOOKUP(Table2[[#This Row],[Player No]],[4]Men!$Z$14:$AB$62,2,FALSE)&amp;"",""))),"")</f>
        <v/>
      </c>
      <c r="M1008" s="1007"/>
      <c r="N1008" s="1007"/>
      <c r="O1008" s="1036"/>
      <c r="P1008" s="1036"/>
      <c r="Q1008" s="1036"/>
      <c r="R1008" s="1036"/>
      <c r="S1008" s="1036"/>
      <c r="T1008" s="1036"/>
      <c r="U1008" s="1036"/>
      <c r="V1008" s="1036"/>
      <c r="W1008" s="1036"/>
      <c r="X1008" s="1036"/>
      <c r="Y1008" s="1036"/>
      <c r="Z1008" s="1036"/>
      <c r="AA1008" s="1036"/>
      <c r="AB1008" s="1036"/>
      <c r="AC1008" s="1036"/>
      <c r="AD1008" s="1036"/>
      <c r="AE1008" s="1036"/>
      <c r="AF1008" s="1036"/>
      <c r="AG1008" s="1036"/>
      <c r="AH1008" s="1036"/>
      <c r="AI1008" s="1036"/>
      <c r="AJ1008" s="1036"/>
      <c r="AK1008" s="1036"/>
    </row>
    <row r="1009" spans="1:37">
      <c r="A1009" s="1012"/>
      <c r="B1009" s="1015">
        <f t="shared" si="82"/>
        <v>0</v>
      </c>
      <c r="C1009" s="1017"/>
      <c r="D1009" s="1019"/>
      <c r="E1009" s="1024"/>
      <c r="F1009" s="1026" t="str">
        <f>IFERROR(VLOOKUP(Table2[[#This Row],[Player No]],Table10[[No]:[Province]],3,0),"")</f>
        <v/>
      </c>
      <c r="G1009" s="1028">
        <v>0</v>
      </c>
      <c r="H1009" s="1030">
        <f>(Table2[[#This Row],[Points 2025]]/2)+SUM(Table2[[#This Row],[O1  ADMIN 2026]:[P2    CAPE TOWN OPEN 2026 ]])</f>
        <v>0</v>
      </c>
      <c r="I1009" s="1007">
        <f t="shared" si="80"/>
        <v>0</v>
      </c>
      <c r="J1009" s="1007">
        <f t="shared" si="81"/>
        <v>0</v>
      </c>
      <c r="K1009" s="1007" t="str">
        <f>IFERROR(VALUE(IF(Table2[[#This Row],[Player No]]="","",IFERROR(VLOOKUP(Table2[[#This Row],[Player No]],[3]Men!$D$2:$E$48,2,FALSE)&amp;"",""))),"")</f>
        <v/>
      </c>
      <c r="L1009" s="1007" t="str">
        <f>IFERROR(VALUE(IF(Table2[[#This Row],[Player No]]="","",IFERROR(VLOOKUP(Table2[[#This Row],[Player No]],[4]Men!$Z$14:$AB$62,2,FALSE)&amp;"",""))),"")</f>
        <v/>
      </c>
      <c r="M1009" s="1007"/>
      <c r="N1009" s="1007"/>
      <c r="O1009" s="1036"/>
      <c r="P1009" s="1036"/>
      <c r="Q1009" s="1036"/>
      <c r="R1009" s="1036"/>
      <c r="S1009" s="1036"/>
      <c r="T1009" s="1036"/>
      <c r="U1009" s="1036"/>
      <c r="V1009" s="1036"/>
      <c r="W1009" s="1036"/>
      <c r="X1009" s="1036"/>
      <c r="Y1009" s="1036"/>
      <c r="Z1009" s="1036"/>
      <c r="AA1009" s="1036"/>
      <c r="AB1009" s="1036"/>
      <c r="AC1009" s="1036"/>
      <c r="AD1009" s="1036"/>
      <c r="AE1009" s="1036"/>
      <c r="AF1009" s="1036"/>
      <c r="AG1009" s="1036"/>
      <c r="AH1009" s="1036"/>
      <c r="AI1009" s="1036"/>
      <c r="AJ1009" s="1036"/>
      <c r="AK1009" s="1036"/>
    </row>
    <row r="1010" spans="1:37">
      <c r="A1010" s="1012"/>
      <c r="B1010" s="1015">
        <f t="shared" si="82"/>
        <v>0</v>
      </c>
      <c r="C1010" s="1017"/>
      <c r="D1010" s="1019"/>
      <c r="E1010" s="1024"/>
      <c r="F1010" s="1026" t="str">
        <f>IFERROR(VLOOKUP(Table2[[#This Row],[Player No]],Table10[[No]:[Province]],3,0),"")</f>
        <v/>
      </c>
      <c r="G1010" s="1028">
        <v>0</v>
      </c>
      <c r="H1010" s="1030">
        <f>(Table2[[#This Row],[Points 2025]]/2)+SUM(Table2[[#This Row],[O1  ADMIN 2026]:[P2    CAPE TOWN OPEN 2026 ]])</f>
        <v>0</v>
      </c>
      <c r="I1010" s="1007">
        <f t="shared" si="80"/>
        <v>0</v>
      </c>
      <c r="J1010" s="1007">
        <f t="shared" si="81"/>
        <v>0</v>
      </c>
      <c r="K1010" s="1007" t="str">
        <f>IFERROR(VALUE(IF(Table2[[#This Row],[Player No]]="","",IFERROR(VLOOKUP(Table2[[#This Row],[Player No]],[3]Men!$D$2:$E$48,2,FALSE)&amp;"",""))),"")</f>
        <v/>
      </c>
      <c r="L1010" s="1007" t="str">
        <f>IFERROR(VALUE(IF(Table2[[#This Row],[Player No]]="","",IFERROR(VLOOKUP(Table2[[#This Row],[Player No]],[4]Men!$Z$14:$AB$62,2,FALSE)&amp;"",""))),"")</f>
        <v/>
      </c>
      <c r="M1010" s="1007"/>
      <c r="N1010" s="1007"/>
      <c r="O1010" s="1036"/>
      <c r="P1010" s="1036"/>
      <c r="Q1010" s="1036"/>
      <c r="R1010" s="1036"/>
      <c r="S1010" s="1036"/>
      <c r="T1010" s="1036"/>
      <c r="U1010" s="1036"/>
      <c r="V1010" s="1036"/>
      <c r="W1010" s="1036"/>
      <c r="X1010" s="1036"/>
      <c r="Y1010" s="1036"/>
      <c r="Z1010" s="1036"/>
      <c r="AA1010" s="1036"/>
      <c r="AB1010" s="1036"/>
      <c r="AC1010" s="1036"/>
      <c r="AD1010" s="1036"/>
      <c r="AE1010" s="1036"/>
      <c r="AF1010" s="1036"/>
      <c r="AG1010" s="1036"/>
      <c r="AH1010" s="1036"/>
      <c r="AI1010" s="1036"/>
      <c r="AJ1010" s="1036"/>
      <c r="AK1010" s="1036"/>
    </row>
    <row r="1011" spans="1:37">
      <c r="A1011" s="1012"/>
      <c r="B1011" s="1015">
        <f t="shared" si="82"/>
        <v>0</v>
      </c>
      <c r="C1011" s="1017"/>
      <c r="D1011" s="1019"/>
      <c r="E1011" s="1024"/>
      <c r="F1011" s="1026" t="str">
        <f>IFERROR(VLOOKUP(Table2[[#This Row],[Player No]],Table10[[No]:[Province]],3,0),"")</f>
        <v/>
      </c>
      <c r="G1011" s="1028">
        <v>0</v>
      </c>
      <c r="H1011" s="1030">
        <f>(Table2[[#This Row],[Points 2025]]/2)+SUM(Table2[[#This Row],[O1  ADMIN 2026]:[P2    CAPE TOWN OPEN 2026 ]])</f>
        <v>0</v>
      </c>
      <c r="I1011" s="1007">
        <f t="shared" si="80"/>
        <v>0</v>
      </c>
      <c r="J1011" s="1007">
        <f t="shared" si="81"/>
        <v>0</v>
      </c>
      <c r="K1011" s="1007" t="str">
        <f>IFERROR(VALUE(IF(Table2[[#This Row],[Player No]]="","",IFERROR(VLOOKUP(Table2[[#This Row],[Player No]],[3]Men!$D$2:$E$48,2,FALSE)&amp;"",""))),"")</f>
        <v/>
      </c>
      <c r="L1011" s="1007" t="str">
        <f>IFERROR(VALUE(IF(Table2[[#This Row],[Player No]]="","",IFERROR(VLOOKUP(Table2[[#This Row],[Player No]],[4]Men!$Z$14:$AB$62,2,FALSE)&amp;"",""))),"")</f>
        <v/>
      </c>
      <c r="M1011" s="1007"/>
      <c r="N1011" s="1007"/>
      <c r="O1011" s="1036"/>
      <c r="P1011" s="1036"/>
      <c r="Q1011" s="1036"/>
      <c r="R1011" s="1036"/>
      <c r="S1011" s="1036"/>
      <c r="T1011" s="1036"/>
      <c r="U1011" s="1036"/>
      <c r="V1011" s="1036"/>
      <c r="W1011" s="1036"/>
      <c r="X1011" s="1036"/>
      <c r="Y1011" s="1036"/>
      <c r="Z1011" s="1036"/>
      <c r="AA1011" s="1036"/>
      <c r="AB1011" s="1036"/>
      <c r="AC1011" s="1036"/>
      <c r="AD1011" s="1036"/>
      <c r="AE1011" s="1036"/>
      <c r="AF1011" s="1036"/>
      <c r="AG1011" s="1036"/>
      <c r="AH1011" s="1036"/>
      <c r="AI1011" s="1036"/>
      <c r="AJ1011" s="1036"/>
      <c r="AK1011" s="1036"/>
    </row>
    <row r="1012" spans="1:37">
      <c r="A1012" s="1012"/>
      <c r="B1012" s="1015">
        <f t="shared" si="82"/>
        <v>0</v>
      </c>
      <c r="C1012" s="1017"/>
      <c r="D1012" s="1019"/>
      <c r="E1012" s="1024"/>
      <c r="F1012" s="1026" t="str">
        <f>IFERROR(VLOOKUP(Table2[[#This Row],[Player No]],Table10[[No]:[Province]],3,0),"")</f>
        <v/>
      </c>
      <c r="G1012" s="1028">
        <v>0</v>
      </c>
      <c r="H1012" s="1030">
        <f>(Table2[[#This Row],[Points 2025]]/2)+SUM(Table2[[#This Row],[O1  ADMIN 2026]:[P2    CAPE TOWN OPEN 2026 ]])</f>
        <v>0</v>
      </c>
      <c r="I1012" s="1007">
        <f t="shared" si="80"/>
        <v>0</v>
      </c>
      <c r="J1012" s="1007">
        <f t="shared" si="81"/>
        <v>0</v>
      </c>
      <c r="K1012" s="1007" t="str">
        <f>IFERROR(VALUE(IF(Table2[[#This Row],[Player No]]="","",IFERROR(VLOOKUP(Table2[[#This Row],[Player No]],[3]Men!$D$2:$E$48,2,FALSE)&amp;"",""))),"")</f>
        <v/>
      </c>
      <c r="L1012" s="1007" t="str">
        <f>IFERROR(VALUE(IF(Table2[[#This Row],[Player No]]="","",IFERROR(VLOOKUP(Table2[[#This Row],[Player No]],[4]Men!$Z$14:$AB$62,2,FALSE)&amp;"",""))),"")</f>
        <v/>
      </c>
      <c r="M1012" s="1007"/>
      <c r="N1012" s="1007"/>
      <c r="O1012" s="1036"/>
      <c r="P1012" s="1036"/>
      <c r="Q1012" s="1036"/>
      <c r="R1012" s="1036"/>
      <c r="S1012" s="1036"/>
      <c r="T1012" s="1036"/>
      <c r="U1012" s="1036"/>
      <c r="V1012" s="1036"/>
      <c r="W1012" s="1036"/>
      <c r="X1012" s="1036"/>
      <c r="Y1012" s="1036"/>
      <c r="Z1012" s="1036"/>
      <c r="AA1012" s="1036"/>
      <c r="AB1012" s="1036"/>
      <c r="AC1012" s="1036"/>
      <c r="AD1012" s="1036"/>
      <c r="AE1012" s="1036"/>
      <c r="AF1012" s="1036"/>
      <c r="AG1012" s="1036"/>
      <c r="AH1012" s="1036"/>
      <c r="AI1012" s="1036"/>
      <c r="AJ1012" s="1036"/>
      <c r="AK1012" s="1036"/>
    </row>
  </sheetData>
  <sheetProtection algorithmName="SHA-512" hashValue="rIekHlZqiUBO+s9EZW6IaY2OgNCKyuayXeQnYqecBv3QCxRrZ/Xy+rhODM0nsTzrvDMkWkfiHtEOT/b9+wrR0w==" saltValue="Hkg/btMYpoWX3GPVn3HNlA==" spinCount="100000" sheet="1" objects="1" scenarios="1" selectLockedCells="1" sort="0" autoFilter="0" selectUnlockedCells="1"/>
  <sortState xmlns:xlrd2="http://schemas.microsoft.com/office/spreadsheetml/2017/richdata2" ref="A2:Q3">
    <sortCondition ref="E5:E367"/>
  </sortState>
  <mergeCells count="13">
    <mergeCell ref="C2:F2"/>
    <mergeCell ref="C3:F3"/>
    <mergeCell ref="A1:B2"/>
    <mergeCell ref="D1:F1"/>
    <mergeCell ref="AE3:AF3"/>
    <mergeCell ref="AC3:AD3"/>
    <mergeCell ref="AC2:AK2"/>
    <mergeCell ref="AH3:AK3"/>
    <mergeCell ref="O3:S3"/>
    <mergeCell ref="X3:Z3"/>
    <mergeCell ref="O2:AB2"/>
    <mergeCell ref="T3:U3"/>
    <mergeCell ref="K2:N2"/>
  </mergeCells>
  <phoneticPr fontId="33" type="noConversion"/>
  <printOptions horizontalCentered="1"/>
  <pageMargins left="0.11811023622047245" right="0.11811023622047245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K275"/>
  <sheetViews>
    <sheetView topLeftCell="C1" zoomScaleNormal="100" workbookViewId="0">
      <pane ySplit="4" topLeftCell="A233" activePane="bottomLeft" state="frozen"/>
      <selection activeCell="C4" sqref="C4"/>
      <selection pane="bottomLeft" activeCell="G2" sqref="G1:G1048576"/>
    </sheetView>
  </sheetViews>
  <sheetFormatPr defaultColWidth="8.81640625" defaultRowHeight="15.5" outlineLevelRow="1" outlineLevelCol="1"/>
  <cols>
    <col min="1" max="1" width="7.453125" style="59" hidden="1" customWidth="1" outlineLevel="1"/>
    <col min="2" max="2" width="13.1796875" style="59" hidden="1" customWidth="1" outlineLevel="1"/>
    <col min="3" max="3" width="9.26953125" style="59" customWidth="1" collapsed="1"/>
    <col min="4" max="4" width="10" style="74" customWidth="1"/>
    <col min="5" max="5" width="30.81640625" style="57" customWidth="1"/>
    <col min="6" max="6" width="7.7265625" style="75" customWidth="1"/>
    <col min="7" max="8" width="10.7265625" style="56" customWidth="1"/>
    <col min="9" max="9" width="11.54296875" style="56" customWidth="1" outlineLevel="1"/>
    <col min="10" max="37" width="8.453125" style="56" customWidth="1" outlineLevel="1"/>
    <col min="38" max="38" width="8.81640625" style="57" customWidth="1"/>
    <col min="39" max="16384" width="8.81640625" style="57"/>
  </cols>
  <sheetData>
    <row r="1" spans="1:37" ht="120" customHeight="1" thickBo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259"/>
      <c r="L1" s="259"/>
      <c r="M1" s="259"/>
      <c r="N1" s="259"/>
    </row>
    <row r="2" spans="1:37" ht="25" thickBot="1">
      <c r="A2" s="68"/>
      <c r="B2" s="68"/>
      <c r="C2" s="1157">
        <f>Tournaments!F3</f>
        <v>46113</v>
      </c>
      <c r="D2" s="1158"/>
      <c r="E2" s="1158"/>
      <c r="F2" s="1159"/>
      <c r="G2" s="929"/>
      <c r="H2" s="930"/>
      <c r="I2" s="931"/>
      <c r="J2" s="932"/>
      <c r="K2" s="1172">
        <v>2026</v>
      </c>
      <c r="L2" s="1173"/>
      <c r="M2" s="1173"/>
      <c r="N2" s="1174"/>
      <c r="O2" s="1163">
        <v>2025</v>
      </c>
      <c r="P2" s="1160"/>
      <c r="Q2" s="1160"/>
      <c r="R2" s="1160"/>
      <c r="S2" s="1160"/>
      <c r="T2" s="1160"/>
      <c r="U2" s="1160"/>
      <c r="V2" s="1160"/>
      <c r="W2" s="1160"/>
      <c r="X2" s="1160"/>
      <c r="Y2" s="1160"/>
      <c r="Z2" s="1160"/>
      <c r="AA2" s="1160"/>
      <c r="AB2" s="1160"/>
      <c r="AC2" s="1160">
        <v>2024</v>
      </c>
      <c r="AD2" s="1160"/>
      <c r="AE2" s="1160"/>
      <c r="AF2" s="1160"/>
      <c r="AG2" s="1160"/>
      <c r="AH2" s="1160"/>
      <c r="AI2" s="1160"/>
      <c r="AJ2" s="1160"/>
      <c r="AK2" s="1161"/>
    </row>
    <row r="3" spans="1:37" ht="21.75" customHeight="1" thickBot="1">
      <c r="A3" s="69"/>
      <c r="B3" s="69"/>
      <c r="C3" s="1157" t="s">
        <v>5495</v>
      </c>
      <c r="D3" s="1158"/>
      <c r="E3" s="1158"/>
      <c r="F3" s="1159"/>
      <c r="G3" s="933"/>
      <c r="H3" s="934"/>
      <c r="I3" s="935"/>
      <c r="J3" s="936"/>
      <c r="K3" s="980" t="s">
        <v>3453</v>
      </c>
      <c r="L3" s="1170" t="s">
        <v>2406</v>
      </c>
      <c r="M3" s="1171"/>
      <c r="N3" s="1108" t="s">
        <v>1914</v>
      </c>
      <c r="O3" s="1164" t="s">
        <v>2406</v>
      </c>
      <c r="P3" s="1165"/>
      <c r="Q3" s="1165"/>
      <c r="R3" s="1165"/>
      <c r="S3" s="1165"/>
      <c r="T3" s="1168" t="s">
        <v>251</v>
      </c>
      <c r="U3" s="1169"/>
      <c r="V3" s="730" t="s">
        <v>248</v>
      </c>
      <c r="W3" s="305" t="s">
        <v>3452</v>
      </c>
      <c r="X3" s="305" t="s">
        <v>4658</v>
      </c>
      <c r="Y3" s="1166" t="s">
        <v>3453</v>
      </c>
      <c r="Z3" s="1167"/>
      <c r="AA3" s="1164"/>
      <c r="AB3" s="423" t="s">
        <v>1914</v>
      </c>
      <c r="AC3" s="1162" t="s">
        <v>2406</v>
      </c>
      <c r="AD3" s="1162"/>
      <c r="AE3" s="1162" t="s">
        <v>1914</v>
      </c>
      <c r="AF3" s="1162"/>
      <c r="AG3" s="261" t="s">
        <v>3452</v>
      </c>
      <c r="AH3" s="1162" t="s">
        <v>3453</v>
      </c>
      <c r="AI3" s="1162"/>
      <c r="AJ3" s="1162"/>
      <c r="AK3" s="1162"/>
    </row>
    <row r="4" spans="1:37" ht="87.5" outlineLevel="1" thickBot="1">
      <c r="A4" s="240" t="s">
        <v>3751</v>
      </c>
      <c r="B4" s="149" t="s">
        <v>3874</v>
      </c>
      <c r="C4" s="230" t="s">
        <v>80</v>
      </c>
      <c r="D4" s="230" t="s">
        <v>113</v>
      </c>
      <c r="E4" s="231" t="s">
        <v>3076</v>
      </c>
      <c r="F4" s="232" t="s">
        <v>3455</v>
      </c>
      <c r="G4" s="816" t="s">
        <v>4930</v>
      </c>
      <c r="H4" s="230" t="s">
        <v>6139</v>
      </c>
      <c r="I4" s="230" t="s">
        <v>219</v>
      </c>
      <c r="J4" s="230" t="s">
        <v>220</v>
      </c>
      <c r="K4" s="924" t="s">
        <v>6209</v>
      </c>
      <c r="L4" s="875" t="s">
        <v>6155</v>
      </c>
      <c r="M4" s="230" t="s">
        <v>6156</v>
      </c>
      <c r="N4" s="230" t="s">
        <v>6141</v>
      </c>
      <c r="O4" s="229" t="s">
        <v>4932</v>
      </c>
      <c r="P4" s="229" t="s">
        <v>5344</v>
      </c>
      <c r="Q4" s="229" t="s">
        <v>5656</v>
      </c>
      <c r="R4" s="229" t="s">
        <v>5699</v>
      </c>
      <c r="S4" s="229" t="s">
        <v>4995</v>
      </c>
      <c r="T4" s="229" t="s">
        <v>5629</v>
      </c>
      <c r="U4" s="229" t="s">
        <v>5215</v>
      </c>
      <c r="V4" s="424" t="s">
        <v>6128</v>
      </c>
      <c r="W4" s="424" t="s">
        <v>6074</v>
      </c>
      <c r="X4" s="229" t="s">
        <v>5507</v>
      </c>
      <c r="Y4" s="229" t="s">
        <v>5807</v>
      </c>
      <c r="Z4" s="424" t="s">
        <v>5808</v>
      </c>
      <c r="AA4" s="229" t="s">
        <v>5809</v>
      </c>
      <c r="AB4" s="229" t="s">
        <v>5764</v>
      </c>
      <c r="AC4" s="233" t="s">
        <v>4935</v>
      </c>
      <c r="AD4" s="233" t="s">
        <v>4397</v>
      </c>
      <c r="AE4" s="233" t="s">
        <v>4327</v>
      </c>
      <c r="AF4" s="233" t="s">
        <v>4329</v>
      </c>
      <c r="AG4" s="233" t="s">
        <v>4844</v>
      </c>
      <c r="AH4" s="233" t="s">
        <v>4841</v>
      </c>
      <c r="AI4" s="233" t="s">
        <v>4721</v>
      </c>
      <c r="AJ4" s="233" t="s">
        <v>4326</v>
      </c>
      <c r="AK4" s="233" t="s">
        <v>4328</v>
      </c>
    </row>
    <row r="5" spans="1:37">
      <c r="A5" s="61">
        <v>3</v>
      </c>
      <c r="B5" s="150">
        <f t="shared" ref="B5:B22" si="0">+A5-C5</f>
        <v>2</v>
      </c>
      <c r="C5" s="61">
        <v>1</v>
      </c>
      <c r="D5" s="63">
        <v>7001</v>
      </c>
      <c r="E5" s="64" t="str">
        <f>IFERROR(VLOOKUP(Table3[[#This Row],[Player No]],Table11[#All],2,0),"")</f>
        <v xml:space="preserve">PATEL Danisha </v>
      </c>
      <c r="F5" s="65" t="str">
        <f>IFERROR(VLOOKUP(Table3[[#This Row],[Player No]],Table11[#All],3,0),"")</f>
        <v>JTTA</v>
      </c>
      <c r="G5" s="86">
        <v>844.8046875</v>
      </c>
      <c r="H5" s="809">
        <f>(Table3[[#This Row],[Points 2025]]/2)+SUM(Table3[[#This Row],[O1  ADMIN 2026]:[P2      CAPE TOWN OPEN 2026 ]])</f>
        <v>422.40234375</v>
      </c>
      <c r="I5" s="61">
        <f t="shared" ref="I5:I68" si="1">COUNTIF(K5:N5,"&gt;0")</f>
        <v>0</v>
      </c>
      <c r="J5" s="61">
        <f t="shared" ref="J5:J68" si="2">COUNTIF(O5:AK5,"&lt;0")</f>
        <v>0</v>
      </c>
      <c r="K5" s="746" t="s">
        <v>6083</v>
      </c>
      <c r="L5" s="746" t="s">
        <v>6083</v>
      </c>
      <c r="M5" s="746" t="s">
        <v>6083</v>
      </c>
      <c r="N5" s="746"/>
      <c r="O5" s="61">
        <v>150</v>
      </c>
      <c r="P5" s="61"/>
      <c r="Q5" s="113"/>
      <c r="R5" s="113"/>
      <c r="S5" s="61"/>
      <c r="T5" s="113">
        <v>100</v>
      </c>
      <c r="U5" s="61"/>
      <c r="V5" s="746"/>
      <c r="W5" s="113">
        <v>125</v>
      </c>
      <c r="X5" s="61">
        <v>0</v>
      </c>
      <c r="Y5" s="61">
        <v>100</v>
      </c>
      <c r="Z5" s="113"/>
      <c r="AA5" s="61">
        <v>50</v>
      </c>
      <c r="AB5" s="61"/>
      <c r="AC5" s="61"/>
      <c r="AD5" s="61"/>
      <c r="AE5" s="61"/>
      <c r="AF5" s="61"/>
      <c r="AG5" s="61">
        <v>125</v>
      </c>
      <c r="AH5" s="61">
        <v>50</v>
      </c>
      <c r="AI5" s="61">
        <v>150</v>
      </c>
      <c r="AJ5" s="61"/>
      <c r="AK5" s="61"/>
    </row>
    <row r="6" spans="1:37">
      <c r="A6" s="61">
        <v>5</v>
      </c>
      <c r="B6" s="150">
        <f t="shared" si="0"/>
        <v>3</v>
      </c>
      <c r="C6" s="61">
        <f>C5+1</f>
        <v>2</v>
      </c>
      <c r="D6" s="63">
        <v>7112</v>
      </c>
      <c r="E6" s="64" t="str">
        <f>IFERROR(VLOOKUP(Table3[[#This Row],[Player No]],Table11[#All],2,0),"")</f>
        <v xml:space="preserve">KALAM Musfiquh </v>
      </c>
      <c r="F6" s="65" t="str">
        <f>IFERROR(VLOOKUP(Table3[[#This Row],[Player No]],Table11[#All],3,0),"")</f>
        <v>CT</v>
      </c>
      <c r="G6" s="86">
        <v>738.6328125</v>
      </c>
      <c r="H6" s="809">
        <f>(Table3[[#This Row],[Points 2025]]/2)+SUM(Table3[[#This Row],[O1  ADMIN 2026]:[P2      CAPE TOWN OPEN 2026 ]])</f>
        <v>369.31640625</v>
      </c>
      <c r="I6" s="61">
        <f t="shared" si="1"/>
        <v>0</v>
      </c>
      <c r="J6" s="61">
        <f t="shared" si="2"/>
        <v>0</v>
      </c>
      <c r="K6" s="746" t="s">
        <v>6083</v>
      </c>
      <c r="L6" s="746" t="s">
        <v>6083</v>
      </c>
      <c r="M6" s="746" t="s">
        <v>6083</v>
      </c>
      <c r="N6" s="746"/>
      <c r="O6" s="61"/>
      <c r="P6" s="61"/>
      <c r="Q6" s="113"/>
      <c r="R6" s="113"/>
      <c r="S6" s="61"/>
      <c r="T6" s="113">
        <v>75</v>
      </c>
      <c r="U6" s="61"/>
      <c r="V6" s="746"/>
      <c r="W6" s="113">
        <v>175</v>
      </c>
      <c r="X6" s="61"/>
      <c r="Y6" s="61"/>
      <c r="Z6" s="113"/>
      <c r="AA6" s="61"/>
      <c r="AB6" s="61">
        <v>150</v>
      </c>
      <c r="AC6" s="61"/>
      <c r="AD6" s="61"/>
      <c r="AE6" s="61">
        <v>100</v>
      </c>
      <c r="AF6" s="61">
        <v>150</v>
      </c>
      <c r="AG6" s="61">
        <v>175</v>
      </c>
      <c r="AH6" s="61"/>
      <c r="AI6" s="61">
        <f>100-100</f>
        <v>0</v>
      </c>
      <c r="AJ6" s="61"/>
      <c r="AK6" s="61"/>
    </row>
    <row r="7" spans="1:37">
      <c r="A7" s="61">
        <v>7</v>
      </c>
      <c r="B7" s="150">
        <f t="shared" si="0"/>
        <v>4</v>
      </c>
      <c r="C7" s="61">
        <f t="shared" ref="C7:C70" si="3">C6+1</f>
        <v>3</v>
      </c>
      <c r="D7" s="63">
        <v>7459</v>
      </c>
      <c r="E7" s="64" t="str">
        <f>IFERROR(VLOOKUP(Table3[[#This Row],[Player No]],Table11[#All],2,0),"")</f>
        <v>PILLAY Karen</v>
      </c>
      <c r="F7" s="65" t="str">
        <f>IFERROR(VLOOKUP(Table3[[#This Row],[Player No]],Table11[#All],3,0),"")</f>
        <v>UMG</v>
      </c>
      <c r="G7" s="86">
        <v>360.53125</v>
      </c>
      <c r="H7" s="809">
        <f>(Table3[[#This Row],[Points 2025]]/2)+SUM(Table3[[#This Row],[O1  ADMIN 2026]:[P2      CAPE TOWN OPEN 2026 ]])</f>
        <v>305.265625</v>
      </c>
      <c r="I7" s="61">
        <f t="shared" si="1"/>
        <v>3</v>
      </c>
      <c r="J7" s="61">
        <f t="shared" si="2"/>
        <v>0</v>
      </c>
      <c r="K7" s="746">
        <v>50</v>
      </c>
      <c r="L7" s="746">
        <v>25</v>
      </c>
      <c r="M7" s="746">
        <v>50</v>
      </c>
      <c r="N7" s="746"/>
      <c r="O7" s="61">
        <v>50</v>
      </c>
      <c r="P7" s="61">
        <v>15</v>
      </c>
      <c r="Q7" s="113">
        <v>25</v>
      </c>
      <c r="R7" s="113"/>
      <c r="S7" s="61">
        <v>50</v>
      </c>
      <c r="T7" s="113"/>
      <c r="U7" s="61"/>
      <c r="V7" s="746"/>
      <c r="W7" s="113">
        <v>50</v>
      </c>
      <c r="X7" s="61"/>
      <c r="Y7" s="61">
        <v>25</v>
      </c>
      <c r="Z7" s="113">
        <v>12</v>
      </c>
      <c r="AA7" s="61"/>
      <c r="AB7" s="61"/>
      <c r="AC7" s="61">
        <v>100</v>
      </c>
      <c r="AD7" s="61">
        <v>25</v>
      </c>
      <c r="AE7" s="61"/>
      <c r="AF7" s="61"/>
      <c r="AG7" s="61">
        <v>50</v>
      </c>
      <c r="AH7" s="61"/>
      <c r="AI7" s="61">
        <f>25-25</f>
        <v>0</v>
      </c>
      <c r="AJ7" s="61">
        <v>15</v>
      </c>
      <c r="AK7" s="61"/>
    </row>
    <row r="8" spans="1:37">
      <c r="A8" s="61">
        <v>8</v>
      </c>
      <c r="B8" s="150">
        <f t="shared" si="0"/>
        <v>4</v>
      </c>
      <c r="C8" s="61">
        <f t="shared" si="3"/>
        <v>4</v>
      </c>
      <c r="D8" s="63">
        <v>7781</v>
      </c>
      <c r="E8" s="64" t="str">
        <f>IFERROR(VLOOKUP(Table3[[#This Row],[Player No]],Table11[#All],2,0),"")</f>
        <v>SCHOLTZ Juane</v>
      </c>
      <c r="F8" s="65" t="str">
        <f>IFERROR(VLOOKUP(Table3[[#This Row],[Player No]],Table11[#All],3,0),"")</f>
        <v>GN</v>
      </c>
      <c r="G8" s="86">
        <v>489.5</v>
      </c>
      <c r="H8" s="809">
        <f>(Table3[[#This Row],[Points 2025]]/2)+SUM(Table3[[#This Row],[O1  ADMIN 2026]:[P2      CAPE TOWN OPEN 2026 ]])</f>
        <v>269.75</v>
      </c>
      <c r="I8" s="61">
        <f t="shared" si="1"/>
        <v>1</v>
      </c>
      <c r="J8" s="61">
        <f t="shared" si="2"/>
        <v>0</v>
      </c>
      <c r="K8" s="746">
        <v>25</v>
      </c>
      <c r="L8" s="746" t="s">
        <v>6083</v>
      </c>
      <c r="M8" s="746" t="s">
        <v>6083</v>
      </c>
      <c r="N8" s="746"/>
      <c r="O8" s="61">
        <v>50</v>
      </c>
      <c r="P8" s="61"/>
      <c r="Q8" s="113"/>
      <c r="R8" s="113"/>
      <c r="S8" s="61"/>
      <c r="T8" s="113">
        <v>15</v>
      </c>
      <c r="U8" s="61"/>
      <c r="V8" s="746">
        <v>100</v>
      </c>
      <c r="W8" s="113">
        <v>75</v>
      </c>
      <c r="X8" s="61"/>
      <c r="Y8" s="61">
        <v>25</v>
      </c>
      <c r="Z8" s="113">
        <v>20</v>
      </c>
      <c r="AA8" s="61">
        <v>25</v>
      </c>
      <c r="AB8" s="61">
        <v>50</v>
      </c>
      <c r="AC8" s="61">
        <v>75</v>
      </c>
      <c r="AD8" s="61">
        <v>15</v>
      </c>
      <c r="AE8" s="61"/>
      <c r="AF8" s="61"/>
      <c r="AG8" s="61">
        <v>50</v>
      </c>
      <c r="AH8" s="61">
        <v>25</v>
      </c>
      <c r="AI8" s="61">
        <f>15-15</f>
        <v>0</v>
      </c>
      <c r="AJ8" s="61">
        <v>25</v>
      </c>
      <c r="AK8" s="61"/>
    </row>
    <row r="9" spans="1:37">
      <c r="A9" s="61">
        <v>4</v>
      </c>
      <c r="B9" s="150">
        <f t="shared" si="0"/>
        <v>-1</v>
      </c>
      <c r="C9" s="61">
        <f t="shared" si="3"/>
        <v>5</v>
      </c>
      <c r="D9" s="63">
        <v>7012</v>
      </c>
      <c r="E9" s="64" t="str">
        <f>IFERROR(VLOOKUP(Table3[[#This Row],[Player No]],Table11[#All],2,0),"")</f>
        <v xml:space="preserve">EDWARDS Lailaa </v>
      </c>
      <c r="F9" s="65" t="str">
        <f>IFERROR(VLOOKUP(Table3[[#This Row],[Player No]],Table11[#All],3,0),"")</f>
        <v>JTTA</v>
      </c>
      <c r="G9" s="86">
        <v>491.77734375</v>
      </c>
      <c r="H9" s="809">
        <f>(Table3[[#This Row],[Points 2025]]/2)+SUM(Table3[[#This Row],[O1  ADMIN 2026]:[P2      CAPE TOWN OPEN 2026 ]])</f>
        <v>245.888671875</v>
      </c>
      <c r="I9" s="61">
        <f t="shared" si="1"/>
        <v>0</v>
      </c>
      <c r="J9" s="61">
        <f t="shared" si="2"/>
        <v>0</v>
      </c>
      <c r="K9" s="746" t="s">
        <v>6083</v>
      </c>
      <c r="L9" s="746" t="s">
        <v>6083</v>
      </c>
      <c r="M9" s="746" t="s">
        <v>6083</v>
      </c>
      <c r="N9" s="746"/>
      <c r="O9" s="61">
        <v>100</v>
      </c>
      <c r="P9" s="61"/>
      <c r="Q9" s="113"/>
      <c r="R9" s="113"/>
      <c r="S9" s="61"/>
      <c r="T9" s="113"/>
      <c r="U9" s="61"/>
      <c r="V9" s="746"/>
      <c r="W9" s="113">
        <v>25</v>
      </c>
      <c r="X9" s="61"/>
      <c r="Y9" s="61">
        <v>75</v>
      </c>
      <c r="Z9" s="113">
        <v>35</v>
      </c>
      <c r="AA9" s="61"/>
      <c r="AB9" s="61"/>
      <c r="AC9" s="61"/>
      <c r="AD9" s="61"/>
      <c r="AE9" s="61"/>
      <c r="AF9" s="61"/>
      <c r="AG9" s="61">
        <v>125</v>
      </c>
      <c r="AH9" s="61">
        <v>35</v>
      </c>
      <c r="AI9" s="61">
        <v>75</v>
      </c>
      <c r="AJ9" s="61">
        <v>100</v>
      </c>
      <c r="AK9" s="61"/>
    </row>
    <row r="10" spans="1:37">
      <c r="A10" s="61">
        <v>1</v>
      </c>
      <c r="B10" s="150">
        <f t="shared" si="0"/>
        <v>-5</v>
      </c>
      <c r="C10" s="61">
        <f t="shared" si="3"/>
        <v>6</v>
      </c>
      <c r="D10" s="63">
        <v>8052</v>
      </c>
      <c r="E10" s="64" t="str">
        <f>IFERROR(VLOOKUP(Table3[[#This Row],[Player No]],Table11[#All],2,0),"")</f>
        <v>SASMAN Jade</v>
      </c>
      <c r="F10" s="65" t="str">
        <f>IFERROR(VLOOKUP(Table3[[#This Row],[Player No]],Table11[#All],3,0),"")</f>
        <v>CT</v>
      </c>
      <c r="G10" s="86">
        <v>473</v>
      </c>
      <c r="H10" s="809">
        <f>(Table3[[#This Row],[Points 2025]]/2)+SUM(Table3[[#This Row],[O1  ADMIN 2026]:[P2      CAPE TOWN OPEN 2026 ]])</f>
        <v>236.5</v>
      </c>
      <c r="I10" s="61">
        <f t="shared" si="1"/>
        <v>0</v>
      </c>
      <c r="J10" s="61">
        <f t="shared" si="2"/>
        <v>1</v>
      </c>
      <c r="K10" s="746" t="s">
        <v>6083</v>
      </c>
      <c r="L10" s="746" t="s">
        <v>6083</v>
      </c>
      <c r="M10" s="746" t="s">
        <v>6083</v>
      </c>
      <c r="N10" s="746"/>
      <c r="O10" s="61"/>
      <c r="P10" s="61"/>
      <c r="Q10" s="113"/>
      <c r="R10" s="113"/>
      <c r="S10" s="61"/>
      <c r="T10" s="113"/>
      <c r="U10" s="61"/>
      <c r="V10" s="746">
        <v>150</v>
      </c>
      <c r="W10" s="113">
        <v>75</v>
      </c>
      <c r="X10" s="61"/>
      <c r="Y10" s="61"/>
      <c r="Z10" s="113"/>
      <c r="AA10" s="61"/>
      <c r="AB10" s="61">
        <v>100</v>
      </c>
      <c r="AC10" s="61"/>
      <c r="AD10" s="61"/>
      <c r="AE10" s="61"/>
      <c r="AF10" s="61"/>
      <c r="AG10" s="61">
        <v>-50</v>
      </c>
      <c r="AH10" s="61"/>
      <c r="AI10" s="61"/>
      <c r="AJ10" s="61"/>
      <c r="AK10" s="61"/>
    </row>
    <row r="11" spans="1:37">
      <c r="A11" s="61">
        <v>19</v>
      </c>
      <c r="B11" s="150">
        <f t="shared" si="0"/>
        <v>12</v>
      </c>
      <c r="C11" s="61">
        <f t="shared" si="3"/>
        <v>7</v>
      </c>
      <c r="D11" s="63">
        <v>7741</v>
      </c>
      <c r="E11" s="64" t="str">
        <f>IFERROR(VLOOKUP(Table3[[#This Row],[Player No]],Table11[#All],2,0),"")</f>
        <v>SONDAY Rochica</v>
      </c>
      <c r="F11" s="65" t="str">
        <f>IFERROR(VLOOKUP(Table3[[#This Row],[Player No]],Table11[#All],3,0),"")</f>
        <v>CT</v>
      </c>
      <c r="G11" s="86">
        <v>465.625</v>
      </c>
      <c r="H11" s="809">
        <f>(Table3[[#This Row],[Points 2025]]/2)+SUM(Table3[[#This Row],[O1  ADMIN 2026]:[P2      CAPE TOWN OPEN 2026 ]])</f>
        <v>232.8125</v>
      </c>
      <c r="I11" s="61">
        <f t="shared" si="1"/>
        <v>0</v>
      </c>
      <c r="J11" s="61">
        <f t="shared" si="2"/>
        <v>0</v>
      </c>
      <c r="K11" s="746" t="s">
        <v>6083</v>
      </c>
      <c r="L11" s="746" t="s">
        <v>6083</v>
      </c>
      <c r="M11" s="746" t="s">
        <v>6083</v>
      </c>
      <c r="N11" s="746"/>
      <c r="O11" s="61"/>
      <c r="P11" s="61"/>
      <c r="Q11" s="113"/>
      <c r="R11" s="113"/>
      <c r="S11" s="61"/>
      <c r="T11" s="113"/>
      <c r="U11" s="61"/>
      <c r="V11" s="746"/>
      <c r="W11" s="113">
        <v>250</v>
      </c>
      <c r="X11" s="61"/>
      <c r="Y11" s="61"/>
      <c r="Z11" s="113"/>
      <c r="AA11" s="61"/>
      <c r="AB11" s="61"/>
      <c r="AC11" s="61"/>
      <c r="AD11" s="61"/>
      <c r="AE11" s="61"/>
      <c r="AF11" s="61"/>
      <c r="AG11" s="61">
        <v>300</v>
      </c>
      <c r="AH11" s="61"/>
      <c r="AI11" s="61">
        <v>50</v>
      </c>
      <c r="AJ11" s="61"/>
      <c r="AK11" s="61"/>
    </row>
    <row r="12" spans="1:37">
      <c r="A12" s="61">
        <v>2</v>
      </c>
      <c r="B12" s="150">
        <f t="shared" si="0"/>
        <v>-6</v>
      </c>
      <c r="C12" s="61">
        <f t="shared" si="3"/>
        <v>8</v>
      </c>
      <c r="D12" s="63">
        <v>7278</v>
      </c>
      <c r="E12" s="64" t="str">
        <f>IFERROR(VLOOKUP(Table3[[#This Row],[Player No]],Table11[#All],2,0),"")</f>
        <v xml:space="preserve">HEERALALL Bharvna </v>
      </c>
      <c r="F12" s="65" t="str">
        <f>IFERROR(VLOOKUP(Table3[[#This Row],[Player No]],Table11[#All],3,0),"")</f>
        <v>ETK</v>
      </c>
      <c r="G12" s="86">
        <v>415</v>
      </c>
      <c r="H12" s="809">
        <f>(Table3[[#This Row],[Points 2025]]/2)+SUM(Table3[[#This Row],[O1  ADMIN 2026]:[P2      CAPE TOWN OPEN 2026 ]])</f>
        <v>217.5</v>
      </c>
      <c r="I12" s="61">
        <f t="shared" si="1"/>
        <v>1</v>
      </c>
      <c r="J12" s="61">
        <f t="shared" si="2"/>
        <v>0</v>
      </c>
      <c r="K12" s="746" t="s">
        <v>6083</v>
      </c>
      <c r="L12" s="746">
        <v>10</v>
      </c>
      <c r="M12" s="746" t="s">
        <v>6083</v>
      </c>
      <c r="N12" s="746"/>
      <c r="O12" s="61">
        <v>75</v>
      </c>
      <c r="P12" s="61">
        <v>35</v>
      </c>
      <c r="Q12" s="113">
        <v>50</v>
      </c>
      <c r="R12" s="113"/>
      <c r="S12" s="61"/>
      <c r="T12" s="113"/>
      <c r="U12" s="61"/>
      <c r="V12" s="746"/>
      <c r="W12" s="113">
        <v>50</v>
      </c>
      <c r="X12" s="61"/>
      <c r="Y12" s="61"/>
      <c r="Z12" s="113"/>
      <c r="AA12" s="61"/>
      <c r="AB12" s="61"/>
      <c r="AC12" s="61">
        <v>150</v>
      </c>
      <c r="AD12" s="61"/>
      <c r="AE12" s="61"/>
      <c r="AF12" s="61"/>
      <c r="AG12" s="61">
        <v>75</v>
      </c>
      <c r="AH12" s="61"/>
      <c r="AI12" s="61">
        <f>50-50</f>
        <v>0</v>
      </c>
      <c r="AJ12" s="61">
        <v>75</v>
      </c>
      <c r="AK12" s="61"/>
    </row>
    <row r="13" spans="1:37">
      <c r="A13" s="61">
        <v>17</v>
      </c>
      <c r="B13" s="150">
        <f t="shared" si="0"/>
        <v>8</v>
      </c>
      <c r="C13" s="61">
        <f t="shared" si="3"/>
        <v>9</v>
      </c>
      <c r="D13" s="63">
        <v>7004</v>
      </c>
      <c r="E13" s="64" t="str">
        <f>IFERROR(VLOOKUP(Table3[[#This Row],[Player No]],Table11[#All],2,0),"")</f>
        <v xml:space="preserve">MAPHANGA Zodwa </v>
      </c>
      <c r="F13" s="65" t="str">
        <f>IFERROR(VLOOKUP(Table3[[#This Row],[Player No]],Table11[#All],3,0),"")</f>
        <v>GN</v>
      </c>
      <c r="G13" s="86">
        <v>369.775390625</v>
      </c>
      <c r="H13" s="809">
        <f>(Table3[[#This Row],[Points 2025]]/2)+SUM(Table3[[#This Row],[O1  ADMIN 2026]:[P2      CAPE TOWN OPEN 2026 ]])</f>
        <v>184.8876953125</v>
      </c>
      <c r="I13" s="61">
        <f t="shared" si="1"/>
        <v>0</v>
      </c>
      <c r="J13" s="61">
        <f t="shared" si="2"/>
        <v>0</v>
      </c>
      <c r="K13" s="746" t="s">
        <v>6083</v>
      </c>
      <c r="L13" s="746" t="s">
        <v>6083</v>
      </c>
      <c r="M13" s="746" t="s">
        <v>6083</v>
      </c>
      <c r="N13" s="746"/>
      <c r="O13" s="61">
        <v>75</v>
      </c>
      <c r="P13" s="61"/>
      <c r="Q13" s="113"/>
      <c r="R13" s="113"/>
      <c r="S13" s="61"/>
      <c r="T13" s="113">
        <v>50</v>
      </c>
      <c r="U13" s="61"/>
      <c r="V13" s="746"/>
      <c r="W13" s="113">
        <v>125</v>
      </c>
      <c r="X13" s="61"/>
      <c r="Y13" s="61">
        <v>0</v>
      </c>
      <c r="Z13" s="113">
        <v>50</v>
      </c>
      <c r="AA13" s="61"/>
      <c r="AB13" s="61"/>
      <c r="AC13" s="61"/>
      <c r="AD13" s="61"/>
      <c r="AE13" s="61"/>
      <c r="AF13" s="61"/>
      <c r="AG13" s="61">
        <v>5</v>
      </c>
      <c r="AH13" s="61"/>
      <c r="AI13" s="61">
        <v>50</v>
      </c>
      <c r="AJ13" s="61"/>
      <c r="AK13" s="61"/>
    </row>
    <row r="14" spans="1:37">
      <c r="A14" s="61">
        <v>11</v>
      </c>
      <c r="B14" s="150">
        <f t="shared" si="0"/>
        <v>1</v>
      </c>
      <c r="C14" s="61">
        <f t="shared" si="3"/>
        <v>10</v>
      </c>
      <c r="D14" s="63">
        <v>7024</v>
      </c>
      <c r="E14" s="64" t="str">
        <f>IFERROR(VLOOKUP(Table3[[#This Row],[Player No]],Table11[#All],2,0),"")</f>
        <v xml:space="preserve">BAILEY Tayla </v>
      </c>
      <c r="F14" s="65" t="str">
        <f>IFERROR(VLOOKUP(Table3[[#This Row],[Player No]],Table11[#All],3,0),"")</f>
        <v>CT</v>
      </c>
      <c r="G14" s="86">
        <v>362.958984375</v>
      </c>
      <c r="H14" s="809">
        <f>(Table3[[#This Row],[Points 2025]]/2)+SUM(Table3[[#This Row],[O1  ADMIN 2026]:[P2      CAPE TOWN OPEN 2026 ]])</f>
        <v>181.4794921875</v>
      </c>
      <c r="I14" s="61">
        <f t="shared" si="1"/>
        <v>0</v>
      </c>
      <c r="J14" s="61">
        <f t="shared" si="2"/>
        <v>0</v>
      </c>
      <c r="K14" s="746" t="s">
        <v>6083</v>
      </c>
      <c r="L14" s="746" t="s">
        <v>6083</v>
      </c>
      <c r="M14" s="746" t="s">
        <v>6083</v>
      </c>
      <c r="N14" s="746"/>
      <c r="O14" s="61"/>
      <c r="P14" s="61"/>
      <c r="Q14" s="113"/>
      <c r="R14" s="113">
        <v>25</v>
      </c>
      <c r="S14" s="61"/>
      <c r="T14" s="113">
        <v>25</v>
      </c>
      <c r="U14" s="61"/>
      <c r="V14" s="746"/>
      <c r="W14" s="113">
        <v>50</v>
      </c>
      <c r="X14" s="61"/>
      <c r="Y14" s="61">
        <v>15</v>
      </c>
      <c r="Z14" s="113"/>
      <c r="AA14" s="61"/>
      <c r="AB14" s="61">
        <v>75</v>
      </c>
      <c r="AC14" s="61"/>
      <c r="AD14" s="61"/>
      <c r="AE14" s="61">
        <v>75</v>
      </c>
      <c r="AF14" s="61">
        <v>75</v>
      </c>
      <c r="AG14" s="61">
        <v>50</v>
      </c>
      <c r="AH14" s="61"/>
      <c r="AI14" s="61"/>
      <c r="AJ14" s="61"/>
      <c r="AK14" s="61"/>
    </row>
    <row r="15" spans="1:37">
      <c r="A15" s="61">
        <v>14</v>
      </c>
      <c r="B15" s="150">
        <f t="shared" si="0"/>
        <v>3</v>
      </c>
      <c r="C15" s="61">
        <f t="shared" si="3"/>
        <v>11</v>
      </c>
      <c r="D15" s="63">
        <v>7626</v>
      </c>
      <c r="E15" s="64" t="str">
        <f>IFERROR(VLOOKUP(Table3[[#This Row],[Player No]],Table11[#All],2,0),"")</f>
        <v>TOTARAM Nitara</v>
      </c>
      <c r="F15" s="65" t="str">
        <f>IFERROR(VLOOKUP(Table3[[#This Row],[Player No]],Table11[#All],3,0),"")</f>
        <v>UMG</v>
      </c>
      <c r="G15" s="86">
        <v>215.125</v>
      </c>
      <c r="H15" s="809">
        <f>(Table3[[#This Row],[Points 2025]]/2)+SUM(Table3[[#This Row],[O1  ADMIN 2026]:[P2      CAPE TOWN OPEN 2026 ]])</f>
        <v>167.5625</v>
      </c>
      <c r="I15" s="61">
        <f t="shared" si="1"/>
        <v>2</v>
      </c>
      <c r="J15" s="61">
        <f t="shared" si="2"/>
        <v>0</v>
      </c>
      <c r="K15" s="746" t="s">
        <v>6083</v>
      </c>
      <c r="L15" s="746">
        <v>25</v>
      </c>
      <c r="M15" s="746">
        <v>35</v>
      </c>
      <c r="N15" s="746"/>
      <c r="O15" s="61">
        <v>25</v>
      </c>
      <c r="P15" s="61">
        <v>15</v>
      </c>
      <c r="Q15" s="113">
        <v>15</v>
      </c>
      <c r="R15" s="113">
        <v>50</v>
      </c>
      <c r="S15" s="61">
        <v>25</v>
      </c>
      <c r="T15" s="113"/>
      <c r="U15" s="61"/>
      <c r="V15" s="746"/>
      <c r="W15" s="113">
        <v>25</v>
      </c>
      <c r="X15" s="61"/>
      <c r="Y15" s="61"/>
      <c r="Z15" s="113"/>
      <c r="AA15" s="61"/>
      <c r="AB15" s="61"/>
      <c r="AC15" s="61">
        <v>50</v>
      </c>
      <c r="AD15" s="61">
        <v>35</v>
      </c>
      <c r="AE15" s="61"/>
      <c r="AF15" s="61"/>
      <c r="AG15" s="61"/>
      <c r="AH15" s="61"/>
      <c r="AI15" s="61"/>
      <c r="AJ15" s="61">
        <v>15</v>
      </c>
      <c r="AK15" s="61"/>
    </row>
    <row r="16" spans="1:37">
      <c r="A16" s="61">
        <v>6</v>
      </c>
      <c r="B16" s="150">
        <f t="shared" si="0"/>
        <v>-6</v>
      </c>
      <c r="C16" s="61">
        <f t="shared" si="3"/>
        <v>12</v>
      </c>
      <c r="D16" s="63">
        <v>7009</v>
      </c>
      <c r="E16" s="64" t="str">
        <f>IFERROR(VLOOKUP(Table3[[#This Row],[Player No]],Table11[#All],2,0),"")</f>
        <v xml:space="preserve">MADAREE Arisha </v>
      </c>
      <c r="F16" s="65" t="str">
        <f>IFERROR(VLOOKUP(Table3[[#This Row],[Player No]],Table11[#All],3,0),"")</f>
        <v>ETK</v>
      </c>
      <c r="G16" s="86">
        <v>292.990234375</v>
      </c>
      <c r="H16" s="809">
        <f>(Table3[[#This Row],[Points 2025]]/2)+SUM(Table3[[#This Row],[O1  ADMIN 2026]:[P2      CAPE TOWN OPEN 2026 ]])</f>
        <v>156.4951171875</v>
      </c>
      <c r="I16" s="61">
        <f t="shared" si="1"/>
        <v>1</v>
      </c>
      <c r="J16" s="61">
        <f t="shared" si="2"/>
        <v>0</v>
      </c>
      <c r="K16" s="746" t="s">
        <v>6083</v>
      </c>
      <c r="L16" s="746" t="s">
        <v>6083</v>
      </c>
      <c r="M16" s="746">
        <v>10</v>
      </c>
      <c r="N16" s="746"/>
      <c r="O16" s="61"/>
      <c r="P16" s="61"/>
      <c r="Q16" s="113"/>
      <c r="R16" s="113">
        <v>75</v>
      </c>
      <c r="S16" s="61"/>
      <c r="T16" s="113"/>
      <c r="U16" s="61"/>
      <c r="V16" s="746"/>
      <c r="W16" s="113">
        <v>75</v>
      </c>
      <c r="X16" s="61"/>
      <c r="Y16" s="61"/>
      <c r="Z16" s="113"/>
      <c r="AA16" s="61"/>
      <c r="AB16" s="61"/>
      <c r="AC16" s="61">
        <v>50</v>
      </c>
      <c r="AD16" s="61">
        <v>50</v>
      </c>
      <c r="AE16" s="61"/>
      <c r="AF16" s="61"/>
      <c r="AG16" s="61">
        <v>50</v>
      </c>
      <c r="AH16" s="61"/>
      <c r="AI16" s="61">
        <f>75-75</f>
        <v>0</v>
      </c>
      <c r="AJ16" s="61"/>
      <c r="AK16" s="61"/>
    </row>
    <row r="17" spans="1:37">
      <c r="A17" s="61">
        <v>122</v>
      </c>
      <c r="B17" s="150">
        <f t="shared" si="0"/>
        <v>109</v>
      </c>
      <c r="C17" s="61">
        <f t="shared" si="3"/>
        <v>13</v>
      </c>
      <c r="D17" s="63">
        <v>7050</v>
      </c>
      <c r="E17" s="64" t="str">
        <f>IFERROR(VLOOKUP(Table3[[#This Row],[Player No]],Table11[#All],2,0),"")</f>
        <v xml:space="preserve">LINGERVELDT Caitlin </v>
      </c>
      <c r="F17" s="65" t="str">
        <f>IFERROR(VLOOKUP(Table3[[#This Row],[Player No]],Table11[#All],3,0),"")</f>
        <v>CT</v>
      </c>
      <c r="G17" s="86">
        <v>251.423828125</v>
      </c>
      <c r="H17" s="809">
        <f>(Table3[[#This Row],[Points 2025]]/2)+SUM(Table3[[#This Row],[O1  ADMIN 2026]:[P2      CAPE TOWN OPEN 2026 ]])</f>
        <v>125.7119140625</v>
      </c>
      <c r="I17" s="61">
        <f t="shared" si="1"/>
        <v>0</v>
      </c>
      <c r="J17" s="61">
        <f t="shared" si="2"/>
        <v>0</v>
      </c>
      <c r="K17" s="746" t="s">
        <v>6083</v>
      </c>
      <c r="L17" s="746" t="s">
        <v>6083</v>
      </c>
      <c r="M17" s="746" t="s">
        <v>6083</v>
      </c>
      <c r="N17" s="746"/>
      <c r="O17" s="61"/>
      <c r="P17" s="61"/>
      <c r="Q17" s="113"/>
      <c r="R17" s="113"/>
      <c r="S17" s="61"/>
      <c r="T17" s="113">
        <v>25</v>
      </c>
      <c r="U17" s="61"/>
      <c r="V17" s="746"/>
      <c r="W17" s="113">
        <v>75</v>
      </c>
      <c r="X17" s="61"/>
      <c r="Y17" s="61"/>
      <c r="Z17" s="113"/>
      <c r="AA17" s="61"/>
      <c r="AB17" s="61">
        <v>75</v>
      </c>
      <c r="AC17" s="61"/>
      <c r="AD17" s="61"/>
      <c r="AE17" s="61">
        <v>50</v>
      </c>
      <c r="AF17" s="61">
        <v>75</v>
      </c>
      <c r="AG17" s="61">
        <v>25</v>
      </c>
      <c r="AH17" s="61"/>
      <c r="AI17" s="61"/>
      <c r="AJ17" s="61"/>
      <c r="AK17" s="61"/>
    </row>
    <row r="18" spans="1:37">
      <c r="A18" s="61">
        <v>15</v>
      </c>
      <c r="B18" s="150">
        <f t="shared" si="0"/>
        <v>1</v>
      </c>
      <c r="C18" s="61">
        <f t="shared" si="3"/>
        <v>14</v>
      </c>
      <c r="D18" s="63">
        <v>7470</v>
      </c>
      <c r="E18" s="64" t="str">
        <f>IFERROR(VLOOKUP(Table3[[#This Row],[Player No]],Table11[#All],2,0),"")</f>
        <v>RAMALINGAM Shavishka</v>
      </c>
      <c r="F18" s="65" t="str">
        <f>IFERROR(VLOOKUP(Table3[[#This Row],[Player No]],Table11[#All],3,0),"")</f>
        <v>UMG</v>
      </c>
      <c r="G18" s="86">
        <v>198.125</v>
      </c>
      <c r="H18" s="809">
        <f>(Table3[[#This Row],[Points 2025]]/2)+SUM(Table3[[#This Row],[O1  ADMIN 2026]:[P2      CAPE TOWN OPEN 2026 ]])</f>
        <v>124.0625</v>
      </c>
      <c r="I18" s="61">
        <f t="shared" si="1"/>
        <v>2</v>
      </c>
      <c r="J18" s="61">
        <f t="shared" si="2"/>
        <v>0</v>
      </c>
      <c r="K18" s="746" t="s">
        <v>6083</v>
      </c>
      <c r="L18" s="746">
        <v>10</v>
      </c>
      <c r="M18" s="746">
        <v>15</v>
      </c>
      <c r="N18" s="746"/>
      <c r="O18" s="61">
        <v>50</v>
      </c>
      <c r="P18" s="61">
        <v>15</v>
      </c>
      <c r="Q18" s="113">
        <v>15</v>
      </c>
      <c r="R18" s="113">
        <v>25</v>
      </c>
      <c r="S18" s="61">
        <v>15</v>
      </c>
      <c r="T18" s="113"/>
      <c r="U18" s="61"/>
      <c r="V18" s="746"/>
      <c r="W18" s="113"/>
      <c r="X18" s="61"/>
      <c r="Y18" s="61"/>
      <c r="Z18" s="113"/>
      <c r="AA18" s="61"/>
      <c r="AB18" s="61"/>
      <c r="AC18" s="61">
        <v>25</v>
      </c>
      <c r="AD18" s="61">
        <v>25</v>
      </c>
      <c r="AE18" s="61"/>
      <c r="AF18" s="61"/>
      <c r="AG18" s="61">
        <v>50</v>
      </c>
      <c r="AH18" s="61"/>
      <c r="AI18" s="61"/>
      <c r="AJ18" s="61">
        <v>25</v>
      </c>
      <c r="AK18" s="61"/>
    </row>
    <row r="19" spans="1:37">
      <c r="A19" s="61">
        <v>18</v>
      </c>
      <c r="B19" s="150">
        <f t="shared" si="0"/>
        <v>3</v>
      </c>
      <c r="C19" s="61">
        <f t="shared" si="3"/>
        <v>15</v>
      </c>
      <c r="D19" s="63">
        <v>7243</v>
      </c>
      <c r="E19" s="64" t="str">
        <f>IFERROR(VLOOKUP(Table3[[#This Row],[Player No]],Table11[#All],2,0),"")</f>
        <v xml:space="preserve">HEERALALL Hashmika </v>
      </c>
      <c r="F19" s="65" t="str">
        <f>IFERROR(VLOOKUP(Table3[[#This Row],[Player No]],Table11[#All],3,0),"")</f>
        <v>ETK</v>
      </c>
      <c r="G19" s="86">
        <v>206.25</v>
      </c>
      <c r="H19" s="809">
        <f>(Table3[[#This Row],[Points 2025]]/2)+SUM(Table3[[#This Row],[O1  ADMIN 2026]:[P2      CAPE TOWN OPEN 2026 ]])</f>
        <v>123.125</v>
      </c>
      <c r="I19" s="61">
        <f t="shared" si="1"/>
        <v>2</v>
      </c>
      <c r="J19" s="61">
        <f t="shared" si="2"/>
        <v>0</v>
      </c>
      <c r="K19" s="746" t="s">
        <v>6083</v>
      </c>
      <c r="L19" s="746">
        <v>10</v>
      </c>
      <c r="M19" s="746">
        <v>10</v>
      </c>
      <c r="N19" s="746"/>
      <c r="O19" s="61">
        <v>25</v>
      </c>
      <c r="P19" s="61">
        <v>25</v>
      </c>
      <c r="Q19" s="113">
        <v>15</v>
      </c>
      <c r="R19" s="113">
        <v>25</v>
      </c>
      <c r="S19" s="61"/>
      <c r="T19" s="113"/>
      <c r="U19" s="61"/>
      <c r="V19" s="746"/>
      <c r="W19" s="113">
        <v>50</v>
      </c>
      <c r="X19" s="61"/>
      <c r="Y19" s="61"/>
      <c r="Z19" s="113"/>
      <c r="AA19" s="61"/>
      <c r="AB19" s="61"/>
      <c r="AC19" s="61">
        <f>25-25</f>
        <v>0</v>
      </c>
      <c r="AD19" s="61"/>
      <c r="AE19" s="61"/>
      <c r="AF19" s="61"/>
      <c r="AG19" s="61">
        <v>25</v>
      </c>
      <c r="AH19" s="61"/>
      <c r="AI19" s="61">
        <v>50</v>
      </c>
      <c r="AJ19" s="61">
        <v>25</v>
      </c>
      <c r="AK19" s="61"/>
    </row>
    <row r="20" spans="1:37">
      <c r="A20" s="61">
        <v>55</v>
      </c>
      <c r="B20" s="150">
        <f t="shared" si="0"/>
        <v>39</v>
      </c>
      <c r="C20" s="61">
        <f t="shared" si="3"/>
        <v>16</v>
      </c>
      <c r="D20" s="63">
        <v>8063</v>
      </c>
      <c r="E20" s="64" t="str">
        <f>IFERROR(VLOOKUP(Table3[[#This Row],[Player No]],Table11[#All],2,0),"")</f>
        <v>TOTARAM Kritika</v>
      </c>
      <c r="F20" s="65" t="str">
        <f>IFERROR(VLOOKUP(Table3[[#This Row],[Player No]],Table11[#All],3,0),"")</f>
        <v>UMG</v>
      </c>
      <c r="G20" s="86">
        <v>93.5</v>
      </c>
      <c r="H20" s="809">
        <f>(Table3[[#This Row],[Points 2025]]/2)+SUM(Table3[[#This Row],[O1  ADMIN 2026]:[P2      CAPE TOWN OPEN 2026 ]])</f>
        <v>121.75</v>
      </c>
      <c r="I20" s="61">
        <f t="shared" si="1"/>
        <v>2</v>
      </c>
      <c r="J20" s="61">
        <f t="shared" si="2"/>
        <v>0</v>
      </c>
      <c r="K20" s="746" t="s">
        <v>6083</v>
      </c>
      <c r="L20" s="746">
        <v>50</v>
      </c>
      <c r="M20" s="746">
        <v>25</v>
      </c>
      <c r="N20" s="746"/>
      <c r="O20" s="61">
        <v>25</v>
      </c>
      <c r="P20" s="61">
        <v>10</v>
      </c>
      <c r="Q20" s="113">
        <v>35</v>
      </c>
      <c r="R20" s="113"/>
      <c r="S20" s="61">
        <v>15</v>
      </c>
      <c r="T20" s="113"/>
      <c r="U20" s="61"/>
      <c r="V20" s="746"/>
      <c r="W20" s="113"/>
      <c r="X20" s="61"/>
      <c r="Y20" s="61"/>
      <c r="Z20" s="113"/>
      <c r="AA20" s="61"/>
      <c r="AB20" s="61"/>
      <c r="AC20" s="61">
        <v>2</v>
      </c>
      <c r="AD20" s="61">
        <v>15</v>
      </c>
      <c r="AE20" s="61"/>
      <c r="AF20" s="61"/>
      <c r="AG20" s="61"/>
      <c r="AH20" s="61"/>
      <c r="AI20" s="61"/>
      <c r="AJ20" s="61"/>
      <c r="AK20" s="61"/>
    </row>
    <row r="21" spans="1:37">
      <c r="A21" s="61">
        <v>42</v>
      </c>
      <c r="B21" s="150">
        <f t="shared" si="0"/>
        <v>25</v>
      </c>
      <c r="C21" s="61">
        <f t="shared" si="3"/>
        <v>17</v>
      </c>
      <c r="D21" s="63">
        <v>7501</v>
      </c>
      <c r="E21" s="64" t="str">
        <f>IFERROR(VLOOKUP(Table3[[#This Row],[Player No]],Table11[#All],2,0),"")</f>
        <v>MASHWABI Boipelo</v>
      </c>
      <c r="F21" s="65" t="str">
        <f>IFERROR(VLOOKUP(Table3[[#This Row],[Player No]],Table11[#All],3,0),"")</f>
        <v>FS</v>
      </c>
      <c r="G21" s="86">
        <v>163.125</v>
      </c>
      <c r="H21" s="809">
        <f>(Table3[[#This Row],[Points 2025]]/2)+SUM(Table3[[#This Row],[O1  ADMIN 2026]:[P2      CAPE TOWN OPEN 2026 ]])</f>
        <v>116.5625</v>
      </c>
      <c r="I21" s="61">
        <f t="shared" si="1"/>
        <v>1</v>
      </c>
      <c r="J21" s="61">
        <f t="shared" si="2"/>
        <v>0</v>
      </c>
      <c r="K21" s="746">
        <v>35</v>
      </c>
      <c r="L21" s="746">
        <v>0</v>
      </c>
      <c r="M21" s="746" t="s">
        <v>6083</v>
      </c>
      <c r="N21" s="746"/>
      <c r="O21" s="61"/>
      <c r="P21" s="61"/>
      <c r="Q21" s="113"/>
      <c r="R21" s="113"/>
      <c r="S21" s="61"/>
      <c r="T21" s="113">
        <v>25</v>
      </c>
      <c r="U21" s="61"/>
      <c r="V21" s="746"/>
      <c r="W21" s="113">
        <v>25</v>
      </c>
      <c r="X21" s="61"/>
      <c r="Y21" s="61">
        <v>25</v>
      </c>
      <c r="Z21" s="113"/>
      <c r="AA21" s="61">
        <v>35</v>
      </c>
      <c r="AB21" s="61"/>
      <c r="AC21" s="61"/>
      <c r="AD21" s="61"/>
      <c r="AE21" s="61"/>
      <c r="AF21" s="61"/>
      <c r="AG21" s="61">
        <v>50</v>
      </c>
      <c r="AH21" s="61"/>
      <c r="AI21" s="61">
        <v>25</v>
      </c>
      <c r="AJ21" s="61"/>
      <c r="AK21" s="61"/>
    </row>
    <row r="22" spans="1:37">
      <c r="A22" s="61">
        <v>12</v>
      </c>
      <c r="B22" s="150">
        <f t="shared" si="0"/>
        <v>-6</v>
      </c>
      <c r="C22" s="61">
        <f t="shared" si="3"/>
        <v>18</v>
      </c>
      <c r="D22" s="63">
        <v>7114</v>
      </c>
      <c r="E22" s="64" t="str">
        <f>IFERROR(VLOOKUP(Table3[[#This Row],[Player No]],Table11[#All],2,0),"")</f>
        <v xml:space="preserve">NOMDO Jesse-Leigh </v>
      </c>
      <c r="F22" s="65" t="str">
        <f>IFERROR(VLOOKUP(Table3[[#This Row],[Player No]],Table11[#All],3,0),"")</f>
        <v>CT</v>
      </c>
      <c r="G22" s="86">
        <v>120.44921875</v>
      </c>
      <c r="H22" s="809">
        <f>(Table3[[#This Row],[Points 2025]]/2)+SUM(Table3[[#This Row],[O1  ADMIN 2026]:[P2      CAPE TOWN OPEN 2026 ]])</f>
        <v>110.224609375</v>
      </c>
      <c r="I22" s="61">
        <f t="shared" si="1"/>
        <v>2</v>
      </c>
      <c r="J22" s="61">
        <f t="shared" si="2"/>
        <v>0</v>
      </c>
      <c r="K22" s="746" t="s">
        <v>6083</v>
      </c>
      <c r="L22" s="746">
        <v>35</v>
      </c>
      <c r="M22" s="746">
        <v>15</v>
      </c>
      <c r="N22" s="746"/>
      <c r="O22" s="61"/>
      <c r="P22" s="61"/>
      <c r="Q22" s="113"/>
      <c r="R22" s="113"/>
      <c r="S22" s="61"/>
      <c r="T22" s="113"/>
      <c r="U22" s="61"/>
      <c r="V22" s="746"/>
      <c r="W22" s="113">
        <v>50</v>
      </c>
      <c r="X22" s="61"/>
      <c r="Y22" s="61"/>
      <c r="Z22" s="113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</row>
    <row r="23" spans="1:37">
      <c r="A23" s="61">
        <v>16</v>
      </c>
      <c r="B23" s="150"/>
      <c r="C23" s="61">
        <f t="shared" si="3"/>
        <v>19</v>
      </c>
      <c r="D23" s="63">
        <v>7224</v>
      </c>
      <c r="E23" s="64" t="str">
        <f>IFERROR(VLOOKUP(Table3[[#This Row],[Player No]],Table11[#All],2,0),"")</f>
        <v xml:space="preserve">TOTARAM Mikayla </v>
      </c>
      <c r="F23" s="65" t="str">
        <f>IFERROR(VLOOKUP(Table3[[#This Row],[Player No]],Table11[#All],3,0),"")</f>
        <v>UMG</v>
      </c>
      <c r="G23" s="86">
        <v>148.625</v>
      </c>
      <c r="H23" s="809">
        <f>(Table3[[#This Row],[Points 2025]]/2)+SUM(Table3[[#This Row],[O1  ADMIN 2026]:[P2      CAPE TOWN OPEN 2026 ]])</f>
        <v>104.3125</v>
      </c>
      <c r="I23" s="61">
        <f t="shared" si="1"/>
        <v>2</v>
      </c>
      <c r="J23" s="61">
        <f t="shared" si="2"/>
        <v>0</v>
      </c>
      <c r="K23" s="746" t="s">
        <v>6083</v>
      </c>
      <c r="L23" s="746">
        <v>15</v>
      </c>
      <c r="M23" s="746">
        <v>15</v>
      </c>
      <c r="N23" s="746"/>
      <c r="O23" s="61">
        <v>1</v>
      </c>
      <c r="P23" s="61">
        <v>25</v>
      </c>
      <c r="Q23" s="113">
        <v>10</v>
      </c>
      <c r="R23" s="113"/>
      <c r="S23" s="61">
        <v>25</v>
      </c>
      <c r="T23" s="113"/>
      <c r="U23" s="61"/>
      <c r="V23" s="746"/>
      <c r="W23" s="113">
        <v>25</v>
      </c>
      <c r="X23" s="61"/>
      <c r="Y23" s="61"/>
      <c r="Z23" s="113"/>
      <c r="AA23" s="61"/>
      <c r="AB23" s="61"/>
      <c r="AC23" s="61">
        <v>50</v>
      </c>
      <c r="AD23" s="61">
        <v>15</v>
      </c>
      <c r="AE23" s="61"/>
      <c r="AF23" s="61"/>
      <c r="AG23" s="61">
        <v>25</v>
      </c>
      <c r="AH23" s="61"/>
      <c r="AI23" s="61"/>
      <c r="AJ23" s="61">
        <v>15</v>
      </c>
      <c r="AK23" s="61"/>
    </row>
    <row r="24" spans="1:37">
      <c r="A24" s="61">
        <v>169</v>
      </c>
      <c r="B24" s="150">
        <f t="shared" ref="B24:B35" si="4">+A24-C24</f>
        <v>149</v>
      </c>
      <c r="C24" s="61">
        <f t="shared" si="3"/>
        <v>20</v>
      </c>
      <c r="D24" s="63">
        <v>8085</v>
      </c>
      <c r="E24" s="64" t="str">
        <f>IFERROR(VLOOKUP(Table3[[#This Row],[Player No]],Table11[#All],2,0),"")</f>
        <v>PILLAY Veya</v>
      </c>
      <c r="F24" s="65" t="str">
        <f>IFERROR(VLOOKUP(Table3[[#This Row],[Player No]],Table11[#All],3,0),"")</f>
        <v>UMG</v>
      </c>
      <c r="G24" s="86">
        <v>141.5</v>
      </c>
      <c r="H24" s="809">
        <f>(Table3[[#This Row],[Points 2025]]/2)+SUM(Table3[[#This Row],[O1  ADMIN 2026]:[P2      CAPE TOWN OPEN 2026 ]])</f>
        <v>100.75</v>
      </c>
      <c r="I24" s="61">
        <f t="shared" si="1"/>
        <v>2</v>
      </c>
      <c r="J24" s="61">
        <f t="shared" si="2"/>
        <v>0</v>
      </c>
      <c r="K24" s="746" t="s">
        <v>6083</v>
      </c>
      <c r="L24" s="746">
        <v>15</v>
      </c>
      <c r="M24" s="746">
        <v>15</v>
      </c>
      <c r="N24" s="746"/>
      <c r="O24" s="61">
        <v>15</v>
      </c>
      <c r="P24" s="61">
        <v>1</v>
      </c>
      <c r="Q24" s="113">
        <v>10</v>
      </c>
      <c r="R24" s="113">
        <v>100</v>
      </c>
      <c r="S24" s="61">
        <v>15</v>
      </c>
      <c r="T24" s="113"/>
      <c r="U24" s="61"/>
      <c r="V24" s="746"/>
      <c r="W24" s="113"/>
      <c r="X24" s="61"/>
      <c r="Y24" s="61"/>
      <c r="Z24" s="113"/>
      <c r="AA24" s="61"/>
      <c r="AB24" s="61"/>
      <c r="AC24" s="61"/>
      <c r="AD24" s="61">
        <v>1</v>
      </c>
      <c r="AE24" s="61"/>
      <c r="AF24" s="61"/>
      <c r="AG24" s="61"/>
      <c r="AH24" s="61"/>
      <c r="AI24" s="61"/>
      <c r="AJ24" s="61"/>
      <c r="AK24" s="61"/>
    </row>
    <row r="25" spans="1:37">
      <c r="A25" s="61">
        <v>13</v>
      </c>
      <c r="B25" s="150">
        <f t="shared" si="4"/>
        <v>-8</v>
      </c>
      <c r="C25" s="61">
        <f t="shared" si="3"/>
        <v>21</v>
      </c>
      <c r="D25" s="63">
        <v>7044</v>
      </c>
      <c r="E25" s="64" t="str">
        <f>IFERROR(VLOOKUP(Table3[[#This Row],[Player No]],Table11[#All],2,0),"")</f>
        <v xml:space="preserve">EDWARDS Saadia </v>
      </c>
      <c r="F25" s="65" t="str">
        <f>IFERROR(VLOOKUP(Table3[[#This Row],[Player No]],Table11[#All],3,0),"")</f>
        <v>JTTA</v>
      </c>
      <c r="G25" s="86">
        <v>196.49609375</v>
      </c>
      <c r="H25" s="809">
        <f>(Table3[[#This Row],[Points 2025]]/2)+SUM(Table3[[#This Row],[O1  ADMIN 2026]:[P2      CAPE TOWN OPEN 2026 ]])</f>
        <v>98.248046875</v>
      </c>
      <c r="I25" s="61">
        <f t="shared" si="1"/>
        <v>0</v>
      </c>
      <c r="J25" s="61">
        <f t="shared" si="2"/>
        <v>0</v>
      </c>
      <c r="K25" s="746" t="s">
        <v>6083</v>
      </c>
      <c r="L25" s="746" t="s">
        <v>6083</v>
      </c>
      <c r="M25" s="746" t="s">
        <v>6083</v>
      </c>
      <c r="N25" s="746"/>
      <c r="O25" s="61"/>
      <c r="P25" s="61"/>
      <c r="Q25" s="113"/>
      <c r="R25" s="113"/>
      <c r="S25" s="61"/>
      <c r="T25" s="113"/>
      <c r="U25" s="61"/>
      <c r="V25" s="746"/>
      <c r="W25" s="113">
        <v>50</v>
      </c>
      <c r="X25" s="61"/>
      <c r="Y25" s="61">
        <v>15</v>
      </c>
      <c r="Z25" s="113">
        <v>12</v>
      </c>
      <c r="AA25" s="61"/>
      <c r="AB25" s="61"/>
      <c r="AC25" s="61"/>
      <c r="AD25" s="61"/>
      <c r="AE25" s="61"/>
      <c r="AF25" s="61"/>
      <c r="AG25" s="61">
        <v>50</v>
      </c>
      <c r="AH25" s="61">
        <v>25</v>
      </c>
      <c r="AI25" s="61">
        <v>25</v>
      </c>
      <c r="AJ25" s="61">
        <v>50</v>
      </c>
      <c r="AK25" s="61"/>
    </row>
    <row r="26" spans="1:37">
      <c r="A26" s="61">
        <v>54</v>
      </c>
      <c r="B26" s="150">
        <f t="shared" si="4"/>
        <v>32</v>
      </c>
      <c r="C26" s="61">
        <f t="shared" si="3"/>
        <v>22</v>
      </c>
      <c r="D26" s="63">
        <v>8025</v>
      </c>
      <c r="E26" s="64" t="str">
        <f>IFERROR(VLOOKUP(Table3[[#This Row],[Player No]],Table11[#All],2,0),"")</f>
        <v>VAN AS Tamika</v>
      </c>
      <c r="F26" s="65" t="str">
        <f>IFERROR(VLOOKUP(Table3[[#This Row],[Player No]],Table11[#All],3,0),"")</f>
        <v>CT</v>
      </c>
      <c r="G26" s="86">
        <v>183.75</v>
      </c>
      <c r="H26" s="809">
        <f>(Table3[[#This Row],[Points 2025]]/2)+SUM(Table3[[#This Row],[O1  ADMIN 2026]:[P2      CAPE TOWN OPEN 2026 ]])</f>
        <v>91.875</v>
      </c>
      <c r="I26" s="61">
        <f t="shared" si="1"/>
        <v>0</v>
      </c>
      <c r="J26" s="61">
        <f t="shared" si="2"/>
        <v>0</v>
      </c>
      <c r="K26" s="746" t="s">
        <v>6083</v>
      </c>
      <c r="L26" s="746" t="s">
        <v>6083</v>
      </c>
      <c r="M26" s="746" t="s">
        <v>6083</v>
      </c>
      <c r="N26" s="746"/>
      <c r="O26" s="63">
        <v>50</v>
      </c>
      <c r="P26" s="63"/>
      <c r="Q26" s="114"/>
      <c r="R26" s="114"/>
      <c r="S26" s="63"/>
      <c r="T26" s="114">
        <v>50</v>
      </c>
      <c r="U26" s="63"/>
      <c r="V26" s="708"/>
      <c r="W26" s="114"/>
      <c r="X26" s="63"/>
      <c r="Y26" s="63">
        <v>50</v>
      </c>
      <c r="Z26" s="114"/>
      <c r="AA26" s="63"/>
      <c r="AB26" s="63"/>
      <c r="AC26" s="63"/>
      <c r="AD26" s="63"/>
      <c r="AE26" s="63"/>
      <c r="AF26" s="63">
        <v>50</v>
      </c>
      <c r="AG26" s="63"/>
      <c r="AH26" s="63"/>
      <c r="AI26" s="63"/>
      <c r="AJ26" s="63">
        <v>1</v>
      </c>
      <c r="AK26" s="63"/>
    </row>
    <row r="27" spans="1:37">
      <c r="A27" s="61">
        <v>10</v>
      </c>
      <c r="B27" s="150">
        <f t="shared" si="4"/>
        <v>-13</v>
      </c>
      <c r="C27" s="61">
        <f t="shared" si="3"/>
        <v>23</v>
      </c>
      <c r="D27" s="63">
        <v>7003</v>
      </c>
      <c r="E27" s="64" t="str">
        <f>IFERROR(VLOOKUP(Table3[[#This Row],[Player No]],Table11[#All],2,0),"")</f>
        <v xml:space="preserve">MOOKREY Simeen </v>
      </c>
      <c r="F27" s="65" t="str">
        <f>IFERROR(VLOOKUP(Table3[[#This Row],[Player No]],Table11[#All],3,0),"")</f>
        <v>CT</v>
      </c>
      <c r="G27" s="86">
        <v>170.177734375</v>
      </c>
      <c r="H27" s="809">
        <f>(Table3[[#This Row],[Points 2025]]/2)+SUM(Table3[[#This Row],[O1  ADMIN 2026]:[P2      CAPE TOWN OPEN 2026 ]])</f>
        <v>85.0888671875</v>
      </c>
      <c r="I27" s="61">
        <f t="shared" si="1"/>
        <v>0</v>
      </c>
      <c r="J27" s="61">
        <f t="shared" si="2"/>
        <v>0</v>
      </c>
      <c r="K27" s="746" t="s">
        <v>6083</v>
      </c>
      <c r="L27" s="746" t="s">
        <v>6083</v>
      </c>
      <c r="M27" s="746" t="s">
        <v>6083</v>
      </c>
      <c r="N27" s="746"/>
      <c r="O27" s="61"/>
      <c r="P27" s="61"/>
      <c r="Q27" s="113"/>
      <c r="R27" s="113"/>
      <c r="S27" s="61"/>
      <c r="T27" s="113"/>
      <c r="U27" s="61"/>
      <c r="V27" s="746"/>
      <c r="W27" s="113"/>
      <c r="X27" s="61"/>
      <c r="Y27" s="61"/>
      <c r="Z27" s="113"/>
      <c r="AA27" s="61"/>
      <c r="AB27" s="61"/>
      <c r="AC27" s="61"/>
      <c r="AD27" s="61"/>
      <c r="AE27" s="61">
        <v>1</v>
      </c>
      <c r="AF27" s="61">
        <v>100</v>
      </c>
      <c r="AG27" s="61">
        <v>75</v>
      </c>
      <c r="AH27" s="61"/>
      <c r="AI27" s="61"/>
      <c r="AJ27" s="61"/>
      <c r="AK27" s="61"/>
    </row>
    <row r="28" spans="1:37">
      <c r="A28" s="61">
        <v>104</v>
      </c>
      <c r="B28" s="150">
        <f t="shared" si="4"/>
        <v>80</v>
      </c>
      <c r="C28" s="61">
        <f t="shared" si="3"/>
        <v>24</v>
      </c>
      <c r="D28" s="63">
        <v>7518</v>
      </c>
      <c r="E28" s="64" t="str">
        <f>IFERROR(VLOOKUP(Table3[[#This Row],[Player No]],Table11[#All],2,0),"")</f>
        <v>MOLOI Lusanda</v>
      </c>
      <c r="F28" s="65" t="str">
        <f>IFERROR(VLOOKUP(Table3[[#This Row],[Player No]],Table11[#All],3,0),"")</f>
        <v>UMG</v>
      </c>
      <c r="G28" s="86">
        <v>112.5</v>
      </c>
      <c r="H28" s="809">
        <f>(Table3[[#This Row],[Points 2025]]/2)+SUM(Table3[[#This Row],[O1  ADMIN 2026]:[P2      CAPE TOWN OPEN 2026 ]])</f>
        <v>81.25</v>
      </c>
      <c r="I28" s="61">
        <f t="shared" si="1"/>
        <v>2</v>
      </c>
      <c r="J28" s="61">
        <f t="shared" si="2"/>
        <v>0</v>
      </c>
      <c r="K28" s="746" t="s">
        <v>6083</v>
      </c>
      <c r="L28" s="746">
        <v>15</v>
      </c>
      <c r="M28" s="746">
        <v>10</v>
      </c>
      <c r="N28" s="746"/>
      <c r="O28" s="61">
        <v>25</v>
      </c>
      <c r="P28" s="61">
        <v>10</v>
      </c>
      <c r="Q28" s="113">
        <v>15</v>
      </c>
      <c r="R28" s="113"/>
      <c r="S28" s="61">
        <v>35</v>
      </c>
      <c r="T28" s="113"/>
      <c r="U28" s="61"/>
      <c r="V28" s="746"/>
      <c r="W28" s="113">
        <v>25</v>
      </c>
      <c r="X28" s="61"/>
      <c r="Y28" s="61"/>
      <c r="Z28" s="113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</row>
    <row r="29" spans="1:37">
      <c r="A29" s="61">
        <v>23</v>
      </c>
      <c r="B29" s="150">
        <f t="shared" si="4"/>
        <v>-2</v>
      </c>
      <c r="C29" s="61">
        <f t="shared" si="3"/>
        <v>25</v>
      </c>
      <c r="D29" s="63">
        <v>7005</v>
      </c>
      <c r="E29" s="64" t="str">
        <f>IFERROR(VLOOKUP(Table3[[#This Row],[Player No]],Table11[#All],2,0),"")</f>
        <v xml:space="preserve">SIVNARAIN Keshmika </v>
      </c>
      <c r="F29" s="65" t="str">
        <f>IFERROR(VLOOKUP(Table3[[#This Row],[Player No]],Table11[#All],3,0),"")</f>
        <v>JTTA</v>
      </c>
      <c r="G29" s="86">
        <v>153.41015625</v>
      </c>
      <c r="H29" s="809">
        <f>(Table3[[#This Row],[Points 2025]]/2)+SUM(Table3[[#This Row],[O1  ADMIN 2026]:[P2      CAPE TOWN OPEN 2026 ]])</f>
        <v>76.705078125</v>
      </c>
      <c r="I29" s="61">
        <f t="shared" si="1"/>
        <v>0</v>
      </c>
      <c r="J29" s="61">
        <f t="shared" si="2"/>
        <v>0</v>
      </c>
      <c r="K29" s="746" t="s">
        <v>6083</v>
      </c>
      <c r="L29" s="746" t="s">
        <v>6083</v>
      </c>
      <c r="M29" s="746" t="s">
        <v>6083</v>
      </c>
      <c r="N29" s="746"/>
      <c r="O29" s="61"/>
      <c r="P29" s="61">
        <v>50</v>
      </c>
      <c r="Q29" s="113"/>
      <c r="R29" s="113"/>
      <c r="S29" s="61"/>
      <c r="T29" s="113"/>
      <c r="U29" s="61"/>
      <c r="V29" s="746"/>
      <c r="W29" s="113">
        <v>0</v>
      </c>
      <c r="X29" s="61"/>
      <c r="Y29" s="61">
        <v>50</v>
      </c>
      <c r="Z29" s="113">
        <v>20</v>
      </c>
      <c r="AA29" s="61"/>
      <c r="AB29" s="61"/>
      <c r="AC29" s="61">
        <v>25</v>
      </c>
      <c r="AD29" s="61">
        <v>1</v>
      </c>
      <c r="AE29" s="61"/>
      <c r="AF29" s="61"/>
      <c r="AG29" s="61"/>
      <c r="AH29" s="61"/>
      <c r="AI29" s="61"/>
      <c r="AJ29" s="61"/>
      <c r="AK29" s="61"/>
    </row>
    <row r="30" spans="1:37">
      <c r="A30" s="61"/>
      <c r="B30" s="150">
        <f t="shared" si="4"/>
        <v>-26</v>
      </c>
      <c r="C30" s="61">
        <f t="shared" si="3"/>
        <v>26</v>
      </c>
      <c r="D30" s="63">
        <v>8338</v>
      </c>
      <c r="E30" s="64" t="str">
        <f>IFERROR(VLOOKUP(Table3[[#This Row],[Player No]],Table11[#All],2,0),"")</f>
        <v>SIVNANNAN Sivarna</v>
      </c>
      <c r="F30" s="65" t="str">
        <f>IFERROR(VLOOKUP(Table3[[#This Row],[Player No]],Table11[#All],3,0),"")</f>
        <v>UMG</v>
      </c>
      <c r="G30" s="86">
        <v>96</v>
      </c>
      <c r="H30" s="809">
        <f>(Table3[[#This Row],[Points 2025]]/2)+SUM(Table3[[#This Row],[O1  ADMIN 2026]:[P2      CAPE TOWN OPEN 2026 ]])</f>
        <v>75</v>
      </c>
      <c r="I30" s="61">
        <f t="shared" si="1"/>
        <v>2</v>
      </c>
      <c r="J30" s="61">
        <f t="shared" si="2"/>
        <v>0</v>
      </c>
      <c r="K30" s="746" t="s">
        <v>6083</v>
      </c>
      <c r="L30" s="746">
        <v>2</v>
      </c>
      <c r="M30" s="746">
        <v>25</v>
      </c>
      <c r="N30" s="746"/>
      <c r="O30" s="61">
        <v>15</v>
      </c>
      <c r="P30" s="61"/>
      <c r="Q30" s="113">
        <v>10</v>
      </c>
      <c r="R30" s="113">
        <v>50</v>
      </c>
      <c r="S30" s="61">
        <v>1</v>
      </c>
      <c r="T30" s="113"/>
      <c r="U30" s="61"/>
      <c r="V30" s="746"/>
      <c r="W30" s="113"/>
      <c r="X30" s="61"/>
      <c r="Y30" s="61">
        <v>0</v>
      </c>
      <c r="Z30" s="113">
        <v>20</v>
      </c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</row>
    <row r="31" spans="1:37">
      <c r="A31" s="61">
        <v>32</v>
      </c>
      <c r="B31" s="150">
        <f t="shared" si="4"/>
        <v>5</v>
      </c>
      <c r="C31" s="61">
        <f t="shared" si="3"/>
        <v>27</v>
      </c>
      <c r="D31" s="63">
        <v>8086</v>
      </c>
      <c r="E31" s="64" t="str">
        <f>IFERROR(VLOOKUP(Table3[[#This Row],[Player No]],Table11[#All],2,0),"")</f>
        <v>MORSNER Sarah</v>
      </c>
      <c r="F31" s="65" t="str">
        <f>IFERROR(VLOOKUP(Table3[[#This Row],[Player No]],Table11[#All],3,0),"")</f>
        <v>JTTA</v>
      </c>
      <c r="G31" s="86">
        <v>109.5</v>
      </c>
      <c r="H31" s="809">
        <f>(Table3[[#This Row],[Points 2025]]/2)+SUM(Table3[[#This Row],[O1  ADMIN 2026]:[P2      CAPE TOWN OPEN 2026 ]])</f>
        <v>69.75</v>
      </c>
      <c r="I31" s="61">
        <f t="shared" si="1"/>
        <v>1</v>
      </c>
      <c r="J31" s="61">
        <f t="shared" si="2"/>
        <v>0</v>
      </c>
      <c r="K31" s="746">
        <v>15</v>
      </c>
      <c r="L31" s="746" t="s">
        <v>6083</v>
      </c>
      <c r="M31" s="746" t="s">
        <v>6083</v>
      </c>
      <c r="N31" s="746"/>
      <c r="O31" s="61"/>
      <c r="P31" s="61"/>
      <c r="Q31" s="113"/>
      <c r="R31" s="113"/>
      <c r="S31" s="61"/>
      <c r="T31" s="113">
        <v>1</v>
      </c>
      <c r="U31" s="61"/>
      <c r="V31" s="746"/>
      <c r="W31" s="113">
        <v>25</v>
      </c>
      <c r="X31" s="61"/>
      <c r="Y31" s="61">
        <v>1</v>
      </c>
      <c r="Z31" s="113">
        <v>20</v>
      </c>
      <c r="AA31" s="61">
        <v>25</v>
      </c>
      <c r="AB31" s="61"/>
      <c r="AC31" s="61"/>
      <c r="AD31" s="61"/>
      <c r="AE31" s="61"/>
      <c r="AF31" s="61"/>
      <c r="AG31" s="61">
        <v>10</v>
      </c>
      <c r="AH31" s="61"/>
      <c r="AI31" s="61">
        <v>15</v>
      </c>
      <c r="AJ31" s="61">
        <v>15</v>
      </c>
      <c r="AK31" s="61">
        <v>35</v>
      </c>
    </row>
    <row r="32" spans="1:37">
      <c r="A32" s="61">
        <v>35</v>
      </c>
      <c r="B32" s="150">
        <f t="shared" si="4"/>
        <v>7</v>
      </c>
      <c r="C32" s="61">
        <f t="shared" si="3"/>
        <v>28</v>
      </c>
      <c r="D32" s="63">
        <v>7260</v>
      </c>
      <c r="E32" s="64" t="str">
        <f>IFERROR(VLOOKUP(Table3[[#This Row],[Player No]],Table11[#All],2,0),"")</f>
        <v xml:space="preserve">THERON Hayley </v>
      </c>
      <c r="F32" s="65" t="str">
        <f>IFERROR(VLOOKUP(Table3[[#This Row],[Player No]],Table11[#All],3,0),"")</f>
        <v>EDEN</v>
      </c>
      <c r="G32" s="86">
        <v>120.3125</v>
      </c>
      <c r="H32" s="809">
        <f>(Table3[[#This Row],[Points 2025]]/2)+SUM(Table3[[#This Row],[O1  ADMIN 2026]:[P2      CAPE TOWN OPEN 2026 ]])</f>
        <v>60.15625</v>
      </c>
      <c r="I32" s="61">
        <f t="shared" si="1"/>
        <v>0</v>
      </c>
      <c r="J32" s="61">
        <f t="shared" si="2"/>
        <v>0</v>
      </c>
      <c r="K32" s="746" t="s">
        <v>6083</v>
      </c>
      <c r="L32" s="746" t="s">
        <v>6083</v>
      </c>
      <c r="M32" s="746" t="s">
        <v>6083</v>
      </c>
      <c r="N32" s="746"/>
      <c r="O32" s="61"/>
      <c r="P32" s="61"/>
      <c r="Q32" s="113"/>
      <c r="R32" s="113"/>
      <c r="S32" s="61"/>
      <c r="T32" s="113"/>
      <c r="U32" s="61"/>
      <c r="V32" s="746">
        <v>75</v>
      </c>
      <c r="W32" s="113"/>
      <c r="X32" s="61"/>
      <c r="Y32" s="61"/>
      <c r="Z32" s="113"/>
      <c r="AA32" s="61"/>
      <c r="AB32" s="61"/>
      <c r="AC32" s="61"/>
      <c r="AD32" s="61"/>
      <c r="AE32" s="61">
        <v>25</v>
      </c>
      <c r="AF32" s="61">
        <v>25</v>
      </c>
      <c r="AG32" s="61"/>
      <c r="AH32" s="61"/>
      <c r="AI32" s="61"/>
      <c r="AJ32" s="61"/>
      <c r="AK32" s="61"/>
    </row>
    <row r="33" spans="1:37">
      <c r="A33" s="61">
        <v>36</v>
      </c>
      <c r="B33" s="150">
        <f t="shared" si="4"/>
        <v>7</v>
      </c>
      <c r="C33" s="61">
        <f t="shared" si="3"/>
        <v>29</v>
      </c>
      <c r="D33" s="63">
        <v>7750</v>
      </c>
      <c r="E33" s="64" t="str">
        <f>IFERROR(VLOOKUP(Table3[[#This Row],[Player No]],Table11[#All],2,0),"")</f>
        <v>SWANEVELDER Ronel</v>
      </c>
      <c r="F33" s="65" t="str">
        <f>IFERROR(VLOOKUP(Table3[[#This Row],[Player No]],Table11[#All],3,0),"")</f>
        <v>JTTA</v>
      </c>
      <c r="G33" s="86">
        <v>116.828125</v>
      </c>
      <c r="H33" s="809">
        <f>(Table3[[#This Row],[Points 2025]]/2)+SUM(Table3[[#This Row],[O1  ADMIN 2026]:[P2      CAPE TOWN OPEN 2026 ]])</f>
        <v>58.4140625</v>
      </c>
      <c r="I33" s="61">
        <f t="shared" si="1"/>
        <v>0</v>
      </c>
      <c r="J33" s="61">
        <f t="shared" si="2"/>
        <v>0</v>
      </c>
      <c r="K33" s="746" t="s">
        <v>6083</v>
      </c>
      <c r="L33" s="746" t="s">
        <v>6083</v>
      </c>
      <c r="M33" s="746" t="s">
        <v>6083</v>
      </c>
      <c r="N33" s="746"/>
      <c r="O33" s="61"/>
      <c r="P33" s="61"/>
      <c r="Q33" s="113"/>
      <c r="R33" s="113"/>
      <c r="S33" s="61"/>
      <c r="T33" s="113"/>
      <c r="U33" s="61"/>
      <c r="V33" s="746"/>
      <c r="W33" s="113">
        <v>10</v>
      </c>
      <c r="X33" s="61">
        <v>50</v>
      </c>
      <c r="Y33" s="61">
        <v>5</v>
      </c>
      <c r="Z33" s="113">
        <v>1</v>
      </c>
      <c r="AA33" s="61">
        <v>15</v>
      </c>
      <c r="AB33" s="61">
        <v>2</v>
      </c>
      <c r="AC33" s="61"/>
      <c r="AD33" s="61"/>
      <c r="AE33" s="61"/>
      <c r="AF33" s="61"/>
      <c r="AG33" s="61">
        <v>5</v>
      </c>
      <c r="AH33" s="61">
        <v>1</v>
      </c>
      <c r="AI33" s="61">
        <v>25</v>
      </c>
      <c r="AJ33" s="61"/>
      <c r="AK33" s="61">
        <v>25</v>
      </c>
    </row>
    <row r="34" spans="1:37">
      <c r="A34" s="61">
        <v>61</v>
      </c>
      <c r="B34" s="150">
        <f t="shared" si="4"/>
        <v>31</v>
      </c>
      <c r="C34" s="61">
        <f t="shared" si="3"/>
        <v>30</v>
      </c>
      <c r="D34" s="63">
        <v>7874</v>
      </c>
      <c r="E34" s="64" t="str">
        <f>IFERROR(VLOOKUP(Table3[[#This Row],[Player No]],Table11[#All],2,0),"")</f>
        <v>MDA ATHI Aphiwe</v>
      </c>
      <c r="F34" s="65" t="str">
        <f>IFERROR(VLOOKUP(Table3[[#This Row],[Player No]],Table11[#All],3,0),"")</f>
        <v>GN</v>
      </c>
      <c r="G34" s="86">
        <v>114.5</v>
      </c>
      <c r="H34" s="809">
        <f>(Table3[[#This Row],[Points 2025]]/2)+SUM(Table3[[#This Row],[O1  ADMIN 2026]:[P2      CAPE TOWN OPEN 2026 ]])</f>
        <v>57.25</v>
      </c>
      <c r="I34" s="61">
        <f t="shared" si="1"/>
        <v>0</v>
      </c>
      <c r="J34" s="61">
        <f t="shared" si="2"/>
        <v>0</v>
      </c>
      <c r="K34" s="746" t="s">
        <v>6083</v>
      </c>
      <c r="L34" s="746" t="s">
        <v>6083</v>
      </c>
      <c r="M34" s="746" t="s">
        <v>6083</v>
      </c>
      <c r="N34" s="746"/>
      <c r="O34" s="61">
        <v>15</v>
      </c>
      <c r="P34" s="61"/>
      <c r="Q34" s="113"/>
      <c r="R34" s="113"/>
      <c r="S34" s="61"/>
      <c r="T34" s="113">
        <v>15</v>
      </c>
      <c r="U34" s="61"/>
      <c r="V34" s="746"/>
      <c r="W34" s="113">
        <v>25</v>
      </c>
      <c r="X34" s="61"/>
      <c r="Y34" s="61">
        <v>15</v>
      </c>
      <c r="Z34" s="113">
        <v>12</v>
      </c>
      <c r="AA34" s="61"/>
      <c r="AB34" s="61"/>
      <c r="AC34" s="61"/>
      <c r="AD34" s="61"/>
      <c r="AE34" s="61"/>
      <c r="AF34" s="61"/>
      <c r="AG34" s="61">
        <v>25</v>
      </c>
      <c r="AH34" s="61"/>
      <c r="AI34" s="61">
        <v>25</v>
      </c>
      <c r="AJ34" s="61">
        <v>15</v>
      </c>
      <c r="AK34" s="61"/>
    </row>
    <row r="35" spans="1:37">
      <c r="A35" s="61">
        <v>58</v>
      </c>
      <c r="B35" s="150">
        <f t="shared" si="4"/>
        <v>27</v>
      </c>
      <c r="C35" s="61">
        <f t="shared" si="3"/>
        <v>31</v>
      </c>
      <c r="D35" s="63">
        <v>7221</v>
      </c>
      <c r="E35" s="64" t="str">
        <f>IFERROR(VLOOKUP(Table3[[#This Row],[Player No]],Table11[#All],2,0),"")</f>
        <v xml:space="preserve">MOTHUPI Boingotlo </v>
      </c>
      <c r="F35" s="65" t="str">
        <f>IFERROR(VLOOKUP(Table3[[#This Row],[Player No]],Table11[#All],3,0),"")</f>
        <v>FS</v>
      </c>
      <c r="G35" s="86">
        <v>75.25</v>
      </c>
      <c r="H35" s="809">
        <f>(Table3[[#This Row],[Points 2025]]/2)+SUM(Table3[[#This Row],[O1  ADMIN 2026]:[P2      CAPE TOWN OPEN 2026 ]])</f>
        <v>52.625</v>
      </c>
      <c r="I35" s="61">
        <f t="shared" si="1"/>
        <v>1</v>
      </c>
      <c r="J35" s="61">
        <f t="shared" si="2"/>
        <v>0</v>
      </c>
      <c r="K35" s="746">
        <v>15</v>
      </c>
      <c r="L35" s="746">
        <v>0</v>
      </c>
      <c r="M35" s="746" t="s">
        <v>6083</v>
      </c>
      <c r="N35" s="746"/>
      <c r="O35" s="61"/>
      <c r="P35" s="61"/>
      <c r="Q35" s="113"/>
      <c r="R35" s="113"/>
      <c r="S35" s="61"/>
      <c r="T35" s="113">
        <v>15</v>
      </c>
      <c r="U35" s="61"/>
      <c r="V35" s="746"/>
      <c r="W35" s="113">
        <v>10</v>
      </c>
      <c r="X35" s="61"/>
      <c r="Y35" s="61">
        <v>15</v>
      </c>
      <c r="Z35" s="113"/>
      <c r="AA35" s="61">
        <v>15</v>
      </c>
      <c r="AB35" s="61"/>
      <c r="AC35" s="61"/>
      <c r="AD35" s="61"/>
      <c r="AE35" s="61"/>
      <c r="AF35" s="61"/>
      <c r="AG35" s="61">
        <v>25</v>
      </c>
      <c r="AH35" s="61"/>
      <c r="AI35" s="61"/>
      <c r="AJ35" s="61"/>
      <c r="AK35" s="61"/>
    </row>
    <row r="36" spans="1:37">
      <c r="A36" s="61">
        <v>45</v>
      </c>
      <c r="B36" s="150"/>
      <c r="C36" s="61">
        <f t="shared" si="3"/>
        <v>32</v>
      </c>
      <c r="D36" s="63">
        <v>7613</v>
      </c>
      <c r="E36" s="64" t="str">
        <f>IFERROR(VLOOKUP(Table3[[#This Row],[Player No]],Table11[#All],2,0),"")</f>
        <v>NTSULUNGO Caelyn</v>
      </c>
      <c r="F36" s="65" t="str">
        <f>IFERROR(VLOOKUP(Table3[[#This Row],[Player No]],Table11[#All],3,0),"")</f>
        <v>CT</v>
      </c>
      <c r="G36" s="86">
        <v>100.625</v>
      </c>
      <c r="H36" s="809">
        <f>(Table3[[#This Row],[Points 2025]]/2)+SUM(Table3[[#This Row],[O1  ADMIN 2026]:[P2      CAPE TOWN OPEN 2026 ]])</f>
        <v>50.3125</v>
      </c>
      <c r="I36" s="61">
        <f t="shared" si="1"/>
        <v>0</v>
      </c>
      <c r="J36" s="61">
        <f t="shared" si="2"/>
        <v>0</v>
      </c>
      <c r="K36" s="746" t="s">
        <v>6083</v>
      </c>
      <c r="L36" s="746" t="s">
        <v>6083</v>
      </c>
      <c r="M36" s="746" t="s">
        <v>6083</v>
      </c>
      <c r="N36" s="746"/>
      <c r="O36" s="61"/>
      <c r="P36" s="61"/>
      <c r="Q36" s="113"/>
      <c r="R36" s="113"/>
      <c r="S36" s="61"/>
      <c r="T36" s="113"/>
      <c r="U36" s="61"/>
      <c r="V36" s="746"/>
      <c r="W36" s="113"/>
      <c r="X36" s="61"/>
      <c r="Y36" s="61"/>
      <c r="Z36" s="113"/>
      <c r="AA36" s="61"/>
      <c r="AB36" s="61"/>
      <c r="AC36" s="61"/>
      <c r="AD36" s="61"/>
      <c r="AE36" s="61">
        <v>50</v>
      </c>
      <c r="AF36" s="61">
        <v>50</v>
      </c>
      <c r="AG36" s="61">
        <v>75</v>
      </c>
      <c r="AH36" s="61"/>
      <c r="AI36" s="61"/>
      <c r="AJ36" s="61"/>
      <c r="AK36" s="61"/>
    </row>
    <row r="37" spans="1:37">
      <c r="A37" s="61"/>
      <c r="B37" s="150">
        <f t="shared" ref="B37:B42" si="5">+A37-C37</f>
        <v>-33</v>
      </c>
      <c r="C37" s="61">
        <f t="shared" si="3"/>
        <v>33</v>
      </c>
      <c r="D37" s="63">
        <v>8480</v>
      </c>
      <c r="E37" s="64" t="str">
        <f>IFERROR(VLOOKUP(Table3[[#This Row],[Player No]],Table11[#All],2,0),"")</f>
        <v>MAAL Sameera</v>
      </c>
      <c r="F37" s="65" t="str">
        <f>IFERROR(VLOOKUP(Table3[[#This Row],[Player No]],Table11[#All],3,0),"")</f>
        <v>JTTA</v>
      </c>
      <c r="G37" s="86">
        <v>100</v>
      </c>
      <c r="H37" s="809">
        <f>(Table3[[#This Row],[Points 2025]]/2)+SUM(Table3[[#This Row],[O1  ADMIN 2026]:[P2      CAPE TOWN OPEN 2026 ]])</f>
        <v>50</v>
      </c>
      <c r="I37" s="61">
        <f t="shared" si="1"/>
        <v>0</v>
      </c>
      <c r="J37" s="61">
        <f t="shared" si="2"/>
        <v>0</v>
      </c>
      <c r="K37" s="746" t="s">
        <v>6083</v>
      </c>
      <c r="L37" s="746" t="s">
        <v>6083</v>
      </c>
      <c r="M37" s="746" t="s">
        <v>6083</v>
      </c>
      <c r="N37" s="746"/>
      <c r="O37" s="61"/>
      <c r="P37" s="61"/>
      <c r="Q37" s="113"/>
      <c r="R37" s="113"/>
      <c r="S37" s="61"/>
      <c r="T37" s="113"/>
      <c r="U37" s="61"/>
      <c r="V37" s="746"/>
      <c r="W37" s="113">
        <v>50</v>
      </c>
      <c r="X37" s="61"/>
      <c r="Y37" s="61">
        <v>25</v>
      </c>
      <c r="Z37" s="113"/>
      <c r="AA37" s="61"/>
      <c r="AB37" s="61"/>
      <c r="AC37" s="61"/>
      <c r="AD37" s="61"/>
      <c r="AE37" s="61"/>
      <c r="AF37" s="61"/>
      <c r="AG37" s="61">
        <v>50</v>
      </c>
      <c r="AH37" s="61"/>
      <c r="AI37" s="61"/>
      <c r="AJ37" s="61"/>
      <c r="AK37" s="61"/>
    </row>
    <row r="38" spans="1:37">
      <c r="A38" s="61">
        <v>349</v>
      </c>
      <c r="B38" s="150">
        <f t="shared" si="5"/>
        <v>315</v>
      </c>
      <c r="C38" s="61">
        <f t="shared" si="3"/>
        <v>34</v>
      </c>
      <c r="D38" s="63">
        <v>8074</v>
      </c>
      <c r="E38" s="64" t="str">
        <f>IFERROR(VLOOKUP(Table3[[#This Row],[Player No]],Table11[#All],2,0),"")</f>
        <v>MOUTON Andrea</v>
      </c>
      <c r="F38" s="65" t="str">
        <f>IFERROR(VLOOKUP(Table3[[#This Row],[Player No]],Table11[#All],3,0),"")</f>
        <v>Eden</v>
      </c>
      <c r="G38" s="86">
        <v>100</v>
      </c>
      <c r="H38" s="809">
        <f>(Table3[[#This Row],[Points 2025]]/2)+SUM(Table3[[#This Row],[O1  ADMIN 2026]:[P2      CAPE TOWN OPEN 2026 ]])</f>
        <v>50</v>
      </c>
      <c r="I38" s="61">
        <f t="shared" si="1"/>
        <v>0</v>
      </c>
      <c r="J38" s="61">
        <f t="shared" si="2"/>
        <v>0</v>
      </c>
      <c r="K38" s="746" t="s">
        <v>6083</v>
      </c>
      <c r="L38" s="746" t="s">
        <v>6083</v>
      </c>
      <c r="M38" s="746" t="s">
        <v>6083</v>
      </c>
      <c r="N38" s="746"/>
      <c r="O38" s="61"/>
      <c r="P38" s="61"/>
      <c r="Q38" s="113"/>
      <c r="R38" s="113"/>
      <c r="S38" s="61"/>
      <c r="T38" s="113"/>
      <c r="U38" s="61"/>
      <c r="V38" s="746">
        <v>75</v>
      </c>
      <c r="W38" s="113"/>
      <c r="X38" s="61"/>
      <c r="Y38" s="61"/>
      <c r="Z38" s="113"/>
      <c r="AA38" s="61"/>
      <c r="AB38" s="61"/>
      <c r="AC38" s="61"/>
      <c r="AD38" s="61"/>
      <c r="AE38" s="61"/>
      <c r="AF38" s="61">
        <v>50</v>
      </c>
      <c r="AG38" s="61"/>
      <c r="AH38" s="61"/>
      <c r="AI38" s="61"/>
      <c r="AJ38" s="61"/>
      <c r="AK38" s="61"/>
    </row>
    <row r="39" spans="1:37">
      <c r="A39" s="61">
        <v>161</v>
      </c>
      <c r="B39" s="150">
        <f t="shared" si="5"/>
        <v>126</v>
      </c>
      <c r="C39" s="61">
        <f t="shared" si="3"/>
        <v>35</v>
      </c>
      <c r="D39" s="63">
        <v>7290</v>
      </c>
      <c r="E39" s="64" t="str">
        <f>IFERROR(VLOOKUP(Table3[[#This Row],[Player No]],Table11[#All],2,0),"")</f>
        <v xml:space="preserve">MAHLAMVU Simone </v>
      </c>
      <c r="F39" s="65" t="str">
        <f>IFERROR(VLOOKUP(Table3[[#This Row],[Player No]],Table11[#All],3,0),"")</f>
        <v>FS</v>
      </c>
      <c r="G39" s="86">
        <v>59</v>
      </c>
      <c r="H39" s="809">
        <f>(Table3[[#This Row],[Points 2025]]/2)+SUM(Table3[[#This Row],[O1  ADMIN 2026]:[P2      CAPE TOWN OPEN 2026 ]])</f>
        <v>49.5</v>
      </c>
      <c r="I39" s="61">
        <f t="shared" si="1"/>
        <v>2</v>
      </c>
      <c r="J39" s="61">
        <f t="shared" si="2"/>
        <v>0</v>
      </c>
      <c r="K39" s="746" t="s">
        <v>6083</v>
      </c>
      <c r="L39" s="746">
        <v>10</v>
      </c>
      <c r="M39" s="746">
        <v>10</v>
      </c>
      <c r="N39" s="746"/>
      <c r="O39" s="61">
        <v>25</v>
      </c>
      <c r="P39" s="61"/>
      <c r="Q39" s="113"/>
      <c r="R39" s="113"/>
      <c r="S39" s="61"/>
      <c r="T39" s="113">
        <v>1</v>
      </c>
      <c r="U39" s="61">
        <v>17.5</v>
      </c>
      <c r="V39" s="746"/>
      <c r="W39" s="113"/>
      <c r="X39" s="61"/>
      <c r="Y39" s="61">
        <v>15</v>
      </c>
      <c r="Z39" s="113"/>
      <c r="AA39" s="61"/>
      <c r="AB39" s="61"/>
      <c r="AC39" s="61"/>
      <c r="AD39" s="61"/>
      <c r="AE39" s="61"/>
      <c r="AF39" s="61"/>
      <c r="AG39" s="61"/>
      <c r="AH39" s="61"/>
      <c r="AI39" s="61"/>
      <c r="AJ39" s="61">
        <v>1</v>
      </c>
      <c r="AK39" s="61"/>
    </row>
    <row r="40" spans="1:37">
      <c r="A40" s="61">
        <v>60</v>
      </c>
      <c r="B40" s="150">
        <f t="shared" si="5"/>
        <v>24</v>
      </c>
      <c r="C40" s="61">
        <f t="shared" si="3"/>
        <v>36</v>
      </c>
      <c r="D40" s="63">
        <v>7545</v>
      </c>
      <c r="E40" s="64" t="str">
        <f>IFERROR(VLOOKUP(Table3[[#This Row],[Player No]],Table11[#All],2,0),"")</f>
        <v xml:space="preserve">NAIDU Saiisha </v>
      </c>
      <c r="F40" s="65" t="str">
        <f>IFERROR(VLOOKUP(Table3[[#This Row],[Player No]],Table11[#All],3,0),"")</f>
        <v>JTTA</v>
      </c>
      <c r="G40" s="86">
        <v>98</v>
      </c>
      <c r="H40" s="809">
        <f>(Table3[[#This Row],[Points 2025]]/2)+SUM(Table3[[#This Row],[O1  ADMIN 2026]:[P2      CAPE TOWN OPEN 2026 ]])</f>
        <v>49</v>
      </c>
      <c r="I40" s="61">
        <f t="shared" si="1"/>
        <v>0</v>
      </c>
      <c r="J40" s="61">
        <f t="shared" si="2"/>
        <v>0</v>
      </c>
      <c r="K40" s="746" t="s">
        <v>6083</v>
      </c>
      <c r="L40" s="746" t="s">
        <v>6083</v>
      </c>
      <c r="M40" s="746" t="s">
        <v>6083</v>
      </c>
      <c r="N40" s="746"/>
      <c r="O40" s="61">
        <v>25</v>
      </c>
      <c r="P40" s="61"/>
      <c r="Q40" s="113"/>
      <c r="R40" s="113"/>
      <c r="S40" s="61"/>
      <c r="T40" s="113"/>
      <c r="U40" s="61"/>
      <c r="V40" s="746"/>
      <c r="W40" s="113">
        <v>25</v>
      </c>
      <c r="X40" s="61"/>
      <c r="Y40" s="61">
        <v>15</v>
      </c>
      <c r="Z40" s="113">
        <v>12</v>
      </c>
      <c r="AA40" s="61"/>
      <c r="AB40" s="61"/>
      <c r="AC40" s="61"/>
      <c r="AD40" s="61"/>
      <c r="AE40" s="61"/>
      <c r="AF40" s="61"/>
      <c r="AG40" s="61">
        <v>25</v>
      </c>
      <c r="AH40" s="61"/>
      <c r="AI40" s="61">
        <v>2</v>
      </c>
      <c r="AJ40" s="61">
        <v>15</v>
      </c>
      <c r="AK40" s="61"/>
    </row>
    <row r="41" spans="1:37">
      <c r="A41" s="61">
        <v>31</v>
      </c>
      <c r="B41" s="150">
        <f t="shared" si="5"/>
        <v>-6</v>
      </c>
      <c r="C41" s="61">
        <f t="shared" si="3"/>
        <v>37</v>
      </c>
      <c r="D41" s="63">
        <v>7611</v>
      </c>
      <c r="E41" s="64" t="str">
        <f>IFERROR(VLOOKUP(Table3[[#This Row],[Player No]],Table11[#All],2,0),"")</f>
        <v>MTSHAWULANA Banam</v>
      </c>
      <c r="F41" s="65" t="str">
        <f>IFERROR(VLOOKUP(Table3[[#This Row],[Player No]],Table11[#All],3,0),"")</f>
        <v>EC</v>
      </c>
      <c r="G41" s="86">
        <v>97.5</v>
      </c>
      <c r="H41" s="809">
        <f>(Table3[[#This Row],[Points 2025]]/2)+SUM(Table3[[#This Row],[O1  ADMIN 2026]:[P2      CAPE TOWN OPEN 2026 ]])</f>
        <v>48.75</v>
      </c>
      <c r="I41" s="61">
        <f t="shared" si="1"/>
        <v>0</v>
      </c>
      <c r="J41" s="61">
        <f t="shared" si="2"/>
        <v>0</v>
      </c>
      <c r="K41" s="746" t="s">
        <v>6083</v>
      </c>
      <c r="L41" s="746" t="s">
        <v>6083</v>
      </c>
      <c r="M41" s="746" t="s">
        <v>6083</v>
      </c>
      <c r="N41" s="746"/>
      <c r="O41" s="61"/>
      <c r="P41" s="61"/>
      <c r="Q41" s="113"/>
      <c r="R41" s="113"/>
      <c r="S41" s="61"/>
      <c r="T41" s="113"/>
      <c r="U41" s="61"/>
      <c r="V41" s="746"/>
      <c r="W41" s="113">
        <v>25</v>
      </c>
      <c r="X41" s="61"/>
      <c r="Y41" s="61"/>
      <c r="Z41" s="113">
        <v>35</v>
      </c>
      <c r="AA41" s="61"/>
      <c r="AB41" s="61"/>
      <c r="AC41" s="61"/>
      <c r="AD41" s="61"/>
      <c r="AE41" s="61"/>
      <c r="AF41" s="61"/>
      <c r="AG41" s="61"/>
      <c r="AH41" s="61"/>
      <c r="AI41" s="61">
        <v>25</v>
      </c>
      <c r="AJ41" s="61">
        <v>50</v>
      </c>
      <c r="AK41" s="61"/>
    </row>
    <row r="42" spans="1:37">
      <c r="A42" s="61">
        <v>9</v>
      </c>
      <c r="B42" s="150">
        <f t="shared" si="5"/>
        <v>-29</v>
      </c>
      <c r="C42" s="61">
        <f t="shared" si="3"/>
        <v>38</v>
      </c>
      <c r="D42" s="63">
        <v>7196</v>
      </c>
      <c r="E42" s="64" t="str">
        <f>IFERROR(VLOOKUP(Table3[[#This Row],[Player No]],Table11[#All],2,0),"")</f>
        <v xml:space="preserve">DE BRUYN Lee Che' </v>
      </c>
      <c r="F42" s="65" t="str">
        <f>IFERROR(VLOOKUP(Table3[[#This Row],[Player No]],Table11[#All],3,0),"")</f>
        <v>CT</v>
      </c>
      <c r="G42" s="86">
        <v>96.03125</v>
      </c>
      <c r="H42" s="809">
        <f>(Table3[[#This Row],[Points 2025]]/2)+SUM(Table3[[#This Row],[O1  ADMIN 2026]:[P2      CAPE TOWN OPEN 2026 ]])</f>
        <v>48.015625</v>
      </c>
      <c r="I42" s="61">
        <f t="shared" si="1"/>
        <v>0</v>
      </c>
      <c r="J42" s="61">
        <f t="shared" si="2"/>
        <v>0</v>
      </c>
      <c r="K42" s="746" t="s">
        <v>6083</v>
      </c>
      <c r="L42" s="746" t="s">
        <v>6083</v>
      </c>
      <c r="M42" s="746" t="s">
        <v>6083</v>
      </c>
      <c r="N42" s="746"/>
      <c r="O42" s="61"/>
      <c r="P42" s="61"/>
      <c r="Q42" s="113"/>
      <c r="R42" s="113"/>
      <c r="S42" s="61"/>
      <c r="T42" s="113"/>
      <c r="U42" s="61"/>
      <c r="V42" s="746"/>
      <c r="W42" s="113"/>
      <c r="X42" s="61"/>
      <c r="Y42" s="61"/>
      <c r="Z42" s="113"/>
      <c r="AA42" s="61"/>
      <c r="AB42" s="61"/>
      <c r="AC42" s="61"/>
      <c r="AD42" s="61"/>
      <c r="AE42" s="61">
        <v>25</v>
      </c>
      <c r="AF42" s="61"/>
      <c r="AG42" s="61"/>
      <c r="AH42" s="61"/>
      <c r="AI42" s="61"/>
      <c r="AJ42" s="61"/>
      <c r="AK42" s="61"/>
    </row>
    <row r="43" spans="1:37">
      <c r="A43" s="61">
        <v>25</v>
      </c>
      <c r="B43" s="150"/>
      <c r="C43" s="61">
        <f t="shared" si="3"/>
        <v>39</v>
      </c>
      <c r="D43" s="63">
        <v>7457</v>
      </c>
      <c r="E43" s="64" t="str">
        <f>IFERROR(VLOOKUP(Table3[[#This Row],[Player No]],Table11[#All],2,0),"")</f>
        <v>MOODLEY Suvaria</v>
      </c>
      <c r="F43" s="65" t="str">
        <f>IFERROR(VLOOKUP(Table3[[#This Row],[Player No]],Table11[#All],3,0),"")</f>
        <v>UMG</v>
      </c>
      <c r="G43" s="86">
        <v>90.625</v>
      </c>
      <c r="H43" s="809">
        <f>(Table3[[#This Row],[Points 2025]]/2)+SUM(Table3[[#This Row],[O1  ADMIN 2026]:[P2      CAPE TOWN OPEN 2026 ]])</f>
        <v>46.3125</v>
      </c>
      <c r="I43" s="61">
        <f t="shared" si="1"/>
        <v>1</v>
      </c>
      <c r="J43" s="61">
        <f t="shared" si="2"/>
        <v>0</v>
      </c>
      <c r="K43" s="746" t="s">
        <v>6083</v>
      </c>
      <c r="L43" s="746">
        <v>1</v>
      </c>
      <c r="M43" s="746" t="s">
        <v>6083</v>
      </c>
      <c r="N43" s="746"/>
      <c r="O43" s="61">
        <v>15</v>
      </c>
      <c r="P43" s="61">
        <v>10</v>
      </c>
      <c r="Q43" s="113">
        <v>10</v>
      </c>
      <c r="R43" s="113">
        <v>25</v>
      </c>
      <c r="S43" s="61"/>
      <c r="T43" s="113"/>
      <c r="U43" s="61"/>
      <c r="V43" s="746"/>
      <c r="W43" s="113"/>
      <c r="X43" s="61"/>
      <c r="Y43" s="61"/>
      <c r="Z43" s="113"/>
      <c r="AA43" s="61"/>
      <c r="AB43" s="61"/>
      <c r="AC43" s="61">
        <v>25</v>
      </c>
      <c r="AD43" s="61"/>
      <c r="AE43" s="61"/>
      <c r="AF43" s="61"/>
      <c r="AG43" s="61"/>
      <c r="AH43" s="61"/>
      <c r="AI43" s="61">
        <f>25-25</f>
        <v>0</v>
      </c>
      <c r="AJ43" s="61"/>
      <c r="AK43" s="61"/>
    </row>
    <row r="44" spans="1:37">
      <c r="A44" s="61">
        <v>75</v>
      </c>
      <c r="B44" s="150">
        <f t="shared" ref="B44:B51" si="6">+A44-C44</f>
        <v>35</v>
      </c>
      <c r="C44" s="61">
        <f t="shared" si="3"/>
        <v>40</v>
      </c>
      <c r="D44" s="63">
        <v>7580</v>
      </c>
      <c r="E44" s="64" t="str">
        <f>IFERROR(VLOOKUP(Table3[[#This Row],[Player No]],Table11[#All],2,0),"")</f>
        <v>MOATI Confidence</v>
      </c>
      <c r="F44" s="65" t="str">
        <f>IFERROR(VLOOKUP(Table3[[#This Row],[Player No]],Table11[#All],3,0),"")</f>
        <v>LIM</v>
      </c>
      <c r="G44" s="86">
        <v>36.25</v>
      </c>
      <c r="H44" s="809">
        <f>(Table3[[#This Row],[Points 2025]]/2)+SUM(Table3[[#This Row],[O1  ADMIN 2026]:[P2      CAPE TOWN OPEN 2026 ]])</f>
        <v>43.125</v>
      </c>
      <c r="I44" s="61">
        <f t="shared" si="1"/>
        <v>1</v>
      </c>
      <c r="J44" s="61">
        <f t="shared" si="2"/>
        <v>0</v>
      </c>
      <c r="K44" s="746">
        <v>25</v>
      </c>
      <c r="L44" s="746">
        <v>0</v>
      </c>
      <c r="M44" s="746" t="s">
        <v>6083</v>
      </c>
      <c r="N44" s="746"/>
      <c r="O44" s="61"/>
      <c r="P44" s="61"/>
      <c r="Q44" s="113"/>
      <c r="R44" s="113"/>
      <c r="S44" s="61"/>
      <c r="T44" s="113"/>
      <c r="U44" s="61"/>
      <c r="V44" s="746"/>
      <c r="W44" s="113">
        <v>25</v>
      </c>
      <c r="X44" s="61"/>
      <c r="Y44" s="61"/>
      <c r="Z44" s="113"/>
      <c r="AA44" s="61"/>
      <c r="AB44" s="61"/>
      <c r="AC44" s="61"/>
      <c r="AD44" s="61"/>
      <c r="AE44" s="61"/>
      <c r="AF44" s="61"/>
      <c r="AG44" s="61">
        <v>10</v>
      </c>
      <c r="AH44" s="61"/>
      <c r="AI44" s="61"/>
      <c r="AJ44" s="61"/>
      <c r="AK44" s="61"/>
    </row>
    <row r="45" spans="1:37">
      <c r="A45" s="61">
        <v>41</v>
      </c>
      <c r="B45" s="150">
        <f t="shared" si="6"/>
        <v>0</v>
      </c>
      <c r="C45" s="61">
        <f t="shared" si="3"/>
        <v>41</v>
      </c>
      <c r="D45" s="63">
        <v>7625</v>
      </c>
      <c r="E45" s="64" t="str">
        <f>IFERROR(VLOOKUP(Table3[[#This Row],[Player No]],Table11[#All],2,0),"")</f>
        <v>TSAI Ashley</v>
      </c>
      <c r="F45" s="65" t="str">
        <f>IFERROR(VLOOKUP(Table3[[#This Row],[Player No]],Table11[#All],3,0),"")</f>
        <v>FS</v>
      </c>
      <c r="G45" s="86">
        <v>85.875</v>
      </c>
      <c r="H45" s="809">
        <f>(Table3[[#This Row],[Points 2025]]/2)+SUM(Table3[[#This Row],[O1  ADMIN 2026]:[P2      CAPE TOWN OPEN 2026 ]])</f>
        <v>42.9375</v>
      </c>
      <c r="I45" s="61">
        <f t="shared" si="1"/>
        <v>0</v>
      </c>
      <c r="J45" s="61">
        <f t="shared" si="2"/>
        <v>0</v>
      </c>
      <c r="K45" s="746" t="s">
        <v>6083</v>
      </c>
      <c r="L45" s="746" t="s">
        <v>6083</v>
      </c>
      <c r="M45" s="746" t="s">
        <v>6083</v>
      </c>
      <c r="N45" s="746"/>
      <c r="O45" s="61"/>
      <c r="P45" s="61"/>
      <c r="Q45" s="113"/>
      <c r="R45" s="113"/>
      <c r="S45" s="61"/>
      <c r="T45" s="113"/>
      <c r="U45" s="61"/>
      <c r="V45" s="746"/>
      <c r="W45" s="113"/>
      <c r="X45" s="61"/>
      <c r="Y45" s="61"/>
      <c r="Z45" s="113"/>
      <c r="AA45" s="61"/>
      <c r="AB45" s="61">
        <v>50</v>
      </c>
      <c r="AC45" s="61"/>
      <c r="AD45" s="61"/>
      <c r="AE45" s="61">
        <v>15</v>
      </c>
      <c r="AF45" s="61"/>
      <c r="AG45" s="61">
        <v>25</v>
      </c>
      <c r="AH45" s="61"/>
      <c r="AI45" s="61"/>
      <c r="AJ45" s="61"/>
      <c r="AK45" s="61"/>
    </row>
    <row r="46" spans="1:37">
      <c r="A46" s="61">
        <v>59</v>
      </c>
      <c r="B46" s="150">
        <f t="shared" si="6"/>
        <v>17</v>
      </c>
      <c r="C46" s="61">
        <f t="shared" si="3"/>
        <v>42</v>
      </c>
      <c r="D46" s="63">
        <v>7030</v>
      </c>
      <c r="E46" s="64" t="str">
        <f>IFERROR(VLOOKUP(Table3[[#This Row],[Player No]],Table11[#All],2,0),"")</f>
        <v>NAIDOO Kiara</v>
      </c>
      <c r="F46" s="65" t="str">
        <f>IFERROR(VLOOKUP(Table3[[#This Row],[Player No]],Table11[#All],3,0),"")</f>
        <v>ETK</v>
      </c>
      <c r="G46" s="86">
        <v>82.5390625</v>
      </c>
      <c r="H46" s="809">
        <f>(Table3[[#This Row],[Points 2025]]/2)+SUM(Table3[[#This Row],[O1  ADMIN 2026]:[P2      CAPE TOWN OPEN 2026 ]])</f>
        <v>41.26953125</v>
      </c>
      <c r="I46" s="61">
        <f t="shared" si="1"/>
        <v>0</v>
      </c>
      <c r="J46" s="61">
        <f t="shared" si="2"/>
        <v>0</v>
      </c>
      <c r="K46" s="746" t="s">
        <v>6083</v>
      </c>
      <c r="L46" s="746" t="s">
        <v>6083</v>
      </c>
      <c r="M46" s="746" t="s">
        <v>6083</v>
      </c>
      <c r="N46" s="746"/>
      <c r="O46" s="61"/>
      <c r="P46" s="61"/>
      <c r="Q46" s="113"/>
      <c r="R46" s="113"/>
      <c r="S46" s="61"/>
      <c r="T46" s="113"/>
      <c r="U46" s="61"/>
      <c r="V46" s="746"/>
      <c r="W46" s="113"/>
      <c r="X46" s="61"/>
      <c r="Y46" s="61"/>
      <c r="Z46" s="113">
        <v>75</v>
      </c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</row>
    <row r="47" spans="1:37">
      <c r="A47" s="61">
        <v>27</v>
      </c>
      <c r="B47" s="150">
        <f t="shared" si="6"/>
        <v>-16</v>
      </c>
      <c r="C47" s="61">
        <f t="shared" si="3"/>
        <v>43</v>
      </c>
      <c r="D47" s="63">
        <v>7460</v>
      </c>
      <c r="E47" s="64" t="str">
        <f>IFERROR(VLOOKUP(Table3[[#This Row],[Player No]],Table11[#All],2,0),"")</f>
        <v>PILLAY Kimeshni</v>
      </c>
      <c r="F47" s="65" t="str">
        <f>IFERROR(VLOOKUP(Table3[[#This Row],[Player No]],Table11[#All],3,0),"")</f>
        <v>UMG</v>
      </c>
      <c r="G47" s="86">
        <v>77.5</v>
      </c>
      <c r="H47" s="809">
        <f>(Table3[[#This Row],[Points 2025]]/2)+SUM(Table3[[#This Row],[O1  ADMIN 2026]:[P2      CAPE TOWN OPEN 2026 ]])</f>
        <v>40.75</v>
      </c>
      <c r="I47" s="61">
        <f t="shared" si="1"/>
        <v>1</v>
      </c>
      <c r="J47" s="61">
        <f t="shared" si="2"/>
        <v>0</v>
      </c>
      <c r="K47" s="746" t="s">
        <v>6083</v>
      </c>
      <c r="L47" s="746" t="s">
        <v>6083</v>
      </c>
      <c r="M47" s="746">
        <v>2</v>
      </c>
      <c r="N47" s="746"/>
      <c r="O47" s="63">
        <v>1</v>
      </c>
      <c r="P47" s="63"/>
      <c r="Q47" s="114">
        <v>10</v>
      </c>
      <c r="R47" s="114">
        <v>15</v>
      </c>
      <c r="S47" s="63">
        <v>10</v>
      </c>
      <c r="T47" s="114"/>
      <c r="U47" s="63"/>
      <c r="V47" s="708"/>
      <c r="W47" s="114">
        <v>10</v>
      </c>
      <c r="X47" s="63"/>
      <c r="Y47" s="63"/>
      <c r="Z47" s="114"/>
      <c r="AA47" s="63"/>
      <c r="AB47" s="63"/>
      <c r="AC47" s="63">
        <v>25</v>
      </c>
      <c r="AD47" s="63">
        <v>15</v>
      </c>
      <c r="AE47" s="63"/>
      <c r="AF47" s="63"/>
      <c r="AG47" s="63">
        <v>10</v>
      </c>
      <c r="AH47" s="63"/>
      <c r="AI47" s="63"/>
      <c r="AJ47" s="63"/>
      <c r="AK47" s="63"/>
    </row>
    <row r="48" spans="1:37">
      <c r="A48" s="61">
        <v>69</v>
      </c>
      <c r="B48" s="150">
        <f t="shared" si="6"/>
        <v>25</v>
      </c>
      <c r="C48" s="61">
        <f t="shared" si="3"/>
        <v>44</v>
      </c>
      <c r="D48" s="63">
        <v>8336</v>
      </c>
      <c r="E48" s="64" t="str">
        <f>IFERROR(VLOOKUP(Table3[[#This Row],[Player No]],Table11[#All],2,0),"")</f>
        <v>PILLAY Keona</v>
      </c>
      <c r="F48" s="65" t="str">
        <f>IFERROR(VLOOKUP(Table3[[#This Row],[Player No]],Table11[#All],3,0),"")</f>
        <v>UMG</v>
      </c>
      <c r="G48" s="86">
        <v>75</v>
      </c>
      <c r="H48" s="809">
        <f>(Table3[[#This Row],[Points 2025]]/2)+SUM(Table3[[#This Row],[O1  ADMIN 2026]:[P2      CAPE TOWN OPEN 2026 ]])</f>
        <v>40.5</v>
      </c>
      <c r="I48" s="61">
        <f t="shared" si="1"/>
        <v>2</v>
      </c>
      <c r="J48" s="61">
        <f t="shared" si="2"/>
        <v>0</v>
      </c>
      <c r="K48" s="746" t="s">
        <v>6083</v>
      </c>
      <c r="L48" s="746">
        <v>2</v>
      </c>
      <c r="M48" s="746">
        <v>1</v>
      </c>
      <c r="N48" s="746"/>
      <c r="O48" s="61">
        <v>1</v>
      </c>
      <c r="P48" s="61">
        <v>10</v>
      </c>
      <c r="Q48" s="113">
        <v>25</v>
      </c>
      <c r="R48" s="113">
        <v>15</v>
      </c>
      <c r="S48" s="61">
        <v>15</v>
      </c>
      <c r="T48" s="113"/>
      <c r="U48" s="61"/>
      <c r="V48" s="746"/>
      <c r="W48" s="113"/>
      <c r="X48" s="61"/>
      <c r="Y48" s="61"/>
      <c r="Z48" s="113"/>
      <c r="AA48" s="61"/>
      <c r="AB48" s="61"/>
      <c r="AC48" s="61">
        <v>2</v>
      </c>
      <c r="AD48" s="61">
        <v>10</v>
      </c>
      <c r="AE48" s="61"/>
      <c r="AF48" s="61"/>
      <c r="AG48" s="61">
        <v>5</v>
      </c>
      <c r="AH48" s="61"/>
      <c r="AI48" s="61"/>
      <c r="AJ48" s="61">
        <v>1</v>
      </c>
      <c r="AK48" s="61"/>
    </row>
    <row r="49" spans="1:37">
      <c r="A49" s="202"/>
      <c r="B49" s="150">
        <f t="shared" si="6"/>
        <v>-45</v>
      </c>
      <c r="C49" s="61">
        <f t="shared" si="3"/>
        <v>45</v>
      </c>
      <c r="D49" s="208">
        <v>8205</v>
      </c>
      <c r="E49" s="64" t="str">
        <f>IFERROR(VLOOKUP(Table3[[#This Row],[Player No]],Table11[#All],2,0),"")</f>
        <v>WILLIAMS Xoey</v>
      </c>
      <c r="F49" s="65" t="str">
        <f>IFERROR(VLOOKUP(Table3[[#This Row],[Player No]],Table11[#All],3,0),"")</f>
        <v>CT</v>
      </c>
      <c r="G49" s="311">
        <v>76</v>
      </c>
      <c r="H49" s="810">
        <f>(Table3[[#This Row],[Points 2025]]/2)+SUM(Table3[[#This Row],[O1  ADMIN 2026]:[P2      CAPE TOWN OPEN 2026 ]])</f>
        <v>38</v>
      </c>
      <c r="I49" s="279">
        <f t="shared" si="1"/>
        <v>0</v>
      </c>
      <c r="J49" s="208">
        <f t="shared" si="2"/>
        <v>0</v>
      </c>
      <c r="K49" s="710" t="s">
        <v>6083</v>
      </c>
      <c r="L49" s="710" t="s">
        <v>6083</v>
      </c>
      <c r="M49" s="710" t="s">
        <v>6083</v>
      </c>
      <c r="N49" s="710"/>
      <c r="O49" s="202"/>
      <c r="P49" s="202"/>
      <c r="Q49" s="289"/>
      <c r="R49" s="289"/>
      <c r="S49" s="202"/>
      <c r="T49" s="289">
        <v>1</v>
      </c>
      <c r="U49" s="202"/>
      <c r="V49" s="751"/>
      <c r="W49" s="289">
        <v>50</v>
      </c>
      <c r="X49" s="202"/>
      <c r="Y49" s="202"/>
      <c r="Z49" s="289"/>
      <c r="AA49" s="202"/>
      <c r="AB49" s="202">
        <v>25</v>
      </c>
      <c r="AC49" s="202"/>
      <c r="AD49" s="202"/>
      <c r="AE49" s="202"/>
      <c r="AF49" s="202"/>
      <c r="AG49" s="202"/>
      <c r="AH49" s="202"/>
      <c r="AI49" s="202"/>
      <c r="AJ49" s="202"/>
      <c r="AK49" s="202"/>
    </row>
    <row r="50" spans="1:37">
      <c r="A50" s="61">
        <v>52</v>
      </c>
      <c r="B50" s="150">
        <f t="shared" si="6"/>
        <v>6</v>
      </c>
      <c r="C50" s="61">
        <f t="shared" si="3"/>
        <v>46</v>
      </c>
      <c r="D50" s="63">
        <v>7458</v>
      </c>
      <c r="E50" s="64" t="str">
        <f>IFERROR(VLOOKUP(Table3[[#This Row],[Player No]],Table11[#All],2,0),"")</f>
        <v>ANANDHPURI Khiara</v>
      </c>
      <c r="F50" s="65" t="str">
        <f>IFERROR(VLOOKUP(Table3[[#This Row],[Player No]],Table11[#All],3,0),"")</f>
        <v>UMG</v>
      </c>
      <c r="G50" s="86">
        <v>69.75</v>
      </c>
      <c r="H50" s="809">
        <f>(Table3[[#This Row],[Points 2025]]/2)+SUM(Table3[[#This Row],[O1  ADMIN 2026]:[P2      CAPE TOWN OPEN 2026 ]])</f>
        <v>34.875</v>
      </c>
      <c r="I50" s="61">
        <f t="shared" si="1"/>
        <v>0</v>
      </c>
      <c r="J50" s="61">
        <f t="shared" si="2"/>
        <v>0</v>
      </c>
      <c r="K50" s="746" t="s">
        <v>6083</v>
      </c>
      <c r="L50" s="746" t="s">
        <v>6083</v>
      </c>
      <c r="M50" s="746" t="s">
        <v>6083</v>
      </c>
      <c r="N50" s="746"/>
      <c r="O50" s="63">
        <v>25</v>
      </c>
      <c r="P50" s="63">
        <v>10</v>
      </c>
      <c r="Q50" s="114"/>
      <c r="R50" s="114">
        <v>15</v>
      </c>
      <c r="S50" s="63">
        <v>10</v>
      </c>
      <c r="T50" s="114"/>
      <c r="U50" s="63"/>
      <c r="V50" s="708"/>
      <c r="W50" s="114"/>
      <c r="X50" s="63"/>
      <c r="Y50" s="63"/>
      <c r="Z50" s="114"/>
      <c r="AA50" s="63"/>
      <c r="AB50" s="63"/>
      <c r="AC50" s="63">
        <v>2</v>
      </c>
      <c r="AD50" s="63">
        <v>10</v>
      </c>
      <c r="AE50" s="63"/>
      <c r="AF50" s="63"/>
      <c r="AG50" s="63"/>
      <c r="AH50" s="63"/>
      <c r="AI50" s="63"/>
      <c r="AJ50" s="63"/>
      <c r="AK50" s="63"/>
    </row>
    <row r="51" spans="1:37">
      <c r="A51" s="61">
        <v>51</v>
      </c>
      <c r="B51" s="150">
        <f t="shared" si="6"/>
        <v>4</v>
      </c>
      <c r="C51" s="61">
        <f t="shared" si="3"/>
        <v>47</v>
      </c>
      <c r="D51" s="63">
        <v>7016</v>
      </c>
      <c r="E51" s="64" t="str">
        <f>IFERROR(VLOOKUP(Table3[[#This Row],[Player No]],Table11[#All],2,0),"")</f>
        <v xml:space="preserve">STALLENBERG Eugene </v>
      </c>
      <c r="F51" s="65" t="str">
        <f>IFERROR(VLOOKUP(Table3[[#This Row],[Player No]],Table11[#All],3,0),"")</f>
        <v>NMB</v>
      </c>
      <c r="G51" s="86">
        <v>68.28125</v>
      </c>
      <c r="H51" s="809">
        <f>(Table3[[#This Row],[Points 2025]]/2)+SUM(Table3[[#This Row],[O1  ADMIN 2026]:[P2      CAPE TOWN OPEN 2026 ]])</f>
        <v>34.140625</v>
      </c>
      <c r="I51" s="61">
        <f t="shared" si="1"/>
        <v>0</v>
      </c>
      <c r="J51" s="61">
        <f t="shared" si="2"/>
        <v>0</v>
      </c>
      <c r="K51" s="746" t="s">
        <v>6083</v>
      </c>
      <c r="L51" s="746" t="s">
        <v>6083</v>
      </c>
      <c r="M51" s="746" t="s">
        <v>6083</v>
      </c>
      <c r="N51" s="746"/>
      <c r="O51" s="61"/>
      <c r="P51" s="61"/>
      <c r="Q51" s="113"/>
      <c r="R51" s="113"/>
      <c r="S51" s="61"/>
      <c r="T51" s="113"/>
      <c r="U51" s="61"/>
      <c r="V51" s="746">
        <v>50</v>
      </c>
      <c r="W51" s="113">
        <v>5</v>
      </c>
      <c r="X51" s="61"/>
      <c r="Y51" s="61"/>
      <c r="Z51" s="113"/>
      <c r="AA51" s="61"/>
      <c r="AB51" s="61"/>
      <c r="AC51" s="61"/>
      <c r="AD51" s="61"/>
      <c r="AE51" s="61"/>
      <c r="AF51" s="61"/>
      <c r="AG51" s="61">
        <v>5</v>
      </c>
      <c r="AH51" s="61"/>
      <c r="AI51" s="61"/>
      <c r="AJ51" s="61"/>
      <c r="AK51" s="61"/>
    </row>
    <row r="52" spans="1:37">
      <c r="A52" s="61">
        <v>38</v>
      </c>
      <c r="B52" s="150"/>
      <c r="C52" s="61">
        <f t="shared" si="3"/>
        <v>48</v>
      </c>
      <c r="D52" s="63">
        <v>7609</v>
      </c>
      <c r="E52" s="64" t="str">
        <f>IFERROR(VLOOKUP(Table3[[#This Row],[Player No]],Table11[#All],2,0),"")</f>
        <v>HARRIS Tazmin</v>
      </c>
      <c r="F52" s="65" t="str">
        <f>IFERROR(VLOOKUP(Table3[[#This Row],[Player No]],Table11[#All],3,0),"")</f>
        <v>CT</v>
      </c>
      <c r="G52" s="86">
        <v>67.125</v>
      </c>
      <c r="H52" s="809">
        <f>(Table3[[#This Row],[Points 2025]]/2)+SUM(Table3[[#This Row],[O1  ADMIN 2026]:[P2      CAPE TOWN OPEN 2026 ]])</f>
        <v>33.5625</v>
      </c>
      <c r="I52" s="61">
        <f t="shared" si="1"/>
        <v>0</v>
      </c>
      <c r="J52" s="61">
        <f t="shared" si="2"/>
        <v>0</v>
      </c>
      <c r="K52" s="746" t="s">
        <v>6083</v>
      </c>
      <c r="L52" s="746" t="s">
        <v>6083</v>
      </c>
      <c r="M52" s="746" t="s">
        <v>6083</v>
      </c>
      <c r="N52" s="746"/>
      <c r="O52" s="61"/>
      <c r="P52" s="61"/>
      <c r="Q52" s="113"/>
      <c r="R52" s="113"/>
      <c r="S52" s="61"/>
      <c r="T52" s="113"/>
      <c r="U52" s="61"/>
      <c r="V52" s="746"/>
      <c r="W52" s="113">
        <v>5</v>
      </c>
      <c r="X52" s="61"/>
      <c r="Y52" s="61"/>
      <c r="Z52" s="113"/>
      <c r="AA52" s="61"/>
      <c r="AB52" s="61">
        <v>25</v>
      </c>
      <c r="AC52" s="61"/>
      <c r="AD52" s="61"/>
      <c r="AE52" s="61">
        <v>15</v>
      </c>
      <c r="AF52" s="61"/>
      <c r="AG52" s="61">
        <v>25</v>
      </c>
      <c r="AH52" s="61"/>
      <c r="AI52" s="61"/>
      <c r="AJ52" s="61"/>
      <c r="AK52" s="61"/>
    </row>
    <row r="53" spans="1:37">
      <c r="A53" s="61">
        <v>78</v>
      </c>
      <c r="B53" s="150">
        <f t="shared" ref="B53:B59" si="7">+A53-C53</f>
        <v>29</v>
      </c>
      <c r="C53" s="61">
        <f t="shared" si="3"/>
        <v>49</v>
      </c>
      <c r="D53" s="63">
        <v>7327</v>
      </c>
      <c r="E53" s="64" t="str">
        <f>IFERROR(VLOOKUP(Table3[[#This Row],[Player No]],Table11[#All],2,0),"")</f>
        <v xml:space="preserve">NYSSCHENS Chervon </v>
      </c>
      <c r="F53" s="65" t="str">
        <f>IFERROR(VLOOKUP(Table3[[#This Row],[Player No]],Table11[#All],3,0),"")</f>
        <v>NMB</v>
      </c>
      <c r="G53" s="86">
        <v>63.25</v>
      </c>
      <c r="H53" s="809">
        <f>(Table3[[#This Row],[Points 2025]]/2)+SUM(Table3[[#This Row],[O1  ADMIN 2026]:[P2      CAPE TOWN OPEN 2026 ]])</f>
        <v>31.625</v>
      </c>
      <c r="I53" s="61">
        <f t="shared" si="1"/>
        <v>0</v>
      </c>
      <c r="J53" s="61">
        <f t="shared" si="2"/>
        <v>0</v>
      </c>
      <c r="K53" s="746" t="s">
        <v>6083</v>
      </c>
      <c r="L53" s="746" t="s">
        <v>6083</v>
      </c>
      <c r="M53" s="746" t="s">
        <v>6083</v>
      </c>
      <c r="N53" s="746"/>
      <c r="O53" s="61"/>
      <c r="P53" s="61"/>
      <c r="Q53" s="113"/>
      <c r="R53" s="113"/>
      <c r="S53" s="61"/>
      <c r="T53" s="113"/>
      <c r="U53" s="61"/>
      <c r="V53" s="746">
        <v>50</v>
      </c>
      <c r="W53" s="113">
        <v>5</v>
      </c>
      <c r="X53" s="61"/>
      <c r="Y53" s="61"/>
      <c r="Z53" s="113"/>
      <c r="AA53" s="61"/>
      <c r="AB53" s="61"/>
      <c r="AC53" s="61"/>
      <c r="AD53" s="61"/>
      <c r="AE53" s="61"/>
      <c r="AF53" s="61"/>
      <c r="AG53" s="61">
        <v>5</v>
      </c>
      <c r="AH53" s="61"/>
      <c r="AI53" s="61"/>
      <c r="AJ53" s="61"/>
      <c r="AK53" s="61"/>
    </row>
    <row r="54" spans="1:37">
      <c r="A54" s="61"/>
      <c r="B54" s="150">
        <f t="shared" si="7"/>
        <v>-50</v>
      </c>
      <c r="C54" s="61">
        <f t="shared" si="3"/>
        <v>50</v>
      </c>
      <c r="D54" s="63">
        <v>8104</v>
      </c>
      <c r="E54" s="64" t="str">
        <f>IFERROR(VLOOKUP(Table3[[#This Row],[Player No]],Table11[#All],2,0),"")</f>
        <v>BATYO Yonela</v>
      </c>
      <c r="F54" s="65" t="str">
        <f>IFERROR(VLOOKUP(Table3[[#This Row],[Player No]],Table11[#All],3,0),"")</f>
        <v>ETK</v>
      </c>
      <c r="G54" s="86">
        <v>30</v>
      </c>
      <c r="H54" s="809">
        <f>(Table3[[#This Row],[Points 2025]]/2)+SUM(Table3[[#This Row],[O1  ADMIN 2026]:[P2      CAPE TOWN OPEN 2026 ]])</f>
        <v>31</v>
      </c>
      <c r="I54" s="61">
        <f t="shared" si="1"/>
        <v>2</v>
      </c>
      <c r="J54" s="61">
        <f t="shared" si="2"/>
        <v>0</v>
      </c>
      <c r="K54" s="746" t="s">
        <v>6083</v>
      </c>
      <c r="L54" s="746">
        <v>15</v>
      </c>
      <c r="M54" s="746">
        <v>1</v>
      </c>
      <c r="N54" s="746"/>
      <c r="O54" s="61">
        <v>15</v>
      </c>
      <c r="P54" s="61">
        <v>15</v>
      </c>
      <c r="Q54" s="113"/>
      <c r="R54" s="113"/>
      <c r="S54" s="61"/>
      <c r="T54" s="113"/>
      <c r="U54" s="61"/>
      <c r="V54" s="746"/>
      <c r="W54" s="113"/>
      <c r="X54" s="61"/>
      <c r="Y54" s="61"/>
      <c r="Z54" s="113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</row>
    <row r="55" spans="1:37">
      <c r="A55" s="61"/>
      <c r="B55" s="150">
        <f t="shared" si="7"/>
        <v>-51</v>
      </c>
      <c r="C55" s="61">
        <f t="shared" si="3"/>
        <v>51</v>
      </c>
      <c r="D55" s="67">
        <v>8512</v>
      </c>
      <c r="E55" s="64" t="str">
        <f>IFERROR(VLOOKUP(Table3[[#This Row],[Player No]],Table11[#All],2,0),"")</f>
        <v xml:space="preserve">NTLALI Zizipho </v>
      </c>
      <c r="F55" s="65" t="str">
        <f>IFERROR(VLOOKUP(Table3[[#This Row],[Player No]],Table11[#All],3,0),"")</f>
        <v>CT</v>
      </c>
      <c r="G55" s="86">
        <v>57.5</v>
      </c>
      <c r="H55" s="809">
        <f>(Table3[[#This Row],[Points 2025]]/2)+SUM(Table3[[#This Row],[O1  ADMIN 2026]:[P2      CAPE TOWN OPEN 2026 ]])</f>
        <v>28.75</v>
      </c>
      <c r="I55" s="61">
        <f t="shared" si="1"/>
        <v>0</v>
      </c>
      <c r="J55" s="61">
        <f t="shared" si="2"/>
        <v>0</v>
      </c>
      <c r="K55" s="746" t="s">
        <v>6083</v>
      </c>
      <c r="L55" s="746" t="s">
        <v>6083</v>
      </c>
      <c r="M55" s="746" t="s">
        <v>6083</v>
      </c>
      <c r="N55" s="746"/>
      <c r="O55" s="61"/>
      <c r="P55" s="61"/>
      <c r="Q55" s="113"/>
      <c r="R55" s="113"/>
      <c r="S55" s="61"/>
      <c r="T55" s="113"/>
      <c r="U55" s="61"/>
      <c r="V55" s="746"/>
      <c r="W55" s="113"/>
      <c r="X55" s="61"/>
      <c r="Y55" s="61"/>
      <c r="Z55" s="113"/>
      <c r="AA55" s="61"/>
      <c r="AB55" s="61">
        <v>50</v>
      </c>
      <c r="AC55" s="61"/>
      <c r="AD55" s="61"/>
      <c r="AE55" s="61">
        <v>15</v>
      </c>
      <c r="AF55" s="61"/>
      <c r="AG55" s="61"/>
      <c r="AH55" s="61"/>
      <c r="AI55" s="61"/>
      <c r="AJ55" s="61"/>
      <c r="AK55" s="61"/>
    </row>
    <row r="56" spans="1:37">
      <c r="A56" s="61"/>
      <c r="B56" s="150">
        <f t="shared" si="7"/>
        <v>-52</v>
      </c>
      <c r="C56" s="61">
        <f t="shared" si="3"/>
        <v>52</v>
      </c>
      <c r="D56" s="63">
        <v>8176</v>
      </c>
      <c r="E56" s="64" t="str">
        <f>IFERROR(VLOOKUP(Table3[[#This Row],[Player No]],Table11[#All],2,0),"")</f>
        <v>Phoofolo Refilwe</v>
      </c>
      <c r="F56" s="65" t="str">
        <f>IFERROR(VLOOKUP(Table3[[#This Row],[Player No]],Table11[#All],3,0),"")</f>
        <v>FS</v>
      </c>
      <c r="G56" s="86">
        <v>27.5</v>
      </c>
      <c r="H56" s="809">
        <f>(Table3[[#This Row],[Points 2025]]/2)+SUM(Table3[[#This Row],[O1  ADMIN 2026]:[P2      CAPE TOWN OPEN 2026 ]])</f>
        <v>28.75</v>
      </c>
      <c r="I56" s="61">
        <f t="shared" si="1"/>
        <v>1</v>
      </c>
      <c r="J56" s="61">
        <f t="shared" si="2"/>
        <v>0</v>
      </c>
      <c r="K56" s="746">
        <v>15</v>
      </c>
      <c r="L56" s="746" t="s">
        <v>6083</v>
      </c>
      <c r="M56" s="746" t="s">
        <v>6083</v>
      </c>
      <c r="N56" s="746"/>
      <c r="O56" s="61"/>
      <c r="P56" s="61"/>
      <c r="Q56" s="113"/>
      <c r="R56" s="113"/>
      <c r="S56" s="61"/>
      <c r="T56" s="113">
        <v>15</v>
      </c>
      <c r="U56" s="61">
        <v>12.5</v>
      </c>
      <c r="V56" s="746"/>
      <c r="W56" s="113"/>
      <c r="X56" s="61"/>
      <c r="Y56" s="61"/>
      <c r="Z56" s="113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</row>
    <row r="57" spans="1:37">
      <c r="A57" s="61">
        <v>166</v>
      </c>
      <c r="B57" s="150">
        <f t="shared" si="7"/>
        <v>113</v>
      </c>
      <c r="C57" s="61">
        <f t="shared" si="3"/>
        <v>53</v>
      </c>
      <c r="D57" s="63">
        <v>7789</v>
      </c>
      <c r="E57" s="64" t="str">
        <f>IFERROR(VLOOKUP(Table3[[#This Row],[Player No]],Table11[#All],2,0),"")</f>
        <v>SALIE Tamara</v>
      </c>
      <c r="F57" s="65" t="str">
        <f>IFERROR(VLOOKUP(Table3[[#This Row],[Player No]],Table11[#All],3,0),"")</f>
        <v>GN</v>
      </c>
      <c r="G57" s="86">
        <v>24.5</v>
      </c>
      <c r="H57" s="809">
        <f>(Table3[[#This Row],[Points 2025]]/2)+SUM(Table3[[#This Row],[O1  ADMIN 2026]:[P2      CAPE TOWN OPEN 2026 ]])</f>
        <v>27.25</v>
      </c>
      <c r="I57" s="61">
        <f t="shared" si="1"/>
        <v>1</v>
      </c>
      <c r="J57" s="61">
        <f t="shared" si="2"/>
        <v>0</v>
      </c>
      <c r="K57" s="746">
        <v>15</v>
      </c>
      <c r="L57" s="746" t="s">
        <v>6083</v>
      </c>
      <c r="M57" s="746" t="s">
        <v>6083</v>
      </c>
      <c r="N57" s="746"/>
      <c r="O57" s="61"/>
      <c r="P57" s="61"/>
      <c r="Q57" s="113"/>
      <c r="R57" s="113"/>
      <c r="S57" s="61"/>
      <c r="T57" s="113"/>
      <c r="U57" s="61"/>
      <c r="V57" s="746"/>
      <c r="W57" s="113">
        <v>5</v>
      </c>
      <c r="X57" s="61"/>
      <c r="Y57" s="61"/>
      <c r="Z57" s="113">
        <v>12</v>
      </c>
      <c r="AA57" s="61">
        <v>1</v>
      </c>
      <c r="AB57" s="61"/>
      <c r="AC57" s="61"/>
      <c r="AD57" s="61"/>
      <c r="AE57" s="61"/>
      <c r="AF57" s="61"/>
      <c r="AG57" s="61">
        <v>10</v>
      </c>
      <c r="AH57" s="61"/>
      <c r="AI57" s="61">
        <v>2</v>
      </c>
      <c r="AJ57" s="61"/>
      <c r="AK57" s="61">
        <v>1</v>
      </c>
    </row>
    <row r="58" spans="1:37">
      <c r="A58" s="61">
        <v>34</v>
      </c>
      <c r="B58" s="150">
        <f t="shared" si="7"/>
        <v>-20</v>
      </c>
      <c r="C58" s="61">
        <f t="shared" si="3"/>
        <v>54</v>
      </c>
      <c r="D58" s="63">
        <v>7197</v>
      </c>
      <c r="E58" s="64" t="str">
        <f>IFERROR(VLOOKUP(Table3[[#This Row],[Player No]],Table11[#All],2,0),"")</f>
        <v xml:space="preserve">KUSE Anande </v>
      </c>
      <c r="F58" s="65" t="str">
        <f>IFERROR(VLOOKUP(Table3[[#This Row],[Player No]],Table11[#All],3,0),"")</f>
        <v>CT</v>
      </c>
      <c r="G58" s="86">
        <v>54.140625</v>
      </c>
      <c r="H58" s="809">
        <f>(Table3[[#This Row],[Points 2025]]/2)+SUM(Table3[[#This Row],[O1  ADMIN 2026]:[P2      CAPE TOWN OPEN 2026 ]])</f>
        <v>27.0703125</v>
      </c>
      <c r="I58" s="61">
        <f t="shared" si="1"/>
        <v>0</v>
      </c>
      <c r="J58" s="61">
        <f t="shared" si="2"/>
        <v>0</v>
      </c>
      <c r="K58" s="746" t="s">
        <v>6083</v>
      </c>
      <c r="L58" s="746" t="s">
        <v>6083</v>
      </c>
      <c r="M58" s="746" t="s">
        <v>6083</v>
      </c>
      <c r="N58" s="746"/>
      <c r="O58" s="61"/>
      <c r="P58" s="61"/>
      <c r="Q58" s="113"/>
      <c r="R58" s="113"/>
      <c r="S58" s="61"/>
      <c r="T58" s="113"/>
      <c r="U58" s="61"/>
      <c r="V58" s="746"/>
      <c r="W58" s="113"/>
      <c r="X58" s="61"/>
      <c r="Y58" s="61"/>
      <c r="Z58" s="113"/>
      <c r="AA58" s="61"/>
      <c r="AB58" s="61">
        <v>25</v>
      </c>
      <c r="AC58" s="61"/>
      <c r="AD58" s="61"/>
      <c r="AE58" s="61">
        <v>15</v>
      </c>
      <c r="AF58" s="61"/>
      <c r="AG58" s="61"/>
      <c r="AH58" s="61"/>
      <c r="AI58" s="61"/>
      <c r="AJ58" s="61"/>
      <c r="AK58" s="61"/>
    </row>
    <row r="59" spans="1:37">
      <c r="A59" s="61"/>
      <c r="B59" s="150">
        <f t="shared" si="7"/>
        <v>-55</v>
      </c>
      <c r="C59" s="61">
        <f t="shared" si="3"/>
        <v>55</v>
      </c>
      <c r="D59" s="63">
        <v>8097</v>
      </c>
      <c r="E59" s="64" t="str">
        <f>IFERROR(VLOOKUP(Table3[[#This Row],[Player No]],Table11[#All],2,0),"")</f>
        <v>GOKAL Mahi</v>
      </c>
      <c r="F59" s="65" t="str">
        <f>IFERROR(VLOOKUP(Table3[[#This Row],[Player No]],Table11[#All],3,0),"")</f>
        <v>ETK</v>
      </c>
      <c r="G59" s="86">
        <v>30</v>
      </c>
      <c r="H59" s="809">
        <f>(Table3[[#This Row],[Points 2025]]/2)+SUM(Table3[[#This Row],[O1  ADMIN 2026]:[P2      CAPE TOWN OPEN 2026 ]])</f>
        <v>27</v>
      </c>
      <c r="I59" s="61">
        <f t="shared" si="1"/>
        <v>2</v>
      </c>
      <c r="J59" s="61">
        <f t="shared" si="2"/>
        <v>0</v>
      </c>
      <c r="K59" s="746" t="s">
        <v>6083</v>
      </c>
      <c r="L59" s="746">
        <v>10</v>
      </c>
      <c r="M59" s="746">
        <v>2</v>
      </c>
      <c r="N59" s="746"/>
      <c r="O59" s="61">
        <v>15</v>
      </c>
      <c r="P59" s="61">
        <v>2</v>
      </c>
      <c r="Q59" s="113">
        <v>2</v>
      </c>
      <c r="R59" s="113">
        <v>10</v>
      </c>
      <c r="S59" s="61">
        <v>1</v>
      </c>
      <c r="T59" s="113"/>
      <c r="U59" s="61"/>
      <c r="V59" s="746"/>
      <c r="W59" s="113"/>
      <c r="X59" s="61"/>
      <c r="Y59" s="61"/>
      <c r="Z59" s="113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</row>
    <row r="60" spans="1:37">
      <c r="A60" s="615"/>
      <c r="B60" s="684">
        <f xml:space="preserve"> +A60-C60</f>
        <v>-56</v>
      </c>
      <c r="C60" s="61">
        <f t="shared" si="3"/>
        <v>56</v>
      </c>
      <c r="D60" s="63">
        <v>8842</v>
      </c>
      <c r="E60" s="64" t="str">
        <f>IFERROR(VLOOKUP(Table3[[#This Row],[Player No]],Table11[#All],2,0),"")</f>
        <v>Carlynne KROUTZ</v>
      </c>
      <c r="F60" s="65" t="str">
        <f>IFERROR(VLOOKUP(Table3[[#This Row],[Player No]],Table11[#All],3,0),"")</f>
        <v>NMB</v>
      </c>
      <c r="G60" s="689">
        <v>50</v>
      </c>
      <c r="H60" s="811">
        <f>(Table3[[#This Row],[Points 2025]]/2)+SUM(Table3[[#This Row],[O1  ADMIN 2026]:[P2      CAPE TOWN OPEN 2026 ]])</f>
        <v>25</v>
      </c>
      <c r="I60" s="690">
        <f t="shared" si="1"/>
        <v>0</v>
      </c>
      <c r="J60" s="624">
        <f t="shared" si="2"/>
        <v>0</v>
      </c>
      <c r="K60" s="709" t="s">
        <v>6083</v>
      </c>
      <c r="L60" s="709" t="s">
        <v>6083</v>
      </c>
      <c r="M60" s="709" t="s">
        <v>6083</v>
      </c>
      <c r="N60" s="709"/>
      <c r="O60" s="615"/>
      <c r="P60" s="615"/>
      <c r="Q60" s="617"/>
      <c r="R60" s="617"/>
      <c r="S60" s="615"/>
      <c r="T60" s="617"/>
      <c r="U60" s="615"/>
      <c r="V60" s="750">
        <v>50</v>
      </c>
      <c r="W60" s="617">
        <v>0</v>
      </c>
      <c r="X60" s="615"/>
      <c r="Y60" s="615"/>
      <c r="Z60" s="617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</row>
    <row r="61" spans="1:37">
      <c r="A61" s="615"/>
      <c r="B61" s="684">
        <f xml:space="preserve"> +A61-C61</f>
        <v>-57</v>
      </c>
      <c r="C61" s="61">
        <f t="shared" si="3"/>
        <v>57</v>
      </c>
      <c r="D61" s="63">
        <v>8816</v>
      </c>
      <c r="E61" s="64" t="str">
        <f>IFERROR(VLOOKUP(Table3[[#This Row],[Player No]],Table11[#All],2,0),"")</f>
        <v>GOVINDER Saranon</v>
      </c>
      <c r="F61" s="65" t="str">
        <f>IFERROR(VLOOKUP(Table3[[#This Row],[Player No]],Table11[#All],3,0),"")</f>
        <v>NMB</v>
      </c>
      <c r="G61" s="689">
        <v>50</v>
      </c>
      <c r="H61" s="811">
        <f>(Table3[[#This Row],[Points 2025]]/2)+SUM(Table3[[#This Row],[O1  ADMIN 2026]:[P2      CAPE TOWN OPEN 2026 ]])</f>
        <v>25</v>
      </c>
      <c r="I61" s="690">
        <f t="shared" si="1"/>
        <v>0</v>
      </c>
      <c r="J61" s="624">
        <f t="shared" si="2"/>
        <v>0</v>
      </c>
      <c r="K61" s="709" t="s">
        <v>6083</v>
      </c>
      <c r="L61" s="709" t="s">
        <v>6083</v>
      </c>
      <c r="M61" s="709" t="s">
        <v>6083</v>
      </c>
      <c r="N61" s="709"/>
      <c r="O61" s="615"/>
      <c r="P61" s="615"/>
      <c r="Q61" s="617"/>
      <c r="R61" s="617"/>
      <c r="S61" s="615"/>
      <c r="T61" s="617"/>
      <c r="U61" s="615"/>
      <c r="V61" s="750">
        <v>50</v>
      </c>
      <c r="W61" s="617"/>
      <c r="X61" s="615"/>
      <c r="Y61" s="615"/>
      <c r="Z61" s="617"/>
      <c r="AA61" s="615"/>
      <c r="AB61" s="615"/>
      <c r="AC61" s="615"/>
      <c r="AD61" s="615"/>
      <c r="AE61" s="615"/>
      <c r="AF61" s="615"/>
      <c r="AG61" s="615"/>
      <c r="AH61" s="615"/>
      <c r="AI61" s="615"/>
      <c r="AJ61" s="615"/>
      <c r="AK61" s="615"/>
    </row>
    <row r="62" spans="1:37">
      <c r="A62" s="61"/>
      <c r="B62" s="425">
        <f xml:space="preserve"> +A62-C62</f>
        <v>-58</v>
      </c>
      <c r="C62" s="61">
        <f t="shared" si="3"/>
        <v>58</v>
      </c>
      <c r="D62" s="63">
        <v>7072</v>
      </c>
      <c r="E62" s="64" t="str">
        <f>IFERROR(VLOOKUP(Table3[[#This Row],[Player No]],Table11[#All],2,0),"")</f>
        <v xml:space="preserve">LYNERS Shireen </v>
      </c>
      <c r="F62" s="65" t="str">
        <f>IFERROR(VLOOKUP(Table3[[#This Row],[Player No]],Table11[#All],3,0),"")</f>
        <v>CT</v>
      </c>
      <c r="G62" s="86">
        <v>50</v>
      </c>
      <c r="H62" s="809">
        <f>(Table3[[#This Row],[Points 2025]]/2)+SUM(Table3[[#This Row],[O1  ADMIN 2026]:[P2      CAPE TOWN OPEN 2026 ]])</f>
        <v>25</v>
      </c>
      <c r="I62" s="90">
        <f t="shared" si="1"/>
        <v>0</v>
      </c>
      <c r="J62" s="63">
        <f t="shared" si="2"/>
        <v>0</v>
      </c>
      <c r="K62" s="708" t="s">
        <v>6083</v>
      </c>
      <c r="L62" s="708" t="s">
        <v>6083</v>
      </c>
      <c r="M62" s="708" t="s">
        <v>6083</v>
      </c>
      <c r="N62" s="708"/>
      <c r="O62" s="61"/>
      <c r="P62" s="61"/>
      <c r="Q62" s="113"/>
      <c r="R62" s="113"/>
      <c r="S62" s="61"/>
      <c r="T62" s="113"/>
      <c r="U62" s="61"/>
      <c r="V62" s="746"/>
      <c r="W62" s="113"/>
      <c r="X62" s="61"/>
      <c r="Y62" s="61"/>
      <c r="Z62" s="113"/>
      <c r="AA62" s="61"/>
      <c r="AB62" s="61">
        <v>50</v>
      </c>
      <c r="AC62" s="61"/>
      <c r="AD62" s="61"/>
      <c r="AE62" s="61"/>
      <c r="AF62" s="61"/>
      <c r="AG62" s="61"/>
      <c r="AH62" s="61"/>
      <c r="AI62" s="61"/>
      <c r="AJ62" s="61"/>
      <c r="AK62" s="61"/>
    </row>
    <row r="63" spans="1:37">
      <c r="A63" s="61"/>
      <c r="B63" s="150">
        <f t="shared" ref="B63:B79" si="8">+A63-C63</f>
        <v>-59</v>
      </c>
      <c r="C63" s="61">
        <f t="shared" si="3"/>
        <v>59</v>
      </c>
      <c r="D63" s="63">
        <v>8612</v>
      </c>
      <c r="E63" s="64" t="str">
        <f>IFERROR(VLOOKUP(Table3[[#This Row],[Player No]],Table11[#All],2,0),"")</f>
        <v xml:space="preserve">Nokubonga Mabaso (FS) </v>
      </c>
      <c r="F63" s="65" t="str">
        <f>IFERROR(VLOOKUP(Table3[[#This Row],[Player No]],Table11[#All],3,0),"")</f>
        <v>FS</v>
      </c>
      <c r="G63" s="86">
        <v>50</v>
      </c>
      <c r="H63" s="809">
        <f>(Table3[[#This Row],[Points 2025]]/2)+SUM(Table3[[#This Row],[O1  ADMIN 2026]:[P2      CAPE TOWN OPEN 2026 ]])</f>
        <v>25</v>
      </c>
      <c r="I63" s="61">
        <f t="shared" si="1"/>
        <v>0</v>
      </c>
      <c r="J63" s="61">
        <f t="shared" si="2"/>
        <v>0</v>
      </c>
      <c r="K63" s="746" t="s">
        <v>6083</v>
      </c>
      <c r="L63" s="746" t="s">
        <v>6083</v>
      </c>
      <c r="M63" s="746" t="s">
        <v>6083</v>
      </c>
      <c r="N63" s="746"/>
      <c r="O63" s="61"/>
      <c r="P63" s="61"/>
      <c r="Q63" s="113"/>
      <c r="R63" s="113"/>
      <c r="S63" s="61"/>
      <c r="T63" s="113"/>
      <c r="U63" s="61">
        <v>25</v>
      </c>
      <c r="V63" s="746"/>
      <c r="W63" s="113">
        <v>25</v>
      </c>
      <c r="X63" s="61"/>
      <c r="Y63" s="61"/>
      <c r="Z63" s="113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</row>
    <row r="64" spans="1:37">
      <c r="A64" s="61">
        <v>62</v>
      </c>
      <c r="B64" s="150">
        <f t="shared" si="8"/>
        <v>2</v>
      </c>
      <c r="C64" s="61">
        <f t="shared" si="3"/>
        <v>60</v>
      </c>
      <c r="D64" s="63">
        <v>8346</v>
      </c>
      <c r="E64" s="64" t="str">
        <f>IFERROR(VLOOKUP(Table3[[#This Row],[Player No]],Table11[#All],2,0),"")</f>
        <v>RAMPHAL Rashmika</v>
      </c>
      <c r="F64" s="65" t="str">
        <f>IFERROR(VLOOKUP(Table3[[#This Row],[Player No]],Table11[#All],3,0),"")</f>
        <v>JTTA</v>
      </c>
      <c r="G64" s="86">
        <v>47.5</v>
      </c>
      <c r="H64" s="809">
        <f>(Table3[[#This Row],[Points 2025]]/2)+SUM(Table3[[#This Row],[O1  ADMIN 2026]:[P2      CAPE TOWN OPEN 2026 ]])</f>
        <v>23.75</v>
      </c>
      <c r="I64" s="61">
        <f t="shared" si="1"/>
        <v>0</v>
      </c>
      <c r="J64" s="61">
        <f t="shared" si="2"/>
        <v>0</v>
      </c>
      <c r="K64" s="746" t="s">
        <v>6083</v>
      </c>
      <c r="L64" s="746" t="s">
        <v>6083</v>
      </c>
      <c r="M64" s="746" t="s">
        <v>6083</v>
      </c>
      <c r="N64" s="746"/>
      <c r="O64" s="61"/>
      <c r="P64" s="61"/>
      <c r="Q64" s="113"/>
      <c r="R64" s="113"/>
      <c r="S64" s="61"/>
      <c r="T64" s="113"/>
      <c r="U64" s="61"/>
      <c r="V64" s="746"/>
      <c r="W64" s="113">
        <v>10</v>
      </c>
      <c r="X64" s="61">
        <v>25</v>
      </c>
      <c r="Y64" s="61"/>
      <c r="Z64" s="113">
        <v>1</v>
      </c>
      <c r="AA64" s="61"/>
      <c r="AB64" s="61"/>
      <c r="AC64" s="61"/>
      <c r="AD64" s="61"/>
      <c r="AE64" s="61"/>
      <c r="AF64" s="61"/>
      <c r="AG64" s="61">
        <v>5</v>
      </c>
      <c r="AH64" s="61">
        <v>1</v>
      </c>
      <c r="AI64" s="61">
        <v>2</v>
      </c>
      <c r="AJ64" s="61"/>
      <c r="AK64" s="61">
        <v>15</v>
      </c>
    </row>
    <row r="65" spans="1:37">
      <c r="A65" s="61">
        <v>28</v>
      </c>
      <c r="B65" s="150">
        <f t="shared" si="8"/>
        <v>-33</v>
      </c>
      <c r="C65" s="61">
        <f t="shared" si="3"/>
        <v>61</v>
      </c>
      <c r="D65" s="63">
        <v>8179</v>
      </c>
      <c r="E65" s="64" t="str">
        <f>IFERROR(VLOOKUP(Table3[[#This Row],[Player No]],Table11[#All],2,0),"")</f>
        <v>PILLAY Saihurie</v>
      </c>
      <c r="F65" s="65" t="str">
        <f>IFERROR(VLOOKUP(Table3[[#This Row],[Player No]],Table11[#All],3,0),"")</f>
        <v>UMG</v>
      </c>
      <c r="G65" s="86">
        <v>46.5</v>
      </c>
      <c r="H65" s="809">
        <f>(Table3[[#This Row],[Points 2025]]/2)+SUM(Table3[[#This Row],[O1  ADMIN 2026]:[P2      CAPE TOWN OPEN 2026 ]])</f>
        <v>23.25</v>
      </c>
      <c r="I65" s="61">
        <f t="shared" si="1"/>
        <v>0</v>
      </c>
      <c r="J65" s="61">
        <f t="shared" si="2"/>
        <v>0</v>
      </c>
      <c r="K65" s="746" t="s">
        <v>6083</v>
      </c>
      <c r="L65" s="746" t="s">
        <v>6083</v>
      </c>
      <c r="M65" s="746" t="s">
        <v>6083</v>
      </c>
      <c r="N65" s="746"/>
      <c r="O65" s="61">
        <v>1</v>
      </c>
      <c r="P65" s="61">
        <v>1</v>
      </c>
      <c r="Q65" s="113">
        <v>1</v>
      </c>
      <c r="R65" s="113">
        <v>15</v>
      </c>
      <c r="S65" s="61"/>
      <c r="T65" s="113"/>
      <c r="U65" s="61"/>
      <c r="V65" s="746"/>
      <c r="W65" s="113"/>
      <c r="X65" s="61"/>
      <c r="Y65" s="61"/>
      <c r="Z65" s="113"/>
      <c r="AA65" s="61"/>
      <c r="AB65" s="61"/>
      <c r="AC65" s="61">
        <v>50</v>
      </c>
      <c r="AD65" s="61">
        <v>1</v>
      </c>
      <c r="AE65" s="61"/>
      <c r="AF65" s="61"/>
      <c r="AG65" s="61">
        <v>5</v>
      </c>
      <c r="AH65" s="61"/>
      <c r="AI65" s="61"/>
      <c r="AJ65" s="61">
        <v>1</v>
      </c>
      <c r="AK65" s="61"/>
    </row>
    <row r="66" spans="1:37">
      <c r="A66" s="61"/>
      <c r="B66" s="150">
        <f t="shared" si="8"/>
        <v>-62</v>
      </c>
      <c r="C66" s="61">
        <f t="shared" si="3"/>
        <v>62</v>
      </c>
      <c r="D66" s="63">
        <v>8297</v>
      </c>
      <c r="E66" s="64" t="str">
        <f>IFERROR(VLOOKUP(Table3[[#This Row],[Player No]],Table11[#All],2,0),"")</f>
        <v>Mofokeng Topollo</v>
      </c>
      <c r="F66" s="65" t="str">
        <f>IFERROR(VLOOKUP(Table3[[#This Row],[Player No]],Table11[#All],3,0),"")</f>
        <v>ETK</v>
      </c>
      <c r="G66" s="86">
        <v>26</v>
      </c>
      <c r="H66" s="809">
        <f>(Table3[[#This Row],[Points 2025]]/2)+SUM(Table3[[#This Row],[O1  ADMIN 2026]:[P2      CAPE TOWN OPEN 2026 ]])</f>
        <v>23</v>
      </c>
      <c r="I66" s="61">
        <f t="shared" si="1"/>
        <v>1</v>
      </c>
      <c r="J66" s="61">
        <f t="shared" si="2"/>
        <v>0</v>
      </c>
      <c r="K66" s="746" t="s">
        <v>6083</v>
      </c>
      <c r="L66" s="746" t="s">
        <v>6083</v>
      </c>
      <c r="M66" s="746">
        <v>10</v>
      </c>
      <c r="N66" s="746"/>
      <c r="O66" s="61">
        <v>25</v>
      </c>
      <c r="P66" s="61">
        <v>1</v>
      </c>
      <c r="Q66" s="113"/>
      <c r="R66" s="113"/>
      <c r="S66" s="61"/>
      <c r="T66" s="113"/>
      <c r="U66" s="61"/>
      <c r="V66" s="746"/>
      <c r="W66" s="113"/>
      <c r="X66" s="61"/>
      <c r="Y66" s="61"/>
      <c r="Z66" s="113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</row>
    <row r="67" spans="1:37">
      <c r="A67" s="61"/>
      <c r="B67" s="150">
        <f t="shared" si="8"/>
        <v>-63</v>
      </c>
      <c r="C67" s="61">
        <f t="shared" si="3"/>
        <v>63</v>
      </c>
      <c r="D67" s="63">
        <v>8067</v>
      </c>
      <c r="E67" s="64" t="str">
        <f>IFERROR(VLOOKUP(Table3[[#This Row],[Player No]],Table11[#All],2,0),"")</f>
        <v>BHUNDOO Ashriya</v>
      </c>
      <c r="F67" s="65" t="str">
        <f>IFERROR(VLOOKUP(Table3[[#This Row],[Player No]],Table11[#All],3,0),"")</f>
        <v>UMG</v>
      </c>
      <c r="G67" s="86">
        <v>22</v>
      </c>
      <c r="H67" s="809">
        <f>(Table3[[#This Row],[Points 2025]]/2)+SUM(Table3[[#This Row],[O1  ADMIN 2026]:[P2      CAPE TOWN OPEN 2026 ]])</f>
        <v>23</v>
      </c>
      <c r="I67" s="61">
        <f t="shared" si="1"/>
        <v>2</v>
      </c>
      <c r="J67" s="61">
        <f t="shared" si="2"/>
        <v>0</v>
      </c>
      <c r="K67" s="746" t="s">
        <v>6083</v>
      </c>
      <c r="L67" s="746">
        <v>2</v>
      </c>
      <c r="M67" s="746">
        <v>10</v>
      </c>
      <c r="N67" s="746"/>
      <c r="O67" s="61">
        <v>1</v>
      </c>
      <c r="P67" s="61">
        <v>1</v>
      </c>
      <c r="Q67" s="113">
        <v>10</v>
      </c>
      <c r="R67" s="113"/>
      <c r="S67" s="61">
        <v>10</v>
      </c>
      <c r="T67" s="113"/>
      <c r="U67" s="61"/>
      <c r="V67" s="746"/>
      <c r="W67" s="113"/>
      <c r="X67" s="61"/>
      <c r="Y67" s="61"/>
      <c r="Z67" s="113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</row>
    <row r="68" spans="1:37">
      <c r="A68" s="61">
        <v>67</v>
      </c>
      <c r="B68" s="150">
        <f t="shared" si="8"/>
        <v>3</v>
      </c>
      <c r="C68" s="61">
        <f t="shared" si="3"/>
        <v>64</v>
      </c>
      <c r="D68" s="63">
        <v>7084</v>
      </c>
      <c r="E68" s="64" t="str">
        <f>IFERROR(VLOOKUP(Table3[[#This Row],[Player No]],Table11[#All],2,0),"")</f>
        <v xml:space="preserve">SHEIK-HOOSEN Salma </v>
      </c>
      <c r="F68" s="65" t="str">
        <f>IFERROR(VLOOKUP(Table3[[#This Row],[Player No]],Table11[#All],3,0),"")</f>
        <v>JTTA</v>
      </c>
      <c r="G68" s="86">
        <v>45.39453125</v>
      </c>
      <c r="H68" s="809">
        <f>(Table3[[#This Row],[Points 2025]]/2)+SUM(Table3[[#This Row],[O1  ADMIN 2026]:[P2      CAPE TOWN OPEN 2026 ]])</f>
        <v>22.697265625</v>
      </c>
      <c r="I68" s="61">
        <f t="shared" si="1"/>
        <v>0</v>
      </c>
      <c r="J68" s="61">
        <f t="shared" si="2"/>
        <v>0</v>
      </c>
      <c r="K68" s="746" t="s">
        <v>6083</v>
      </c>
      <c r="L68" s="746" t="s">
        <v>6083</v>
      </c>
      <c r="M68" s="746" t="s">
        <v>6083</v>
      </c>
      <c r="N68" s="746"/>
      <c r="O68" s="61">
        <v>1</v>
      </c>
      <c r="P68" s="61"/>
      <c r="Q68" s="113"/>
      <c r="R68" s="113"/>
      <c r="S68" s="61"/>
      <c r="T68" s="113"/>
      <c r="U68" s="61"/>
      <c r="V68" s="746"/>
      <c r="W68" s="113">
        <v>10</v>
      </c>
      <c r="X68" s="61"/>
      <c r="Y68" s="61">
        <v>15</v>
      </c>
      <c r="Z68" s="113"/>
      <c r="AA68" s="61"/>
      <c r="AB68" s="61"/>
      <c r="AC68" s="61"/>
      <c r="AD68" s="61"/>
      <c r="AE68" s="61"/>
      <c r="AF68" s="61"/>
      <c r="AG68" s="61">
        <v>25</v>
      </c>
      <c r="AH68" s="61"/>
      <c r="AI68" s="61"/>
      <c r="AJ68" s="61"/>
      <c r="AK68" s="61"/>
    </row>
    <row r="69" spans="1:37">
      <c r="A69" s="61">
        <v>80</v>
      </c>
      <c r="B69" s="150">
        <f t="shared" si="8"/>
        <v>15</v>
      </c>
      <c r="C69" s="61">
        <f t="shared" si="3"/>
        <v>65</v>
      </c>
      <c r="D69" s="63">
        <v>7276</v>
      </c>
      <c r="E69" s="64" t="str">
        <f>IFERROR(VLOOKUP(Table3[[#This Row],[Player No]],Table11[#All],2,0),"")</f>
        <v xml:space="preserve">BIGGAS Kaitlin </v>
      </c>
      <c r="F69" s="65" t="str">
        <f>IFERROR(VLOOKUP(Table3[[#This Row],[Player No]],Table11[#All],3,0),"")</f>
        <v>ETK</v>
      </c>
      <c r="G69" s="86">
        <v>45.375</v>
      </c>
      <c r="H69" s="809">
        <f>(Table3[[#This Row],[Points 2025]]/2)+SUM(Table3[[#This Row],[O1  ADMIN 2026]:[P2      CAPE TOWN OPEN 2026 ]])</f>
        <v>22.6875</v>
      </c>
      <c r="I69" s="61">
        <f t="shared" ref="I69:I132" si="9">COUNTIF(K69:N69,"&gt;0")</f>
        <v>0</v>
      </c>
      <c r="J69" s="61">
        <f t="shared" ref="J69:J132" si="10">COUNTIF(O69:AK69,"&lt;0")</f>
        <v>0</v>
      </c>
      <c r="K69" s="746" t="s">
        <v>6083</v>
      </c>
      <c r="L69" s="746" t="s">
        <v>6083</v>
      </c>
      <c r="M69" s="746" t="s">
        <v>6083</v>
      </c>
      <c r="N69" s="746"/>
      <c r="O69" s="63"/>
      <c r="P69" s="63"/>
      <c r="Q69" s="114"/>
      <c r="R69" s="114">
        <v>15</v>
      </c>
      <c r="S69" s="63"/>
      <c r="T69" s="114"/>
      <c r="U69" s="63"/>
      <c r="V69" s="708"/>
      <c r="W69" s="114">
        <v>25</v>
      </c>
      <c r="X69" s="63"/>
      <c r="Y69" s="63"/>
      <c r="Z69" s="114"/>
      <c r="AA69" s="63"/>
      <c r="AB69" s="63"/>
      <c r="AC69" s="63">
        <v>2</v>
      </c>
      <c r="AD69" s="63"/>
      <c r="AE69" s="63"/>
      <c r="AF69" s="63"/>
      <c r="AG69" s="63"/>
      <c r="AH69" s="63"/>
      <c r="AI69" s="63"/>
      <c r="AJ69" s="63"/>
      <c r="AK69" s="63"/>
    </row>
    <row r="70" spans="1:37">
      <c r="A70" s="61">
        <v>49</v>
      </c>
      <c r="B70" s="150">
        <f t="shared" si="8"/>
        <v>-17</v>
      </c>
      <c r="C70" s="61">
        <f t="shared" si="3"/>
        <v>66</v>
      </c>
      <c r="D70" s="63">
        <v>8306</v>
      </c>
      <c r="E70" s="64" t="str">
        <f>IFERROR(VLOOKUP(Table3[[#This Row],[Player No]],Table11[#All],2,0),"")</f>
        <v>SASSU Judit</v>
      </c>
      <c r="F70" s="65" t="str">
        <f>IFERROR(VLOOKUP(Table3[[#This Row],[Player No]],Table11[#All],3,0),"")</f>
        <v>JTTA</v>
      </c>
      <c r="G70" s="86">
        <v>41.75</v>
      </c>
      <c r="H70" s="809">
        <f>(Table3[[#This Row],[Points 2025]]/2)+SUM(Table3[[#This Row],[O1  ADMIN 2026]:[P2      CAPE TOWN OPEN 2026 ]])</f>
        <v>20.875</v>
      </c>
      <c r="I70" s="61">
        <f t="shared" si="9"/>
        <v>0</v>
      </c>
      <c r="J70" s="61">
        <f t="shared" si="10"/>
        <v>0</v>
      </c>
      <c r="K70" s="746" t="s">
        <v>6083</v>
      </c>
      <c r="L70" s="746" t="s">
        <v>6083</v>
      </c>
      <c r="M70" s="746" t="s">
        <v>6083</v>
      </c>
      <c r="N70" s="746"/>
      <c r="O70" s="61"/>
      <c r="P70" s="61"/>
      <c r="Q70" s="113"/>
      <c r="R70" s="113"/>
      <c r="S70" s="61"/>
      <c r="T70" s="113"/>
      <c r="U70" s="61"/>
      <c r="V70" s="746"/>
      <c r="W70" s="113"/>
      <c r="X70" s="61"/>
      <c r="Y70" s="61">
        <v>5</v>
      </c>
      <c r="Z70" s="113"/>
      <c r="AA70" s="61"/>
      <c r="AB70" s="61"/>
      <c r="AC70" s="61"/>
      <c r="AD70" s="61"/>
      <c r="AE70" s="61"/>
      <c r="AF70" s="61"/>
      <c r="AG70" s="61">
        <v>25</v>
      </c>
      <c r="AH70" s="61"/>
      <c r="AI70" s="61">
        <v>25</v>
      </c>
      <c r="AJ70" s="61">
        <v>1</v>
      </c>
      <c r="AK70" s="61">
        <v>15</v>
      </c>
    </row>
    <row r="71" spans="1:37">
      <c r="A71" s="61">
        <v>20</v>
      </c>
      <c r="B71" s="150">
        <f t="shared" si="8"/>
        <v>-47</v>
      </c>
      <c r="C71" s="61">
        <f t="shared" ref="C71:C134" si="11">C70+1</f>
        <v>67</v>
      </c>
      <c r="D71" s="63">
        <v>8233</v>
      </c>
      <c r="E71" s="64" t="str">
        <f>IFERROR(VLOOKUP(Table3[[#This Row],[Player No]],Table11[#All],2,0),"")</f>
        <v>PREMRAJH Nirala</v>
      </c>
      <c r="F71" s="65" t="str">
        <f>IFERROR(VLOOKUP(Table3[[#This Row],[Player No]],Table11[#All],3,0),"")</f>
        <v>ETK</v>
      </c>
      <c r="G71" s="86">
        <v>41</v>
      </c>
      <c r="H71" s="809">
        <f>(Table3[[#This Row],[Points 2025]]/2)+SUM(Table3[[#This Row],[O1  ADMIN 2026]:[P2      CAPE TOWN OPEN 2026 ]])</f>
        <v>20.5</v>
      </c>
      <c r="I71" s="61">
        <f t="shared" si="9"/>
        <v>0</v>
      </c>
      <c r="J71" s="61">
        <f t="shared" si="10"/>
        <v>0</v>
      </c>
      <c r="K71" s="746" t="s">
        <v>6083</v>
      </c>
      <c r="L71" s="746" t="s">
        <v>6083</v>
      </c>
      <c r="M71" s="746" t="s">
        <v>6083</v>
      </c>
      <c r="N71" s="746"/>
      <c r="O71" s="61"/>
      <c r="P71" s="61"/>
      <c r="Q71" s="113"/>
      <c r="R71" s="113">
        <v>1</v>
      </c>
      <c r="S71" s="61"/>
      <c r="T71" s="113"/>
      <c r="U71" s="61"/>
      <c r="V71" s="746"/>
      <c r="W71" s="113"/>
      <c r="X71" s="61"/>
      <c r="Y71" s="61"/>
      <c r="Z71" s="113"/>
      <c r="AA71" s="61"/>
      <c r="AB71" s="61"/>
      <c r="AC71" s="61">
        <v>75</v>
      </c>
      <c r="AD71" s="61"/>
      <c r="AE71" s="61"/>
      <c r="AF71" s="61"/>
      <c r="AG71" s="61"/>
      <c r="AH71" s="61"/>
      <c r="AI71" s="61"/>
      <c r="AJ71" s="61"/>
      <c r="AK71" s="61"/>
    </row>
    <row r="72" spans="1:37">
      <c r="A72" s="61">
        <v>85</v>
      </c>
      <c r="B72" s="150">
        <f t="shared" si="8"/>
        <v>17</v>
      </c>
      <c r="C72" s="61">
        <f t="shared" si="11"/>
        <v>68</v>
      </c>
      <c r="D72" s="63">
        <v>7709</v>
      </c>
      <c r="E72" s="64" t="str">
        <f>IFERROR(VLOOKUP(Table3[[#This Row],[Player No]],Table11[#All],2,0),"")</f>
        <v>MNYANDU Sthabile</v>
      </c>
      <c r="F72" s="65" t="str">
        <f>IFERROR(VLOOKUP(Table3[[#This Row],[Player No]],Table11[#All],3,0),"")</f>
        <v>ETK</v>
      </c>
      <c r="G72" s="86">
        <v>37</v>
      </c>
      <c r="H72" s="809">
        <f>(Table3[[#This Row],[Points 2025]]/2)+SUM(Table3[[#This Row],[O1  ADMIN 2026]:[P2      CAPE TOWN OPEN 2026 ]])</f>
        <v>20.5</v>
      </c>
      <c r="I72" s="61">
        <f t="shared" si="9"/>
        <v>2</v>
      </c>
      <c r="J72" s="61">
        <f t="shared" si="10"/>
        <v>0</v>
      </c>
      <c r="K72" s="746" t="s">
        <v>6083</v>
      </c>
      <c r="L72" s="746">
        <v>1</v>
      </c>
      <c r="M72" s="746">
        <v>1</v>
      </c>
      <c r="N72" s="746"/>
      <c r="O72" s="63">
        <v>1</v>
      </c>
      <c r="P72" s="63">
        <v>1</v>
      </c>
      <c r="Q72" s="114"/>
      <c r="R72" s="114">
        <v>15</v>
      </c>
      <c r="S72" s="63">
        <v>10</v>
      </c>
      <c r="T72" s="114"/>
      <c r="U72" s="63"/>
      <c r="V72" s="708"/>
      <c r="W72" s="114">
        <v>5</v>
      </c>
      <c r="X72" s="63"/>
      <c r="Y72" s="63"/>
      <c r="Z72" s="114">
        <v>1</v>
      </c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</row>
    <row r="73" spans="1:37">
      <c r="A73" s="61">
        <v>21</v>
      </c>
      <c r="B73" s="150">
        <f t="shared" si="8"/>
        <v>-48</v>
      </c>
      <c r="C73" s="61">
        <f t="shared" si="11"/>
        <v>69</v>
      </c>
      <c r="D73" s="63">
        <v>8048</v>
      </c>
      <c r="E73" s="64" t="str">
        <f>IFERROR(VLOOKUP(Table3[[#This Row],[Player No]],Table11[#All],2,0),"")</f>
        <v>LEKAY Marie</v>
      </c>
      <c r="F73" s="65" t="str">
        <f>IFERROR(VLOOKUP(Table3[[#This Row],[Player No]],Table11[#All],3,0),"")</f>
        <v>CT</v>
      </c>
      <c r="G73" s="86">
        <v>39.1875</v>
      </c>
      <c r="H73" s="809">
        <f>(Table3[[#This Row],[Points 2025]]/2)+SUM(Table3[[#This Row],[O1  ADMIN 2026]:[P2      CAPE TOWN OPEN 2026 ]])</f>
        <v>19.59375</v>
      </c>
      <c r="I73" s="61">
        <f t="shared" si="9"/>
        <v>0</v>
      </c>
      <c r="J73" s="61">
        <f t="shared" si="10"/>
        <v>0</v>
      </c>
      <c r="K73" s="746" t="s">
        <v>6083</v>
      </c>
      <c r="L73" s="746" t="s">
        <v>6083</v>
      </c>
      <c r="M73" s="746" t="s">
        <v>6083</v>
      </c>
      <c r="N73" s="746"/>
      <c r="O73" s="61"/>
      <c r="P73" s="61"/>
      <c r="Q73" s="113"/>
      <c r="R73" s="113"/>
      <c r="S73" s="61"/>
      <c r="T73" s="113"/>
      <c r="U73" s="61"/>
      <c r="V73" s="746"/>
      <c r="W73" s="113"/>
      <c r="X73" s="61"/>
      <c r="Y73" s="61"/>
      <c r="Z73" s="113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</row>
    <row r="74" spans="1:37">
      <c r="A74" s="61">
        <v>135</v>
      </c>
      <c r="B74" s="150">
        <f t="shared" si="8"/>
        <v>65</v>
      </c>
      <c r="C74" s="61">
        <f t="shared" si="11"/>
        <v>70</v>
      </c>
      <c r="D74" s="63">
        <v>8091</v>
      </c>
      <c r="E74" s="64" t="str">
        <f>IFERROR(VLOOKUP(Table3[[#This Row],[Player No]],Table11[#All],2,0),"")</f>
        <v>GOKAL Rakhee</v>
      </c>
      <c r="F74" s="65" t="str">
        <f>IFERROR(VLOOKUP(Table3[[#This Row],[Player No]],Table11[#All],3,0),"")</f>
        <v>ETK</v>
      </c>
      <c r="G74" s="86">
        <v>38.75</v>
      </c>
      <c r="H74" s="809">
        <f>(Table3[[#This Row],[Points 2025]]/2)+SUM(Table3[[#This Row],[O1  ADMIN 2026]:[P2      CAPE TOWN OPEN 2026 ]])</f>
        <v>19.375</v>
      </c>
      <c r="I74" s="61">
        <f t="shared" si="9"/>
        <v>0</v>
      </c>
      <c r="J74" s="61">
        <f t="shared" si="10"/>
        <v>0</v>
      </c>
      <c r="K74" s="746" t="s">
        <v>6083</v>
      </c>
      <c r="L74" s="746" t="s">
        <v>6083</v>
      </c>
      <c r="M74" s="746" t="s">
        <v>6083</v>
      </c>
      <c r="N74" s="746"/>
      <c r="O74" s="63">
        <v>1</v>
      </c>
      <c r="P74" s="63">
        <v>1</v>
      </c>
      <c r="Q74" s="114">
        <v>2</v>
      </c>
      <c r="R74" s="114">
        <v>15</v>
      </c>
      <c r="S74" s="63">
        <v>1</v>
      </c>
      <c r="T74" s="114"/>
      <c r="U74" s="63"/>
      <c r="V74" s="708"/>
      <c r="W74" s="114">
        <v>10</v>
      </c>
      <c r="X74" s="63"/>
      <c r="Y74" s="63"/>
      <c r="Z74" s="114"/>
      <c r="AA74" s="63"/>
      <c r="AB74" s="63"/>
      <c r="AC74" s="63">
        <v>2</v>
      </c>
      <c r="AD74" s="63"/>
      <c r="AE74" s="63">
        <v>15</v>
      </c>
      <c r="AF74" s="63"/>
      <c r="AG74" s="63"/>
      <c r="AH74" s="63"/>
      <c r="AI74" s="63"/>
      <c r="AJ74" s="63"/>
      <c r="AK74" s="63"/>
    </row>
    <row r="75" spans="1:37">
      <c r="A75" s="61">
        <v>43</v>
      </c>
      <c r="B75" s="150">
        <f t="shared" si="8"/>
        <v>-28</v>
      </c>
      <c r="C75" s="61">
        <f t="shared" si="11"/>
        <v>71</v>
      </c>
      <c r="D75" s="63">
        <v>7131</v>
      </c>
      <c r="E75" s="64" t="str">
        <f>IFERROR(VLOOKUP(Table3[[#This Row],[Player No]],Table11[#All],2,0),"")</f>
        <v xml:space="preserve">MAKAULA Azikile </v>
      </c>
      <c r="F75" s="65" t="str">
        <f>IFERROR(VLOOKUP(Table3[[#This Row],[Player No]],Table11[#All],3,0),"")</f>
        <v>EC</v>
      </c>
      <c r="G75" s="86">
        <v>38.75</v>
      </c>
      <c r="H75" s="809">
        <f>(Table3[[#This Row],[Points 2025]]/2)+SUM(Table3[[#This Row],[O1  ADMIN 2026]:[P2      CAPE TOWN OPEN 2026 ]])</f>
        <v>19.375</v>
      </c>
      <c r="I75" s="61">
        <f t="shared" si="9"/>
        <v>0</v>
      </c>
      <c r="J75" s="61">
        <f t="shared" si="10"/>
        <v>0</v>
      </c>
      <c r="K75" s="746" t="s">
        <v>6083</v>
      </c>
      <c r="L75" s="746" t="s">
        <v>6083</v>
      </c>
      <c r="M75" s="746" t="s">
        <v>6083</v>
      </c>
      <c r="N75" s="746"/>
      <c r="O75" s="61"/>
      <c r="P75" s="61"/>
      <c r="Q75" s="113"/>
      <c r="R75" s="113"/>
      <c r="S75" s="61"/>
      <c r="T75" s="113"/>
      <c r="U75" s="61"/>
      <c r="V75" s="746"/>
      <c r="W75" s="113"/>
      <c r="X75" s="61"/>
      <c r="Y75" s="61"/>
      <c r="Z75" s="113"/>
      <c r="AA75" s="61"/>
      <c r="AB75" s="61"/>
      <c r="AC75" s="61"/>
      <c r="AD75" s="61"/>
      <c r="AE75" s="61"/>
      <c r="AF75" s="61"/>
      <c r="AG75" s="61"/>
      <c r="AH75" s="61"/>
      <c r="AI75" s="61"/>
      <c r="AJ75" s="61">
        <v>15</v>
      </c>
      <c r="AK75" s="61"/>
    </row>
    <row r="76" spans="1:37">
      <c r="A76" s="61">
        <v>208</v>
      </c>
      <c r="B76" s="150">
        <f t="shared" si="8"/>
        <v>136</v>
      </c>
      <c r="C76" s="61">
        <f t="shared" si="11"/>
        <v>72</v>
      </c>
      <c r="D76" s="63">
        <v>8059</v>
      </c>
      <c r="E76" s="64" t="str">
        <f>IFERROR(VLOOKUP(Table3[[#This Row],[Player No]],Table11[#All],2,0),"")</f>
        <v>KGANEDI Thamia</v>
      </c>
      <c r="F76" s="65" t="str">
        <f>IFERROR(VLOOKUP(Table3[[#This Row],[Player No]],Table11[#All],3,0),"")</f>
        <v>NW</v>
      </c>
      <c r="G76" s="86">
        <v>37.75</v>
      </c>
      <c r="H76" s="809">
        <f>(Table3[[#This Row],[Points 2025]]/2)+SUM(Table3[[#This Row],[O1  ADMIN 2026]:[P2      CAPE TOWN OPEN 2026 ]])</f>
        <v>18.875</v>
      </c>
      <c r="I76" s="61">
        <f t="shared" si="9"/>
        <v>0</v>
      </c>
      <c r="J76" s="61">
        <f t="shared" si="10"/>
        <v>0</v>
      </c>
      <c r="K76" s="746" t="s">
        <v>6083</v>
      </c>
      <c r="L76" s="746" t="s">
        <v>6083</v>
      </c>
      <c r="M76" s="746" t="s">
        <v>6083</v>
      </c>
      <c r="N76" s="746"/>
      <c r="O76" s="61"/>
      <c r="P76" s="61"/>
      <c r="Q76" s="113"/>
      <c r="R76" s="113"/>
      <c r="S76" s="61"/>
      <c r="T76" s="113"/>
      <c r="U76" s="61"/>
      <c r="V76" s="746"/>
      <c r="W76" s="113">
        <v>25</v>
      </c>
      <c r="X76" s="61"/>
      <c r="Y76" s="61"/>
      <c r="Z76" s="113"/>
      <c r="AA76" s="61"/>
      <c r="AB76" s="61"/>
      <c r="AC76" s="61"/>
      <c r="AD76" s="61"/>
      <c r="AE76" s="61"/>
      <c r="AF76" s="61"/>
      <c r="AG76" s="61">
        <v>25</v>
      </c>
      <c r="AH76" s="61"/>
      <c r="AI76" s="61"/>
      <c r="AJ76" s="61"/>
      <c r="AK76" s="61"/>
    </row>
    <row r="77" spans="1:37">
      <c r="A77" s="61">
        <v>48</v>
      </c>
      <c r="B77" s="150">
        <f t="shared" si="8"/>
        <v>-25</v>
      </c>
      <c r="C77" s="61">
        <f t="shared" si="11"/>
        <v>73</v>
      </c>
      <c r="D77" s="63">
        <v>7002</v>
      </c>
      <c r="E77" s="64" t="str">
        <f>IFERROR(VLOOKUP(Table3[[#This Row],[Player No]],Table11[#All],2,0),"")</f>
        <v xml:space="preserve">MADLALA Khanyisile </v>
      </c>
      <c r="F77" s="65" t="str">
        <f>IFERROR(VLOOKUP(Table3[[#This Row],[Player No]],Table11[#All],3,0),"")</f>
        <v>EKU</v>
      </c>
      <c r="G77" s="86">
        <v>37.275390625</v>
      </c>
      <c r="H77" s="809">
        <f>(Table3[[#This Row],[Points 2025]]/2)+SUM(Table3[[#This Row],[O1  ADMIN 2026]:[P2      CAPE TOWN OPEN 2026 ]])</f>
        <v>18.6376953125</v>
      </c>
      <c r="I77" s="61">
        <f t="shared" si="9"/>
        <v>0</v>
      </c>
      <c r="J77" s="61">
        <f t="shared" si="10"/>
        <v>0</v>
      </c>
      <c r="K77" s="746" t="s">
        <v>6083</v>
      </c>
      <c r="L77" s="746" t="s">
        <v>6083</v>
      </c>
      <c r="M77" s="746" t="s">
        <v>6083</v>
      </c>
      <c r="N77" s="746"/>
      <c r="O77" s="61"/>
      <c r="P77" s="61"/>
      <c r="Q77" s="113"/>
      <c r="R77" s="113"/>
      <c r="S77" s="61"/>
      <c r="T77" s="113"/>
      <c r="U77" s="61"/>
      <c r="V77" s="746"/>
      <c r="W77" s="113">
        <v>25</v>
      </c>
      <c r="X77" s="61"/>
      <c r="Y77" s="61"/>
      <c r="Z77" s="113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</row>
    <row r="78" spans="1:37">
      <c r="A78" s="61">
        <v>33</v>
      </c>
      <c r="B78" s="150">
        <f t="shared" si="8"/>
        <v>-41</v>
      </c>
      <c r="C78" s="61">
        <f t="shared" si="11"/>
        <v>74</v>
      </c>
      <c r="D78" s="63">
        <v>7053</v>
      </c>
      <c r="E78" s="64" t="str">
        <f>IFERROR(VLOOKUP(Table3[[#This Row],[Player No]],Table11[#All],2,0),"")</f>
        <v xml:space="preserve">HENDRICKS Chloe </v>
      </c>
      <c r="F78" s="65" t="str">
        <f>IFERROR(VLOOKUP(Table3[[#This Row],[Player No]],Table11[#All],3,0),"")</f>
        <v>CT</v>
      </c>
      <c r="G78" s="86">
        <v>37.171875</v>
      </c>
      <c r="H78" s="809">
        <f>(Table3[[#This Row],[Points 2025]]/2)+SUM(Table3[[#This Row],[O1  ADMIN 2026]:[P2      CAPE TOWN OPEN 2026 ]])</f>
        <v>18.5859375</v>
      </c>
      <c r="I78" s="61">
        <f t="shared" si="9"/>
        <v>0</v>
      </c>
      <c r="J78" s="61">
        <f t="shared" si="10"/>
        <v>0</v>
      </c>
      <c r="K78" s="746" t="s">
        <v>6083</v>
      </c>
      <c r="L78" s="746" t="s">
        <v>6083</v>
      </c>
      <c r="M78" s="746" t="s">
        <v>6083</v>
      </c>
      <c r="N78" s="746"/>
      <c r="O78" s="61"/>
      <c r="P78" s="61"/>
      <c r="Q78" s="113"/>
      <c r="R78" s="113"/>
      <c r="S78" s="61"/>
      <c r="T78" s="113"/>
      <c r="U78" s="61"/>
      <c r="V78" s="746"/>
      <c r="W78" s="113"/>
      <c r="X78" s="61"/>
      <c r="Y78" s="61"/>
      <c r="Z78" s="113"/>
      <c r="AA78" s="61"/>
      <c r="AB78" s="61">
        <v>2</v>
      </c>
      <c r="AC78" s="61"/>
      <c r="AD78" s="61"/>
      <c r="AE78" s="61">
        <v>25</v>
      </c>
      <c r="AF78" s="61"/>
      <c r="AG78" s="61"/>
      <c r="AH78" s="61"/>
      <c r="AI78" s="61"/>
      <c r="AJ78" s="61"/>
      <c r="AK78" s="61"/>
    </row>
    <row r="79" spans="1:37">
      <c r="A79" s="61"/>
      <c r="B79" s="150">
        <f t="shared" si="8"/>
        <v>-75</v>
      </c>
      <c r="C79" s="61">
        <f t="shared" si="11"/>
        <v>75</v>
      </c>
      <c r="D79" s="63">
        <v>8614</v>
      </c>
      <c r="E79" s="64" t="str">
        <f>IFERROR(VLOOKUP(Table3[[#This Row],[Player No]],Table11[#All],2,0),"")</f>
        <v xml:space="preserve">R Molisenyane (FS) </v>
      </c>
      <c r="F79" s="65" t="str">
        <f>IFERROR(VLOOKUP(Table3[[#This Row],[Player No]],Table11[#All],3,0),"")</f>
        <v>FS</v>
      </c>
      <c r="G79" s="86">
        <v>36</v>
      </c>
      <c r="H79" s="809">
        <f>(Table3[[#This Row],[Points 2025]]/2)+SUM(Table3[[#This Row],[O1  ADMIN 2026]:[P2      CAPE TOWN OPEN 2026 ]])</f>
        <v>18</v>
      </c>
      <c r="I79" s="61">
        <f t="shared" si="9"/>
        <v>0</v>
      </c>
      <c r="J79" s="61">
        <f t="shared" si="10"/>
        <v>0</v>
      </c>
      <c r="K79" s="746" t="s">
        <v>6083</v>
      </c>
      <c r="L79" s="746" t="s">
        <v>6083</v>
      </c>
      <c r="M79" s="746" t="s">
        <v>6083</v>
      </c>
      <c r="N79" s="746"/>
      <c r="O79" s="61"/>
      <c r="P79" s="61"/>
      <c r="Q79" s="113"/>
      <c r="R79" s="113"/>
      <c r="S79" s="61"/>
      <c r="T79" s="113">
        <v>25</v>
      </c>
      <c r="U79" s="61">
        <v>1</v>
      </c>
      <c r="V79" s="746"/>
      <c r="W79" s="113">
        <v>10</v>
      </c>
      <c r="X79" s="61"/>
      <c r="Y79" s="61"/>
      <c r="Z79" s="113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</row>
    <row r="80" spans="1:37">
      <c r="A80" s="202"/>
      <c r="B80" s="312">
        <f xml:space="preserve"> +A80-C80</f>
        <v>-76</v>
      </c>
      <c r="C80" s="61">
        <f t="shared" si="11"/>
        <v>76</v>
      </c>
      <c r="D80" s="208">
        <v>8615</v>
      </c>
      <c r="E80" s="64" t="str">
        <f>IFERROR(VLOOKUP(Table3[[#This Row],[Player No]],Table11[#All],2,0),"")</f>
        <v>Mamokgethi DINTSO</v>
      </c>
      <c r="F80" s="65" t="str">
        <f>IFERROR(VLOOKUP(Table3[[#This Row],[Player No]],Table11[#All],3,0),"")</f>
        <v>EKU</v>
      </c>
      <c r="G80" s="311">
        <v>35</v>
      </c>
      <c r="H80" s="810">
        <f>(Table3[[#This Row],[Points 2025]]/2)+SUM(Table3[[#This Row],[O1  ADMIN 2026]:[P2      CAPE TOWN OPEN 2026 ]])</f>
        <v>17.5</v>
      </c>
      <c r="I80" s="279">
        <f t="shared" si="9"/>
        <v>0</v>
      </c>
      <c r="J80" s="208">
        <f t="shared" si="10"/>
        <v>0</v>
      </c>
      <c r="K80" s="710" t="s">
        <v>6083</v>
      </c>
      <c r="L80" s="710" t="s">
        <v>6083</v>
      </c>
      <c r="M80" s="710" t="s">
        <v>6083</v>
      </c>
      <c r="N80" s="710"/>
      <c r="O80" s="202"/>
      <c r="P80" s="202"/>
      <c r="Q80" s="289"/>
      <c r="R80" s="289"/>
      <c r="S80" s="202"/>
      <c r="T80" s="289"/>
      <c r="U80" s="202"/>
      <c r="V80" s="751"/>
      <c r="W80" s="289"/>
      <c r="X80" s="202">
        <v>35</v>
      </c>
      <c r="Y80" s="202"/>
      <c r="Z80" s="289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</row>
    <row r="81" spans="1:37">
      <c r="A81" s="61">
        <v>22</v>
      </c>
      <c r="B81" s="150">
        <f t="shared" ref="B81:B89" si="12">+A81-C81</f>
        <v>-55</v>
      </c>
      <c r="C81" s="61">
        <f t="shared" si="11"/>
        <v>77</v>
      </c>
      <c r="D81" s="63">
        <v>7051</v>
      </c>
      <c r="E81" s="64" t="str">
        <f>IFERROR(VLOOKUP(Table3[[#This Row],[Player No]],Table11[#All],2,0),"")</f>
        <v xml:space="preserve">MAKIVA Phumza </v>
      </c>
      <c r="F81" s="65" t="str">
        <f>IFERROR(VLOOKUP(Table3[[#This Row],[Player No]],Table11[#All],3,0),"")</f>
        <v>EC</v>
      </c>
      <c r="G81" s="86">
        <v>34.3359375</v>
      </c>
      <c r="H81" s="809">
        <f>(Table3[[#This Row],[Points 2025]]/2)+SUM(Table3[[#This Row],[O1  ADMIN 2026]:[P2      CAPE TOWN OPEN 2026 ]])</f>
        <v>17.16796875</v>
      </c>
      <c r="I81" s="61">
        <f t="shared" si="9"/>
        <v>0</v>
      </c>
      <c r="J81" s="61">
        <f t="shared" si="10"/>
        <v>0</v>
      </c>
      <c r="K81" s="746" t="s">
        <v>6083</v>
      </c>
      <c r="L81" s="746" t="s">
        <v>6083</v>
      </c>
      <c r="M81" s="746" t="s">
        <v>6083</v>
      </c>
      <c r="N81" s="746"/>
      <c r="O81" s="61"/>
      <c r="P81" s="61"/>
      <c r="Q81" s="113"/>
      <c r="R81" s="113"/>
      <c r="S81" s="61"/>
      <c r="T81" s="113"/>
      <c r="U81" s="61"/>
      <c r="V81" s="746"/>
      <c r="W81" s="113"/>
      <c r="X81" s="61"/>
      <c r="Y81" s="61"/>
      <c r="Z81" s="113"/>
      <c r="AA81" s="61"/>
      <c r="AB81" s="61"/>
      <c r="AC81" s="61"/>
      <c r="AD81" s="61"/>
      <c r="AE81" s="61"/>
      <c r="AF81" s="61"/>
      <c r="AG81" s="61"/>
      <c r="AH81" s="61"/>
      <c r="AI81" s="61"/>
      <c r="AJ81" s="61">
        <v>15</v>
      </c>
      <c r="AK81" s="61"/>
    </row>
    <row r="82" spans="1:37">
      <c r="A82" s="61">
        <v>24</v>
      </c>
      <c r="B82" s="150">
        <f t="shared" si="12"/>
        <v>-54</v>
      </c>
      <c r="C82" s="61">
        <f t="shared" si="11"/>
        <v>78</v>
      </c>
      <c r="D82" s="63">
        <v>8134</v>
      </c>
      <c r="E82" s="64" t="str">
        <f>IFERROR(VLOOKUP(Table3[[#This Row],[Player No]],Table11[#All],2,0),"")</f>
        <v>LE ROUX Madelize</v>
      </c>
      <c r="F82" s="65" t="str">
        <f>IFERROR(VLOOKUP(Table3[[#This Row],[Player No]],Table11[#All],3,0),"")</f>
        <v>GN</v>
      </c>
      <c r="G82" s="86">
        <v>34</v>
      </c>
      <c r="H82" s="809">
        <f>(Table3[[#This Row],[Points 2025]]/2)+SUM(Table3[[#This Row],[O1  ADMIN 2026]:[P2      CAPE TOWN OPEN 2026 ]])</f>
        <v>17</v>
      </c>
      <c r="I82" s="61">
        <f t="shared" si="9"/>
        <v>0</v>
      </c>
      <c r="J82" s="61">
        <f t="shared" si="10"/>
        <v>0</v>
      </c>
      <c r="K82" s="746" t="s">
        <v>6083</v>
      </c>
      <c r="L82" s="746" t="s">
        <v>6083</v>
      </c>
      <c r="M82" s="746" t="s">
        <v>6083</v>
      </c>
      <c r="N82" s="746"/>
      <c r="O82" s="63"/>
      <c r="P82" s="63"/>
      <c r="Q82" s="114"/>
      <c r="R82" s="114"/>
      <c r="S82" s="63"/>
      <c r="T82" s="114"/>
      <c r="U82" s="63"/>
      <c r="V82" s="708"/>
      <c r="W82" s="114"/>
      <c r="X82" s="63"/>
      <c r="Y82" s="63"/>
      <c r="Z82" s="114"/>
      <c r="AA82" s="63"/>
      <c r="AB82" s="63"/>
      <c r="AC82" s="63"/>
      <c r="AD82" s="63"/>
      <c r="AE82" s="63"/>
      <c r="AF82" s="63"/>
      <c r="AG82" s="63"/>
      <c r="AH82" s="63"/>
      <c r="AI82" s="63">
        <v>2</v>
      </c>
      <c r="AJ82" s="63">
        <v>1</v>
      </c>
      <c r="AK82" s="63">
        <v>25</v>
      </c>
    </row>
    <row r="83" spans="1:37">
      <c r="A83" s="61">
        <v>77</v>
      </c>
      <c r="B83" s="150">
        <f t="shared" si="12"/>
        <v>-2</v>
      </c>
      <c r="C83" s="61">
        <f t="shared" si="11"/>
        <v>79</v>
      </c>
      <c r="D83" s="63">
        <v>7729</v>
      </c>
      <c r="E83" s="64" t="str">
        <f>IFERROR(VLOOKUP(Table3[[#This Row],[Player No]],Table11[#All],2,0),"")</f>
        <v>MARTIN Stephany</v>
      </c>
      <c r="F83" s="65" t="str">
        <f>IFERROR(VLOOKUP(Table3[[#This Row],[Player No]],Table11[#All],3,0),"")</f>
        <v>CW</v>
      </c>
      <c r="G83" s="86">
        <v>31.25</v>
      </c>
      <c r="H83" s="809">
        <f>(Table3[[#This Row],[Points 2025]]/2)+SUM(Table3[[#This Row],[O1  ADMIN 2026]:[P2      CAPE TOWN OPEN 2026 ]])</f>
        <v>15.625</v>
      </c>
      <c r="I83" s="61">
        <f t="shared" si="9"/>
        <v>0</v>
      </c>
      <c r="J83" s="61">
        <f t="shared" si="10"/>
        <v>0</v>
      </c>
      <c r="K83" s="746" t="s">
        <v>6083</v>
      </c>
      <c r="L83" s="746" t="s">
        <v>6083</v>
      </c>
      <c r="M83" s="746" t="s">
        <v>6083</v>
      </c>
      <c r="N83" s="746"/>
      <c r="O83" s="61"/>
      <c r="P83" s="61"/>
      <c r="Q83" s="113"/>
      <c r="R83" s="113"/>
      <c r="S83" s="61"/>
      <c r="T83" s="113"/>
      <c r="U83" s="61"/>
      <c r="V83" s="746"/>
      <c r="W83" s="113"/>
      <c r="X83" s="61"/>
      <c r="Y83" s="61"/>
      <c r="Z83" s="113"/>
      <c r="AA83" s="61"/>
      <c r="AB83" s="61"/>
      <c r="AC83" s="61"/>
      <c r="AD83" s="61"/>
      <c r="AE83" s="61"/>
      <c r="AF83" s="61">
        <v>50</v>
      </c>
      <c r="AG83" s="61"/>
      <c r="AH83" s="61"/>
      <c r="AI83" s="61"/>
      <c r="AJ83" s="61"/>
      <c r="AK83" s="61"/>
    </row>
    <row r="84" spans="1:37">
      <c r="A84" s="61">
        <v>29</v>
      </c>
      <c r="B84" s="150">
        <f t="shared" si="12"/>
        <v>-51</v>
      </c>
      <c r="C84" s="61">
        <f t="shared" si="11"/>
        <v>80</v>
      </c>
      <c r="D84" s="63">
        <v>7495</v>
      </c>
      <c r="E84" s="64" t="str">
        <f>IFERROR(VLOOKUP(Table3[[#This Row],[Player No]],Table11[#All],2,0),"")</f>
        <v>NCITSHANA Zoliswa</v>
      </c>
      <c r="F84" s="65" t="str">
        <f>IFERROR(VLOOKUP(Table3[[#This Row],[Player No]],Table11[#All],3,0),"")</f>
        <v>EC</v>
      </c>
      <c r="G84" s="86">
        <v>30</v>
      </c>
      <c r="H84" s="809">
        <f>(Table3[[#This Row],[Points 2025]]/2)+SUM(Table3[[#This Row],[O1  ADMIN 2026]:[P2      CAPE TOWN OPEN 2026 ]])</f>
        <v>15</v>
      </c>
      <c r="I84" s="61">
        <f t="shared" si="9"/>
        <v>0</v>
      </c>
      <c r="J84" s="61">
        <f t="shared" si="10"/>
        <v>0</v>
      </c>
      <c r="K84" s="746" t="s">
        <v>6083</v>
      </c>
      <c r="L84" s="746" t="s">
        <v>6083</v>
      </c>
      <c r="M84" s="746" t="s">
        <v>6083</v>
      </c>
      <c r="N84" s="746"/>
      <c r="O84" s="61"/>
      <c r="P84" s="61"/>
      <c r="Q84" s="113"/>
      <c r="R84" s="113"/>
      <c r="S84" s="61"/>
      <c r="T84" s="113"/>
      <c r="U84" s="61"/>
      <c r="V84" s="746"/>
      <c r="W84" s="113">
        <v>5</v>
      </c>
      <c r="X84" s="61"/>
      <c r="Y84" s="61"/>
      <c r="Z84" s="113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</row>
    <row r="85" spans="1:37">
      <c r="A85" s="61">
        <v>47</v>
      </c>
      <c r="B85" s="150">
        <f t="shared" si="12"/>
        <v>-34</v>
      </c>
      <c r="C85" s="61">
        <f t="shared" si="11"/>
        <v>81</v>
      </c>
      <c r="D85" s="63">
        <v>7967</v>
      </c>
      <c r="E85" s="64" t="str">
        <f>IFERROR(VLOOKUP(Table3[[#This Row],[Player No]],Table11[#All],2,0),"")</f>
        <v>NAIDOO Purushu</v>
      </c>
      <c r="F85" s="65" t="str">
        <f>IFERROR(VLOOKUP(Table3[[#This Row],[Player No]],Table11[#All],3,0),"")</f>
        <v>GN</v>
      </c>
      <c r="G85" s="86">
        <v>30</v>
      </c>
      <c r="H85" s="809">
        <f>(Table3[[#This Row],[Points 2025]]/2)+SUM(Table3[[#This Row],[O1  ADMIN 2026]:[P2      CAPE TOWN OPEN 2026 ]])</f>
        <v>15</v>
      </c>
      <c r="I85" s="61">
        <f t="shared" si="9"/>
        <v>0</v>
      </c>
      <c r="J85" s="61">
        <f t="shared" si="10"/>
        <v>0</v>
      </c>
      <c r="K85" s="746" t="s">
        <v>6083</v>
      </c>
      <c r="L85" s="746" t="s">
        <v>6083</v>
      </c>
      <c r="M85" s="746" t="s">
        <v>6083</v>
      </c>
      <c r="N85" s="746"/>
      <c r="O85" s="61"/>
      <c r="P85" s="61"/>
      <c r="Q85" s="113"/>
      <c r="R85" s="113"/>
      <c r="S85" s="61"/>
      <c r="T85" s="113"/>
      <c r="U85" s="61"/>
      <c r="V85" s="746"/>
      <c r="W85" s="113"/>
      <c r="X85" s="61"/>
      <c r="Y85" s="61"/>
      <c r="Z85" s="113"/>
      <c r="AA85" s="61"/>
      <c r="AB85" s="61"/>
      <c r="AC85" s="61"/>
      <c r="AD85" s="61"/>
      <c r="AE85" s="61"/>
      <c r="AF85" s="61"/>
      <c r="AG85" s="61">
        <v>5</v>
      </c>
      <c r="AH85" s="61">
        <v>15</v>
      </c>
      <c r="AI85" s="61">
        <v>15</v>
      </c>
      <c r="AJ85" s="61">
        <v>25</v>
      </c>
      <c r="AK85" s="61"/>
    </row>
    <row r="86" spans="1:37">
      <c r="A86" s="61"/>
      <c r="B86" s="150">
        <f t="shared" si="12"/>
        <v>-82</v>
      </c>
      <c r="C86" s="61">
        <f t="shared" si="11"/>
        <v>82</v>
      </c>
      <c r="D86" s="63">
        <v>7090</v>
      </c>
      <c r="E86" s="64" t="str">
        <f>IFERROR(VLOOKUP(Table3[[#This Row],[Player No]],Table11[#All],2,0),"")</f>
        <v xml:space="preserve">DINTSHO Mamogethi </v>
      </c>
      <c r="F86" s="65" t="str">
        <f>IFERROR(VLOOKUP(Table3[[#This Row],[Player No]],Table11[#All],3,0),"")</f>
        <v>EKU</v>
      </c>
      <c r="G86" s="86">
        <v>27.5</v>
      </c>
      <c r="H86" s="809">
        <f>(Table3[[#This Row],[Points 2025]]/2)+SUM(Table3[[#This Row],[O1  ADMIN 2026]:[P2      CAPE TOWN OPEN 2026 ]])</f>
        <v>14.75</v>
      </c>
      <c r="I86" s="61">
        <f t="shared" si="9"/>
        <v>1</v>
      </c>
      <c r="J86" s="61">
        <f t="shared" si="10"/>
        <v>0</v>
      </c>
      <c r="K86" s="746">
        <v>1</v>
      </c>
      <c r="L86" s="746" t="s">
        <v>6083</v>
      </c>
      <c r="M86" s="746" t="s">
        <v>6083</v>
      </c>
      <c r="N86" s="746"/>
      <c r="O86" s="61"/>
      <c r="P86" s="61"/>
      <c r="Q86" s="113"/>
      <c r="R86" s="113"/>
      <c r="S86" s="61"/>
      <c r="T86" s="113"/>
      <c r="U86" s="61"/>
      <c r="V86" s="746"/>
      <c r="W86" s="113">
        <v>10</v>
      </c>
      <c r="X86" s="61"/>
      <c r="Y86" s="61">
        <v>15</v>
      </c>
      <c r="Z86" s="113"/>
      <c r="AA86" s="61"/>
      <c r="AB86" s="61"/>
      <c r="AC86" s="61"/>
      <c r="AD86" s="61"/>
      <c r="AE86" s="61"/>
      <c r="AF86" s="61"/>
      <c r="AG86" s="61">
        <v>5</v>
      </c>
      <c r="AH86" s="61"/>
      <c r="AI86" s="61"/>
      <c r="AJ86" s="61"/>
      <c r="AK86" s="61"/>
    </row>
    <row r="87" spans="1:37">
      <c r="A87" s="61">
        <v>53</v>
      </c>
      <c r="B87" s="150">
        <f t="shared" si="12"/>
        <v>-30</v>
      </c>
      <c r="C87" s="61">
        <f t="shared" si="11"/>
        <v>83</v>
      </c>
      <c r="D87" s="63">
        <v>7297</v>
      </c>
      <c r="E87" s="64" t="str">
        <f>IFERROR(VLOOKUP(Table3[[#This Row],[Player No]],Table11[#All],2,0),"")</f>
        <v xml:space="preserve">ISMAIL Taahira </v>
      </c>
      <c r="F87" s="65" t="str">
        <f>IFERROR(VLOOKUP(Table3[[#This Row],[Player No]],Table11[#All],3,0),"")</f>
        <v>Ilembe</v>
      </c>
      <c r="G87" s="86">
        <v>28.75</v>
      </c>
      <c r="H87" s="809">
        <f>(Table3[[#This Row],[Points 2025]]/2)+SUM(Table3[[#This Row],[O1  ADMIN 2026]:[P2      CAPE TOWN OPEN 2026 ]])</f>
        <v>14.375</v>
      </c>
      <c r="I87" s="61">
        <f t="shared" si="9"/>
        <v>0</v>
      </c>
      <c r="J87" s="61">
        <f t="shared" si="10"/>
        <v>0</v>
      </c>
      <c r="K87" s="746" t="s">
        <v>6083</v>
      </c>
      <c r="L87" s="746" t="s">
        <v>6083</v>
      </c>
      <c r="M87" s="746" t="s">
        <v>6083</v>
      </c>
      <c r="N87" s="746"/>
      <c r="O87" s="61">
        <v>15</v>
      </c>
      <c r="P87" s="61"/>
      <c r="Q87" s="113"/>
      <c r="R87" s="113"/>
      <c r="S87" s="61"/>
      <c r="T87" s="113"/>
      <c r="U87" s="61"/>
      <c r="V87" s="746"/>
      <c r="W87" s="113">
        <v>5</v>
      </c>
      <c r="X87" s="61"/>
      <c r="Y87" s="61"/>
      <c r="Z87" s="113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</row>
    <row r="88" spans="1:37">
      <c r="A88" s="61">
        <v>39</v>
      </c>
      <c r="B88" s="150">
        <f t="shared" si="12"/>
        <v>-45</v>
      </c>
      <c r="C88" s="61">
        <f t="shared" si="11"/>
        <v>84</v>
      </c>
      <c r="D88" s="63">
        <v>7011</v>
      </c>
      <c r="E88" s="64" t="str">
        <f>IFERROR(VLOOKUP(Table3[[#This Row],[Player No]],Table11[#All],2,0),"")</f>
        <v xml:space="preserve">RABATENNE Tshepiso </v>
      </c>
      <c r="F88" s="65" t="str">
        <f>IFERROR(VLOOKUP(Table3[[#This Row],[Player No]],Table11[#All],3,0),"")</f>
        <v>BOT</v>
      </c>
      <c r="G88" s="86">
        <v>28.583984375</v>
      </c>
      <c r="H88" s="809">
        <f>(Table3[[#This Row],[Points 2025]]/2)+SUM(Table3[[#This Row],[O1  ADMIN 2026]:[P2      CAPE TOWN OPEN 2026 ]])</f>
        <v>14.2919921875</v>
      </c>
      <c r="I88" s="61">
        <f t="shared" si="9"/>
        <v>0</v>
      </c>
      <c r="J88" s="61">
        <f t="shared" si="10"/>
        <v>0</v>
      </c>
      <c r="K88" s="746" t="s">
        <v>6083</v>
      </c>
      <c r="L88" s="746" t="s">
        <v>6083</v>
      </c>
      <c r="M88" s="746" t="s">
        <v>6083</v>
      </c>
      <c r="N88" s="746"/>
      <c r="O88" s="61"/>
      <c r="P88" s="61"/>
      <c r="Q88" s="113"/>
      <c r="R88" s="113"/>
      <c r="S88" s="61"/>
      <c r="T88" s="113"/>
      <c r="U88" s="61"/>
      <c r="V88" s="746"/>
      <c r="W88" s="113"/>
      <c r="X88" s="61"/>
      <c r="Y88" s="61"/>
      <c r="Z88" s="113"/>
      <c r="AA88" s="61"/>
      <c r="AB88" s="61"/>
      <c r="AC88" s="61"/>
      <c r="AD88" s="61"/>
      <c r="AE88" s="61"/>
      <c r="AF88" s="61"/>
      <c r="AG88" s="61">
        <v>25</v>
      </c>
      <c r="AH88" s="61"/>
      <c r="AI88" s="61"/>
      <c r="AJ88" s="61"/>
      <c r="AK88" s="61"/>
    </row>
    <row r="89" spans="1:37">
      <c r="A89" s="61">
        <v>91</v>
      </c>
      <c r="B89" s="150">
        <f t="shared" si="12"/>
        <v>6</v>
      </c>
      <c r="C89" s="61">
        <f t="shared" si="11"/>
        <v>85</v>
      </c>
      <c r="D89" s="63">
        <v>7006</v>
      </c>
      <c r="E89" s="64" t="str">
        <f>IFERROR(VLOOKUP(Table3[[#This Row],[Player No]],Table11[#All],2,0),"")</f>
        <v xml:space="preserve">GOBINDLALL Sarah-lee </v>
      </c>
      <c r="F89" s="65" t="str">
        <f>IFERROR(VLOOKUP(Table3[[#This Row],[Player No]],Table11[#All],3,0),"")</f>
        <v>ETK</v>
      </c>
      <c r="G89" s="86">
        <v>3.232421875</v>
      </c>
      <c r="H89" s="809">
        <f>(Table3[[#This Row],[Points 2025]]/2)+SUM(Table3[[#This Row],[O1  ADMIN 2026]:[P2      CAPE TOWN OPEN 2026 ]])</f>
        <v>13.6162109375</v>
      </c>
      <c r="I89" s="61">
        <f t="shared" si="9"/>
        <v>2</v>
      </c>
      <c r="J89" s="61">
        <f t="shared" si="10"/>
        <v>0</v>
      </c>
      <c r="K89" s="746" t="s">
        <v>6083</v>
      </c>
      <c r="L89" s="746">
        <v>2</v>
      </c>
      <c r="M89" s="746">
        <v>10</v>
      </c>
      <c r="N89" s="746"/>
      <c r="O89" s="61"/>
      <c r="P89" s="61"/>
      <c r="Q89" s="113"/>
      <c r="R89" s="113"/>
      <c r="S89" s="61"/>
      <c r="T89" s="113"/>
      <c r="U89" s="61"/>
      <c r="V89" s="746"/>
      <c r="W89" s="113"/>
      <c r="X89" s="61"/>
      <c r="Y89" s="61"/>
      <c r="Z89" s="113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</row>
    <row r="90" spans="1:37">
      <c r="A90" s="339"/>
      <c r="B90" s="351">
        <f xml:space="preserve"> +A90-C90</f>
        <v>-86</v>
      </c>
      <c r="C90" s="61">
        <f t="shared" si="11"/>
        <v>86</v>
      </c>
      <c r="D90" s="327">
        <v>8568</v>
      </c>
      <c r="E90" s="64" t="str">
        <f>IFERROR(VLOOKUP(Table3[[#This Row],[Player No]],Table11[#All],2,0),"")</f>
        <v>Nevadya Rampersad</v>
      </c>
      <c r="F90" s="65" t="str">
        <f>IFERROR(VLOOKUP(Table3[[#This Row],[Player No]],Table11[#All],3,0),"")</f>
        <v>UMG</v>
      </c>
      <c r="G90" s="343">
        <v>1</v>
      </c>
      <c r="H90" s="812">
        <f>(Table3[[#This Row],[Points 2025]]/2)+SUM(Table3[[#This Row],[O1  ADMIN 2026]:[P2      CAPE TOWN OPEN 2026 ]])</f>
        <v>13.5</v>
      </c>
      <c r="I90" s="344">
        <f t="shared" si="9"/>
        <v>3</v>
      </c>
      <c r="J90" s="327">
        <f t="shared" si="10"/>
        <v>0</v>
      </c>
      <c r="K90" s="711">
        <v>1</v>
      </c>
      <c r="L90" s="711">
        <v>10</v>
      </c>
      <c r="M90" s="711">
        <v>2</v>
      </c>
      <c r="N90" s="711"/>
      <c r="O90" s="339"/>
      <c r="P90" s="339"/>
      <c r="Q90" s="337">
        <v>1</v>
      </c>
      <c r="R90" s="337"/>
      <c r="S90" s="339"/>
      <c r="T90" s="337"/>
      <c r="U90" s="339"/>
      <c r="V90" s="748"/>
      <c r="W90" s="337"/>
      <c r="X90" s="339"/>
      <c r="Y90" s="339"/>
      <c r="Z90" s="337"/>
      <c r="AA90" s="339"/>
      <c r="AB90" s="339"/>
      <c r="AC90" s="339"/>
      <c r="AD90" s="339"/>
      <c r="AE90" s="339"/>
      <c r="AF90" s="339"/>
      <c r="AG90" s="339"/>
      <c r="AH90" s="339"/>
      <c r="AI90" s="339"/>
      <c r="AJ90" s="339"/>
      <c r="AK90" s="339"/>
    </row>
    <row r="91" spans="1:37">
      <c r="A91" s="61">
        <v>26</v>
      </c>
      <c r="B91" s="150">
        <f>+A91-C91</f>
        <v>-61</v>
      </c>
      <c r="C91" s="61">
        <f t="shared" si="11"/>
        <v>87</v>
      </c>
      <c r="D91" s="63">
        <v>7546</v>
      </c>
      <c r="E91" s="64" t="str">
        <f>IFERROR(VLOOKUP(Table3[[#This Row],[Player No]],Table11[#All],2,0),"")</f>
        <v xml:space="preserve">PRICE Linda </v>
      </c>
      <c r="F91" s="65" t="str">
        <f>IFERROR(VLOOKUP(Table3[[#This Row],[Player No]],Table11[#All],3,0),"")</f>
        <v>JTTA</v>
      </c>
      <c r="G91" s="86">
        <v>26.5234375</v>
      </c>
      <c r="H91" s="809">
        <f>(Table3[[#This Row],[Points 2025]]/2)+SUM(Table3[[#This Row],[O1  ADMIN 2026]:[P2      CAPE TOWN OPEN 2026 ]])</f>
        <v>13.26171875</v>
      </c>
      <c r="I91" s="61">
        <f t="shared" si="9"/>
        <v>0</v>
      </c>
      <c r="J91" s="61">
        <f t="shared" si="10"/>
        <v>0</v>
      </c>
      <c r="K91" s="746" t="s">
        <v>6083</v>
      </c>
      <c r="L91" s="746" t="s">
        <v>6083</v>
      </c>
      <c r="M91" s="746" t="s">
        <v>6083</v>
      </c>
      <c r="N91" s="746"/>
      <c r="O91" s="61"/>
      <c r="P91" s="61"/>
      <c r="Q91" s="113"/>
      <c r="R91" s="113"/>
      <c r="S91" s="61"/>
      <c r="T91" s="113"/>
      <c r="U91" s="61"/>
      <c r="V91" s="746"/>
      <c r="W91" s="113"/>
      <c r="X91" s="61"/>
      <c r="Y91" s="61"/>
      <c r="Z91" s="113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>
        <v>50</v>
      </c>
    </row>
    <row r="92" spans="1:37">
      <c r="A92" s="61">
        <v>133</v>
      </c>
      <c r="B92" s="150">
        <f>+A92-C92</f>
        <v>45</v>
      </c>
      <c r="C92" s="61">
        <f t="shared" si="11"/>
        <v>88</v>
      </c>
      <c r="D92" s="63">
        <v>7117</v>
      </c>
      <c r="E92" s="64" t="str">
        <f>IFERROR(VLOOKUP(Table3[[#This Row],[Player No]],Table11[#All],2,0),"")</f>
        <v xml:space="preserve">NCITSHANA Zoliswa </v>
      </c>
      <c r="F92" s="65" t="str">
        <f>IFERROR(VLOOKUP(Table3[[#This Row],[Player No]],Table11[#All],3,0),"")</f>
        <v>EC</v>
      </c>
      <c r="G92" s="86">
        <v>26.25</v>
      </c>
      <c r="H92" s="809">
        <f>(Table3[[#This Row],[Points 2025]]/2)+SUM(Table3[[#This Row],[O1  ADMIN 2026]:[P2      CAPE TOWN OPEN 2026 ]])</f>
        <v>13.125</v>
      </c>
      <c r="I92" s="61">
        <f t="shared" si="9"/>
        <v>0</v>
      </c>
      <c r="J92" s="61">
        <f t="shared" si="10"/>
        <v>0</v>
      </c>
      <c r="K92" s="746" t="s">
        <v>6083</v>
      </c>
      <c r="L92" s="746" t="s">
        <v>6083</v>
      </c>
      <c r="M92" s="746" t="s">
        <v>6083</v>
      </c>
      <c r="N92" s="746"/>
      <c r="O92" s="61"/>
      <c r="P92" s="61"/>
      <c r="Q92" s="113"/>
      <c r="R92" s="113"/>
      <c r="S92" s="61"/>
      <c r="T92" s="113"/>
      <c r="U92" s="61"/>
      <c r="V92" s="746"/>
      <c r="W92" s="113">
        <v>25</v>
      </c>
      <c r="X92" s="61"/>
      <c r="Y92" s="61"/>
      <c r="Z92" s="113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</row>
    <row r="93" spans="1:37">
      <c r="A93" s="61"/>
      <c r="B93" s="150">
        <f>+A93-C93</f>
        <v>-89</v>
      </c>
      <c r="C93" s="61">
        <f t="shared" si="11"/>
        <v>89</v>
      </c>
      <c r="D93" s="63">
        <v>7314</v>
      </c>
      <c r="E93" s="64" t="str">
        <f>IFERROR(VLOOKUP(Table3[[#This Row],[Player No]],Table11[#All],2,0),"")</f>
        <v>NTSOKOANE Itumeleng</v>
      </c>
      <c r="F93" s="65" t="str">
        <f>IFERROR(VLOOKUP(Table3[[#This Row],[Player No]],Table11[#All],3,0),"")</f>
        <v>EKU</v>
      </c>
      <c r="G93" s="86">
        <v>26</v>
      </c>
      <c r="H93" s="809">
        <f>(Table3[[#This Row],[Points 2025]]/2)+SUM(Table3[[#This Row],[O1  ADMIN 2026]:[P2      CAPE TOWN OPEN 2026 ]])</f>
        <v>13</v>
      </c>
      <c r="I93" s="61">
        <f t="shared" si="9"/>
        <v>0</v>
      </c>
      <c r="J93" s="61">
        <f t="shared" si="10"/>
        <v>0</v>
      </c>
      <c r="K93" s="746" t="s">
        <v>6083</v>
      </c>
      <c r="L93" s="746" t="s">
        <v>6083</v>
      </c>
      <c r="M93" s="746" t="s">
        <v>6083</v>
      </c>
      <c r="N93" s="746"/>
      <c r="O93" s="61"/>
      <c r="P93" s="61"/>
      <c r="Q93" s="113"/>
      <c r="R93" s="113"/>
      <c r="S93" s="61"/>
      <c r="T93" s="113"/>
      <c r="U93" s="61"/>
      <c r="V93" s="746"/>
      <c r="W93" s="113"/>
      <c r="X93" s="61">
        <v>25</v>
      </c>
      <c r="Y93" s="61">
        <v>1</v>
      </c>
      <c r="Z93" s="113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</row>
    <row r="94" spans="1:37">
      <c r="A94" s="61"/>
      <c r="B94" s="150">
        <f>+A94-C94</f>
        <v>-90</v>
      </c>
      <c r="C94" s="61">
        <f t="shared" si="11"/>
        <v>90</v>
      </c>
      <c r="D94" s="63">
        <v>8540</v>
      </c>
      <c r="E94" s="64" t="str">
        <f>IFERROR(VLOOKUP(Table3[[#This Row],[Player No]],Table11[#All],2,0),"")</f>
        <v>HARRY PARSAD Nimmi</v>
      </c>
      <c r="F94" s="65" t="str">
        <f>IFERROR(VLOOKUP(Table3[[#This Row],[Player No]],Table11[#All],3,0),"")</f>
        <v>UMG</v>
      </c>
      <c r="G94" s="86">
        <v>25</v>
      </c>
      <c r="H94" s="809">
        <f>(Table3[[#This Row],[Points 2025]]/2)+SUM(Table3[[#This Row],[O1  ADMIN 2026]:[P2      CAPE TOWN OPEN 2026 ]])</f>
        <v>12.5</v>
      </c>
      <c r="I94" s="61">
        <f t="shared" si="9"/>
        <v>0</v>
      </c>
      <c r="J94" s="61">
        <f t="shared" si="10"/>
        <v>0</v>
      </c>
      <c r="K94" s="746" t="s">
        <v>6083</v>
      </c>
      <c r="L94" s="746" t="s">
        <v>6083</v>
      </c>
      <c r="M94" s="746" t="s">
        <v>6083</v>
      </c>
      <c r="N94" s="746"/>
      <c r="O94" s="61">
        <v>15</v>
      </c>
      <c r="P94" s="61">
        <v>10</v>
      </c>
      <c r="Q94" s="113"/>
      <c r="R94" s="113"/>
      <c r="S94" s="61"/>
      <c r="T94" s="113"/>
      <c r="U94" s="61"/>
      <c r="V94" s="746"/>
      <c r="W94" s="113"/>
      <c r="X94" s="61"/>
      <c r="Y94" s="61"/>
      <c r="Z94" s="113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</row>
    <row r="95" spans="1:37">
      <c r="A95" s="61"/>
      <c r="B95" s="425">
        <f xml:space="preserve"> +A95-C95</f>
        <v>-91</v>
      </c>
      <c r="C95" s="61">
        <f t="shared" si="11"/>
        <v>91</v>
      </c>
      <c r="D95" s="63">
        <v>8768</v>
      </c>
      <c r="E95" s="64" t="str">
        <f>IFERROR(VLOOKUP(Table3[[#This Row],[Player No]],Table11[#All],2,0),"")</f>
        <v xml:space="preserve">PHILLIPS Suzie </v>
      </c>
      <c r="F95" s="65" t="str">
        <f>IFERROR(VLOOKUP(Table3[[#This Row],[Player No]],Table11[#All],3,0),"")</f>
        <v>CT</v>
      </c>
      <c r="G95" s="86">
        <v>25</v>
      </c>
      <c r="H95" s="809">
        <f>(Table3[[#This Row],[Points 2025]]/2)+SUM(Table3[[#This Row],[O1  ADMIN 2026]:[P2      CAPE TOWN OPEN 2026 ]])</f>
        <v>12.5</v>
      </c>
      <c r="I95" s="90">
        <f t="shared" si="9"/>
        <v>0</v>
      </c>
      <c r="J95" s="63">
        <f t="shared" si="10"/>
        <v>0</v>
      </c>
      <c r="K95" s="708" t="s">
        <v>6083</v>
      </c>
      <c r="L95" s="708" t="s">
        <v>6083</v>
      </c>
      <c r="M95" s="708" t="s">
        <v>6083</v>
      </c>
      <c r="N95" s="708"/>
      <c r="O95" s="61"/>
      <c r="P95" s="61"/>
      <c r="Q95" s="113"/>
      <c r="R95" s="113"/>
      <c r="S95" s="61"/>
      <c r="T95" s="113"/>
      <c r="U95" s="61"/>
      <c r="V95" s="746"/>
      <c r="W95" s="113"/>
      <c r="X95" s="61"/>
      <c r="Y95" s="61"/>
      <c r="Z95" s="113"/>
      <c r="AA95" s="61"/>
      <c r="AB95" s="61">
        <v>25</v>
      </c>
      <c r="AC95" s="61"/>
      <c r="AD95" s="61"/>
      <c r="AE95" s="61"/>
      <c r="AF95" s="61"/>
      <c r="AG95" s="61"/>
      <c r="AH95" s="61"/>
      <c r="AI95" s="61"/>
      <c r="AJ95" s="61"/>
      <c r="AK95" s="61"/>
    </row>
    <row r="96" spans="1:37">
      <c r="A96" s="615"/>
      <c r="B96" s="684">
        <f xml:space="preserve"> +A96-C96</f>
        <v>-92</v>
      </c>
      <c r="C96" s="61">
        <f t="shared" si="11"/>
        <v>92</v>
      </c>
      <c r="D96" s="624">
        <v>8814</v>
      </c>
      <c r="E96" s="64" t="str">
        <f>IFERROR(VLOOKUP(Table3[[#This Row],[Player No]],Table11[#All],2,0),"")</f>
        <v>WILLEMSE Logan</v>
      </c>
      <c r="F96" s="65" t="str">
        <f>IFERROR(VLOOKUP(Table3[[#This Row],[Player No]],Table11[#All],3,0),"")</f>
        <v>WC</v>
      </c>
      <c r="G96" s="689">
        <v>25</v>
      </c>
      <c r="H96" s="811">
        <f>(Table3[[#This Row],[Points 2025]]/2)+SUM(Table3[[#This Row],[O1  ADMIN 2026]:[P2      CAPE TOWN OPEN 2026 ]])</f>
        <v>12.5</v>
      </c>
      <c r="I96" s="690">
        <f t="shared" si="9"/>
        <v>0</v>
      </c>
      <c r="J96" s="624">
        <f t="shared" si="10"/>
        <v>0</v>
      </c>
      <c r="K96" s="709" t="s">
        <v>6083</v>
      </c>
      <c r="L96" s="709" t="s">
        <v>6083</v>
      </c>
      <c r="M96" s="709" t="s">
        <v>6083</v>
      </c>
      <c r="N96" s="709"/>
      <c r="O96" s="615"/>
      <c r="P96" s="615"/>
      <c r="Q96" s="617"/>
      <c r="R96" s="617"/>
      <c r="S96" s="615"/>
      <c r="T96" s="617"/>
      <c r="U96" s="615"/>
      <c r="V96" s="750"/>
      <c r="W96" s="617">
        <v>25</v>
      </c>
      <c r="X96" s="615"/>
      <c r="Y96" s="615"/>
      <c r="Z96" s="617"/>
      <c r="AA96" s="615"/>
      <c r="AB96" s="615"/>
      <c r="AC96" s="615"/>
      <c r="AD96" s="615"/>
      <c r="AE96" s="615"/>
      <c r="AF96" s="615"/>
      <c r="AG96" s="615"/>
      <c r="AH96" s="615"/>
      <c r="AI96" s="615"/>
      <c r="AJ96" s="615"/>
      <c r="AK96" s="615"/>
    </row>
    <row r="97" spans="1:37">
      <c r="A97" s="389"/>
      <c r="B97" s="682">
        <f xml:space="preserve"> +A97-C97</f>
        <v>-93</v>
      </c>
      <c r="C97" s="61">
        <f t="shared" si="11"/>
        <v>93</v>
      </c>
      <c r="D97" s="392">
        <v>8446</v>
      </c>
      <c r="E97" s="64" t="str">
        <f>IFERROR(VLOOKUP(Table3[[#This Row],[Player No]],Table11[#All],2,0),"")</f>
        <v>RAMCHURRAN Leora</v>
      </c>
      <c r="F97" s="65" t="str">
        <f>IFERROR(VLOOKUP(Table3[[#This Row],[Player No]],Table11[#All],3,0),"")</f>
        <v>UMG</v>
      </c>
      <c r="G97" s="439">
        <v>1</v>
      </c>
      <c r="H97" s="815">
        <f>(Table3[[#This Row],[Points 2025]]/2)+SUM(Table3[[#This Row],[O1  ADMIN 2026]:[P2      CAPE TOWN OPEN 2026 ]])</f>
        <v>12.5</v>
      </c>
      <c r="I97" s="441">
        <f t="shared" si="9"/>
        <v>2</v>
      </c>
      <c r="J97" s="392">
        <f t="shared" si="10"/>
        <v>0</v>
      </c>
      <c r="K97" s="714" t="s">
        <v>6083</v>
      </c>
      <c r="L97" s="714">
        <v>10</v>
      </c>
      <c r="M97" s="714">
        <v>2</v>
      </c>
      <c r="N97" s="714"/>
      <c r="O97" s="389"/>
      <c r="P97" s="389"/>
      <c r="Q97" s="415"/>
      <c r="R97" s="415"/>
      <c r="S97" s="389"/>
      <c r="T97" s="415"/>
      <c r="U97" s="389"/>
      <c r="V97" s="747"/>
      <c r="W97" s="415"/>
      <c r="X97" s="389"/>
      <c r="Y97" s="389" t="s">
        <v>4722</v>
      </c>
      <c r="Z97" s="415">
        <v>1</v>
      </c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89"/>
    </row>
    <row r="98" spans="1:37">
      <c r="A98" s="61">
        <v>71</v>
      </c>
      <c r="B98" s="150">
        <f>+A98-C98</f>
        <v>-23</v>
      </c>
      <c r="C98" s="61">
        <f t="shared" si="11"/>
        <v>94</v>
      </c>
      <c r="D98" s="63">
        <v>7272</v>
      </c>
      <c r="E98" s="64" t="str">
        <f>IFERROR(VLOOKUP(Table3[[#This Row],[Player No]],Table11[#All],2,0),"")</f>
        <v>BRUINERS Whinley</v>
      </c>
      <c r="F98" s="65" t="str">
        <f>IFERROR(VLOOKUP(Table3[[#This Row],[Player No]],Table11[#All],3,0),"")</f>
        <v>EDEN</v>
      </c>
      <c r="G98" s="86">
        <v>23.75</v>
      </c>
      <c r="H98" s="809">
        <f>(Table3[[#This Row],[Points 2025]]/2)+SUM(Table3[[#This Row],[O1  ADMIN 2026]:[P2      CAPE TOWN OPEN 2026 ]])</f>
        <v>11.875</v>
      </c>
      <c r="I98" s="61">
        <f t="shared" si="9"/>
        <v>0</v>
      </c>
      <c r="J98" s="61">
        <f t="shared" si="10"/>
        <v>0</v>
      </c>
      <c r="K98" s="746" t="s">
        <v>6083</v>
      </c>
      <c r="L98" s="746" t="s">
        <v>6083</v>
      </c>
      <c r="M98" s="746" t="s">
        <v>6083</v>
      </c>
      <c r="N98" s="746"/>
      <c r="O98" s="61"/>
      <c r="P98" s="61"/>
      <c r="Q98" s="113"/>
      <c r="R98" s="113"/>
      <c r="S98" s="61"/>
      <c r="T98" s="113"/>
      <c r="U98" s="61"/>
      <c r="V98" s="746"/>
      <c r="W98" s="113">
        <v>5</v>
      </c>
      <c r="X98" s="61"/>
      <c r="Y98" s="61"/>
      <c r="Z98" s="113"/>
      <c r="AA98" s="61"/>
      <c r="AB98" s="61"/>
      <c r="AC98" s="61"/>
      <c r="AD98" s="61"/>
      <c r="AE98" s="61"/>
      <c r="AF98" s="61">
        <v>25</v>
      </c>
      <c r="AG98" s="61"/>
      <c r="AH98" s="61"/>
      <c r="AI98" s="61"/>
      <c r="AJ98" s="61"/>
      <c r="AK98" s="61"/>
    </row>
    <row r="99" spans="1:37">
      <c r="A99" s="61">
        <v>44</v>
      </c>
      <c r="B99" s="150">
        <f>+A99-C99</f>
        <v>-51</v>
      </c>
      <c r="C99" s="61">
        <f t="shared" si="11"/>
        <v>95</v>
      </c>
      <c r="D99" s="63">
        <v>7032</v>
      </c>
      <c r="E99" s="64" t="str">
        <f>IFERROR(VLOOKUP(Table3[[#This Row],[Player No]],Table11[#All],2,0),"")</f>
        <v xml:space="preserve">Ramagapu Olorato </v>
      </c>
      <c r="F99" s="65" t="str">
        <f>IFERROR(VLOOKUP(Table3[[#This Row],[Player No]],Table11[#All],3,0),"")</f>
        <v>BOT</v>
      </c>
      <c r="G99" s="86">
        <v>23.49609375</v>
      </c>
      <c r="H99" s="809">
        <f>(Table3[[#This Row],[Points 2025]]/2)+SUM(Table3[[#This Row],[O1  ADMIN 2026]:[P2      CAPE TOWN OPEN 2026 ]])</f>
        <v>11.748046875</v>
      </c>
      <c r="I99" s="61">
        <f t="shared" si="9"/>
        <v>0</v>
      </c>
      <c r="J99" s="61">
        <f t="shared" si="10"/>
        <v>0</v>
      </c>
      <c r="K99" s="746" t="s">
        <v>6083</v>
      </c>
      <c r="L99" s="746" t="s">
        <v>6083</v>
      </c>
      <c r="M99" s="746" t="s">
        <v>6083</v>
      </c>
      <c r="N99" s="746"/>
      <c r="O99" s="61"/>
      <c r="P99" s="61"/>
      <c r="Q99" s="113"/>
      <c r="R99" s="113"/>
      <c r="S99" s="61"/>
      <c r="T99" s="113"/>
      <c r="U99" s="61"/>
      <c r="V99" s="746"/>
      <c r="W99" s="113">
        <v>10</v>
      </c>
      <c r="X99" s="61"/>
      <c r="Y99" s="61"/>
      <c r="Z99" s="113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</row>
    <row r="100" spans="1:37">
      <c r="A100" s="61"/>
      <c r="B100" s="150">
        <f>+A100-C100</f>
        <v>-96</v>
      </c>
      <c r="C100" s="61">
        <f t="shared" si="11"/>
        <v>96</v>
      </c>
      <c r="D100" s="63">
        <v>8113</v>
      </c>
      <c r="E100" s="64" t="str">
        <f>IFERROR(VLOOKUP(Table3[[#This Row],[Player No]],Table11[#All],2,0),"")</f>
        <v>NJEMLA MBATHA Olwethu</v>
      </c>
      <c r="F100" s="65" t="str">
        <f>IFERROR(VLOOKUP(Table3[[#This Row],[Player No]],Table11[#All],3,0),"")</f>
        <v>ETK</v>
      </c>
      <c r="G100" s="86">
        <v>21</v>
      </c>
      <c r="H100" s="809">
        <f>(Table3[[#This Row],[Points 2025]]/2)+SUM(Table3[[#This Row],[O1  ADMIN 2026]:[P2      CAPE TOWN OPEN 2026 ]])</f>
        <v>11.5</v>
      </c>
      <c r="I100" s="61">
        <f t="shared" si="9"/>
        <v>1</v>
      </c>
      <c r="J100" s="61">
        <f t="shared" si="10"/>
        <v>0</v>
      </c>
      <c r="K100" s="746" t="s">
        <v>6083</v>
      </c>
      <c r="L100" s="746" t="s">
        <v>6083</v>
      </c>
      <c r="M100" s="746">
        <v>1</v>
      </c>
      <c r="N100" s="746"/>
      <c r="O100" s="61">
        <v>1</v>
      </c>
      <c r="P100" s="61">
        <v>10</v>
      </c>
      <c r="Q100" s="113">
        <v>10</v>
      </c>
      <c r="R100" s="113"/>
      <c r="S100" s="61"/>
      <c r="T100" s="113"/>
      <c r="U100" s="61"/>
      <c r="V100" s="746"/>
      <c r="W100" s="113"/>
      <c r="X100" s="61"/>
      <c r="Y100" s="61"/>
      <c r="Z100" s="113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</row>
    <row r="101" spans="1:37">
      <c r="A101" s="389"/>
      <c r="B101" s="682">
        <f xml:space="preserve"> +A101-C101</f>
        <v>-97</v>
      </c>
      <c r="C101" s="61">
        <f t="shared" si="11"/>
        <v>97</v>
      </c>
      <c r="D101" s="392">
        <v>8389</v>
      </c>
      <c r="E101" s="64" t="str">
        <f>IFERROR(VLOOKUP(Table3[[#This Row],[Player No]],Table11[#All],2,0),"")</f>
        <v>SIVNANNAN Syriana</v>
      </c>
      <c r="F101" s="65" t="str">
        <f>IFERROR(VLOOKUP(Table3[[#This Row],[Player No]],Table11[#All],3,0),"")</f>
        <v>UMG</v>
      </c>
      <c r="G101" s="439">
        <v>1</v>
      </c>
      <c r="H101" s="815">
        <f>(Table3[[#This Row],[Points 2025]]/2)+SUM(Table3[[#This Row],[O1  ADMIN 2026]:[P2      CAPE TOWN OPEN 2026 ]])</f>
        <v>11.5</v>
      </c>
      <c r="I101" s="441">
        <f t="shared" si="9"/>
        <v>2</v>
      </c>
      <c r="J101" s="392">
        <f t="shared" si="10"/>
        <v>0</v>
      </c>
      <c r="K101" s="714" t="s">
        <v>6083</v>
      </c>
      <c r="L101" s="714">
        <v>10</v>
      </c>
      <c r="M101" s="714">
        <v>1</v>
      </c>
      <c r="N101" s="714"/>
      <c r="O101" s="389"/>
      <c r="P101" s="389"/>
      <c r="Q101" s="415"/>
      <c r="R101" s="415"/>
      <c r="S101" s="389"/>
      <c r="T101" s="415"/>
      <c r="U101" s="389"/>
      <c r="V101" s="747"/>
      <c r="W101" s="415"/>
      <c r="X101" s="389"/>
      <c r="Y101" s="389" t="s">
        <v>4722</v>
      </c>
      <c r="Z101" s="415">
        <v>1</v>
      </c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</row>
    <row r="102" spans="1:37">
      <c r="A102" s="61"/>
      <c r="B102" s="150">
        <f>+A102-C102</f>
        <v>-98</v>
      </c>
      <c r="C102" s="61">
        <f t="shared" si="11"/>
        <v>98</v>
      </c>
      <c r="D102" s="63">
        <v>8105</v>
      </c>
      <c r="E102" s="64" t="str">
        <f>IFERROR(VLOOKUP(Table3[[#This Row],[Player No]],Table11[#All],2,0),"")</f>
        <v>CHINANC Nompilenhle</v>
      </c>
      <c r="F102" s="65" t="str">
        <f>IFERROR(VLOOKUP(Table3[[#This Row],[Player No]],Table11[#All],3,0),"")</f>
        <v>ETK</v>
      </c>
      <c r="G102" s="86">
        <v>1</v>
      </c>
      <c r="H102" s="809">
        <f>(Table3[[#This Row],[Points 2025]]/2)+SUM(Table3[[#This Row],[O1  ADMIN 2026]:[P2      CAPE TOWN OPEN 2026 ]])</f>
        <v>10.5</v>
      </c>
      <c r="I102" s="61">
        <f t="shared" si="9"/>
        <v>1</v>
      </c>
      <c r="J102" s="61">
        <f t="shared" si="10"/>
        <v>0</v>
      </c>
      <c r="K102" s="746" t="s">
        <v>6083</v>
      </c>
      <c r="L102" s="746" t="s">
        <v>6083</v>
      </c>
      <c r="M102" s="746">
        <v>10</v>
      </c>
      <c r="N102" s="746"/>
      <c r="O102" s="61">
        <v>1</v>
      </c>
      <c r="P102" s="61"/>
      <c r="Q102" s="113"/>
      <c r="R102" s="113"/>
      <c r="S102" s="61"/>
      <c r="T102" s="113"/>
      <c r="U102" s="61"/>
      <c r="V102" s="746"/>
      <c r="W102" s="113"/>
      <c r="X102" s="61"/>
      <c r="Y102" s="61"/>
      <c r="Z102" s="113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</row>
    <row r="103" spans="1:37">
      <c r="A103" s="339"/>
      <c r="B103" s="150">
        <f>+A103-C103</f>
        <v>-99</v>
      </c>
      <c r="C103" s="61">
        <f t="shared" si="11"/>
        <v>99</v>
      </c>
      <c r="D103" s="327">
        <v>7827</v>
      </c>
      <c r="E103" s="64" t="str">
        <f>IFERROR(VLOOKUP(Table3[[#This Row],[Player No]],Table11[#All],2,0),"")</f>
        <v>Letshego PHEKONYANE</v>
      </c>
      <c r="F103" s="65" t="str">
        <f>IFERROR(VLOOKUP(Table3[[#This Row],[Player No]],Table11[#All],3,0),"")</f>
        <v>FS</v>
      </c>
      <c r="G103" s="343">
        <v>20</v>
      </c>
      <c r="H103" s="812">
        <f>(Table3[[#This Row],[Points 2025]]/2)+SUM(Table3[[#This Row],[O1  ADMIN 2026]:[P2      CAPE TOWN OPEN 2026 ]])</f>
        <v>10</v>
      </c>
      <c r="I103" s="344">
        <f t="shared" si="9"/>
        <v>0</v>
      </c>
      <c r="J103" s="327">
        <f t="shared" si="10"/>
        <v>0</v>
      </c>
      <c r="K103" s="711" t="s">
        <v>6083</v>
      </c>
      <c r="L103" s="711" t="s">
        <v>6083</v>
      </c>
      <c r="M103" s="711" t="s">
        <v>6083</v>
      </c>
      <c r="N103" s="711"/>
      <c r="O103" s="339"/>
      <c r="P103" s="339"/>
      <c r="Q103" s="337"/>
      <c r="R103" s="337"/>
      <c r="S103" s="339"/>
      <c r="T103" s="337">
        <v>15</v>
      </c>
      <c r="U103" s="339"/>
      <c r="V103" s="748"/>
      <c r="W103" s="337">
        <v>5</v>
      </c>
      <c r="X103" s="339"/>
      <c r="Y103" s="339"/>
      <c r="Z103" s="337"/>
      <c r="AA103" s="339"/>
      <c r="AB103" s="339"/>
      <c r="AC103" s="339"/>
      <c r="AD103" s="339"/>
      <c r="AE103" s="339"/>
      <c r="AF103" s="339"/>
      <c r="AG103" s="339"/>
      <c r="AH103" s="339"/>
      <c r="AI103" s="339"/>
      <c r="AJ103" s="339"/>
      <c r="AK103" s="339"/>
    </row>
    <row r="104" spans="1:37">
      <c r="A104" s="61">
        <v>100</v>
      </c>
      <c r="B104" s="150">
        <f>+A104-C104</f>
        <v>0</v>
      </c>
      <c r="C104" s="61">
        <f t="shared" si="11"/>
        <v>100</v>
      </c>
      <c r="D104" s="63">
        <v>8283</v>
      </c>
      <c r="E104" s="64" t="str">
        <f>IFERROR(VLOOKUP(Table3[[#This Row],[Player No]],Table11[#All],2,0),"")</f>
        <v>MC CLEOD Michelle</v>
      </c>
      <c r="F104" s="65" t="str">
        <f>IFERROR(VLOOKUP(Table3[[#This Row],[Player No]],Table11[#All],3,0),"")</f>
        <v>GN</v>
      </c>
      <c r="G104" s="86">
        <v>20</v>
      </c>
      <c r="H104" s="809">
        <f>(Table3[[#This Row],[Points 2025]]/2)+SUM(Table3[[#This Row],[O1  ADMIN 2026]:[P2      CAPE TOWN OPEN 2026 ]])</f>
        <v>10</v>
      </c>
      <c r="I104" s="61">
        <f t="shared" si="9"/>
        <v>0</v>
      </c>
      <c r="J104" s="61">
        <f t="shared" si="10"/>
        <v>0</v>
      </c>
      <c r="K104" s="746" t="s">
        <v>6083</v>
      </c>
      <c r="L104" s="746" t="s">
        <v>6083</v>
      </c>
      <c r="M104" s="746" t="s">
        <v>6083</v>
      </c>
      <c r="N104" s="746"/>
      <c r="O104" s="61"/>
      <c r="P104" s="61"/>
      <c r="Q104" s="113"/>
      <c r="R104" s="113"/>
      <c r="S104" s="61"/>
      <c r="T104" s="113"/>
      <c r="U104" s="61"/>
      <c r="V104" s="746"/>
      <c r="W104" s="113">
        <v>5</v>
      </c>
      <c r="X104" s="61"/>
      <c r="Y104" s="61"/>
      <c r="Z104" s="113">
        <v>12</v>
      </c>
      <c r="AA104" s="61"/>
      <c r="AB104" s="61"/>
      <c r="AC104" s="61"/>
      <c r="AD104" s="61"/>
      <c r="AE104" s="61"/>
      <c r="AF104" s="61"/>
      <c r="AG104" s="61"/>
      <c r="AH104" s="61"/>
      <c r="AI104" s="61"/>
      <c r="AJ104" s="61">
        <v>1</v>
      </c>
      <c r="AK104" s="61"/>
    </row>
    <row r="105" spans="1:37">
      <c r="A105" s="339"/>
      <c r="B105" s="351">
        <f xml:space="preserve"> +A105-C105</f>
        <v>-101</v>
      </c>
      <c r="C105" s="61">
        <f t="shared" si="11"/>
        <v>101</v>
      </c>
      <c r="D105" s="327">
        <v>8106</v>
      </c>
      <c r="E105" s="64" t="str">
        <f>IFERROR(VLOOKUP(Table3[[#This Row],[Player No]],Table11[#All],2,0),"")</f>
        <v>PARBHOODEEN Akshara Gemma</v>
      </c>
      <c r="F105" s="65" t="str">
        <f>IFERROR(VLOOKUP(Table3[[#This Row],[Player No]],Table11[#All],3,0),"")</f>
        <v>UMG</v>
      </c>
      <c r="G105" s="343">
        <v>16</v>
      </c>
      <c r="H105" s="812">
        <f>(Table3[[#This Row],[Points 2025]]/2)+SUM(Table3[[#This Row],[O1  ADMIN 2026]:[P2      CAPE TOWN OPEN 2026 ]])</f>
        <v>10</v>
      </c>
      <c r="I105" s="344">
        <f t="shared" si="9"/>
        <v>2</v>
      </c>
      <c r="J105" s="327">
        <f t="shared" si="10"/>
        <v>0</v>
      </c>
      <c r="K105" s="711" t="s">
        <v>6083</v>
      </c>
      <c r="L105" s="711">
        <v>1</v>
      </c>
      <c r="M105" s="711">
        <v>1</v>
      </c>
      <c r="N105" s="711"/>
      <c r="O105" s="339"/>
      <c r="P105" s="339"/>
      <c r="Q105" s="337">
        <v>1</v>
      </c>
      <c r="R105" s="337">
        <v>15</v>
      </c>
      <c r="S105" s="339"/>
      <c r="T105" s="337"/>
      <c r="U105" s="339"/>
      <c r="V105" s="748"/>
      <c r="W105" s="337"/>
      <c r="X105" s="339"/>
      <c r="Y105" s="339"/>
      <c r="Z105" s="337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</row>
    <row r="106" spans="1:37">
      <c r="A106" s="61">
        <v>120</v>
      </c>
      <c r="B106" s="150">
        <f t="shared" ref="B106:B116" si="13">+A106-C106</f>
        <v>18</v>
      </c>
      <c r="C106" s="61">
        <f t="shared" si="11"/>
        <v>102</v>
      </c>
      <c r="D106" s="63">
        <v>8098</v>
      </c>
      <c r="E106" s="64" t="str">
        <f>IFERROR(VLOOKUP(Table3[[#This Row],[Player No]],Table11[#All],2,0),"")</f>
        <v>BHUGWANDEEN Prajna</v>
      </c>
      <c r="F106" s="65" t="str">
        <f>IFERROR(VLOOKUP(Table3[[#This Row],[Player No]],Table11[#All],3,0),"")</f>
        <v>UMG</v>
      </c>
      <c r="G106" s="86">
        <v>19</v>
      </c>
      <c r="H106" s="809">
        <f>(Table3[[#This Row],[Points 2025]]/2)+SUM(Table3[[#This Row],[O1  ADMIN 2026]:[P2      CAPE TOWN OPEN 2026 ]])</f>
        <v>9.5</v>
      </c>
      <c r="I106" s="61">
        <f t="shared" si="9"/>
        <v>0</v>
      </c>
      <c r="J106" s="61">
        <f t="shared" si="10"/>
        <v>0</v>
      </c>
      <c r="K106" s="746" t="s">
        <v>6083</v>
      </c>
      <c r="L106" s="746" t="s">
        <v>6083</v>
      </c>
      <c r="M106" s="746" t="s">
        <v>6083</v>
      </c>
      <c r="N106" s="746"/>
      <c r="O106" s="61">
        <v>1</v>
      </c>
      <c r="P106" s="61">
        <v>2</v>
      </c>
      <c r="Q106" s="113">
        <v>10</v>
      </c>
      <c r="R106" s="113">
        <v>1</v>
      </c>
      <c r="S106" s="61">
        <v>1</v>
      </c>
      <c r="T106" s="113"/>
      <c r="U106" s="61"/>
      <c r="V106" s="746"/>
      <c r="W106" s="113"/>
      <c r="X106" s="61"/>
      <c r="Y106" s="61"/>
      <c r="Z106" s="113"/>
      <c r="AA106" s="61"/>
      <c r="AB106" s="61"/>
      <c r="AC106" s="61">
        <v>2</v>
      </c>
      <c r="AD106" s="61">
        <v>1</v>
      </c>
      <c r="AE106" s="61"/>
      <c r="AF106" s="61"/>
      <c r="AG106" s="61">
        <v>5</v>
      </c>
      <c r="AH106" s="61"/>
      <c r="AI106" s="61"/>
      <c r="AJ106" s="61"/>
      <c r="AK106" s="61"/>
    </row>
    <row r="107" spans="1:37">
      <c r="A107" s="61">
        <v>46</v>
      </c>
      <c r="B107" s="150">
        <f t="shared" si="13"/>
        <v>-57</v>
      </c>
      <c r="C107" s="61">
        <f t="shared" si="11"/>
        <v>103</v>
      </c>
      <c r="D107" s="63">
        <v>7817</v>
      </c>
      <c r="E107" s="64" t="str">
        <f>IFERROR(VLOOKUP(Table3[[#This Row],[Player No]],Table11[#All],2,0),"")</f>
        <v>GOVENDER Mikayla</v>
      </c>
      <c r="F107" s="65" t="str">
        <f>IFERROR(VLOOKUP(Table3[[#This Row],[Player No]],Table11[#All],3,0),"")</f>
        <v>ETK</v>
      </c>
      <c r="G107" s="86">
        <v>18.75</v>
      </c>
      <c r="H107" s="809">
        <f>(Table3[[#This Row],[Points 2025]]/2)+SUM(Table3[[#This Row],[O1  ADMIN 2026]:[P2      CAPE TOWN OPEN 2026 ]])</f>
        <v>9.375</v>
      </c>
      <c r="I107" s="61">
        <f t="shared" si="9"/>
        <v>0</v>
      </c>
      <c r="J107" s="61">
        <f t="shared" si="10"/>
        <v>0</v>
      </c>
      <c r="K107" s="746" t="s">
        <v>6083</v>
      </c>
      <c r="L107" s="746" t="s">
        <v>6083</v>
      </c>
      <c r="M107" s="746" t="s">
        <v>6083</v>
      </c>
      <c r="N107" s="746"/>
      <c r="O107" s="63"/>
      <c r="P107" s="63"/>
      <c r="Q107" s="114"/>
      <c r="R107" s="114">
        <v>1</v>
      </c>
      <c r="S107" s="63"/>
      <c r="T107" s="114"/>
      <c r="U107" s="63"/>
      <c r="V107" s="708"/>
      <c r="W107" s="114">
        <v>5</v>
      </c>
      <c r="X107" s="63"/>
      <c r="Y107" s="63"/>
      <c r="Z107" s="114"/>
      <c r="AA107" s="63"/>
      <c r="AB107" s="63"/>
      <c r="AC107" s="63">
        <v>25</v>
      </c>
      <c r="AD107" s="63"/>
      <c r="AE107" s="63"/>
      <c r="AF107" s="63"/>
      <c r="AG107" s="63"/>
      <c r="AH107" s="63"/>
      <c r="AI107" s="63"/>
      <c r="AJ107" s="63"/>
      <c r="AK107" s="63"/>
    </row>
    <row r="108" spans="1:37">
      <c r="A108" s="61">
        <v>76</v>
      </c>
      <c r="B108" s="150">
        <f t="shared" si="13"/>
        <v>-28</v>
      </c>
      <c r="C108" s="61">
        <f t="shared" si="11"/>
        <v>104</v>
      </c>
      <c r="D108" s="63">
        <v>7992</v>
      </c>
      <c r="E108" s="64" t="str">
        <f>IFERROR(VLOOKUP(Table3[[#This Row],[Player No]],Table11[#All],2,0),"")</f>
        <v>MOHATLI Mpho</v>
      </c>
      <c r="F108" s="65" t="str">
        <f>IFERROR(VLOOKUP(Table3[[#This Row],[Player No]],Table11[#All],3,0),"")</f>
        <v>LIM</v>
      </c>
      <c r="G108" s="86">
        <v>18.75</v>
      </c>
      <c r="H108" s="809">
        <f>(Table3[[#This Row],[Points 2025]]/2)+SUM(Table3[[#This Row],[O1  ADMIN 2026]:[P2      CAPE TOWN OPEN 2026 ]])</f>
        <v>9.375</v>
      </c>
      <c r="I108" s="61">
        <f t="shared" si="9"/>
        <v>0</v>
      </c>
      <c r="J108" s="61">
        <f t="shared" si="10"/>
        <v>0</v>
      </c>
      <c r="K108" s="746" t="s">
        <v>6083</v>
      </c>
      <c r="L108" s="746" t="s">
        <v>6083</v>
      </c>
      <c r="M108" s="746" t="s">
        <v>6083</v>
      </c>
      <c r="N108" s="746"/>
      <c r="O108" s="61"/>
      <c r="P108" s="61"/>
      <c r="Q108" s="113"/>
      <c r="R108" s="113"/>
      <c r="S108" s="61"/>
      <c r="T108" s="113"/>
      <c r="U108" s="61"/>
      <c r="V108" s="746"/>
      <c r="W108" s="113"/>
      <c r="X108" s="61"/>
      <c r="Y108" s="61"/>
      <c r="Z108" s="113"/>
      <c r="AA108" s="61"/>
      <c r="AB108" s="61"/>
      <c r="AC108" s="61"/>
      <c r="AD108" s="61"/>
      <c r="AE108" s="61"/>
      <c r="AF108" s="61"/>
      <c r="AG108" s="61">
        <v>25</v>
      </c>
      <c r="AH108" s="61"/>
      <c r="AI108" s="61"/>
      <c r="AJ108" s="61"/>
      <c r="AK108" s="61"/>
    </row>
    <row r="109" spans="1:37">
      <c r="A109" s="61">
        <v>163</v>
      </c>
      <c r="B109" s="150">
        <f t="shared" si="13"/>
        <v>58</v>
      </c>
      <c r="C109" s="61">
        <f t="shared" si="11"/>
        <v>105</v>
      </c>
      <c r="D109" s="63">
        <v>8260</v>
      </c>
      <c r="E109" s="64" t="str">
        <f>IFERROR(VLOOKUP(Table3[[#This Row],[Player No]],Table11[#All],2,0),"")</f>
        <v>HUNKIN Sarah</v>
      </c>
      <c r="F109" s="65" t="str">
        <f>IFERROR(VLOOKUP(Table3[[#This Row],[Player No]],Table11[#All],3,0),"")</f>
        <v>JTTA</v>
      </c>
      <c r="G109" s="86">
        <v>16.5</v>
      </c>
      <c r="H109" s="809">
        <f>(Table3[[#This Row],[Points 2025]]/2)+SUM(Table3[[#This Row],[O1  ADMIN 2026]:[P2      CAPE TOWN OPEN 2026 ]])</f>
        <v>9.25</v>
      </c>
      <c r="I109" s="61">
        <f t="shared" si="9"/>
        <v>1</v>
      </c>
      <c r="J109" s="61">
        <f t="shared" si="10"/>
        <v>0</v>
      </c>
      <c r="K109" s="746">
        <v>1</v>
      </c>
      <c r="L109" s="746" t="s">
        <v>6083</v>
      </c>
      <c r="M109" s="746" t="s">
        <v>6083</v>
      </c>
      <c r="N109" s="746"/>
      <c r="O109" s="61"/>
      <c r="P109" s="61"/>
      <c r="Q109" s="113"/>
      <c r="R109" s="113"/>
      <c r="S109" s="61"/>
      <c r="T109" s="113"/>
      <c r="U109" s="61"/>
      <c r="V109" s="746"/>
      <c r="W109" s="113"/>
      <c r="X109" s="61"/>
      <c r="Y109" s="61">
        <v>1</v>
      </c>
      <c r="Z109" s="113"/>
      <c r="AA109" s="61">
        <v>15</v>
      </c>
      <c r="AB109" s="61"/>
      <c r="AC109" s="61"/>
      <c r="AD109" s="61"/>
      <c r="AE109" s="61"/>
      <c r="AF109" s="61"/>
      <c r="AG109" s="61"/>
      <c r="AH109" s="61"/>
      <c r="AI109" s="61"/>
      <c r="AJ109" s="61"/>
      <c r="AK109" s="61">
        <v>1</v>
      </c>
    </row>
    <row r="110" spans="1:37">
      <c r="A110" s="61">
        <v>37</v>
      </c>
      <c r="B110" s="150">
        <f t="shared" si="13"/>
        <v>-69</v>
      </c>
      <c r="C110" s="61">
        <f t="shared" si="11"/>
        <v>106</v>
      </c>
      <c r="D110" s="63">
        <v>7105</v>
      </c>
      <c r="E110" s="64" t="str">
        <f>IFERROR(VLOOKUP(Table3[[#This Row],[Player No]],Table11[#All],2,0),"")</f>
        <v xml:space="preserve">WOOD Angeline </v>
      </c>
      <c r="F110" s="65" t="str">
        <f>IFERROR(VLOOKUP(Table3[[#This Row],[Player No]],Table11[#All],3,0),"")</f>
        <v>CT</v>
      </c>
      <c r="G110" s="86">
        <v>18.23828125</v>
      </c>
      <c r="H110" s="809">
        <f>(Table3[[#This Row],[Points 2025]]/2)+SUM(Table3[[#This Row],[O1  ADMIN 2026]:[P2      CAPE TOWN OPEN 2026 ]])</f>
        <v>9.119140625</v>
      </c>
      <c r="I110" s="61">
        <f t="shared" si="9"/>
        <v>0</v>
      </c>
      <c r="J110" s="61">
        <f t="shared" si="10"/>
        <v>0</v>
      </c>
      <c r="K110" s="746" t="s">
        <v>6083</v>
      </c>
      <c r="L110" s="746" t="s">
        <v>6083</v>
      </c>
      <c r="M110" s="746" t="s">
        <v>6083</v>
      </c>
      <c r="N110" s="746"/>
      <c r="O110" s="61"/>
      <c r="P110" s="61"/>
      <c r="Q110" s="113"/>
      <c r="R110" s="113"/>
      <c r="S110" s="61"/>
      <c r="T110" s="113"/>
      <c r="U110" s="61"/>
      <c r="V110" s="746"/>
      <c r="W110" s="113"/>
      <c r="X110" s="61"/>
      <c r="Y110" s="61"/>
      <c r="Z110" s="113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</row>
    <row r="111" spans="1:37">
      <c r="A111" s="172"/>
      <c r="B111" s="150">
        <f t="shared" si="13"/>
        <v>-107</v>
      </c>
      <c r="C111" s="61">
        <f t="shared" si="11"/>
        <v>107</v>
      </c>
      <c r="D111" s="169">
        <v>8410</v>
      </c>
      <c r="E111" s="64" t="str">
        <f>IFERROR(VLOOKUP(Table3[[#This Row],[Player No]],Table11[#All],2,0),"")</f>
        <v>THABETHE Amogelang</v>
      </c>
      <c r="F111" s="65" t="str">
        <f>IFERROR(VLOOKUP(Table3[[#This Row],[Player No]],Table11[#All],3,0),"")</f>
        <v>EKU</v>
      </c>
      <c r="G111" s="234">
        <v>17</v>
      </c>
      <c r="H111" s="813">
        <f>(Table3[[#This Row],[Points 2025]]/2)+SUM(Table3[[#This Row],[O1  ADMIN 2026]:[P2      CAPE TOWN OPEN 2026 ]])</f>
        <v>8.5</v>
      </c>
      <c r="I111" s="61">
        <f t="shared" si="9"/>
        <v>0</v>
      </c>
      <c r="J111" s="61">
        <f t="shared" si="10"/>
        <v>0</v>
      </c>
      <c r="K111" s="746" t="s">
        <v>6083</v>
      </c>
      <c r="L111" s="746" t="s">
        <v>6083</v>
      </c>
      <c r="M111" s="746" t="s">
        <v>6083</v>
      </c>
      <c r="N111" s="746"/>
      <c r="O111" s="172"/>
      <c r="P111" s="172"/>
      <c r="Q111" s="345"/>
      <c r="R111" s="345"/>
      <c r="S111" s="172"/>
      <c r="T111" s="345"/>
      <c r="U111" s="172"/>
      <c r="V111" s="749"/>
      <c r="W111" s="345"/>
      <c r="X111" s="172">
        <v>15</v>
      </c>
      <c r="Y111" s="172">
        <v>1</v>
      </c>
      <c r="Z111" s="345">
        <v>1</v>
      </c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</row>
    <row r="112" spans="1:37">
      <c r="A112" s="61">
        <v>129</v>
      </c>
      <c r="B112" s="150">
        <f t="shared" si="13"/>
        <v>21</v>
      </c>
      <c r="C112" s="61">
        <f t="shared" si="11"/>
        <v>108</v>
      </c>
      <c r="D112" s="63">
        <v>8107</v>
      </c>
      <c r="E112" s="64" t="str">
        <f>IFERROR(VLOOKUP(Table3[[#This Row],[Player No]],Table11[#All],2,0),"")</f>
        <v>MACHI Azile</v>
      </c>
      <c r="F112" s="65" t="str">
        <f>IFERROR(VLOOKUP(Table3[[#This Row],[Player No]],Table11[#All],3,0),"")</f>
        <v>ETK</v>
      </c>
      <c r="G112" s="86">
        <v>16.25</v>
      </c>
      <c r="H112" s="809">
        <f>(Table3[[#This Row],[Points 2025]]/2)+SUM(Table3[[#This Row],[O1  ADMIN 2026]:[P2      CAPE TOWN OPEN 2026 ]])</f>
        <v>8.125</v>
      </c>
      <c r="I112" s="61">
        <f t="shared" si="9"/>
        <v>0</v>
      </c>
      <c r="J112" s="61">
        <f t="shared" si="10"/>
        <v>0</v>
      </c>
      <c r="K112" s="746" t="s">
        <v>6083</v>
      </c>
      <c r="L112" s="746" t="s">
        <v>6083</v>
      </c>
      <c r="M112" s="746" t="s">
        <v>6083</v>
      </c>
      <c r="N112" s="746"/>
      <c r="O112" s="61"/>
      <c r="P112" s="61"/>
      <c r="Q112" s="113"/>
      <c r="R112" s="113"/>
      <c r="S112" s="61"/>
      <c r="T112" s="113"/>
      <c r="U112" s="61"/>
      <c r="V112" s="746"/>
      <c r="W112" s="113">
        <v>10</v>
      </c>
      <c r="X112" s="61"/>
      <c r="Y112" s="61"/>
      <c r="Z112" s="113"/>
      <c r="AA112" s="61"/>
      <c r="AB112" s="61"/>
      <c r="AC112" s="61"/>
      <c r="AD112" s="61"/>
      <c r="AE112" s="61"/>
      <c r="AF112" s="61"/>
      <c r="AG112" s="61">
        <v>10</v>
      </c>
      <c r="AH112" s="61"/>
      <c r="AI112" s="61"/>
      <c r="AJ112" s="61"/>
      <c r="AK112" s="61"/>
    </row>
    <row r="113" spans="1:37">
      <c r="A113" s="61">
        <v>40</v>
      </c>
      <c r="B113" s="150">
        <f t="shared" si="13"/>
        <v>-69</v>
      </c>
      <c r="C113" s="61">
        <f t="shared" si="11"/>
        <v>109</v>
      </c>
      <c r="D113" s="63">
        <v>7071</v>
      </c>
      <c r="E113" s="64" t="str">
        <f>IFERROR(VLOOKUP(Table3[[#This Row],[Player No]],Table11[#All],2,0),"")</f>
        <v xml:space="preserve">KUSWANI Connie </v>
      </c>
      <c r="F113" s="65" t="str">
        <f>IFERROR(VLOOKUP(Table3[[#This Row],[Player No]],Table11[#All],3,0),"")</f>
        <v>BOT</v>
      </c>
      <c r="G113" s="86">
        <v>15.9765625</v>
      </c>
      <c r="H113" s="809">
        <f>(Table3[[#This Row],[Points 2025]]/2)+SUM(Table3[[#This Row],[O1  ADMIN 2026]:[P2      CAPE TOWN OPEN 2026 ]])</f>
        <v>7.98828125</v>
      </c>
      <c r="I113" s="61">
        <f t="shared" si="9"/>
        <v>0</v>
      </c>
      <c r="J113" s="61">
        <f t="shared" si="10"/>
        <v>0</v>
      </c>
      <c r="K113" s="746" t="s">
        <v>6083</v>
      </c>
      <c r="L113" s="746" t="s">
        <v>6083</v>
      </c>
      <c r="M113" s="746" t="s">
        <v>6083</v>
      </c>
      <c r="N113" s="746"/>
      <c r="O113" s="61"/>
      <c r="P113" s="61"/>
      <c r="Q113" s="113"/>
      <c r="R113" s="113"/>
      <c r="S113" s="61"/>
      <c r="T113" s="113"/>
      <c r="U113" s="61"/>
      <c r="V113" s="746"/>
      <c r="W113" s="113"/>
      <c r="X113" s="61"/>
      <c r="Y113" s="61"/>
      <c r="Z113" s="113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</row>
    <row r="114" spans="1:37">
      <c r="A114" s="202"/>
      <c r="B114" s="150">
        <f t="shared" si="13"/>
        <v>-110</v>
      </c>
      <c r="C114" s="61">
        <f t="shared" si="11"/>
        <v>110</v>
      </c>
      <c r="D114" s="208">
        <v>8704</v>
      </c>
      <c r="E114" s="64" t="str">
        <f>IFERROR(VLOOKUP(Table3[[#This Row],[Player No]],Table11[#All],2,0),"")</f>
        <v>Lungiswa METHULA</v>
      </c>
      <c r="F114" s="65" t="str">
        <f>IFERROR(VLOOKUP(Table3[[#This Row],[Player No]],Table11[#All],3,0),"")</f>
        <v>JTTA</v>
      </c>
      <c r="G114" s="311">
        <v>15</v>
      </c>
      <c r="H114" s="810">
        <f>(Table3[[#This Row],[Points 2025]]/2)+SUM(Table3[[#This Row],[O1  ADMIN 2026]:[P2      CAPE TOWN OPEN 2026 ]])</f>
        <v>7.5</v>
      </c>
      <c r="I114" s="279">
        <f t="shared" si="9"/>
        <v>0</v>
      </c>
      <c r="J114" s="208">
        <f t="shared" si="10"/>
        <v>0</v>
      </c>
      <c r="K114" s="710" t="s">
        <v>6083</v>
      </c>
      <c r="L114" s="710" t="s">
        <v>6083</v>
      </c>
      <c r="M114" s="710" t="s">
        <v>6083</v>
      </c>
      <c r="N114" s="710"/>
      <c r="O114" s="202"/>
      <c r="P114" s="202"/>
      <c r="Q114" s="289"/>
      <c r="R114" s="289"/>
      <c r="S114" s="202"/>
      <c r="T114" s="289"/>
      <c r="U114" s="202"/>
      <c r="V114" s="751"/>
      <c r="W114" s="289"/>
      <c r="X114" s="202">
        <v>15</v>
      </c>
      <c r="Y114" s="202"/>
      <c r="Z114" s="289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</row>
    <row r="115" spans="1:37">
      <c r="A115" s="339"/>
      <c r="B115" s="150">
        <f t="shared" si="13"/>
        <v>-111</v>
      </c>
      <c r="C115" s="61">
        <f t="shared" si="11"/>
        <v>111</v>
      </c>
      <c r="D115" s="327">
        <v>8709</v>
      </c>
      <c r="E115" s="64" t="str">
        <f>IFERROR(VLOOKUP(Table3[[#This Row],[Player No]],Table11[#All],2,0),"")</f>
        <v xml:space="preserve">REDDY Jasmine </v>
      </c>
      <c r="F115" s="65" t="str">
        <f>IFERROR(VLOOKUP(Table3[[#This Row],[Player No]],Table11[#All],3,0),"")</f>
        <v>UMG</v>
      </c>
      <c r="G115" s="343">
        <v>15</v>
      </c>
      <c r="H115" s="812">
        <f>(Table3[[#This Row],[Points 2025]]/2)+SUM(Table3[[#This Row],[O1  ADMIN 2026]:[P2      CAPE TOWN OPEN 2026 ]])</f>
        <v>7.5</v>
      </c>
      <c r="I115" s="344">
        <f t="shared" si="9"/>
        <v>0</v>
      </c>
      <c r="J115" s="327">
        <f t="shared" si="10"/>
        <v>0</v>
      </c>
      <c r="K115" s="711" t="s">
        <v>6083</v>
      </c>
      <c r="L115" s="711" t="s">
        <v>6083</v>
      </c>
      <c r="M115" s="711" t="s">
        <v>6083</v>
      </c>
      <c r="N115" s="711"/>
      <c r="O115" s="339"/>
      <c r="P115" s="339"/>
      <c r="Q115" s="337"/>
      <c r="R115" s="337"/>
      <c r="S115" s="339"/>
      <c r="T115" s="337">
        <v>15</v>
      </c>
      <c r="U115" s="339"/>
      <c r="V115" s="748"/>
      <c r="W115" s="337"/>
      <c r="X115" s="339"/>
      <c r="Y115" s="339"/>
      <c r="Z115" s="337"/>
      <c r="AA115" s="339"/>
      <c r="AB115" s="339"/>
      <c r="AC115" s="339"/>
      <c r="AD115" s="339"/>
      <c r="AE115" s="339"/>
      <c r="AF115" s="339"/>
      <c r="AG115" s="339"/>
      <c r="AH115" s="339"/>
      <c r="AI115" s="339"/>
      <c r="AJ115" s="339"/>
      <c r="AK115" s="339"/>
    </row>
    <row r="116" spans="1:37">
      <c r="A116" s="172"/>
      <c r="B116" s="150">
        <f t="shared" si="13"/>
        <v>-112</v>
      </c>
      <c r="C116" s="61">
        <f t="shared" si="11"/>
        <v>112</v>
      </c>
      <c r="D116" s="169">
        <v>8676</v>
      </c>
      <c r="E116" s="64" t="str">
        <f>IFERROR(VLOOKUP(Table3[[#This Row],[Player No]],Table11[#All],2,0),"")</f>
        <v>THUSI Lindelwa</v>
      </c>
      <c r="F116" s="65" t="str">
        <f>IFERROR(VLOOKUP(Table3[[#This Row],[Player No]],Table11[#All],3,0),"")</f>
        <v>UMG</v>
      </c>
      <c r="G116" s="234">
        <v>15</v>
      </c>
      <c r="H116" s="813">
        <f>(Table3[[#This Row],[Points 2025]]/2)+SUM(Table3[[#This Row],[O1  ADMIN 2026]:[P2      CAPE TOWN OPEN 2026 ]])</f>
        <v>7.5</v>
      </c>
      <c r="I116" s="61">
        <f t="shared" si="9"/>
        <v>0</v>
      </c>
      <c r="J116" s="61">
        <f t="shared" si="10"/>
        <v>0</v>
      </c>
      <c r="K116" s="746" t="s">
        <v>6083</v>
      </c>
      <c r="L116" s="746" t="s">
        <v>6083</v>
      </c>
      <c r="M116" s="746" t="s">
        <v>6083</v>
      </c>
      <c r="N116" s="746"/>
      <c r="O116" s="172"/>
      <c r="P116" s="172"/>
      <c r="Q116" s="345"/>
      <c r="R116" s="345"/>
      <c r="S116" s="172"/>
      <c r="T116" s="345"/>
      <c r="U116" s="172"/>
      <c r="V116" s="749"/>
      <c r="W116" s="345"/>
      <c r="X116" s="172"/>
      <c r="Y116" s="172"/>
      <c r="Z116" s="345"/>
      <c r="AA116" s="172">
        <v>15</v>
      </c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</row>
    <row r="117" spans="1:37">
      <c r="A117" s="359"/>
      <c r="B117" s="374">
        <f xml:space="preserve"> +A117-C117</f>
        <v>-113</v>
      </c>
      <c r="C117" s="61">
        <f t="shared" si="11"/>
        <v>113</v>
      </c>
      <c r="D117" s="361">
        <v>8317</v>
      </c>
      <c r="E117" s="64" t="str">
        <f>IFERROR(VLOOKUP(Table3[[#This Row],[Player No]],Table11[#All],2,0),"")</f>
        <v xml:space="preserve">KHOZA Simangele </v>
      </c>
      <c r="F117" s="65" t="str">
        <f>IFERROR(VLOOKUP(Table3[[#This Row],[Player No]],Table11[#All],3,0),"")</f>
        <v>ETK</v>
      </c>
      <c r="G117" s="375">
        <v>11</v>
      </c>
      <c r="H117" s="814">
        <f>(Table3[[#This Row],[Points 2025]]/2)+SUM(Table3[[#This Row],[O1  ADMIN 2026]:[P2      CAPE TOWN OPEN 2026 ]])</f>
        <v>7.5</v>
      </c>
      <c r="I117" s="376">
        <f t="shared" si="9"/>
        <v>1</v>
      </c>
      <c r="J117" s="361">
        <f t="shared" si="10"/>
        <v>0</v>
      </c>
      <c r="K117" s="738" t="s">
        <v>6083</v>
      </c>
      <c r="L117" s="738" t="s">
        <v>6083</v>
      </c>
      <c r="M117" s="738">
        <v>2</v>
      </c>
      <c r="N117" s="738"/>
      <c r="O117" s="359"/>
      <c r="P117" s="359"/>
      <c r="Q117" s="372"/>
      <c r="R117" s="372">
        <v>1</v>
      </c>
      <c r="S117" s="359"/>
      <c r="T117" s="372"/>
      <c r="U117" s="359"/>
      <c r="V117" s="752"/>
      <c r="W117" s="372">
        <v>10</v>
      </c>
      <c r="X117" s="359"/>
      <c r="Y117" s="359"/>
      <c r="Z117" s="372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</row>
    <row r="118" spans="1:37">
      <c r="A118" s="61"/>
      <c r="B118" s="150">
        <f t="shared" ref="B118:B126" si="14">+A118-C118</f>
        <v>-114</v>
      </c>
      <c r="C118" s="61">
        <f t="shared" si="11"/>
        <v>114</v>
      </c>
      <c r="D118" s="63">
        <v>7212</v>
      </c>
      <c r="E118" s="64" t="str">
        <f>IFERROR(VLOOKUP(Table3[[#This Row],[Player No]],Table11[#All],2,0),"")</f>
        <v xml:space="preserve">MOILANYANE Rorisang </v>
      </c>
      <c r="F118" s="65" t="str">
        <f>IFERROR(VLOOKUP(Table3[[#This Row],[Player No]],Table11[#All],3,0),"")</f>
        <v>NW</v>
      </c>
      <c r="G118" s="86">
        <v>13</v>
      </c>
      <c r="H118" s="809">
        <f>(Table3[[#This Row],[Points 2025]]/2)+SUM(Table3[[#This Row],[O1  ADMIN 2026]:[P2      CAPE TOWN OPEN 2026 ]])</f>
        <v>6.5</v>
      </c>
      <c r="I118" s="61">
        <f t="shared" si="9"/>
        <v>0</v>
      </c>
      <c r="J118" s="61">
        <f t="shared" si="10"/>
        <v>0</v>
      </c>
      <c r="K118" s="746" t="s">
        <v>6083</v>
      </c>
      <c r="L118" s="746" t="s">
        <v>6083</v>
      </c>
      <c r="M118" s="746" t="s">
        <v>6083</v>
      </c>
      <c r="N118" s="746"/>
      <c r="O118" s="61"/>
      <c r="P118" s="61"/>
      <c r="Q118" s="113"/>
      <c r="R118" s="113"/>
      <c r="S118" s="61"/>
      <c r="T118" s="113"/>
      <c r="U118" s="61"/>
      <c r="V118" s="746"/>
      <c r="W118" s="113">
        <v>10</v>
      </c>
      <c r="X118" s="61"/>
      <c r="Y118" s="61"/>
      <c r="Z118" s="113"/>
      <c r="AA118" s="61"/>
      <c r="AB118" s="61"/>
      <c r="AC118" s="61"/>
      <c r="AD118" s="61"/>
      <c r="AE118" s="61"/>
      <c r="AF118" s="61"/>
      <c r="AG118" s="61">
        <v>5</v>
      </c>
      <c r="AH118" s="61"/>
      <c r="AI118" s="61"/>
      <c r="AJ118" s="61"/>
      <c r="AK118" s="61"/>
    </row>
    <row r="119" spans="1:37">
      <c r="A119" s="61">
        <v>57</v>
      </c>
      <c r="B119" s="150">
        <f t="shared" si="14"/>
        <v>-58</v>
      </c>
      <c r="C119" s="61">
        <f t="shared" si="11"/>
        <v>115</v>
      </c>
      <c r="D119" s="63">
        <v>7782</v>
      </c>
      <c r="E119" s="64" t="str">
        <f>IFERROR(VLOOKUP(Table3[[#This Row],[Player No]],Table11[#All],2,0),"")</f>
        <v>MODISENYANI Rhetabile</v>
      </c>
      <c r="F119" s="65" t="str">
        <f>IFERROR(VLOOKUP(Table3[[#This Row],[Player No]],Table11[#All],3,0),"")</f>
        <v>FS</v>
      </c>
      <c r="G119" s="86">
        <v>12.8125</v>
      </c>
      <c r="H119" s="809">
        <f>(Table3[[#This Row],[Points 2025]]/2)+SUM(Table3[[#This Row],[O1  ADMIN 2026]:[P2      CAPE TOWN OPEN 2026 ]])</f>
        <v>6.40625</v>
      </c>
      <c r="I119" s="61">
        <f t="shared" si="9"/>
        <v>0</v>
      </c>
      <c r="J119" s="61">
        <f t="shared" si="10"/>
        <v>0</v>
      </c>
      <c r="K119" s="746" t="s">
        <v>6083</v>
      </c>
      <c r="L119" s="746" t="s">
        <v>6083</v>
      </c>
      <c r="M119" s="746" t="s">
        <v>6083</v>
      </c>
      <c r="N119" s="746"/>
      <c r="O119" s="61"/>
      <c r="P119" s="61"/>
      <c r="Q119" s="113"/>
      <c r="R119" s="113"/>
      <c r="S119" s="61"/>
      <c r="T119" s="113"/>
      <c r="U119" s="61"/>
      <c r="V119" s="746"/>
      <c r="W119" s="113"/>
      <c r="X119" s="61"/>
      <c r="Y119" s="61"/>
      <c r="Z119" s="113"/>
      <c r="AA119" s="61"/>
      <c r="AB119" s="61"/>
      <c r="AC119" s="61"/>
      <c r="AD119" s="61"/>
      <c r="AE119" s="61"/>
      <c r="AF119" s="61"/>
      <c r="AG119" s="61">
        <v>10</v>
      </c>
      <c r="AH119" s="61"/>
      <c r="AI119" s="61"/>
      <c r="AJ119" s="61"/>
      <c r="AK119" s="61"/>
    </row>
    <row r="120" spans="1:37">
      <c r="A120" s="61"/>
      <c r="B120" s="150">
        <f t="shared" si="14"/>
        <v>-116</v>
      </c>
      <c r="C120" s="61">
        <f t="shared" si="11"/>
        <v>116</v>
      </c>
      <c r="D120" s="63">
        <v>8613</v>
      </c>
      <c r="E120" s="64" t="str">
        <f>IFERROR(VLOOKUP(Table3[[#This Row],[Player No]],Table11[#All],2,0),"")</f>
        <v xml:space="preserve">R Zangele (FS) </v>
      </c>
      <c r="F120" s="65" t="str">
        <f>IFERROR(VLOOKUP(Table3[[#This Row],[Player No]],Table11[#All],3,0),"")</f>
        <v>FS</v>
      </c>
      <c r="G120" s="86">
        <v>12.5</v>
      </c>
      <c r="H120" s="809">
        <f>(Table3[[#This Row],[Points 2025]]/2)+SUM(Table3[[#This Row],[O1  ADMIN 2026]:[P2      CAPE TOWN OPEN 2026 ]])</f>
        <v>6.25</v>
      </c>
      <c r="I120" s="61">
        <f t="shared" si="9"/>
        <v>0</v>
      </c>
      <c r="J120" s="61">
        <f t="shared" si="10"/>
        <v>0</v>
      </c>
      <c r="K120" s="746" t="s">
        <v>6083</v>
      </c>
      <c r="L120" s="746" t="s">
        <v>6083</v>
      </c>
      <c r="M120" s="746" t="s">
        <v>6083</v>
      </c>
      <c r="N120" s="746"/>
      <c r="O120" s="61"/>
      <c r="P120" s="61"/>
      <c r="Q120" s="113"/>
      <c r="R120" s="113"/>
      <c r="S120" s="61"/>
      <c r="T120" s="113"/>
      <c r="U120" s="61">
        <v>12.5</v>
      </c>
      <c r="V120" s="746"/>
      <c r="W120" s="113"/>
      <c r="X120" s="61"/>
      <c r="Y120" s="61"/>
      <c r="Z120" s="113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</row>
    <row r="121" spans="1:37">
      <c r="A121" s="61">
        <v>350</v>
      </c>
      <c r="B121" s="150">
        <f t="shared" si="14"/>
        <v>233</v>
      </c>
      <c r="C121" s="61">
        <f t="shared" si="11"/>
        <v>117</v>
      </c>
      <c r="D121" s="63">
        <v>7603</v>
      </c>
      <c r="E121" s="64" t="str">
        <f>IFERROR(VLOOKUP(Table3[[#This Row],[Player No]],Table11[#All],2,0),"")</f>
        <v>DIEDERICKS Aaminah</v>
      </c>
      <c r="F121" s="65" t="str">
        <f>IFERROR(VLOOKUP(Table3[[#This Row],[Player No]],Table11[#All],3,0),"")</f>
        <v>CW</v>
      </c>
      <c r="G121" s="86">
        <v>12.5</v>
      </c>
      <c r="H121" s="809">
        <f>(Table3[[#This Row],[Points 2025]]/2)+SUM(Table3[[#This Row],[O1  ADMIN 2026]:[P2      CAPE TOWN OPEN 2026 ]])</f>
        <v>6.25</v>
      </c>
      <c r="I121" s="61">
        <f t="shared" si="9"/>
        <v>0</v>
      </c>
      <c r="J121" s="61">
        <f t="shared" si="10"/>
        <v>0</v>
      </c>
      <c r="K121" s="746" t="s">
        <v>6083</v>
      </c>
      <c r="L121" s="746" t="s">
        <v>6083</v>
      </c>
      <c r="M121" s="746" t="s">
        <v>6083</v>
      </c>
      <c r="N121" s="746"/>
      <c r="O121" s="61"/>
      <c r="P121" s="61"/>
      <c r="Q121" s="113"/>
      <c r="R121" s="113"/>
      <c r="S121" s="61"/>
      <c r="T121" s="113"/>
      <c r="U121" s="61"/>
      <c r="V121" s="746"/>
      <c r="W121" s="113"/>
      <c r="X121" s="61"/>
      <c r="Y121" s="61"/>
      <c r="Z121" s="113"/>
      <c r="AA121" s="61"/>
      <c r="AB121" s="61"/>
      <c r="AC121" s="61"/>
      <c r="AD121" s="61"/>
      <c r="AE121" s="61"/>
      <c r="AF121" s="61">
        <v>25</v>
      </c>
      <c r="AG121" s="61"/>
      <c r="AH121" s="61"/>
      <c r="AI121" s="61"/>
      <c r="AJ121" s="61"/>
      <c r="AK121" s="61"/>
    </row>
    <row r="122" spans="1:37">
      <c r="A122" s="61">
        <v>351</v>
      </c>
      <c r="B122" s="150">
        <f t="shared" si="14"/>
        <v>233</v>
      </c>
      <c r="C122" s="61">
        <f t="shared" si="11"/>
        <v>118</v>
      </c>
      <c r="D122" s="63">
        <v>8398</v>
      </c>
      <c r="E122" s="64" t="str">
        <f>IFERROR(VLOOKUP(Table3[[#This Row],[Player No]],Table11[#All],2,0),"")</f>
        <v>Eleen Meyer</v>
      </c>
      <c r="F122" s="65" t="str">
        <f>IFERROR(VLOOKUP(Table3[[#This Row],[Player No]],Table11[#All],3,0),"")</f>
        <v>CW</v>
      </c>
      <c r="G122" s="86">
        <v>12.5</v>
      </c>
      <c r="H122" s="809">
        <f>(Table3[[#This Row],[Points 2025]]/2)+SUM(Table3[[#This Row],[O1  ADMIN 2026]:[P2      CAPE TOWN OPEN 2026 ]])</f>
        <v>6.25</v>
      </c>
      <c r="I122" s="61">
        <f t="shared" si="9"/>
        <v>0</v>
      </c>
      <c r="J122" s="61">
        <f t="shared" si="10"/>
        <v>0</v>
      </c>
      <c r="K122" s="746" t="s">
        <v>6083</v>
      </c>
      <c r="L122" s="746" t="s">
        <v>6083</v>
      </c>
      <c r="M122" s="746" t="s">
        <v>6083</v>
      </c>
      <c r="N122" s="746"/>
      <c r="O122" s="61"/>
      <c r="P122" s="61"/>
      <c r="Q122" s="113"/>
      <c r="R122" s="113"/>
      <c r="S122" s="61"/>
      <c r="T122" s="113"/>
      <c r="U122" s="61"/>
      <c r="V122" s="746"/>
      <c r="W122" s="113"/>
      <c r="X122" s="61"/>
      <c r="Y122" s="61"/>
      <c r="Z122" s="113"/>
      <c r="AA122" s="61"/>
      <c r="AB122" s="61"/>
      <c r="AC122" s="61"/>
      <c r="AD122" s="61"/>
      <c r="AE122" s="61"/>
      <c r="AF122" s="61">
        <v>25</v>
      </c>
      <c r="AG122" s="61"/>
      <c r="AH122" s="61"/>
      <c r="AI122" s="61"/>
      <c r="AJ122" s="61"/>
      <c r="AK122" s="61"/>
    </row>
    <row r="123" spans="1:37">
      <c r="A123" s="61"/>
      <c r="B123" s="150">
        <f t="shared" si="14"/>
        <v>-119</v>
      </c>
      <c r="C123" s="61">
        <f t="shared" si="11"/>
        <v>119</v>
      </c>
      <c r="D123" s="211">
        <v>8511</v>
      </c>
      <c r="E123" s="64" t="str">
        <f>IFERROR(VLOOKUP(Table3[[#This Row],[Player No]],Table11[#All],2,0),"")</f>
        <v xml:space="preserve">MANUAL Nurul Hudaa </v>
      </c>
      <c r="F123" s="65" t="str">
        <f>IFERROR(VLOOKUP(Table3[[#This Row],[Player No]],Table11[#All],3,0),"")</f>
        <v>CT</v>
      </c>
      <c r="G123" s="86">
        <v>12.5</v>
      </c>
      <c r="H123" s="809">
        <f>(Table3[[#This Row],[Points 2025]]/2)+SUM(Table3[[#This Row],[O1  ADMIN 2026]:[P2      CAPE TOWN OPEN 2026 ]])</f>
        <v>6.25</v>
      </c>
      <c r="I123" s="61">
        <f t="shared" si="9"/>
        <v>0</v>
      </c>
      <c r="J123" s="61">
        <f t="shared" si="10"/>
        <v>0</v>
      </c>
      <c r="K123" s="746" t="s">
        <v>6083</v>
      </c>
      <c r="L123" s="746" t="s">
        <v>6083</v>
      </c>
      <c r="M123" s="746" t="s">
        <v>6083</v>
      </c>
      <c r="N123" s="746"/>
      <c r="O123" s="61"/>
      <c r="P123" s="61"/>
      <c r="Q123" s="113"/>
      <c r="R123" s="113"/>
      <c r="S123" s="61"/>
      <c r="T123" s="113"/>
      <c r="U123" s="61"/>
      <c r="V123" s="746"/>
      <c r="W123" s="113"/>
      <c r="X123" s="61"/>
      <c r="Y123" s="61"/>
      <c r="Z123" s="113"/>
      <c r="AA123" s="61"/>
      <c r="AB123" s="61"/>
      <c r="AC123" s="61"/>
      <c r="AD123" s="61"/>
      <c r="AE123" s="61">
        <v>25</v>
      </c>
      <c r="AF123" s="61"/>
      <c r="AG123" s="61"/>
      <c r="AH123" s="61"/>
      <c r="AI123" s="61"/>
      <c r="AJ123" s="61"/>
      <c r="AK123" s="61"/>
    </row>
    <row r="124" spans="1:37">
      <c r="A124" s="61">
        <v>65</v>
      </c>
      <c r="B124" s="150">
        <f t="shared" si="14"/>
        <v>-55</v>
      </c>
      <c r="C124" s="61">
        <f t="shared" si="11"/>
        <v>120</v>
      </c>
      <c r="D124" s="63">
        <v>7453</v>
      </c>
      <c r="E124" s="64" t="str">
        <f>IFERROR(VLOOKUP(Table3[[#This Row],[Player No]],Table11[#All],2,0),"")</f>
        <v xml:space="preserve">BHARATH Shivadhna </v>
      </c>
      <c r="F124" s="65" t="str">
        <f>IFERROR(VLOOKUP(Table3[[#This Row],[Player No]],Table11[#All],3,0),"")</f>
        <v>GN</v>
      </c>
      <c r="G124" s="86">
        <v>12.375</v>
      </c>
      <c r="H124" s="809">
        <f>(Table3[[#This Row],[Points 2025]]/2)+SUM(Table3[[#This Row],[O1  ADMIN 2026]:[P2      CAPE TOWN OPEN 2026 ]])</f>
        <v>6.1875</v>
      </c>
      <c r="I124" s="61">
        <f t="shared" si="9"/>
        <v>0</v>
      </c>
      <c r="J124" s="61">
        <f t="shared" si="10"/>
        <v>0</v>
      </c>
      <c r="K124" s="746" t="s">
        <v>6083</v>
      </c>
      <c r="L124" s="746" t="s">
        <v>6083</v>
      </c>
      <c r="M124" s="746" t="s">
        <v>6083</v>
      </c>
      <c r="N124" s="746"/>
      <c r="O124" s="61"/>
      <c r="P124" s="61"/>
      <c r="Q124" s="113"/>
      <c r="R124" s="113"/>
      <c r="S124" s="61"/>
      <c r="T124" s="113"/>
      <c r="U124" s="61"/>
      <c r="V124" s="746"/>
      <c r="W124" s="113"/>
      <c r="X124" s="61"/>
      <c r="Y124" s="61"/>
      <c r="Z124" s="113"/>
      <c r="AA124" s="61"/>
      <c r="AB124" s="61"/>
      <c r="AC124" s="61"/>
      <c r="AD124" s="61"/>
      <c r="AE124" s="61"/>
      <c r="AF124" s="61"/>
      <c r="AG124" s="61">
        <v>10</v>
      </c>
      <c r="AH124" s="61"/>
      <c r="AI124" s="61"/>
      <c r="AJ124" s="61"/>
      <c r="AK124" s="61"/>
    </row>
    <row r="125" spans="1:37">
      <c r="A125" s="61">
        <v>50</v>
      </c>
      <c r="B125" s="150">
        <f t="shared" si="14"/>
        <v>-71</v>
      </c>
      <c r="C125" s="61">
        <f t="shared" si="11"/>
        <v>121</v>
      </c>
      <c r="D125" s="63">
        <v>8051</v>
      </c>
      <c r="E125" s="64" t="str">
        <f>IFERROR(VLOOKUP(Table3[[#This Row],[Player No]],Table11[#All],2,0),"")</f>
        <v>WITBOOI Melissa</v>
      </c>
      <c r="F125" s="65" t="str">
        <f>IFERROR(VLOOKUP(Table3[[#This Row],[Player No]],Table11[#All],3,0),"")</f>
        <v>CT</v>
      </c>
      <c r="G125" s="86">
        <v>10.9375</v>
      </c>
      <c r="H125" s="809">
        <f>(Table3[[#This Row],[Points 2025]]/2)+SUM(Table3[[#This Row],[O1  ADMIN 2026]:[P2      CAPE TOWN OPEN 2026 ]])</f>
        <v>5.46875</v>
      </c>
      <c r="I125" s="61">
        <f t="shared" si="9"/>
        <v>0</v>
      </c>
      <c r="J125" s="61">
        <f t="shared" si="10"/>
        <v>0</v>
      </c>
      <c r="K125" s="746" t="s">
        <v>6083</v>
      </c>
      <c r="L125" s="746" t="s">
        <v>6083</v>
      </c>
      <c r="M125" s="746" t="s">
        <v>6083</v>
      </c>
      <c r="N125" s="746"/>
      <c r="O125" s="61"/>
      <c r="P125" s="61"/>
      <c r="Q125" s="113"/>
      <c r="R125" s="113"/>
      <c r="S125" s="61"/>
      <c r="T125" s="113"/>
      <c r="U125" s="61"/>
      <c r="V125" s="746"/>
      <c r="W125" s="113"/>
      <c r="X125" s="61"/>
      <c r="Y125" s="61"/>
      <c r="Z125" s="113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</row>
    <row r="126" spans="1:37">
      <c r="A126" s="61"/>
      <c r="B126" s="150">
        <f t="shared" si="14"/>
        <v>-122</v>
      </c>
      <c r="C126" s="61">
        <f t="shared" si="11"/>
        <v>122</v>
      </c>
      <c r="D126" s="63">
        <v>8295</v>
      </c>
      <c r="E126" s="64" t="str">
        <f>IFERROR(VLOOKUP(Table3[[#This Row],[Player No]],Table11[#All],2,0),"")</f>
        <v>Chinanga Mpilo Enhle</v>
      </c>
      <c r="F126" s="65" t="str">
        <f>IFERROR(VLOOKUP(Table3[[#This Row],[Player No]],Table11[#All],3,0),"")</f>
        <v>ETK</v>
      </c>
      <c r="G126" s="86">
        <v>10</v>
      </c>
      <c r="H126" s="809">
        <f>(Table3[[#This Row],[Points 2025]]/2)+SUM(Table3[[#This Row],[O1  ADMIN 2026]:[P2      CAPE TOWN OPEN 2026 ]])</f>
        <v>5</v>
      </c>
      <c r="I126" s="61">
        <f t="shared" si="9"/>
        <v>0</v>
      </c>
      <c r="J126" s="61">
        <f t="shared" si="10"/>
        <v>0</v>
      </c>
      <c r="K126" s="746" t="s">
        <v>6083</v>
      </c>
      <c r="L126" s="746" t="s">
        <v>6083</v>
      </c>
      <c r="M126" s="746" t="s">
        <v>6083</v>
      </c>
      <c r="N126" s="746"/>
      <c r="O126" s="61"/>
      <c r="P126" s="61">
        <v>10</v>
      </c>
      <c r="Q126" s="113"/>
      <c r="R126" s="113"/>
      <c r="S126" s="61"/>
      <c r="T126" s="113"/>
      <c r="U126" s="61"/>
      <c r="V126" s="746"/>
      <c r="W126" s="113"/>
      <c r="X126" s="61"/>
      <c r="Y126" s="61"/>
      <c r="Z126" s="113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</row>
    <row r="127" spans="1:37">
      <c r="A127" s="359"/>
      <c r="B127" s="374">
        <f xml:space="preserve"> +A127-C127</f>
        <v>-123</v>
      </c>
      <c r="C127" s="61">
        <f t="shared" si="11"/>
        <v>123</v>
      </c>
      <c r="D127" s="361">
        <v>8235</v>
      </c>
      <c r="E127" s="64" t="str">
        <f>IFERROR(VLOOKUP(Table3[[#This Row],[Player No]],Table11[#All],2,0),"")</f>
        <v>MANSINH Avashnee</v>
      </c>
      <c r="F127" s="65" t="str">
        <f>IFERROR(VLOOKUP(Table3[[#This Row],[Player No]],Table11[#All],3,0),"")</f>
        <v>ETK</v>
      </c>
      <c r="G127" s="375">
        <v>10</v>
      </c>
      <c r="H127" s="814">
        <f>(Table3[[#This Row],[Points 2025]]/2)+SUM(Table3[[#This Row],[O1  ADMIN 2026]:[P2      CAPE TOWN OPEN 2026 ]])</f>
        <v>5</v>
      </c>
      <c r="I127" s="376">
        <f t="shared" si="9"/>
        <v>0</v>
      </c>
      <c r="J127" s="361">
        <f t="shared" si="10"/>
        <v>0</v>
      </c>
      <c r="K127" s="738" t="s">
        <v>6083</v>
      </c>
      <c r="L127" s="738" t="s">
        <v>6083</v>
      </c>
      <c r="M127" s="738" t="s">
        <v>6083</v>
      </c>
      <c r="N127" s="738"/>
      <c r="O127" s="359"/>
      <c r="P127" s="359"/>
      <c r="Q127" s="372"/>
      <c r="R127" s="372">
        <v>10</v>
      </c>
      <c r="S127" s="359"/>
      <c r="T127" s="372"/>
      <c r="U127" s="359"/>
      <c r="V127" s="752"/>
      <c r="W127" s="372"/>
      <c r="X127" s="359"/>
      <c r="Y127" s="359"/>
      <c r="Z127" s="372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  <c r="AK127" s="359"/>
    </row>
    <row r="128" spans="1:37">
      <c r="A128" s="61">
        <v>110</v>
      </c>
      <c r="B128" s="150">
        <f>+A128-C128</f>
        <v>-14</v>
      </c>
      <c r="C128" s="61">
        <f t="shared" si="11"/>
        <v>124</v>
      </c>
      <c r="D128" s="63">
        <v>7343</v>
      </c>
      <c r="E128" s="64" t="str">
        <f>IFERROR(VLOOKUP(Table3[[#This Row],[Player No]],Table11[#All],2,0),"")</f>
        <v xml:space="preserve">SAIT Janine </v>
      </c>
      <c r="F128" s="65" t="str">
        <f>IFERROR(VLOOKUP(Table3[[#This Row],[Player No]],Table11[#All],3,0),"")</f>
        <v>CT</v>
      </c>
      <c r="G128" s="86">
        <v>9.2734375</v>
      </c>
      <c r="H128" s="809">
        <f>(Table3[[#This Row],[Points 2025]]/2)+SUM(Table3[[#This Row],[O1  ADMIN 2026]:[P2      CAPE TOWN OPEN 2026 ]])</f>
        <v>4.63671875</v>
      </c>
      <c r="I128" s="61">
        <f t="shared" si="9"/>
        <v>0</v>
      </c>
      <c r="J128" s="61">
        <f t="shared" si="10"/>
        <v>0</v>
      </c>
      <c r="K128" s="746" t="s">
        <v>6083</v>
      </c>
      <c r="L128" s="746" t="s">
        <v>6083</v>
      </c>
      <c r="M128" s="746" t="s">
        <v>6083</v>
      </c>
      <c r="N128" s="746"/>
      <c r="O128" s="61"/>
      <c r="P128" s="61"/>
      <c r="Q128" s="113"/>
      <c r="R128" s="113"/>
      <c r="S128" s="61"/>
      <c r="T128" s="113"/>
      <c r="U128" s="61"/>
      <c r="V128" s="746"/>
      <c r="W128" s="113">
        <v>5</v>
      </c>
      <c r="X128" s="61"/>
      <c r="Y128" s="61"/>
      <c r="Z128" s="113"/>
      <c r="AA128" s="61"/>
      <c r="AB128" s="61">
        <v>2</v>
      </c>
      <c r="AC128" s="61"/>
      <c r="AD128" s="61"/>
      <c r="AE128" s="61">
        <v>1</v>
      </c>
      <c r="AF128" s="61"/>
      <c r="AG128" s="61"/>
      <c r="AH128" s="61"/>
      <c r="AI128" s="61"/>
      <c r="AJ128" s="61"/>
      <c r="AK128" s="61"/>
    </row>
    <row r="129" spans="1:37">
      <c r="A129" s="61"/>
      <c r="B129" s="150">
        <f>+A129-C129</f>
        <v>-125</v>
      </c>
      <c r="C129" s="61">
        <f t="shared" si="11"/>
        <v>125</v>
      </c>
      <c r="D129" s="63">
        <v>8635</v>
      </c>
      <c r="E129" s="64" t="str">
        <f>IFERROR(VLOOKUP(Table3[[#This Row],[Player No]],Table11[#All],2,0),"")</f>
        <v>NAIR Alyssa</v>
      </c>
      <c r="F129" s="65" t="str">
        <f>IFERROR(VLOOKUP(Table3[[#This Row],[Player No]],Table11[#All],3,0),"")</f>
        <v>UMG</v>
      </c>
      <c r="G129" s="86">
        <v>9</v>
      </c>
      <c r="H129" s="809">
        <f>(Table3[[#This Row],[Points 2025]]/2)+SUM(Table3[[#This Row],[O1  ADMIN 2026]:[P2      CAPE TOWN OPEN 2026 ]])</f>
        <v>4.5</v>
      </c>
      <c r="I129" s="61">
        <f t="shared" si="9"/>
        <v>0</v>
      </c>
      <c r="J129" s="61">
        <f t="shared" si="10"/>
        <v>0</v>
      </c>
      <c r="K129" s="746" t="s">
        <v>6083</v>
      </c>
      <c r="L129" s="746" t="s">
        <v>6083</v>
      </c>
      <c r="M129" s="746" t="s">
        <v>6083</v>
      </c>
      <c r="N129" s="746"/>
      <c r="O129" s="61">
        <v>1</v>
      </c>
      <c r="P129" s="61">
        <v>1</v>
      </c>
      <c r="Q129" s="113">
        <v>1</v>
      </c>
      <c r="R129" s="113">
        <v>1</v>
      </c>
      <c r="S129" s="61"/>
      <c r="T129" s="113"/>
      <c r="U129" s="61"/>
      <c r="V129" s="746"/>
      <c r="W129" s="113">
        <v>5</v>
      </c>
      <c r="X129" s="61"/>
      <c r="Y129" s="61"/>
      <c r="Z129" s="113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</row>
    <row r="130" spans="1:37">
      <c r="A130" s="61">
        <v>68</v>
      </c>
      <c r="B130" s="150">
        <f>+A130-C130</f>
        <v>-58</v>
      </c>
      <c r="C130" s="61">
        <f t="shared" si="11"/>
        <v>126</v>
      </c>
      <c r="D130" s="63">
        <v>7944</v>
      </c>
      <c r="E130" s="64" t="str">
        <f>IFERROR(VLOOKUP(Table3[[#This Row],[Player No]],Table11[#All],2,0),"")</f>
        <v>SOROUR Keira</v>
      </c>
      <c r="F130" s="65" t="str">
        <f>IFERROR(VLOOKUP(Table3[[#This Row],[Player No]],Table11[#All],3,0),"")</f>
        <v>JTTA</v>
      </c>
      <c r="G130" s="86">
        <v>9</v>
      </c>
      <c r="H130" s="809">
        <f>(Table3[[#This Row],[Points 2025]]/2)+SUM(Table3[[#This Row],[O1  ADMIN 2026]:[P2      CAPE TOWN OPEN 2026 ]])</f>
        <v>4.5</v>
      </c>
      <c r="I130" s="61">
        <f t="shared" si="9"/>
        <v>0</v>
      </c>
      <c r="J130" s="61">
        <f t="shared" si="10"/>
        <v>0</v>
      </c>
      <c r="K130" s="746" t="s">
        <v>6083</v>
      </c>
      <c r="L130" s="746" t="s">
        <v>6083</v>
      </c>
      <c r="M130" s="746" t="s">
        <v>6083</v>
      </c>
      <c r="N130" s="746"/>
      <c r="O130" s="61"/>
      <c r="P130" s="61"/>
      <c r="Q130" s="113"/>
      <c r="R130" s="113"/>
      <c r="S130" s="61"/>
      <c r="T130" s="113"/>
      <c r="U130" s="61"/>
      <c r="V130" s="746"/>
      <c r="W130" s="113"/>
      <c r="X130" s="61"/>
      <c r="Y130" s="61"/>
      <c r="Z130" s="113"/>
      <c r="AA130" s="61"/>
      <c r="AB130" s="61"/>
      <c r="AC130" s="61"/>
      <c r="AD130" s="61"/>
      <c r="AE130" s="61"/>
      <c r="AF130" s="61"/>
      <c r="AG130" s="61">
        <v>5</v>
      </c>
      <c r="AH130" s="61"/>
      <c r="AI130" s="61"/>
      <c r="AJ130" s="61"/>
      <c r="AK130" s="61"/>
    </row>
    <row r="131" spans="1:37">
      <c r="A131" s="339"/>
      <c r="B131" s="351">
        <f xml:space="preserve"> +A131-C131</f>
        <v>-127</v>
      </c>
      <c r="C131" s="61">
        <f t="shared" si="11"/>
        <v>127</v>
      </c>
      <c r="D131" s="327">
        <v>8351</v>
      </c>
      <c r="E131" s="64" t="str">
        <f>IFERROR(VLOOKUP(Table3[[#This Row],[Player No]],Table11[#All],2,0),"")</f>
        <v>KANNIE Jazmine</v>
      </c>
      <c r="F131" s="65" t="str">
        <f>IFERROR(VLOOKUP(Table3[[#This Row],[Player No]],Table11[#All],3,0),"")</f>
        <v>UMG</v>
      </c>
      <c r="G131" s="343">
        <v>1</v>
      </c>
      <c r="H131" s="812">
        <f>(Table3[[#This Row],[Points 2025]]/2)+SUM(Table3[[#This Row],[O1  ADMIN 2026]:[P2      CAPE TOWN OPEN 2026 ]])</f>
        <v>4.5</v>
      </c>
      <c r="I131" s="344">
        <f t="shared" si="9"/>
        <v>2</v>
      </c>
      <c r="J131" s="327">
        <f t="shared" si="10"/>
        <v>0</v>
      </c>
      <c r="K131" s="711" t="s">
        <v>6083</v>
      </c>
      <c r="L131" s="711">
        <v>2</v>
      </c>
      <c r="M131" s="711">
        <v>2</v>
      </c>
      <c r="N131" s="711"/>
      <c r="O131" s="339"/>
      <c r="P131" s="339"/>
      <c r="Q131" s="337">
        <v>1</v>
      </c>
      <c r="R131" s="337"/>
      <c r="S131" s="339"/>
      <c r="T131" s="337"/>
      <c r="U131" s="339"/>
      <c r="V131" s="748"/>
      <c r="W131" s="337"/>
      <c r="X131" s="339"/>
      <c r="Y131" s="339"/>
      <c r="Z131" s="337"/>
      <c r="AA131" s="339"/>
      <c r="AB131" s="339"/>
      <c r="AC131" s="339"/>
      <c r="AD131" s="339"/>
      <c r="AE131" s="339"/>
      <c r="AF131" s="339"/>
      <c r="AG131" s="339"/>
      <c r="AH131" s="339"/>
      <c r="AI131" s="339"/>
      <c r="AJ131" s="339"/>
      <c r="AK131" s="339"/>
    </row>
    <row r="132" spans="1:37">
      <c r="A132" s="61"/>
      <c r="B132" s="150">
        <f>+A132-C132</f>
        <v>-128</v>
      </c>
      <c r="C132" s="61">
        <f t="shared" si="11"/>
        <v>128</v>
      </c>
      <c r="D132" s="63">
        <v>8517</v>
      </c>
      <c r="E132" s="64" t="str">
        <f>IFERROR(VLOOKUP(Table3[[#This Row],[Player No]],Table11[#All],2,0),"")</f>
        <v>Smangele Khoza</v>
      </c>
      <c r="F132" s="65" t="str">
        <f>IFERROR(VLOOKUP(Table3[[#This Row],[Player No]],Table11[#All],3,0),"")</f>
        <v>ETK</v>
      </c>
      <c r="G132" s="86">
        <v>8.5</v>
      </c>
      <c r="H132" s="809">
        <f>(Table3[[#This Row],[Points 2025]]/2)+SUM(Table3[[#This Row],[O1  ADMIN 2026]:[P2      CAPE TOWN OPEN 2026 ]])</f>
        <v>4.25</v>
      </c>
      <c r="I132" s="61">
        <f t="shared" si="9"/>
        <v>0</v>
      </c>
      <c r="J132" s="61">
        <f t="shared" si="10"/>
        <v>0</v>
      </c>
      <c r="K132" s="746" t="s">
        <v>6083</v>
      </c>
      <c r="L132" s="746" t="s">
        <v>6083</v>
      </c>
      <c r="M132" s="746" t="s">
        <v>6083</v>
      </c>
      <c r="N132" s="746"/>
      <c r="O132" s="61"/>
      <c r="P132" s="61"/>
      <c r="Q132" s="113"/>
      <c r="R132" s="113"/>
      <c r="S132" s="61">
        <v>1</v>
      </c>
      <c r="T132" s="113"/>
      <c r="U132" s="61"/>
      <c r="V132" s="746"/>
      <c r="W132" s="113"/>
      <c r="X132" s="61"/>
      <c r="Y132" s="61"/>
      <c r="Z132" s="113"/>
      <c r="AA132" s="61"/>
      <c r="AB132" s="61"/>
      <c r="AC132" s="61"/>
      <c r="AD132" s="61"/>
      <c r="AE132" s="61">
        <v>15</v>
      </c>
      <c r="AF132" s="61"/>
      <c r="AG132" s="61"/>
      <c r="AH132" s="61"/>
      <c r="AI132" s="61"/>
      <c r="AJ132" s="61"/>
      <c r="AK132" s="61"/>
    </row>
    <row r="133" spans="1:37">
      <c r="A133" s="61">
        <v>56</v>
      </c>
      <c r="B133" s="150">
        <f>+A133-C133</f>
        <v>-73</v>
      </c>
      <c r="C133" s="61">
        <f t="shared" si="11"/>
        <v>129</v>
      </c>
      <c r="D133" s="63">
        <v>7028</v>
      </c>
      <c r="E133" s="64" t="str">
        <f>IFERROR(VLOOKUP(Table3[[#This Row],[Player No]],Table11[#All],2,0),"")</f>
        <v xml:space="preserve">MTSHOELIBE Mthabiseng </v>
      </c>
      <c r="F133" s="65" t="str">
        <f>IFERROR(VLOOKUP(Table3[[#This Row],[Player No]],Table11[#All],3,0),"")</f>
        <v>UTH</v>
      </c>
      <c r="G133" s="86">
        <v>8.203125</v>
      </c>
      <c r="H133" s="809">
        <f>(Table3[[#This Row],[Points 2025]]/2)+SUM(Table3[[#This Row],[O1  ADMIN 2026]:[P2      CAPE TOWN OPEN 2026 ]])</f>
        <v>4.1015625</v>
      </c>
      <c r="I133" s="61">
        <f t="shared" ref="I133:I196" si="15">COUNTIF(K133:N133,"&gt;0")</f>
        <v>0</v>
      </c>
      <c r="J133" s="61">
        <f t="shared" ref="J133:J196" si="16">COUNTIF(O133:AK133,"&lt;0")</f>
        <v>0</v>
      </c>
      <c r="K133" s="746" t="s">
        <v>6083</v>
      </c>
      <c r="L133" s="746" t="s">
        <v>6083</v>
      </c>
      <c r="M133" s="746" t="s">
        <v>6083</v>
      </c>
      <c r="N133" s="746"/>
      <c r="O133" s="61"/>
      <c r="P133" s="61"/>
      <c r="Q133" s="113"/>
      <c r="R133" s="113"/>
      <c r="S133" s="61"/>
      <c r="T133" s="113"/>
      <c r="U133" s="61"/>
      <c r="V133" s="746"/>
      <c r="W133" s="113"/>
      <c r="X133" s="61"/>
      <c r="Y133" s="61"/>
      <c r="Z133" s="113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</row>
    <row r="134" spans="1:37">
      <c r="A134" s="172"/>
      <c r="B134" s="150">
        <f>+A134-C134</f>
        <v>-130</v>
      </c>
      <c r="C134" s="61">
        <f t="shared" si="11"/>
        <v>130</v>
      </c>
      <c r="D134" s="169">
        <v>7318</v>
      </c>
      <c r="E134" s="64" t="str">
        <f>IFERROR(VLOOKUP(Table3[[#This Row],[Player No]],Table11[#All],2,0),"")</f>
        <v>THABETHE Nthabiseng</v>
      </c>
      <c r="F134" s="65" t="str">
        <f>IFERROR(VLOOKUP(Table3[[#This Row],[Player No]],Table11[#All],3,0),"")</f>
        <v>EKU</v>
      </c>
      <c r="G134" s="234">
        <v>8</v>
      </c>
      <c r="H134" s="813">
        <f>(Table3[[#This Row],[Points 2025]]/2)+SUM(Table3[[#This Row],[O1  ADMIN 2026]:[P2      CAPE TOWN OPEN 2026 ]])</f>
        <v>4</v>
      </c>
      <c r="I134" s="61">
        <f t="shared" si="15"/>
        <v>0</v>
      </c>
      <c r="J134" s="61">
        <f t="shared" si="16"/>
        <v>0</v>
      </c>
      <c r="K134" s="746" t="s">
        <v>6083</v>
      </c>
      <c r="L134" s="746" t="s">
        <v>6083</v>
      </c>
      <c r="M134" s="746" t="s">
        <v>6083</v>
      </c>
      <c r="N134" s="746"/>
      <c r="O134" s="172"/>
      <c r="P134" s="172"/>
      <c r="Q134" s="345"/>
      <c r="R134" s="345"/>
      <c r="S134" s="172"/>
      <c r="T134" s="345"/>
      <c r="U134" s="172"/>
      <c r="V134" s="749"/>
      <c r="W134" s="345">
        <v>5</v>
      </c>
      <c r="X134" s="172">
        <v>1</v>
      </c>
      <c r="Y134" s="172">
        <v>1</v>
      </c>
      <c r="Z134" s="345">
        <v>1</v>
      </c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</row>
    <row r="135" spans="1:37">
      <c r="A135" s="339"/>
      <c r="B135" s="351">
        <f xml:space="preserve"> +A135-C135</f>
        <v>-131</v>
      </c>
      <c r="C135" s="61">
        <f t="shared" ref="C135:C198" si="17">C134+1</f>
        <v>131</v>
      </c>
      <c r="D135" s="327">
        <v>8632</v>
      </c>
      <c r="E135" s="64" t="str">
        <f>IFERROR(VLOOKUP(Table3[[#This Row],[Player No]],Table11[#All],2,0),"")</f>
        <v>GOVENDER  Teme' Aureliah</v>
      </c>
      <c r="F135" s="65" t="str">
        <f>IFERROR(VLOOKUP(Table3[[#This Row],[Player No]],Table11[#All],3,0),"")</f>
        <v>ETTA</v>
      </c>
      <c r="G135" s="343">
        <v>2</v>
      </c>
      <c r="H135" s="812">
        <f>(Table3[[#This Row],[Points 2025]]/2)+SUM(Table3[[#This Row],[O1  ADMIN 2026]:[P2      CAPE TOWN OPEN 2026 ]])</f>
        <v>4</v>
      </c>
      <c r="I135" s="344">
        <f t="shared" si="15"/>
        <v>2</v>
      </c>
      <c r="J135" s="327">
        <f t="shared" si="16"/>
        <v>0</v>
      </c>
      <c r="K135" s="711" t="s">
        <v>6083</v>
      </c>
      <c r="L135" s="711">
        <v>2</v>
      </c>
      <c r="M135" s="711">
        <v>1</v>
      </c>
      <c r="N135" s="711"/>
      <c r="O135" s="339"/>
      <c r="P135" s="339"/>
      <c r="Q135" s="337">
        <v>1</v>
      </c>
      <c r="R135" s="337">
        <v>1</v>
      </c>
      <c r="S135" s="339"/>
      <c r="T135" s="337"/>
      <c r="U135" s="339"/>
      <c r="V135" s="748"/>
      <c r="W135" s="337"/>
      <c r="X135" s="339"/>
      <c r="Y135" s="339"/>
      <c r="Z135" s="337"/>
      <c r="AA135" s="339"/>
      <c r="AB135" s="339"/>
      <c r="AC135" s="339"/>
      <c r="AD135" s="339"/>
      <c r="AE135" s="339"/>
      <c r="AF135" s="339"/>
      <c r="AG135" s="339"/>
      <c r="AH135" s="339"/>
      <c r="AI135" s="339"/>
      <c r="AJ135" s="339"/>
      <c r="AK135" s="339"/>
    </row>
    <row r="136" spans="1:37">
      <c r="A136" s="339"/>
      <c r="B136" s="351">
        <f xml:space="preserve"> +A136-C136</f>
        <v>-132</v>
      </c>
      <c r="C136" s="61">
        <f t="shared" si="17"/>
        <v>132</v>
      </c>
      <c r="D136" s="327">
        <v>8350</v>
      </c>
      <c r="E136" s="64" t="str">
        <f>IFERROR(VLOOKUP(Table3[[#This Row],[Player No]],Table11[#All],2,0),"")</f>
        <v>PARBHOODEEN Tarika Amber</v>
      </c>
      <c r="F136" s="65" t="str">
        <f>IFERROR(VLOOKUP(Table3[[#This Row],[Player No]],Table11[#All],3,0),"")</f>
        <v>UMG</v>
      </c>
      <c r="G136" s="343">
        <v>2</v>
      </c>
      <c r="H136" s="812">
        <f>(Table3[[#This Row],[Points 2025]]/2)+SUM(Table3[[#This Row],[O1  ADMIN 2026]:[P2      CAPE TOWN OPEN 2026 ]])</f>
        <v>4</v>
      </c>
      <c r="I136" s="344">
        <f t="shared" si="15"/>
        <v>2</v>
      </c>
      <c r="J136" s="327">
        <f t="shared" si="16"/>
        <v>0</v>
      </c>
      <c r="K136" s="711" t="s">
        <v>6083</v>
      </c>
      <c r="L136" s="711">
        <v>2</v>
      </c>
      <c r="M136" s="711">
        <v>1</v>
      </c>
      <c r="N136" s="711"/>
      <c r="O136" s="339"/>
      <c r="P136" s="339"/>
      <c r="Q136" s="337">
        <v>1</v>
      </c>
      <c r="R136" s="337">
        <v>1</v>
      </c>
      <c r="S136" s="339"/>
      <c r="T136" s="337"/>
      <c r="U136" s="339"/>
      <c r="V136" s="748"/>
      <c r="W136" s="337"/>
      <c r="X136" s="339"/>
      <c r="Y136" s="339"/>
      <c r="Z136" s="337"/>
      <c r="AA136" s="339"/>
      <c r="AB136" s="339"/>
      <c r="AC136" s="339"/>
      <c r="AD136" s="339"/>
      <c r="AE136" s="339"/>
      <c r="AF136" s="339"/>
      <c r="AG136" s="339"/>
      <c r="AH136" s="339"/>
      <c r="AI136" s="339"/>
      <c r="AJ136" s="339"/>
      <c r="AK136" s="339"/>
    </row>
    <row r="137" spans="1:37">
      <c r="A137" s="61">
        <v>64</v>
      </c>
      <c r="B137" s="150">
        <f t="shared" ref="B137:B148" si="18">+A137-C137</f>
        <v>-69</v>
      </c>
      <c r="C137" s="61">
        <f t="shared" si="17"/>
        <v>133</v>
      </c>
      <c r="D137" s="63">
        <v>8256</v>
      </c>
      <c r="E137" s="64" t="str">
        <f>IFERROR(VLOOKUP(Table3[[#This Row],[Player No]],Table11[#All],2,0),"")</f>
        <v>BENSON Precious</v>
      </c>
      <c r="F137" s="65" t="str">
        <f>IFERROR(VLOOKUP(Table3[[#This Row],[Player No]],Table11[#All],3,0),"")</f>
        <v>JTTA</v>
      </c>
      <c r="G137" s="86">
        <v>7.5</v>
      </c>
      <c r="H137" s="809">
        <f>(Table3[[#This Row],[Points 2025]]/2)+SUM(Table3[[#This Row],[O1  ADMIN 2026]:[P2      CAPE TOWN OPEN 2026 ]])</f>
        <v>3.75</v>
      </c>
      <c r="I137" s="61">
        <f t="shared" si="15"/>
        <v>0</v>
      </c>
      <c r="J137" s="61">
        <f t="shared" si="16"/>
        <v>0</v>
      </c>
      <c r="K137" s="746" t="s">
        <v>6083</v>
      </c>
      <c r="L137" s="746" t="s">
        <v>6083</v>
      </c>
      <c r="M137" s="746" t="s">
        <v>6083</v>
      </c>
      <c r="N137" s="746"/>
      <c r="O137" s="61"/>
      <c r="P137" s="61"/>
      <c r="Q137" s="113"/>
      <c r="R137" s="113"/>
      <c r="S137" s="61"/>
      <c r="T137" s="113"/>
      <c r="U137" s="61"/>
      <c r="V137" s="746"/>
      <c r="W137" s="113"/>
      <c r="X137" s="61"/>
      <c r="Y137" s="61"/>
      <c r="Z137" s="113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>
        <v>15</v>
      </c>
    </row>
    <row r="138" spans="1:37">
      <c r="A138" s="61"/>
      <c r="B138" s="150">
        <f t="shared" si="18"/>
        <v>-134</v>
      </c>
      <c r="C138" s="61">
        <f t="shared" si="17"/>
        <v>134</v>
      </c>
      <c r="D138" s="67">
        <v>8514</v>
      </c>
      <c r="E138" s="64" t="str">
        <f>IFERROR(VLOOKUP(Table3[[#This Row],[Player No]],Table11[#All],2,0),"")</f>
        <v xml:space="preserve">JANTJIES Oyena </v>
      </c>
      <c r="F138" s="65" t="str">
        <f>IFERROR(VLOOKUP(Table3[[#This Row],[Player No]],Table11[#All],3,0),"")</f>
        <v>CT</v>
      </c>
      <c r="G138" s="86">
        <v>7.5</v>
      </c>
      <c r="H138" s="809">
        <f>(Table3[[#This Row],[Points 2025]]/2)+SUM(Table3[[#This Row],[O1  ADMIN 2026]:[P2      CAPE TOWN OPEN 2026 ]])</f>
        <v>3.75</v>
      </c>
      <c r="I138" s="61">
        <f t="shared" si="15"/>
        <v>0</v>
      </c>
      <c r="J138" s="61">
        <f t="shared" si="16"/>
        <v>0</v>
      </c>
      <c r="K138" s="746" t="s">
        <v>6083</v>
      </c>
      <c r="L138" s="746" t="s">
        <v>6083</v>
      </c>
      <c r="M138" s="746" t="s">
        <v>6083</v>
      </c>
      <c r="N138" s="746"/>
      <c r="O138" s="61"/>
      <c r="P138" s="61"/>
      <c r="Q138" s="113"/>
      <c r="R138" s="113"/>
      <c r="S138" s="61"/>
      <c r="T138" s="113"/>
      <c r="U138" s="61"/>
      <c r="V138" s="746"/>
      <c r="W138" s="113"/>
      <c r="X138" s="61"/>
      <c r="Y138" s="61"/>
      <c r="Z138" s="113"/>
      <c r="AA138" s="61"/>
      <c r="AB138" s="61"/>
      <c r="AC138" s="61"/>
      <c r="AD138" s="61"/>
      <c r="AE138" s="61">
        <v>15</v>
      </c>
      <c r="AF138" s="61"/>
      <c r="AG138" s="61"/>
      <c r="AH138" s="61"/>
      <c r="AI138" s="61"/>
      <c r="AJ138" s="61"/>
      <c r="AK138" s="61"/>
    </row>
    <row r="139" spans="1:37">
      <c r="A139" s="61">
        <v>63</v>
      </c>
      <c r="B139" s="150">
        <f t="shared" si="18"/>
        <v>-72</v>
      </c>
      <c r="C139" s="61">
        <f t="shared" si="17"/>
        <v>135</v>
      </c>
      <c r="D139" s="63">
        <v>7943</v>
      </c>
      <c r="E139" s="64" t="str">
        <f>IFERROR(VLOOKUP(Table3[[#This Row],[Player No]],Table11[#All],2,0),"")</f>
        <v>SALIE Zahra</v>
      </c>
      <c r="F139" s="65" t="str">
        <f>IFERROR(VLOOKUP(Table3[[#This Row],[Player No]],Table11[#All],3,0),"")</f>
        <v>JTTA</v>
      </c>
      <c r="G139" s="86">
        <v>7.5</v>
      </c>
      <c r="H139" s="809">
        <f>(Table3[[#This Row],[Points 2025]]/2)+SUM(Table3[[#This Row],[O1  ADMIN 2026]:[P2      CAPE TOWN OPEN 2026 ]])</f>
        <v>3.75</v>
      </c>
      <c r="I139" s="61">
        <f t="shared" si="15"/>
        <v>0</v>
      </c>
      <c r="J139" s="61">
        <f t="shared" si="16"/>
        <v>0</v>
      </c>
      <c r="K139" s="746" t="s">
        <v>6083</v>
      </c>
      <c r="L139" s="746" t="s">
        <v>6083</v>
      </c>
      <c r="M139" s="746" t="s">
        <v>6083</v>
      </c>
      <c r="N139" s="746"/>
      <c r="O139" s="61"/>
      <c r="P139" s="61"/>
      <c r="Q139" s="113"/>
      <c r="R139" s="113"/>
      <c r="S139" s="61"/>
      <c r="T139" s="113"/>
      <c r="U139" s="61"/>
      <c r="V139" s="746"/>
      <c r="W139" s="113"/>
      <c r="X139" s="61"/>
      <c r="Y139" s="61"/>
      <c r="Z139" s="113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>
        <v>15</v>
      </c>
    </row>
    <row r="140" spans="1:37">
      <c r="A140" s="61"/>
      <c r="B140" s="150">
        <f t="shared" si="18"/>
        <v>-136</v>
      </c>
      <c r="C140" s="61">
        <f t="shared" si="17"/>
        <v>136</v>
      </c>
      <c r="D140" s="211">
        <v>8513</v>
      </c>
      <c r="E140" s="64" t="str">
        <f>IFERROR(VLOOKUP(Table3[[#This Row],[Player No]],Table11[#All],2,0),"")</f>
        <v xml:space="preserve">SINAMANDLA </v>
      </c>
      <c r="F140" s="65" t="str">
        <f>IFERROR(VLOOKUP(Table3[[#This Row],[Player No]],Table11[#All],3,0),"")</f>
        <v>CT</v>
      </c>
      <c r="G140" s="86">
        <v>7.5</v>
      </c>
      <c r="H140" s="809">
        <f>(Table3[[#This Row],[Points 2025]]/2)+SUM(Table3[[#This Row],[O1  ADMIN 2026]:[P2      CAPE TOWN OPEN 2026 ]])</f>
        <v>3.75</v>
      </c>
      <c r="I140" s="61">
        <f t="shared" si="15"/>
        <v>0</v>
      </c>
      <c r="J140" s="61">
        <f t="shared" si="16"/>
        <v>0</v>
      </c>
      <c r="K140" s="746" t="s">
        <v>6083</v>
      </c>
      <c r="L140" s="746" t="s">
        <v>6083</v>
      </c>
      <c r="M140" s="746" t="s">
        <v>6083</v>
      </c>
      <c r="N140" s="746"/>
      <c r="O140" s="61"/>
      <c r="P140" s="61"/>
      <c r="Q140" s="113"/>
      <c r="R140" s="113"/>
      <c r="S140" s="61"/>
      <c r="T140" s="113"/>
      <c r="U140" s="61"/>
      <c r="V140" s="746"/>
      <c r="W140" s="113"/>
      <c r="X140" s="61"/>
      <c r="Y140" s="61"/>
      <c r="Z140" s="113"/>
      <c r="AA140" s="61"/>
      <c r="AB140" s="61"/>
      <c r="AC140" s="61"/>
      <c r="AD140" s="61"/>
      <c r="AE140" s="61">
        <v>15</v>
      </c>
      <c r="AF140" s="61"/>
      <c r="AG140" s="61"/>
      <c r="AH140" s="61"/>
      <c r="AI140" s="61"/>
      <c r="AJ140" s="61"/>
      <c r="AK140" s="61"/>
    </row>
    <row r="141" spans="1:37">
      <c r="A141" s="61">
        <v>70</v>
      </c>
      <c r="B141" s="150">
        <f t="shared" si="18"/>
        <v>-67</v>
      </c>
      <c r="C141" s="61">
        <f t="shared" si="17"/>
        <v>137</v>
      </c>
      <c r="D141" s="63">
        <v>8024</v>
      </c>
      <c r="E141" s="64" t="str">
        <f>IFERROR(VLOOKUP(Table3[[#This Row],[Player No]],Table11[#All],2,0),"")</f>
        <v>BOFELO Reaboka</v>
      </c>
      <c r="F141" s="65" t="str">
        <f>IFERROR(VLOOKUP(Table3[[#This Row],[Player No]],Table11[#All],3,0),"")</f>
        <v>LSO</v>
      </c>
      <c r="G141" s="86">
        <v>7.375</v>
      </c>
      <c r="H141" s="809">
        <f>(Table3[[#This Row],[Points 2025]]/2)+SUM(Table3[[#This Row],[O1  ADMIN 2026]:[P2      CAPE TOWN OPEN 2026 ]])</f>
        <v>3.6875</v>
      </c>
      <c r="I141" s="61">
        <f t="shared" si="15"/>
        <v>0</v>
      </c>
      <c r="J141" s="61">
        <f t="shared" si="16"/>
        <v>0</v>
      </c>
      <c r="K141" s="746" t="s">
        <v>6083</v>
      </c>
      <c r="L141" s="746" t="s">
        <v>6083</v>
      </c>
      <c r="M141" s="746" t="s">
        <v>6083</v>
      </c>
      <c r="N141" s="746"/>
      <c r="O141" s="61"/>
      <c r="P141" s="61"/>
      <c r="Q141" s="113"/>
      <c r="R141" s="113"/>
      <c r="S141" s="61"/>
      <c r="T141" s="113">
        <v>1</v>
      </c>
      <c r="U141" s="61"/>
      <c r="V141" s="746"/>
      <c r="W141" s="113"/>
      <c r="X141" s="61"/>
      <c r="Y141" s="61"/>
      <c r="Z141" s="113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</row>
    <row r="142" spans="1:37">
      <c r="A142" s="61">
        <v>74</v>
      </c>
      <c r="B142" s="150">
        <f t="shared" si="18"/>
        <v>-64</v>
      </c>
      <c r="C142" s="61">
        <f t="shared" si="17"/>
        <v>138</v>
      </c>
      <c r="D142" s="63">
        <v>7496</v>
      </c>
      <c r="E142" s="64" t="str">
        <f>IFERROR(VLOOKUP(Table3[[#This Row],[Player No]],Table11[#All],2,0),"")</f>
        <v>MATSIE Halaletsang</v>
      </c>
      <c r="F142" s="65" t="str">
        <f>IFERROR(VLOOKUP(Table3[[#This Row],[Player No]],Table11[#All],3,0),"")</f>
        <v>FS</v>
      </c>
      <c r="G142" s="86">
        <v>7.25</v>
      </c>
      <c r="H142" s="809">
        <f>(Table3[[#This Row],[Points 2025]]/2)+SUM(Table3[[#This Row],[O1  ADMIN 2026]:[P2      CAPE TOWN OPEN 2026 ]])</f>
        <v>3.625</v>
      </c>
      <c r="I142" s="61">
        <f t="shared" si="15"/>
        <v>0</v>
      </c>
      <c r="J142" s="61">
        <f t="shared" si="16"/>
        <v>0</v>
      </c>
      <c r="K142" s="746" t="s">
        <v>6083</v>
      </c>
      <c r="L142" s="746" t="s">
        <v>6083</v>
      </c>
      <c r="M142" s="746" t="s">
        <v>6083</v>
      </c>
      <c r="N142" s="746"/>
      <c r="O142" s="63"/>
      <c r="P142" s="63"/>
      <c r="Q142" s="114"/>
      <c r="R142" s="114"/>
      <c r="S142" s="63"/>
      <c r="T142" s="114">
        <v>1</v>
      </c>
      <c r="U142" s="63"/>
      <c r="V142" s="708"/>
      <c r="W142" s="114"/>
      <c r="X142" s="63"/>
      <c r="Y142" s="63"/>
      <c r="Z142" s="114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</row>
    <row r="143" spans="1:37">
      <c r="A143" s="61">
        <v>66</v>
      </c>
      <c r="B143" s="150">
        <f t="shared" si="18"/>
        <v>-73</v>
      </c>
      <c r="C143" s="61">
        <f t="shared" si="17"/>
        <v>139</v>
      </c>
      <c r="D143" s="63">
        <v>7068</v>
      </c>
      <c r="E143" s="64" t="str">
        <f>IFERROR(VLOOKUP(Table3[[#This Row],[Player No]],Table11[#All],2,0),"")</f>
        <v xml:space="preserve">JOOSTE Samantha </v>
      </c>
      <c r="F143" s="65" t="str">
        <f>IFERROR(VLOOKUP(Table3[[#This Row],[Player No]],Table11[#All],3,0),"")</f>
        <v>CT</v>
      </c>
      <c r="G143" s="86">
        <v>7.12109375</v>
      </c>
      <c r="H143" s="809">
        <f>(Table3[[#This Row],[Points 2025]]/2)+SUM(Table3[[#This Row],[O1  ADMIN 2026]:[P2      CAPE TOWN OPEN 2026 ]])</f>
        <v>3.560546875</v>
      </c>
      <c r="I143" s="61">
        <f t="shared" si="15"/>
        <v>0</v>
      </c>
      <c r="J143" s="61">
        <f t="shared" si="16"/>
        <v>0</v>
      </c>
      <c r="K143" s="746" t="s">
        <v>6083</v>
      </c>
      <c r="L143" s="746" t="s">
        <v>6083</v>
      </c>
      <c r="M143" s="746" t="s">
        <v>6083</v>
      </c>
      <c r="N143" s="746"/>
      <c r="O143" s="61"/>
      <c r="P143" s="61"/>
      <c r="Q143" s="113"/>
      <c r="R143" s="113"/>
      <c r="S143" s="61"/>
      <c r="T143" s="113"/>
      <c r="U143" s="61"/>
      <c r="V143" s="746"/>
      <c r="W143" s="113"/>
      <c r="X143" s="61"/>
      <c r="Y143" s="61"/>
      <c r="Z143" s="113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</row>
    <row r="144" spans="1:37">
      <c r="A144" s="61">
        <v>119</v>
      </c>
      <c r="B144" s="150">
        <f t="shared" si="18"/>
        <v>-21</v>
      </c>
      <c r="C144" s="61">
        <f t="shared" si="17"/>
        <v>140</v>
      </c>
      <c r="D144" s="63">
        <v>8056</v>
      </c>
      <c r="E144" s="64" t="str">
        <f>IFERROR(VLOOKUP(Table3[[#This Row],[Player No]],Table11[#All],2,0),"")</f>
        <v>BOGATSU Precious</v>
      </c>
      <c r="F144" s="65" t="str">
        <f>IFERROR(VLOOKUP(Table3[[#This Row],[Player No]],Table11[#All],3,0),"")</f>
        <v>NW</v>
      </c>
      <c r="G144" s="86">
        <v>6.5</v>
      </c>
      <c r="H144" s="809">
        <f>(Table3[[#This Row],[Points 2025]]/2)+SUM(Table3[[#This Row],[O1  ADMIN 2026]:[P2      CAPE TOWN OPEN 2026 ]])</f>
        <v>3.25</v>
      </c>
      <c r="I144" s="61">
        <f t="shared" si="15"/>
        <v>0</v>
      </c>
      <c r="J144" s="61">
        <f t="shared" si="16"/>
        <v>0</v>
      </c>
      <c r="K144" s="746" t="s">
        <v>6083</v>
      </c>
      <c r="L144" s="746" t="s">
        <v>6083</v>
      </c>
      <c r="M144" s="746" t="s">
        <v>6083</v>
      </c>
      <c r="N144" s="746"/>
      <c r="O144" s="61"/>
      <c r="P144" s="61"/>
      <c r="Q144" s="113"/>
      <c r="R144" s="113"/>
      <c r="S144" s="61"/>
      <c r="T144" s="113"/>
      <c r="U144" s="61"/>
      <c r="V144" s="746"/>
      <c r="W144" s="113">
        <v>5</v>
      </c>
      <c r="X144" s="61"/>
      <c r="Y144" s="61"/>
      <c r="Z144" s="113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</row>
    <row r="145" spans="1:37">
      <c r="A145" s="61">
        <v>131</v>
      </c>
      <c r="B145" s="150">
        <f t="shared" si="18"/>
        <v>-10</v>
      </c>
      <c r="C145" s="61">
        <f t="shared" si="17"/>
        <v>141</v>
      </c>
      <c r="D145" s="63">
        <v>7517</v>
      </c>
      <c r="E145" s="64" t="str">
        <f>IFERROR(VLOOKUP(Table3[[#This Row],[Player No]],Table11[#All],2,0),"")</f>
        <v xml:space="preserve">NTSOKOANE Ithumeleng </v>
      </c>
      <c r="F145" s="65" t="str">
        <f>IFERROR(VLOOKUP(Table3[[#This Row],[Player No]],Table11[#All],3,0),"")</f>
        <v>EKU</v>
      </c>
      <c r="G145" s="86">
        <v>6.25</v>
      </c>
      <c r="H145" s="809">
        <f>(Table3[[#This Row],[Points 2025]]/2)+SUM(Table3[[#This Row],[O1  ADMIN 2026]:[P2      CAPE TOWN OPEN 2026 ]])</f>
        <v>3.125</v>
      </c>
      <c r="I145" s="61">
        <f t="shared" si="15"/>
        <v>0</v>
      </c>
      <c r="J145" s="61">
        <f t="shared" si="16"/>
        <v>0</v>
      </c>
      <c r="K145" s="746" t="s">
        <v>6083</v>
      </c>
      <c r="L145" s="746" t="s">
        <v>6083</v>
      </c>
      <c r="M145" s="746" t="s">
        <v>6083</v>
      </c>
      <c r="N145" s="746"/>
      <c r="O145" s="61"/>
      <c r="P145" s="61"/>
      <c r="Q145" s="113"/>
      <c r="R145" s="113"/>
      <c r="S145" s="61"/>
      <c r="T145" s="113"/>
      <c r="U145" s="61"/>
      <c r="V145" s="746"/>
      <c r="W145" s="113">
        <v>5</v>
      </c>
      <c r="X145" s="61"/>
      <c r="Y145" s="61"/>
      <c r="Z145" s="113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</row>
    <row r="146" spans="1:37">
      <c r="A146" s="61">
        <v>134</v>
      </c>
      <c r="B146" s="150">
        <f t="shared" si="18"/>
        <v>-8</v>
      </c>
      <c r="C146" s="61">
        <f t="shared" si="17"/>
        <v>142</v>
      </c>
      <c r="D146" s="63">
        <v>7993</v>
      </c>
      <c r="E146" s="64" t="str">
        <f>IFERROR(VLOOKUP(Table3[[#This Row],[Player No]],Table11[#All],2,0),"")</f>
        <v>MOCHABELA Refilwe</v>
      </c>
      <c r="F146" s="65" t="str">
        <f>IFERROR(VLOOKUP(Table3[[#This Row],[Player No]],Table11[#All],3,0),"")</f>
        <v>LIM</v>
      </c>
      <c r="G146" s="86">
        <v>6.25</v>
      </c>
      <c r="H146" s="809">
        <f>(Table3[[#This Row],[Points 2025]]/2)+SUM(Table3[[#This Row],[O1  ADMIN 2026]:[P2      CAPE TOWN OPEN 2026 ]])</f>
        <v>3.125</v>
      </c>
      <c r="I146" s="61">
        <f t="shared" si="15"/>
        <v>0</v>
      </c>
      <c r="J146" s="61">
        <f t="shared" si="16"/>
        <v>0</v>
      </c>
      <c r="K146" s="746" t="s">
        <v>6083</v>
      </c>
      <c r="L146" s="746" t="s">
        <v>6083</v>
      </c>
      <c r="M146" s="746" t="s">
        <v>6083</v>
      </c>
      <c r="N146" s="746"/>
      <c r="O146" s="61"/>
      <c r="P146" s="61"/>
      <c r="Q146" s="113"/>
      <c r="R146" s="113"/>
      <c r="S146" s="61"/>
      <c r="T146" s="113"/>
      <c r="U146" s="61"/>
      <c r="V146" s="746"/>
      <c r="W146" s="113"/>
      <c r="X146" s="61"/>
      <c r="Y146" s="61"/>
      <c r="Z146" s="113"/>
      <c r="AA146" s="61"/>
      <c r="AB146" s="61"/>
      <c r="AC146" s="61"/>
      <c r="AD146" s="61"/>
      <c r="AE146" s="61"/>
      <c r="AF146" s="61"/>
      <c r="AG146" s="61">
        <v>10</v>
      </c>
      <c r="AH146" s="61"/>
      <c r="AI146" s="61"/>
      <c r="AJ146" s="61"/>
      <c r="AK146" s="61"/>
    </row>
    <row r="147" spans="1:37">
      <c r="A147" s="61">
        <v>72</v>
      </c>
      <c r="B147" s="150">
        <f t="shared" si="18"/>
        <v>-71</v>
      </c>
      <c r="C147" s="61">
        <f t="shared" si="17"/>
        <v>143</v>
      </c>
      <c r="D147" s="63">
        <v>8053</v>
      </c>
      <c r="E147" s="64" t="str">
        <f>IFERROR(VLOOKUP(Table3[[#This Row],[Player No]],Table11[#All],2,0),"")</f>
        <v>TSOKOANE Itumeleng</v>
      </c>
      <c r="F147" s="65" t="str">
        <f>IFERROR(VLOOKUP(Table3[[#This Row],[Player No]],Table11[#All],3,0),"")</f>
        <v>JTTA</v>
      </c>
      <c r="G147" s="86">
        <v>6.25</v>
      </c>
      <c r="H147" s="809">
        <f>(Table3[[#This Row],[Points 2025]]/2)+SUM(Table3[[#This Row],[O1  ADMIN 2026]:[P2      CAPE TOWN OPEN 2026 ]])</f>
        <v>3.125</v>
      </c>
      <c r="I147" s="61">
        <f t="shared" si="15"/>
        <v>0</v>
      </c>
      <c r="J147" s="61">
        <f t="shared" si="16"/>
        <v>0</v>
      </c>
      <c r="K147" s="746" t="s">
        <v>6083</v>
      </c>
      <c r="L147" s="746" t="s">
        <v>6083</v>
      </c>
      <c r="M147" s="746" t="s">
        <v>6083</v>
      </c>
      <c r="N147" s="746"/>
      <c r="O147" s="61"/>
      <c r="P147" s="61"/>
      <c r="Q147" s="113"/>
      <c r="R147" s="113"/>
      <c r="S147" s="61"/>
      <c r="T147" s="113"/>
      <c r="U147" s="61"/>
      <c r="V147" s="746"/>
      <c r="W147" s="113"/>
      <c r="X147" s="61"/>
      <c r="Y147" s="61"/>
      <c r="Z147" s="113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</row>
    <row r="148" spans="1:37">
      <c r="A148" s="61">
        <v>73</v>
      </c>
      <c r="B148" s="150">
        <f t="shared" si="18"/>
        <v>-71</v>
      </c>
      <c r="C148" s="61">
        <f t="shared" si="17"/>
        <v>144</v>
      </c>
      <c r="D148" s="63">
        <v>8089</v>
      </c>
      <c r="E148" s="64" t="str">
        <f>IFERROR(VLOOKUP(Table3[[#This Row],[Player No]],Table11[#All],2,0),"")</f>
        <v>VAN RENSBURG Paula Janse</v>
      </c>
      <c r="F148" s="65" t="str">
        <f>IFERROR(VLOOKUP(Table3[[#This Row],[Player No]],Table11[#All],3,0),"")</f>
        <v>GN</v>
      </c>
      <c r="G148" s="86">
        <v>6.25</v>
      </c>
      <c r="H148" s="809">
        <f>(Table3[[#This Row],[Points 2025]]/2)+SUM(Table3[[#This Row],[O1  ADMIN 2026]:[P2      CAPE TOWN OPEN 2026 ]])</f>
        <v>3.125</v>
      </c>
      <c r="I148" s="61">
        <f t="shared" si="15"/>
        <v>0</v>
      </c>
      <c r="J148" s="61">
        <f t="shared" si="16"/>
        <v>0</v>
      </c>
      <c r="K148" s="746" t="s">
        <v>6083</v>
      </c>
      <c r="L148" s="746" t="s">
        <v>6083</v>
      </c>
      <c r="M148" s="746" t="s">
        <v>6083</v>
      </c>
      <c r="N148" s="746"/>
      <c r="O148" s="63"/>
      <c r="P148" s="63"/>
      <c r="Q148" s="114"/>
      <c r="R148" s="114"/>
      <c r="S148" s="63"/>
      <c r="T148" s="114"/>
      <c r="U148" s="63"/>
      <c r="V148" s="708"/>
      <c r="W148" s="114"/>
      <c r="X148" s="63"/>
      <c r="Y148" s="63"/>
      <c r="Z148" s="114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</row>
    <row r="149" spans="1:37">
      <c r="A149" s="339"/>
      <c r="B149" s="351">
        <f xml:space="preserve"> +A149-C149</f>
        <v>-145</v>
      </c>
      <c r="C149" s="61">
        <f t="shared" si="17"/>
        <v>145</v>
      </c>
      <c r="D149" s="327">
        <v>8175</v>
      </c>
      <c r="E149" s="64" t="str">
        <f>IFERROR(VLOOKUP(Table3[[#This Row],[Player No]],Table11[#All],2,0),"")</f>
        <v>PILLAY Tarini</v>
      </c>
      <c r="F149" s="65" t="str">
        <f>IFERROR(VLOOKUP(Table3[[#This Row],[Player No]],Table11[#All],3,0),"")</f>
        <v>UMG</v>
      </c>
      <c r="G149" s="343">
        <v>2</v>
      </c>
      <c r="H149" s="812">
        <f>(Table3[[#This Row],[Points 2025]]/2)+SUM(Table3[[#This Row],[O1  ADMIN 2026]:[P2      CAPE TOWN OPEN 2026 ]])</f>
        <v>3</v>
      </c>
      <c r="I149" s="344">
        <f t="shared" si="15"/>
        <v>2</v>
      </c>
      <c r="J149" s="327">
        <f t="shared" si="16"/>
        <v>0</v>
      </c>
      <c r="K149" s="711" t="s">
        <v>6083</v>
      </c>
      <c r="L149" s="711">
        <v>1</v>
      </c>
      <c r="M149" s="711">
        <v>1</v>
      </c>
      <c r="N149" s="711"/>
      <c r="O149" s="339"/>
      <c r="P149" s="339"/>
      <c r="Q149" s="337">
        <v>1</v>
      </c>
      <c r="R149" s="337">
        <v>1</v>
      </c>
      <c r="S149" s="339"/>
      <c r="T149" s="337"/>
      <c r="U149" s="339"/>
      <c r="V149" s="748"/>
      <c r="W149" s="337"/>
      <c r="X149" s="339"/>
      <c r="Y149" s="339"/>
      <c r="Z149" s="337"/>
      <c r="AA149" s="339"/>
      <c r="AB149" s="339"/>
      <c r="AC149" s="339"/>
      <c r="AD149" s="339"/>
      <c r="AE149" s="339"/>
      <c r="AF149" s="339"/>
      <c r="AG149" s="339"/>
      <c r="AH149" s="339"/>
      <c r="AI149" s="339"/>
      <c r="AJ149" s="339"/>
      <c r="AK149" s="339"/>
    </row>
    <row r="150" spans="1:37">
      <c r="A150" s="61">
        <v>79</v>
      </c>
      <c r="B150" s="150">
        <f>+A150-C150</f>
        <v>-67</v>
      </c>
      <c r="C150" s="61">
        <f t="shared" si="17"/>
        <v>146</v>
      </c>
      <c r="D150" s="63">
        <v>7008</v>
      </c>
      <c r="E150" s="64" t="str">
        <f>IFERROR(VLOOKUP(Table3[[#This Row],[Player No]],Table11[#All],2,0),"")</f>
        <v xml:space="preserve">LI Xiuyan </v>
      </c>
      <c r="F150" s="65" t="str">
        <f>IFERROR(VLOOKUP(Table3[[#This Row],[Player No]],Table11[#All],3,0),"")</f>
        <v>EC</v>
      </c>
      <c r="G150" s="86">
        <v>5.6640625</v>
      </c>
      <c r="H150" s="809">
        <f>(Table3[[#This Row],[Points 2025]]/2)+SUM(Table3[[#This Row],[O1  ADMIN 2026]:[P2      CAPE TOWN OPEN 2026 ]])</f>
        <v>2.83203125</v>
      </c>
      <c r="I150" s="61">
        <f t="shared" si="15"/>
        <v>0</v>
      </c>
      <c r="J150" s="61">
        <f t="shared" si="16"/>
        <v>0</v>
      </c>
      <c r="K150" s="746" t="s">
        <v>6083</v>
      </c>
      <c r="L150" s="746" t="s">
        <v>6083</v>
      </c>
      <c r="M150" s="746" t="s">
        <v>6083</v>
      </c>
      <c r="N150" s="746"/>
      <c r="O150" s="61"/>
      <c r="P150" s="61"/>
      <c r="Q150" s="113"/>
      <c r="R150" s="113"/>
      <c r="S150" s="61"/>
      <c r="T150" s="113"/>
      <c r="U150" s="61"/>
      <c r="V150" s="746"/>
      <c r="W150" s="113"/>
      <c r="X150" s="61"/>
      <c r="Y150" s="61"/>
      <c r="Z150" s="113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</row>
    <row r="151" spans="1:37">
      <c r="A151" s="61">
        <v>82</v>
      </c>
      <c r="B151" s="150">
        <f>+A151-C151</f>
        <v>-65</v>
      </c>
      <c r="C151" s="61">
        <f t="shared" si="17"/>
        <v>147</v>
      </c>
      <c r="D151" s="63">
        <v>7490</v>
      </c>
      <c r="E151" s="64" t="str">
        <f>IFERROR(VLOOKUP(Table3[[#This Row],[Player No]],Table11[#All],2,0),"")</f>
        <v>GOVENDER Shivasthi </v>
      </c>
      <c r="F151" s="65" t="str">
        <f>IFERROR(VLOOKUP(Table3[[#This Row],[Player No]],Table11[#All],3,0),"")</f>
        <v>ETK</v>
      </c>
      <c r="G151" s="86">
        <v>5.078125</v>
      </c>
      <c r="H151" s="809">
        <f>(Table3[[#This Row],[Points 2025]]/2)+SUM(Table3[[#This Row],[O1  ADMIN 2026]:[P2      CAPE TOWN OPEN 2026 ]])</f>
        <v>2.5390625</v>
      </c>
      <c r="I151" s="61">
        <f t="shared" si="15"/>
        <v>0</v>
      </c>
      <c r="J151" s="61">
        <f t="shared" si="16"/>
        <v>0</v>
      </c>
      <c r="K151" s="746" t="s">
        <v>6083</v>
      </c>
      <c r="L151" s="746" t="s">
        <v>6083</v>
      </c>
      <c r="M151" s="746" t="s">
        <v>6083</v>
      </c>
      <c r="N151" s="746"/>
      <c r="O151" s="61"/>
      <c r="P151" s="61"/>
      <c r="Q151" s="113"/>
      <c r="R151" s="113"/>
      <c r="S151" s="61"/>
      <c r="T151" s="113"/>
      <c r="U151" s="61"/>
      <c r="V151" s="746"/>
      <c r="W151" s="113"/>
      <c r="X151" s="61"/>
      <c r="Y151" s="61"/>
      <c r="Z151" s="113"/>
      <c r="AA151" s="61"/>
      <c r="AB151" s="61"/>
      <c r="AC151" s="61">
        <v>2</v>
      </c>
      <c r="AD151" s="61"/>
      <c r="AE151" s="61"/>
      <c r="AF151" s="61"/>
      <c r="AG151" s="61"/>
      <c r="AH151" s="61"/>
      <c r="AI151" s="61"/>
      <c r="AJ151" s="61"/>
      <c r="AK151" s="61"/>
    </row>
    <row r="152" spans="1:37">
      <c r="A152" s="61">
        <v>81</v>
      </c>
      <c r="B152" s="150">
        <f>+A152-C152</f>
        <v>-67</v>
      </c>
      <c r="C152" s="61">
        <f t="shared" si="17"/>
        <v>148</v>
      </c>
      <c r="D152" s="63">
        <v>7029</v>
      </c>
      <c r="E152" s="64" t="str">
        <f>IFERROR(VLOOKUP(Table3[[#This Row],[Player No]],Table11[#All],2,0),"")</f>
        <v xml:space="preserve">MTSHOELIBE Palesa </v>
      </c>
      <c r="F152" s="65" t="str">
        <f>IFERROR(VLOOKUP(Table3[[#This Row],[Player No]],Table11[#All],3,0),"")</f>
        <v>UTH</v>
      </c>
      <c r="G152" s="86">
        <v>5.078125</v>
      </c>
      <c r="H152" s="809">
        <f>(Table3[[#This Row],[Points 2025]]/2)+SUM(Table3[[#This Row],[O1  ADMIN 2026]:[P2      CAPE TOWN OPEN 2026 ]])</f>
        <v>2.5390625</v>
      </c>
      <c r="I152" s="61">
        <f t="shared" si="15"/>
        <v>0</v>
      </c>
      <c r="J152" s="61">
        <f t="shared" si="16"/>
        <v>0</v>
      </c>
      <c r="K152" s="746" t="s">
        <v>6083</v>
      </c>
      <c r="L152" s="746" t="s">
        <v>6083</v>
      </c>
      <c r="M152" s="746" t="s">
        <v>6083</v>
      </c>
      <c r="N152" s="746"/>
      <c r="O152" s="61"/>
      <c r="P152" s="61"/>
      <c r="Q152" s="113"/>
      <c r="R152" s="113"/>
      <c r="S152" s="61"/>
      <c r="T152" s="113"/>
      <c r="U152" s="61"/>
      <c r="V152" s="746"/>
      <c r="W152" s="113"/>
      <c r="X152" s="61"/>
      <c r="Y152" s="61"/>
      <c r="Z152" s="113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</row>
    <row r="153" spans="1:37">
      <c r="A153" s="615"/>
      <c r="B153" s="684">
        <f xml:space="preserve"> +A153-C153</f>
        <v>-149</v>
      </c>
      <c r="C153" s="61">
        <f t="shared" si="17"/>
        <v>149</v>
      </c>
      <c r="D153" s="624">
        <v>8396</v>
      </c>
      <c r="E153" s="64" t="str">
        <f>IFERROR(VLOOKUP(Table3[[#This Row],[Player No]],Table11[#All],2,0),"")</f>
        <v>Cassie Stevens</v>
      </c>
      <c r="F153" s="65" t="str">
        <f>IFERROR(VLOOKUP(Table3[[#This Row],[Player No]],Table11[#All],3,0),"")</f>
        <v>Eden</v>
      </c>
      <c r="G153" s="689">
        <v>5</v>
      </c>
      <c r="H153" s="811">
        <f>(Table3[[#This Row],[Points 2025]]/2)+SUM(Table3[[#This Row],[O1  ADMIN 2026]:[P2      CAPE TOWN OPEN 2026 ]])</f>
        <v>2.5</v>
      </c>
      <c r="I153" s="690">
        <f t="shared" si="15"/>
        <v>0</v>
      </c>
      <c r="J153" s="624">
        <f t="shared" si="16"/>
        <v>0</v>
      </c>
      <c r="K153" s="709" t="s">
        <v>6083</v>
      </c>
      <c r="L153" s="709" t="s">
        <v>6083</v>
      </c>
      <c r="M153" s="709" t="s">
        <v>6083</v>
      </c>
      <c r="N153" s="709"/>
      <c r="O153" s="615"/>
      <c r="P153" s="615"/>
      <c r="Q153" s="617"/>
      <c r="R153" s="617"/>
      <c r="S153" s="615"/>
      <c r="T153" s="617"/>
      <c r="U153" s="615"/>
      <c r="V153" s="750"/>
      <c r="W153" s="617">
        <v>5</v>
      </c>
      <c r="X153" s="615"/>
      <c r="Y153" s="615"/>
      <c r="Z153" s="617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</row>
    <row r="154" spans="1:37">
      <c r="A154" s="389"/>
      <c r="B154" s="682">
        <f xml:space="preserve"> +A154-C154</f>
        <v>-150</v>
      </c>
      <c r="C154" s="61">
        <f t="shared" si="17"/>
        <v>150</v>
      </c>
      <c r="D154" s="392">
        <v>7289</v>
      </c>
      <c r="E154" s="64" t="str">
        <f>IFERROR(VLOOKUP(Table3[[#This Row],[Player No]],Table11[#All],2,0),"")</f>
        <v xml:space="preserve">LENYAI KARABO  </v>
      </c>
      <c r="F154" s="65" t="str">
        <f>IFERROR(VLOOKUP(Table3[[#This Row],[Player No]],Table11[#All],3,0),"")</f>
        <v>NW</v>
      </c>
      <c r="G154" s="439">
        <v>5</v>
      </c>
      <c r="H154" s="815">
        <f>(Table3[[#This Row],[Points 2025]]/2)+SUM(Table3[[#This Row],[O1  ADMIN 2026]:[P2      CAPE TOWN OPEN 2026 ]])</f>
        <v>2.5</v>
      </c>
      <c r="I154" s="441">
        <f t="shared" si="15"/>
        <v>0</v>
      </c>
      <c r="J154" s="392">
        <f t="shared" si="16"/>
        <v>0</v>
      </c>
      <c r="K154" s="714" t="s">
        <v>6083</v>
      </c>
      <c r="L154" s="714" t="s">
        <v>6083</v>
      </c>
      <c r="M154" s="714" t="s">
        <v>6083</v>
      </c>
      <c r="N154" s="714"/>
      <c r="O154" s="389"/>
      <c r="P154" s="389"/>
      <c r="Q154" s="415"/>
      <c r="R154" s="415"/>
      <c r="S154" s="389"/>
      <c r="T154" s="415"/>
      <c r="U154" s="389"/>
      <c r="V154" s="747"/>
      <c r="W154" s="415">
        <v>5</v>
      </c>
      <c r="X154" s="389"/>
      <c r="Y154" s="389"/>
      <c r="Z154" s="415"/>
      <c r="AA154" s="389"/>
      <c r="AB154" s="389"/>
      <c r="AC154" s="389"/>
      <c r="AD154" s="389"/>
      <c r="AE154" s="389"/>
      <c r="AF154" s="389"/>
      <c r="AG154" s="389"/>
      <c r="AH154" s="389"/>
      <c r="AI154" s="389"/>
      <c r="AJ154" s="389"/>
      <c r="AK154" s="389"/>
    </row>
    <row r="155" spans="1:37">
      <c r="A155" s="615"/>
      <c r="B155" s="684">
        <f xml:space="preserve"> +A155-C155</f>
        <v>-151</v>
      </c>
      <c r="C155" s="61">
        <f t="shared" si="17"/>
        <v>151</v>
      </c>
      <c r="D155" s="624">
        <v>7390</v>
      </c>
      <c r="E155" s="64" t="str">
        <f>IFERROR(VLOOKUP(Table3[[#This Row],[Player No]],Table11[#All],2,0),"")</f>
        <v>Swanepoel Marlene</v>
      </c>
      <c r="F155" s="65" t="str">
        <f>IFERROR(VLOOKUP(Table3[[#This Row],[Player No]],Table11[#All],3,0),"")</f>
        <v>EDEN</v>
      </c>
      <c r="G155" s="689">
        <v>5</v>
      </c>
      <c r="H155" s="811">
        <f>(Table3[[#This Row],[Points 2025]]/2)+SUM(Table3[[#This Row],[O1  ADMIN 2026]:[P2      CAPE TOWN OPEN 2026 ]])</f>
        <v>2.5</v>
      </c>
      <c r="I155" s="690">
        <f t="shared" si="15"/>
        <v>0</v>
      </c>
      <c r="J155" s="624">
        <f t="shared" si="16"/>
        <v>0</v>
      </c>
      <c r="K155" s="709" t="s">
        <v>6083</v>
      </c>
      <c r="L155" s="709" t="s">
        <v>6083</v>
      </c>
      <c r="M155" s="709" t="s">
        <v>6083</v>
      </c>
      <c r="N155" s="709"/>
      <c r="O155" s="615"/>
      <c r="P155" s="615"/>
      <c r="Q155" s="617"/>
      <c r="R155" s="617"/>
      <c r="S155" s="615"/>
      <c r="T155" s="617"/>
      <c r="U155" s="615"/>
      <c r="V155" s="750"/>
      <c r="W155" s="617">
        <v>5</v>
      </c>
      <c r="X155" s="615"/>
      <c r="Y155" s="615"/>
      <c r="Z155" s="617"/>
      <c r="AA155" s="615"/>
      <c r="AB155" s="615"/>
      <c r="AC155" s="615"/>
      <c r="AD155" s="615"/>
      <c r="AE155" s="615"/>
      <c r="AF155" s="615"/>
      <c r="AG155" s="615"/>
      <c r="AH155" s="615"/>
      <c r="AI155" s="615"/>
      <c r="AJ155" s="615"/>
      <c r="AK155" s="615"/>
    </row>
    <row r="156" spans="1:37">
      <c r="A156" s="61">
        <v>83</v>
      </c>
      <c r="B156" s="150">
        <f t="shared" ref="B156:B164" si="19">+A156-C156</f>
        <v>-69</v>
      </c>
      <c r="C156" s="61">
        <f t="shared" si="17"/>
        <v>152</v>
      </c>
      <c r="D156" s="63">
        <v>8077</v>
      </c>
      <c r="E156" s="64" t="str">
        <f>IFERROR(VLOOKUP(Table3[[#This Row],[Player No]],Table11[#All],2,0),"")</f>
        <v>BOCKS Jamima</v>
      </c>
      <c r="F156" s="65" t="str">
        <f>IFERROR(VLOOKUP(Table3[[#This Row],[Player No]],Table11[#All],3,0),"")</f>
        <v>WC</v>
      </c>
      <c r="G156" s="86">
        <v>5</v>
      </c>
      <c r="H156" s="809">
        <f>(Table3[[#This Row],[Points 2025]]/2)+SUM(Table3[[#This Row],[O1  ADMIN 2026]:[P2      CAPE TOWN OPEN 2026 ]])</f>
        <v>2.5</v>
      </c>
      <c r="I156" s="61">
        <f t="shared" si="15"/>
        <v>0</v>
      </c>
      <c r="J156" s="61">
        <f t="shared" si="16"/>
        <v>0</v>
      </c>
      <c r="K156" s="746" t="s">
        <v>6083</v>
      </c>
      <c r="L156" s="746" t="s">
        <v>6083</v>
      </c>
      <c r="M156" s="746" t="s">
        <v>6083</v>
      </c>
      <c r="N156" s="746"/>
      <c r="O156" s="63"/>
      <c r="P156" s="63"/>
      <c r="Q156" s="114"/>
      <c r="R156" s="114"/>
      <c r="S156" s="63"/>
      <c r="T156" s="114"/>
      <c r="U156" s="63"/>
      <c r="V156" s="708"/>
      <c r="W156" s="114"/>
      <c r="X156" s="63"/>
      <c r="Y156" s="63"/>
      <c r="Z156" s="114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</row>
    <row r="157" spans="1:37">
      <c r="A157" s="61"/>
      <c r="B157" s="150">
        <f t="shared" si="19"/>
        <v>-153</v>
      </c>
      <c r="C157" s="61">
        <f t="shared" si="17"/>
        <v>153</v>
      </c>
      <c r="D157" s="63">
        <v>7277</v>
      </c>
      <c r="E157" s="64" t="str">
        <f>IFERROR(VLOOKUP(Table3[[#This Row],[Player No]],Table11[#All],2,0),"")</f>
        <v xml:space="preserve">DITHEJANE Kgomotso </v>
      </c>
      <c r="F157" s="65" t="str">
        <f>IFERROR(VLOOKUP(Table3[[#This Row],[Player No]],Table11[#All],3,0),"")</f>
        <v>NW</v>
      </c>
      <c r="G157" s="86">
        <v>5</v>
      </c>
      <c r="H157" s="809">
        <f>(Table3[[#This Row],[Points 2025]]/2)+SUM(Table3[[#This Row],[O1  ADMIN 2026]:[P2      CAPE TOWN OPEN 2026 ]])</f>
        <v>2.5</v>
      </c>
      <c r="I157" s="61">
        <f t="shared" si="15"/>
        <v>0</v>
      </c>
      <c r="J157" s="61">
        <f t="shared" si="16"/>
        <v>0</v>
      </c>
      <c r="K157" s="746" t="s">
        <v>6083</v>
      </c>
      <c r="L157" s="746" t="s">
        <v>6083</v>
      </c>
      <c r="M157" s="746" t="s">
        <v>6083</v>
      </c>
      <c r="N157" s="746"/>
      <c r="O157" s="61"/>
      <c r="P157" s="61"/>
      <c r="Q157" s="113"/>
      <c r="R157" s="113"/>
      <c r="S157" s="61"/>
      <c r="T157" s="113"/>
      <c r="U157" s="61"/>
      <c r="V157" s="746"/>
      <c r="W157" s="113"/>
      <c r="X157" s="61"/>
      <c r="Y157" s="61"/>
      <c r="Z157" s="113"/>
      <c r="AA157" s="61"/>
      <c r="AB157" s="61"/>
      <c r="AC157" s="61"/>
      <c r="AD157" s="61"/>
      <c r="AE157" s="61"/>
      <c r="AF157" s="61"/>
      <c r="AG157" s="61">
        <v>10</v>
      </c>
      <c r="AH157" s="61"/>
      <c r="AI157" s="61"/>
      <c r="AJ157" s="61"/>
      <c r="AK157" s="61"/>
    </row>
    <row r="158" spans="1:37">
      <c r="A158" s="61"/>
      <c r="B158" s="150">
        <f t="shared" si="19"/>
        <v>-154</v>
      </c>
      <c r="C158" s="61">
        <f t="shared" si="17"/>
        <v>154</v>
      </c>
      <c r="D158" s="63">
        <v>7692</v>
      </c>
      <c r="E158" s="64" t="str">
        <f>IFERROR(VLOOKUP(Table3[[#This Row],[Player No]],Table11[#All],2,0),"")</f>
        <v>DUMA N R</v>
      </c>
      <c r="F158" s="65" t="str">
        <f>IFERROR(VLOOKUP(Table3[[#This Row],[Player No]],Table11[#All],3,0),"")</f>
        <v>SANDF</v>
      </c>
      <c r="G158" s="86">
        <v>5</v>
      </c>
      <c r="H158" s="809">
        <f>(Table3[[#This Row],[Points 2025]]/2)+SUM(Table3[[#This Row],[O1  ADMIN 2026]:[P2      CAPE TOWN OPEN 2026 ]])</f>
        <v>2.5</v>
      </c>
      <c r="I158" s="61">
        <f t="shared" si="15"/>
        <v>0</v>
      </c>
      <c r="J158" s="61">
        <f t="shared" si="16"/>
        <v>0</v>
      </c>
      <c r="K158" s="746" t="s">
        <v>6083</v>
      </c>
      <c r="L158" s="746" t="s">
        <v>6083</v>
      </c>
      <c r="M158" s="746" t="s">
        <v>6083</v>
      </c>
      <c r="N158" s="746"/>
      <c r="O158" s="61"/>
      <c r="P158" s="61"/>
      <c r="Q158" s="113"/>
      <c r="R158" s="113"/>
      <c r="S158" s="61"/>
      <c r="T158" s="113"/>
      <c r="U158" s="61"/>
      <c r="V158" s="746"/>
      <c r="W158" s="113"/>
      <c r="X158" s="61"/>
      <c r="Y158" s="61"/>
      <c r="Z158" s="113"/>
      <c r="AA158" s="61"/>
      <c r="AB158" s="61"/>
      <c r="AC158" s="61"/>
      <c r="AD158" s="61"/>
      <c r="AE158" s="61"/>
      <c r="AF158" s="61"/>
      <c r="AG158" s="61">
        <v>10</v>
      </c>
      <c r="AH158" s="61"/>
      <c r="AI158" s="61"/>
      <c r="AJ158" s="61"/>
      <c r="AK158" s="61"/>
    </row>
    <row r="159" spans="1:37">
      <c r="A159" s="61"/>
      <c r="B159" s="150">
        <f t="shared" si="19"/>
        <v>-155</v>
      </c>
      <c r="C159" s="61">
        <f t="shared" si="17"/>
        <v>155</v>
      </c>
      <c r="D159" s="63">
        <v>8397</v>
      </c>
      <c r="E159" s="64" t="str">
        <f>IFERROR(VLOOKUP(Table3[[#This Row],[Player No]],Table11[#All],2,0),"")</f>
        <v>Emerenthia Williams</v>
      </c>
      <c r="F159" s="65" t="str">
        <f>IFERROR(VLOOKUP(Table3[[#This Row],[Player No]],Table11[#All],3,0),"")</f>
        <v>Eden</v>
      </c>
      <c r="G159" s="86">
        <v>5</v>
      </c>
      <c r="H159" s="809">
        <f>(Table3[[#This Row],[Points 2025]]/2)+SUM(Table3[[#This Row],[O1  ADMIN 2026]:[P2      CAPE TOWN OPEN 2026 ]])</f>
        <v>2.5</v>
      </c>
      <c r="I159" s="61">
        <f t="shared" si="15"/>
        <v>0</v>
      </c>
      <c r="J159" s="61">
        <f t="shared" si="16"/>
        <v>0</v>
      </c>
      <c r="K159" s="746" t="s">
        <v>6083</v>
      </c>
      <c r="L159" s="746" t="s">
        <v>6083</v>
      </c>
      <c r="M159" s="746" t="s">
        <v>6083</v>
      </c>
      <c r="N159" s="746"/>
      <c r="O159" s="61"/>
      <c r="P159" s="61"/>
      <c r="Q159" s="113"/>
      <c r="R159" s="113"/>
      <c r="S159" s="61"/>
      <c r="T159" s="113"/>
      <c r="U159" s="61"/>
      <c r="V159" s="746"/>
      <c r="W159" s="113">
        <v>0</v>
      </c>
      <c r="X159" s="61"/>
      <c r="Y159" s="61"/>
      <c r="Z159" s="113"/>
      <c r="AA159" s="61"/>
      <c r="AB159" s="61"/>
      <c r="AC159" s="61"/>
      <c r="AD159" s="61"/>
      <c r="AE159" s="61"/>
      <c r="AF159" s="61"/>
      <c r="AG159" s="61">
        <v>10</v>
      </c>
      <c r="AH159" s="61"/>
      <c r="AI159" s="61"/>
      <c r="AJ159" s="61"/>
      <c r="AK159" s="61"/>
    </row>
    <row r="160" spans="1:37">
      <c r="A160" s="61"/>
      <c r="B160" s="150">
        <f t="shared" si="19"/>
        <v>-156</v>
      </c>
      <c r="C160" s="61">
        <f t="shared" si="17"/>
        <v>156</v>
      </c>
      <c r="D160" s="63">
        <v>7258</v>
      </c>
      <c r="E160" s="64" t="str">
        <f>IFERROR(VLOOKUP(Table3[[#This Row],[Player No]],Table11[#All],2,0),"")</f>
        <v xml:space="preserve">SENYE Tidimalo </v>
      </c>
      <c r="F160" s="65" t="str">
        <f>IFERROR(VLOOKUP(Table3[[#This Row],[Player No]],Table11[#All],3,0),"")</f>
        <v>FS</v>
      </c>
      <c r="G160" s="86">
        <v>5</v>
      </c>
      <c r="H160" s="809">
        <f>(Table3[[#This Row],[Points 2025]]/2)+SUM(Table3[[#This Row],[O1  ADMIN 2026]:[P2      CAPE TOWN OPEN 2026 ]])</f>
        <v>2.5</v>
      </c>
      <c r="I160" s="61">
        <f t="shared" si="15"/>
        <v>0</v>
      </c>
      <c r="J160" s="61">
        <f t="shared" si="16"/>
        <v>0</v>
      </c>
      <c r="K160" s="746" t="s">
        <v>6083</v>
      </c>
      <c r="L160" s="746" t="s">
        <v>6083</v>
      </c>
      <c r="M160" s="746" t="s">
        <v>6083</v>
      </c>
      <c r="N160" s="746"/>
      <c r="O160" s="61"/>
      <c r="P160" s="61"/>
      <c r="Q160" s="113"/>
      <c r="R160" s="113"/>
      <c r="S160" s="61"/>
      <c r="T160" s="113"/>
      <c r="U160" s="61"/>
      <c r="V160" s="746"/>
      <c r="W160" s="113"/>
      <c r="X160" s="61"/>
      <c r="Y160" s="61"/>
      <c r="Z160" s="113"/>
      <c r="AA160" s="61"/>
      <c r="AB160" s="61"/>
      <c r="AC160" s="61"/>
      <c r="AD160" s="61"/>
      <c r="AE160" s="61"/>
      <c r="AF160" s="61"/>
      <c r="AG160" s="61">
        <v>10</v>
      </c>
      <c r="AH160" s="61"/>
      <c r="AI160" s="61"/>
      <c r="AJ160" s="61"/>
      <c r="AK160" s="61"/>
    </row>
    <row r="161" spans="1:37">
      <c r="A161" s="61">
        <v>105</v>
      </c>
      <c r="B161" s="150">
        <f t="shared" si="19"/>
        <v>-52</v>
      </c>
      <c r="C161" s="61">
        <f t="shared" si="17"/>
        <v>157</v>
      </c>
      <c r="D161" s="63">
        <v>8294</v>
      </c>
      <c r="E161" s="64" t="str">
        <f>IFERROR(VLOOKUP(Table3[[#This Row],[Player No]],Table11[#All],2,0),"")</f>
        <v>TOM Lizalise</v>
      </c>
      <c r="F161" s="65" t="str">
        <f>IFERROR(VLOOKUP(Table3[[#This Row],[Player No]],Table11[#All],3,0),"")</f>
        <v>EC</v>
      </c>
      <c r="G161" s="86">
        <v>5</v>
      </c>
      <c r="H161" s="809">
        <f>(Table3[[#This Row],[Points 2025]]/2)+SUM(Table3[[#This Row],[O1  ADMIN 2026]:[P2      CAPE TOWN OPEN 2026 ]])</f>
        <v>2.5</v>
      </c>
      <c r="I161" s="61">
        <f t="shared" si="15"/>
        <v>0</v>
      </c>
      <c r="J161" s="61">
        <f t="shared" si="16"/>
        <v>0</v>
      </c>
      <c r="K161" s="746" t="s">
        <v>6083</v>
      </c>
      <c r="L161" s="746" t="s">
        <v>6083</v>
      </c>
      <c r="M161" s="746" t="s">
        <v>6083</v>
      </c>
      <c r="N161" s="746"/>
      <c r="O161" s="61"/>
      <c r="P161" s="61"/>
      <c r="Q161" s="113"/>
      <c r="R161" s="113"/>
      <c r="S161" s="61"/>
      <c r="T161" s="113"/>
      <c r="U161" s="61"/>
      <c r="V161" s="746"/>
      <c r="W161" s="113"/>
      <c r="X161" s="61"/>
      <c r="Y161" s="61"/>
      <c r="Z161" s="113"/>
      <c r="AA161" s="61"/>
      <c r="AB161" s="61"/>
      <c r="AC161" s="61"/>
      <c r="AD161" s="61"/>
      <c r="AE161" s="61"/>
      <c r="AF161" s="61"/>
      <c r="AG161" s="61">
        <v>5</v>
      </c>
      <c r="AH161" s="61"/>
      <c r="AI161" s="61"/>
      <c r="AJ161" s="61"/>
      <c r="AK161" s="61"/>
    </row>
    <row r="162" spans="1:37">
      <c r="A162" s="61">
        <v>99</v>
      </c>
      <c r="B162" s="150">
        <f t="shared" si="19"/>
        <v>-59</v>
      </c>
      <c r="C162" s="61">
        <f t="shared" si="17"/>
        <v>158</v>
      </c>
      <c r="D162" s="63">
        <v>8090</v>
      </c>
      <c r="E162" s="64" t="str">
        <f>IFERROR(VLOOKUP(Table3[[#This Row],[Player No]],Table11[#All],2,0),"")</f>
        <v>SIKUTSHWA Nandipa</v>
      </c>
      <c r="F162" s="65" t="str">
        <f>IFERROR(VLOOKUP(Table3[[#This Row],[Player No]],Table11[#All],3,0),"")</f>
        <v>UMG</v>
      </c>
      <c r="G162" s="86">
        <v>3</v>
      </c>
      <c r="H162" s="809">
        <f>(Table3[[#This Row],[Points 2025]]/2)+SUM(Table3[[#This Row],[O1  ADMIN 2026]:[P2      CAPE TOWN OPEN 2026 ]])</f>
        <v>2.5</v>
      </c>
      <c r="I162" s="61">
        <f t="shared" si="15"/>
        <v>1</v>
      </c>
      <c r="J162" s="61">
        <f t="shared" si="16"/>
        <v>0</v>
      </c>
      <c r="K162" s="746" t="s">
        <v>6083</v>
      </c>
      <c r="L162" s="746">
        <v>1</v>
      </c>
      <c r="M162" s="746" t="s">
        <v>6083</v>
      </c>
      <c r="N162" s="746"/>
      <c r="O162" s="63"/>
      <c r="P162" s="63"/>
      <c r="Q162" s="114"/>
      <c r="R162" s="114"/>
      <c r="S162" s="63"/>
      <c r="T162" s="114"/>
      <c r="U162" s="63"/>
      <c r="V162" s="708"/>
      <c r="W162" s="114"/>
      <c r="X162" s="63"/>
      <c r="Y162" s="63"/>
      <c r="Z162" s="114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</row>
    <row r="163" spans="1:37">
      <c r="A163" s="61">
        <v>84</v>
      </c>
      <c r="B163" s="150">
        <f t="shared" si="19"/>
        <v>-75</v>
      </c>
      <c r="C163" s="61">
        <f t="shared" si="17"/>
        <v>159</v>
      </c>
      <c r="D163" s="63">
        <v>7026</v>
      </c>
      <c r="E163" s="64" t="str">
        <f>IFERROR(VLOOKUP(Table3[[#This Row],[Player No]],Table11[#All],2,0),"")</f>
        <v xml:space="preserve">MOLIFI Tshegofatso </v>
      </c>
      <c r="F163" s="65" t="str">
        <f>IFERROR(VLOOKUP(Table3[[#This Row],[Player No]],Table11[#All],3,0),"")</f>
        <v>NC</v>
      </c>
      <c r="G163" s="86">
        <v>4.04296875</v>
      </c>
      <c r="H163" s="809">
        <f>(Table3[[#This Row],[Points 2025]]/2)+SUM(Table3[[#This Row],[O1  ADMIN 2026]:[P2      CAPE TOWN OPEN 2026 ]])</f>
        <v>2.021484375</v>
      </c>
      <c r="I163" s="61">
        <f t="shared" si="15"/>
        <v>0</v>
      </c>
      <c r="J163" s="61">
        <f t="shared" si="16"/>
        <v>0</v>
      </c>
      <c r="K163" s="746" t="s">
        <v>6083</v>
      </c>
      <c r="L163" s="746" t="s">
        <v>6083</v>
      </c>
      <c r="M163" s="746" t="s">
        <v>6083</v>
      </c>
      <c r="N163" s="746"/>
      <c r="O163" s="61"/>
      <c r="P163" s="61"/>
      <c r="Q163" s="113"/>
      <c r="R163" s="113"/>
      <c r="S163" s="61"/>
      <c r="T163" s="113"/>
      <c r="U163" s="61"/>
      <c r="V163" s="746"/>
      <c r="W163" s="113"/>
      <c r="X163" s="61"/>
      <c r="Y163" s="61"/>
      <c r="Z163" s="113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</row>
    <row r="164" spans="1:37">
      <c r="A164" s="61"/>
      <c r="B164" s="150">
        <f t="shared" si="19"/>
        <v>-160</v>
      </c>
      <c r="C164" s="61">
        <f t="shared" si="17"/>
        <v>160</v>
      </c>
      <c r="D164" s="63">
        <v>9253</v>
      </c>
      <c r="E164" s="64" t="str">
        <f>IFERROR(VLOOKUP(Table3[[#This Row],[Player No]],Table11[#All],2,0),"")</f>
        <v xml:space="preserve">MORAR Meenal </v>
      </c>
      <c r="F164" s="65" t="str">
        <f>IFERROR(VLOOKUP(Table3[[#This Row],[Player No]],Table11[#All],3,0),"")</f>
        <v>JTTA</v>
      </c>
      <c r="G164" s="86">
        <v>4</v>
      </c>
      <c r="H164" s="809">
        <f>(Table3[[#This Row],[Points 2025]]/2)+SUM(Table3[[#This Row],[O1  ADMIN 2026]:[P2      CAPE TOWN OPEN 2026 ]])</f>
        <v>2</v>
      </c>
      <c r="I164" s="61">
        <f t="shared" si="15"/>
        <v>0</v>
      </c>
      <c r="J164" s="61">
        <f t="shared" si="16"/>
        <v>0</v>
      </c>
      <c r="K164" s="746" t="s">
        <v>6083</v>
      </c>
      <c r="L164" s="746" t="s">
        <v>6083</v>
      </c>
      <c r="M164" s="746" t="s">
        <v>6083</v>
      </c>
      <c r="N164" s="746"/>
      <c r="O164" s="61"/>
      <c r="P164" s="61"/>
      <c r="Q164" s="113"/>
      <c r="R164" s="113"/>
      <c r="S164" s="61"/>
      <c r="T164" s="113"/>
      <c r="U164" s="61"/>
      <c r="V164" s="746"/>
      <c r="W164" s="113"/>
      <c r="X164" s="61"/>
      <c r="Y164" s="61"/>
      <c r="Z164" s="113"/>
      <c r="AA164" s="61"/>
      <c r="AB164" s="61"/>
      <c r="AC164" s="61"/>
      <c r="AD164" s="61"/>
      <c r="AE164" s="61"/>
      <c r="AF164" s="61"/>
      <c r="AG164" s="61">
        <v>5</v>
      </c>
      <c r="AH164" s="61">
        <v>1</v>
      </c>
      <c r="AI164" s="61">
        <v>2</v>
      </c>
      <c r="AJ164" s="61"/>
      <c r="AK164" s="61"/>
    </row>
    <row r="165" spans="1:37">
      <c r="A165" s="61"/>
      <c r="B165" s="425">
        <f xml:space="preserve"> +A165-C165</f>
        <v>-161</v>
      </c>
      <c r="C165" s="61">
        <f t="shared" si="17"/>
        <v>161</v>
      </c>
      <c r="D165" s="63">
        <v>8125</v>
      </c>
      <c r="E165" s="64" t="str">
        <f>IFERROR(VLOOKUP(Table3[[#This Row],[Player No]],Table11[#All],2,0),"")</f>
        <v>GOLOGOLO Latita</v>
      </c>
      <c r="F165" s="65" t="str">
        <f>IFERROR(VLOOKUP(Table3[[#This Row],[Player No]],Table11[#All],3,0),"")</f>
        <v>FS</v>
      </c>
      <c r="G165" s="86">
        <v>0</v>
      </c>
      <c r="H165" s="809">
        <f>(Table3[[#This Row],[Points 2025]]/2)+SUM(Table3[[#This Row],[O1  ADMIN 2026]:[P2      CAPE TOWN OPEN 2026 ]])</f>
        <v>2</v>
      </c>
      <c r="I165" s="90">
        <f t="shared" si="15"/>
        <v>2</v>
      </c>
      <c r="J165" s="63">
        <f t="shared" si="16"/>
        <v>0</v>
      </c>
      <c r="K165" s="708" t="s">
        <v>6083</v>
      </c>
      <c r="L165" s="708">
        <v>1</v>
      </c>
      <c r="M165" s="708">
        <v>1</v>
      </c>
      <c r="N165" s="708"/>
      <c r="O165" s="61"/>
      <c r="P165" s="61"/>
      <c r="Q165" s="113"/>
      <c r="R165" s="113"/>
      <c r="S165" s="61"/>
      <c r="T165" s="113"/>
      <c r="U165" s="61"/>
      <c r="V165" s="746"/>
      <c r="W165" s="113"/>
      <c r="X165" s="61"/>
      <c r="Y165" s="61"/>
      <c r="Z165" s="113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</row>
    <row r="166" spans="1:37">
      <c r="A166" s="61"/>
      <c r="B166" s="425">
        <f xml:space="preserve"> +A166-C166</f>
        <v>-162</v>
      </c>
      <c r="C166" s="61">
        <f t="shared" si="17"/>
        <v>162</v>
      </c>
      <c r="D166" s="63">
        <v>8538</v>
      </c>
      <c r="E166" s="64" t="str">
        <f>IFERROR(VLOOKUP(Table3[[#This Row],[Player No]],Table11[#All],2,0),"")</f>
        <v>Serante Naipal</v>
      </c>
      <c r="F166" s="65" t="str">
        <f>IFERROR(VLOOKUP(Table3[[#This Row],[Player No]],Table11[#All],3,0),"")</f>
        <v>UMG</v>
      </c>
      <c r="G166" s="86">
        <v>0</v>
      </c>
      <c r="H166" s="809">
        <f>(Table3[[#This Row],[Points 2025]]/2)+SUM(Table3[[#This Row],[O1  ADMIN 2026]:[P2      CAPE TOWN OPEN 2026 ]])</f>
        <v>2</v>
      </c>
      <c r="I166" s="90">
        <f t="shared" si="15"/>
        <v>2</v>
      </c>
      <c r="J166" s="63">
        <f t="shared" si="16"/>
        <v>0</v>
      </c>
      <c r="K166" s="708" t="s">
        <v>6083</v>
      </c>
      <c r="L166" s="708">
        <v>1</v>
      </c>
      <c r="M166" s="708">
        <v>1</v>
      </c>
      <c r="N166" s="708"/>
      <c r="O166" s="61"/>
      <c r="P166" s="61"/>
      <c r="Q166" s="113"/>
      <c r="R166" s="113"/>
      <c r="S166" s="61"/>
      <c r="T166" s="113"/>
      <c r="U166" s="61"/>
      <c r="V166" s="746"/>
      <c r="W166" s="113"/>
      <c r="X166" s="61"/>
      <c r="Y166" s="61"/>
      <c r="Z166" s="113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</row>
    <row r="167" spans="1:37">
      <c r="A167" s="61"/>
      <c r="B167" s="425">
        <f xml:space="preserve"> +A167-C167</f>
        <v>-163</v>
      </c>
      <c r="C167" s="61">
        <f t="shared" si="17"/>
        <v>163</v>
      </c>
      <c r="D167" s="63">
        <v>8662</v>
      </c>
      <c r="E167" s="64" t="str">
        <f>IFERROR(VLOOKUP(Table3[[#This Row],[Player No]],Table11[#All],2,0),"")</f>
        <v>BAIJNATH Aditi</v>
      </c>
      <c r="F167" s="65" t="str">
        <f>IFERROR(VLOOKUP(Table3[[#This Row],[Player No]],Table11[#All],3,0),"")</f>
        <v>UMG</v>
      </c>
      <c r="G167" s="86">
        <v>0</v>
      </c>
      <c r="H167" s="809">
        <f>(Table3[[#This Row],[Points 2025]]/2)+SUM(Table3[[#This Row],[O1  ADMIN 2026]:[P2      CAPE TOWN OPEN 2026 ]])</f>
        <v>2</v>
      </c>
      <c r="I167" s="90">
        <f t="shared" si="15"/>
        <v>2</v>
      </c>
      <c r="J167" s="63">
        <f t="shared" si="16"/>
        <v>0</v>
      </c>
      <c r="K167" s="708" t="s">
        <v>6083</v>
      </c>
      <c r="L167" s="708">
        <v>1</v>
      </c>
      <c r="M167" s="708">
        <v>1</v>
      </c>
      <c r="N167" s="708"/>
      <c r="O167" s="61"/>
      <c r="P167" s="61"/>
      <c r="Q167" s="113"/>
      <c r="R167" s="113"/>
      <c r="S167" s="61"/>
      <c r="T167" s="113"/>
      <c r="U167" s="61"/>
      <c r="V167" s="746"/>
      <c r="W167" s="113"/>
      <c r="X167" s="61"/>
      <c r="Y167" s="61"/>
      <c r="Z167" s="113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</row>
    <row r="168" spans="1:37">
      <c r="A168" s="61"/>
      <c r="B168" s="425">
        <f xml:space="preserve"> +A168-C168</f>
        <v>-164</v>
      </c>
      <c r="C168" s="61">
        <f t="shared" si="17"/>
        <v>164</v>
      </c>
      <c r="D168" s="63">
        <v>8663</v>
      </c>
      <c r="E168" s="64" t="str">
        <f>IFERROR(VLOOKUP(Table3[[#This Row],[Player No]],Table11[#All],2,0),"")</f>
        <v>BAIJNATH Preeti</v>
      </c>
      <c r="F168" s="65" t="str">
        <f>IFERROR(VLOOKUP(Table3[[#This Row],[Player No]],Table11[#All],3,0),"")</f>
        <v>UMG</v>
      </c>
      <c r="G168" s="86">
        <v>0</v>
      </c>
      <c r="H168" s="809">
        <f>(Table3[[#This Row],[Points 2025]]/2)+SUM(Table3[[#This Row],[O1  ADMIN 2026]:[P2      CAPE TOWN OPEN 2026 ]])</f>
        <v>2</v>
      </c>
      <c r="I168" s="90">
        <f t="shared" si="15"/>
        <v>2</v>
      </c>
      <c r="J168" s="63">
        <f t="shared" si="16"/>
        <v>0</v>
      </c>
      <c r="K168" s="708" t="s">
        <v>6083</v>
      </c>
      <c r="L168" s="708">
        <v>1</v>
      </c>
      <c r="M168" s="708">
        <v>1</v>
      </c>
      <c r="N168" s="708"/>
      <c r="O168" s="61"/>
      <c r="P168" s="61"/>
      <c r="Q168" s="113"/>
      <c r="R168" s="113"/>
      <c r="S168" s="61"/>
      <c r="T168" s="113"/>
      <c r="U168" s="61"/>
      <c r="V168" s="746"/>
      <c r="W168" s="113"/>
      <c r="X168" s="61"/>
      <c r="Y168" s="61"/>
      <c r="Z168" s="113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</row>
    <row r="169" spans="1:37">
      <c r="A169" s="1039"/>
      <c r="B169" s="1040">
        <f xml:space="preserve"> +A169-C169</f>
        <v>-165</v>
      </c>
      <c r="C169" s="61">
        <f t="shared" si="17"/>
        <v>165</v>
      </c>
      <c r="D169" s="1045">
        <v>8661</v>
      </c>
      <c r="E169" s="64" t="str">
        <f>IFERROR(VLOOKUP(Table3[[#This Row],[Player No]],Table11[#All],2,0),"")</f>
        <v>HEERALAL Arya</v>
      </c>
      <c r="F169" s="65" t="str">
        <f>IFERROR(VLOOKUP(Table3[[#This Row],[Player No]],Table11[#All],3,0),"")</f>
        <v>ETTA</v>
      </c>
      <c r="G169" s="311">
        <v>0</v>
      </c>
      <c r="H169" s="1048">
        <f>(Table3[[#This Row],[Points 2025]]/2)+SUM(Table3[[#This Row],[O1  ADMIN 2026]:[P2      CAPE TOWN OPEN 2026 ]])</f>
        <v>2</v>
      </c>
      <c r="I169" s="1050">
        <f t="shared" si="15"/>
        <v>1</v>
      </c>
      <c r="J169" s="1045">
        <f t="shared" si="16"/>
        <v>0</v>
      </c>
      <c r="K169" s="1052" t="s">
        <v>6083</v>
      </c>
      <c r="L169" s="1052">
        <v>2</v>
      </c>
      <c r="M169" s="1052"/>
      <c r="N169" s="1052"/>
      <c r="O169" s="1039"/>
      <c r="P169" s="1039"/>
      <c r="Q169" s="1053"/>
      <c r="R169" s="1053"/>
      <c r="S169" s="1039"/>
      <c r="T169" s="1053"/>
      <c r="U169" s="1039"/>
      <c r="V169" s="1054"/>
      <c r="W169" s="1053"/>
      <c r="X169" s="1039"/>
      <c r="Y169" s="1039"/>
      <c r="Z169" s="1053"/>
      <c r="AA169" s="1039"/>
      <c r="AB169" s="1039"/>
      <c r="AC169" s="1039"/>
      <c r="AD169" s="1039"/>
      <c r="AE169" s="1039"/>
      <c r="AF169" s="1039"/>
      <c r="AG169" s="1039"/>
      <c r="AH169" s="1039"/>
      <c r="AI169" s="1039"/>
      <c r="AJ169" s="1039"/>
      <c r="AK169" s="1039"/>
    </row>
    <row r="170" spans="1:37">
      <c r="A170" s="61">
        <v>86</v>
      </c>
      <c r="B170" s="150">
        <f t="shared" ref="B170:B198" si="20">+A170-C170</f>
        <v>-80</v>
      </c>
      <c r="C170" s="61">
        <f t="shared" si="17"/>
        <v>166</v>
      </c>
      <c r="D170" s="63">
        <v>7035</v>
      </c>
      <c r="E170" s="64" t="str">
        <f>IFERROR(VLOOKUP(Table3[[#This Row],[Player No]],Table11[#All],2,0),"")</f>
        <v xml:space="preserve">MAHARAJ Sandhya </v>
      </c>
      <c r="F170" s="65" t="str">
        <f>IFERROR(VLOOKUP(Table3[[#This Row],[Player No]],Table11[#All],3,0),"")</f>
        <v>ETK</v>
      </c>
      <c r="G170" s="86">
        <v>3.837890625</v>
      </c>
      <c r="H170" s="809">
        <f>(Table3[[#This Row],[Points 2025]]/2)+SUM(Table3[[#This Row],[O1  ADMIN 2026]:[P2      CAPE TOWN OPEN 2026 ]])</f>
        <v>1.9189453125</v>
      </c>
      <c r="I170" s="61">
        <f t="shared" si="15"/>
        <v>0</v>
      </c>
      <c r="J170" s="61">
        <f t="shared" si="16"/>
        <v>0</v>
      </c>
      <c r="K170" s="746" t="s">
        <v>6083</v>
      </c>
      <c r="L170" s="746" t="s">
        <v>6083</v>
      </c>
      <c r="M170" s="746" t="s">
        <v>6083</v>
      </c>
      <c r="N170" s="746"/>
      <c r="O170" s="61"/>
      <c r="P170" s="61"/>
      <c r="Q170" s="113"/>
      <c r="R170" s="113"/>
      <c r="S170" s="61"/>
      <c r="T170" s="113"/>
      <c r="U170" s="61"/>
      <c r="V170" s="746"/>
      <c r="W170" s="113"/>
      <c r="X170" s="61"/>
      <c r="Y170" s="61"/>
      <c r="Z170" s="113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</row>
    <row r="171" spans="1:37">
      <c r="A171" s="61">
        <v>87</v>
      </c>
      <c r="B171" s="150">
        <f t="shared" si="20"/>
        <v>-80</v>
      </c>
      <c r="C171" s="61">
        <f t="shared" si="17"/>
        <v>167</v>
      </c>
      <c r="D171" s="63">
        <v>7629</v>
      </c>
      <c r="E171" s="64" t="str">
        <f>IFERROR(VLOOKUP(Table3[[#This Row],[Player No]],Table11[#All],2,0),"")</f>
        <v>MBALENHLE Felicia</v>
      </c>
      <c r="F171" s="65" t="str">
        <f>IFERROR(VLOOKUP(Table3[[#This Row],[Player No]],Table11[#All],3,0),"")</f>
        <v>GN</v>
      </c>
      <c r="G171" s="86">
        <v>3.75</v>
      </c>
      <c r="H171" s="809">
        <f>(Table3[[#This Row],[Points 2025]]/2)+SUM(Table3[[#This Row],[O1  ADMIN 2026]:[P2      CAPE TOWN OPEN 2026 ]])</f>
        <v>1.875</v>
      </c>
      <c r="I171" s="61">
        <f t="shared" si="15"/>
        <v>0</v>
      </c>
      <c r="J171" s="61">
        <f t="shared" si="16"/>
        <v>0</v>
      </c>
      <c r="K171" s="746" t="s">
        <v>6083</v>
      </c>
      <c r="L171" s="746" t="s">
        <v>6083</v>
      </c>
      <c r="M171" s="746" t="s">
        <v>6083</v>
      </c>
      <c r="N171" s="746"/>
      <c r="O171" s="63"/>
      <c r="P171" s="63"/>
      <c r="Q171" s="114"/>
      <c r="R171" s="114"/>
      <c r="S171" s="63"/>
      <c r="T171" s="114"/>
      <c r="U171" s="63"/>
      <c r="V171" s="708"/>
      <c r="W171" s="114"/>
      <c r="X171" s="63"/>
      <c r="Y171" s="63"/>
      <c r="Z171" s="114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</row>
    <row r="172" spans="1:37">
      <c r="A172" s="61">
        <v>88</v>
      </c>
      <c r="B172" s="150">
        <f t="shared" si="20"/>
        <v>-80</v>
      </c>
      <c r="C172" s="61">
        <f t="shared" si="17"/>
        <v>168</v>
      </c>
      <c r="D172" s="63">
        <v>8108</v>
      </c>
      <c r="E172" s="64" t="str">
        <f>IFERROR(VLOOKUP(Table3[[#This Row],[Player No]],Table11[#All],2,0),"")</f>
        <v xml:space="preserve">MOKOMELE Tsholofelo </v>
      </c>
      <c r="F172" s="65" t="str">
        <f>IFERROR(VLOOKUP(Table3[[#This Row],[Player No]],Table11[#All],3,0),"")</f>
        <v>NC</v>
      </c>
      <c r="G172" s="86">
        <v>3.75</v>
      </c>
      <c r="H172" s="809">
        <f>(Table3[[#This Row],[Points 2025]]/2)+SUM(Table3[[#This Row],[O1  ADMIN 2026]:[P2      CAPE TOWN OPEN 2026 ]])</f>
        <v>1.875</v>
      </c>
      <c r="I172" s="61">
        <f t="shared" si="15"/>
        <v>0</v>
      </c>
      <c r="J172" s="61">
        <f t="shared" si="16"/>
        <v>0</v>
      </c>
      <c r="K172" s="746" t="s">
        <v>6083</v>
      </c>
      <c r="L172" s="746" t="s">
        <v>6083</v>
      </c>
      <c r="M172" s="746" t="s">
        <v>6083</v>
      </c>
      <c r="N172" s="746"/>
      <c r="O172" s="63"/>
      <c r="P172" s="63"/>
      <c r="Q172" s="114"/>
      <c r="R172" s="114"/>
      <c r="S172" s="63"/>
      <c r="T172" s="114"/>
      <c r="U172" s="63"/>
      <c r="V172" s="708"/>
      <c r="W172" s="114"/>
      <c r="X172" s="63"/>
      <c r="Y172" s="63"/>
      <c r="Z172" s="114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</row>
    <row r="173" spans="1:37">
      <c r="A173" s="61">
        <v>89</v>
      </c>
      <c r="B173" s="150">
        <f t="shared" si="20"/>
        <v>-80</v>
      </c>
      <c r="C173" s="61">
        <f t="shared" si="17"/>
        <v>169</v>
      </c>
      <c r="D173" s="63">
        <v>7106</v>
      </c>
      <c r="E173" s="64" t="str">
        <f>IFERROR(VLOOKUP(Table3[[#This Row],[Player No]],Table11[#All],2,0),"")</f>
        <v xml:space="preserve">MAHARAJ Prianna </v>
      </c>
      <c r="F173" s="65" t="str">
        <f>IFERROR(VLOOKUP(Table3[[#This Row],[Player No]],Table11[#All],3,0),"")</f>
        <v>UMG</v>
      </c>
      <c r="G173" s="86">
        <v>3.37890625</v>
      </c>
      <c r="H173" s="809">
        <f>(Table3[[#This Row],[Points 2025]]/2)+SUM(Table3[[#This Row],[O1  ADMIN 2026]:[P2      CAPE TOWN OPEN 2026 ]])</f>
        <v>1.689453125</v>
      </c>
      <c r="I173" s="61">
        <f t="shared" si="15"/>
        <v>0</v>
      </c>
      <c r="J173" s="61">
        <f t="shared" si="16"/>
        <v>0</v>
      </c>
      <c r="K173" s="746" t="s">
        <v>6083</v>
      </c>
      <c r="L173" s="746" t="s">
        <v>6083</v>
      </c>
      <c r="M173" s="746" t="s">
        <v>6083</v>
      </c>
      <c r="N173" s="746"/>
      <c r="O173" s="61"/>
      <c r="P173" s="61"/>
      <c r="Q173" s="113"/>
      <c r="R173" s="113"/>
      <c r="S173" s="61"/>
      <c r="T173" s="113"/>
      <c r="U173" s="61"/>
      <c r="V173" s="746"/>
      <c r="W173" s="113"/>
      <c r="X173" s="61"/>
      <c r="Y173" s="61"/>
      <c r="Z173" s="113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</row>
    <row r="174" spans="1:37">
      <c r="A174" s="61">
        <v>90</v>
      </c>
      <c r="B174" s="150">
        <f t="shared" si="20"/>
        <v>-80</v>
      </c>
      <c r="C174" s="61">
        <f t="shared" si="17"/>
        <v>170</v>
      </c>
      <c r="D174" s="63">
        <v>7799</v>
      </c>
      <c r="E174" s="64" t="str">
        <f>IFERROR(VLOOKUP(Table3[[#This Row],[Player No]],Table11[#All],2,0),"")</f>
        <v>PILLAY Judy</v>
      </c>
      <c r="F174" s="65" t="str">
        <f>IFERROR(VLOOKUP(Table3[[#This Row],[Player No]],Table11[#All],3,0),"")</f>
        <v>CT</v>
      </c>
      <c r="G174" s="86">
        <v>3.3125</v>
      </c>
      <c r="H174" s="809">
        <f>(Table3[[#This Row],[Points 2025]]/2)+SUM(Table3[[#This Row],[O1  ADMIN 2026]:[P2      CAPE TOWN OPEN 2026 ]])</f>
        <v>1.65625</v>
      </c>
      <c r="I174" s="61">
        <f t="shared" si="15"/>
        <v>0</v>
      </c>
      <c r="J174" s="61">
        <f t="shared" si="16"/>
        <v>0</v>
      </c>
      <c r="K174" s="746" t="s">
        <v>6083</v>
      </c>
      <c r="L174" s="746" t="s">
        <v>6083</v>
      </c>
      <c r="M174" s="746" t="s">
        <v>6083</v>
      </c>
      <c r="N174" s="746"/>
      <c r="O174" s="61"/>
      <c r="P174" s="61"/>
      <c r="Q174" s="113"/>
      <c r="R174" s="113"/>
      <c r="S174" s="61"/>
      <c r="T174" s="113"/>
      <c r="U174" s="61"/>
      <c r="V174" s="746"/>
      <c r="W174" s="113"/>
      <c r="X174" s="61"/>
      <c r="Y174" s="61"/>
      <c r="Z174" s="113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</row>
    <row r="175" spans="1:37">
      <c r="A175" s="61">
        <v>219</v>
      </c>
      <c r="B175" s="150">
        <f t="shared" si="20"/>
        <v>48</v>
      </c>
      <c r="C175" s="61">
        <f t="shared" si="17"/>
        <v>171</v>
      </c>
      <c r="D175" s="63">
        <v>7763</v>
      </c>
      <c r="E175" s="64" t="str">
        <f>IFERROR(VLOOKUP(Table3[[#This Row],[Player No]],Table11[#All],2,0),"")</f>
        <v>ALEXANDER Jada</v>
      </c>
      <c r="F175" s="65" t="str">
        <f>IFERROR(VLOOKUP(Table3[[#This Row],[Player No]],Table11[#All],3,0),"")</f>
        <v>CT</v>
      </c>
      <c r="G175" s="86">
        <v>3.25</v>
      </c>
      <c r="H175" s="809">
        <f>(Table3[[#This Row],[Points 2025]]/2)+SUM(Table3[[#This Row],[O1  ADMIN 2026]:[P2      CAPE TOWN OPEN 2026 ]])</f>
        <v>1.625</v>
      </c>
      <c r="I175" s="61">
        <f t="shared" si="15"/>
        <v>0</v>
      </c>
      <c r="J175" s="61">
        <f t="shared" si="16"/>
        <v>0</v>
      </c>
      <c r="K175" s="746" t="s">
        <v>6083</v>
      </c>
      <c r="L175" s="746" t="s">
        <v>6083</v>
      </c>
      <c r="M175" s="746" t="s">
        <v>6083</v>
      </c>
      <c r="N175" s="746"/>
      <c r="O175" s="61"/>
      <c r="P175" s="61"/>
      <c r="Q175" s="113"/>
      <c r="R175" s="113"/>
      <c r="S175" s="61"/>
      <c r="T175" s="113"/>
      <c r="U175" s="61"/>
      <c r="V175" s="746"/>
      <c r="W175" s="113"/>
      <c r="X175" s="61"/>
      <c r="Y175" s="61"/>
      <c r="Z175" s="113"/>
      <c r="AA175" s="61"/>
      <c r="AB175" s="61"/>
      <c r="AC175" s="61"/>
      <c r="AD175" s="61"/>
      <c r="AE175" s="61">
        <v>1</v>
      </c>
      <c r="AF175" s="61"/>
      <c r="AG175" s="61">
        <v>5</v>
      </c>
      <c r="AH175" s="61"/>
      <c r="AI175" s="61"/>
      <c r="AJ175" s="61"/>
      <c r="AK175" s="61"/>
    </row>
    <row r="176" spans="1:37">
      <c r="A176" s="61">
        <v>95</v>
      </c>
      <c r="B176" s="150">
        <f t="shared" si="20"/>
        <v>-77</v>
      </c>
      <c r="C176" s="61">
        <f t="shared" si="17"/>
        <v>172</v>
      </c>
      <c r="D176" s="63">
        <v>7770</v>
      </c>
      <c r="E176" s="64" t="str">
        <f>IFERROR(VLOOKUP(Table3[[#This Row],[Player No]],Table11[#All],2,0),"")</f>
        <v>EBERHARDT Kayla</v>
      </c>
      <c r="F176" s="65" t="str">
        <f>IFERROR(VLOOKUP(Table3[[#This Row],[Player No]],Table11[#All],3,0),"")</f>
        <v>NMB</v>
      </c>
      <c r="G176" s="86">
        <v>3.125</v>
      </c>
      <c r="H176" s="809">
        <f>(Table3[[#This Row],[Points 2025]]/2)+SUM(Table3[[#This Row],[O1  ADMIN 2026]:[P2      CAPE TOWN OPEN 2026 ]])</f>
        <v>1.5625</v>
      </c>
      <c r="I176" s="61">
        <f t="shared" si="15"/>
        <v>0</v>
      </c>
      <c r="J176" s="61">
        <f t="shared" si="16"/>
        <v>0</v>
      </c>
      <c r="K176" s="746" t="s">
        <v>6083</v>
      </c>
      <c r="L176" s="746" t="s">
        <v>6083</v>
      </c>
      <c r="M176" s="746" t="s">
        <v>6083</v>
      </c>
      <c r="N176" s="746"/>
      <c r="O176" s="63"/>
      <c r="P176" s="63"/>
      <c r="Q176" s="114"/>
      <c r="R176" s="114"/>
      <c r="S176" s="63"/>
      <c r="T176" s="114"/>
      <c r="U176" s="63"/>
      <c r="V176" s="708"/>
      <c r="W176" s="114"/>
      <c r="X176" s="63"/>
      <c r="Y176" s="63"/>
      <c r="Z176" s="114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</row>
    <row r="177" spans="1:37">
      <c r="A177" s="61">
        <v>97</v>
      </c>
      <c r="B177" s="150">
        <f t="shared" si="20"/>
        <v>-76</v>
      </c>
      <c r="C177" s="61">
        <f t="shared" si="17"/>
        <v>173</v>
      </c>
      <c r="D177" s="63">
        <v>8136</v>
      </c>
      <c r="E177" s="64" t="str">
        <f>IFERROR(VLOOKUP(Table3[[#This Row],[Player No]],Table11[#All],2,0),"")</f>
        <v>LINA Marinova</v>
      </c>
      <c r="F177" s="65">
        <f>IFERROR(VLOOKUP(Table3[[#This Row],[Player No]],Table11[#All],3,0),"")</f>
        <v>0</v>
      </c>
      <c r="G177" s="86">
        <v>3.125</v>
      </c>
      <c r="H177" s="809">
        <f>(Table3[[#This Row],[Points 2025]]/2)+SUM(Table3[[#This Row],[O1  ADMIN 2026]:[P2      CAPE TOWN OPEN 2026 ]])</f>
        <v>1.5625</v>
      </c>
      <c r="I177" s="61">
        <f t="shared" si="15"/>
        <v>0</v>
      </c>
      <c r="J177" s="61">
        <f t="shared" si="16"/>
        <v>0</v>
      </c>
      <c r="K177" s="746" t="s">
        <v>6083</v>
      </c>
      <c r="L177" s="746" t="s">
        <v>6083</v>
      </c>
      <c r="M177" s="746" t="s">
        <v>6083</v>
      </c>
      <c r="N177" s="746"/>
      <c r="O177" s="63"/>
      <c r="P177" s="63"/>
      <c r="Q177" s="114"/>
      <c r="R177" s="114"/>
      <c r="S177" s="63"/>
      <c r="T177" s="114"/>
      <c r="U177" s="63"/>
      <c r="V177" s="708"/>
      <c r="W177" s="114"/>
      <c r="X177" s="63"/>
      <c r="Y177" s="63"/>
      <c r="Z177" s="114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</row>
    <row r="178" spans="1:37">
      <c r="A178" s="61">
        <v>92</v>
      </c>
      <c r="B178" s="150">
        <f t="shared" si="20"/>
        <v>-82</v>
      </c>
      <c r="C178" s="61">
        <f t="shared" si="17"/>
        <v>174</v>
      </c>
      <c r="D178" s="63">
        <v>8187</v>
      </c>
      <c r="E178" s="64" t="str">
        <f>IFERROR(VLOOKUP(Table3[[#This Row],[Player No]],Table11[#All],2,0),"")</f>
        <v>LUNGU Omega</v>
      </c>
      <c r="F178" s="65">
        <f>IFERROR(VLOOKUP(Table3[[#This Row],[Player No]],Table11[#All],3,0),"")</f>
        <v>0</v>
      </c>
      <c r="G178" s="86">
        <v>3.125</v>
      </c>
      <c r="H178" s="809">
        <f>(Table3[[#This Row],[Points 2025]]/2)+SUM(Table3[[#This Row],[O1  ADMIN 2026]:[P2      CAPE TOWN OPEN 2026 ]])</f>
        <v>1.5625</v>
      </c>
      <c r="I178" s="61">
        <f t="shared" si="15"/>
        <v>0</v>
      </c>
      <c r="J178" s="61">
        <f t="shared" si="16"/>
        <v>0</v>
      </c>
      <c r="K178" s="746" t="s">
        <v>6083</v>
      </c>
      <c r="L178" s="746" t="s">
        <v>6083</v>
      </c>
      <c r="M178" s="746" t="s">
        <v>6083</v>
      </c>
      <c r="N178" s="746"/>
      <c r="O178" s="61"/>
      <c r="P178" s="61"/>
      <c r="Q178" s="113"/>
      <c r="R178" s="113"/>
      <c r="S178" s="61"/>
      <c r="T178" s="113"/>
      <c r="U178" s="61"/>
      <c r="V178" s="746"/>
      <c r="W178" s="113"/>
      <c r="X178" s="61"/>
      <c r="Y178" s="61"/>
      <c r="Z178" s="113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</row>
    <row r="179" spans="1:37">
      <c r="A179" s="61">
        <v>94</v>
      </c>
      <c r="B179" s="150">
        <f t="shared" si="20"/>
        <v>-81</v>
      </c>
      <c r="C179" s="61">
        <f t="shared" si="17"/>
        <v>175</v>
      </c>
      <c r="D179" s="63">
        <v>8181</v>
      </c>
      <c r="E179" s="64" t="str">
        <f>IFERROR(VLOOKUP(Table3[[#This Row],[Player No]],Table11[#All],2,0),"")</f>
        <v xml:space="preserve">MOKHOBO Bonolo </v>
      </c>
      <c r="F179" s="65">
        <f>IFERROR(VLOOKUP(Table3[[#This Row],[Player No]],Table11[#All],3,0),"")</f>
        <v>0</v>
      </c>
      <c r="G179" s="86">
        <v>3.125</v>
      </c>
      <c r="H179" s="809">
        <f>(Table3[[#This Row],[Points 2025]]/2)+SUM(Table3[[#This Row],[O1  ADMIN 2026]:[P2      CAPE TOWN OPEN 2026 ]])</f>
        <v>1.5625</v>
      </c>
      <c r="I179" s="61">
        <f t="shared" si="15"/>
        <v>0</v>
      </c>
      <c r="J179" s="61">
        <f t="shared" si="16"/>
        <v>0</v>
      </c>
      <c r="K179" s="746" t="s">
        <v>6083</v>
      </c>
      <c r="L179" s="746" t="s">
        <v>6083</v>
      </c>
      <c r="M179" s="746" t="s">
        <v>6083</v>
      </c>
      <c r="N179" s="746"/>
      <c r="O179" s="63"/>
      <c r="P179" s="63"/>
      <c r="Q179" s="114"/>
      <c r="R179" s="114"/>
      <c r="S179" s="63"/>
      <c r="T179" s="114"/>
      <c r="U179" s="63"/>
      <c r="V179" s="708"/>
      <c r="W179" s="114"/>
      <c r="X179" s="63"/>
      <c r="Y179" s="63"/>
      <c r="Z179" s="114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</row>
    <row r="180" spans="1:37">
      <c r="A180" s="61">
        <v>93</v>
      </c>
      <c r="B180" s="150">
        <f t="shared" si="20"/>
        <v>-83</v>
      </c>
      <c r="C180" s="61">
        <f t="shared" si="17"/>
        <v>176</v>
      </c>
      <c r="D180" s="63">
        <v>7730</v>
      </c>
      <c r="E180" s="64" t="str">
        <f>IFERROR(VLOOKUP(Table3[[#This Row],[Player No]],Table11[#All],2,0),"")</f>
        <v>MUTONKOLE Banze</v>
      </c>
      <c r="F180" s="65" t="str">
        <f>IFERROR(VLOOKUP(Table3[[#This Row],[Player No]],Table11[#All],3,0),"")</f>
        <v>WC</v>
      </c>
      <c r="G180" s="86">
        <v>3.125</v>
      </c>
      <c r="H180" s="809">
        <f>(Table3[[#This Row],[Points 2025]]/2)+SUM(Table3[[#This Row],[O1  ADMIN 2026]:[P2      CAPE TOWN OPEN 2026 ]])</f>
        <v>1.5625</v>
      </c>
      <c r="I180" s="61">
        <f t="shared" si="15"/>
        <v>0</v>
      </c>
      <c r="J180" s="61">
        <f t="shared" si="16"/>
        <v>0</v>
      </c>
      <c r="K180" s="746" t="s">
        <v>6083</v>
      </c>
      <c r="L180" s="746" t="s">
        <v>6083</v>
      </c>
      <c r="M180" s="746" t="s">
        <v>6083</v>
      </c>
      <c r="N180" s="746"/>
      <c r="O180" s="61"/>
      <c r="P180" s="61"/>
      <c r="Q180" s="113"/>
      <c r="R180" s="113"/>
      <c r="S180" s="61"/>
      <c r="T180" s="113"/>
      <c r="U180" s="61"/>
      <c r="V180" s="746"/>
      <c r="W180" s="113"/>
      <c r="X180" s="61"/>
      <c r="Y180" s="61"/>
      <c r="Z180" s="113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</row>
    <row r="181" spans="1:37">
      <c r="A181" s="61">
        <v>96</v>
      </c>
      <c r="B181" s="150">
        <f t="shared" si="20"/>
        <v>-81</v>
      </c>
      <c r="C181" s="61">
        <f t="shared" si="17"/>
        <v>177</v>
      </c>
      <c r="D181" s="63">
        <v>7551</v>
      </c>
      <c r="E181" s="64" t="str">
        <f>IFERROR(VLOOKUP(Table3[[#This Row],[Player No]],Table11[#All],2,0),"")</f>
        <v xml:space="preserve">YANE Tshegofatso </v>
      </c>
      <c r="F181" s="65" t="str">
        <f>IFERROR(VLOOKUP(Table3[[#This Row],[Player No]],Table11[#All],3,0),"")</f>
        <v>NW</v>
      </c>
      <c r="G181" s="86">
        <v>3.125</v>
      </c>
      <c r="H181" s="809">
        <f>(Table3[[#This Row],[Points 2025]]/2)+SUM(Table3[[#This Row],[O1  ADMIN 2026]:[P2      CAPE TOWN OPEN 2026 ]])</f>
        <v>1.5625</v>
      </c>
      <c r="I181" s="61">
        <f t="shared" si="15"/>
        <v>0</v>
      </c>
      <c r="J181" s="61">
        <f t="shared" si="16"/>
        <v>0</v>
      </c>
      <c r="K181" s="746" t="s">
        <v>6083</v>
      </c>
      <c r="L181" s="746" t="s">
        <v>6083</v>
      </c>
      <c r="M181" s="746" t="s">
        <v>6083</v>
      </c>
      <c r="N181" s="746"/>
      <c r="O181" s="63"/>
      <c r="P181" s="63"/>
      <c r="Q181" s="114"/>
      <c r="R181" s="114"/>
      <c r="S181" s="63"/>
      <c r="T181" s="114"/>
      <c r="U181" s="63"/>
      <c r="V181" s="708"/>
      <c r="W181" s="114"/>
      <c r="X181" s="63"/>
      <c r="Y181" s="63"/>
      <c r="Z181" s="114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</row>
    <row r="182" spans="1:37">
      <c r="A182" s="61">
        <v>98</v>
      </c>
      <c r="B182" s="150">
        <f t="shared" si="20"/>
        <v>-80</v>
      </c>
      <c r="C182" s="61">
        <f t="shared" si="17"/>
        <v>178</v>
      </c>
      <c r="D182" s="63">
        <v>7466</v>
      </c>
      <c r="E182" s="64" t="str">
        <f>IFERROR(VLOOKUP(Table3[[#This Row],[Player No]],Table11[#All],2,0),"")</f>
        <v xml:space="preserve">JASSIEM Jamiela </v>
      </c>
      <c r="F182" s="65" t="str">
        <f>IFERROR(VLOOKUP(Table3[[#This Row],[Player No]],Table11[#All],3,0),"")</f>
        <v>CT</v>
      </c>
      <c r="G182" s="86">
        <v>3.0703125</v>
      </c>
      <c r="H182" s="809">
        <f>(Table3[[#This Row],[Points 2025]]/2)+SUM(Table3[[#This Row],[O1  ADMIN 2026]:[P2      CAPE TOWN OPEN 2026 ]])</f>
        <v>1.53515625</v>
      </c>
      <c r="I182" s="61">
        <f t="shared" si="15"/>
        <v>0</v>
      </c>
      <c r="J182" s="61">
        <f t="shared" si="16"/>
        <v>0</v>
      </c>
      <c r="K182" s="746" t="s">
        <v>6083</v>
      </c>
      <c r="L182" s="746" t="s">
        <v>6083</v>
      </c>
      <c r="M182" s="746" t="s">
        <v>6083</v>
      </c>
      <c r="N182" s="746"/>
      <c r="O182" s="61"/>
      <c r="P182" s="61"/>
      <c r="Q182" s="113"/>
      <c r="R182" s="113"/>
      <c r="S182" s="61"/>
      <c r="T182" s="113"/>
      <c r="U182" s="61"/>
      <c r="V182" s="746"/>
      <c r="W182" s="113"/>
      <c r="X182" s="61"/>
      <c r="Y182" s="61"/>
      <c r="Z182" s="113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</row>
    <row r="183" spans="1:37">
      <c r="A183" s="61">
        <v>121</v>
      </c>
      <c r="B183" s="150">
        <f t="shared" si="20"/>
        <v>-58</v>
      </c>
      <c r="C183" s="61">
        <f t="shared" si="17"/>
        <v>179</v>
      </c>
      <c r="D183" s="63">
        <v>8349</v>
      </c>
      <c r="E183" s="64" t="str">
        <f>IFERROR(VLOOKUP(Table3[[#This Row],[Player No]],Table11[#All],2,0),"")</f>
        <v>DOLLIE Nadia</v>
      </c>
      <c r="F183" s="65" t="str">
        <f>IFERROR(VLOOKUP(Table3[[#This Row],[Player No]],Table11[#All],3,0),"")</f>
        <v>UMG</v>
      </c>
      <c r="G183" s="86">
        <v>2.5</v>
      </c>
      <c r="H183" s="809">
        <f>(Table3[[#This Row],[Points 2025]]/2)+SUM(Table3[[#This Row],[O1  ADMIN 2026]:[P2      CAPE TOWN OPEN 2026 ]])</f>
        <v>1.25</v>
      </c>
      <c r="I183" s="61">
        <f t="shared" si="15"/>
        <v>0</v>
      </c>
      <c r="J183" s="61">
        <f t="shared" si="16"/>
        <v>0</v>
      </c>
      <c r="K183" s="746" t="s">
        <v>6083</v>
      </c>
      <c r="L183" s="746" t="s">
        <v>6083</v>
      </c>
      <c r="M183" s="746" t="s">
        <v>6083</v>
      </c>
      <c r="N183" s="746"/>
      <c r="O183" s="61"/>
      <c r="P183" s="61">
        <v>1</v>
      </c>
      <c r="Q183" s="113"/>
      <c r="R183" s="113"/>
      <c r="S183" s="61"/>
      <c r="T183" s="113"/>
      <c r="U183" s="61"/>
      <c r="V183" s="746"/>
      <c r="W183" s="113"/>
      <c r="X183" s="61"/>
      <c r="Y183" s="61"/>
      <c r="Z183" s="113"/>
      <c r="AA183" s="61"/>
      <c r="AB183" s="61"/>
      <c r="AC183" s="61">
        <v>2</v>
      </c>
      <c r="AD183" s="61">
        <v>1</v>
      </c>
      <c r="AE183" s="61"/>
      <c r="AF183" s="61"/>
      <c r="AG183" s="61"/>
      <c r="AH183" s="61"/>
      <c r="AI183" s="61"/>
      <c r="AJ183" s="61"/>
      <c r="AK183" s="61"/>
    </row>
    <row r="184" spans="1:37">
      <c r="A184" s="61"/>
      <c r="B184" s="150">
        <f t="shared" si="20"/>
        <v>-180</v>
      </c>
      <c r="C184" s="61">
        <f t="shared" si="17"/>
        <v>180</v>
      </c>
      <c r="D184" s="63">
        <v>8482</v>
      </c>
      <c r="E184" s="64" t="str">
        <f>IFERROR(VLOOKUP(Table3[[#This Row],[Player No]],Table11[#All],2,0),"")</f>
        <v xml:space="preserve"> NKONE Grace</v>
      </c>
      <c r="F184" s="65" t="str">
        <f>IFERROR(VLOOKUP(Table3[[#This Row],[Player No]],Table11[#All],3,0),"")</f>
        <v xml:space="preserve">NW </v>
      </c>
      <c r="G184" s="86">
        <v>2.5</v>
      </c>
      <c r="H184" s="809">
        <f>(Table3[[#This Row],[Points 2025]]/2)+SUM(Table3[[#This Row],[O1  ADMIN 2026]:[P2      CAPE TOWN OPEN 2026 ]])</f>
        <v>1.25</v>
      </c>
      <c r="I184" s="61">
        <f t="shared" si="15"/>
        <v>0</v>
      </c>
      <c r="J184" s="61">
        <f t="shared" si="16"/>
        <v>0</v>
      </c>
      <c r="K184" s="746" t="s">
        <v>6083</v>
      </c>
      <c r="L184" s="746" t="s">
        <v>6083</v>
      </c>
      <c r="M184" s="746" t="s">
        <v>6083</v>
      </c>
      <c r="N184" s="746"/>
      <c r="O184" s="61"/>
      <c r="P184" s="61"/>
      <c r="Q184" s="113"/>
      <c r="R184" s="113"/>
      <c r="S184" s="61"/>
      <c r="T184" s="113"/>
      <c r="U184" s="61"/>
      <c r="V184" s="746"/>
      <c r="W184" s="113"/>
      <c r="X184" s="61"/>
      <c r="Y184" s="61"/>
      <c r="Z184" s="113"/>
      <c r="AA184" s="61"/>
      <c r="AB184" s="61"/>
      <c r="AC184" s="61"/>
      <c r="AD184" s="61"/>
      <c r="AE184" s="61"/>
      <c r="AF184" s="61"/>
      <c r="AG184" s="61">
        <v>5</v>
      </c>
      <c r="AH184" s="61"/>
      <c r="AI184" s="61"/>
      <c r="AJ184" s="61"/>
      <c r="AK184" s="61"/>
    </row>
    <row r="185" spans="1:37">
      <c r="A185" s="61"/>
      <c r="B185" s="150">
        <f t="shared" si="20"/>
        <v>-181</v>
      </c>
      <c r="C185" s="61">
        <f t="shared" si="17"/>
        <v>181</v>
      </c>
      <c r="D185" s="63">
        <v>7694</v>
      </c>
      <c r="E185" s="64" t="str">
        <f>IFERROR(VLOOKUP(Table3[[#This Row],[Player No]],Table11[#All],2,0),"")</f>
        <v>BUFFEL V N</v>
      </c>
      <c r="F185" s="65" t="str">
        <f>IFERROR(VLOOKUP(Table3[[#This Row],[Player No]],Table11[#All],3,0),"")</f>
        <v>SANDF</v>
      </c>
      <c r="G185" s="86">
        <v>2.5</v>
      </c>
      <c r="H185" s="809">
        <f>(Table3[[#This Row],[Points 2025]]/2)+SUM(Table3[[#This Row],[O1  ADMIN 2026]:[P2      CAPE TOWN OPEN 2026 ]])</f>
        <v>1.25</v>
      </c>
      <c r="I185" s="61">
        <f t="shared" si="15"/>
        <v>0</v>
      </c>
      <c r="J185" s="61">
        <f t="shared" si="16"/>
        <v>0</v>
      </c>
      <c r="K185" s="746" t="s">
        <v>6083</v>
      </c>
      <c r="L185" s="746" t="s">
        <v>6083</v>
      </c>
      <c r="M185" s="746" t="s">
        <v>6083</v>
      </c>
      <c r="N185" s="746"/>
      <c r="O185" s="61"/>
      <c r="P185" s="61"/>
      <c r="Q185" s="113"/>
      <c r="R185" s="113"/>
      <c r="S185" s="61"/>
      <c r="T185" s="113"/>
      <c r="U185" s="61"/>
      <c r="V185" s="746"/>
      <c r="W185" s="113"/>
      <c r="X185" s="61"/>
      <c r="Y185" s="61"/>
      <c r="Z185" s="113"/>
      <c r="AA185" s="61"/>
      <c r="AB185" s="61"/>
      <c r="AC185" s="61"/>
      <c r="AD185" s="61"/>
      <c r="AE185" s="61"/>
      <c r="AF185" s="61"/>
      <c r="AG185" s="61">
        <v>5</v>
      </c>
      <c r="AH185" s="61"/>
      <c r="AI185" s="61"/>
      <c r="AJ185" s="61"/>
      <c r="AK185" s="61"/>
    </row>
    <row r="186" spans="1:37">
      <c r="A186" s="61"/>
      <c r="B186" s="150">
        <f t="shared" si="20"/>
        <v>-182</v>
      </c>
      <c r="C186" s="61">
        <f t="shared" si="17"/>
        <v>182</v>
      </c>
      <c r="D186" s="63">
        <v>8455</v>
      </c>
      <c r="E186" s="64" t="str">
        <f>IFERROR(VLOOKUP(Table3[[#This Row],[Player No]],Table11[#All],2,0),"")</f>
        <v>BURIJNS Melanie</v>
      </c>
      <c r="F186" s="65" t="str">
        <f>IFERROR(VLOOKUP(Table3[[#This Row],[Player No]],Table11[#All],3,0),"")</f>
        <v>NMB</v>
      </c>
      <c r="G186" s="86">
        <v>2.5</v>
      </c>
      <c r="H186" s="809">
        <f>(Table3[[#This Row],[Points 2025]]/2)+SUM(Table3[[#This Row],[O1  ADMIN 2026]:[P2      CAPE TOWN OPEN 2026 ]])</f>
        <v>1.25</v>
      </c>
      <c r="I186" s="61">
        <f t="shared" si="15"/>
        <v>0</v>
      </c>
      <c r="J186" s="61">
        <f t="shared" si="16"/>
        <v>0</v>
      </c>
      <c r="K186" s="746" t="s">
        <v>6083</v>
      </c>
      <c r="L186" s="746" t="s">
        <v>6083</v>
      </c>
      <c r="M186" s="746" t="s">
        <v>6083</v>
      </c>
      <c r="N186" s="746"/>
      <c r="O186" s="61"/>
      <c r="P186" s="61"/>
      <c r="Q186" s="113"/>
      <c r="R186" s="113"/>
      <c r="S186" s="61"/>
      <c r="T186" s="113"/>
      <c r="U186" s="61"/>
      <c r="V186" s="746"/>
      <c r="W186" s="113"/>
      <c r="X186" s="61"/>
      <c r="Y186" s="61"/>
      <c r="Z186" s="113"/>
      <c r="AA186" s="61"/>
      <c r="AB186" s="61"/>
      <c r="AC186" s="61"/>
      <c r="AD186" s="61"/>
      <c r="AE186" s="61"/>
      <c r="AF186" s="61"/>
      <c r="AG186" s="61">
        <v>5</v>
      </c>
      <c r="AH186" s="61"/>
      <c r="AI186" s="61"/>
      <c r="AJ186" s="61"/>
      <c r="AK186" s="61"/>
    </row>
    <row r="187" spans="1:37">
      <c r="A187" s="61"/>
      <c r="B187" s="150">
        <f t="shared" si="20"/>
        <v>-183</v>
      </c>
      <c r="C187" s="61">
        <f t="shared" si="17"/>
        <v>183</v>
      </c>
      <c r="D187" s="63">
        <v>8481</v>
      </c>
      <c r="E187" s="64" t="str">
        <f>IFERROR(VLOOKUP(Table3[[#This Row],[Player No]],Table11[#All],2,0),"")</f>
        <v>Emmah LELATISITSWE</v>
      </c>
      <c r="F187" s="65" t="str">
        <f>IFERROR(VLOOKUP(Table3[[#This Row],[Player No]],Table11[#All],3,0),"")</f>
        <v>BOT</v>
      </c>
      <c r="G187" s="86">
        <v>2.5</v>
      </c>
      <c r="H187" s="809">
        <f>(Table3[[#This Row],[Points 2025]]/2)+SUM(Table3[[#This Row],[O1  ADMIN 2026]:[P2      CAPE TOWN OPEN 2026 ]])</f>
        <v>1.25</v>
      </c>
      <c r="I187" s="61">
        <f t="shared" si="15"/>
        <v>0</v>
      </c>
      <c r="J187" s="61">
        <f t="shared" si="16"/>
        <v>0</v>
      </c>
      <c r="K187" s="746" t="s">
        <v>6083</v>
      </c>
      <c r="L187" s="746" t="s">
        <v>6083</v>
      </c>
      <c r="M187" s="746" t="s">
        <v>6083</v>
      </c>
      <c r="N187" s="746"/>
      <c r="O187" s="61"/>
      <c r="P187" s="61"/>
      <c r="Q187" s="113"/>
      <c r="R187" s="113"/>
      <c r="S187" s="61"/>
      <c r="T187" s="113"/>
      <c r="U187" s="61"/>
      <c r="V187" s="746"/>
      <c r="W187" s="113"/>
      <c r="X187" s="61"/>
      <c r="Y187" s="61"/>
      <c r="Z187" s="113"/>
      <c r="AA187" s="61"/>
      <c r="AB187" s="61"/>
      <c r="AC187" s="61"/>
      <c r="AD187" s="61"/>
      <c r="AE187" s="61"/>
      <c r="AF187" s="61"/>
      <c r="AG187" s="61">
        <v>5</v>
      </c>
      <c r="AH187" s="61"/>
      <c r="AI187" s="61"/>
      <c r="AJ187" s="61"/>
      <c r="AK187" s="61"/>
    </row>
    <row r="188" spans="1:37">
      <c r="A188" s="61"/>
      <c r="B188" s="150">
        <f t="shared" si="20"/>
        <v>-184</v>
      </c>
      <c r="C188" s="61">
        <f t="shared" si="17"/>
        <v>184</v>
      </c>
      <c r="D188" s="63">
        <v>8237</v>
      </c>
      <c r="E188" s="64" t="str">
        <f>IFERROR(VLOOKUP(Table3[[#This Row],[Player No]],Table11[#All],2,0),"")</f>
        <v>HOFFMAN Jae-Leigh</v>
      </c>
      <c r="F188" s="65" t="str">
        <f>IFERROR(VLOOKUP(Table3[[#This Row],[Player No]],Table11[#All],3,0),"")</f>
        <v>Eden</v>
      </c>
      <c r="G188" s="86">
        <v>2.5</v>
      </c>
      <c r="H188" s="809">
        <f>(Table3[[#This Row],[Points 2025]]/2)+SUM(Table3[[#This Row],[O1  ADMIN 2026]:[P2      CAPE TOWN OPEN 2026 ]])</f>
        <v>1.25</v>
      </c>
      <c r="I188" s="61">
        <f t="shared" si="15"/>
        <v>0</v>
      </c>
      <c r="J188" s="61">
        <f t="shared" si="16"/>
        <v>0</v>
      </c>
      <c r="K188" s="746" t="s">
        <v>6083</v>
      </c>
      <c r="L188" s="746" t="s">
        <v>6083</v>
      </c>
      <c r="M188" s="746" t="s">
        <v>6083</v>
      </c>
      <c r="N188" s="746"/>
      <c r="O188" s="61"/>
      <c r="P188" s="61"/>
      <c r="Q188" s="113"/>
      <c r="R188" s="113"/>
      <c r="S188" s="61"/>
      <c r="T188" s="113"/>
      <c r="U188" s="61"/>
      <c r="V188" s="746"/>
      <c r="W188" s="113"/>
      <c r="X188" s="61"/>
      <c r="Y188" s="61"/>
      <c r="Z188" s="113"/>
      <c r="AA188" s="61"/>
      <c r="AB188" s="61"/>
      <c r="AC188" s="61"/>
      <c r="AD188" s="61"/>
      <c r="AE188" s="61"/>
      <c r="AF188" s="61"/>
      <c r="AG188" s="61">
        <v>5</v>
      </c>
      <c r="AH188" s="61"/>
      <c r="AI188" s="61"/>
      <c r="AJ188" s="61"/>
      <c r="AK188" s="61"/>
    </row>
    <row r="189" spans="1:37">
      <c r="A189" s="61">
        <v>103</v>
      </c>
      <c r="B189" s="150">
        <f t="shared" si="20"/>
        <v>-82</v>
      </c>
      <c r="C189" s="61">
        <f t="shared" si="17"/>
        <v>185</v>
      </c>
      <c r="D189" s="63">
        <v>7726</v>
      </c>
      <c r="E189" s="64" t="str">
        <f>IFERROR(VLOOKUP(Table3[[#This Row],[Player No]],Table11[#All],2,0),"")</f>
        <v>JEPHTA Chante</v>
      </c>
      <c r="F189" s="65" t="str">
        <f>IFERROR(VLOOKUP(Table3[[#This Row],[Player No]],Table11[#All],3,0),"")</f>
        <v>CW</v>
      </c>
      <c r="G189" s="86">
        <v>2.5</v>
      </c>
      <c r="H189" s="809">
        <f>(Table3[[#This Row],[Points 2025]]/2)+SUM(Table3[[#This Row],[O1  ADMIN 2026]:[P2      CAPE TOWN OPEN 2026 ]])</f>
        <v>1.25</v>
      </c>
      <c r="I189" s="61">
        <f t="shared" si="15"/>
        <v>0</v>
      </c>
      <c r="J189" s="61">
        <f t="shared" si="16"/>
        <v>0</v>
      </c>
      <c r="K189" s="746" t="s">
        <v>6083</v>
      </c>
      <c r="L189" s="746" t="s">
        <v>6083</v>
      </c>
      <c r="M189" s="746" t="s">
        <v>6083</v>
      </c>
      <c r="N189" s="746"/>
      <c r="O189" s="61"/>
      <c r="P189" s="61"/>
      <c r="Q189" s="113"/>
      <c r="R189" s="113"/>
      <c r="S189" s="61"/>
      <c r="T189" s="113"/>
      <c r="U189" s="61"/>
      <c r="V189" s="746"/>
      <c r="W189" s="113"/>
      <c r="X189" s="61"/>
      <c r="Y189" s="61"/>
      <c r="Z189" s="113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</row>
    <row r="190" spans="1:37">
      <c r="A190" s="61"/>
      <c r="B190" s="150">
        <f t="shared" si="20"/>
        <v>-186</v>
      </c>
      <c r="C190" s="61">
        <f t="shared" si="17"/>
        <v>186</v>
      </c>
      <c r="D190" s="63">
        <v>7034</v>
      </c>
      <c r="E190" s="64" t="str">
        <f>IFERROR(VLOOKUP(Table3[[#This Row],[Player No]],Table11[#All],2,0),"")</f>
        <v xml:space="preserve">MABASO Nokubonga </v>
      </c>
      <c r="F190" s="65" t="str">
        <f>IFERROR(VLOOKUP(Table3[[#This Row],[Player No]],Table11[#All],3,0),"")</f>
        <v>FS</v>
      </c>
      <c r="G190" s="86">
        <v>2.5</v>
      </c>
      <c r="H190" s="809">
        <f>(Table3[[#This Row],[Points 2025]]/2)+SUM(Table3[[#This Row],[O1  ADMIN 2026]:[P2      CAPE TOWN OPEN 2026 ]])</f>
        <v>1.25</v>
      </c>
      <c r="I190" s="61">
        <f t="shared" si="15"/>
        <v>0</v>
      </c>
      <c r="J190" s="61">
        <f t="shared" si="16"/>
        <v>0</v>
      </c>
      <c r="K190" s="746" t="s">
        <v>6083</v>
      </c>
      <c r="L190" s="746" t="s">
        <v>6083</v>
      </c>
      <c r="M190" s="746" t="s">
        <v>6083</v>
      </c>
      <c r="N190" s="746"/>
      <c r="O190" s="61"/>
      <c r="P190" s="61"/>
      <c r="Q190" s="113"/>
      <c r="R190" s="113"/>
      <c r="S190" s="61"/>
      <c r="T190" s="113"/>
      <c r="U190" s="61"/>
      <c r="V190" s="746"/>
      <c r="W190" s="113"/>
      <c r="X190" s="61"/>
      <c r="Y190" s="61"/>
      <c r="Z190" s="113"/>
      <c r="AA190" s="61"/>
      <c r="AB190" s="61"/>
      <c r="AC190" s="61"/>
      <c r="AD190" s="61"/>
      <c r="AE190" s="61"/>
      <c r="AF190" s="61"/>
      <c r="AG190" s="61">
        <v>5</v>
      </c>
      <c r="AH190" s="61"/>
      <c r="AI190" s="61"/>
      <c r="AJ190" s="61"/>
      <c r="AK190" s="61"/>
    </row>
    <row r="191" spans="1:37">
      <c r="A191" s="61"/>
      <c r="B191" s="150">
        <f t="shared" si="20"/>
        <v>-187</v>
      </c>
      <c r="C191" s="61">
        <f t="shared" si="17"/>
        <v>187</v>
      </c>
      <c r="D191" s="63">
        <v>7777</v>
      </c>
      <c r="E191" s="64" t="str">
        <f>IFERROR(VLOOKUP(Table3[[#This Row],[Player No]],Table11[#All],2,0),"")</f>
        <v>MALAMATSE Rebeca</v>
      </c>
      <c r="F191" s="65" t="str">
        <f>IFERROR(VLOOKUP(Table3[[#This Row],[Player No]],Table11[#All],3,0),"")</f>
        <v>SANDF</v>
      </c>
      <c r="G191" s="86">
        <v>2.5</v>
      </c>
      <c r="H191" s="809">
        <f>(Table3[[#This Row],[Points 2025]]/2)+SUM(Table3[[#This Row],[O1  ADMIN 2026]:[P2      CAPE TOWN OPEN 2026 ]])</f>
        <v>1.25</v>
      </c>
      <c r="I191" s="61">
        <f t="shared" si="15"/>
        <v>0</v>
      </c>
      <c r="J191" s="61">
        <f t="shared" si="16"/>
        <v>0</v>
      </c>
      <c r="K191" s="746" t="s">
        <v>6083</v>
      </c>
      <c r="L191" s="746" t="s">
        <v>6083</v>
      </c>
      <c r="M191" s="746" t="s">
        <v>6083</v>
      </c>
      <c r="N191" s="746"/>
      <c r="O191" s="61"/>
      <c r="P191" s="61"/>
      <c r="Q191" s="113"/>
      <c r="R191" s="113"/>
      <c r="S191" s="61"/>
      <c r="T191" s="113"/>
      <c r="U191" s="61"/>
      <c r="V191" s="746"/>
      <c r="W191" s="113"/>
      <c r="X191" s="61"/>
      <c r="Y191" s="61"/>
      <c r="Z191" s="113"/>
      <c r="AA191" s="61"/>
      <c r="AB191" s="61"/>
      <c r="AC191" s="61"/>
      <c r="AD191" s="61"/>
      <c r="AE191" s="61"/>
      <c r="AF191" s="61"/>
      <c r="AG191" s="61">
        <v>5</v>
      </c>
      <c r="AH191" s="61"/>
      <c r="AI191" s="61"/>
      <c r="AJ191" s="61"/>
      <c r="AK191" s="61"/>
    </row>
    <row r="192" spans="1:37">
      <c r="A192" s="61"/>
      <c r="B192" s="150">
        <f t="shared" si="20"/>
        <v>-188</v>
      </c>
      <c r="C192" s="61">
        <f t="shared" si="17"/>
        <v>188</v>
      </c>
      <c r="D192" s="63">
        <v>8483</v>
      </c>
      <c r="E192" s="64" t="str">
        <f>IFERROR(VLOOKUP(Table3[[#This Row],[Player No]],Table11[#All],2,0),"")</f>
        <v>MASHA Reshoketswe</v>
      </c>
      <c r="F192" s="65" t="str">
        <f>IFERROR(VLOOKUP(Table3[[#This Row],[Player No]],Table11[#All],3,0),"")</f>
        <v>LIM</v>
      </c>
      <c r="G192" s="86">
        <v>2.5</v>
      </c>
      <c r="H192" s="809">
        <f>(Table3[[#This Row],[Points 2025]]/2)+SUM(Table3[[#This Row],[O1  ADMIN 2026]:[P2      CAPE TOWN OPEN 2026 ]])</f>
        <v>1.25</v>
      </c>
      <c r="I192" s="61">
        <f t="shared" si="15"/>
        <v>0</v>
      </c>
      <c r="J192" s="61">
        <f t="shared" si="16"/>
        <v>0</v>
      </c>
      <c r="K192" s="746" t="s">
        <v>6083</v>
      </c>
      <c r="L192" s="746" t="s">
        <v>6083</v>
      </c>
      <c r="M192" s="746" t="s">
        <v>6083</v>
      </c>
      <c r="N192" s="746"/>
      <c r="O192" s="61"/>
      <c r="P192" s="61"/>
      <c r="Q192" s="113"/>
      <c r="R192" s="113"/>
      <c r="S192" s="61"/>
      <c r="T192" s="113"/>
      <c r="U192" s="61"/>
      <c r="V192" s="746"/>
      <c r="W192" s="113"/>
      <c r="X192" s="61"/>
      <c r="Y192" s="61"/>
      <c r="Z192" s="113"/>
      <c r="AA192" s="61"/>
      <c r="AB192" s="61"/>
      <c r="AC192" s="61"/>
      <c r="AD192" s="61"/>
      <c r="AE192" s="61"/>
      <c r="AF192" s="61"/>
      <c r="AG192" s="61">
        <v>5</v>
      </c>
      <c r="AH192" s="61"/>
      <c r="AI192" s="61"/>
      <c r="AJ192" s="61"/>
      <c r="AK192" s="61"/>
    </row>
    <row r="193" spans="1:37">
      <c r="A193" s="61"/>
      <c r="B193" s="150">
        <f t="shared" si="20"/>
        <v>-189</v>
      </c>
      <c r="C193" s="61">
        <f t="shared" si="17"/>
        <v>189</v>
      </c>
      <c r="D193" s="63">
        <v>8449</v>
      </c>
      <c r="E193" s="64" t="str">
        <f>IFERROR(VLOOKUP(Table3[[#This Row],[Player No]],Table11[#All],2,0),"")</f>
        <v>MAY Jayda</v>
      </c>
      <c r="F193" s="65" t="str">
        <f>IFERROR(VLOOKUP(Table3[[#This Row],[Player No]],Table11[#All],3,0),"")</f>
        <v>SANDF</v>
      </c>
      <c r="G193" s="86">
        <v>2.5</v>
      </c>
      <c r="H193" s="809">
        <f>(Table3[[#This Row],[Points 2025]]/2)+SUM(Table3[[#This Row],[O1  ADMIN 2026]:[P2      CAPE TOWN OPEN 2026 ]])</f>
        <v>1.25</v>
      </c>
      <c r="I193" s="61">
        <f t="shared" si="15"/>
        <v>0</v>
      </c>
      <c r="J193" s="61">
        <f t="shared" si="16"/>
        <v>0</v>
      </c>
      <c r="K193" s="746" t="s">
        <v>6083</v>
      </c>
      <c r="L193" s="746" t="s">
        <v>6083</v>
      </c>
      <c r="M193" s="746" t="s">
        <v>6083</v>
      </c>
      <c r="N193" s="746"/>
      <c r="O193" s="61"/>
      <c r="P193" s="61"/>
      <c r="Q193" s="113"/>
      <c r="R193" s="113"/>
      <c r="S193" s="61"/>
      <c r="T193" s="113"/>
      <c r="U193" s="61"/>
      <c r="V193" s="746"/>
      <c r="W193" s="113"/>
      <c r="X193" s="61"/>
      <c r="Y193" s="61"/>
      <c r="Z193" s="113"/>
      <c r="AA193" s="61"/>
      <c r="AB193" s="61"/>
      <c r="AC193" s="61"/>
      <c r="AD193" s="61"/>
      <c r="AE193" s="61"/>
      <c r="AF193" s="61"/>
      <c r="AG193" s="61">
        <v>5</v>
      </c>
      <c r="AH193" s="61"/>
      <c r="AI193" s="61"/>
      <c r="AJ193" s="61"/>
      <c r="AK193" s="61"/>
    </row>
    <row r="194" spans="1:37">
      <c r="A194" s="61"/>
      <c r="B194" s="150">
        <f t="shared" si="20"/>
        <v>-190</v>
      </c>
      <c r="C194" s="61">
        <f t="shared" si="17"/>
        <v>190</v>
      </c>
      <c r="D194" s="63">
        <v>8467</v>
      </c>
      <c r="E194" s="64" t="str">
        <f>IFERROR(VLOOKUP(Table3[[#This Row],[Player No]],Table11[#All],2,0),"")</f>
        <v>MHLANDENI Sisipho</v>
      </c>
      <c r="F194" s="65" t="str">
        <f>IFERROR(VLOOKUP(Table3[[#This Row],[Player No]],Table11[#All],3,0),"")</f>
        <v>EC</v>
      </c>
      <c r="G194" s="86">
        <v>2.5</v>
      </c>
      <c r="H194" s="809">
        <f>(Table3[[#This Row],[Points 2025]]/2)+SUM(Table3[[#This Row],[O1  ADMIN 2026]:[P2      CAPE TOWN OPEN 2026 ]])</f>
        <v>1.25</v>
      </c>
      <c r="I194" s="61">
        <f t="shared" si="15"/>
        <v>0</v>
      </c>
      <c r="J194" s="61">
        <f t="shared" si="16"/>
        <v>0</v>
      </c>
      <c r="K194" s="746" t="s">
        <v>6083</v>
      </c>
      <c r="L194" s="746" t="s">
        <v>6083</v>
      </c>
      <c r="M194" s="746" t="s">
        <v>6083</v>
      </c>
      <c r="N194" s="746"/>
      <c r="O194" s="61"/>
      <c r="P194" s="61"/>
      <c r="Q194" s="113"/>
      <c r="R194" s="113"/>
      <c r="S194" s="61"/>
      <c r="T194" s="113"/>
      <c r="U194" s="61"/>
      <c r="V194" s="746"/>
      <c r="W194" s="113"/>
      <c r="X194" s="61"/>
      <c r="Y194" s="61"/>
      <c r="Z194" s="113"/>
      <c r="AA194" s="61"/>
      <c r="AB194" s="61"/>
      <c r="AC194" s="61"/>
      <c r="AD194" s="61"/>
      <c r="AE194" s="61"/>
      <c r="AF194" s="61"/>
      <c r="AG194" s="61">
        <v>5</v>
      </c>
      <c r="AH194" s="61"/>
      <c r="AI194" s="61"/>
      <c r="AJ194" s="61"/>
      <c r="AK194" s="61"/>
    </row>
    <row r="195" spans="1:37">
      <c r="A195" s="61"/>
      <c r="B195" s="150">
        <f t="shared" si="20"/>
        <v>-191</v>
      </c>
      <c r="C195" s="61">
        <f t="shared" si="17"/>
        <v>191</v>
      </c>
      <c r="D195" s="63">
        <v>8468</v>
      </c>
      <c r="E195" s="64" t="str">
        <f>IFERROR(VLOOKUP(Table3[[#This Row],[Player No]],Table11[#All],2,0),"")</f>
        <v>MOLUGWENI Anathi</v>
      </c>
      <c r="F195" s="65" t="str">
        <f>IFERROR(VLOOKUP(Table3[[#This Row],[Player No]],Table11[#All],3,0),"")</f>
        <v>EC</v>
      </c>
      <c r="G195" s="86">
        <v>2.5</v>
      </c>
      <c r="H195" s="809">
        <f>(Table3[[#This Row],[Points 2025]]/2)+SUM(Table3[[#This Row],[O1  ADMIN 2026]:[P2      CAPE TOWN OPEN 2026 ]])</f>
        <v>1.25</v>
      </c>
      <c r="I195" s="61">
        <f t="shared" si="15"/>
        <v>0</v>
      </c>
      <c r="J195" s="61">
        <f t="shared" si="16"/>
        <v>0</v>
      </c>
      <c r="K195" s="746" t="s">
        <v>6083</v>
      </c>
      <c r="L195" s="746" t="s">
        <v>6083</v>
      </c>
      <c r="M195" s="746" t="s">
        <v>6083</v>
      </c>
      <c r="N195" s="746"/>
      <c r="O195" s="61"/>
      <c r="P195" s="61"/>
      <c r="Q195" s="113"/>
      <c r="R195" s="113"/>
      <c r="S195" s="61"/>
      <c r="T195" s="113"/>
      <c r="U195" s="61"/>
      <c r="V195" s="746"/>
      <c r="W195" s="113"/>
      <c r="X195" s="61"/>
      <c r="Y195" s="61"/>
      <c r="Z195" s="113"/>
      <c r="AA195" s="61"/>
      <c r="AB195" s="61"/>
      <c r="AC195" s="61"/>
      <c r="AD195" s="61"/>
      <c r="AE195" s="61"/>
      <c r="AF195" s="61"/>
      <c r="AG195" s="61">
        <v>5</v>
      </c>
      <c r="AH195" s="61"/>
      <c r="AI195" s="61"/>
      <c r="AJ195" s="61"/>
      <c r="AK195" s="61"/>
    </row>
    <row r="196" spans="1:37">
      <c r="A196" s="61"/>
      <c r="B196" s="150">
        <f t="shared" si="20"/>
        <v>-192</v>
      </c>
      <c r="C196" s="61">
        <f t="shared" si="17"/>
        <v>192</v>
      </c>
      <c r="D196" s="63">
        <v>7037</v>
      </c>
      <c r="E196" s="64" t="str">
        <f>IFERROR(VLOOKUP(Table3[[#This Row],[Player No]],Table11[#All],2,0),"")</f>
        <v>RIDDLES Chantel</v>
      </c>
      <c r="F196" s="65" t="str">
        <f>IFERROR(VLOOKUP(Table3[[#This Row],[Player No]],Table11[#All],3,0),"")</f>
        <v>SANDF</v>
      </c>
      <c r="G196" s="86">
        <v>2.5</v>
      </c>
      <c r="H196" s="809">
        <f>(Table3[[#This Row],[Points 2025]]/2)+SUM(Table3[[#This Row],[O1  ADMIN 2026]:[P2      CAPE TOWN OPEN 2026 ]])</f>
        <v>1.25</v>
      </c>
      <c r="I196" s="61">
        <f t="shared" si="15"/>
        <v>0</v>
      </c>
      <c r="J196" s="61">
        <f t="shared" si="16"/>
        <v>0</v>
      </c>
      <c r="K196" s="746" t="s">
        <v>6083</v>
      </c>
      <c r="L196" s="746" t="s">
        <v>6083</v>
      </c>
      <c r="M196" s="746" t="s">
        <v>6083</v>
      </c>
      <c r="N196" s="746"/>
      <c r="O196" s="61"/>
      <c r="P196" s="61"/>
      <c r="Q196" s="113"/>
      <c r="R196" s="113"/>
      <c r="S196" s="61"/>
      <c r="T196" s="113"/>
      <c r="U196" s="61"/>
      <c r="V196" s="746"/>
      <c r="W196" s="113"/>
      <c r="X196" s="61"/>
      <c r="Y196" s="61"/>
      <c r="Z196" s="113"/>
      <c r="AA196" s="61"/>
      <c r="AB196" s="61"/>
      <c r="AC196" s="61"/>
      <c r="AD196" s="61"/>
      <c r="AE196" s="61"/>
      <c r="AF196" s="61"/>
      <c r="AG196" s="61">
        <v>5</v>
      </c>
      <c r="AH196" s="61"/>
      <c r="AI196" s="61"/>
      <c r="AJ196" s="61"/>
      <c r="AK196" s="61"/>
    </row>
    <row r="197" spans="1:37">
      <c r="A197" s="61">
        <v>106</v>
      </c>
      <c r="B197" s="150">
        <f t="shared" si="20"/>
        <v>-87</v>
      </c>
      <c r="C197" s="61">
        <f t="shared" si="17"/>
        <v>193</v>
      </c>
      <c r="D197" s="63">
        <v>7013</v>
      </c>
      <c r="E197" s="64" t="str">
        <f>IFERROR(VLOOKUP(Table3[[#This Row],[Player No]],Table11[#All],2,0),"")</f>
        <v xml:space="preserve">JOHNSON Lekeasha </v>
      </c>
      <c r="F197" s="65" t="str">
        <f>IFERROR(VLOOKUP(Table3[[#This Row],[Player No]],Table11[#All],3,0),"")</f>
        <v>CT</v>
      </c>
      <c r="G197" s="86">
        <v>2.265625</v>
      </c>
      <c r="H197" s="809">
        <f>(Table3[[#This Row],[Points 2025]]/2)+SUM(Table3[[#This Row],[O1  ADMIN 2026]:[P2      CAPE TOWN OPEN 2026 ]])</f>
        <v>1.1328125</v>
      </c>
      <c r="I197" s="61">
        <f t="shared" ref="I197:I260" si="21">COUNTIF(K197:N197,"&gt;0")</f>
        <v>0</v>
      </c>
      <c r="J197" s="61">
        <f t="shared" ref="J197:J260" si="22">COUNTIF(O197:AK197,"&lt;0")</f>
        <v>0</v>
      </c>
      <c r="K197" s="746" t="s">
        <v>6083</v>
      </c>
      <c r="L197" s="746" t="s">
        <v>6083</v>
      </c>
      <c r="M197" s="746" t="s">
        <v>6083</v>
      </c>
      <c r="N197" s="746"/>
      <c r="O197" s="61"/>
      <c r="P197" s="61"/>
      <c r="Q197" s="113"/>
      <c r="R197" s="113"/>
      <c r="S197" s="61"/>
      <c r="T197" s="113"/>
      <c r="U197" s="61"/>
      <c r="V197" s="746"/>
      <c r="W197" s="113"/>
      <c r="X197" s="61"/>
      <c r="Y197" s="61"/>
      <c r="Z197" s="113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</row>
    <row r="198" spans="1:37">
      <c r="A198" s="61">
        <v>108</v>
      </c>
      <c r="B198" s="150">
        <f t="shared" si="20"/>
        <v>-86</v>
      </c>
      <c r="C198" s="61">
        <f t="shared" si="17"/>
        <v>194</v>
      </c>
      <c r="D198" s="63">
        <v>7510</v>
      </c>
      <c r="E198" s="64" t="str">
        <f>IFERROR(VLOOKUP(Table3[[#This Row],[Player No]],Table11[#All],2,0),"")</f>
        <v xml:space="preserve">DHLEWAYO Felicia </v>
      </c>
      <c r="F198" s="65" t="str">
        <f>IFERROR(VLOOKUP(Table3[[#This Row],[Player No]],Table11[#All],3,0),"")</f>
        <v>GN</v>
      </c>
      <c r="G198" s="86">
        <v>2.0390625</v>
      </c>
      <c r="H198" s="809">
        <f>(Table3[[#This Row],[Points 2025]]/2)+SUM(Table3[[#This Row],[O1  ADMIN 2026]:[P2      CAPE TOWN OPEN 2026 ]])</f>
        <v>1.01953125</v>
      </c>
      <c r="I198" s="61">
        <f t="shared" si="21"/>
        <v>0</v>
      </c>
      <c r="J198" s="61">
        <f t="shared" si="22"/>
        <v>0</v>
      </c>
      <c r="K198" s="746" t="s">
        <v>6083</v>
      </c>
      <c r="L198" s="746" t="s">
        <v>6083</v>
      </c>
      <c r="M198" s="746" t="s">
        <v>6083</v>
      </c>
      <c r="N198" s="746"/>
      <c r="O198" s="61"/>
      <c r="P198" s="61"/>
      <c r="Q198" s="113"/>
      <c r="R198" s="113"/>
      <c r="S198" s="61"/>
      <c r="T198" s="113"/>
      <c r="U198" s="61"/>
      <c r="V198" s="746"/>
      <c r="W198" s="113"/>
      <c r="X198" s="61"/>
      <c r="Y198" s="61"/>
      <c r="Z198" s="113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</row>
    <row r="199" spans="1:37">
      <c r="A199" s="61"/>
      <c r="B199" s="425">
        <f t="shared" ref="B199:B206" si="23" xml:space="preserve"> +A199-C199</f>
        <v>-195</v>
      </c>
      <c r="C199" s="61">
        <f t="shared" ref="C199:C262" si="24">C198+1</f>
        <v>195</v>
      </c>
      <c r="D199" s="63">
        <v>7223</v>
      </c>
      <c r="E199" s="64" t="str">
        <f>IFERROR(VLOOKUP(Table3[[#This Row],[Player No]],Table11[#All],2,0),"")</f>
        <v>ADAMS Jessica</v>
      </c>
      <c r="F199" s="65" t="str">
        <f>IFERROR(VLOOKUP(Table3[[#This Row],[Player No]],Table11[#All],3,0),"")</f>
        <v>CT</v>
      </c>
      <c r="G199" s="86">
        <v>2</v>
      </c>
      <c r="H199" s="809">
        <f>(Table3[[#This Row],[Points 2025]]/2)+SUM(Table3[[#This Row],[O1  ADMIN 2026]:[P2      CAPE TOWN OPEN 2026 ]])</f>
        <v>1</v>
      </c>
      <c r="I199" s="90">
        <f t="shared" si="21"/>
        <v>0</v>
      </c>
      <c r="J199" s="63">
        <f t="shared" si="22"/>
        <v>0</v>
      </c>
      <c r="K199" s="708" t="s">
        <v>6083</v>
      </c>
      <c r="L199" s="708" t="s">
        <v>6083</v>
      </c>
      <c r="M199" s="708" t="s">
        <v>6083</v>
      </c>
      <c r="N199" s="708"/>
      <c r="O199" s="61"/>
      <c r="P199" s="61"/>
      <c r="Q199" s="113"/>
      <c r="R199" s="113"/>
      <c r="S199" s="61"/>
      <c r="T199" s="113"/>
      <c r="U199" s="61"/>
      <c r="V199" s="746"/>
      <c r="W199" s="113"/>
      <c r="X199" s="61"/>
      <c r="Y199" s="61"/>
      <c r="Z199" s="113"/>
      <c r="AA199" s="61"/>
      <c r="AB199" s="61">
        <v>2</v>
      </c>
      <c r="AC199" s="61"/>
      <c r="AD199" s="61"/>
      <c r="AE199" s="61"/>
      <c r="AF199" s="61"/>
      <c r="AG199" s="61"/>
      <c r="AH199" s="61"/>
      <c r="AI199" s="61"/>
      <c r="AJ199" s="61"/>
      <c r="AK199" s="61"/>
    </row>
    <row r="200" spans="1:37">
      <c r="A200" s="615"/>
      <c r="B200" s="684">
        <f t="shared" si="23"/>
        <v>-196</v>
      </c>
      <c r="C200" s="61">
        <f t="shared" si="24"/>
        <v>196</v>
      </c>
      <c r="D200" s="624">
        <v>8843</v>
      </c>
      <c r="E200" s="64" t="str">
        <f>IFERROR(VLOOKUP(Table3[[#This Row],[Player No]],Table11[#All],2,0),"")</f>
        <v>JALI Ntokoze</v>
      </c>
      <c r="F200" s="65" t="str">
        <f>IFERROR(VLOOKUP(Table3[[#This Row],[Player No]],Table11[#All],3,0),"")</f>
        <v>EC</v>
      </c>
      <c r="G200" s="689">
        <v>2</v>
      </c>
      <c r="H200" s="811">
        <f>(Table3[[#This Row],[Points 2025]]/2)+SUM(Table3[[#This Row],[O1  ADMIN 2026]:[P2      CAPE TOWN OPEN 2026 ]])</f>
        <v>1</v>
      </c>
      <c r="I200" s="690">
        <f t="shared" si="21"/>
        <v>0</v>
      </c>
      <c r="J200" s="624">
        <f t="shared" si="22"/>
        <v>0</v>
      </c>
      <c r="K200" s="709" t="s">
        <v>6083</v>
      </c>
      <c r="L200" s="709" t="s">
        <v>6083</v>
      </c>
      <c r="M200" s="709" t="s">
        <v>6083</v>
      </c>
      <c r="N200" s="709"/>
      <c r="O200" s="615"/>
      <c r="P200" s="615"/>
      <c r="Q200" s="617"/>
      <c r="R200" s="617"/>
      <c r="S200" s="615"/>
      <c r="T200" s="617"/>
      <c r="U200" s="615"/>
      <c r="V200" s="750">
        <v>2</v>
      </c>
      <c r="W200" s="617"/>
      <c r="X200" s="615"/>
      <c r="Y200" s="615"/>
      <c r="Z200" s="617"/>
      <c r="AA200" s="615"/>
      <c r="AB200" s="615"/>
      <c r="AC200" s="615"/>
      <c r="AD200" s="615"/>
      <c r="AE200" s="615"/>
      <c r="AF200" s="615"/>
      <c r="AG200" s="615"/>
      <c r="AH200" s="615"/>
      <c r="AI200" s="615"/>
      <c r="AJ200" s="615"/>
      <c r="AK200" s="615"/>
    </row>
    <row r="201" spans="1:37">
      <c r="A201" s="61"/>
      <c r="B201" s="425">
        <f t="shared" si="23"/>
        <v>-197</v>
      </c>
      <c r="C201" s="61">
        <f t="shared" si="24"/>
        <v>197</v>
      </c>
      <c r="D201" s="63">
        <v>8391</v>
      </c>
      <c r="E201" s="64" t="str">
        <f>IFERROR(VLOOKUP(Table3[[#This Row],[Player No]],Table11[#All],2,0),"")</f>
        <v>JANTJIES Washiela</v>
      </c>
      <c r="F201" s="65" t="str">
        <f>IFERROR(VLOOKUP(Table3[[#This Row],[Player No]],Table11[#All],3,0),"")</f>
        <v>CT</v>
      </c>
      <c r="G201" s="86">
        <v>2</v>
      </c>
      <c r="H201" s="809">
        <f>(Table3[[#This Row],[Points 2025]]/2)+SUM(Table3[[#This Row],[O1  ADMIN 2026]:[P2      CAPE TOWN OPEN 2026 ]])</f>
        <v>1</v>
      </c>
      <c r="I201" s="90">
        <f t="shared" si="21"/>
        <v>0</v>
      </c>
      <c r="J201" s="63">
        <f t="shared" si="22"/>
        <v>0</v>
      </c>
      <c r="K201" s="708" t="s">
        <v>6083</v>
      </c>
      <c r="L201" s="708" t="s">
        <v>6083</v>
      </c>
      <c r="M201" s="708" t="s">
        <v>6083</v>
      </c>
      <c r="N201" s="708"/>
      <c r="O201" s="61"/>
      <c r="P201" s="61"/>
      <c r="Q201" s="113"/>
      <c r="R201" s="113"/>
      <c r="S201" s="61"/>
      <c r="T201" s="113"/>
      <c r="U201" s="61"/>
      <c r="V201" s="746"/>
      <c r="W201" s="113"/>
      <c r="X201" s="61"/>
      <c r="Y201" s="61"/>
      <c r="Z201" s="113"/>
      <c r="AA201" s="61"/>
      <c r="AB201" s="61">
        <v>2</v>
      </c>
      <c r="AC201" s="61"/>
      <c r="AD201" s="61"/>
      <c r="AE201" s="61"/>
      <c r="AF201" s="61"/>
      <c r="AG201" s="61"/>
      <c r="AH201" s="61"/>
      <c r="AI201" s="61"/>
      <c r="AJ201" s="61"/>
      <c r="AK201" s="61"/>
    </row>
    <row r="202" spans="1:37">
      <c r="A202" s="615"/>
      <c r="B202" s="684">
        <f t="shared" si="23"/>
        <v>-198</v>
      </c>
      <c r="C202" s="61">
        <f t="shared" si="24"/>
        <v>198</v>
      </c>
      <c r="D202" s="624">
        <v>8844</v>
      </c>
      <c r="E202" s="64" t="str">
        <f>IFERROR(VLOOKUP(Table3[[#This Row],[Player No]],Table11[#All],2,0),"")</f>
        <v>MADIKIZELA Onamanla</v>
      </c>
      <c r="F202" s="65" t="str">
        <f>IFERROR(VLOOKUP(Table3[[#This Row],[Player No]],Table11[#All],3,0),"")</f>
        <v>EC</v>
      </c>
      <c r="G202" s="689">
        <v>2</v>
      </c>
      <c r="H202" s="811">
        <f>(Table3[[#This Row],[Points 2025]]/2)+SUM(Table3[[#This Row],[O1  ADMIN 2026]:[P2      CAPE TOWN OPEN 2026 ]])</f>
        <v>1</v>
      </c>
      <c r="I202" s="690">
        <f t="shared" si="21"/>
        <v>0</v>
      </c>
      <c r="J202" s="624">
        <f t="shared" si="22"/>
        <v>0</v>
      </c>
      <c r="K202" s="709" t="s">
        <v>6083</v>
      </c>
      <c r="L202" s="709" t="s">
        <v>6083</v>
      </c>
      <c r="M202" s="709" t="s">
        <v>6083</v>
      </c>
      <c r="N202" s="709"/>
      <c r="O202" s="615"/>
      <c r="P202" s="615"/>
      <c r="Q202" s="617"/>
      <c r="R202" s="617"/>
      <c r="S202" s="615"/>
      <c r="T202" s="617"/>
      <c r="U202" s="615"/>
      <c r="V202" s="750">
        <v>2</v>
      </c>
      <c r="W202" s="617"/>
      <c r="X202" s="615"/>
      <c r="Y202" s="615"/>
      <c r="Z202" s="617"/>
      <c r="AA202" s="615"/>
      <c r="AB202" s="615"/>
      <c r="AC202" s="615"/>
      <c r="AD202" s="615"/>
      <c r="AE202" s="615"/>
      <c r="AF202" s="615"/>
      <c r="AG202" s="615"/>
      <c r="AH202" s="615"/>
      <c r="AI202" s="615"/>
      <c r="AJ202" s="615"/>
      <c r="AK202" s="615"/>
    </row>
    <row r="203" spans="1:37">
      <c r="A203" s="61"/>
      <c r="B203" s="425">
        <f t="shared" si="23"/>
        <v>-199</v>
      </c>
      <c r="C203" s="61">
        <f t="shared" si="24"/>
        <v>199</v>
      </c>
      <c r="D203" s="63">
        <v>8769</v>
      </c>
      <c r="E203" s="64" t="str">
        <f>IFERROR(VLOOKUP(Table3[[#This Row],[Player No]],Table11[#All],2,0),"")</f>
        <v xml:space="preserve">MAKABENI Asive </v>
      </c>
      <c r="F203" s="65" t="str">
        <f>IFERROR(VLOOKUP(Table3[[#This Row],[Player No]],Table11[#All],3,0),"")</f>
        <v>CT</v>
      </c>
      <c r="G203" s="86">
        <v>2</v>
      </c>
      <c r="H203" s="809">
        <f>(Table3[[#This Row],[Points 2025]]/2)+SUM(Table3[[#This Row],[O1  ADMIN 2026]:[P2      CAPE TOWN OPEN 2026 ]])</f>
        <v>1</v>
      </c>
      <c r="I203" s="90">
        <f t="shared" si="21"/>
        <v>0</v>
      </c>
      <c r="J203" s="63">
        <f t="shared" si="22"/>
        <v>0</v>
      </c>
      <c r="K203" s="708" t="s">
        <v>6083</v>
      </c>
      <c r="L203" s="708" t="s">
        <v>6083</v>
      </c>
      <c r="M203" s="708" t="s">
        <v>6083</v>
      </c>
      <c r="N203" s="708"/>
      <c r="O203" s="61"/>
      <c r="P203" s="61"/>
      <c r="Q203" s="113"/>
      <c r="R203" s="113"/>
      <c r="S203" s="61"/>
      <c r="T203" s="113"/>
      <c r="U203" s="61"/>
      <c r="V203" s="746"/>
      <c r="W203" s="113"/>
      <c r="X203" s="61"/>
      <c r="Y203" s="61"/>
      <c r="Z203" s="113"/>
      <c r="AA203" s="61"/>
      <c r="AB203" s="61">
        <v>2</v>
      </c>
      <c r="AC203" s="61"/>
      <c r="AD203" s="61"/>
      <c r="AE203" s="61"/>
      <c r="AF203" s="61"/>
      <c r="AG203" s="61"/>
      <c r="AH203" s="61"/>
      <c r="AI203" s="61"/>
      <c r="AJ203" s="61"/>
      <c r="AK203" s="61"/>
    </row>
    <row r="204" spans="1:37">
      <c r="A204" s="615"/>
      <c r="B204" s="684">
        <f t="shared" si="23"/>
        <v>-200</v>
      </c>
      <c r="C204" s="61">
        <f t="shared" si="24"/>
        <v>200</v>
      </c>
      <c r="D204" s="624">
        <v>8845</v>
      </c>
      <c r="E204" s="64" t="str">
        <f>IFERROR(VLOOKUP(Table3[[#This Row],[Player No]],Table11[#All],2,0),"")</f>
        <v>MHLANGA Neliseka</v>
      </c>
      <c r="F204" s="65" t="str">
        <f>IFERROR(VLOOKUP(Table3[[#This Row],[Player No]],Table11[#All],3,0),"")</f>
        <v xml:space="preserve"> EC</v>
      </c>
      <c r="G204" s="689">
        <v>2</v>
      </c>
      <c r="H204" s="811">
        <f>(Table3[[#This Row],[Points 2025]]/2)+SUM(Table3[[#This Row],[O1  ADMIN 2026]:[P2      CAPE TOWN OPEN 2026 ]])</f>
        <v>1</v>
      </c>
      <c r="I204" s="690">
        <f t="shared" si="21"/>
        <v>0</v>
      </c>
      <c r="J204" s="624">
        <f t="shared" si="22"/>
        <v>0</v>
      </c>
      <c r="K204" s="709" t="s">
        <v>6083</v>
      </c>
      <c r="L204" s="709" t="s">
        <v>6083</v>
      </c>
      <c r="M204" s="709" t="s">
        <v>6083</v>
      </c>
      <c r="N204" s="709"/>
      <c r="O204" s="615"/>
      <c r="P204" s="615"/>
      <c r="Q204" s="617"/>
      <c r="R204" s="617"/>
      <c r="S204" s="615"/>
      <c r="T204" s="617"/>
      <c r="U204" s="615"/>
      <c r="V204" s="750">
        <v>2</v>
      </c>
      <c r="W204" s="617"/>
      <c r="X204" s="615"/>
      <c r="Y204" s="615"/>
      <c r="Z204" s="617"/>
      <c r="AA204" s="615"/>
      <c r="AB204" s="615"/>
      <c r="AC204" s="615"/>
      <c r="AD204" s="615"/>
      <c r="AE204" s="615"/>
      <c r="AF204" s="615"/>
      <c r="AG204" s="615"/>
      <c r="AH204" s="615"/>
      <c r="AI204" s="615"/>
      <c r="AJ204" s="615"/>
      <c r="AK204" s="615"/>
    </row>
    <row r="205" spans="1:37">
      <c r="A205" s="61"/>
      <c r="B205" s="425">
        <f t="shared" si="23"/>
        <v>-201</v>
      </c>
      <c r="C205" s="61">
        <f t="shared" si="24"/>
        <v>201</v>
      </c>
      <c r="D205" s="63">
        <v>8770</v>
      </c>
      <c r="E205" s="64" t="str">
        <f>IFERROR(VLOOKUP(Table3[[#This Row],[Player No]],Table11[#All],2,0),"")</f>
        <v xml:space="preserve">SONGQENGQA Lizalise </v>
      </c>
      <c r="F205" s="65" t="str">
        <f>IFERROR(VLOOKUP(Table3[[#This Row],[Player No]],Table11[#All],3,0),"")</f>
        <v>CT</v>
      </c>
      <c r="G205" s="86">
        <v>2</v>
      </c>
      <c r="H205" s="809">
        <f>(Table3[[#This Row],[Points 2025]]/2)+SUM(Table3[[#This Row],[O1  ADMIN 2026]:[P2      CAPE TOWN OPEN 2026 ]])</f>
        <v>1</v>
      </c>
      <c r="I205" s="90">
        <f t="shared" si="21"/>
        <v>0</v>
      </c>
      <c r="J205" s="63">
        <f t="shared" si="22"/>
        <v>0</v>
      </c>
      <c r="K205" s="708" t="s">
        <v>6083</v>
      </c>
      <c r="L205" s="708" t="s">
        <v>6083</v>
      </c>
      <c r="M205" s="708" t="s">
        <v>6083</v>
      </c>
      <c r="N205" s="708"/>
      <c r="O205" s="61"/>
      <c r="P205" s="61"/>
      <c r="Q205" s="113"/>
      <c r="R205" s="113"/>
      <c r="S205" s="61"/>
      <c r="T205" s="113"/>
      <c r="U205" s="61"/>
      <c r="V205" s="746"/>
      <c r="W205" s="113"/>
      <c r="X205" s="61"/>
      <c r="Y205" s="61"/>
      <c r="Z205" s="113"/>
      <c r="AA205" s="61"/>
      <c r="AB205" s="61">
        <v>2</v>
      </c>
      <c r="AC205" s="61"/>
      <c r="AD205" s="61"/>
      <c r="AE205" s="61"/>
      <c r="AF205" s="61"/>
      <c r="AG205" s="61"/>
      <c r="AH205" s="61"/>
      <c r="AI205" s="61"/>
      <c r="AJ205" s="61"/>
      <c r="AK205" s="61"/>
    </row>
    <row r="206" spans="1:37">
      <c r="A206" s="615"/>
      <c r="B206" s="1043">
        <f t="shared" si="23"/>
        <v>-202</v>
      </c>
      <c r="C206" s="61">
        <f t="shared" si="24"/>
        <v>202</v>
      </c>
      <c r="D206" s="624">
        <v>8846</v>
      </c>
      <c r="E206" s="64" t="str">
        <f>IFERROR(VLOOKUP(Table3[[#This Row],[Player No]],Table11[#All],2,0),"")</f>
        <v>VELERO Thuli</v>
      </c>
      <c r="F206" s="65" t="str">
        <f>IFERROR(VLOOKUP(Table3[[#This Row],[Player No]],Table11[#All],3,0),"")</f>
        <v xml:space="preserve">EC </v>
      </c>
      <c r="G206" s="689">
        <v>2</v>
      </c>
      <c r="H206" s="811">
        <f>(Table3[[#This Row],[Points 2025]]/2)+SUM(Table3[[#This Row],[O1  ADMIN 2026]:[P2      CAPE TOWN OPEN 2026 ]])</f>
        <v>1</v>
      </c>
      <c r="I206" s="690">
        <f t="shared" si="21"/>
        <v>0</v>
      </c>
      <c r="J206" s="624">
        <f t="shared" si="22"/>
        <v>0</v>
      </c>
      <c r="K206" s="709" t="s">
        <v>6083</v>
      </c>
      <c r="L206" s="709" t="s">
        <v>6083</v>
      </c>
      <c r="M206" s="709" t="s">
        <v>6083</v>
      </c>
      <c r="N206" s="709"/>
      <c r="O206" s="615"/>
      <c r="P206" s="615"/>
      <c r="Q206" s="617"/>
      <c r="R206" s="617"/>
      <c r="S206" s="615"/>
      <c r="T206" s="617"/>
      <c r="U206" s="615"/>
      <c r="V206" s="750">
        <v>2</v>
      </c>
      <c r="W206" s="617"/>
      <c r="X206" s="615"/>
      <c r="Y206" s="615"/>
      <c r="Z206" s="617"/>
      <c r="AA206" s="615"/>
      <c r="AB206" s="615"/>
      <c r="AC206" s="615"/>
      <c r="AD206" s="615"/>
      <c r="AE206" s="615"/>
      <c r="AF206" s="615"/>
      <c r="AG206" s="615"/>
      <c r="AH206" s="615"/>
      <c r="AI206" s="615"/>
      <c r="AJ206" s="615"/>
      <c r="AK206" s="615"/>
    </row>
    <row r="207" spans="1:37">
      <c r="A207" s="61"/>
      <c r="B207" s="62">
        <f>+A207-C207</f>
        <v>-203</v>
      </c>
      <c r="C207" s="61">
        <f t="shared" si="24"/>
        <v>203</v>
      </c>
      <c r="D207" s="63">
        <v>8321</v>
      </c>
      <c r="E207" s="64" t="str">
        <f>IFERROR(VLOOKUP(Table3[[#This Row],[Player No]],Table11[#All],2,0),"")</f>
        <v>WANDA Sthembile Lungile</v>
      </c>
      <c r="F207" s="65" t="str">
        <f>IFERROR(VLOOKUP(Table3[[#This Row],[Player No]],Table11[#All],3,0),"")</f>
        <v>ETK</v>
      </c>
      <c r="G207" s="86">
        <v>2</v>
      </c>
      <c r="H207" s="809">
        <f>(Table3[[#This Row],[Points 2025]]/2)+SUM(Table3[[#This Row],[O1  ADMIN 2026]:[P2      CAPE TOWN OPEN 2026 ]])</f>
        <v>1</v>
      </c>
      <c r="I207" s="61">
        <f t="shared" si="21"/>
        <v>0</v>
      </c>
      <c r="J207" s="61">
        <f t="shared" si="22"/>
        <v>0</v>
      </c>
      <c r="K207" s="746" t="s">
        <v>6083</v>
      </c>
      <c r="L207" s="746" t="s">
        <v>6083</v>
      </c>
      <c r="M207" s="746" t="s">
        <v>6083</v>
      </c>
      <c r="N207" s="746"/>
      <c r="O207" s="61"/>
      <c r="P207" s="61">
        <v>1</v>
      </c>
      <c r="Q207" s="113"/>
      <c r="R207" s="113">
        <v>1</v>
      </c>
      <c r="S207" s="61"/>
      <c r="T207" s="113"/>
      <c r="U207" s="61"/>
      <c r="V207" s="746"/>
      <c r="W207" s="113"/>
      <c r="X207" s="61"/>
      <c r="Y207" s="61"/>
      <c r="Z207" s="113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</row>
    <row r="208" spans="1:37">
      <c r="A208" s="61"/>
      <c r="B208" s="1041">
        <f xml:space="preserve"> +A208-C208</f>
        <v>-204</v>
      </c>
      <c r="C208" s="61">
        <f t="shared" si="24"/>
        <v>204</v>
      </c>
      <c r="D208" s="63">
        <v>8955</v>
      </c>
      <c r="E208" s="64" t="str">
        <f>IFERROR(VLOOKUP(Table3[[#This Row],[Player No]],Table11[#All],2,0),"")</f>
        <v>RANCHOD Priya</v>
      </c>
      <c r="F208" s="65" t="str">
        <f>IFERROR(VLOOKUP(Table3[[#This Row],[Player No]],Table11[#All],3,0),"")</f>
        <v>JTTA</v>
      </c>
      <c r="G208" s="343">
        <v>0</v>
      </c>
      <c r="H208" s="809">
        <f>(Table3[[#This Row],[Points 2025]]/2)+SUM(Table3[[#This Row],[O1  ADMIN 2026]:[P2      CAPE TOWN OPEN 2026 ]])</f>
        <v>1</v>
      </c>
      <c r="I208" s="90">
        <f t="shared" si="21"/>
        <v>1</v>
      </c>
      <c r="J208" s="63">
        <f t="shared" si="22"/>
        <v>0</v>
      </c>
      <c r="K208" s="708">
        <v>1</v>
      </c>
      <c r="L208" s="708" t="s">
        <v>6083</v>
      </c>
      <c r="M208" s="708"/>
      <c r="N208" s="708"/>
      <c r="O208" s="61"/>
      <c r="P208" s="61"/>
      <c r="Q208" s="113"/>
      <c r="R208" s="113"/>
      <c r="S208" s="61"/>
      <c r="T208" s="113"/>
      <c r="U208" s="61"/>
      <c r="V208" s="746"/>
      <c r="W208" s="113"/>
      <c r="X208" s="61"/>
      <c r="Y208" s="61"/>
      <c r="Z208" s="113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</row>
    <row r="209" spans="1:37">
      <c r="A209" s="61">
        <v>109</v>
      </c>
      <c r="B209" s="62">
        <f t="shared" ref="B209:B223" si="25">+A209-C209</f>
        <v>-96</v>
      </c>
      <c r="C209" s="61">
        <f t="shared" si="24"/>
        <v>205</v>
      </c>
      <c r="D209" s="63">
        <v>7488</v>
      </c>
      <c r="E209" s="64" t="str">
        <f>IFERROR(VLOOKUP(Table3[[#This Row],[Player No]],Table11[#All],2,0),"")</f>
        <v>MUNSAMY Alyssa </v>
      </c>
      <c r="F209" s="65" t="str">
        <f>IFERROR(VLOOKUP(Table3[[#This Row],[Player No]],Table11[#All],3,0),"")</f>
        <v>ETK</v>
      </c>
      <c r="G209" s="86">
        <v>1.9375</v>
      </c>
      <c r="H209" s="809">
        <f>(Table3[[#This Row],[Points 2025]]/2)+SUM(Table3[[#This Row],[O1  ADMIN 2026]:[P2      CAPE TOWN OPEN 2026 ]])</f>
        <v>0.96875</v>
      </c>
      <c r="I209" s="61">
        <f t="shared" si="21"/>
        <v>0</v>
      </c>
      <c r="J209" s="61">
        <f t="shared" si="22"/>
        <v>0</v>
      </c>
      <c r="K209" s="746" t="s">
        <v>6083</v>
      </c>
      <c r="L209" s="746" t="s">
        <v>6083</v>
      </c>
      <c r="M209" s="746" t="s">
        <v>6083</v>
      </c>
      <c r="N209" s="746"/>
      <c r="O209" s="61"/>
      <c r="P209" s="61"/>
      <c r="Q209" s="113"/>
      <c r="R209" s="113"/>
      <c r="S209" s="61"/>
      <c r="T209" s="113"/>
      <c r="U209" s="61"/>
      <c r="V209" s="746"/>
      <c r="W209" s="113"/>
      <c r="X209" s="61"/>
      <c r="Y209" s="61"/>
      <c r="Z209" s="113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</row>
    <row r="210" spans="1:37">
      <c r="A210" s="61">
        <v>167</v>
      </c>
      <c r="B210" s="130">
        <f t="shared" si="25"/>
        <v>-39</v>
      </c>
      <c r="C210" s="61">
        <f t="shared" si="24"/>
        <v>206</v>
      </c>
      <c r="D210" s="63">
        <v>8308</v>
      </c>
      <c r="E210" s="64" t="str">
        <f>IFERROR(VLOOKUP(Table3[[#This Row],[Player No]],Table11[#All],2,0),"")</f>
        <v>BULLEN Isabel</v>
      </c>
      <c r="F210" s="65" t="str">
        <f>IFERROR(VLOOKUP(Table3[[#This Row],[Player No]],Table11[#All],3,0),"")</f>
        <v>JTTA</v>
      </c>
      <c r="G210" s="86">
        <v>1.5</v>
      </c>
      <c r="H210" s="809">
        <f>(Table3[[#This Row],[Points 2025]]/2)+SUM(Table3[[#This Row],[O1  ADMIN 2026]:[P2      CAPE TOWN OPEN 2026 ]])</f>
        <v>0.75</v>
      </c>
      <c r="I210" s="61">
        <f t="shared" si="21"/>
        <v>0</v>
      </c>
      <c r="J210" s="61">
        <f t="shared" si="22"/>
        <v>0</v>
      </c>
      <c r="K210" s="746" t="s">
        <v>6083</v>
      </c>
      <c r="L210" s="746" t="s">
        <v>6083</v>
      </c>
      <c r="M210" s="746" t="s">
        <v>6083</v>
      </c>
      <c r="N210" s="746"/>
      <c r="O210" s="61"/>
      <c r="P210" s="61"/>
      <c r="Q210" s="113"/>
      <c r="R210" s="113"/>
      <c r="S210" s="61"/>
      <c r="T210" s="113"/>
      <c r="U210" s="61"/>
      <c r="V210" s="746"/>
      <c r="W210" s="113"/>
      <c r="X210" s="61"/>
      <c r="Y210" s="61"/>
      <c r="Z210" s="113"/>
      <c r="AA210" s="61">
        <v>1</v>
      </c>
      <c r="AB210" s="61"/>
      <c r="AC210" s="61"/>
      <c r="AD210" s="61"/>
      <c r="AE210" s="61"/>
      <c r="AF210" s="61"/>
      <c r="AG210" s="61"/>
      <c r="AH210" s="61"/>
      <c r="AI210" s="61"/>
      <c r="AJ210" s="61"/>
      <c r="AK210" s="61">
        <v>1</v>
      </c>
    </row>
    <row r="211" spans="1:37">
      <c r="A211" s="61">
        <v>164</v>
      </c>
      <c r="B211" s="130">
        <f t="shared" si="25"/>
        <v>-43</v>
      </c>
      <c r="C211" s="61">
        <f t="shared" si="24"/>
        <v>207</v>
      </c>
      <c r="D211" s="63">
        <v>8279</v>
      </c>
      <c r="E211" s="64" t="str">
        <f>IFERROR(VLOOKUP(Table3[[#This Row],[Player No]],Table11[#All],2,0),"")</f>
        <v>MARSHALL Lael</v>
      </c>
      <c r="F211" s="65" t="str">
        <f>IFERROR(VLOOKUP(Table3[[#This Row],[Player No]],Table11[#All],3,0),"")</f>
        <v xml:space="preserve">JTTA </v>
      </c>
      <c r="G211" s="86">
        <v>1.5</v>
      </c>
      <c r="H211" s="809">
        <f>(Table3[[#This Row],[Points 2025]]/2)+SUM(Table3[[#This Row],[O1  ADMIN 2026]:[P2      CAPE TOWN OPEN 2026 ]])</f>
        <v>0.75</v>
      </c>
      <c r="I211" s="61">
        <f t="shared" si="21"/>
        <v>0</v>
      </c>
      <c r="J211" s="61">
        <f t="shared" si="22"/>
        <v>0</v>
      </c>
      <c r="K211" s="746" t="s">
        <v>6083</v>
      </c>
      <c r="L211" s="746" t="s">
        <v>6083</v>
      </c>
      <c r="M211" s="746" t="s">
        <v>6083</v>
      </c>
      <c r="N211" s="746"/>
      <c r="O211" s="61"/>
      <c r="P211" s="61"/>
      <c r="Q211" s="113"/>
      <c r="R211" s="113"/>
      <c r="S211" s="61"/>
      <c r="T211" s="113"/>
      <c r="U211" s="61"/>
      <c r="V211" s="746"/>
      <c r="W211" s="113"/>
      <c r="X211" s="61"/>
      <c r="Y211" s="61"/>
      <c r="Z211" s="113"/>
      <c r="AA211" s="61">
        <v>1</v>
      </c>
      <c r="AB211" s="61"/>
      <c r="AC211" s="61"/>
      <c r="AD211" s="61"/>
      <c r="AE211" s="61"/>
      <c r="AF211" s="61"/>
      <c r="AG211" s="61"/>
      <c r="AH211" s="61"/>
      <c r="AI211" s="61"/>
      <c r="AJ211" s="61"/>
      <c r="AK211" s="61">
        <v>1</v>
      </c>
    </row>
    <row r="212" spans="1:37">
      <c r="A212" s="61">
        <v>151</v>
      </c>
      <c r="B212" s="130">
        <f t="shared" si="25"/>
        <v>-57</v>
      </c>
      <c r="C212" s="61">
        <f t="shared" si="24"/>
        <v>208</v>
      </c>
      <c r="D212" s="63">
        <v>7381</v>
      </c>
      <c r="E212" s="64" t="str">
        <f>IFERROR(VLOOKUP(Table3[[#This Row],[Player No]],Table11[#All],2,0),"")</f>
        <v xml:space="preserve">NAUDE Stephanie </v>
      </c>
      <c r="F212" s="65" t="str">
        <f>IFERROR(VLOOKUP(Table3[[#This Row],[Player No]],Table11[#All],3,0),"")</f>
        <v>CW</v>
      </c>
      <c r="G212" s="86">
        <v>1.28125</v>
      </c>
      <c r="H212" s="809">
        <f>(Table3[[#This Row],[Points 2025]]/2)+SUM(Table3[[#This Row],[O1  ADMIN 2026]:[P2      CAPE TOWN OPEN 2026 ]])</f>
        <v>0.640625</v>
      </c>
      <c r="I212" s="61">
        <f t="shared" si="21"/>
        <v>0</v>
      </c>
      <c r="J212" s="61">
        <f t="shared" si="22"/>
        <v>0</v>
      </c>
      <c r="K212" s="746" t="s">
        <v>6083</v>
      </c>
      <c r="L212" s="746" t="s">
        <v>6083</v>
      </c>
      <c r="M212" s="746" t="s">
        <v>6083</v>
      </c>
      <c r="N212" s="746"/>
      <c r="O212" s="61"/>
      <c r="P212" s="61"/>
      <c r="Q212" s="113"/>
      <c r="R212" s="113"/>
      <c r="S212" s="61"/>
      <c r="T212" s="113"/>
      <c r="U212" s="61"/>
      <c r="V212" s="746"/>
      <c r="W212" s="113"/>
      <c r="X212" s="61"/>
      <c r="Y212" s="61"/>
      <c r="Z212" s="113"/>
      <c r="AA212" s="61"/>
      <c r="AB212" s="61"/>
      <c r="AC212" s="61"/>
      <c r="AD212" s="61"/>
      <c r="AE212" s="61">
        <v>1</v>
      </c>
      <c r="AF212" s="61"/>
      <c r="AG212" s="61"/>
      <c r="AH212" s="61"/>
      <c r="AI212" s="61"/>
      <c r="AJ212" s="61"/>
      <c r="AK212" s="61"/>
    </row>
    <row r="213" spans="1:37">
      <c r="A213" s="61">
        <v>130</v>
      </c>
      <c r="B213" s="130">
        <f t="shared" si="25"/>
        <v>-79</v>
      </c>
      <c r="C213" s="61">
        <f t="shared" si="24"/>
        <v>209</v>
      </c>
      <c r="D213" s="63">
        <v>7244</v>
      </c>
      <c r="E213" s="64" t="str">
        <f>IFERROR(VLOOKUP(Table3[[#This Row],[Player No]],Table11[#All],2,0),"")</f>
        <v xml:space="preserve">KARIM Nasiha </v>
      </c>
      <c r="F213" s="65" t="str">
        <f>IFERROR(VLOOKUP(Table3[[#This Row],[Player No]],Table11[#All],3,0),"")</f>
        <v>GN</v>
      </c>
      <c r="G213" s="86">
        <v>1.25</v>
      </c>
      <c r="H213" s="809">
        <f>(Table3[[#This Row],[Points 2025]]/2)+SUM(Table3[[#This Row],[O1  ADMIN 2026]:[P2      CAPE TOWN OPEN 2026 ]])</f>
        <v>0.625</v>
      </c>
      <c r="I213" s="61">
        <f t="shared" si="21"/>
        <v>0</v>
      </c>
      <c r="J213" s="61">
        <f t="shared" si="22"/>
        <v>0</v>
      </c>
      <c r="K213" s="746" t="s">
        <v>6083</v>
      </c>
      <c r="L213" s="746" t="s">
        <v>6083</v>
      </c>
      <c r="M213" s="746" t="s">
        <v>6083</v>
      </c>
      <c r="N213" s="746"/>
      <c r="O213" s="61"/>
      <c r="P213" s="61"/>
      <c r="Q213" s="113"/>
      <c r="R213" s="113"/>
      <c r="S213" s="61"/>
      <c r="T213" s="113"/>
      <c r="U213" s="61"/>
      <c r="V213" s="746"/>
      <c r="W213" s="113"/>
      <c r="X213" s="61"/>
      <c r="Y213" s="61"/>
      <c r="Z213" s="113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</row>
    <row r="214" spans="1:37">
      <c r="A214" s="61">
        <v>125</v>
      </c>
      <c r="B214" s="130">
        <f t="shared" si="25"/>
        <v>-85</v>
      </c>
      <c r="C214" s="61">
        <f t="shared" si="24"/>
        <v>210</v>
      </c>
      <c r="D214" s="63">
        <v>8282</v>
      </c>
      <c r="E214" s="64" t="str">
        <f>IFERROR(VLOOKUP(Table3[[#This Row],[Player No]],Table11[#All],2,0),"")</f>
        <v>MAHARAJ Prashni</v>
      </c>
      <c r="F214" s="65" t="str">
        <f>IFERROR(VLOOKUP(Table3[[#This Row],[Player No]],Table11[#All],3,0),"")</f>
        <v>Ilembe</v>
      </c>
      <c r="G214" s="86">
        <v>1.25</v>
      </c>
      <c r="H214" s="809">
        <f>(Table3[[#This Row],[Points 2025]]/2)+SUM(Table3[[#This Row],[O1  ADMIN 2026]:[P2      CAPE TOWN OPEN 2026 ]])</f>
        <v>0.625</v>
      </c>
      <c r="I214" s="61">
        <f t="shared" si="21"/>
        <v>0</v>
      </c>
      <c r="J214" s="61">
        <f t="shared" si="22"/>
        <v>0</v>
      </c>
      <c r="K214" s="746" t="s">
        <v>6083</v>
      </c>
      <c r="L214" s="746" t="s">
        <v>6083</v>
      </c>
      <c r="M214" s="746" t="s">
        <v>6083</v>
      </c>
      <c r="N214" s="746"/>
      <c r="O214" s="61"/>
      <c r="P214" s="61"/>
      <c r="Q214" s="113"/>
      <c r="R214" s="113"/>
      <c r="S214" s="61"/>
      <c r="T214" s="113"/>
      <c r="U214" s="61"/>
      <c r="V214" s="746"/>
      <c r="W214" s="113"/>
      <c r="X214" s="61"/>
      <c r="Y214" s="61"/>
      <c r="Z214" s="113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</row>
    <row r="215" spans="1:37">
      <c r="A215" s="61">
        <v>132</v>
      </c>
      <c r="B215" s="130">
        <f t="shared" si="25"/>
        <v>-79</v>
      </c>
      <c r="C215" s="61">
        <f t="shared" si="24"/>
        <v>211</v>
      </c>
      <c r="D215" s="63">
        <v>8135</v>
      </c>
      <c r="E215" s="64" t="str">
        <f>IFERROR(VLOOKUP(Table3[[#This Row],[Player No]],Table11[#All],2,0),"")</f>
        <v>MOSOLENG Lebohang</v>
      </c>
      <c r="F215" s="65" t="str">
        <f>IFERROR(VLOOKUP(Table3[[#This Row],[Player No]],Table11[#All],3,0),"")</f>
        <v>FS</v>
      </c>
      <c r="G215" s="86">
        <v>1.25</v>
      </c>
      <c r="H215" s="809">
        <f>(Table3[[#This Row],[Points 2025]]/2)+SUM(Table3[[#This Row],[O1  ADMIN 2026]:[P2      CAPE TOWN OPEN 2026 ]])</f>
        <v>0.625</v>
      </c>
      <c r="I215" s="61">
        <f t="shared" si="21"/>
        <v>0</v>
      </c>
      <c r="J215" s="61">
        <f t="shared" si="22"/>
        <v>0</v>
      </c>
      <c r="K215" s="746" t="s">
        <v>6083</v>
      </c>
      <c r="L215" s="746" t="s">
        <v>6083</v>
      </c>
      <c r="M215" s="746" t="s">
        <v>6083</v>
      </c>
      <c r="N215" s="746"/>
      <c r="O215" s="61"/>
      <c r="P215" s="61"/>
      <c r="Q215" s="113"/>
      <c r="R215" s="113"/>
      <c r="S215" s="61"/>
      <c r="T215" s="113"/>
      <c r="U215" s="61"/>
      <c r="V215" s="746"/>
      <c r="W215" s="113"/>
      <c r="X215" s="61"/>
      <c r="Y215" s="61"/>
      <c r="Z215" s="113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</row>
    <row r="216" spans="1:37">
      <c r="A216" s="61">
        <v>124</v>
      </c>
      <c r="B216" s="130">
        <f t="shared" si="25"/>
        <v>-88</v>
      </c>
      <c r="C216" s="61">
        <f t="shared" si="24"/>
        <v>212</v>
      </c>
      <c r="D216" s="63">
        <v>7526</v>
      </c>
      <c r="E216" s="64" t="str">
        <f>IFERROR(VLOOKUP(Table3[[#This Row],[Player No]],Table11[#All],2,0),"")</f>
        <v xml:space="preserve">NDLANGAMANDLA Sthandwa R </v>
      </c>
      <c r="F216" s="65" t="str">
        <f>IFERROR(VLOOKUP(Table3[[#This Row],[Player No]],Table11[#All],3,0),"")</f>
        <v>ZL</v>
      </c>
      <c r="G216" s="86">
        <v>1.25</v>
      </c>
      <c r="H216" s="809">
        <f>(Table3[[#This Row],[Points 2025]]/2)+SUM(Table3[[#This Row],[O1  ADMIN 2026]:[P2      CAPE TOWN OPEN 2026 ]])</f>
        <v>0.625</v>
      </c>
      <c r="I216" s="61">
        <f t="shared" si="21"/>
        <v>0</v>
      </c>
      <c r="J216" s="61">
        <f t="shared" si="22"/>
        <v>0</v>
      </c>
      <c r="K216" s="746" t="s">
        <v>6083</v>
      </c>
      <c r="L216" s="746" t="s">
        <v>6083</v>
      </c>
      <c r="M216" s="746" t="s">
        <v>6083</v>
      </c>
      <c r="N216" s="746"/>
      <c r="O216" s="63"/>
      <c r="P216" s="63"/>
      <c r="Q216" s="114"/>
      <c r="R216" s="114"/>
      <c r="S216" s="63"/>
      <c r="T216" s="114"/>
      <c r="U216" s="63"/>
      <c r="V216" s="708"/>
      <c r="W216" s="114"/>
      <c r="X216" s="63"/>
      <c r="Y216" s="63"/>
      <c r="Z216" s="114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</row>
    <row r="217" spans="1:37">
      <c r="A217" s="61">
        <v>128</v>
      </c>
      <c r="B217" s="130">
        <f t="shared" si="25"/>
        <v>-85</v>
      </c>
      <c r="C217" s="61">
        <f t="shared" si="24"/>
        <v>213</v>
      </c>
      <c r="D217" s="63">
        <v>7144</v>
      </c>
      <c r="E217" s="64" t="str">
        <f>IFERROR(VLOOKUP(Table3[[#This Row],[Player No]],Table11[#All],2,0),"")</f>
        <v xml:space="preserve">VAN SCHOOR Chantel </v>
      </c>
      <c r="F217" s="65" t="str">
        <f>IFERROR(VLOOKUP(Table3[[#This Row],[Player No]],Table11[#All],3,0),"")</f>
        <v>CW</v>
      </c>
      <c r="G217" s="86">
        <v>1.25</v>
      </c>
      <c r="H217" s="809">
        <f>(Table3[[#This Row],[Points 2025]]/2)+SUM(Table3[[#This Row],[O1  ADMIN 2026]:[P2      CAPE TOWN OPEN 2026 ]])</f>
        <v>0.625</v>
      </c>
      <c r="I217" s="61">
        <f t="shared" si="21"/>
        <v>0</v>
      </c>
      <c r="J217" s="61">
        <f t="shared" si="22"/>
        <v>0</v>
      </c>
      <c r="K217" s="746" t="s">
        <v>6083</v>
      </c>
      <c r="L217" s="746" t="s">
        <v>6083</v>
      </c>
      <c r="M217" s="746" t="s">
        <v>6083</v>
      </c>
      <c r="N217" s="746"/>
      <c r="O217" s="61"/>
      <c r="P217" s="61"/>
      <c r="Q217" s="113"/>
      <c r="R217" s="113"/>
      <c r="S217" s="61"/>
      <c r="T217" s="113"/>
      <c r="U217" s="61"/>
      <c r="V217" s="746"/>
      <c r="W217" s="113"/>
      <c r="X217" s="61"/>
      <c r="Y217" s="61"/>
      <c r="Z217" s="113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</row>
    <row r="218" spans="1:37">
      <c r="A218" s="61">
        <v>126</v>
      </c>
      <c r="B218" s="130">
        <f t="shared" si="25"/>
        <v>-88</v>
      </c>
      <c r="C218" s="61">
        <f t="shared" si="24"/>
        <v>214</v>
      </c>
      <c r="D218" s="63">
        <v>7725</v>
      </c>
      <c r="E218" s="64" t="str">
        <f>IFERROR(VLOOKUP(Table3[[#This Row],[Player No]],Table11[#All],2,0),"")</f>
        <v>VAN WYK Waylisha</v>
      </c>
      <c r="F218" s="65" t="str">
        <f>IFERROR(VLOOKUP(Table3[[#This Row],[Player No]],Table11[#All],3,0),"")</f>
        <v>CW</v>
      </c>
      <c r="G218" s="86">
        <v>1.25</v>
      </c>
      <c r="H218" s="809">
        <f>(Table3[[#This Row],[Points 2025]]/2)+SUM(Table3[[#This Row],[O1  ADMIN 2026]:[P2      CAPE TOWN OPEN 2026 ]])</f>
        <v>0.625</v>
      </c>
      <c r="I218" s="61">
        <f t="shared" si="21"/>
        <v>0</v>
      </c>
      <c r="J218" s="61">
        <f t="shared" si="22"/>
        <v>0</v>
      </c>
      <c r="K218" s="746" t="s">
        <v>6083</v>
      </c>
      <c r="L218" s="746" t="s">
        <v>6083</v>
      </c>
      <c r="M218" s="746" t="s">
        <v>6083</v>
      </c>
      <c r="N218" s="746"/>
      <c r="O218" s="61"/>
      <c r="P218" s="61"/>
      <c r="Q218" s="113"/>
      <c r="R218" s="113"/>
      <c r="S218" s="61"/>
      <c r="T218" s="113"/>
      <c r="U218" s="61"/>
      <c r="V218" s="746"/>
      <c r="W218" s="113"/>
      <c r="X218" s="61"/>
      <c r="Y218" s="61"/>
      <c r="Z218" s="113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</row>
    <row r="219" spans="1:37">
      <c r="A219" s="61">
        <v>127</v>
      </c>
      <c r="B219" s="130">
        <f t="shared" si="25"/>
        <v>-88</v>
      </c>
      <c r="C219" s="61">
        <f t="shared" si="24"/>
        <v>215</v>
      </c>
      <c r="D219" s="63">
        <v>8192</v>
      </c>
      <c r="E219" s="64" t="str">
        <f>IFERROR(VLOOKUP(Table3[[#This Row],[Player No]],Table11[#All],2,0),"")</f>
        <v>WENTZEL Berenice</v>
      </c>
      <c r="F219" s="65" t="str">
        <f>IFERROR(VLOOKUP(Table3[[#This Row],[Player No]],Table11[#All],3,0),"")</f>
        <v>CW</v>
      </c>
      <c r="G219" s="86">
        <v>1.25</v>
      </c>
      <c r="H219" s="809">
        <f>(Table3[[#This Row],[Points 2025]]/2)+SUM(Table3[[#This Row],[O1  ADMIN 2026]:[P2      CAPE TOWN OPEN 2026 ]])</f>
        <v>0.625</v>
      </c>
      <c r="I219" s="61">
        <f t="shared" si="21"/>
        <v>0</v>
      </c>
      <c r="J219" s="61">
        <f t="shared" si="22"/>
        <v>0</v>
      </c>
      <c r="K219" s="746" t="s">
        <v>6083</v>
      </c>
      <c r="L219" s="746" t="s">
        <v>6083</v>
      </c>
      <c r="M219" s="746" t="s">
        <v>6083</v>
      </c>
      <c r="N219" s="746"/>
      <c r="O219" s="61"/>
      <c r="P219" s="61"/>
      <c r="Q219" s="113"/>
      <c r="R219" s="113"/>
      <c r="S219" s="61"/>
      <c r="T219" s="113"/>
      <c r="U219" s="61"/>
      <c r="V219" s="746"/>
      <c r="W219" s="113"/>
      <c r="X219" s="61"/>
      <c r="Y219" s="61"/>
      <c r="Z219" s="113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</row>
    <row r="220" spans="1:37">
      <c r="A220" s="61">
        <v>136</v>
      </c>
      <c r="B220" s="130">
        <f t="shared" si="25"/>
        <v>-80</v>
      </c>
      <c r="C220" s="61">
        <f t="shared" si="24"/>
        <v>216</v>
      </c>
      <c r="D220" s="63">
        <v>7046</v>
      </c>
      <c r="E220" s="64" t="str">
        <f>IFERROR(VLOOKUP(Table3[[#This Row],[Player No]],Table11[#All],2,0),"")</f>
        <v xml:space="preserve">FORTUIN Dawne </v>
      </c>
      <c r="F220" s="65" t="str">
        <f>IFERROR(VLOOKUP(Table3[[#This Row],[Player No]],Table11[#All],3,0),"")</f>
        <v>EC</v>
      </c>
      <c r="G220" s="86">
        <v>1.2109375</v>
      </c>
      <c r="H220" s="809">
        <f>(Table3[[#This Row],[Points 2025]]/2)+SUM(Table3[[#This Row],[O1  ADMIN 2026]:[P2      CAPE TOWN OPEN 2026 ]])</f>
        <v>0.60546875</v>
      </c>
      <c r="I220" s="61">
        <f t="shared" si="21"/>
        <v>0</v>
      </c>
      <c r="J220" s="61">
        <f t="shared" si="22"/>
        <v>0</v>
      </c>
      <c r="K220" s="746" t="s">
        <v>6083</v>
      </c>
      <c r="L220" s="746" t="s">
        <v>6083</v>
      </c>
      <c r="M220" s="746" t="s">
        <v>6083</v>
      </c>
      <c r="N220" s="746"/>
      <c r="O220" s="61"/>
      <c r="P220" s="61"/>
      <c r="Q220" s="113"/>
      <c r="R220" s="113"/>
      <c r="S220" s="61"/>
      <c r="T220" s="113"/>
      <c r="U220" s="61"/>
      <c r="V220" s="746"/>
      <c r="W220" s="113"/>
      <c r="X220" s="61"/>
      <c r="Y220" s="61"/>
      <c r="Z220" s="113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</row>
    <row r="221" spans="1:37">
      <c r="A221" s="61"/>
      <c r="B221" s="130">
        <f t="shared" si="25"/>
        <v>-217</v>
      </c>
      <c r="C221" s="61">
        <f t="shared" si="24"/>
        <v>217</v>
      </c>
      <c r="D221" s="63">
        <v>8348</v>
      </c>
      <c r="E221" s="64" t="str">
        <f>IFERROR(VLOOKUP(Table3[[#This Row],[Player No]],Table11[#All],2,0),"")</f>
        <v>ABRAHAMS Zuri</v>
      </c>
      <c r="F221" s="65" t="str">
        <f>IFERROR(VLOOKUP(Table3[[#This Row],[Player No]],Table11[#All],3,0),"")</f>
        <v>JTTA</v>
      </c>
      <c r="G221" s="86">
        <v>1</v>
      </c>
      <c r="H221" s="809">
        <f>(Table3[[#This Row],[Points 2025]]/2)+SUM(Table3[[#This Row],[O1  ADMIN 2026]:[P2      CAPE TOWN OPEN 2026 ]])</f>
        <v>0.5</v>
      </c>
      <c r="I221" s="61">
        <f t="shared" si="21"/>
        <v>0</v>
      </c>
      <c r="J221" s="61">
        <f t="shared" si="22"/>
        <v>0</v>
      </c>
      <c r="K221" s="746" t="s">
        <v>6083</v>
      </c>
      <c r="L221" s="746" t="s">
        <v>6083</v>
      </c>
      <c r="M221" s="746" t="s">
        <v>6083</v>
      </c>
      <c r="N221" s="746"/>
      <c r="O221" s="61"/>
      <c r="P221" s="61"/>
      <c r="Q221" s="113"/>
      <c r="R221" s="113"/>
      <c r="S221" s="61"/>
      <c r="T221" s="113"/>
      <c r="U221" s="61"/>
      <c r="V221" s="746"/>
      <c r="W221" s="113"/>
      <c r="X221" s="61"/>
      <c r="Y221" s="61"/>
      <c r="Z221" s="113"/>
      <c r="AA221" s="61">
        <v>1</v>
      </c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</row>
    <row r="222" spans="1:37">
      <c r="A222" s="339"/>
      <c r="B222" s="130">
        <f t="shared" si="25"/>
        <v>-218</v>
      </c>
      <c r="C222" s="61">
        <f t="shared" si="24"/>
        <v>218</v>
      </c>
      <c r="D222" s="327">
        <v>8727</v>
      </c>
      <c r="E222" s="64" t="str">
        <f>IFERROR(VLOOKUP(Table3[[#This Row],[Player No]],Table11[#All],2,0),"")</f>
        <v>Carla LATEGAN</v>
      </c>
      <c r="F222" s="65" t="str">
        <f>IFERROR(VLOOKUP(Table3[[#This Row],[Player No]],Table11[#All],3,0),"")</f>
        <v>FS</v>
      </c>
      <c r="G222" s="343">
        <v>1</v>
      </c>
      <c r="H222" s="812">
        <f>(Table3[[#This Row],[Points 2025]]/2)+SUM(Table3[[#This Row],[O1  ADMIN 2026]:[P2      CAPE TOWN OPEN 2026 ]])</f>
        <v>0.5</v>
      </c>
      <c r="I222" s="344">
        <f t="shared" si="21"/>
        <v>0</v>
      </c>
      <c r="J222" s="327">
        <f t="shared" si="22"/>
        <v>0</v>
      </c>
      <c r="K222" s="711" t="s">
        <v>6083</v>
      </c>
      <c r="L222" s="711" t="s">
        <v>6083</v>
      </c>
      <c r="M222" s="711" t="s">
        <v>6083</v>
      </c>
      <c r="N222" s="711"/>
      <c r="O222" s="339"/>
      <c r="P222" s="339"/>
      <c r="Q222" s="337"/>
      <c r="R222" s="337"/>
      <c r="S222" s="339"/>
      <c r="T222" s="337">
        <v>1</v>
      </c>
      <c r="U222" s="339"/>
      <c r="V222" s="748"/>
      <c r="W222" s="337"/>
      <c r="X222" s="339"/>
      <c r="Y222" s="339"/>
      <c r="Z222" s="337"/>
      <c r="AA222" s="339"/>
      <c r="AB222" s="339"/>
      <c r="AC222" s="339"/>
      <c r="AD222" s="339"/>
      <c r="AE222" s="339"/>
      <c r="AF222" s="339"/>
      <c r="AG222" s="339"/>
      <c r="AH222" s="339"/>
      <c r="AI222" s="339"/>
      <c r="AJ222" s="339"/>
      <c r="AK222" s="339"/>
    </row>
    <row r="223" spans="1:37">
      <c r="A223" s="61"/>
      <c r="B223" s="130">
        <f t="shared" si="25"/>
        <v>-219</v>
      </c>
      <c r="C223" s="61">
        <f t="shared" si="24"/>
        <v>219</v>
      </c>
      <c r="D223" s="63">
        <v>8629</v>
      </c>
      <c r="E223" s="64" t="str">
        <f>IFERROR(VLOOKUP(Table3[[#This Row],[Player No]],Table11[#All],2,0),"")</f>
        <v xml:space="preserve">CINGO  Anele </v>
      </c>
      <c r="F223" s="65" t="str">
        <f>IFERROR(VLOOKUP(Table3[[#This Row],[Player No]],Table11[#All],3,0),"")</f>
        <v>ETTA</v>
      </c>
      <c r="G223" s="86">
        <v>1</v>
      </c>
      <c r="H223" s="809">
        <f>(Table3[[#This Row],[Points 2025]]/2)+SUM(Table3[[#This Row],[O1  ADMIN 2026]:[P2      CAPE TOWN OPEN 2026 ]])</f>
        <v>0.5</v>
      </c>
      <c r="I223" s="61">
        <f t="shared" si="21"/>
        <v>0</v>
      </c>
      <c r="J223" s="61">
        <f t="shared" si="22"/>
        <v>0</v>
      </c>
      <c r="K223" s="746" t="s">
        <v>6083</v>
      </c>
      <c r="L223" s="746" t="s">
        <v>6083</v>
      </c>
      <c r="M223" s="746" t="s">
        <v>6083</v>
      </c>
      <c r="N223" s="746"/>
      <c r="O223" s="61"/>
      <c r="P223" s="61">
        <v>1</v>
      </c>
      <c r="Q223" s="113"/>
      <c r="R223" s="113"/>
      <c r="S223" s="61"/>
      <c r="T223" s="113"/>
      <c r="U223" s="61"/>
      <c r="V223" s="746"/>
      <c r="W223" s="113"/>
      <c r="X223" s="61"/>
      <c r="Y223" s="61"/>
      <c r="Z223" s="113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</row>
    <row r="224" spans="1:37">
      <c r="A224" s="61"/>
      <c r="B224" s="802">
        <f xml:space="preserve"> +A224-C224</f>
        <v>-220</v>
      </c>
      <c r="C224" s="61">
        <f t="shared" si="24"/>
        <v>220</v>
      </c>
      <c r="D224" s="63">
        <v>8757</v>
      </c>
      <c r="E224" s="64" t="str">
        <f>IFERROR(VLOOKUP(Table3[[#This Row],[Player No]],Table11[#All],2,0),"")</f>
        <v xml:space="preserve">DE BRUYN Mishkah </v>
      </c>
      <c r="F224" s="65" t="str">
        <f>IFERROR(VLOOKUP(Table3[[#This Row],[Player No]],Table11[#All],3,0),"")</f>
        <v>CT</v>
      </c>
      <c r="G224" s="86">
        <v>1</v>
      </c>
      <c r="H224" s="809">
        <f>(Table3[[#This Row],[Points 2025]]/2)+SUM(Table3[[#This Row],[O1  ADMIN 2026]:[P2      CAPE TOWN OPEN 2026 ]])</f>
        <v>0.5</v>
      </c>
      <c r="I224" s="90">
        <f t="shared" si="21"/>
        <v>0</v>
      </c>
      <c r="J224" s="63">
        <f t="shared" si="22"/>
        <v>0</v>
      </c>
      <c r="K224" s="708" t="s">
        <v>6083</v>
      </c>
      <c r="L224" s="708" t="s">
        <v>6083</v>
      </c>
      <c r="M224" s="708" t="s">
        <v>6083</v>
      </c>
      <c r="N224" s="708"/>
      <c r="O224" s="61"/>
      <c r="P224" s="61"/>
      <c r="Q224" s="113">
        <v>1</v>
      </c>
      <c r="R224" s="113"/>
      <c r="S224" s="61"/>
      <c r="T224" s="113"/>
      <c r="U224" s="61"/>
      <c r="V224" s="746"/>
      <c r="W224" s="113"/>
      <c r="X224" s="61"/>
      <c r="Y224" s="61"/>
      <c r="Z224" s="113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</row>
    <row r="225" spans="1:37">
      <c r="A225" s="61"/>
      <c r="B225" s="130">
        <f>+A225-C225</f>
        <v>-221</v>
      </c>
      <c r="C225" s="61">
        <f t="shared" si="24"/>
        <v>221</v>
      </c>
      <c r="D225" s="63">
        <v>8343</v>
      </c>
      <c r="E225" s="64" t="str">
        <f>IFERROR(VLOOKUP(Table3[[#This Row],[Player No]],Table11[#All],2,0),"")</f>
        <v>HUSVU Anotidaishe</v>
      </c>
      <c r="F225" s="65" t="str">
        <f>IFERROR(VLOOKUP(Table3[[#This Row],[Player No]],Table11[#All],3,0),"")</f>
        <v>GN</v>
      </c>
      <c r="G225" s="86">
        <v>1</v>
      </c>
      <c r="H225" s="809">
        <f>(Table3[[#This Row],[Points 2025]]/2)+SUM(Table3[[#This Row],[O1  ADMIN 2026]:[P2      CAPE TOWN OPEN 2026 ]])</f>
        <v>0.5</v>
      </c>
      <c r="I225" s="61">
        <f t="shared" si="21"/>
        <v>0</v>
      </c>
      <c r="J225" s="61">
        <f t="shared" si="22"/>
        <v>0</v>
      </c>
      <c r="K225" s="746" t="s">
        <v>6083</v>
      </c>
      <c r="L225" s="746" t="s">
        <v>6083</v>
      </c>
      <c r="M225" s="746" t="s">
        <v>6083</v>
      </c>
      <c r="N225" s="746"/>
      <c r="O225" s="61"/>
      <c r="P225" s="61"/>
      <c r="Q225" s="113"/>
      <c r="R225" s="113"/>
      <c r="S225" s="61"/>
      <c r="T225" s="113"/>
      <c r="U225" s="61"/>
      <c r="V225" s="746"/>
      <c r="W225" s="113"/>
      <c r="X225" s="61"/>
      <c r="Y225" s="61"/>
      <c r="Z225" s="113"/>
      <c r="AA225" s="61">
        <v>1</v>
      </c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</row>
    <row r="226" spans="1:37">
      <c r="A226" s="61"/>
      <c r="B226" s="130">
        <f>+A226-C226</f>
        <v>-222</v>
      </c>
      <c r="C226" s="61">
        <f t="shared" si="24"/>
        <v>222</v>
      </c>
      <c r="D226" s="63">
        <v>8344</v>
      </c>
      <c r="E226" s="64" t="str">
        <f>IFERROR(VLOOKUP(Table3[[#This Row],[Player No]],Table11[#All],2,0),"")</f>
        <v>HUSVU Tadiwanashi</v>
      </c>
      <c r="F226" s="65" t="str">
        <f>IFERROR(VLOOKUP(Table3[[#This Row],[Player No]],Table11[#All],3,0),"")</f>
        <v>GN</v>
      </c>
      <c r="G226" s="86">
        <v>1</v>
      </c>
      <c r="H226" s="809">
        <f>(Table3[[#This Row],[Points 2025]]/2)+SUM(Table3[[#This Row],[O1  ADMIN 2026]:[P2      CAPE TOWN OPEN 2026 ]])</f>
        <v>0.5</v>
      </c>
      <c r="I226" s="61">
        <f t="shared" si="21"/>
        <v>0</v>
      </c>
      <c r="J226" s="61">
        <f t="shared" si="22"/>
        <v>0</v>
      </c>
      <c r="K226" s="746" t="s">
        <v>6083</v>
      </c>
      <c r="L226" s="746" t="s">
        <v>6083</v>
      </c>
      <c r="M226" s="746" t="s">
        <v>6083</v>
      </c>
      <c r="N226" s="746"/>
      <c r="O226" s="61"/>
      <c r="P226" s="61"/>
      <c r="Q226" s="113"/>
      <c r="R226" s="113"/>
      <c r="S226" s="61"/>
      <c r="T226" s="113"/>
      <c r="U226" s="61"/>
      <c r="V226" s="746"/>
      <c r="W226" s="113"/>
      <c r="X226" s="61"/>
      <c r="Y226" s="61"/>
      <c r="Z226" s="113"/>
      <c r="AA226" s="61">
        <v>1</v>
      </c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</row>
    <row r="227" spans="1:37">
      <c r="A227" s="339"/>
      <c r="B227" s="130">
        <f>+A227-C227</f>
        <v>-223</v>
      </c>
      <c r="C227" s="61">
        <f t="shared" si="24"/>
        <v>223</v>
      </c>
      <c r="D227" s="327">
        <v>8728</v>
      </c>
      <c r="E227" s="64" t="str">
        <f>IFERROR(VLOOKUP(Table3[[#This Row],[Player No]],Table11[#All],2,0),"")</f>
        <v>Lisbi LATEGAN</v>
      </c>
      <c r="F227" s="65" t="str">
        <f>IFERROR(VLOOKUP(Table3[[#This Row],[Player No]],Table11[#All],3,0),"")</f>
        <v>FS</v>
      </c>
      <c r="G227" s="343">
        <v>1</v>
      </c>
      <c r="H227" s="812">
        <f>(Table3[[#This Row],[Points 2025]]/2)+SUM(Table3[[#This Row],[O1  ADMIN 2026]:[P2      CAPE TOWN OPEN 2026 ]])</f>
        <v>0.5</v>
      </c>
      <c r="I227" s="344">
        <f t="shared" si="21"/>
        <v>0</v>
      </c>
      <c r="J227" s="327">
        <f t="shared" si="22"/>
        <v>0</v>
      </c>
      <c r="K227" s="711" t="s">
        <v>6083</v>
      </c>
      <c r="L227" s="711" t="s">
        <v>6083</v>
      </c>
      <c r="M227" s="711" t="s">
        <v>6083</v>
      </c>
      <c r="N227" s="711"/>
      <c r="O227" s="339"/>
      <c r="P227" s="339"/>
      <c r="Q227" s="337"/>
      <c r="R227" s="337"/>
      <c r="S227" s="339"/>
      <c r="T227" s="337">
        <v>1</v>
      </c>
      <c r="U227" s="339"/>
      <c r="V227" s="748"/>
      <c r="W227" s="337"/>
      <c r="X227" s="339"/>
      <c r="Y227" s="339"/>
      <c r="Z227" s="337"/>
      <c r="AA227" s="339"/>
      <c r="AB227" s="339"/>
      <c r="AC227" s="339"/>
      <c r="AD227" s="339"/>
      <c r="AE227" s="339"/>
      <c r="AF227" s="339"/>
      <c r="AG227" s="339"/>
      <c r="AH227" s="339"/>
      <c r="AI227" s="339"/>
      <c r="AJ227" s="339"/>
      <c r="AK227" s="339"/>
    </row>
    <row r="228" spans="1:37">
      <c r="A228" s="953"/>
      <c r="B228" s="191">
        <f>+A228-C228</f>
        <v>-224</v>
      </c>
      <c r="C228" s="61">
        <f t="shared" si="24"/>
        <v>224</v>
      </c>
      <c r="D228" s="294">
        <v>8616</v>
      </c>
      <c r="E228" s="64" t="str">
        <f>IFERROR(VLOOKUP(Table3[[#This Row],[Player No]],Table11[#All],2,0),"")</f>
        <v>Mamolatuli Mpesi</v>
      </c>
      <c r="F228" s="65" t="str">
        <f>IFERROR(VLOOKUP(Table3[[#This Row],[Player No]],Table11[#All],3,0),"")</f>
        <v>FS</v>
      </c>
      <c r="G228" s="954">
        <v>1</v>
      </c>
      <c r="H228" s="759">
        <f>(Table3[[#This Row],[Points 2025]]/2)+SUM(Table3[[#This Row],[O1  ADMIN 2026]:[P2      CAPE TOWN OPEN 2026 ]])</f>
        <v>0.5</v>
      </c>
      <c r="I228" s="190">
        <f t="shared" si="21"/>
        <v>0</v>
      </c>
      <c r="J228" s="190">
        <f t="shared" si="22"/>
        <v>0</v>
      </c>
      <c r="K228" s="428" t="s">
        <v>6083</v>
      </c>
      <c r="L228" s="428" t="s">
        <v>6083</v>
      </c>
      <c r="M228" s="428" t="s">
        <v>6083</v>
      </c>
      <c r="N228" s="428"/>
      <c r="O228" s="953"/>
      <c r="P228" s="953"/>
      <c r="Q228" s="953"/>
      <c r="R228" s="953"/>
      <c r="S228" s="953"/>
      <c r="T228" s="953"/>
      <c r="U228" s="953"/>
      <c r="V228" s="431"/>
      <c r="W228" s="431"/>
      <c r="X228" s="953"/>
      <c r="Y228" s="953">
        <v>1</v>
      </c>
      <c r="Z228" s="431"/>
      <c r="AA228" s="953"/>
      <c r="AB228" s="953"/>
      <c r="AC228" s="953"/>
      <c r="AD228" s="953"/>
      <c r="AE228" s="953"/>
      <c r="AF228" s="953"/>
      <c r="AG228" s="953"/>
      <c r="AH228" s="953"/>
      <c r="AI228" s="953"/>
      <c r="AJ228" s="953"/>
      <c r="AK228" s="953"/>
    </row>
    <row r="229" spans="1:37">
      <c r="A229" s="778"/>
      <c r="B229" s="1042">
        <f xml:space="preserve"> +A229-C229</f>
        <v>-225</v>
      </c>
      <c r="C229" s="61">
        <f t="shared" si="24"/>
        <v>225</v>
      </c>
      <c r="D229" s="354">
        <v>8650</v>
      </c>
      <c r="E229" s="64" t="str">
        <f>IFERROR(VLOOKUP(Table3[[#This Row],[Player No]],Table11[#All],2,0),"")</f>
        <v>NHLAPO Lwazi</v>
      </c>
      <c r="F229" s="65" t="str">
        <f>IFERROR(VLOOKUP(Table3[[#This Row],[Player No]],Table11[#All],3,0),"")</f>
        <v>ETTA</v>
      </c>
      <c r="G229" s="1047">
        <v>1</v>
      </c>
      <c r="H229" s="1049">
        <f>(Table3[[#This Row],[Points 2025]]/2)+SUM(Table3[[#This Row],[O1  ADMIN 2026]:[P2      CAPE TOWN OPEN 2026 ]])</f>
        <v>0.5</v>
      </c>
      <c r="I229" s="1051">
        <f t="shared" si="21"/>
        <v>0</v>
      </c>
      <c r="J229" s="354">
        <f t="shared" si="22"/>
        <v>0</v>
      </c>
      <c r="K229" s="641" t="s">
        <v>6083</v>
      </c>
      <c r="L229" s="641" t="s">
        <v>6083</v>
      </c>
      <c r="M229" s="641" t="s">
        <v>6083</v>
      </c>
      <c r="N229" s="641"/>
      <c r="O229" s="778"/>
      <c r="P229" s="778"/>
      <c r="Q229" s="778"/>
      <c r="R229" s="778">
        <v>1</v>
      </c>
      <c r="S229" s="778"/>
      <c r="T229" s="778"/>
      <c r="U229" s="778"/>
      <c r="V229" s="1055"/>
      <c r="W229" s="1055"/>
      <c r="X229" s="778"/>
      <c r="Y229" s="778"/>
      <c r="Z229" s="1055"/>
      <c r="AA229" s="778"/>
      <c r="AB229" s="778"/>
      <c r="AC229" s="778"/>
      <c r="AD229" s="778"/>
      <c r="AE229" s="778"/>
      <c r="AF229" s="778"/>
      <c r="AG229" s="778"/>
      <c r="AH229" s="778"/>
      <c r="AI229" s="778"/>
      <c r="AJ229" s="778"/>
      <c r="AK229" s="778"/>
    </row>
    <row r="230" spans="1:37">
      <c r="A230" s="190"/>
      <c r="B230" s="191">
        <f t="shared" ref="B230:B269" si="26">+A230-C230</f>
        <v>-226</v>
      </c>
      <c r="C230" s="61">
        <f t="shared" si="24"/>
        <v>226</v>
      </c>
      <c r="D230" s="189">
        <v>8202</v>
      </c>
      <c r="E230" s="64" t="str">
        <f>IFERROR(VLOOKUP(Table3[[#This Row],[Player No]],Table11[#All],2,0),"")</f>
        <v>PILLAY Karon</v>
      </c>
      <c r="F230" s="65" t="str">
        <f>IFERROR(VLOOKUP(Table3[[#This Row],[Player No]],Table11[#All],3,0),"")</f>
        <v>UMG</v>
      </c>
      <c r="G230" s="313">
        <v>1</v>
      </c>
      <c r="H230" s="683">
        <f>(Table3[[#This Row],[Points 2025]]/2)+SUM(Table3[[#This Row],[O1  ADMIN 2026]:[P2      CAPE TOWN OPEN 2026 ]])</f>
        <v>0.5</v>
      </c>
      <c r="I230" s="190">
        <f t="shared" si="21"/>
        <v>0</v>
      </c>
      <c r="J230" s="190">
        <f t="shared" si="22"/>
        <v>0</v>
      </c>
      <c r="K230" s="428" t="s">
        <v>6083</v>
      </c>
      <c r="L230" s="428" t="s">
        <v>6083</v>
      </c>
      <c r="M230" s="428" t="s">
        <v>6083</v>
      </c>
      <c r="N230" s="428"/>
      <c r="O230" s="190"/>
      <c r="P230" s="190"/>
      <c r="Q230" s="190"/>
      <c r="R230" s="190"/>
      <c r="S230" s="190">
        <v>1</v>
      </c>
      <c r="T230" s="190"/>
      <c r="U230" s="190"/>
      <c r="V230" s="428"/>
      <c r="W230" s="428"/>
      <c r="X230" s="190"/>
      <c r="Y230" s="190"/>
      <c r="Z230" s="428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</row>
    <row r="231" spans="1:37">
      <c r="A231" s="953"/>
      <c r="B231" s="191">
        <f t="shared" si="26"/>
        <v>-227</v>
      </c>
      <c r="C231" s="61">
        <f t="shared" si="24"/>
        <v>227</v>
      </c>
      <c r="D231" s="294">
        <v>8618</v>
      </c>
      <c r="E231" s="64" t="str">
        <f>IFERROR(VLOOKUP(Table3[[#This Row],[Player No]],Table11[#All],2,0),"")</f>
        <v>Rethabile Modisenyane</v>
      </c>
      <c r="F231" s="65" t="str">
        <f>IFERROR(VLOOKUP(Table3[[#This Row],[Player No]],Table11[#All],3,0),"")</f>
        <v>FS</v>
      </c>
      <c r="G231" s="954">
        <v>1</v>
      </c>
      <c r="H231" s="759">
        <f>(Table3[[#This Row],[Points 2025]]/2)+SUM(Table3[[#This Row],[O1  ADMIN 2026]:[P2      CAPE TOWN OPEN 2026 ]])</f>
        <v>0.5</v>
      </c>
      <c r="I231" s="190">
        <f t="shared" si="21"/>
        <v>0</v>
      </c>
      <c r="J231" s="190">
        <f t="shared" si="22"/>
        <v>0</v>
      </c>
      <c r="K231" s="428" t="s">
        <v>6083</v>
      </c>
      <c r="L231" s="428" t="s">
        <v>6083</v>
      </c>
      <c r="M231" s="428" t="s">
        <v>6083</v>
      </c>
      <c r="N231" s="428"/>
      <c r="O231" s="953"/>
      <c r="P231" s="953"/>
      <c r="Q231" s="953"/>
      <c r="R231" s="953"/>
      <c r="S231" s="953"/>
      <c r="T231" s="953"/>
      <c r="U231" s="953"/>
      <c r="V231" s="431"/>
      <c r="W231" s="431"/>
      <c r="X231" s="953"/>
      <c r="Y231" s="953">
        <v>1</v>
      </c>
      <c r="Z231" s="431"/>
      <c r="AA231" s="953"/>
      <c r="AB231" s="953"/>
      <c r="AC231" s="953"/>
      <c r="AD231" s="953"/>
      <c r="AE231" s="953"/>
      <c r="AF231" s="953"/>
      <c r="AG231" s="953"/>
      <c r="AH231" s="953"/>
      <c r="AI231" s="953"/>
      <c r="AJ231" s="953"/>
      <c r="AK231" s="953"/>
    </row>
    <row r="232" spans="1:37">
      <c r="A232" s="190"/>
      <c r="B232" s="191">
        <f t="shared" si="26"/>
        <v>-228</v>
      </c>
      <c r="C232" s="61">
        <f t="shared" si="24"/>
        <v>228</v>
      </c>
      <c r="D232" s="189">
        <v>9252</v>
      </c>
      <c r="E232" s="64" t="str">
        <f>IFERROR(VLOOKUP(Table3[[#This Row],[Player No]],Table11[#All],2,0),"")</f>
        <v xml:space="preserve">BODIBE Mmathapelo </v>
      </c>
      <c r="F232" s="65" t="str">
        <f>IFERROR(VLOOKUP(Table3[[#This Row],[Player No]],Table11[#All],3,0),"")</f>
        <v>JTTA</v>
      </c>
      <c r="G232" s="313">
        <v>1</v>
      </c>
      <c r="H232" s="683">
        <f>(Table3[[#This Row],[Points 2025]]/2)+SUM(Table3[[#This Row],[O1  ADMIN 2026]:[P2      CAPE TOWN OPEN 2026 ]])</f>
        <v>0.5</v>
      </c>
      <c r="I232" s="190">
        <f t="shared" si="21"/>
        <v>0</v>
      </c>
      <c r="J232" s="190">
        <f t="shared" si="22"/>
        <v>0</v>
      </c>
      <c r="K232" s="428" t="s">
        <v>6083</v>
      </c>
      <c r="L232" s="428" t="s">
        <v>6083</v>
      </c>
      <c r="M232" s="428" t="s">
        <v>6083</v>
      </c>
      <c r="N232" s="428"/>
      <c r="O232" s="190"/>
      <c r="P232" s="190"/>
      <c r="Q232" s="190"/>
      <c r="R232" s="190"/>
      <c r="S232" s="190"/>
      <c r="T232" s="190"/>
      <c r="U232" s="190"/>
      <c r="V232" s="428"/>
      <c r="W232" s="428"/>
      <c r="X232" s="190"/>
      <c r="Y232" s="190"/>
      <c r="Z232" s="428"/>
      <c r="AA232" s="190"/>
      <c r="AB232" s="190"/>
      <c r="AC232" s="190"/>
      <c r="AD232" s="190"/>
      <c r="AE232" s="190"/>
      <c r="AF232" s="190"/>
      <c r="AG232" s="190"/>
      <c r="AH232" s="190"/>
      <c r="AI232" s="190">
        <v>2</v>
      </c>
      <c r="AJ232" s="190"/>
      <c r="AK232" s="190"/>
    </row>
    <row r="233" spans="1:37">
      <c r="A233" s="190">
        <v>355</v>
      </c>
      <c r="B233" s="191">
        <f t="shared" si="26"/>
        <v>126</v>
      </c>
      <c r="C233" s="61">
        <f t="shared" si="24"/>
        <v>229</v>
      </c>
      <c r="D233" s="189">
        <v>8358</v>
      </c>
      <c r="E233" s="64" t="str">
        <f>IFERROR(VLOOKUP(Table3[[#This Row],[Player No]],Table11[#All],2,0),"")</f>
        <v>MAY Alvina</v>
      </c>
      <c r="F233" s="65" t="str">
        <f>IFERROR(VLOOKUP(Table3[[#This Row],[Player No]],Table11[#All],3,0),"")</f>
        <v>CW</v>
      </c>
      <c r="G233" s="313">
        <v>1</v>
      </c>
      <c r="H233" s="683">
        <f>(Table3[[#This Row],[Points 2025]]/2)+SUM(Table3[[#This Row],[O1  ADMIN 2026]:[P2      CAPE TOWN OPEN 2026 ]])</f>
        <v>0.5</v>
      </c>
      <c r="I233" s="190">
        <f t="shared" si="21"/>
        <v>0</v>
      </c>
      <c r="J233" s="190">
        <f t="shared" si="22"/>
        <v>0</v>
      </c>
      <c r="K233" s="428" t="s">
        <v>6083</v>
      </c>
      <c r="L233" s="428" t="s">
        <v>6083</v>
      </c>
      <c r="M233" s="428" t="s">
        <v>6083</v>
      </c>
      <c r="N233" s="428"/>
      <c r="O233" s="190"/>
      <c r="P233" s="190"/>
      <c r="Q233" s="190"/>
      <c r="R233" s="190"/>
      <c r="S233" s="190"/>
      <c r="T233" s="190"/>
      <c r="U233" s="190"/>
      <c r="V233" s="428"/>
      <c r="W233" s="428"/>
      <c r="X233" s="190"/>
      <c r="Y233" s="190"/>
      <c r="Z233" s="428"/>
      <c r="AA233" s="190"/>
      <c r="AB233" s="190"/>
      <c r="AC233" s="190"/>
      <c r="AD233" s="190"/>
      <c r="AE233" s="190"/>
      <c r="AF233" s="190">
        <v>2</v>
      </c>
      <c r="AG233" s="190"/>
      <c r="AH233" s="190"/>
      <c r="AI233" s="190"/>
      <c r="AJ233" s="190"/>
      <c r="AK233" s="190"/>
    </row>
    <row r="234" spans="1:37">
      <c r="A234" s="190">
        <v>357</v>
      </c>
      <c r="B234" s="191">
        <f t="shared" si="26"/>
        <v>127</v>
      </c>
      <c r="C234" s="61">
        <f t="shared" si="24"/>
        <v>230</v>
      </c>
      <c r="D234" s="189">
        <v>7877</v>
      </c>
      <c r="E234" s="64" t="str">
        <f>IFERROR(VLOOKUP(Table3[[#This Row],[Player No]],Table11[#All],2,0),"")</f>
        <v>NACKERDIEN Zahra</v>
      </c>
      <c r="F234" s="65" t="str">
        <f>IFERROR(VLOOKUP(Table3[[#This Row],[Player No]],Table11[#All],3,0),"")</f>
        <v>CW</v>
      </c>
      <c r="G234" s="313">
        <v>1</v>
      </c>
      <c r="H234" s="683">
        <f>(Table3[[#This Row],[Points 2025]]/2)+SUM(Table3[[#This Row],[O1  ADMIN 2026]:[P2      CAPE TOWN OPEN 2026 ]])</f>
        <v>0.5</v>
      </c>
      <c r="I234" s="190">
        <f t="shared" si="21"/>
        <v>0</v>
      </c>
      <c r="J234" s="190">
        <f t="shared" si="22"/>
        <v>0</v>
      </c>
      <c r="K234" s="428" t="s">
        <v>6083</v>
      </c>
      <c r="L234" s="428" t="s">
        <v>6083</v>
      </c>
      <c r="M234" s="428" t="s">
        <v>6083</v>
      </c>
      <c r="N234" s="428"/>
      <c r="O234" s="190"/>
      <c r="P234" s="190"/>
      <c r="Q234" s="190"/>
      <c r="R234" s="190"/>
      <c r="S234" s="190"/>
      <c r="T234" s="190"/>
      <c r="U234" s="190"/>
      <c r="V234" s="428"/>
      <c r="W234" s="428"/>
      <c r="X234" s="190"/>
      <c r="Y234" s="190"/>
      <c r="Z234" s="428"/>
      <c r="AA234" s="190"/>
      <c r="AB234" s="190"/>
      <c r="AC234" s="190"/>
      <c r="AD234" s="190"/>
      <c r="AE234" s="190"/>
      <c r="AF234" s="190">
        <v>2</v>
      </c>
      <c r="AG234" s="190"/>
      <c r="AH234" s="190"/>
      <c r="AI234" s="190"/>
      <c r="AJ234" s="190"/>
      <c r="AK234" s="190"/>
    </row>
    <row r="235" spans="1:37">
      <c r="A235" s="190">
        <v>352</v>
      </c>
      <c r="B235" s="191">
        <f t="shared" si="26"/>
        <v>121</v>
      </c>
      <c r="C235" s="61">
        <f t="shared" si="24"/>
        <v>231</v>
      </c>
      <c r="D235" s="189">
        <v>8399</v>
      </c>
      <c r="E235" s="64" t="str">
        <f>IFERROR(VLOOKUP(Table3[[#This Row],[Player No]],Table11[#All],2,0),"")</f>
        <v xml:space="preserve">Nazeema Khan </v>
      </c>
      <c r="F235" s="65" t="str">
        <f>IFERROR(VLOOKUP(Table3[[#This Row],[Player No]],Table11[#All],3,0),"")</f>
        <v>CW</v>
      </c>
      <c r="G235" s="313">
        <v>1</v>
      </c>
      <c r="H235" s="683">
        <f>(Table3[[#This Row],[Points 2025]]/2)+SUM(Table3[[#This Row],[O1  ADMIN 2026]:[P2      CAPE TOWN OPEN 2026 ]])</f>
        <v>0.5</v>
      </c>
      <c r="I235" s="190">
        <f t="shared" si="21"/>
        <v>0</v>
      </c>
      <c r="J235" s="190">
        <f t="shared" si="22"/>
        <v>0</v>
      </c>
      <c r="K235" s="428" t="s">
        <v>6083</v>
      </c>
      <c r="L235" s="428" t="s">
        <v>6083</v>
      </c>
      <c r="M235" s="428" t="s">
        <v>6083</v>
      </c>
      <c r="N235" s="428"/>
      <c r="O235" s="190"/>
      <c r="P235" s="190"/>
      <c r="Q235" s="190"/>
      <c r="R235" s="190"/>
      <c r="S235" s="190"/>
      <c r="T235" s="190"/>
      <c r="U235" s="190"/>
      <c r="V235" s="428"/>
      <c r="W235" s="428"/>
      <c r="X235" s="190"/>
      <c r="Y235" s="190"/>
      <c r="Z235" s="428"/>
      <c r="AA235" s="190"/>
      <c r="AB235" s="190"/>
      <c r="AC235" s="190"/>
      <c r="AD235" s="190"/>
      <c r="AE235" s="190"/>
      <c r="AF235" s="190">
        <v>2</v>
      </c>
      <c r="AG235" s="190"/>
      <c r="AH235" s="190"/>
      <c r="AI235" s="190"/>
      <c r="AJ235" s="190"/>
      <c r="AK235" s="190"/>
    </row>
    <row r="236" spans="1:37">
      <c r="A236" s="113"/>
      <c r="B236" s="191">
        <f t="shared" si="26"/>
        <v>-232</v>
      </c>
      <c r="C236" s="61">
        <f t="shared" si="24"/>
        <v>232</v>
      </c>
      <c r="D236" s="114">
        <v>9250</v>
      </c>
      <c r="E236" s="64" t="str">
        <f>IFERROR(VLOOKUP(Table3[[#This Row],[Player No]],Table11[#All],2,0),"")</f>
        <v xml:space="preserve">PALESA Moeng </v>
      </c>
      <c r="F236" s="65" t="str">
        <f>IFERROR(VLOOKUP(Table3[[#This Row],[Player No]],Table11[#All],3,0),"")</f>
        <v>JTTA</v>
      </c>
      <c r="G236" s="440">
        <v>1</v>
      </c>
      <c r="H236" s="809">
        <f>(Table3[[#This Row],[Points 2025]]/2)+SUM(Table3[[#This Row],[O1  ADMIN 2026]:[P2      CAPE TOWN OPEN 2026 ]])</f>
        <v>0.5</v>
      </c>
      <c r="I236" s="113">
        <f t="shared" si="21"/>
        <v>0</v>
      </c>
      <c r="J236" s="113">
        <f t="shared" si="22"/>
        <v>0</v>
      </c>
      <c r="K236" s="746" t="s">
        <v>6083</v>
      </c>
      <c r="L236" s="746" t="s">
        <v>6083</v>
      </c>
      <c r="M236" s="746" t="s">
        <v>6083</v>
      </c>
      <c r="N236" s="746"/>
      <c r="O236" s="113"/>
      <c r="P236" s="113"/>
      <c r="Q236" s="113"/>
      <c r="R236" s="113"/>
      <c r="S236" s="113"/>
      <c r="T236" s="190"/>
      <c r="U236" s="113"/>
      <c r="V236" s="746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>
        <v>2</v>
      </c>
      <c r="AJ236" s="113"/>
      <c r="AK236" s="113"/>
    </row>
    <row r="237" spans="1:37">
      <c r="A237" s="190"/>
      <c r="B237" s="191">
        <f t="shared" si="26"/>
        <v>-233</v>
      </c>
      <c r="C237" s="61">
        <f t="shared" si="24"/>
        <v>233</v>
      </c>
      <c r="D237" s="189">
        <v>9255</v>
      </c>
      <c r="E237" s="64" t="str">
        <f>IFERROR(VLOOKUP(Table3[[#This Row],[Player No]],Table11[#All],2,0),"")</f>
        <v xml:space="preserve">PATSELA Confidance </v>
      </c>
      <c r="F237" s="65" t="str">
        <f>IFERROR(VLOOKUP(Table3[[#This Row],[Player No]],Table11[#All],3,0),"")</f>
        <v>JTTA</v>
      </c>
      <c r="G237" s="313">
        <v>1</v>
      </c>
      <c r="H237" s="683">
        <f>(Table3[[#This Row],[Points 2025]]/2)+SUM(Table3[[#This Row],[O1  ADMIN 2026]:[P2      CAPE TOWN OPEN 2026 ]])</f>
        <v>0.5</v>
      </c>
      <c r="I237" s="190">
        <f t="shared" si="21"/>
        <v>0</v>
      </c>
      <c r="J237" s="190">
        <f t="shared" si="22"/>
        <v>0</v>
      </c>
      <c r="K237" s="428" t="s">
        <v>6083</v>
      </c>
      <c r="L237" s="428" t="s">
        <v>6083</v>
      </c>
      <c r="M237" s="428" t="s">
        <v>6083</v>
      </c>
      <c r="N237" s="428"/>
      <c r="O237" s="190"/>
      <c r="P237" s="190"/>
      <c r="Q237" s="190"/>
      <c r="R237" s="190"/>
      <c r="S237" s="190"/>
      <c r="T237" s="190"/>
      <c r="U237" s="190"/>
      <c r="V237" s="428"/>
      <c r="W237" s="428"/>
      <c r="X237" s="190"/>
      <c r="Y237" s="190"/>
      <c r="Z237" s="428"/>
      <c r="AA237" s="190"/>
      <c r="AB237" s="190"/>
      <c r="AC237" s="190"/>
      <c r="AD237" s="190"/>
      <c r="AE237" s="190"/>
      <c r="AF237" s="190"/>
      <c r="AG237" s="190"/>
      <c r="AH237" s="190"/>
      <c r="AI237" s="190">
        <v>2</v>
      </c>
      <c r="AJ237" s="190"/>
      <c r="AK237" s="190"/>
    </row>
    <row r="238" spans="1:37">
      <c r="A238" s="190">
        <v>354</v>
      </c>
      <c r="B238" s="191">
        <f t="shared" si="26"/>
        <v>120</v>
      </c>
      <c r="C238" s="61">
        <f t="shared" si="24"/>
        <v>234</v>
      </c>
      <c r="D238" s="189">
        <v>8193</v>
      </c>
      <c r="E238" s="64" t="str">
        <f>IFERROR(VLOOKUP(Table3[[#This Row],[Player No]],Table11[#All],2,0),"")</f>
        <v>PEKEUR Shaninque</v>
      </c>
      <c r="F238" s="65" t="str">
        <f>IFERROR(VLOOKUP(Table3[[#This Row],[Player No]],Table11[#All],3,0),"")</f>
        <v>CW</v>
      </c>
      <c r="G238" s="313">
        <v>1</v>
      </c>
      <c r="H238" s="683">
        <f>(Table3[[#This Row],[Points 2025]]/2)+SUM(Table3[[#This Row],[O1  ADMIN 2026]:[P2      CAPE TOWN OPEN 2026 ]])</f>
        <v>0.5</v>
      </c>
      <c r="I238" s="190">
        <f t="shared" si="21"/>
        <v>0</v>
      </c>
      <c r="J238" s="190">
        <f t="shared" si="22"/>
        <v>0</v>
      </c>
      <c r="K238" s="428" t="s">
        <v>6083</v>
      </c>
      <c r="L238" s="428" t="s">
        <v>6083</v>
      </c>
      <c r="M238" s="428" t="s">
        <v>6083</v>
      </c>
      <c r="N238" s="428"/>
      <c r="O238" s="190"/>
      <c r="P238" s="190"/>
      <c r="Q238" s="190"/>
      <c r="R238" s="190"/>
      <c r="S238" s="190"/>
      <c r="T238" s="190"/>
      <c r="U238" s="190"/>
      <c r="V238" s="428"/>
      <c r="W238" s="428"/>
      <c r="X238" s="190"/>
      <c r="Y238" s="190"/>
      <c r="Z238" s="428"/>
      <c r="AA238" s="190"/>
      <c r="AB238" s="190"/>
      <c r="AC238" s="190"/>
      <c r="AD238" s="190"/>
      <c r="AE238" s="190"/>
      <c r="AF238" s="190">
        <v>2</v>
      </c>
      <c r="AG238" s="190"/>
      <c r="AH238" s="190"/>
      <c r="AI238" s="190"/>
      <c r="AJ238" s="190"/>
      <c r="AK238" s="190"/>
    </row>
    <row r="239" spans="1:37">
      <c r="A239" s="113">
        <v>353</v>
      </c>
      <c r="B239" s="150">
        <f t="shared" si="26"/>
        <v>118</v>
      </c>
      <c r="C239" s="61">
        <f t="shared" si="24"/>
        <v>235</v>
      </c>
      <c r="D239" s="114">
        <v>8359</v>
      </c>
      <c r="E239" s="64" t="str">
        <f>IFERROR(VLOOKUP(Table3[[#This Row],[Player No]],Table11[#All],2,0),"")</f>
        <v>SIEBRITZ Rene</v>
      </c>
      <c r="F239" s="65" t="str">
        <f>IFERROR(VLOOKUP(Table3[[#This Row],[Player No]],Table11[#All],3,0),"")</f>
        <v>CW</v>
      </c>
      <c r="G239" s="440">
        <v>1</v>
      </c>
      <c r="H239" s="809">
        <f>(Table3[[#This Row],[Points 2025]]/2)+SUM(Table3[[#This Row],[O1  ADMIN 2026]:[P2      CAPE TOWN OPEN 2026 ]])</f>
        <v>0.5</v>
      </c>
      <c r="I239" s="113">
        <f t="shared" si="21"/>
        <v>0</v>
      </c>
      <c r="J239" s="113">
        <f t="shared" si="22"/>
        <v>0</v>
      </c>
      <c r="K239" s="746" t="s">
        <v>6083</v>
      </c>
      <c r="L239" s="746" t="s">
        <v>6083</v>
      </c>
      <c r="M239" s="746" t="s">
        <v>6083</v>
      </c>
      <c r="N239" s="746"/>
      <c r="O239" s="113"/>
      <c r="P239" s="113"/>
      <c r="Q239" s="113"/>
      <c r="R239" s="113"/>
      <c r="S239" s="113"/>
      <c r="T239" s="190"/>
      <c r="U239" s="113"/>
      <c r="V239" s="746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>
        <v>2</v>
      </c>
      <c r="AG239" s="113"/>
      <c r="AH239" s="113"/>
      <c r="AI239" s="113"/>
      <c r="AJ239" s="113"/>
      <c r="AK239" s="113"/>
    </row>
    <row r="240" spans="1:37">
      <c r="A240" s="190"/>
      <c r="B240" s="191">
        <f t="shared" si="26"/>
        <v>-236</v>
      </c>
      <c r="C240" s="61">
        <f t="shared" si="24"/>
        <v>236</v>
      </c>
      <c r="D240" s="189">
        <v>9251</v>
      </c>
      <c r="E240" s="64" t="str">
        <f>IFERROR(VLOOKUP(Table3[[#This Row],[Player No]],Table11[#All],2,0),"")</f>
        <v xml:space="preserve">SILOMA Nicole </v>
      </c>
      <c r="F240" s="65" t="str">
        <f>IFERROR(VLOOKUP(Table3[[#This Row],[Player No]],Table11[#All],3,0),"")</f>
        <v>JTTA</v>
      </c>
      <c r="G240" s="313">
        <v>1</v>
      </c>
      <c r="H240" s="683">
        <f>(Table3[[#This Row],[Points 2025]]/2)+SUM(Table3[[#This Row],[O1  ADMIN 2026]:[P2      CAPE TOWN OPEN 2026 ]])</f>
        <v>0.5</v>
      </c>
      <c r="I240" s="190">
        <f t="shared" si="21"/>
        <v>0</v>
      </c>
      <c r="J240" s="190">
        <f t="shared" si="22"/>
        <v>0</v>
      </c>
      <c r="K240" s="428" t="s">
        <v>6083</v>
      </c>
      <c r="L240" s="428" t="s">
        <v>6083</v>
      </c>
      <c r="M240" s="428" t="s">
        <v>6083</v>
      </c>
      <c r="N240" s="428"/>
      <c r="O240" s="190"/>
      <c r="P240" s="190"/>
      <c r="Q240" s="190"/>
      <c r="R240" s="190"/>
      <c r="S240" s="190"/>
      <c r="T240" s="190"/>
      <c r="U240" s="190"/>
      <c r="V240" s="428"/>
      <c r="W240" s="428"/>
      <c r="X240" s="190"/>
      <c r="Y240" s="190"/>
      <c r="Z240" s="428"/>
      <c r="AA240" s="190"/>
      <c r="AB240" s="190"/>
      <c r="AC240" s="190"/>
      <c r="AD240" s="190"/>
      <c r="AE240" s="190"/>
      <c r="AF240" s="190"/>
      <c r="AG240" s="190"/>
      <c r="AH240" s="190"/>
      <c r="AI240" s="190">
        <v>2</v>
      </c>
      <c r="AJ240" s="190"/>
      <c r="AK240" s="190"/>
    </row>
    <row r="241" spans="1:37">
      <c r="A241" s="190"/>
      <c r="B241" s="191">
        <f t="shared" si="26"/>
        <v>-237</v>
      </c>
      <c r="C241" s="61">
        <f t="shared" si="24"/>
        <v>237</v>
      </c>
      <c r="D241" s="189">
        <v>9254</v>
      </c>
      <c r="E241" s="64" t="str">
        <f>IFERROR(VLOOKUP(Table3[[#This Row],[Player No]],Table11[#All],2,0),"")</f>
        <v xml:space="preserve">SITHLABE Masego </v>
      </c>
      <c r="F241" s="65" t="str">
        <f>IFERROR(VLOOKUP(Table3[[#This Row],[Player No]],Table11[#All],3,0),"")</f>
        <v>JTTA</v>
      </c>
      <c r="G241" s="313">
        <v>1</v>
      </c>
      <c r="H241" s="683">
        <f>(Table3[[#This Row],[Points 2025]]/2)+SUM(Table3[[#This Row],[O1  ADMIN 2026]:[P2      CAPE TOWN OPEN 2026 ]])</f>
        <v>0.5</v>
      </c>
      <c r="I241" s="190">
        <f t="shared" si="21"/>
        <v>0</v>
      </c>
      <c r="J241" s="190">
        <f t="shared" si="22"/>
        <v>0</v>
      </c>
      <c r="K241" s="428" t="s">
        <v>6083</v>
      </c>
      <c r="L241" s="428" t="s">
        <v>6083</v>
      </c>
      <c r="M241" s="428" t="s">
        <v>6083</v>
      </c>
      <c r="N241" s="428"/>
      <c r="O241" s="190"/>
      <c r="P241" s="190"/>
      <c r="Q241" s="190"/>
      <c r="R241" s="190"/>
      <c r="S241" s="190"/>
      <c r="T241" s="190"/>
      <c r="U241" s="190"/>
      <c r="V241" s="428"/>
      <c r="W241" s="428"/>
      <c r="X241" s="190"/>
      <c r="Y241" s="190"/>
      <c r="Z241" s="428"/>
      <c r="AA241" s="190"/>
      <c r="AB241" s="190"/>
      <c r="AC241" s="190"/>
      <c r="AD241" s="190"/>
      <c r="AE241" s="190"/>
      <c r="AF241" s="190"/>
      <c r="AG241" s="190"/>
      <c r="AH241" s="190"/>
      <c r="AI241" s="190">
        <v>2</v>
      </c>
      <c r="AJ241" s="190"/>
      <c r="AK241" s="190"/>
    </row>
    <row r="242" spans="1:37">
      <c r="A242" s="113">
        <v>356</v>
      </c>
      <c r="B242" s="150">
        <f t="shared" si="26"/>
        <v>118</v>
      </c>
      <c r="C242" s="61">
        <f t="shared" si="24"/>
        <v>238</v>
      </c>
      <c r="D242" s="114">
        <v>8360</v>
      </c>
      <c r="E242" s="64" t="str">
        <f>IFERROR(VLOOKUP(Table3[[#This Row],[Player No]],Table11[#All],2,0),"")</f>
        <v>SOLOMONS Sanrio</v>
      </c>
      <c r="F242" s="65" t="str">
        <f>IFERROR(VLOOKUP(Table3[[#This Row],[Player No]],Table11[#All],3,0),"")</f>
        <v>CW</v>
      </c>
      <c r="G242" s="440">
        <v>1</v>
      </c>
      <c r="H242" s="809">
        <f>(Table3[[#This Row],[Points 2025]]/2)+SUM(Table3[[#This Row],[O1  ADMIN 2026]:[P2      CAPE TOWN OPEN 2026 ]])</f>
        <v>0.5</v>
      </c>
      <c r="I242" s="113">
        <f t="shared" si="21"/>
        <v>0</v>
      </c>
      <c r="J242" s="113">
        <f t="shared" si="22"/>
        <v>0</v>
      </c>
      <c r="K242" s="746" t="s">
        <v>6083</v>
      </c>
      <c r="L242" s="746" t="s">
        <v>6083</v>
      </c>
      <c r="M242" s="746" t="s">
        <v>6083</v>
      </c>
      <c r="N242" s="746"/>
      <c r="O242" s="113"/>
      <c r="P242" s="113"/>
      <c r="Q242" s="113"/>
      <c r="R242" s="113"/>
      <c r="S242" s="113"/>
      <c r="T242" s="190"/>
      <c r="U242" s="113"/>
      <c r="V242" s="746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>
        <v>2</v>
      </c>
      <c r="AG242" s="113"/>
      <c r="AH242" s="113"/>
      <c r="AI242" s="113"/>
      <c r="AJ242" s="113"/>
      <c r="AK242" s="113"/>
    </row>
    <row r="243" spans="1:37">
      <c r="A243" s="190">
        <v>206</v>
      </c>
      <c r="B243" s="191">
        <f t="shared" si="26"/>
        <v>-33</v>
      </c>
      <c r="C243" s="61">
        <f t="shared" si="24"/>
        <v>239</v>
      </c>
      <c r="D243" s="189">
        <v>8058</v>
      </c>
      <c r="E243" s="64" t="str">
        <f>IFERROR(VLOOKUP(Table3[[#This Row],[Player No]],Table11[#All],2,0),"")</f>
        <v>SOULS Siyabulela</v>
      </c>
      <c r="F243" s="65" t="str">
        <f>IFERROR(VLOOKUP(Table3[[#This Row],[Player No]],Table11[#All],3,0),"")</f>
        <v>NW</v>
      </c>
      <c r="G243" s="313">
        <v>0.75</v>
      </c>
      <c r="H243" s="683">
        <f>(Table3[[#This Row],[Points 2025]]/2)+SUM(Table3[[#This Row],[O1  ADMIN 2026]:[P2      CAPE TOWN OPEN 2026 ]])</f>
        <v>0.375</v>
      </c>
      <c r="I243" s="190">
        <f t="shared" si="21"/>
        <v>0</v>
      </c>
      <c r="J243" s="190">
        <f t="shared" si="22"/>
        <v>0</v>
      </c>
      <c r="K243" s="428" t="s">
        <v>6083</v>
      </c>
      <c r="L243" s="428" t="s">
        <v>6083</v>
      </c>
      <c r="M243" s="428" t="s">
        <v>6083</v>
      </c>
      <c r="N243" s="428"/>
      <c r="O243" s="190"/>
      <c r="P243" s="190"/>
      <c r="Q243" s="190"/>
      <c r="R243" s="190"/>
      <c r="S243" s="190"/>
      <c r="T243" s="190"/>
      <c r="U243" s="190"/>
      <c r="V243" s="428"/>
      <c r="W243" s="428"/>
      <c r="X243" s="190"/>
      <c r="Y243" s="190"/>
      <c r="Z243" s="428"/>
      <c r="AA243" s="190"/>
      <c r="AB243" s="190"/>
      <c r="AC243" s="190"/>
      <c r="AD243" s="190"/>
      <c r="AE243" s="190">
        <v>1</v>
      </c>
      <c r="AF243" s="190"/>
      <c r="AG243" s="190"/>
      <c r="AH243" s="190"/>
      <c r="AI243" s="190"/>
      <c r="AJ243" s="190"/>
      <c r="AK243" s="190"/>
    </row>
    <row r="244" spans="1:37">
      <c r="A244" s="190">
        <v>165</v>
      </c>
      <c r="B244" s="191">
        <f t="shared" si="26"/>
        <v>-75</v>
      </c>
      <c r="C244" s="61">
        <f t="shared" si="24"/>
        <v>240</v>
      </c>
      <c r="D244" s="1046">
        <v>8516</v>
      </c>
      <c r="E244" s="64" t="str">
        <f>IFERROR(VLOOKUP(Table3[[#This Row],[Player No]],Table11[#All],2,0),"")</f>
        <v xml:space="preserve">GIKWA Fezeke </v>
      </c>
      <c r="F244" s="65" t="str">
        <f>IFERROR(VLOOKUP(Table3[[#This Row],[Player No]],Table11[#All],3,0),"")</f>
        <v>CW</v>
      </c>
      <c r="G244" s="313">
        <v>0.5</v>
      </c>
      <c r="H244" s="683">
        <f>(Table3[[#This Row],[Points 2025]]/2)+SUM(Table3[[#This Row],[O1  ADMIN 2026]:[P2      CAPE TOWN OPEN 2026 ]])</f>
        <v>0.25</v>
      </c>
      <c r="I244" s="190">
        <f t="shared" si="21"/>
        <v>0</v>
      </c>
      <c r="J244" s="190">
        <f t="shared" si="22"/>
        <v>0</v>
      </c>
      <c r="K244" s="428" t="s">
        <v>6083</v>
      </c>
      <c r="L244" s="428" t="s">
        <v>6083</v>
      </c>
      <c r="M244" s="428" t="s">
        <v>6083</v>
      </c>
      <c r="N244" s="428"/>
      <c r="O244" s="190"/>
      <c r="P244" s="190"/>
      <c r="Q244" s="190"/>
      <c r="R244" s="190"/>
      <c r="S244" s="190"/>
      <c r="T244" s="190"/>
      <c r="U244" s="190"/>
      <c r="V244" s="428"/>
      <c r="W244" s="428"/>
      <c r="X244" s="190"/>
      <c r="Y244" s="190"/>
      <c r="Z244" s="428"/>
      <c r="AA244" s="190"/>
      <c r="AB244" s="190"/>
      <c r="AC244" s="190"/>
      <c r="AD244" s="190"/>
      <c r="AE244" s="190">
        <v>1</v>
      </c>
      <c r="AF244" s="190"/>
      <c r="AG244" s="190"/>
      <c r="AH244" s="190"/>
      <c r="AI244" s="190"/>
      <c r="AJ244" s="190"/>
      <c r="AK244" s="190"/>
    </row>
    <row r="245" spans="1:37">
      <c r="A245" s="190">
        <v>159</v>
      </c>
      <c r="B245" s="191">
        <f t="shared" si="26"/>
        <v>-82</v>
      </c>
      <c r="C245" s="61">
        <f t="shared" si="24"/>
        <v>241</v>
      </c>
      <c r="D245" s="189">
        <v>8036</v>
      </c>
      <c r="E245" s="64" t="str">
        <f>IFERROR(VLOOKUP(Table3[[#This Row],[Player No]],Table11[#All],2,0),"")</f>
        <v>JONES Shona</v>
      </c>
      <c r="F245" s="65" t="str">
        <f>IFERROR(VLOOKUP(Table3[[#This Row],[Player No]],Table11[#All],3,0),"")</f>
        <v>CT</v>
      </c>
      <c r="G245" s="313">
        <v>0.5</v>
      </c>
      <c r="H245" s="683">
        <f>(Table3[[#This Row],[Points 2025]]/2)+SUM(Table3[[#This Row],[O1  ADMIN 2026]:[P2      CAPE TOWN OPEN 2026 ]])</f>
        <v>0.25</v>
      </c>
      <c r="I245" s="190">
        <f t="shared" si="21"/>
        <v>0</v>
      </c>
      <c r="J245" s="190">
        <f t="shared" si="22"/>
        <v>0</v>
      </c>
      <c r="K245" s="428" t="s">
        <v>6083</v>
      </c>
      <c r="L245" s="428" t="s">
        <v>6083</v>
      </c>
      <c r="M245" s="428" t="s">
        <v>6083</v>
      </c>
      <c r="N245" s="428"/>
      <c r="O245" s="189"/>
      <c r="P245" s="189"/>
      <c r="Q245" s="189"/>
      <c r="R245" s="189"/>
      <c r="S245" s="189"/>
      <c r="T245" s="189"/>
      <c r="U245" s="189"/>
      <c r="V245" s="442"/>
      <c r="W245" s="442"/>
      <c r="X245" s="189"/>
      <c r="Y245" s="189"/>
      <c r="Z245" s="442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</row>
    <row r="246" spans="1:37">
      <c r="A246" s="190">
        <v>168</v>
      </c>
      <c r="B246" s="191">
        <f t="shared" si="26"/>
        <v>-74</v>
      </c>
      <c r="C246" s="61">
        <f t="shared" si="24"/>
        <v>242</v>
      </c>
      <c r="D246" s="189">
        <v>8257</v>
      </c>
      <c r="E246" s="64" t="str">
        <f>IFERROR(VLOOKUP(Table3[[#This Row],[Player No]],Table11[#All],2,0),"")</f>
        <v>MADVIRAKARE Lerato</v>
      </c>
      <c r="F246" s="65" t="str">
        <f>IFERROR(VLOOKUP(Table3[[#This Row],[Player No]],Table11[#All],3,0),"")</f>
        <v>JTTA</v>
      </c>
      <c r="G246" s="313">
        <v>0.5</v>
      </c>
      <c r="H246" s="683">
        <f>(Table3[[#This Row],[Points 2025]]/2)+SUM(Table3[[#This Row],[O1  ADMIN 2026]:[P2      CAPE TOWN OPEN 2026 ]])</f>
        <v>0.25</v>
      </c>
      <c r="I246" s="190">
        <f t="shared" si="21"/>
        <v>0</v>
      </c>
      <c r="J246" s="190">
        <f t="shared" si="22"/>
        <v>0</v>
      </c>
      <c r="K246" s="428" t="s">
        <v>6083</v>
      </c>
      <c r="L246" s="428" t="s">
        <v>6083</v>
      </c>
      <c r="M246" s="428" t="s">
        <v>6083</v>
      </c>
      <c r="N246" s="428"/>
      <c r="O246" s="190"/>
      <c r="P246" s="190"/>
      <c r="Q246" s="190"/>
      <c r="R246" s="190"/>
      <c r="S246" s="190"/>
      <c r="T246" s="190"/>
      <c r="U246" s="190"/>
      <c r="V246" s="428"/>
      <c r="W246" s="428"/>
      <c r="X246" s="190"/>
      <c r="Y246" s="190"/>
      <c r="Z246" s="428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>
        <v>1</v>
      </c>
    </row>
    <row r="247" spans="1:37">
      <c r="A247" s="190">
        <v>165</v>
      </c>
      <c r="B247" s="191">
        <f t="shared" si="26"/>
        <v>-78</v>
      </c>
      <c r="C247" s="61">
        <f t="shared" si="24"/>
        <v>243</v>
      </c>
      <c r="D247" s="189">
        <v>8347</v>
      </c>
      <c r="E247" s="64" t="str">
        <f>IFERROR(VLOOKUP(Table3[[#This Row],[Player No]],Table11[#All],2,0),"")</f>
        <v>MARSHALL Rebekah</v>
      </c>
      <c r="F247" s="65" t="str">
        <f>IFERROR(VLOOKUP(Table3[[#This Row],[Player No]],Table11[#All],3,0),"")</f>
        <v>JTTA</v>
      </c>
      <c r="G247" s="313">
        <v>0.5</v>
      </c>
      <c r="H247" s="683">
        <f>(Table3[[#This Row],[Points 2025]]/2)+SUM(Table3[[#This Row],[O1  ADMIN 2026]:[P2      CAPE TOWN OPEN 2026 ]])</f>
        <v>0.25</v>
      </c>
      <c r="I247" s="190">
        <f t="shared" si="21"/>
        <v>0</v>
      </c>
      <c r="J247" s="190">
        <f t="shared" si="22"/>
        <v>0</v>
      </c>
      <c r="K247" s="428" t="s">
        <v>6083</v>
      </c>
      <c r="L247" s="428" t="s">
        <v>6083</v>
      </c>
      <c r="M247" s="428" t="s">
        <v>6083</v>
      </c>
      <c r="N247" s="428"/>
      <c r="O247" s="190"/>
      <c r="P247" s="190"/>
      <c r="Q247" s="190"/>
      <c r="R247" s="190"/>
      <c r="S247" s="190"/>
      <c r="T247" s="190"/>
      <c r="U247" s="190"/>
      <c r="V247" s="428"/>
      <c r="W247" s="428"/>
      <c r="X247" s="190"/>
      <c r="Y247" s="190"/>
      <c r="Z247" s="428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>
        <v>1</v>
      </c>
    </row>
    <row r="248" spans="1:37">
      <c r="A248" s="190">
        <v>160</v>
      </c>
      <c r="B248" s="191">
        <f t="shared" si="26"/>
        <v>-84</v>
      </c>
      <c r="C248" s="61">
        <f t="shared" si="24"/>
        <v>244</v>
      </c>
      <c r="D248" s="189">
        <v>7873</v>
      </c>
      <c r="E248" s="64" t="str">
        <f>IFERROR(VLOOKUP(Table3[[#This Row],[Player No]],Table11[#All],2,0),"")</f>
        <v>MOTLOUNG Palesa</v>
      </c>
      <c r="F248" s="65" t="str">
        <f>IFERROR(VLOOKUP(Table3[[#This Row],[Player No]],Table11[#All],3,0),"")</f>
        <v>FS</v>
      </c>
      <c r="G248" s="313">
        <v>0.5</v>
      </c>
      <c r="H248" s="683">
        <f>(Table3[[#This Row],[Points 2025]]/2)+SUM(Table3[[#This Row],[O1  ADMIN 2026]:[P2      CAPE TOWN OPEN 2026 ]])</f>
        <v>0.25</v>
      </c>
      <c r="I248" s="190">
        <f t="shared" si="21"/>
        <v>0</v>
      </c>
      <c r="J248" s="190">
        <f t="shared" si="22"/>
        <v>0</v>
      </c>
      <c r="K248" s="428" t="s">
        <v>6083</v>
      </c>
      <c r="L248" s="428" t="s">
        <v>6083</v>
      </c>
      <c r="M248" s="428" t="s">
        <v>6083</v>
      </c>
      <c r="N248" s="428"/>
      <c r="O248" s="189"/>
      <c r="P248" s="189"/>
      <c r="Q248" s="189"/>
      <c r="R248" s="189"/>
      <c r="S248" s="189"/>
      <c r="T248" s="189"/>
      <c r="U248" s="189"/>
      <c r="V248" s="442"/>
      <c r="W248" s="442"/>
      <c r="X248" s="189"/>
      <c r="Y248" s="189"/>
      <c r="Z248" s="442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</row>
    <row r="249" spans="1:37">
      <c r="A249" s="190">
        <v>162</v>
      </c>
      <c r="B249" s="191">
        <f t="shared" si="26"/>
        <v>-83</v>
      </c>
      <c r="C249" s="61">
        <f t="shared" si="24"/>
        <v>245</v>
      </c>
      <c r="D249" s="189">
        <v>8337</v>
      </c>
      <c r="E249" s="64" t="str">
        <f>IFERROR(VLOOKUP(Table3[[#This Row],[Player No]],Table11[#All],2,0),"")</f>
        <v>OOSTHUIZEN Shantell</v>
      </c>
      <c r="F249" s="65" t="str">
        <f>IFERROR(VLOOKUP(Table3[[#This Row],[Player No]],Table11[#All],3,0),"")</f>
        <v>GN</v>
      </c>
      <c r="G249" s="313">
        <v>0.5</v>
      </c>
      <c r="H249" s="683">
        <f>(Table3[[#This Row],[Points 2025]]/2)+SUM(Table3[[#This Row],[O1  ADMIN 2026]:[P2      CAPE TOWN OPEN 2026 ]])</f>
        <v>0.25</v>
      </c>
      <c r="I249" s="190">
        <f t="shared" si="21"/>
        <v>0</v>
      </c>
      <c r="J249" s="190">
        <f t="shared" si="22"/>
        <v>0</v>
      </c>
      <c r="K249" s="428" t="s">
        <v>6083</v>
      </c>
      <c r="L249" s="428" t="s">
        <v>6083</v>
      </c>
      <c r="M249" s="428" t="s">
        <v>6083</v>
      </c>
      <c r="N249" s="428"/>
      <c r="O249" s="190"/>
      <c r="P249" s="190"/>
      <c r="Q249" s="190"/>
      <c r="R249" s="190"/>
      <c r="S249" s="190"/>
      <c r="T249" s="190"/>
      <c r="U249" s="190"/>
      <c r="V249" s="428"/>
      <c r="W249" s="428"/>
      <c r="X249" s="190"/>
      <c r="Y249" s="190"/>
      <c r="Z249" s="428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>
        <v>1</v>
      </c>
      <c r="AK249" s="190"/>
    </row>
    <row r="250" spans="1:37">
      <c r="A250" s="190">
        <v>165</v>
      </c>
      <c r="B250" s="191">
        <f t="shared" si="26"/>
        <v>-81</v>
      </c>
      <c r="C250" s="61">
        <f t="shared" si="24"/>
        <v>246</v>
      </c>
      <c r="D250" s="688">
        <v>8515</v>
      </c>
      <c r="E250" s="64" t="str">
        <f>IFERROR(VLOOKUP(Table3[[#This Row],[Player No]],Table11[#All],2,0),"")</f>
        <v xml:space="preserve">PETERSEN Renee </v>
      </c>
      <c r="F250" s="65" t="str">
        <f>IFERROR(VLOOKUP(Table3[[#This Row],[Player No]],Table11[#All],3,0),"")</f>
        <v>CW</v>
      </c>
      <c r="G250" s="313">
        <v>0.5</v>
      </c>
      <c r="H250" s="683">
        <f>(Table3[[#This Row],[Points 2025]]/2)+SUM(Table3[[#This Row],[O1  ADMIN 2026]:[P2      CAPE TOWN OPEN 2026 ]])</f>
        <v>0.25</v>
      </c>
      <c r="I250" s="190">
        <f t="shared" si="21"/>
        <v>0</v>
      </c>
      <c r="J250" s="190">
        <f t="shared" si="22"/>
        <v>0</v>
      </c>
      <c r="K250" s="428" t="s">
        <v>6083</v>
      </c>
      <c r="L250" s="428" t="s">
        <v>6083</v>
      </c>
      <c r="M250" s="428" t="s">
        <v>6083</v>
      </c>
      <c r="N250" s="428"/>
      <c r="O250" s="190"/>
      <c r="P250" s="190"/>
      <c r="Q250" s="190"/>
      <c r="R250" s="190"/>
      <c r="S250" s="190"/>
      <c r="T250" s="190"/>
      <c r="U250" s="190"/>
      <c r="V250" s="428"/>
      <c r="W250" s="428"/>
      <c r="X250" s="190"/>
      <c r="Y250" s="190"/>
      <c r="Z250" s="428"/>
      <c r="AA250" s="190"/>
      <c r="AB250" s="190"/>
      <c r="AC250" s="190"/>
      <c r="AD250" s="190"/>
      <c r="AE250" s="190">
        <v>1</v>
      </c>
      <c r="AF250" s="190"/>
      <c r="AG250" s="190"/>
      <c r="AH250" s="190"/>
      <c r="AI250" s="190"/>
      <c r="AJ250" s="190"/>
      <c r="AK250" s="190"/>
    </row>
    <row r="251" spans="1:37">
      <c r="A251" s="190">
        <v>165</v>
      </c>
      <c r="B251" s="191">
        <f t="shared" si="26"/>
        <v>-82</v>
      </c>
      <c r="C251" s="61">
        <f t="shared" si="24"/>
        <v>247</v>
      </c>
      <c r="D251" s="189">
        <v>8476</v>
      </c>
      <c r="E251" s="64" t="str">
        <f>IFERROR(VLOOKUP(Table3[[#This Row],[Player No]],Table11[#All],2,0),"")</f>
        <v xml:space="preserve">SAYED Fahima </v>
      </c>
      <c r="F251" s="65" t="str">
        <f>IFERROR(VLOOKUP(Table3[[#This Row],[Player No]],Table11[#All],3,0),"")</f>
        <v>JTTA</v>
      </c>
      <c r="G251" s="313">
        <v>0.5</v>
      </c>
      <c r="H251" s="683">
        <f>(Table3[[#This Row],[Points 2025]]/2)+SUM(Table3[[#This Row],[O1  ADMIN 2026]:[P2      CAPE TOWN OPEN 2026 ]])</f>
        <v>0.25</v>
      </c>
      <c r="I251" s="190">
        <f t="shared" si="21"/>
        <v>0</v>
      </c>
      <c r="J251" s="190">
        <f t="shared" si="22"/>
        <v>0</v>
      </c>
      <c r="K251" s="428" t="s">
        <v>6083</v>
      </c>
      <c r="L251" s="428" t="s">
        <v>6083</v>
      </c>
      <c r="M251" s="428" t="s">
        <v>6083</v>
      </c>
      <c r="N251" s="428"/>
      <c r="O251" s="190"/>
      <c r="P251" s="190"/>
      <c r="Q251" s="190"/>
      <c r="R251" s="190"/>
      <c r="S251" s="190"/>
      <c r="T251" s="190"/>
      <c r="U251" s="190"/>
      <c r="V251" s="428"/>
      <c r="W251" s="428"/>
      <c r="X251" s="190"/>
      <c r="Y251" s="190"/>
      <c r="Z251" s="428"/>
      <c r="AA251" s="190"/>
      <c r="AB251" s="190"/>
      <c r="AC251" s="190"/>
      <c r="AD251" s="190"/>
      <c r="AE251" s="190"/>
      <c r="AF251" s="190"/>
      <c r="AG251" s="190"/>
      <c r="AH251" s="190">
        <v>1</v>
      </c>
      <c r="AI251" s="190"/>
      <c r="AJ251" s="190"/>
      <c r="AK251" s="190"/>
    </row>
    <row r="252" spans="1:37">
      <c r="A252" s="190">
        <v>170</v>
      </c>
      <c r="B252" s="191">
        <f t="shared" si="26"/>
        <v>-78</v>
      </c>
      <c r="C252" s="61">
        <f t="shared" si="24"/>
        <v>248</v>
      </c>
      <c r="D252" s="189">
        <v>7147</v>
      </c>
      <c r="E252" s="64" t="str">
        <f>IFERROR(VLOOKUP(Table3[[#This Row],[Player No]],Table11[#All],2,0),"")</f>
        <v xml:space="preserve">ZUMA Thembelihle </v>
      </c>
      <c r="F252" s="65" t="str">
        <f>IFERROR(VLOOKUP(Table3[[#This Row],[Player No]],Table11[#All],3,0),"")</f>
        <v>UTH</v>
      </c>
      <c r="G252" s="313">
        <v>0.5</v>
      </c>
      <c r="H252" s="683">
        <f>(Table3[[#This Row],[Points 2025]]/2)+SUM(Table3[[#This Row],[O1  ADMIN 2026]:[P2      CAPE TOWN OPEN 2026 ]])</f>
        <v>0.25</v>
      </c>
      <c r="I252" s="190">
        <f t="shared" si="21"/>
        <v>0</v>
      </c>
      <c r="J252" s="190">
        <f t="shared" si="22"/>
        <v>0</v>
      </c>
      <c r="K252" s="428" t="s">
        <v>6083</v>
      </c>
      <c r="L252" s="428" t="s">
        <v>6083</v>
      </c>
      <c r="M252" s="428" t="s">
        <v>6083</v>
      </c>
      <c r="N252" s="428"/>
      <c r="O252" s="190"/>
      <c r="P252" s="190"/>
      <c r="Q252" s="190"/>
      <c r="R252" s="190"/>
      <c r="S252" s="190"/>
      <c r="T252" s="190"/>
      <c r="U252" s="190"/>
      <c r="V252" s="428"/>
      <c r="W252" s="428"/>
      <c r="X252" s="190"/>
      <c r="Y252" s="190"/>
      <c r="Z252" s="428"/>
      <c r="AA252" s="190"/>
      <c r="AB252" s="190"/>
      <c r="AC252" s="190"/>
      <c r="AD252" s="190">
        <v>1</v>
      </c>
      <c r="AE252" s="190"/>
      <c r="AF252" s="190"/>
      <c r="AG252" s="190"/>
      <c r="AH252" s="190"/>
      <c r="AI252" s="190"/>
      <c r="AJ252" s="190"/>
      <c r="AK252" s="190"/>
    </row>
    <row r="253" spans="1:37">
      <c r="A253" s="190">
        <v>218</v>
      </c>
      <c r="B253" s="436">
        <f t="shared" si="26"/>
        <v>-31</v>
      </c>
      <c r="C253" s="61">
        <f t="shared" si="24"/>
        <v>249</v>
      </c>
      <c r="D253" s="189">
        <v>8117</v>
      </c>
      <c r="E253" s="64" t="str">
        <f>IFERROR(VLOOKUP(Table3[[#This Row],[Player No]],Table11[#All],2,0),"")</f>
        <v>CHERE Matshediso</v>
      </c>
      <c r="F253" s="65" t="str">
        <f>IFERROR(VLOOKUP(Table3[[#This Row],[Player No]],Table11[#All],3,0),"")</f>
        <v>LES</v>
      </c>
      <c r="G253" s="313">
        <v>0.25</v>
      </c>
      <c r="H253" s="683">
        <f>(Table3[[#This Row],[Points 2025]]/2)+SUM(Table3[[#This Row],[O1  ADMIN 2026]:[P2      CAPE TOWN OPEN 2026 ]])</f>
        <v>0.125</v>
      </c>
      <c r="I253" s="190">
        <f t="shared" si="21"/>
        <v>0</v>
      </c>
      <c r="J253" s="190">
        <f t="shared" si="22"/>
        <v>0</v>
      </c>
      <c r="K253" s="428" t="s">
        <v>6083</v>
      </c>
      <c r="L253" s="428" t="s">
        <v>6083</v>
      </c>
      <c r="M253" s="428" t="s">
        <v>6083</v>
      </c>
      <c r="N253" s="428"/>
      <c r="O253" s="189"/>
      <c r="P253" s="189"/>
      <c r="Q253" s="189"/>
      <c r="R253" s="189"/>
      <c r="S253" s="189"/>
      <c r="T253" s="189"/>
      <c r="U253" s="189"/>
      <c r="V253" s="442"/>
      <c r="W253" s="442"/>
      <c r="X253" s="189"/>
      <c r="Y253" s="189"/>
      <c r="Z253" s="442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</row>
    <row r="254" spans="1:37">
      <c r="A254" s="428">
        <v>204</v>
      </c>
      <c r="B254" s="435">
        <f t="shared" si="26"/>
        <v>-46</v>
      </c>
      <c r="C254" s="61">
        <f t="shared" si="24"/>
        <v>250</v>
      </c>
      <c r="D254" s="442">
        <v>8055</v>
      </c>
      <c r="E254" s="64" t="str">
        <f>IFERROR(VLOOKUP(Table3[[#This Row],[Player No]],Table11[#All],2,0),"")</f>
        <v>GWE Namhla</v>
      </c>
      <c r="F254" s="65" t="str">
        <f>IFERROR(VLOOKUP(Table3[[#This Row],[Player No]],Table11[#All],3,0),"")</f>
        <v>NW</v>
      </c>
      <c r="G254" s="683">
        <v>0.25</v>
      </c>
      <c r="H254" s="683">
        <f>(Table3[[#This Row],[Points 2025]]/2)+SUM(Table3[[#This Row],[O1  ADMIN 2026]:[P2      CAPE TOWN OPEN 2026 ]])</f>
        <v>0.125</v>
      </c>
      <c r="I254" s="428">
        <f t="shared" si="21"/>
        <v>0</v>
      </c>
      <c r="J254" s="428">
        <f t="shared" si="22"/>
        <v>0</v>
      </c>
      <c r="K254" s="428" t="s">
        <v>6083</v>
      </c>
      <c r="L254" s="428" t="s">
        <v>6083</v>
      </c>
      <c r="M254" s="428" t="s">
        <v>6083</v>
      </c>
      <c r="N254" s="428"/>
      <c r="O254" s="428"/>
      <c r="P254" s="428"/>
      <c r="Q254" s="428"/>
      <c r="R254" s="428"/>
      <c r="S254" s="428"/>
      <c r="T254" s="428"/>
      <c r="U254" s="428"/>
      <c r="V254" s="428"/>
      <c r="W254" s="428"/>
      <c r="X254" s="428"/>
      <c r="Y254" s="428"/>
      <c r="Z254" s="428"/>
      <c r="AA254" s="428"/>
      <c r="AB254" s="428"/>
      <c r="AC254" s="428"/>
      <c r="AD254" s="428"/>
      <c r="AE254" s="428"/>
      <c r="AF254" s="428"/>
      <c r="AG254" s="428"/>
      <c r="AH254" s="428"/>
      <c r="AI254" s="428"/>
      <c r="AJ254" s="428"/>
      <c r="AK254" s="428"/>
    </row>
    <row r="255" spans="1:37">
      <c r="A255" s="428">
        <v>217</v>
      </c>
      <c r="B255" s="755">
        <f t="shared" si="26"/>
        <v>-34</v>
      </c>
      <c r="C255" s="61">
        <f t="shared" si="24"/>
        <v>251</v>
      </c>
      <c r="D255" s="442">
        <v>8116</v>
      </c>
      <c r="E255" s="64" t="str">
        <f>IFERROR(VLOOKUP(Table3[[#This Row],[Player No]],Table11[#All],2,0),"")</f>
        <v>KUTU Dineo</v>
      </c>
      <c r="F255" s="65" t="str">
        <f>IFERROR(VLOOKUP(Table3[[#This Row],[Player No]],Table11[#All],3,0),"")</f>
        <v>NC</v>
      </c>
      <c r="G255" s="683">
        <v>0.25</v>
      </c>
      <c r="H255" s="683">
        <f>(Table3[[#This Row],[Points 2025]]/2)+SUM(Table3[[#This Row],[O1  ADMIN 2026]:[P2      CAPE TOWN OPEN 2026 ]])</f>
        <v>0.125</v>
      </c>
      <c r="I255" s="428">
        <f t="shared" si="21"/>
        <v>0</v>
      </c>
      <c r="J255" s="428">
        <f t="shared" si="22"/>
        <v>0</v>
      </c>
      <c r="K255" s="428" t="s">
        <v>6083</v>
      </c>
      <c r="L255" s="428" t="s">
        <v>6083</v>
      </c>
      <c r="M255" s="428" t="s">
        <v>6083</v>
      </c>
      <c r="N255" s="428"/>
      <c r="O255" s="442"/>
      <c r="P255" s="442"/>
      <c r="Q255" s="442"/>
      <c r="R255" s="442"/>
      <c r="S255" s="442"/>
      <c r="T255" s="442"/>
      <c r="U255" s="442"/>
      <c r="V255" s="442"/>
      <c r="W255" s="442">
        <v>0</v>
      </c>
      <c r="X255" s="442"/>
      <c r="Y255" s="442"/>
      <c r="Z255" s="442"/>
      <c r="AA255" s="442"/>
      <c r="AB255" s="442"/>
      <c r="AC255" s="442"/>
      <c r="AD255" s="442"/>
      <c r="AE255" s="442"/>
      <c r="AF255" s="442"/>
      <c r="AG255" s="442"/>
      <c r="AH255" s="442"/>
      <c r="AI255" s="442"/>
      <c r="AJ255" s="442"/>
      <c r="AK255" s="442"/>
    </row>
    <row r="256" spans="1:37">
      <c r="A256" s="428">
        <v>205</v>
      </c>
      <c r="B256" s="435">
        <f t="shared" si="26"/>
        <v>-47</v>
      </c>
      <c r="C256" s="61">
        <f t="shared" si="24"/>
        <v>252</v>
      </c>
      <c r="D256" s="442">
        <v>8057</v>
      </c>
      <c r="E256" s="64" t="str">
        <f>IFERROR(VLOOKUP(Table3[[#This Row],[Player No]],Table11[#All],2,0),"")</f>
        <v>MAGOPE Thlogi</v>
      </c>
      <c r="F256" s="65" t="str">
        <f>IFERROR(VLOOKUP(Table3[[#This Row],[Player No]],Table11[#All],3,0),"")</f>
        <v>NW</v>
      </c>
      <c r="G256" s="683">
        <v>0.25</v>
      </c>
      <c r="H256" s="683">
        <f>(Table3[[#This Row],[Points 2025]]/2)+SUM(Table3[[#This Row],[O1  ADMIN 2026]:[P2      CAPE TOWN OPEN 2026 ]])</f>
        <v>0.125</v>
      </c>
      <c r="I256" s="428">
        <f t="shared" si="21"/>
        <v>0</v>
      </c>
      <c r="J256" s="428">
        <f t="shared" si="22"/>
        <v>0</v>
      </c>
      <c r="K256" s="428" t="s">
        <v>6083</v>
      </c>
      <c r="L256" s="428" t="s">
        <v>6083</v>
      </c>
      <c r="M256" s="428" t="s">
        <v>6083</v>
      </c>
      <c r="N256" s="428"/>
      <c r="O256" s="428"/>
      <c r="P256" s="428"/>
      <c r="Q256" s="428"/>
      <c r="R256" s="428"/>
      <c r="S256" s="428"/>
      <c r="T256" s="428"/>
      <c r="U256" s="428"/>
      <c r="V256" s="428"/>
      <c r="W256" s="428"/>
      <c r="X256" s="428"/>
      <c r="Y256" s="428"/>
      <c r="Z256" s="428"/>
      <c r="AA256" s="428"/>
      <c r="AB256" s="428"/>
      <c r="AC256" s="428"/>
      <c r="AD256" s="428"/>
      <c r="AE256" s="428"/>
      <c r="AF256" s="428"/>
      <c r="AG256" s="428"/>
      <c r="AH256" s="428"/>
      <c r="AI256" s="428"/>
      <c r="AJ256" s="428"/>
      <c r="AK256" s="428"/>
    </row>
    <row r="257" spans="1:37">
      <c r="A257" s="113">
        <v>209</v>
      </c>
      <c r="B257" s="150">
        <f t="shared" si="26"/>
        <v>-44</v>
      </c>
      <c r="C257" s="61">
        <f t="shared" si="24"/>
        <v>253</v>
      </c>
      <c r="D257" s="114">
        <v>8078</v>
      </c>
      <c r="E257" s="64" t="str">
        <f>IFERROR(VLOOKUP(Table3[[#This Row],[Player No]],Table11[#All],2,0),"")</f>
        <v>MASHELE Gabriella</v>
      </c>
      <c r="F257" s="65" t="str">
        <f>IFERROR(VLOOKUP(Table3[[#This Row],[Player No]],Table11[#All],3,0),"")</f>
        <v>CT</v>
      </c>
      <c r="G257" s="440">
        <v>0.25</v>
      </c>
      <c r="H257" s="809">
        <f>(Table3[[#This Row],[Points 2025]]/2)+SUM(Table3[[#This Row],[O1  ADMIN 2026]:[P2      CAPE TOWN OPEN 2026 ]])</f>
        <v>0.125</v>
      </c>
      <c r="I257" s="113">
        <f t="shared" si="21"/>
        <v>0</v>
      </c>
      <c r="J257" s="113">
        <f t="shared" si="22"/>
        <v>0</v>
      </c>
      <c r="K257" s="746" t="s">
        <v>6083</v>
      </c>
      <c r="L257" s="746" t="s">
        <v>6083</v>
      </c>
      <c r="M257" s="746" t="s">
        <v>6083</v>
      </c>
      <c r="N257" s="746"/>
      <c r="O257" s="114"/>
      <c r="P257" s="114"/>
      <c r="Q257" s="114"/>
      <c r="R257" s="442"/>
      <c r="S257" s="114"/>
      <c r="T257" s="442"/>
      <c r="U257" s="114"/>
      <c r="V257" s="442"/>
      <c r="W257" s="442"/>
      <c r="X257" s="114"/>
      <c r="Y257" s="114"/>
      <c r="Z257" s="442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</row>
    <row r="258" spans="1:37">
      <c r="A258" s="113">
        <v>216</v>
      </c>
      <c r="B258" s="681">
        <f t="shared" si="26"/>
        <v>-38</v>
      </c>
      <c r="C258" s="61">
        <f t="shared" si="24"/>
        <v>254</v>
      </c>
      <c r="D258" s="114">
        <v>8115</v>
      </c>
      <c r="E258" s="64" t="str">
        <f>IFERROR(VLOOKUP(Table3[[#This Row],[Player No]],Table11[#All],2,0),"")</f>
        <v>MILBORROW Lachet</v>
      </c>
      <c r="F258" s="65" t="str">
        <f>IFERROR(VLOOKUP(Table3[[#This Row],[Player No]],Table11[#All],3,0),"")</f>
        <v>FS</v>
      </c>
      <c r="G258" s="440">
        <v>0.25</v>
      </c>
      <c r="H258" s="809">
        <f>(Table3[[#This Row],[Points 2025]]/2)+SUM(Table3[[#This Row],[O1  ADMIN 2026]:[P2      CAPE TOWN OPEN 2026 ]])</f>
        <v>0.125</v>
      </c>
      <c r="I258" s="113">
        <f t="shared" si="21"/>
        <v>0</v>
      </c>
      <c r="J258" s="113">
        <f t="shared" si="22"/>
        <v>0</v>
      </c>
      <c r="K258" s="746" t="s">
        <v>6083</v>
      </c>
      <c r="L258" s="746" t="s">
        <v>6083</v>
      </c>
      <c r="M258" s="746" t="s">
        <v>6083</v>
      </c>
      <c r="N258" s="746"/>
      <c r="O258" s="114"/>
      <c r="P258" s="114"/>
      <c r="Q258" s="114"/>
      <c r="R258" s="442"/>
      <c r="S258" s="114"/>
      <c r="T258" s="442"/>
      <c r="U258" s="114"/>
      <c r="V258" s="442"/>
      <c r="W258" s="442"/>
      <c r="X258" s="114"/>
      <c r="Y258" s="114"/>
      <c r="Z258" s="442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</row>
    <row r="259" spans="1:37">
      <c r="A259" s="113">
        <v>213</v>
      </c>
      <c r="B259" s="681">
        <f t="shared" si="26"/>
        <v>-42</v>
      </c>
      <c r="C259" s="61">
        <f t="shared" si="24"/>
        <v>255</v>
      </c>
      <c r="D259" s="114">
        <v>8111</v>
      </c>
      <c r="E259" s="64" t="str">
        <f>IFERROR(VLOOKUP(Table3[[#This Row],[Player No]],Table11[#All],2,0),"")</f>
        <v xml:space="preserve">MOEMA Rorisang </v>
      </c>
      <c r="F259" s="65" t="str">
        <f>IFERROR(VLOOKUP(Table3[[#This Row],[Player No]],Table11[#All],3,0),"")</f>
        <v>NC</v>
      </c>
      <c r="G259" s="440">
        <v>0.25</v>
      </c>
      <c r="H259" s="809">
        <f>(Table3[[#This Row],[Points 2025]]/2)+SUM(Table3[[#This Row],[O1  ADMIN 2026]:[P2      CAPE TOWN OPEN 2026 ]])</f>
        <v>0.125</v>
      </c>
      <c r="I259" s="113">
        <f t="shared" si="21"/>
        <v>0</v>
      </c>
      <c r="J259" s="113">
        <f t="shared" si="22"/>
        <v>0</v>
      </c>
      <c r="K259" s="746" t="s">
        <v>6083</v>
      </c>
      <c r="L259" s="746" t="s">
        <v>6083</v>
      </c>
      <c r="M259" s="746" t="s">
        <v>6083</v>
      </c>
      <c r="N259" s="746"/>
      <c r="O259" s="114"/>
      <c r="P259" s="114"/>
      <c r="Q259" s="114"/>
      <c r="R259" s="442"/>
      <c r="S259" s="114"/>
      <c r="T259" s="442"/>
      <c r="U259" s="114"/>
      <c r="V259" s="442"/>
      <c r="W259" s="442"/>
      <c r="X259" s="114"/>
      <c r="Y259" s="114"/>
      <c r="Z259" s="442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</row>
    <row r="260" spans="1:37">
      <c r="A260" s="113">
        <v>215</v>
      </c>
      <c r="B260" s="150">
        <f t="shared" si="26"/>
        <v>-41</v>
      </c>
      <c r="C260" s="61">
        <f t="shared" si="24"/>
        <v>256</v>
      </c>
      <c r="D260" s="114">
        <v>7161</v>
      </c>
      <c r="E260" s="64" t="str">
        <f>IFERROR(VLOOKUP(Table3[[#This Row],[Player No]],Table11[#All],2,0),"")</f>
        <v xml:space="preserve">MOKHUTSANE  Tsholofelo </v>
      </c>
      <c r="F260" s="65" t="str">
        <f>IFERROR(VLOOKUP(Table3[[#This Row],[Player No]],Table11[#All],3,0),"")</f>
        <v>NCT</v>
      </c>
      <c r="G260" s="440">
        <v>0.25</v>
      </c>
      <c r="H260" s="809">
        <f>(Table3[[#This Row],[Points 2025]]/2)+SUM(Table3[[#This Row],[O1  ADMIN 2026]:[P2      CAPE TOWN OPEN 2026 ]])</f>
        <v>0.125</v>
      </c>
      <c r="I260" s="113">
        <f t="shared" si="21"/>
        <v>0</v>
      </c>
      <c r="J260" s="113">
        <f t="shared" si="22"/>
        <v>0</v>
      </c>
      <c r="K260" s="746" t="s">
        <v>6083</v>
      </c>
      <c r="L260" s="746" t="s">
        <v>6083</v>
      </c>
      <c r="M260" s="746" t="s">
        <v>6083</v>
      </c>
      <c r="N260" s="746"/>
      <c r="O260" s="114"/>
      <c r="P260" s="114"/>
      <c r="Q260" s="114"/>
      <c r="R260" s="442"/>
      <c r="S260" s="114"/>
      <c r="T260" s="442"/>
      <c r="U260" s="114"/>
      <c r="V260" s="442"/>
      <c r="W260" s="442"/>
      <c r="X260" s="114"/>
      <c r="Y260" s="114"/>
      <c r="Z260" s="442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</row>
    <row r="261" spans="1:37">
      <c r="A261" s="428">
        <v>212</v>
      </c>
      <c r="B261" s="435">
        <f t="shared" si="26"/>
        <v>-45</v>
      </c>
      <c r="C261" s="61">
        <f t="shared" si="24"/>
        <v>257</v>
      </c>
      <c r="D261" s="442">
        <v>8110</v>
      </c>
      <c r="E261" s="64" t="str">
        <f>IFERROR(VLOOKUP(Table3[[#This Row],[Player No]],Table11[#All],2,0),"")</f>
        <v>MONCHO Keitumetse</v>
      </c>
      <c r="F261" s="65" t="str">
        <f>IFERROR(VLOOKUP(Table3[[#This Row],[Player No]],Table11[#All],3,0),"")</f>
        <v>NC</v>
      </c>
      <c r="G261" s="683">
        <v>0.25</v>
      </c>
      <c r="H261" s="683">
        <f>(Table3[[#This Row],[Points 2025]]/2)+SUM(Table3[[#This Row],[O1  ADMIN 2026]:[P2      CAPE TOWN OPEN 2026 ]])</f>
        <v>0.125</v>
      </c>
      <c r="I261" s="428">
        <f t="shared" ref="I261:I273" si="27">COUNTIF(K261:N261,"&gt;0")</f>
        <v>0</v>
      </c>
      <c r="J261" s="428">
        <f t="shared" ref="J261:J273" si="28">COUNTIF(O261:AK261,"&lt;0")</f>
        <v>0</v>
      </c>
      <c r="K261" s="428" t="s">
        <v>6083</v>
      </c>
      <c r="L261" s="428" t="s">
        <v>6083</v>
      </c>
      <c r="M261" s="428" t="s">
        <v>6083</v>
      </c>
      <c r="N261" s="428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  <c r="AA261" s="442"/>
      <c r="AB261" s="442"/>
      <c r="AC261" s="442"/>
      <c r="AD261" s="442"/>
      <c r="AE261" s="442"/>
      <c r="AF261" s="442"/>
      <c r="AG261" s="442"/>
      <c r="AH261" s="442"/>
      <c r="AI261" s="442"/>
      <c r="AJ261" s="442"/>
      <c r="AK261" s="442"/>
    </row>
    <row r="262" spans="1:37">
      <c r="A262" s="428">
        <v>214</v>
      </c>
      <c r="B262" s="755">
        <f t="shared" si="26"/>
        <v>-44</v>
      </c>
      <c r="C262" s="61">
        <f t="shared" si="24"/>
        <v>258</v>
      </c>
      <c r="D262" s="442">
        <v>8114</v>
      </c>
      <c r="E262" s="64" t="str">
        <f>IFERROR(VLOOKUP(Table3[[#This Row],[Player No]],Table11[#All],2,0),"")</f>
        <v>POTGIETER Miemie</v>
      </c>
      <c r="F262" s="65" t="str">
        <f>IFERROR(VLOOKUP(Table3[[#This Row],[Player No]],Table11[#All],3,0),"")</f>
        <v>FS</v>
      </c>
      <c r="G262" s="683">
        <v>0.25</v>
      </c>
      <c r="H262" s="683">
        <f>(Table3[[#This Row],[Points 2025]]/2)+SUM(Table3[[#This Row],[O1  ADMIN 2026]:[P2      CAPE TOWN OPEN 2026 ]])</f>
        <v>0.125</v>
      </c>
      <c r="I262" s="428">
        <f t="shared" si="27"/>
        <v>0</v>
      </c>
      <c r="J262" s="428">
        <f t="shared" si="28"/>
        <v>0</v>
      </c>
      <c r="K262" s="428" t="s">
        <v>6083</v>
      </c>
      <c r="L262" s="428" t="s">
        <v>6083</v>
      </c>
      <c r="M262" s="428" t="s">
        <v>6083</v>
      </c>
      <c r="N262" s="428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  <c r="AC262" s="442"/>
      <c r="AD262" s="442"/>
      <c r="AE262" s="442"/>
      <c r="AF262" s="442"/>
      <c r="AG262" s="442"/>
      <c r="AH262" s="442"/>
      <c r="AI262" s="442"/>
      <c r="AJ262" s="442"/>
      <c r="AK262" s="442"/>
    </row>
    <row r="263" spans="1:37">
      <c r="A263" s="428">
        <v>210</v>
      </c>
      <c r="B263" s="435">
        <f t="shared" si="26"/>
        <v>-49</v>
      </c>
      <c r="C263" s="61">
        <f t="shared" ref="C263:C273" si="29">C262+1</f>
        <v>259</v>
      </c>
      <c r="D263" s="442">
        <v>8080</v>
      </c>
      <c r="E263" s="64" t="str">
        <f>IFERROR(VLOOKUP(Table3[[#This Row],[Player No]],Table11[#All],2,0),"")</f>
        <v>SAUNDERS Jessica</v>
      </c>
      <c r="F263" s="65" t="str">
        <f>IFERROR(VLOOKUP(Table3[[#This Row],[Player No]],Table11[#All],3,0),"")</f>
        <v>CT</v>
      </c>
      <c r="G263" s="683">
        <v>0.25</v>
      </c>
      <c r="H263" s="683">
        <f>(Table3[[#This Row],[Points 2025]]/2)+SUM(Table3[[#This Row],[O1  ADMIN 2026]:[P2      CAPE TOWN OPEN 2026 ]])</f>
        <v>0.125</v>
      </c>
      <c r="I263" s="428">
        <f t="shared" si="27"/>
        <v>0</v>
      </c>
      <c r="J263" s="428">
        <f t="shared" si="28"/>
        <v>0</v>
      </c>
      <c r="K263" s="428" t="s">
        <v>6083</v>
      </c>
      <c r="L263" s="428" t="s">
        <v>6083</v>
      </c>
      <c r="M263" s="428" t="s">
        <v>6083</v>
      </c>
      <c r="N263" s="428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  <c r="AA263" s="442"/>
      <c r="AB263" s="442"/>
      <c r="AC263" s="442"/>
      <c r="AD263" s="442"/>
      <c r="AE263" s="442"/>
      <c r="AF263" s="442"/>
      <c r="AG263" s="442"/>
      <c r="AH263" s="442"/>
      <c r="AI263" s="442"/>
      <c r="AJ263" s="442"/>
      <c r="AK263" s="442"/>
    </row>
    <row r="264" spans="1:37">
      <c r="A264" s="428">
        <v>211</v>
      </c>
      <c r="B264" s="435">
        <f t="shared" si="26"/>
        <v>-49</v>
      </c>
      <c r="C264" s="61">
        <f t="shared" si="29"/>
        <v>260</v>
      </c>
      <c r="D264" s="442">
        <v>8081</v>
      </c>
      <c r="E264" s="64" t="str">
        <f>IFERROR(VLOOKUP(Table3[[#This Row],[Player No]],Table11[#All],2,0),"")</f>
        <v>SELEONE Refilwe</v>
      </c>
      <c r="F264" s="65" t="str">
        <f>IFERROR(VLOOKUP(Table3[[#This Row],[Player No]],Table11[#All],3,0),"")</f>
        <v>CT</v>
      </c>
      <c r="G264" s="683">
        <v>0.25</v>
      </c>
      <c r="H264" s="683">
        <f>(Table3[[#This Row],[Points 2025]]/2)+SUM(Table3[[#This Row],[O1  ADMIN 2026]:[P2      CAPE TOWN OPEN 2026 ]])</f>
        <v>0.125</v>
      </c>
      <c r="I264" s="428">
        <f t="shared" si="27"/>
        <v>0</v>
      </c>
      <c r="J264" s="428">
        <f t="shared" si="28"/>
        <v>0</v>
      </c>
      <c r="K264" s="428" t="s">
        <v>6083</v>
      </c>
      <c r="L264" s="428" t="s">
        <v>6083</v>
      </c>
      <c r="M264" s="428" t="s">
        <v>6083</v>
      </c>
      <c r="N264" s="428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  <c r="AA264" s="442"/>
      <c r="AB264" s="442"/>
      <c r="AC264" s="442"/>
      <c r="AD264" s="442"/>
      <c r="AE264" s="442"/>
      <c r="AF264" s="442"/>
      <c r="AG264" s="442"/>
      <c r="AH264" s="442"/>
      <c r="AI264" s="442"/>
      <c r="AJ264" s="442"/>
      <c r="AK264" s="442"/>
    </row>
    <row r="265" spans="1:37">
      <c r="A265" s="428">
        <v>203</v>
      </c>
      <c r="B265" s="435">
        <f t="shared" si="26"/>
        <v>-58</v>
      </c>
      <c r="C265" s="61">
        <f t="shared" si="29"/>
        <v>261</v>
      </c>
      <c r="D265" s="442">
        <v>8054</v>
      </c>
      <c r="E265" s="64" t="str">
        <f>IFERROR(VLOOKUP(Table3[[#This Row],[Player No]],Table11[#All],2,0),"")</f>
        <v>SELOTLEGENG Boingotlo</v>
      </c>
      <c r="F265" s="65" t="str">
        <f>IFERROR(VLOOKUP(Table3[[#This Row],[Player No]],Table11[#All],3,0),"")</f>
        <v>NW</v>
      </c>
      <c r="G265" s="683">
        <v>0.25</v>
      </c>
      <c r="H265" s="683">
        <f>(Table3[[#This Row],[Points 2025]]/2)+SUM(Table3[[#This Row],[O1  ADMIN 2026]:[P2      CAPE TOWN OPEN 2026 ]])</f>
        <v>0.125</v>
      </c>
      <c r="I265" s="428">
        <f t="shared" si="27"/>
        <v>0</v>
      </c>
      <c r="J265" s="428">
        <f t="shared" si="28"/>
        <v>0</v>
      </c>
      <c r="K265" s="428" t="s">
        <v>6083</v>
      </c>
      <c r="L265" s="428" t="s">
        <v>6083</v>
      </c>
      <c r="M265" s="428" t="s">
        <v>6083</v>
      </c>
      <c r="N265" s="428"/>
      <c r="O265" s="428"/>
      <c r="P265" s="428"/>
      <c r="Q265" s="428"/>
      <c r="R265" s="428"/>
      <c r="S265" s="428"/>
      <c r="T265" s="428"/>
      <c r="U265" s="428"/>
      <c r="V265" s="428"/>
      <c r="W265" s="428"/>
      <c r="X265" s="428"/>
      <c r="Y265" s="428"/>
      <c r="Z265" s="428"/>
      <c r="AA265" s="428"/>
      <c r="AB265" s="428"/>
      <c r="AC265" s="428"/>
      <c r="AD265" s="428"/>
      <c r="AE265" s="428"/>
      <c r="AF265" s="428"/>
      <c r="AG265" s="428"/>
      <c r="AH265" s="428"/>
      <c r="AI265" s="428"/>
      <c r="AJ265" s="428"/>
      <c r="AK265" s="428"/>
    </row>
    <row r="266" spans="1:37">
      <c r="A266" s="428">
        <v>254</v>
      </c>
      <c r="B266" s="755">
        <f t="shared" si="26"/>
        <v>-8</v>
      </c>
      <c r="C266" s="61">
        <f t="shared" si="29"/>
        <v>262</v>
      </c>
      <c r="D266" s="442">
        <v>8060</v>
      </c>
      <c r="E266" s="64" t="str">
        <f>IFERROR(VLOOKUP(Table3[[#This Row],[Player No]],Table11[#All],2,0),"")</f>
        <v>ISAACS Amaarah</v>
      </c>
      <c r="F266" s="65">
        <f>IFERROR(VLOOKUP(Table3[[#This Row],[Player No]],Table11[#All],3,0),"")</f>
        <v>0</v>
      </c>
      <c r="G266" s="683">
        <v>0.125</v>
      </c>
      <c r="H266" s="683">
        <f>(Table3[[#This Row],[Points 2025]]/2)+SUM(Table3[[#This Row],[O1  ADMIN 2026]:[P2      CAPE TOWN OPEN 2026 ]])</f>
        <v>6.25E-2</v>
      </c>
      <c r="I266" s="428">
        <f t="shared" si="27"/>
        <v>0</v>
      </c>
      <c r="J266" s="428">
        <f t="shared" si="28"/>
        <v>0</v>
      </c>
      <c r="K266" s="428" t="s">
        <v>6083</v>
      </c>
      <c r="L266" s="428" t="s">
        <v>6083</v>
      </c>
      <c r="M266" s="428" t="s">
        <v>6083</v>
      </c>
      <c r="N266" s="428"/>
      <c r="O266" s="428"/>
      <c r="P266" s="428"/>
      <c r="Q266" s="428"/>
      <c r="R266" s="428"/>
      <c r="S266" s="428"/>
      <c r="T266" s="428"/>
      <c r="U266" s="428"/>
      <c r="V266" s="428"/>
      <c r="W266" s="428"/>
      <c r="X266" s="428"/>
      <c r="Y266" s="428"/>
      <c r="Z266" s="428"/>
      <c r="AA266" s="428"/>
      <c r="AB266" s="428"/>
      <c r="AC266" s="428"/>
      <c r="AD266" s="428"/>
      <c r="AE266" s="428"/>
      <c r="AF266" s="428"/>
      <c r="AG266" s="428"/>
      <c r="AH266" s="428"/>
      <c r="AI266" s="428"/>
      <c r="AJ266" s="428"/>
      <c r="AK266" s="428"/>
    </row>
    <row r="267" spans="1:37">
      <c r="A267" s="428">
        <v>252</v>
      </c>
      <c r="B267" s="755">
        <f t="shared" si="26"/>
        <v>-11</v>
      </c>
      <c r="C267" s="61">
        <f t="shared" si="29"/>
        <v>263</v>
      </c>
      <c r="D267" s="442">
        <v>7727</v>
      </c>
      <c r="E267" s="64" t="str">
        <f>IFERROR(VLOOKUP(Table3[[#This Row],[Player No]],Table11[#All],2,0),"")</f>
        <v>STEYN Amanda</v>
      </c>
      <c r="F267" s="65" t="str">
        <f>IFERROR(VLOOKUP(Table3[[#This Row],[Player No]],Table11[#All],3,0),"")</f>
        <v>GN</v>
      </c>
      <c r="G267" s="683">
        <v>0.125</v>
      </c>
      <c r="H267" s="683">
        <f>(Table3[[#This Row],[Points 2025]]/2)+SUM(Table3[[#This Row],[O1  ADMIN 2026]:[P2      CAPE TOWN OPEN 2026 ]])</f>
        <v>6.25E-2</v>
      </c>
      <c r="I267" s="428">
        <f t="shared" si="27"/>
        <v>0</v>
      </c>
      <c r="J267" s="428">
        <f t="shared" si="28"/>
        <v>0</v>
      </c>
      <c r="K267" s="428" t="s">
        <v>6083</v>
      </c>
      <c r="L267" s="428" t="s">
        <v>6083</v>
      </c>
      <c r="M267" s="428" t="s">
        <v>6083</v>
      </c>
      <c r="N267" s="428"/>
      <c r="O267" s="428"/>
      <c r="P267" s="428"/>
      <c r="Q267" s="428"/>
      <c r="R267" s="428"/>
      <c r="S267" s="428"/>
      <c r="T267" s="428"/>
      <c r="U267" s="428"/>
      <c r="V267" s="428"/>
      <c r="W267" s="428"/>
      <c r="X267" s="428"/>
      <c r="Y267" s="428"/>
      <c r="Z267" s="428"/>
      <c r="AA267" s="428"/>
      <c r="AB267" s="428"/>
      <c r="AC267" s="428"/>
      <c r="AD267" s="428"/>
      <c r="AE267" s="428"/>
      <c r="AF267" s="428"/>
      <c r="AG267" s="428"/>
      <c r="AH267" s="428"/>
      <c r="AI267" s="428"/>
      <c r="AJ267" s="428"/>
      <c r="AK267" s="428"/>
    </row>
    <row r="268" spans="1:37">
      <c r="A268" s="428">
        <v>254</v>
      </c>
      <c r="B268" s="755">
        <f t="shared" si="26"/>
        <v>-10</v>
      </c>
      <c r="C268" s="61">
        <f t="shared" si="29"/>
        <v>264</v>
      </c>
      <c r="D268" s="442">
        <v>8422</v>
      </c>
      <c r="E268" s="64" t="str">
        <f>IFERROR(VLOOKUP(Table3[[#This Row],[Player No]],Table11[#All],2,0),"")</f>
        <v>CHILOANE Basetsana</v>
      </c>
      <c r="F268" s="65" t="str">
        <f>IFERROR(VLOOKUP(Table3[[#This Row],[Player No]],Table11[#All],3,0),"")</f>
        <v>EKU</v>
      </c>
      <c r="G268" s="683">
        <v>0</v>
      </c>
      <c r="H268" s="683">
        <f>(Table3[[#This Row],[Points 2025]]/2)+SUM(Table3[[#This Row],[O1  ADMIN 2026]:[P2      CAPE TOWN OPEN 2026 ]])</f>
        <v>0</v>
      </c>
      <c r="I268" s="428">
        <f t="shared" si="27"/>
        <v>0</v>
      </c>
      <c r="J268" s="428">
        <f t="shared" si="28"/>
        <v>0</v>
      </c>
      <c r="K268" s="428" t="s">
        <v>6083</v>
      </c>
      <c r="L268" s="428" t="s">
        <v>6083</v>
      </c>
      <c r="M268" s="428" t="s">
        <v>6083</v>
      </c>
      <c r="N268" s="428"/>
      <c r="O268" s="428"/>
      <c r="P268" s="428"/>
      <c r="Q268" s="428"/>
      <c r="R268" s="428"/>
      <c r="S268" s="428"/>
      <c r="T268" s="428"/>
      <c r="U268" s="428"/>
      <c r="V268" s="428"/>
      <c r="W268" s="428"/>
      <c r="X268" s="428"/>
      <c r="Y268" s="428"/>
      <c r="Z268" s="428"/>
      <c r="AA268" s="428"/>
      <c r="AB268" s="428"/>
      <c r="AC268" s="428"/>
      <c r="AD268" s="428"/>
      <c r="AE268" s="428"/>
      <c r="AF268" s="428"/>
      <c r="AG268" s="428"/>
      <c r="AH268" s="428"/>
      <c r="AI268" s="428"/>
      <c r="AJ268" s="428"/>
      <c r="AK268" s="428"/>
    </row>
    <row r="269" spans="1:37">
      <c r="A269" s="428">
        <v>254</v>
      </c>
      <c r="B269" s="755">
        <f t="shared" si="26"/>
        <v>-11</v>
      </c>
      <c r="C269" s="61">
        <f t="shared" si="29"/>
        <v>265</v>
      </c>
      <c r="D269" s="437">
        <v>8570</v>
      </c>
      <c r="E269" s="64" t="str">
        <f>IFERROR(VLOOKUP(Table3[[#This Row],[Player No]],Table11[#All],2,0),"")</f>
        <v>MAOME Reitumetse</v>
      </c>
      <c r="F269" s="65" t="str">
        <f>IFERROR(VLOOKUP(Table3[[#This Row],[Player No]],Table11[#All],3,0),"")</f>
        <v>LES</v>
      </c>
      <c r="G269" s="759">
        <v>0</v>
      </c>
      <c r="H269" s="759">
        <f>(Table3[[#This Row],[Points 2025]]/2)+SUM(Table3[[#This Row],[O1  ADMIN 2026]:[P2      CAPE TOWN OPEN 2026 ]])</f>
        <v>0</v>
      </c>
      <c r="I269" s="428">
        <f t="shared" si="27"/>
        <v>0</v>
      </c>
      <c r="J269" s="428">
        <f t="shared" si="28"/>
        <v>0</v>
      </c>
      <c r="K269" s="428" t="s">
        <v>6083</v>
      </c>
      <c r="L269" s="428" t="s">
        <v>6083</v>
      </c>
      <c r="M269" s="428" t="s">
        <v>6083</v>
      </c>
      <c r="N269" s="428"/>
      <c r="O269" s="431"/>
      <c r="P269" s="431"/>
      <c r="Q269" s="431"/>
      <c r="R269" s="431"/>
      <c r="S269" s="431"/>
      <c r="T269" s="431"/>
      <c r="U269" s="431"/>
      <c r="V269" s="431"/>
      <c r="W269" s="431"/>
      <c r="X269" s="431"/>
      <c r="Y269" s="431">
        <v>0</v>
      </c>
      <c r="Z269" s="431"/>
      <c r="AA269" s="431"/>
      <c r="AB269" s="431"/>
      <c r="AC269" s="431"/>
      <c r="AD269" s="431"/>
      <c r="AE269" s="431"/>
      <c r="AF269" s="431"/>
      <c r="AG269" s="431"/>
      <c r="AH269" s="431"/>
      <c r="AI269" s="431"/>
      <c r="AJ269" s="431"/>
      <c r="AK269" s="431"/>
    </row>
    <row r="270" spans="1:37">
      <c r="A270" s="679"/>
      <c r="B270" s="685">
        <f xml:space="preserve"> +A270-C270</f>
        <v>-266</v>
      </c>
      <c r="C270" s="61">
        <f t="shared" si="29"/>
        <v>266</v>
      </c>
      <c r="D270" s="678">
        <v>7940</v>
      </c>
      <c r="E270" s="64" t="str">
        <f>IFERROR(VLOOKUP(Table3[[#This Row],[Player No]],Table11[#All],2,0),"")</f>
        <v xml:space="preserve">MECWI Tsholofelo </v>
      </c>
      <c r="F270" s="65" t="str">
        <f>IFERROR(VLOOKUP(Table3[[#This Row],[Player No]],Table11[#All],3,0),"")</f>
        <v>NC</v>
      </c>
      <c r="G270" s="686">
        <v>0</v>
      </c>
      <c r="H270" s="686">
        <f>(Table3[[#This Row],[Points 2025]]/2)+SUM(Table3[[#This Row],[O1  ADMIN 2026]:[P2      CAPE TOWN OPEN 2026 ]])</f>
        <v>0</v>
      </c>
      <c r="I270" s="687">
        <f t="shared" si="27"/>
        <v>0</v>
      </c>
      <c r="J270" s="678">
        <f t="shared" si="28"/>
        <v>0</v>
      </c>
      <c r="K270" s="678" t="s">
        <v>6083</v>
      </c>
      <c r="L270" s="678" t="s">
        <v>6083</v>
      </c>
      <c r="M270" s="678" t="s">
        <v>6083</v>
      </c>
      <c r="N270" s="678"/>
      <c r="O270" s="679"/>
      <c r="P270" s="679"/>
      <c r="Q270" s="679"/>
      <c r="R270" s="679"/>
      <c r="S270" s="679"/>
      <c r="T270" s="679"/>
      <c r="U270" s="679"/>
      <c r="V270" s="679"/>
      <c r="W270" s="679">
        <v>0</v>
      </c>
      <c r="X270" s="679"/>
      <c r="Y270" s="679"/>
      <c r="Z270" s="679"/>
      <c r="AA270" s="679"/>
      <c r="AB270" s="679"/>
      <c r="AC270" s="679"/>
      <c r="AD270" s="679"/>
      <c r="AE270" s="679"/>
      <c r="AF270" s="679"/>
      <c r="AG270" s="679"/>
      <c r="AH270" s="679"/>
      <c r="AI270" s="679"/>
      <c r="AJ270" s="679"/>
      <c r="AK270" s="679"/>
    </row>
    <row r="271" spans="1:37">
      <c r="A271" s="432"/>
      <c r="B271" s="435">
        <f>+A271-C271</f>
        <v>-267</v>
      </c>
      <c r="C271" s="61">
        <f t="shared" si="29"/>
        <v>267</v>
      </c>
      <c r="D271" s="642">
        <v>7292</v>
      </c>
      <c r="E271" s="64" t="str">
        <f>IFERROR(VLOOKUP(Table3[[#This Row],[Player No]],Table11[#All],2,0),"")</f>
        <v>MOKEKI Nthabeleng</v>
      </c>
      <c r="F271" s="65" t="str">
        <f>IFERROR(VLOOKUP(Table3[[#This Row],[Player No]],Table11[#All],3,0),"")</f>
        <v>LES</v>
      </c>
      <c r="G271" s="758">
        <v>0</v>
      </c>
      <c r="H271" s="758">
        <f>(Table3[[#This Row],[Points 2025]]/2)+SUM(Table3[[#This Row],[O1  ADMIN 2026]:[P2      CAPE TOWN OPEN 2026 ]])</f>
        <v>0</v>
      </c>
      <c r="I271" s="761">
        <f t="shared" si="27"/>
        <v>0</v>
      </c>
      <c r="J271" s="642">
        <f t="shared" si="28"/>
        <v>0</v>
      </c>
      <c r="K271" s="642" t="s">
        <v>6083</v>
      </c>
      <c r="L271" s="642" t="s">
        <v>6083</v>
      </c>
      <c r="M271" s="642" t="s">
        <v>6083</v>
      </c>
      <c r="N271" s="642"/>
      <c r="O271" s="432"/>
      <c r="P271" s="432"/>
      <c r="Q271" s="432"/>
      <c r="R271" s="432"/>
      <c r="S271" s="432"/>
      <c r="T271" s="432">
        <v>0</v>
      </c>
      <c r="U271" s="432"/>
      <c r="V271" s="432"/>
      <c r="W271" s="432"/>
      <c r="X271" s="432"/>
      <c r="Y271" s="432"/>
      <c r="Z271" s="432"/>
      <c r="AA271" s="432"/>
      <c r="AB271" s="432"/>
      <c r="AC271" s="432"/>
      <c r="AD271" s="432"/>
      <c r="AE271" s="432"/>
      <c r="AF271" s="432"/>
      <c r="AG271" s="432"/>
      <c r="AH271" s="432"/>
      <c r="AI271" s="432"/>
      <c r="AJ271" s="432"/>
      <c r="AK271" s="432"/>
    </row>
    <row r="272" spans="1:37">
      <c r="A272" s="428">
        <v>254</v>
      </c>
      <c r="B272" s="755">
        <f>+A272-C272</f>
        <v>-14</v>
      </c>
      <c r="C272" s="61">
        <f t="shared" si="29"/>
        <v>268</v>
      </c>
      <c r="D272" s="442">
        <v>8375</v>
      </c>
      <c r="E272" s="64" t="str">
        <f>IFERROR(VLOOKUP(Table3[[#This Row],[Player No]],Table11[#All],2,0),"")</f>
        <v>MONTEWA Nyakallo</v>
      </c>
      <c r="F272" s="65" t="str">
        <f>IFERROR(VLOOKUP(Table3[[#This Row],[Player No]],Table11[#All],3,0),"")</f>
        <v>NW</v>
      </c>
      <c r="G272" s="683">
        <v>0</v>
      </c>
      <c r="H272" s="683">
        <f>(Table3[[#This Row],[Points 2025]]/2)+SUM(Table3[[#This Row],[O1  ADMIN 2026]:[P2      CAPE TOWN OPEN 2026 ]])</f>
        <v>0</v>
      </c>
      <c r="I272" s="428">
        <f t="shared" si="27"/>
        <v>0</v>
      </c>
      <c r="J272" s="428">
        <f t="shared" si="28"/>
        <v>0</v>
      </c>
      <c r="K272" s="428" t="s">
        <v>6083</v>
      </c>
      <c r="L272" s="428" t="s">
        <v>6083</v>
      </c>
      <c r="M272" s="428" t="s">
        <v>6083</v>
      </c>
      <c r="N272" s="428"/>
      <c r="O272" s="428"/>
      <c r="P272" s="428"/>
      <c r="Q272" s="428"/>
      <c r="R272" s="428"/>
      <c r="S272" s="428"/>
      <c r="T272" s="428"/>
      <c r="U272" s="428"/>
      <c r="V272" s="428"/>
      <c r="W272" s="428"/>
      <c r="X272" s="428"/>
      <c r="Y272" s="428"/>
      <c r="Z272" s="428"/>
      <c r="AA272" s="428"/>
      <c r="AB272" s="428"/>
      <c r="AC272" s="428"/>
      <c r="AD272" s="428"/>
      <c r="AE272" s="428"/>
      <c r="AF272" s="428"/>
      <c r="AG272" s="428"/>
      <c r="AH272" s="428"/>
      <c r="AI272" s="428"/>
      <c r="AJ272" s="428"/>
      <c r="AK272" s="428"/>
    </row>
    <row r="273" spans="1:37">
      <c r="A273" s="430"/>
      <c r="B273" s="756">
        <f xml:space="preserve"> +A273-C273</f>
        <v>-269</v>
      </c>
      <c r="C273" s="61">
        <f t="shared" si="29"/>
        <v>269</v>
      </c>
      <c r="D273" s="757">
        <v>7836</v>
      </c>
      <c r="E273" s="64" t="str">
        <f>IFERROR(VLOOKUP(Table3[[#This Row],[Player No]],Table11[#All],2,0),"")</f>
        <v>WENASE Lisakhanya</v>
      </c>
      <c r="F273" s="65" t="str">
        <f>IFERROR(VLOOKUP(Table3[[#This Row],[Player No]],Table11[#All],3,0),"")</f>
        <v>JTTA</v>
      </c>
      <c r="G273" s="311">
        <v>0</v>
      </c>
      <c r="H273" s="760">
        <f>(Table3[[#This Row],[Points 2025]]/2)+SUM(Table3[[#This Row],[O1  ADMIN 2026]:[P2      CAPE TOWN OPEN 2026 ]])</f>
        <v>0</v>
      </c>
      <c r="I273" s="762">
        <f t="shared" si="27"/>
        <v>0</v>
      </c>
      <c r="J273" s="757">
        <f t="shared" si="28"/>
        <v>0</v>
      </c>
      <c r="K273" s="757" t="s">
        <v>6083</v>
      </c>
      <c r="L273" s="757" t="s">
        <v>6083</v>
      </c>
      <c r="M273" s="757" t="s">
        <v>6083</v>
      </c>
      <c r="N273" s="757"/>
      <c r="O273" s="430"/>
      <c r="P273" s="430"/>
      <c r="Q273" s="430"/>
      <c r="R273" s="430"/>
      <c r="S273" s="430"/>
      <c r="T273" s="430"/>
      <c r="U273" s="430"/>
      <c r="V273" s="430"/>
      <c r="W273" s="430"/>
      <c r="X273" s="430">
        <v>0</v>
      </c>
      <c r="Y273" s="430"/>
      <c r="Z273" s="430"/>
      <c r="AA273" s="430"/>
      <c r="AB273" s="430"/>
      <c r="AC273" s="430"/>
      <c r="AD273" s="430"/>
      <c r="AE273" s="430"/>
      <c r="AF273" s="430"/>
      <c r="AG273" s="430"/>
      <c r="AH273" s="430"/>
      <c r="AI273" s="430"/>
      <c r="AJ273" s="430"/>
      <c r="AK273" s="430"/>
    </row>
    <row r="274" spans="1:37">
      <c r="A274" s="428"/>
      <c r="B274" s="1101">
        <f xml:space="preserve"> +A274-C274</f>
        <v>0</v>
      </c>
      <c r="C274" s="61"/>
      <c r="D274" s="442"/>
      <c r="E274" s="64"/>
      <c r="F274" s="65"/>
      <c r="G274" s="683">
        <v>0.25</v>
      </c>
      <c r="H274" s="683">
        <f>(Table3[[#This Row],[Points 2025]]/2)+SUM(Table3[[#This Row],[O1  ADMIN 2026]:[P2      CAPE TOWN OPEN 2026 ]])</f>
        <v>0.125</v>
      </c>
      <c r="I274" s="1102">
        <f>COUNTIF(K274:N274,"&gt;0")</f>
        <v>0</v>
      </c>
      <c r="J274" s="442">
        <f>COUNTIF(O274:AK274,"&lt;0")</f>
        <v>0</v>
      </c>
      <c r="K274" s="442"/>
      <c r="L274" s="442"/>
      <c r="M274" s="442"/>
      <c r="N274" s="442"/>
      <c r="O274" s="428"/>
      <c r="P274" s="428"/>
      <c r="Q274" s="428"/>
      <c r="R274" s="428"/>
      <c r="S274" s="428"/>
      <c r="T274" s="428"/>
      <c r="U274" s="428"/>
      <c r="V274" s="428"/>
      <c r="W274" s="428"/>
      <c r="X274" s="428"/>
      <c r="Y274" s="428"/>
      <c r="Z274" s="428"/>
      <c r="AA274" s="428"/>
      <c r="AB274" s="428"/>
      <c r="AC274" s="428"/>
      <c r="AD274" s="428"/>
      <c r="AE274" s="428"/>
      <c r="AF274" s="428"/>
      <c r="AG274" s="428"/>
      <c r="AH274" s="428"/>
      <c r="AI274" s="428"/>
      <c r="AJ274" s="428"/>
      <c r="AK274" s="428"/>
    </row>
    <row r="275" spans="1:37">
      <c r="A275" s="428"/>
      <c r="B275" s="1101">
        <f xml:space="preserve"> +A275-C275</f>
        <v>0</v>
      </c>
      <c r="C275" s="659"/>
      <c r="D275" s="442"/>
      <c r="E275" s="64"/>
      <c r="F275" s="65"/>
      <c r="G275" s="683"/>
      <c r="H275" s="683">
        <f>(Table3[[#This Row],[Points 2025]]/2)+SUM(Table3[[#This Row],[O1  ADMIN 2026]:[P2      CAPE TOWN OPEN 2026 ]])</f>
        <v>0</v>
      </c>
      <c r="I275" s="1102">
        <f>COUNTIF(K275:N275,"&gt;0")</f>
        <v>0</v>
      </c>
      <c r="J275" s="442">
        <f>COUNTIF(O275:AK275,"&lt;0")</f>
        <v>0</v>
      </c>
      <c r="K275" s="442"/>
      <c r="L275" s="442"/>
      <c r="M275" s="442"/>
      <c r="N275" s="442"/>
      <c r="O275" s="428"/>
      <c r="P275" s="428"/>
      <c r="Q275" s="428"/>
      <c r="R275" s="428"/>
      <c r="S275" s="428"/>
      <c r="T275" s="428"/>
      <c r="U275" s="428"/>
      <c r="V275" s="428"/>
      <c r="W275" s="428"/>
      <c r="X275" s="428"/>
      <c r="Y275" s="428"/>
      <c r="Z275" s="428"/>
      <c r="AA275" s="428"/>
      <c r="AB275" s="428"/>
      <c r="AC275" s="428"/>
      <c r="AD275" s="428"/>
      <c r="AE275" s="428"/>
      <c r="AF275" s="428"/>
      <c r="AG275" s="428"/>
      <c r="AH275" s="428"/>
      <c r="AI275" s="428"/>
      <c r="AJ275" s="428"/>
      <c r="AK275" s="428"/>
    </row>
  </sheetData>
  <sheetProtection algorithmName="SHA-512" hashValue="nU34nU6vMBPwOSQkF88Oej0ld75v385Yf1G761lXqEXtaUWS0h5eVXm8egrEP8YalkQDfmxbM5RPlTZ7FLGN4g==" saltValue="B4/r3Ew+8jjqUCyoka93Kw==" spinCount="100000" sheet="1" selectLockedCells="1" sort="0" autoFilter="0" selectUnlockedCells="1"/>
  <sortState xmlns:xlrd2="http://schemas.microsoft.com/office/spreadsheetml/2017/richdata2" ref="D5:BQ124">
    <sortCondition ref="E5:E124"/>
  </sortState>
  <mergeCells count="13">
    <mergeCell ref="A1:J1"/>
    <mergeCell ref="C2:F2"/>
    <mergeCell ref="C3:F3"/>
    <mergeCell ref="AC2:AK2"/>
    <mergeCell ref="AC3:AD3"/>
    <mergeCell ref="AE3:AF3"/>
    <mergeCell ref="AH3:AK3"/>
    <mergeCell ref="O2:AB2"/>
    <mergeCell ref="O3:S3"/>
    <mergeCell ref="Y3:AA3"/>
    <mergeCell ref="T3:U3"/>
    <mergeCell ref="L3:M3"/>
    <mergeCell ref="K2:N2"/>
  </mergeCells>
  <phoneticPr fontId="33" type="noConversion"/>
  <printOptions horizontalCentered="1"/>
  <pageMargins left="0.11811023622047245" right="0.11811023622047245" top="0.15748031496062992" bottom="0.15748031496062992" header="0.31496062992125984" footer="0.31496062992125984"/>
  <pageSetup paperSize="9" scale="31" fitToHeight="0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"/>
  <sheetViews>
    <sheetView workbookViewId="0"/>
  </sheetViews>
  <sheetFormatPr defaultRowHeight="14.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O409"/>
  <sheetViews>
    <sheetView topLeftCell="D1" zoomScale="130" zoomScaleNormal="130" workbookViewId="0">
      <pane ySplit="4" topLeftCell="A17" activePane="bottomLeft" state="frozen"/>
      <selection activeCell="D4" sqref="D4"/>
      <selection pane="bottomLeft" activeCell="M1" sqref="M1"/>
    </sheetView>
  </sheetViews>
  <sheetFormatPr defaultColWidth="8.81640625" defaultRowHeight="15.5" outlineLevelRow="1" outlineLevelCol="1"/>
  <cols>
    <col min="1" max="1" width="13.81640625" style="57" hidden="1" customWidth="1" outlineLevel="1"/>
    <col min="2" max="2" width="16.453125" style="59" hidden="1" customWidth="1" outlineLevel="1"/>
    <col min="3" max="3" width="17.26953125" style="59" hidden="1" customWidth="1" collapsed="1"/>
    <col min="4" max="4" width="9.26953125" style="59" bestFit="1" customWidth="1"/>
    <col min="5" max="5" width="13.1796875" style="57" bestFit="1" customWidth="1"/>
    <col min="6" max="6" width="30.453125" style="57" bestFit="1" customWidth="1"/>
    <col min="7" max="7" width="10.81640625" style="74" customWidth="1"/>
    <col min="8" max="10" width="10.453125" style="56" bestFit="1" customWidth="1"/>
    <col min="11" max="11" width="16" style="74" bestFit="1" customWidth="1" outlineLevel="1"/>
    <col min="12" max="12" width="10.54296875" style="74" bestFit="1" customWidth="1" outlineLevel="1"/>
    <col min="13" max="13" width="11.1796875" style="74" bestFit="1" customWidth="1" outlineLevel="1"/>
    <col min="14" max="14" width="12.7265625" style="74" bestFit="1" customWidth="1" outlineLevel="1"/>
    <col min="15" max="15" width="11.81640625" style="74" bestFit="1" customWidth="1" outlineLevel="1"/>
    <col min="16" max="17" width="10.453125" style="74" bestFit="1" customWidth="1" outlineLevel="1"/>
    <col min="18" max="18" width="11.54296875" style="74" bestFit="1" customWidth="1" outlineLevel="1"/>
    <col min="19" max="19" width="12.7265625" style="74" bestFit="1" customWidth="1" outlineLevel="1"/>
    <col min="20" max="20" width="10.453125" style="74" bestFit="1" customWidth="1" outlineLevel="1"/>
    <col min="21" max="21" width="11.81640625" style="74" bestFit="1" customWidth="1" outlineLevel="1"/>
    <col min="22" max="22" width="10.54296875" style="74" bestFit="1" customWidth="1" outlineLevel="1"/>
    <col min="23" max="23" width="12.81640625" style="74" bestFit="1" customWidth="1" outlineLevel="1"/>
    <col min="24" max="24" width="13.1796875" style="843" bestFit="1" customWidth="1" outlineLevel="1"/>
    <col min="25" max="26" width="10.453125" style="74" bestFit="1" customWidth="1" outlineLevel="1"/>
    <col min="27" max="27" width="10.54296875" style="74" bestFit="1" customWidth="1" outlineLevel="1"/>
    <col min="28" max="28" width="11.54296875" style="74" bestFit="1" customWidth="1" outlineLevel="1"/>
    <col min="29" max="29" width="10.453125" style="74" bestFit="1" customWidth="1" outlineLevel="1"/>
    <col min="30" max="30" width="11.81640625" style="74" bestFit="1" customWidth="1" outlineLevel="1"/>
    <col min="31" max="31" width="13" style="74" bestFit="1" customWidth="1" outlineLevel="1"/>
    <col min="32" max="32" width="10.453125" style="74" bestFit="1" customWidth="1" outlineLevel="1"/>
    <col min="33" max="33" width="11.453125" style="74" bestFit="1" customWidth="1" outlineLevel="1"/>
    <col min="34" max="34" width="13" style="74" bestFit="1" customWidth="1" outlineLevel="1"/>
    <col min="35" max="35" width="10.453125" style="74" bestFit="1" customWidth="1" outlineLevel="1"/>
    <col min="36" max="36" width="12.26953125" style="74" bestFit="1" customWidth="1" outlineLevel="1"/>
    <col min="37" max="37" width="12.81640625" style="74" bestFit="1" customWidth="1" outlineLevel="1"/>
    <col min="38" max="38" width="13" style="74" bestFit="1" customWidth="1" outlineLevel="1"/>
    <col min="39" max="39" width="10.453125" style="74" bestFit="1" customWidth="1" outlineLevel="1"/>
    <col min="40" max="40" width="10.7265625" style="74" bestFit="1" customWidth="1" outlineLevel="1"/>
    <col min="41" max="41" width="10.54296875" style="74" bestFit="1" customWidth="1" outlineLevel="1"/>
    <col min="42" max="42" width="8.81640625" style="57" customWidth="1"/>
    <col min="43" max="16384" width="8.81640625" style="57"/>
  </cols>
  <sheetData>
    <row r="1" spans="1:41" ht="118.5" customHeight="1" thickBot="1">
      <c r="A1" s="82" t="s">
        <v>4722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</row>
    <row r="2" spans="1:41" ht="24" customHeight="1" thickBot="1">
      <c r="B2" s="82"/>
      <c r="C2" s="1157">
        <f>Tournaments!F3</f>
        <v>46113</v>
      </c>
      <c r="D2" s="1158"/>
      <c r="E2" s="1158"/>
      <c r="F2" s="1158"/>
      <c r="G2" s="1159"/>
      <c r="H2" s="985"/>
      <c r="I2" s="929"/>
      <c r="J2" s="930"/>
      <c r="K2" s="987"/>
      <c r="L2" s="988"/>
      <c r="M2" s="1194">
        <v>2026</v>
      </c>
      <c r="N2" s="1195"/>
      <c r="O2" s="1195"/>
      <c r="P2" s="1196"/>
      <c r="Q2" s="1178">
        <v>2025</v>
      </c>
      <c r="R2" s="1179"/>
      <c r="S2" s="1179"/>
      <c r="T2" s="1179"/>
      <c r="U2" s="1179"/>
      <c r="V2" s="1179"/>
      <c r="W2" s="1179"/>
      <c r="X2" s="1179"/>
      <c r="Y2" s="1179"/>
      <c r="Z2" s="1179"/>
      <c r="AA2" s="1179"/>
      <c r="AB2" s="1180"/>
      <c r="AC2" s="1179"/>
      <c r="AD2" s="1179"/>
      <c r="AE2" s="1181"/>
      <c r="AF2" s="1182">
        <v>2024</v>
      </c>
      <c r="AG2" s="1183"/>
      <c r="AH2" s="1183"/>
      <c r="AI2" s="1183"/>
      <c r="AJ2" s="1183"/>
      <c r="AK2" s="1183"/>
      <c r="AL2" s="1183"/>
      <c r="AM2" s="1183"/>
      <c r="AN2" s="1183"/>
      <c r="AO2" s="1184"/>
    </row>
    <row r="3" spans="1:41" ht="25.5" customHeight="1" thickBot="1">
      <c r="B3" s="70"/>
      <c r="C3" s="1175" t="s">
        <v>3280</v>
      </c>
      <c r="D3" s="1176"/>
      <c r="E3" s="1176"/>
      <c r="F3" s="1176"/>
      <c r="G3" s="1177"/>
      <c r="H3" s="933"/>
      <c r="I3" s="933"/>
      <c r="J3" s="934"/>
      <c r="K3" s="989"/>
      <c r="L3" s="990"/>
      <c r="M3" s="980" t="s">
        <v>3453</v>
      </c>
      <c r="N3" s="1192" t="s">
        <v>2406</v>
      </c>
      <c r="O3" s="1193"/>
      <c r="P3" s="993" t="s">
        <v>1914</v>
      </c>
      <c r="Q3" s="1188" t="s">
        <v>2406</v>
      </c>
      <c r="R3" s="1189"/>
      <c r="S3" s="1189"/>
      <c r="T3" s="1189"/>
      <c r="U3" s="1190"/>
      <c r="V3" s="1188" t="s">
        <v>251</v>
      </c>
      <c r="W3" s="1190"/>
      <c r="X3" s="994" t="s">
        <v>3452</v>
      </c>
      <c r="Y3" s="740" t="s">
        <v>248</v>
      </c>
      <c r="Z3" s="971" t="s">
        <v>4658</v>
      </c>
      <c r="AA3" s="1188" t="s">
        <v>3453</v>
      </c>
      <c r="AB3" s="1191"/>
      <c r="AC3" s="1190"/>
      <c r="AD3" s="1188" t="s">
        <v>1914</v>
      </c>
      <c r="AE3" s="1190"/>
      <c r="AF3" s="1185" t="s">
        <v>2406</v>
      </c>
      <c r="AG3" s="1186"/>
      <c r="AH3" s="1185" t="s">
        <v>1914</v>
      </c>
      <c r="AI3" s="1186"/>
      <c r="AJ3" s="228" t="s">
        <v>3452</v>
      </c>
      <c r="AK3" s="1185" t="s">
        <v>3453</v>
      </c>
      <c r="AL3" s="1187"/>
      <c r="AM3" s="1187"/>
      <c r="AN3" s="1187"/>
      <c r="AO3" s="1186"/>
    </row>
    <row r="4" spans="1:41" ht="59.25" customHeight="1" outlineLevel="1" thickBot="1">
      <c r="A4" s="284" t="s">
        <v>3279</v>
      </c>
      <c r="B4" s="284" t="s">
        <v>3751</v>
      </c>
      <c r="C4" s="986" t="s">
        <v>3874</v>
      </c>
      <c r="D4" s="986" t="s">
        <v>114</v>
      </c>
      <c r="E4" s="986" t="s">
        <v>113</v>
      </c>
      <c r="F4" s="991" t="s">
        <v>3076</v>
      </c>
      <c r="G4" s="992" t="s">
        <v>3455</v>
      </c>
      <c r="H4" s="986" t="s">
        <v>4238</v>
      </c>
      <c r="I4" s="986" t="s">
        <v>4930</v>
      </c>
      <c r="J4" s="986" t="s">
        <v>6139</v>
      </c>
      <c r="K4" s="986" t="s">
        <v>219</v>
      </c>
      <c r="L4" s="986" t="s">
        <v>220</v>
      </c>
      <c r="M4" s="1008" t="s">
        <v>6209</v>
      </c>
      <c r="N4" s="739" t="s">
        <v>6155</v>
      </c>
      <c r="O4" s="739" t="s">
        <v>6157</v>
      </c>
      <c r="P4" s="739" t="s">
        <v>6142</v>
      </c>
      <c r="Q4" s="739" t="s">
        <v>5449</v>
      </c>
      <c r="R4" s="739" t="s">
        <v>5342</v>
      </c>
      <c r="S4" s="739" t="s">
        <v>5654</v>
      </c>
      <c r="T4" s="739" t="s">
        <v>5698</v>
      </c>
      <c r="U4" s="739" t="s">
        <v>5000</v>
      </c>
      <c r="V4" s="739" t="s">
        <v>5644</v>
      </c>
      <c r="W4" s="739" t="s">
        <v>5216</v>
      </c>
      <c r="X4" s="739" t="s">
        <v>6071</v>
      </c>
      <c r="Y4" s="739" t="s">
        <v>6126</v>
      </c>
      <c r="Z4" s="739" t="s">
        <v>5506</v>
      </c>
      <c r="AA4" s="739" t="s">
        <v>5426</v>
      </c>
      <c r="AB4" s="739" t="s">
        <v>5789</v>
      </c>
      <c r="AC4" s="739" t="s">
        <v>5253</v>
      </c>
      <c r="AD4" s="739" t="s">
        <v>5998</v>
      </c>
      <c r="AE4" s="739" t="s">
        <v>5999</v>
      </c>
      <c r="AF4" s="739" t="s">
        <v>4935</v>
      </c>
      <c r="AG4" s="739" t="s">
        <v>4397</v>
      </c>
      <c r="AH4" s="739" t="s">
        <v>4327</v>
      </c>
      <c r="AI4" s="739" t="s">
        <v>4329</v>
      </c>
      <c r="AJ4" s="986" t="s">
        <v>4846</v>
      </c>
      <c r="AK4" s="739" t="s">
        <v>4509</v>
      </c>
      <c r="AL4" s="739" t="s">
        <v>4850</v>
      </c>
      <c r="AM4" s="739" t="s">
        <v>4721</v>
      </c>
      <c r="AN4" s="739" t="s">
        <v>4326</v>
      </c>
      <c r="AO4" s="739" t="s">
        <v>4328</v>
      </c>
    </row>
    <row r="5" spans="1:41" s="58" customFormat="1">
      <c r="A5" s="85" t="str">
        <f>IFERROR(VLOOKUP(Table4[[#This Row],[Player No]],Table10[[#All],[No]:[Age Group]],4,0),"")</f>
        <v>U15</v>
      </c>
      <c r="B5" s="87">
        <v>1</v>
      </c>
      <c r="C5" s="88">
        <f t="shared" ref="C5:C36" si="0">+B5-D5</f>
        <v>0</v>
      </c>
      <c r="D5" s="112">
        <v>1</v>
      </c>
      <c r="E5" s="106">
        <v>2561</v>
      </c>
      <c r="F5" s="107" t="str">
        <f>IFERROR(VLOOKUP(Table4[[#This Row],[Player No]],Table10[[No]:[Province]],2,0),"")</f>
        <v>SCHOLTZ Ruan</v>
      </c>
      <c r="G5" s="108" t="str">
        <f>IFERROR(VLOOKUP(Table4[[#This Row],[Player No]],Table10[[No]:[Province]],3,0),"")</f>
        <v>GN</v>
      </c>
      <c r="H5" s="109">
        <v>673.59375</v>
      </c>
      <c r="I5" s="110">
        <v>668.75</v>
      </c>
      <c r="J5" s="124">
        <f>(Table4[[#This Row],[Points 2025]]/2)+SUM(Table4[[#This Row],[O1  ADMIN 2026]:[P2         WC    Open 2026]])</f>
        <v>384.375</v>
      </c>
      <c r="K5" s="106">
        <f t="shared" ref="K5:K68" si="1">COUNTIF(M5:P5,"&gt;0")</f>
        <v>1</v>
      </c>
      <c r="L5" s="106">
        <f t="shared" ref="L5:L68" si="2">COUNTIF(N5:AO5,"&lt;0")</f>
        <v>0</v>
      </c>
      <c r="M5" s="106">
        <v>50</v>
      </c>
      <c r="N5" s="106" t="s">
        <v>6083</v>
      </c>
      <c r="O5" s="106"/>
      <c r="P5" s="106"/>
      <c r="Q5" s="106">
        <v>150</v>
      </c>
      <c r="R5" s="106"/>
      <c r="S5" s="106"/>
      <c r="T5" s="106"/>
      <c r="U5" s="106"/>
      <c r="V5" s="106"/>
      <c r="W5" s="106"/>
      <c r="X5" s="844">
        <v>125</v>
      </c>
      <c r="Y5" s="106">
        <v>150</v>
      </c>
      <c r="Z5" s="106"/>
      <c r="AA5" s="106">
        <v>50</v>
      </c>
      <c r="AB5" s="106"/>
      <c r="AC5" s="106">
        <v>100</v>
      </c>
      <c r="AD5" s="106"/>
      <c r="AE5" s="106"/>
      <c r="AF5" s="106">
        <v>150</v>
      </c>
      <c r="AG5" s="106">
        <v>50</v>
      </c>
      <c r="AH5" s="106"/>
      <c r="AI5" s="106"/>
      <c r="AJ5" s="106">
        <v>50</v>
      </c>
      <c r="AK5" s="106">
        <v>50</v>
      </c>
      <c r="AL5" s="106">
        <v>50</v>
      </c>
      <c r="AM5" s="106">
        <v>150</v>
      </c>
      <c r="AN5" s="106">
        <v>100</v>
      </c>
      <c r="AO5" s="106"/>
    </row>
    <row r="6" spans="1:41" s="58" customFormat="1">
      <c r="A6" s="85">
        <f>IFERROR(VLOOKUP(Table4[[#This Row],[Player No]],Table10[[#All],[No]:[Age Group]],4,0),"")</f>
        <v>0</v>
      </c>
      <c r="B6" s="87">
        <v>37</v>
      </c>
      <c r="C6" s="88">
        <f t="shared" si="0"/>
        <v>35</v>
      </c>
      <c r="D6" s="61">
        <f>D5+1</f>
        <v>2</v>
      </c>
      <c r="E6" s="63">
        <v>3448</v>
      </c>
      <c r="F6" s="64" t="str">
        <f>IFERROR(VLOOKUP(Table4[[#This Row],[Player No]],Table10[[No]:[Province]],2,0),"")</f>
        <v>ROYAPPEN Tayden</v>
      </c>
      <c r="G6" s="65" t="str">
        <f>IFERROR(VLOOKUP(Table4[[#This Row],[Player No]],Table10[[No]:[Province]],3,0),"")</f>
        <v>UMG</v>
      </c>
      <c r="H6" s="66">
        <v>143.5</v>
      </c>
      <c r="I6" s="96">
        <v>422.75</v>
      </c>
      <c r="J6" s="124">
        <f>(Table4[[#This Row],[Points 2025]]/2)+SUM(Table4[[#This Row],[O1  ADMIN 2026]:[P2         WC    Open 2026]])</f>
        <v>311.375</v>
      </c>
      <c r="K6" s="106">
        <f t="shared" si="1"/>
        <v>2</v>
      </c>
      <c r="L6" s="106">
        <f t="shared" si="2"/>
        <v>0</v>
      </c>
      <c r="M6" s="106" t="s">
        <v>6083</v>
      </c>
      <c r="N6" s="114">
        <v>50</v>
      </c>
      <c r="O6" s="114">
        <v>50</v>
      </c>
      <c r="P6" s="114"/>
      <c r="Q6" s="63">
        <v>100</v>
      </c>
      <c r="R6" s="63">
        <v>25</v>
      </c>
      <c r="S6" s="114">
        <v>35</v>
      </c>
      <c r="T6" s="114">
        <v>100</v>
      </c>
      <c r="U6" s="63">
        <v>25</v>
      </c>
      <c r="V6" s="114"/>
      <c r="W6" s="63"/>
      <c r="X6" s="845">
        <v>125</v>
      </c>
      <c r="Y6" s="708"/>
      <c r="Z6" s="63"/>
      <c r="AA6" s="63"/>
      <c r="AB6" s="114"/>
      <c r="AC6" s="63"/>
      <c r="AD6" s="114"/>
      <c r="AE6" s="63"/>
      <c r="AF6" s="63">
        <v>50</v>
      </c>
      <c r="AG6" s="63">
        <v>25</v>
      </c>
      <c r="AH6" s="63"/>
      <c r="AI6" s="63"/>
      <c r="AJ6" s="63">
        <v>25</v>
      </c>
      <c r="AK6" s="63"/>
      <c r="AL6" s="63"/>
      <c r="AM6" s="63">
        <f>50-50</f>
        <v>0</v>
      </c>
      <c r="AN6" s="63">
        <v>25</v>
      </c>
      <c r="AO6" s="63"/>
    </row>
    <row r="7" spans="1:41" s="58" customFormat="1">
      <c r="A7" s="85" t="str">
        <f>IFERROR(VLOOKUP(Table4[[#This Row],[Player No]],Table10[[#All],[No]:[Age Group]],4,0),"")</f>
        <v>U19</v>
      </c>
      <c r="B7" s="87">
        <v>14</v>
      </c>
      <c r="C7" s="88">
        <f t="shared" si="0"/>
        <v>11</v>
      </c>
      <c r="D7" s="61">
        <f t="shared" ref="D7:D70" si="3">D6+1</f>
        <v>3</v>
      </c>
      <c r="E7" s="63">
        <v>1629</v>
      </c>
      <c r="F7" s="64" t="str">
        <f>IFERROR(VLOOKUP(Table4[[#This Row],[Player No]],Table10[[No]:[Province]],2,0),"")</f>
        <v xml:space="preserve">LODEWYK Cuten </v>
      </c>
      <c r="G7" s="65" t="str">
        <f>IFERROR(VLOOKUP(Table4[[#This Row],[Player No]],Table10[[No]:[Province]],3,0),"")</f>
        <v>CT</v>
      </c>
      <c r="H7" s="66">
        <v>387.5</v>
      </c>
      <c r="I7" s="96">
        <v>523.75</v>
      </c>
      <c r="J7" s="124">
        <f>(Table4[[#This Row],[Points 2025]]/2)+SUM(Table4[[#This Row],[O1  ADMIN 2026]:[P2         WC    Open 2026]])</f>
        <v>261.875</v>
      </c>
      <c r="K7" s="106">
        <f t="shared" si="1"/>
        <v>0</v>
      </c>
      <c r="L7" s="106">
        <f t="shared" si="2"/>
        <v>0</v>
      </c>
      <c r="M7" s="106" t="s">
        <v>6083</v>
      </c>
      <c r="N7" s="114" t="s">
        <v>6083</v>
      </c>
      <c r="O7" s="114"/>
      <c r="P7" s="114"/>
      <c r="Q7" s="63"/>
      <c r="R7" s="63"/>
      <c r="S7" s="114"/>
      <c r="T7" s="114"/>
      <c r="U7" s="63"/>
      <c r="V7" s="114"/>
      <c r="W7" s="63"/>
      <c r="X7" s="845">
        <v>250</v>
      </c>
      <c r="Y7" s="708"/>
      <c r="Z7" s="63"/>
      <c r="AA7" s="63"/>
      <c r="AB7" s="114"/>
      <c r="AC7" s="63">
        <v>75</v>
      </c>
      <c r="AD7" s="114"/>
      <c r="AE7" s="63">
        <v>150</v>
      </c>
      <c r="AF7" s="63"/>
      <c r="AG7" s="63"/>
      <c r="AH7" s="63">
        <v>50</v>
      </c>
      <c r="AI7" s="63"/>
      <c r="AJ7" s="63">
        <v>75</v>
      </c>
      <c r="AK7" s="63"/>
      <c r="AL7" s="63"/>
      <c r="AM7" s="63">
        <v>100</v>
      </c>
      <c r="AN7" s="63"/>
      <c r="AO7" s="63"/>
    </row>
    <row r="8" spans="1:41" s="58" customFormat="1">
      <c r="A8" s="85" t="str">
        <f>IFERROR(VLOOKUP(Table4[[#This Row],[Player No]],Table10[[#All],[No]:[Age Group]],4,0),"")</f>
        <v>U19</v>
      </c>
      <c r="B8" s="87">
        <v>4</v>
      </c>
      <c r="C8" s="88">
        <f t="shared" si="0"/>
        <v>0</v>
      </c>
      <c r="D8" s="61">
        <f t="shared" si="3"/>
        <v>4</v>
      </c>
      <c r="E8" s="63">
        <v>1615</v>
      </c>
      <c r="F8" s="64" t="str">
        <f>IFERROR(VLOOKUP(Table4[[#This Row],[Player No]],Table10[[No]:[Province]],2,0),"")</f>
        <v>GALANT Jodie</v>
      </c>
      <c r="G8" s="65" t="str">
        <f>IFERROR(VLOOKUP(Table4[[#This Row],[Player No]],Table10[[No]:[Province]],3,0),"")</f>
        <v>CT</v>
      </c>
      <c r="H8" s="66">
        <v>597.5</v>
      </c>
      <c r="I8" s="96">
        <v>481.75</v>
      </c>
      <c r="J8" s="124">
        <f>(Table4[[#This Row],[Points 2025]]/2)+SUM(Table4[[#This Row],[O1  ADMIN 2026]:[P2         WC    Open 2026]])</f>
        <v>240.875</v>
      </c>
      <c r="K8" s="106">
        <f t="shared" si="1"/>
        <v>0</v>
      </c>
      <c r="L8" s="106">
        <f t="shared" si="2"/>
        <v>0</v>
      </c>
      <c r="M8" s="106" t="s">
        <v>6083</v>
      </c>
      <c r="N8" s="114" t="s">
        <v>6083</v>
      </c>
      <c r="O8" s="114" t="s">
        <v>6083</v>
      </c>
      <c r="P8" s="114"/>
      <c r="Q8" s="63"/>
      <c r="R8" s="63"/>
      <c r="S8" s="114"/>
      <c r="T8" s="114"/>
      <c r="U8" s="63"/>
      <c r="V8" s="114">
        <v>100</v>
      </c>
      <c r="W8" s="63"/>
      <c r="X8" s="845">
        <v>25</v>
      </c>
      <c r="Y8" s="708"/>
      <c r="Z8" s="63"/>
      <c r="AA8" s="63"/>
      <c r="AB8" s="114"/>
      <c r="AC8" s="63"/>
      <c r="AD8" s="114">
        <v>0</v>
      </c>
      <c r="AE8" s="63">
        <v>100</v>
      </c>
      <c r="AF8" s="63"/>
      <c r="AG8" s="63"/>
      <c r="AH8" s="63">
        <v>100</v>
      </c>
      <c r="AI8" s="63">
        <v>150</v>
      </c>
      <c r="AJ8" s="63">
        <v>175</v>
      </c>
      <c r="AK8" s="63"/>
      <c r="AL8" s="63"/>
      <c r="AM8" s="63"/>
      <c r="AN8" s="63"/>
      <c r="AO8" s="63"/>
    </row>
    <row r="9" spans="1:41" s="58" customFormat="1">
      <c r="A9" s="85" t="str">
        <f>IFERROR(VLOOKUP(Table4[[#This Row],[Player No]],Table10[[#All],[No]:[Age Group]],4,0),"")</f>
        <v>U19</v>
      </c>
      <c r="B9" s="87">
        <v>38</v>
      </c>
      <c r="C9" s="88">
        <f t="shared" si="0"/>
        <v>33</v>
      </c>
      <c r="D9" s="61">
        <f t="shared" si="3"/>
        <v>5</v>
      </c>
      <c r="E9" s="63">
        <v>2654</v>
      </c>
      <c r="F9" s="64" t="str">
        <f>IFERROR(VLOOKUP(Table4[[#This Row],[Player No]],Table10[[No]:[Province]],2,0),"")</f>
        <v>JIVRAJ Bimal</v>
      </c>
      <c r="G9" s="65" t="str">
        <f>IFERROR(VLOOKUP(Table4[[#This Row],[Player No]],Table10[[No]:[Province]],3,0),"")</f>
        <v>JTTA</v>
      </c>
      <c r="H9" s="66">
        <v>225.5</v>
      </c>
      <c r="I9" s="96">
        <v>405</v>
      </c>
      <c r="J9" s="124">
        <f>(Table4[[#This Row],[Points 2025]]/2)+SUM(Table4[[#This Row],[O1  ADMIN 2026]:[P2         WC    Open 2026]])</f>
        <v>237.5</v>
      </c>
      <c r="K9" s="106">
        <f t="shared" si="1"/>
        <v>1</v>
      </c>
      <c r="L9" s="106">
        <f t="shared" si="2"/>
        <v>0</v>
      </c>
      <c r="M9" s="106">
        <v>35</v>
      </c>
      <c r="N9" s="114" t="s">
        <v>6083</v>
      </c>
      <c r="O9" s="114" t="s">
        <v>6083</v>
      </c>
      <c r="P9" s="114"/>
      <c r="Q9" s="63">
        <v>25</v>
      </c>
      <c r="R9" s="63"/>
      <c r="S9" s="114"/>
      <c r="T9" s="114"/>
      <c r="U9" s="63"/>
      <c r="V9" s="114">
        <v>25</v>
      </c>
      <c r="W9" s="63"/>
      <c r="X9" s="845">
        <v>75</v>
      </c>
      <c r="Y9" s="708"/>
      <c r="Z9" s="63">
        <v>25</v>
      </c>
      <c r="AA9" s="63">
        <v>35</v>
      </c>
      <c r="AB9" s="114">
        <v>75</v>
      </c>
      <c r="AC9" s="63">
        <v>50</v>
      </c>
      <c r="AD9" s="114"/>
      <c r="AE9" s="63"/>
      <c r="AF9" s="63"/>
      <c r="AG9" s="63"/>
      <c r="AH9" s="63"/>
      <c r="AI9" s="63"/>
      <c r="AJ9" s="63">
        <v>75</v>
      </c>
      <c r="AK9" s="63">
        <v>25</v>
      </c>
      <c r="AL9" s="63">
        <v>25</v>
      </c>
      <c r="AM9" s="63">
        <v>25</v>
      </c>
      <c r="AN9" s="63">
        <v>25</v>
      </c>
      <c r="AO9" s="63">
        <v>25</v>
      </c>
    </row>
    <row r="10" spans="1:41" s="58" customFormat="1">
      <c r="A10" s="85">
        <f>IFERROR(VLOOKUP(Table4[[#This Row],[Player No]],Table10[[#All],[No]:[Age Group]],4,0),"")</f>
        <v>0</v>
      </c>
      <c r="B10" s="87">
        <v>8</v>
      </c>
      <c r="C10" s="88">
        <f t="shared" si="0"/>
        <v>2</v>
      </c>
      <c r="D10" s="61">
        <f t="shared" si="3"/>
        <v>6</v>
      </c>
      <c r="E10" s="63">
        <v>3384</v>
      </c>
      <c r="F10" s="64" t="str">
        <f>IFERROR(VLOOKUP(Table4[[#This Row],[Player No]],Table10[[No]:[Province]],2,0),"")</f>
        <v>SITHOLE Siphelele</v>
      </c>
      <c r="G10" s="65" t="str">
        <f>IFERROR(VLOOKUP(Table4[[#This Row],[Player No]],Table10[[No]:[Province]],3,0),"")</f>
        <v>ETTA</v>
      </c>
      <c r="H10" s="66">
        <v>160</v>
      </c>
      <c r="I10" s="96">
        <v>354.65625</v>
      </c>
      <c r="J10" s="124">
        <f>(Table4[[#This Row],[Points 2025]]/2)+SUM(Table4[[#This Row],[O1  ADMIN 2026]:[P2         WC    Open 2026]])</f>
        <v>212.328125</v>
      </c>
      <c r="K10" s="106">
        <f t="shared" si="1"/>
        <v>1</v>
      </c>
      <c r="L10" s="106">
        <f t="shared" si="2"/>
        <v>0</v>
      </c>
      <c r="M10" s="106" t="s">
        <v>6083</v>
      </c>
      <c r="N10" s="114" t="s">
        <v>6083</v>
      </c>
      <c r="O10" s="114">
        <v>35</v>
      </c>
      <c r="P10" s="114"/>
      <c r="Q10" s="63">
        <v>50</v>
      </c>
      <c r="R10" s="63">
        <v>50</v>
      </c>
      <c r="S10" s="114">
        <v>25</v>
      </c>
      <c r="T10" s="114">
        <v>75</v>
      </c>
      <c r="U10" s="63">
        <v>50</v>
      </c>
      <c r="V10" s="114"/>
      <c r="W10" s="63"/>
      <c r="X10" s="845">
        <v>75</v>
      </c>
      <c r="Y10" s="708"/>
      <c r="Z10" s="63"/>
      <c r="AA10" s="63"/>
      <c r="AB10" s="114"/>
      <c r="AC10" s="63"/>
      <c r="AD10" s="114"/>
      <c r="AE10" s="63"/>
      <c r="AF10" s="63">
        <v>100</v>
      </c>
      <c r="AG10" s="63">
        <v>35</v>
      </c>
      <c r="AH10" s="63"/>
      <c r="AI10" s="63"/>
      <c r="AJ10" s="63">
        <v>25</v>
      </c>
      <c r="AK10" s="63"/>
      <c r="AL10" s="63"/>
      <c r="AM10" s="63"/>
      <c r="AN10" s="63"/>
      <c r="AO10" s="63"/>
    </row>
    <row r="11" spans="1:41" s="58" customFormat="1">
      <c r="A11" s="85">
        <f>IFERROR(VLOOKUP(Table4[[#This Row],[Player No]],Table10[[#All],[No]:[Age Group]],4,0),"")</f>
        <v>0</v>
      </c>
      <c r="B11" s="87">
        <v>7</v>
      </c>
      <c r="C11" s="88">
        <f t="shared" si="0"/>
        <v>0</v>
      </c>
      <c r="D11" s="61">
        <f t="shared" si="3"/>
        <v>7</v>
      </c>
      <c r="E11" s="63">
        <v>2103</v>
      </c>
      <c r="F11" s="64" t="str">
        <f>IFERROR(VLOOKUP(Table4[[#This Row],[Player No]],Table10[[No]:[Province]],2,0),"")</f>
        <v>PILLAY Himesh</v>
      </c>
      <c r="G11" s="65" t="str">
        <f>IFERROR(VLOOKUP(Table4[[#This Row],[Player No]],Table10[[No]:[Province]],3,0),"")</f>
        <v>UMG</v>
      </c>
      <c r="H11" s="66">
        <v>165</v>
      </c>
      <c r="I11" s="96">
        <v>257.5</v>
      </c>
      <c r="J11" s="124">
        <f>(Table4[[#This Row],[Points 2025]]/2)+SUM(Table4[[#This Row],[O1  ADMIN 2026]:[P2         WC    Open 2026]])</f>
        <v>178.75</v>
      </c>
      <c r="K11" s="106">
        <f t="shared" si="1"/>
        <v>2</v>
      </c>
      <c r="L11" s="106">
        <f t="shared" si="2"/>
        <v>0</v>
      </c>
      <c r="M11" s="106" t="s">
        <v>6083</v>
      </c>
      <c r="N11" s="114">
        <v>25</v>
      </c>
      <c r="O11" s="114">
        <v>25</v>
      </c>
      <c r="P11" s="114"/>
      <c r="Q11" s="63">
        <v>25</v>
      </c>
      <c r="R11" s="63">
        <v>15</v>
      </c>
      <c r="S11" s="114">
        <v>50</v>
      </c>
      <c r="T11" s="114">
        <v>50</v>
      </c>
      <c r="U11" s="63">
        <v>25</v>
      </c>
      <c r="V11" s="114"/>
      <c r="W11" s="63"/>
      <c r="X11" s="845">
        <v>10</v>
      </c>
      <c r="Y11" s="708"/>
      <c r="Z11" s="63"/>
      <c r="AA11" s="63"/>
      <c r="AB11" s="114"/>
      <c r="AC11" s="63"/>
      <c r="AD11" s="114"/>
      <c r="AE11" s="63"/>
      <c r="AF11" s="63">
        <v>75</v>
      </c>
      <c r="AG11" s="63">
        <v>25</v>
      </c>
      <c r="AH11" s="63"/>
      <c r="AI11" s="63"/>
      <c r="AJ11" s="63">
        <v>25</v>
      </c>
      <c r="AK11" s="63"/>
      <c r="AL11" s="63"/>
      <c r="AM11" s="63"/>
      <c r="AN11" s="63"/>
      <c r="AO11" s="63"/>
    </row>
    <row r="12" spans="1:41" s="58" customFormat="1">
      <c r="A12" s="85" t="str">
        <f>IFERROR(VLOOKUP(Table4[[#This Row],[Player No]],Table10[[#All],[No]:[Age Group]],4,0),"")</f>
        <v>U19</v>
      </c>
      <c r="B12" s="87">
        <v>33</v>
      </c>
      <c r="C12" s="88">
        <f t="shared" si="0"/>
        <v>25</v>
      </c>
      <c r="D12" s="61">
        <f t="shared" si="3"/>
        <v>8</v>
      </c>
      <c r="E12" s="63">
        <v>2175</v>
      </c>
      <c r="F12" s="64" t="str">
        <f>IFERROR(VLOOKUP(Table4[[#This Row],[Player No]],Table10[[No]:[Province]],2,0),"")</f>
        <v>Williams Xhaiden</v>
      </c>
      <c r="G12" s="65" t="str">
        <f>IFERROR(VLOOKUP(Table4[[#This Row],[Player No]],Table10[[No]:[Province]],3,0),"")</f>
        <v>EDEN</v>
      </c>
      <c r="H12" s="66">
        <v>259.3125</v>
      </c>
      <c r="I12" s="96">
        <v>339</v>
      </c>
      <c r="J12" s="124">
        <f>(Table4[[#This Row],[Points 2025]]/2)+SUM(Table4[[#This Row],[O1  ADMIN 2026]:[P2         WC    Open 2026]])</f>
        <v>169.5</v>
      </c>
      <c r="K12" s="106">
        <f t="shared" si="1"/>
        <v>0</v>
      </c>
      <c r="L12" s="106">
        <f t="shared" si="2"/>
        <v>0</v>
      </c>
      <c r="M12" s="106" t="s">
        <v>6083</v>
      </c>
      <c r="N12" s="114" t="s">
        <v>6083</v>
      </c>
      <c r="O12" s="114" t="s">
        <v>6083</v>
      </c>
      <c r="P12" s="114"/>
      <c r="Q12" s="63"/>
      <c r="R12" s="63"/>
      <c r="S12" s="114"/>
      <c r="T12" s="114"/>
      <c r="U12" s="63"/>
      <c r="V12" s="114"/>
      <c r="W12" s="63"/>
      <c r="X12" s="845">
        <v>50</v>
      </c>
      <c r="Y12" s="708">
        <v>100</v>
      </c>
      <c r="Z12" s="63"/>
      <c r="AA12" s="63"/>
      <c r="AB12" s="114"/>
      <c r="AC12" s="63"/>
      <c r="AD12" s="114"/>
      <c r="AE12" s="63">
        <v>75</v>
      </c>
      <c r="AF12" s="63"/>
      <c r="AG12" s="63"/>
      <c r="AH12" s="63">
        <v>25</v>
      </c>
      <c r="AI12" s="63">
        <v>75</v>
      </c>
      <c r="AJ12" s="63">
        <v>125</v>
      </c>
      <c r="AK12" s="63"/>
      <c r="AL12" s="63"/>
      <c r="AM12" s="63"/>
      <c r="AN12" s="63"/>
      <c r="AO12" s="63"/>
    </row>
    <row r="13" spans="1:41" s="58" customFormat="1">
      <c r="A13" s="85" t="str">
        <f>IFERROR(VLOOKUP(Table4[[#This Row],[Player No]],Table10[[#All],[No]:[Age Group]],4,0),"")</f>
        <v>U19</v>
      </c>
      <c r="B13" s="87">
        <v>6</v>
      </c>
      <c r="C13" s="88">
        <f t="shared" si="0"/>
        <v>-3</v>
      </c>
      <c r="D13" s="61">
        <f t="shared" si="3"/>
        <v>9</v>
      </c>
      <c r="E13" s="63">
        <v>1372</v>
      </c>
      <c r="F13" s="64" t="str">
        <f>IFERROR(VLOOKUP(Table4[[#This Row],[Player No]],Table10[[No]:[Province]],2,0),"")</f>
        <v xml:space="preserve">MNGADI Sphamandla </v>
      </c>
      <c r="G13" s="65" t="str">
        <f>IFERROR(VLOOKUP(Table4[[#This Row],[Player No]],Table10[[No]:[Province]],3,0),"")</f>
        <v>UMG</v>
      </c>
      <c r="H13" s="66">
        <v>78</v>
      </c>
      <c r="I13" s="96">
        <v>332.75</v>
      </c>
      <c r="J13" s="124">
        <f>(Table4[[#This Row],[Points 2025]]/2)+SUM(Table4[[#This Row],[O1  ADMIN 2026]:[P2         WC    Open 2026]])</f>
        <v>166.375</v>
      </c>
      <c r="K13" s="106">
        <f t="shared" si="1"/>
        <v>0</v>
      </c>
      <c r="L13" s="106">
        <f t="shared" si="2"/>
        <v>0</v>
      </c>
      <c r="M13" s="106" t="s">
        <v>6083</v>
      </c>
      <c r="N13" s="114" t="s">
        <v>6083</v>
      </c>
      <c r="O13" s="114" t="s">
        <v>6083</v>
      </c>
      <c r="P13" s="114"/>
      <c r="Q13" s="63">
        <v>75</v>
      </c>
      <c r="R13" s="63">
        <v>15</v>
      </c>
      <c r="S13" s="114">
        <v>25</v>
      </c>
      <c r="T13" s="114">
        <v>50</v>
      </c>
      <c r="U13" s="63">
        <v>35</v>
      </c>
      <c r="V13" s="114"/>
      <c r="W13" s="63"/>
      <c r="X13" s="845">
        <v>25</v>
      </c>
      <c r="Y13" s="708">
        <v>75</v>
      </c>
      <c r="Z13" s="63"/>
      <c r="AA13" s="63"/>
      <c r="AB13" s="114"/>
      <c r="AC13" s="63"/>
      <c r="AD13" s="114"/>
      <c r="AE13" s="63"/>
      <c r="AF13" s="63"/>
      <c r="AG13" s="63">
        <v>10</v>
      </c>
      <c r="AH13" s="63"/>
      <c r="AI13" s="63"/>
      <c r="AJ13" s="63">
        <v>25</v>
      </c>
      <c r="AK13" s="63"/>
      <c r="AL13" s="63"/>
      <c r="AM13" s="63"/>
      <c r="AN13" s="63"/>
      <c r="AO13" s="63"/>
    </row>
    <row r="14" spans="1:41" s="58" customFormat="1">
      <c r="A14" s="85">
        <f>IFERROR(VLOOKUP(Table4[[#This Row],[Player No]],Table10[[#All],[No]:[Age Group]],4,0),"")</f>
        <v>0</v>
      </c>
      <c r="B14" s="87">
        <v>27</v>
      </c>
      <c r="C14" s="88">
        <f t="shared" si="0"/>
        <v>17</v>
      </c>
      <c r="D14" s="61">
        <f t="shared" si="3"/>
        <v>10</v>
      </c>
      <c r="E14" s="63">
        <v>3375</v>
      </c>
      <c r="F14" s="64" t="str">
        <f>IFERROR(VLOOKUP(Table4[[#This Row],[Player No]],Table10[[No]:[Province]],2,0),"")</f>
        <v>MAKHAYE Mlungisi</v>
      </c>
      <c r="G14" s="65" t="str">
        <f>IFERROR(VLOOKUP(Table4[[#This Row],[Player No]],Table10[[No]:[Province]],3,0),"")</f>
        <v>UMG</v>
      </c>
      <c r="H14" s="66">
        <v>97.5</v>
      </c>
      <c r="I14" s="96">
        <v>192.5</v>
      </c>
      <c r="J14" s="124">
        <f>(Table4[[#This Row],[Points 2025]]/2)+SUM(Table4[[#This Row],[O1  ADMIN 2026]:[P2         WC    Open 2026]])</f>
        <v>156.25</v>
      </c>
      <c r="K14" s="106">
        <f t="shared" si="1"/>
        <v>2</v>
      </c>
      <c r="L14" s="106">
        <f t="shared" si="2"/>
        <v>0</v>
      </c>
      <c r="M14" s="106" t="s">
        <v>6083</v>
      </c>
      <c r="N14" s="114">
        <v>35</v>
      </c>
      <c r="O14" s="114">
        <v>25</v>
      </c>
      <c r="P14" s="114"/>
      <c r="Q14" s="63">
        <v>50</v>
      </c>
      <c r="R14" s="63">
        <v>25</v>
      </c>
      <c r="S14" s="114">
        <v>15</v>
      </c>
      <c r="T14" s="114">
        <v>25</v>
      </c>
      <c r="U14" s="63">
        <v>15</v>
      </c>
      <c r="V14" s="114"/>
      <c r="W14" s="63"/>
      <c r="X14" s="845">
        <v>25</v>
      </c>
      <c r="Y14" s="708"/>
      <c r="Z14" s="63"/>
      <c r="AA14" s="63"/>
      <c r="AB14" s="114"/>
      <c r="AC14" s="63"/>
      <c r="AD14" s="114"/>
      <c r="AE14" s="63"/>
      <c r="AF14" s="63">
        <v>50</v>
      </c>
      <c r="AG14" s="63">
        <v>15</v>
      </c>
      <c r="AH14" s="63"/>
      <c r="AI14" s="63"/>
      <c r="AJ14" s="63">
        <v>10</v>
      </c>
      <c r="AK14" s="63"/>
      <c r="AL14" s="63"/>
      <c r="AM14" s="63">
        <f>25-25</f>
        <v>0</v>
      </c>
      <c r="AN14" s="63"/>
      <c r="AO14" s="63"/>
    </row>
    <row r="15" spans="1:41" s="58" customFormat="1">
      <c r="A15" s="85">
        <f>IFERROR(VLOOKUP(Table4[[#This Row],[Player No]],Table10[[#All],[No]:[Age Group]],4,0),"")</f>
        <v>0</v>
      </c>
      <c r="B15" s="87">
        <v>2</v>
      </c>
      <c r="C15" s="88">
        <f t="shared" si="0"/>
        <v>-9</v>
      </c>
      <c r="D15" s="61">
        <f t="shared" si="3"/>
        <v>11</v>
      </c>
      <c r="E15" s="63">
        <v>3427</v>
      </c>
      <c r="F15" s="64" t="str">
        <f>IFERROR(VLOOKUP(Table4[[#This Row],[Player No]],Table10[[No]:[Province]],2,0),"")</f>
        <v>REDLINGHUYS Seth</v>
      </c>
      <c r="G15" s="65" t="str">
        <f>IFERROR(VLOOKUP(Table4[[#This Row],[Player No]],Table10[[No]:[Province]],3,0),"")</f>
        <v>UMG</v>
      </c>
      <c r="H15" s="66">
        <v>75</v>
      </c>
      <c r="I15" s="96">
        <v>185</v>
      </c>
      <c r="J15" s="124">
        <f>(Table4[[#This Row],[Points 2025]]/2)+SUM(Table4[[#This Row],[O1  ADMIN 2026]:[P2         WC    Open 2026]])</f>
        <v>132.5</v>
      </c>
      <c r="K15" s="106">
        <f t="shared" si="1"/>
        <v>2</v>
      </c>
      <c r="L15" s="106">
        <f t="shared" si="2"/>
        <v>0</v>
      </c>
      <c r="M15" s="106" t="s">
        <v>6083</v>
      </c>
      <c r="N15" s="114">
        <v>25</v>
      </c>
      <c r="O15" s="114">
        <v>15</v>
      </c>
      <c r="P15" s="114"/>
      <c r="Q15" s="63">
        <v>50</v>
      </c>
      <c r="R15" s="63">
        <v>35</v>
      </c>
      <c r="S15" s="114">
        <v>10</v>
      </c>
      <c r="T15" s="114"/>
      <c r="U15" s="63">
        <v>10</v>
      </c>
      <c r="V15" s="114"/>
      <c r="W15" s="63"/>
      <c r="X15" s="845">
        <v>50</v>
      </c>
      <c r="Y15" s="708"/>
      <c r="Z15" s="63"/>
      <c r="AA15" s="63"/>
      <c r="AB15" s="114"/>
      <c r="AC15" s="63"/>
      <c r="AD15" s="114"/>
      <c r="AE15" s="63"/>
      <c r="AF15" s="63">
        <v>25</v>
      </c>
      <c r="AG15" s="63">
        <v>15</v>
      </c>
      <c r="AH15" s="63"/>
      <c r="AI15" s="63"/>
      <c r="AJ15" s="63"/>
      <c r="AK15" s="63"/>
      <c r="AL15" s="63"/>
      <c r="AM15" s="63"/>
      <c r="AN15" s="63"/>
      <c r="AO15" s="63"/>
    </row>
    <row r="16" spans="1:41" s="58" customFormat="1">
      <c r="A16" s="85" t="str">
        <f>IFERROR(VLOOKUP(Table4[[#This Row],[Player No]],Table10[[#All],[No]:[Age Group]],4,0),"")</f>
        <v>U19</v>
      </c>
      <c r="B16" s="87">
        <v>22</v>
      </c>
      <c r="C16" s="88">
        <f t="shared" si="0"/>
        <v>10</v>
      </c>
      <c r="D16" s="61">
        <f t="shared" si="3"/>
        <v>12</v>
      </c>
      <c r="E16" s="63">
        <v>2708</v>
      </c>
      <c r="F16" s="64" t="str">
        <f>IFERROR(VLOOKUP(Table4[[#This Row],[Player No]],Table10[[No]:[Province]],2,0),"")</f>
        <v>LINGEVELDT Matthew</v>
      </c>
      <c r="G16" s="65" t="str">
        <f>IFERROR(VLOOKUP(Table4[[#This Row],[Player No]],Table10[[No]:[Province]],3,0),"")</f>
        <v>CT</v>
      </c>
      <c r="H16" s="66">
        <v>200.5</v>
      </c>
      <c r="I16" s="96">
        <v>257.5</v>
      </c>
      <c r="J16" s="124">
        <f>(Table4[[#This Row],[Points 2025]]/2)+SUM(Table4[[#This Row],[O1  ADMIN 2026]:[P2         WC    Open 2026]])</f>
        <v>128.75</v>
      </c>
      <c r="K16" s="106">
        <f t="shared" si="1"/>
        <v>0</v>
      </c>
      <c r="L16" s="106">
        <f t="shared" si="2"/>
        <v>0</v>
      </c>
      <c r="M16" s="106" t="s">
        <v>6083</v>
      </c>
      <c r="N16" s="114" t="s">
        <v>6083</v>
      </c>
      <c r="O16" s="114" t="s">
        <v>6083</v>
      </c>
      <c r="P16" s="114"/>
      <c r="Q16" s="63"/>
      <c r="R16" s="63"/>
      <c r="S16" s="114"/>
      <c r="T16" s="114"/>
      <c r="U16" s="63"/>
      <c r="V16" s="114">
        <v>75</v>
      </c>
      <c r="W16" s="63"/>
      <c r="X16" s="845">
        <v>75</v>
      </c>
      <c r="Y16" s="708"/>
      <c r="Z16" s="63"/>
      <c r="AA16" s="63"/>
      <c r="AB16" s="114"/>
      <c r="AC16" s="63"/>
      <c r="AD16" s="114">
        <v>7.5</v>
      </c>
      <c r="AE16" s="63">
        <v>75</v>
      </c>
      <c r="AF16" s="63"/>
      <c r="AG16" s="63"/>
      <c r="AH16" s="63">
        <v>15</v>
      </c>
      <c r="AI16" s="63">
        <v>100</v>
      </c>
      <c r="AJ16" s="63">
        <v>50</v>
      </c>
      <c r="AK16" s="63"/>
      <c r="AL16" s="63"/>
      <c r="AM16" s="63"/>
      <c r="AN16" s="63"/>
      <c r="AO16" s="63"/>
    </row>
    <row r="17" spans="1:41" s="58" customFormat="1">
      <c r="A17" s="85" t="str">
        <f>IFERROR(VLOOKUP(Table4[[#This Row],[Player No]],Table10[[#All],[No]:[Age Group]],4,0),"")</f>
        <v>U19</v>
      </c>
      <c r="B17" s="87">
        <v>68</v>
      </c>
      <c r="C17" s="88">
        <f t="shared" si="0"/>
        <v>55</v>
      </c>
      <c r="D17" s="61">
        <f t="shared" si="3"/>
        <v>13</v>
      </c>
      <c r="E17" s="63">
        <v>2295</v>
      </c>
      <c r="F17" s="64" t="str">
        <f>IFERROR(VLOOKUP(Table4[[#This Row],[Player No]],Table10[[No]:[Province]],2,0),"")</f>
        <v>PIENAAR Nashwin</v>
      </c>
      <c r="G17" s="65" t="str">
        <f>IFERROR(VLOOKUP(Table4[[#This Row],[Player No]],Table10[[No]:[Province]],3,0),"")</f>
        <v>CT</v>
      </c>
      <c r="H17" s="66">
        <v>80</v>
      </c>
      <c r="I17" s="96">
        <v>203.75</v>
      </c>
      <c r="J17" s="124">
        <f>(Table4[[#This Row],[Points 2025]]/2)+SUM(Table4[[#This Row],[O1  ADMIN 2026]:[P2         WC    Open 2026]])</f>
        <v>101.875</v>
      </c>
      <c r="K17" s="106">
        <f t="shared" si="1"/>
        <v>0</v>
      </c>
      <c r="L17" s="106">
        <f t="shared" si="2"/>
        <v>0</v>
      </c>
      <c r="M17" s="106" t="s">
        <v>6083</v>
      </c>
      <c r="N17" s="114" t="s">
        <v>6083</v>
      </c>
      <c r="O17" s="114" t="s">
        <v>6083</v>
      </c>
      <c r="P17" s="114"/>
      <c r="Q17" s="63"/>
      <c r="R17" s="63"/>
      <c r="S17" s="114"/>
      <c r="T17" s="114"/>
      <c r="U17" s="63"/>
      <c r="V17" s="114"/>
      <c r="W17" s="63"/>
      <c r="X17" s="845">
        <v>175</v>
      </c>
      <c r="Y17" s="708"/>
      <c r="Z17" s="63"/>
      <c r="AA17" s="63"/>
      <c r="AB17" s="114"/>
      <c r="AC17" s="63"/>
      <c r="AD17" s="114">
        <v>17.5</v>
      </c>
      <c r="AE17" s="63">
        <v>25</v>
      </c>
      <c r="AF17" s="63"/>
      <c r="AG17" s="63"/>
      <c r="AH17" s="63"/>
      <c r="AI17" s="63"/>
      <c r="AJ17" s="63"/>
      <c r="AK17" s="63"/>
      <c r="AL17" s="63"/>
      <c r="AM17" s="63"/>
      <c r="AN17" s="63"/>
      <c r="AO17" s="63"/>
    </row>
    <row r="18" spans="1:41" s="58" customFormat="1">
      <c r="A18" s="85"/>
      <c r="B18" s="87"/>
      <c r="C18" s="88">
        <f t="shared" si="0"/>
        <v>-14</v>
      </c>
      <c r="D18" s="61">
        <f t="shared" si="3"/>
        <v>14</v>
      </c>
      <c r="E18" s="63">
        <v>2099</v>
      </c>
      <c r="F18" s="64" t="str">
        <f>IFERROR(VLOOKUP(Table4[[#This Row],[Player No]],Table10[[No]:[Province]],2,0),"")</f>
        <v>MOODLEY Saiyin</v>
      </c>
      <c r="G18" s="65" t="str">
        <f>IFERROR(VLOOKUP(Table4[[#This Row],[Player No]],Table10[[No]:[Province]],3,0),"")</f>
        <v>UMG</v>
      </c>
      <c r="H18" s="66">
        <v>44.25</v>
      </c>
      <c r="I18" s="96">
        <v>125</v>
      </c>
      <c r="J18" s="124">
        <f>(Table4[[#This Row],[Points 2025]]/2)+SUM(Table4[[#This Row],[O1  ADMIN 2026]:[P2         WC    Open 2026]])</f>
        <v>92.5</v>
      </c>
      <c r="K18" s="106">
        <f t="shared" si="1"/>
        <v>2</v>
      </c>
      <c r="L18" s="106">
        <f t="shared" si="2"/>
        <v>0</v>
      </c>
      <c r="M18" s="106" t="s">
        <v>6083</v>
      </c>
      <c r="N18" s="114">
        <v>15</v>
      </c>
      <c r="O18" s="114">
        <v>15</v>
      </c>
      <c r="P18" s="114"/>
      <c r="Q18" s="63">
        <v>25</v>
      </c>
      <c r="R18" s="63">
        <v>15</v>
      </c>
      <c r="S18" s="114">
        <v>10</v>
      </c>
      <c r="T18" s="114">
        <v>25</v>
      </c>
      <c r="U18" s="63">
        <v>10</v>
      </c>
      <c r="V18" s="114"/>
      <c r="W18" s="63"/>
      <c r="X18" s="845">
        <v>25</v>
      </c>
      <c r="Y18" s="708"/>
      <c r="Z18" s="63"/>
      <c r="AA18" s="63"/>
      <c r="AB18" s="114"/>
      <c r="AC18" s="63"/>
      <c r="AD18" s="114"/>
      <c r="AE18" s="63"/>
      <c r="AF18" s="63">
        <v>2</v>
      </c>
      <c r="AG18" s="63">
        <v>1</v>
      </c>
      <c r="AH18" s="63"/>
      <c r="AI18" s="63"/>
      <c r="AJ18" s="63">
        <v>10</v>
      </c>
      <c r="AK18" s="63"/>
      <c r="AL18" s="63"/>
      <c r="AM18" s="63">
        <v>25</v>
      </c>
      <c r="AN18" s="63"/>
      <c r="AO18" s="63"/>
    </row>
    <row r="19" spans="1:41" s="58" customFormat="1">
      <c r="A19" s="85" t="str">
        <f>IFERROR(VLOOKUP(Table4[[#This Row],[Player No]],Table10[[#All],[No]:[Age Group]],4,0),"")</f>
        <v>U19</v>
      </c>
      <c r="B19" s="87">
        <v>45</v>
      </c>
      <c r="C19" s="88">
        <f t="shared" si="0"/>
        <v>30</v>
      </c>
      <c r="D19" s="61">
        <f t="shared" si="3"/>
        <v>15</v>
      </c>
      <c r="E19" s="63">
        <v>3243</v>
      </c>
      <c r="F19" s="64" t="str">
        <f>IFERROR(VLOOKUP(Table4[[#This Row],[Player No]],Table10[[No]:[Province]],2,0),"")</f>
        <v>VAN HEERDEN Gerswin</v>
      </c>
      <c r="G19" s="65" t="str">
        <f>IFERROR(VLOOKUP(Table4[[#This Row],[Player No]],Table10[[No]:[Province]],3,0),"")</f>
        <v>EDEN</v>
      </c>
      <c r="H19" s="66">
        <v>90</v>
      </c>
      <c r="I19" s="96">
        <v>180</v>
      </c>
      <c r="J19" s="124">
        <f>(Table4[[#This Row],[Points 2025]]/2)+SUM(Table4[[#This Row],[O1  ADMIN 2026]:[P2         WC    Open 2026]])</f>
        <v>90</v>
      </c>
      <c r="K19" s="106">
        <f t="shared" si="1"/>
        <v>0</v>
      </c>
      <c r="L19" s="106">
        <f t="shared" si="2"/>
        <v>0</v>
      </c>
      <c r="M19" s="106" t="s">
        <v>6083</v>
      </c>
      <c r="N19" s="114" t="s">
        <v>6083</v>
      </c>
      <c r="O19" s="114" t="s">
        <v>6083</v>
      </c>
      <c r="P19" s="114"/>
      <c r="Q19" s="63"/>
      <c r="R19" s="63"/>
      <c r="S19" s="114"/>
      <c r="T19" s="114"/>
      <c r="U19" s="63"/>
      <c r="V19" s="114"/>
      <c r="W19" s="63"/>
      <c r="X19" s="845">
        <v>50</v>
      </c>
      <c r="Y19" s="708">
        <v>75</v>
      </c>
      <c r="Z19" s="63"/>
      <c r="AA19" s="63"/>
      <c r="AB19" s="114"/>
      <c r="AC19" s="63"/>
      <c r="AD19" s="114"/>
      <c r="AE19" s="63">
        <v>15</v>
      </c>
      <c r="AF19" s="63"/>
      <c r="AG19" s="63"/>
      <c r="AH19" s="63">
        <v>15</v>
      </c>
      <c r="AI19" s="63">
        <v>50</v>
      </c>
      <c r="AJ19" s="63">
        <v>25</v>
      </c>
      <c r="AK19" s="63"/>
      <c r="AL19" s="63"/>
      <c r="AM19" s="63"/>
      <c r="AN19" s="63"/>
      <c r="AO19" s="63"/>
    </row>
    <row r="20" spans="1:41" s="58" customFormat="1">
      <c r="A20" s="85" t="str">
        <f>IFERROR(VLOOKUP(Table4[[#This Row],[Player No]],Table10[[#All],[No]:[Age Group]],4,0),"")</f>
        <v>U15</v>
      </c>
      <c r="B20" s="87"/>
      <c r="C20" s="88">
        <f t="shared" si="0"/>
        <v>-16</v>
      </c>
      <c r="D20" s="61">
        <f t="shared" si="3"/>
        <v>16</v>
      </c>
      <c r="E20" s="63">
        <v>3301</v>
      </c>
      <c r="F20" s="64" t="str">
        <f>IFERROR(VLOOKUP(Table4[[#This Row],[Player No]],Table10[[No]:[Province]],2,0),"")</f>
        <v>PADAYACHEE Larushen</v>
      </c>
      <c r="G20" s="65" t="str">
        <f>IFERROR(VLOOKUP(Table4[[#This Row],[Player No]],Table10[[No]:[Province]],3,0),"")</f>
        <v>JTTA</v>
      </c>
      <c r="H20" s="66">
        <v>28.5</v>
      </c>
      <c r="I20" s="96">
        <v>145.5</v>
      </c>
      <c r="J20" s="124">
        <f>(Table4[[#This Row],[Points 2025]]/2)+SUM(Table4[[#This Row],[O1  ADMIN 2026]:[P2         WC    Open 2026]])</f>
        <v>87.75</v>
      </c>
      <c r="K20" s="106">
        <f t="shared" si="1"/>
        <v>1</v>
      </c>
      <c r="L20" s="106">
        <f t="shared" si="2"/>
        <v>0</v>
      </c>
      <c r="M20" s="106">
        <v>15</v>
      </c>
      <c r="N20" s="114" t="s">
        <v>6083</v>
      </c>
      <c r="O20" s="114" t="s">
        <v>6083</v>
      </c>
      <c r="P20" s="114"/>
      <c r="Q20" s="63">
        <v>25</v>
      </c>
      <c r="R20" s="63"/>
      <c r="S20" s="114"/>
      <c r="T20" s="114"/>
      <c r="U20" s="63"/>
      <c r="V20" s="114"/>
      <c r="W20" s="63"/>
      <c r="X20" s="845">
        <v>25</v>
      </c>
      <c r="Y20" s="708"/>
      <c r="Z20" s="63">
        <v>17.5</v>
      </c>
      <c r="AA20" s="63">
        <v>15</v>
      </c>
      <c r="AB20" s="114">
        <v>35</v>
      </c>
      <c r="AC20" s="63">
        <v>15</v>
      </c>
      <c r="AD20" s="114"/>
      <c r="AE20" s="63"/>
      <c r="AF20" s="63"/>
      <c r="AG20" s="63"/>
      <c r="AH20" s="63"/>
      <c r="AI20" s="63"/>
      <c r="AJ20" s="63"/>
      <c r="AK20" s="63">
        <v>1</v>
      </c>
      <c r="AL20" s="63"/>
      <c r="AM20" s="63"/>
      <c r="AN20" s="63"/>
      <c r="AO20" s="63">
        <v>15</v>
      </c>
    </row>
    <row r="21" spans="1:41" s="58" customFormat="1">
      <c r="A21" s="85" t="str">
        <f>IFERROR(VLOOKUP(Table4[[#This Row],[Player No]],Table10[[#All],[No]:[Age Group]],4,0),"")</f>
        <v>U19</v>
      </c>
      <c r="B21" s="87">
        <v>25</v>
      </c>
      <c r="C21" s="88">
        <f t="shared" si="0"/>
        <v>8</v>
      </c>
      <c r="D21" s="61">
        <f t="shared" si="3"/>
        <v>17</v>
      </c>
      <c r="E21" s="63">
        <v>3459</v>
      </c>
      <c r="F21" s="64" t="str">
        <f>IFERROR(VLOOKUP(Table4[[#This Row],[Player No]],Table10[[No]:[Province]],2,0),"")</f>
        <v>MARTIN Ethan</v>
      </c>
      <c r="G21" s="65" t="str">
        <f>IFERROR(VLOOKUP(Table4[[#This Row],[Player No]],Table10[[No]:[Province]],3,0),"")</f>
        <v>GN</v>
      </c>
      <c r="H21" s="66">
        <v>60</v>
      </c>
      <c r="I21" s="96">
        <v>140.625</v>
      </c>
      <c r="J21" s="124">
        <f>(Table4[[#This Row],[Points 2025]]/2)+SUM(Table4[[#This Row],[O1  ADMIN 2026]:[P2         WC    Open 2026]])</f>
        <v>80.3125</v>
      </c>
      <c r="K21" s="106">
        <f t="shared" si="1"/>
        <v>1</v>
      </c>
      <c r="L21" s="106">
        <f t="shared" si="2"/>
        <v>0</v>
      </c>
      <c r="M21" s="106">
        <v>10</v>
      </c>
      <c r="N21" s="114" t="s">
        <v>6083</v>
      </c>
      <c r="O21" s="114" t="s">
        <v>6083</v>
      </c>
      <c r="P21" s="114"/>
      <c r="Q21" s="63">
        <v>25</v>
      </c>
      <c r="R21" s="63"/>
      <c r="S21" s="114"/>
      <c r="T21" s="114">
        <v>15</v>
      </c>
      <c r="U21" s="63"/>
      <c r="V21" s="114">
        <v>15</v>
      </c>
      <c r="W21" s="63"/>
      <c r="X21" s="845">
        <v>25</v>
      </c>
      <c r="Y21" s="708"/>
      <c r="Z21" s="63">
        <v>12.5</v>
      </c>
      <c r="AA21" s="63">
        <v>10</v>
      </c>
      <c r="AB21" s="114">
        <v>12</v>
      </c>
      <c r="AC21" s="63">
        <v>1</v>
      </c>
      <c r="AD21" s="114"/>
      <c r="AE21" s="63"/>
      <c r="AF21" s="63"/>
      <c r="AG21" s="63"/>
      <c r="AH21" s="63"/>
      <c r="AI21" s="63"/>
      <c r="AJ21" s="63"/>
      <c r="AK21" s="63">
        <v>15</v>
      </c>
      <c r="AL21" s="63">
        <v>15</v>
      </c>
      <c r="AM21" s="63">
        <v>15</v>
      </c>
      <c r="AN21" s="63"/>
      <c r="AO21" s="63">
        <v>15</v>
      </c>
    </row>
    <row r="22" spans="1:41" s="58" customFormat="1">
      <c r="A22" s="85" t="str">
        <f>IFERROR(VLOOKUP(Table4[[#This Row],[Player No]],Table10[[#All],[No]:[Age Group]],4,0),"")</f>
        <v>U15</v>
      </c>
      <c r="B22" s="87">
        <v>36</v>
      </c>
      <c r="C22" s="88">
        <f t="shared" si="0"/>
        <v>18</v>
      </c>
      <c r="D22" s="61">
        <f t="shared" si="3"/>
        <v>18</v>
      </c>
      <c r="E22" s="63">
        <v>3476</v>
      </c>
      <c r="F22" s="64" t="str">
        <f>IFERROR(VLOOKUP(Table4[[#This Row],[Player No]],Table10[[No]:[Province]],2,0),"")</f>
        <v>BESTER Rupie</v>
      </c>
      <c r="G22" s="65" t="str">
        <f>IFERROR(VLOOKUP(Table4[[#This Row],[Player No]],Table10[[No]:[Province]],3,0),"")</f>
        <v>FS</v>
      </c>
      <c r="H22" s="66">
        <v>0</v>
      </c>
      <c r="I22" s="96">
        <v>157.75</v>
      </c>
      <c r="J22" s="124">
        <f>(Table4[[#This Row],[Points 2025]]/2)+SUM(Table4[[#This Row],[O1  ADMIN 2026]:[P2         WC    Open 2026]])</f>
        <v>78.875</v>
      </c>
      <c r="K22" s="106">
        <f t="shared" si="1"/>
        <v>0</v>
      </c>
      <c r="L22" s="106">
        <f t="shared" si="2"/>
        <v>0</v>
      </c>
      <c r="M22" s="106" t="s">
        <v>6083</v>
      </c>
      <c r="N22" s="114" t="s">
        <v>6083</v>
      </c>
      <c r="O22" s="114" t="s">
        <v>6083</v>
      </c>
      <c r="P22" s="114"/>
      <c r="Q22" s="63">
        <v>50</v>
      </c>
      <c r="R22" s="63"/>
      <c r="S22" s="114"/>
      <c r="T22" s="114"/>
      <c r="U22" s="63"/>
      <c r="V22" s="114">
        <v>50</v>
      </c>
      <c r="W22" s="63">
        <v>25</v>
      </c>
      <c r="X22" s="845">
        <v>50</v>
      </c>
      <c r="Y22" s="708"/>
      <c r="Z22" s="63"/>
      <c r="AA22" s="63"/>
      <c r="AB22" s="114"/>
      <c r="AC22" s="63">
        <v>5</v>
      </c>
      <c r="AD22" s="114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</row>
    <row r="23" spans="1:41" s="58" customFormat="1">
      <c r="A23" s="85">
        <f>IFERROR(VLOOKUP(Table4[[#This Row],[Player No]],Table10[[#All],[No]:[Age Group]],4,0),"")</f>
        <v>0</v>
      </c>
      <c r="B23" s="87">
        <v>34</v>
      </c>
      <c r="C23" s="88">
        <f t="shared" si="0"/>
        <v>15</v>
      </c>
      <c r="D23" s="61">
        <f t="shared" si="3"/>
        <v>19</v>
      </c>
      <c r="E23" s="63">
        <v>3382</v>
      </c>
      <c r="F23" s="64" t="str">
        <f>IFERROR(VLOOKUP(Table4[[#This Row],[Player No]],Table10[[No]:[Province]],2,0),"")</f>
        <v>NAIDOO Daniel</v>
      </c>
      <c r="G23" s="65" t="str">
        <f>IFERROR(VLOOKUP(Table4[[#This Row],[Player No]],Table10[[No]:[Province]],3,0),"")</f>
        <v>ETTA</v>
      </c>
      <c r="H23" s="66">
        <v>165</v>
      </c>
      <c r="I23" s="96">
        <v>132.125</v>
      </c>
      <c r="J23" s="124">
        <f>(Table4[[#This Row],[Points 2025]]/2)+SUM(Table4[[#This Row],[O1  ADMIN 2026]:[P2         WC    Open 2026]])</f>
        <v>76.0625</v>
      </c>
      <c r="K23" s="106">
        <f t="shared" si="1"/>
        <v>1</v>
      </c>
      <c r="L23" s="106">
        <f t="shared" si="2"/>
        <v>0</v>
      </c>
      <c r="M23" s="106" t="s">
        <v>6083</v>
      </c>
      <c r="N23" s="114" t="s">
        <v>6083</v>
      </c>
      <c r="O23" s="114">
        <v>10</v>
      </c>
      <c r="P23" s="114"/>
      <c r="Q23" s="63">
        <v>2</v>
      </c>
      <c r="R23" s="63"/>
      <c r="S23" s="114">
        <v>15</v>
      </c>
      <c r="T23" s="114">
        <v>25</v>
      </c>
      <c r="U23" s="63"/>
      <c r="V23" s="114"/>
      <c r="W23" s="63"/>
      <c r="X23" s="845">
        <v>10</v>
      </c>
      <c r="Y23" s="708"/>
      <c r="Z23" s="63"/>
      <c r="AA23" s="63"/>
      <c r="AB23" s="114"/>
      <c r="AC23" s="63"/>
      <c r="AD23" s="114"/>
      <c r="AE23" s="63"/>
      <c r="AF23" s="63">
        <v>50</v>
      </c>
      <c r="AG23" s="63">
        <v>10</v>
      </c>
      <c r="AH23" s="63"/>
      <c r="AI23" s="63"/>
      <c r="AJ23" s="63">
        <v>50</v>
      </c>
      <c r="AK23" s="63"/>
      <c r="AL23" s="63"/>
      <c r="AM23" s="63"/>
      <c r="AN23" s="63">
        <v>25</v>
      </c>
      <c r="AO23" s="63"/>
    </row>
    <row r="24" spans="1:41" s="58" customFormat="1">
      <c r="A24" s="85">
        <f>IFERROR(VLOOKUP(Table4[[#This Row],[Player No]],Table10[[#All],[No]:[Age Group]],4,0),"")</f>
        <v>0</v>
      </c>
      <c r="B24" s="87" t="e">
        <f>VLOOKUP([5]!Table4[[#This Row],[Player No]],'[6]u19 boys'!$E$5:$F$216,2,0)</f>
        <v>#REF!</v>
      </c>
      <c r="C24" s="88" t="e">
        <f t="shared" si="0"/>
        <v>#REF!</v>
      </c>
      <c r="D24" s="61">
        <f t="shared" si="3"/>
        <v>20</v>
      </c>
      <c r="E24" s="63">
        <v>1578</v>
      </c>
      <c r="F24" s="64" t="str">
        <f>IFERROR(VLOOKUP(Table4[[#This Row],[Player No]],Table10[[No]:[Province]],2,0),"")</f>
        <v>SALIE Benyamin</v>
      </c>
      <c r="G24" s="65" t="str">
        <f>IFERROR(VLOOKUP(Table4[[#This Row],[Player No]],Table10[[No]:[Province]],3,0),"")</f>
        <v>GN</v>
      </c>
      <c r="H24" s="66">
        <v>36</v>
      </c>
      <c r="I24" s="96">
        <v>120.5</v>
      </c>
      <c r="J24" s="124">
        <f>(Table4[[#This Row],[Points 2025]]/2)+SUM(Table4[[#This Row],[O1  ADMIN 2026]:[P2         WC    Open 2026]])</f>
        <v>75.25</v>
      </c>
      <c r="K24" s="106">
        <f t="shared" si="1"/>
        <v>1</v>
      </c>
      <c r="L24" s="106">
        <f t="shared" si="2"/>
        <v>0</v>
      </c>
      <c r="M24" s="106">
        <v>15</v>
      </c>
      <c r="N24" s="114" t="s">
        <v>6083</v>
      </c>
      <c r="O24" s="114" t="s">
        <v>6083</v>
      </c>
      <c r="P24" s="114"/>
      <c r="Q24" s="63"/>
      <c r="R24" s="63"/>
      <c r="S24" s="114"/>
      <c r="T24" s="114"/>
      <c r="U24" s="63"/>
      <c r="V24" s="114"/>
      <c r="W24" s="63"/>
      <c r="X24" s="845">
        <v>25</v>
      </c>
      <c r="Y24" s="708"/>
      <c r="Z24" s="63"/>
      <c r="AA24" s="63">
        <v>15</v>
      </c>
      <c r="AB24" s="114">
        <v>50</v>
      </c>
      <c r="AC24" s="63">
        <v>15</v>
      </c>
      <c r="AD24" s="114"/>
      <c r="AE24" s="63"/>
      <c r="AF24" s="63"/>
      <c r="AG24" s="63"/>
      <c r="AH24" s="63"/>
      <c r="AI24" s="63"/>
      <c r="AJ24" s="63"/>
      <c r="AK24" s="63">
        <v>35</v>
      </c>
      <c r="AL24" s="63"/>
      <c r="AM24" s="63"/>
      <c r="AN24" s="63"/>
      <c r="AO24" s="63">
        <v>1</v>
      </c>
    </row>
    <row r="25" spans="1:41" s="58" customFormat="1">
      <c r="A25" s="85" t="str">
        <f>IFERROR(VLOOKUP(Table4[[#This Row],[Player No]],Table10[[#All],[No]:[Age Group]],4,0),"")</f>
        <v>U19</v>
      </c>
      <c r="B25" s="87">
        <v>23</v>
      </c>
      <c r="C25" s="88">
        <f t="shared" si="0"/>
        <v>2</v>
      </c>
      <c r="D25" s="61">
        <f t="shared" si="3"/>
        <v>21</v>
      </c>
      <c r="E25" s="63">
        <v>2120</v>
      </c>
      <c r="F25" s="64" t="str">
        <f>IFERROR(VLOOKUP(Table4[[#This Row],[Player No]],Table10[[No]:[Province]],2,0),"")</f>
        <v xml:space="preserve">Shrian Bandu </v>
      </c>
      <c r="G25" s="65" t="str">
        <f>IFERROR(VLOOKUP(Table4[[#This Row],[Player No]],Table10[[No]:[Province]],3,0),"")</f>
        <v>UMG</v>
      </c>
      <c r="H25" s="66">
        <v>0</v>
      </c>
      <c r="I25" s="96">
        <v>90</v>
      </c>
      <c r="J25" s="124">
        <f>(Table4[[#This Row],[Points 2025]]/2)+SUM(Table4[[#This Row],[O1  ADMIN 2026]:[P2         WC    Open 2026]])</f>
        <v>75</v>
      </c>
      <c r="K25" s="106">
        <f t="shared" si="1"/>
        <v>2</v>
      </c>
      <c r="L25" s="106">
        <f t="shared" si="2"/>
        <v>0</v>
      </c>
      <c r="M25" s="106" t="s">
        <v>6083</v>
      </c>
      <c r="N25" s="114">
        <v>15</v>
      </c>
      <c r="O25" s="114">
        <v>15</v>
      </c>
      <c r="P25" s="114"/>
      <c r="Q25" s="63">
        <v>25</v>
      </c>
      <c r="R25" s="63">
        <v>1</v>
      </c>
      <c r="S25" s="114">
        <v>10</v>
      </c>
      <c r="T25" s="114">
        <v>15</v>
      </c>
      <c r="U25" s="63">
        <v>15</v>
      </c>
      <c r="V25" s="114"/>
      <c r="W25" s="63"/>
      <c r="X25" s="845">
        <v>25</v>
      </c>
      <c r="Y25" s="708"/>
      <c r="Z25" s="63"/>
      <c r="AA25" s="63"/>
      <c r="AB25" s="114"/>
      <c r="AC25" s="63"/>
      <c r="AD25" s="114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</row>
    <row r="26" spans="1:41" s="58" customFormat="1">
      <c r="A26" s="85" t="str">
        <f>IFERROR(VLOOKUP(Table4[[#This Row],[Player No]],Table10[[#All],[No]:[Age Group]],4,0),"")</f>
        <v>U19</v>
      </c>
      <c r="B26" s="87">
        <v>43</v>
      </c>
      <c r="C26" s="88">
        <f t="shared" si="0"/>
        <v>21</v>
      </c>
      <c r="D26" s="61">
        <f t="shared" si="3"/>
        <v>22</v>
      </c>
      <c r="E26" s="63">
        <v>3329</v>
      </c>
      <c r="F26" s="64" t="str">
        <f>IFERROR(VLOOKUP(Table4[[#This Row],[Player No]],Table10[[No]:[Province]],2,0),"")</f>
        <v>LAWRENCE Caleb</v>
      </c>
      <c r="G26" s="65" t="str">
        <f>IFERROR(VLOOKUP(Table4[[#This Row],[Player No]],Table10[[No]:[Province]],3,0),"")</f>
        <v>CT</v>
      </c>
      <c r="H26" s="66">
        <v>50.5</v>
      </c>
      <c r="I26" s="96">
        <v>146.75</v>
      </c>
      <c r="J26" s="124">
        <f>(Table4[[#This Row],[Points 2025]]/2)+SUM(Table4[[#This Row],[O1  ADMIN 2026]:[P2         WC    Open 2026]])</f>
        <v>73.375</v>
      </c>
      <c r="K26" s="106">
        <f t="shared" si="1"/>
        <v>0</v>
      </c>
      <c r="L26" s="106">
        <f t="shared" si="2"/>
        <v>0</v>
      </c>
      <c r="M26" s="106" t="s">
        <v>6083</v>
      </c>
      <c r="N26" s="114" t="s">
        <v>6083</v>
      </c>
      <c r="O26" s="114" t="s">
        <v>6083</v>
      </c>
      <c r="P26" s="114"/>
      <c r="Q26" s="63"/>
      <c r="R26" s="63"/>
      <c r="S26" s="114"/>
      <c r="T26" s="114"/>
      <c r="U26" s="63"/>
      <c r="V26" s="114"/>
      <c r="W26" s="63"/>
      <c r="X26" s="845">
        <v>75</v>
      </c>
      <c r="Y26" s="708"/>
      <c r="Z26" s="63"/>
      <c r="AA26" s="63"/>
      <c r="AB26" s="114"/>
      <c r="AC26" s="63"/>
      <c r="AD26" s="114">
        <v>7.5</v>
      </c>
      <c r="AE26" s="63">
        <v>50</v>
      </c>
      <c r="AF26" s="63"/>
      <c r="AG26" s="63"/>
      <c r="AH26" s="63">
        <v>25</v>
      </c>
      <c r="AI26" s="63"/>
      <c r="AJ26" s="63">
        <v>25</v>
      </c>
      <c r="AK26" s="63"/>
      <c r="AL26" s="63"/>
      <c r="AM26" s="63"/>
      <c r="AN26" s="63"/>
      <c r="AO26" s="63"/>
    </row>
    <row r="27" spans="1:41" s="58" customFormat="1">
      <c r="A27" s="85">
        <f>IFERROR(VLOOKUP(Table4[[#This Row],[Player No]],Table10[[#All],[No]:[Age Group]],4,0),"")</f>
        <v>0</v>
      </c>
      <c r="B27" s="87">
        <v>49</v>
      </c>
      <c r="C27" s="88">
        <f t="shared" si="0"/>
        <v>26</v>
      </c>
      <c r="D27" s="61">
        <f t="shared" si="3"/>
        <v>23</v>
      </c>
      <c r="E27" s="63">
        <v>3505</v>
      </c>
      <c r="F27" s="64" t="str">
        <f>IFERROR(VLOOKUP(Table4[[#This Row],[Player No]],Table10[[No]:[Province]],2,0),"")</f>
        <v>NAIDOO David</v>
      </c>
      <c r="G27" s="65" t="str">
        <f>IFERROR(VLOOKUP(Table4[[#This Row],[Player No]],Table10[[No]:[Province]],3,0),"")</f>
        <v>ETTA</v>
      </c>
      <c r="H27" s="66">
        <v>103</v>
      </c>
      <c r="I27" s="96">
        <v>112</v>
      </c>
      <c r="J27" s="124">
        <f>(Table4[[#This Row],[Points 2025]]/2)+SUM(Table4[[#This Row],[O1  ADMIN 2026]:[P2         WC    Open 2026]])</f>
        <v>71</v>
      </c>
      <c r="K27" s="106">
        <f t="shared" si="1"/>
        <v>1</v>
      </c>
      <c r="L27" s="106">
        <f t="shared" si="2"/>
        <v>0</v>
      </c>
      <c r="M27" s="106" t="s">
        <v>6083</v>
      </c>
      <c r="N27" s="114" t="s">
        <v>6083</v>
      </c>
      <c r="O27" s="114">
        <v>15</v>
      </c>
      <c r="P27" s="114"/>
      <c r="Q27" s="63">
        <v>15</v>
      </c>
      <c r="R27" s="63"/>
      <c r="S27" s="114">
        <v>15</v>
      </c>
      <c r="T27" s="114">
        <v>25</v>
      </c>
      <c r="U27" s="63"/>
      <c r="V27" s="114"/>
      <c r="W27" s="63"/>
      <c r="X27" s="845">
        <v>10</v>
      </c>
      <c r="Y27" s="708"/>
      <c r="Z27" s="63"/>
      <c r="AA27" s="63"/>
      <c r="AB27" s="114"/>
      <c r="AC27" s="63"/>
      <c r="AD27" s="114"/>
      <c r="AE27" s="63"/>
      <c r="AF27" s="63">
        <f>25-25</f>
        <v>0</v>
      </c>
      <c r="AG27" s="63">
        <v>10</v>
      </c>
      <c r="AH27" s="63"/>
      <c r="AI27" s="63"/>
      <c r="AJ27" s="63">
        <v>25</v>
      </c>
      <c r="AK27" s="63"/>
      <c r="AL27" s="63"/>
      <c r="AM27" s="63">
        <v>50</v>
      </c>
      <c r="AN27" s="63">
        <v>5</v>
      </c>
      <c r="AO27" s="63"/>
    </row>
    <row r="28" spans="1:41" s="58" customFormat="1">
      <c r="A28" s="85" t="str">
        <f>IFERROR(VLOOKUP(Table4[[#This Row],[Player No]],Table10[[#All],[No]:[Age Group]],4,0),"")</f>
        <v>U19</v>
      </c>
      <c r="B28" s="87">
        <v>42</v>
      </c>
      <c r="C28" s="88">
        <f t="shared" si="0"/>
        <v>18</v>
      </c>
      <c r="D28" s="61">
        <f t="shared" si="3"/>
        <v>24</v>
      </c>
      <c r="E28" s="63">
        <v>3388</v>
      </c>
      <c r="F28" s="64" t="str">
        <f>IFERROR(VLOOKUP(Table4[[#This Row],[Player No]],Table10[[No]:[Province]],2,0),"")</f>
        <v>GOKAL Dev Amar</v>
      </c>
      <c r="G28" s="65" t="str">
        <f>IFERROR(VLOOKUP(Table4[[#This Row],[Player No]],Table10[[No]:[Province]],3,0),"")</f>
        <v>ETTA</v>
      </c>
      <c r="H28" s="66">
        <v>52</v>
      </c>
      <c r="I28" s="96">
        <v>91</v>
      </c>
      <c r="J28" s="124">
        <f>(Table4[[#This Row],[Points 2025]]/2)+SUM(Table4[[#This Row],[O1  ADMIN 2026]:[P2         WC    Open 2026]])</f>
        <v>70.5</v>
      </c>
      <c r="K28" s="106">
        <f t="shared" si="1"/>
        <v>2</v>
      </c>
      <c r="L28" s="106">
        <f t="shared" si="2"/>
        <v>0</v>
      </c>
      <c r="M28" s="106" t="s">
        <v>6083</v>
      </c>
      <c r="N28" s="114">
        <v>15</v>
      </c>
      <c r="O28" s="114">
        <v>10</v>
      </c>
      <c r="P28" s="114"/>
      <c r="Q28" s="63">
        <v>2</v>
      </c>
      <c r="R28" s="63">
        <v>15</v>
      </c>
      <c r="S28" s="114">
        <v>15</v>
      </c>
      <c r="T28" s="114">
        <v>15</v>
      </c>
      <c r="U28" s="63">
        <v>10</v>
      </c>
      <c r="V28" s="114"/>
      <c r="W28" s="63"/>
      <c r="X28" s="845">
        <v>10</v>
      </c>
      <c r="Y28" s="708"/>
      <c r="Z28" s="63"/>
      <c r="AA28" s="63"/>
      <c r="AB28" s="114"/>
      <c r="AC28" s="63"/>
      <c r="AD28" s="114"/>
      <c r="AE28" s="63"/>
      <c r="AF28" s="63">
        <v>2</v>
      </c>
      <c r="AG28" s="63">
        <v>10</v>
      </c>
      <c r="AH28" s="63"/>
      <c r="AI28" s="63"/>
      <c r="AJ28" s="63">
        <v>25</v>
      </c>
      <c r="AK28" s="63"/>
      <c r="AL28" s="63"/>
      <c r="AM28" s="63"/>
      <c r="AN28" s="63">
        <v>5</v>
      </c>
      <c r="AO28" s="63"/>
    </row>
    <row r="29" spans="1:41" s="58" customFormat="1">
      <c r="A29" s="85" t="str">
        <f>IFERROR(VLOOKUP(Table4[[#This Row],[Player No]],Table10[[#All],[No]:[Age Group]],4,0),"")</f>
        <v>U19</v>
      </c>
      <c r="B29" s="87">
        <v>10</v>
      </c>
      <c r="C29" s="88">
        <f t="shared" si="0"/>
        <v>-15</v>
      </c>
      <c r="D29" s="61">
        <f t="shared" si="3"/>
        <v>25</v>
      </c>
      <c r="E29" s="63">
        <v>2690</v>
      </c>
      <c r="F29" s="64" t="str">
        <f>IFERROR(VLOOKUP(Table4[[#This Row],[Player No]],Table10[[No]:[Province]],2,0),"")</f>
        <v>MARSHALL Ariel</v>
      </c>
      <c r="G29" s="65" t="str">
        <f>IFERROR(VLOOKUP(Table4[[#This Row],[Player No]],Table10[[No]:[Province]],3,0),"")</f>
        <v>JTTA</v>
      </c>
      <c r="H29" s="66">
        <v>281.25</v>
      </c>
      <c r="I29" s="96">
        <v>138</v>
      </c>
      <c r="J29" s="124">
        <f>(Table4[[#This Row],[Points 2025]]/2)+SUM(Table4[[#This Row],[O1  ADMIN 2026]:[P2         WC    Open 2026]])</f>
        <v>69</v>
      </c>
      <c r="K29" s="106">
        <f t="shared" si="1"/>
        <v>0</v>
      </c>
      <c r="L29" s="106">
        <f t="shared" si="2"/>
        <v>0</v>
      </c>
      <c r="M29" s="106" t="s">
        <v>6083</v>
      </c>
      <c r="N29" s="114" t="s">
        <v>6083</v>
      </c>
      <c r="O29" s="114" t="s">
        <v>6083</v>
      </c>
      <c r="P29" s="114"/>
      <c r="Q29" s="63"/>
      <c r="R29" s="63"/>
      <c r="S29" s="114"/>
      <c r="T29" s="114"/>
      <c r="U29" s="63"/>
      <c r="V29" s="114"/>
      <c r="W29" s="63"/>
      <c r="X29" s="845"/>
      <c r="Y29" s="708"/>
      <c r="Z29" s="63"/>
      <c r="AA29" s="63"/>
      <c r="AB29" s="114"/>
      <c r="AC29" s="63"/>
      <c r="AD29" s="114"/>
      <c r="AE29" s="63"/>
      <c r="AF29" s="63"/>
      <c r="AG29" s="63"/>
      <c r="AH29" s="63"/>
      <c r="AI29" s="63"/>
      <c r="AJ29" s="63">
        <v>250</v>
      </c>
      <c r="AK29" s="63"/>
      <c r="AL29" s="63"/>
      <c r="AM29" s="63"/>
      <c r="AN29" s="63"/>
      <c r="AO29" s="63"/>
    </row>
    <row r="30" spans="1:41" s="58" customFormat="1">
      <c r="A30" s="85" t="str">
        <f>IFERROR(VLOOKUP(Table4[[#This Row],[Player No]],Table10[[#All],[No]:[Age Group]],4,0),"")</f>
        <v>U15</v>
      </c>
      <c r="B30" s="87">
        <v>20</v>
      </c>
      <c r="C30" s="88">
        <f t="shared" si="0"/>
        <v>-6</v>
      </c>
      <c r="D30" s="61">
        <f t="shared" si="3"/>
        <v>26</v>
      </c>
      <c r="E30" s="63">
        <v>3216</v>
      </c>
      <c r="F30" s="64" t="str">
        <f>IFERROR(VLOOKUP(Table4[[#This Row],[Player No]],Table10[[No]:[Province]],2,0),"")</f>
        <v>ABRAHAMS Asher Eli</v>
      </c>
      <c r="G30" s="65" t="str">
        <f>IFERROR(VLOOKUP(Table4[[#This Row],[Player No]],Table10[[No]:[Province]],3,0),"")</f>
        <v>JTTA</v>
      </c>
      <c r="H30" s="66">
        <v>16</v>
      </c>
      <c r="I30" s="96">
        <v>135</v>
      </c>
      <c r="J30" s="124">
        <f>(Table4[[#This Row],[Points 2025]]/2)+SUM(Table4[[#This Row],[O1  ADMIN 2026]:[P2         WC    Open 2026]])</f>
        <v>67.5</v>
      </c>
      <c r="K30" s="106">
        <f t="shared" si="1"/>
        <v>0</v>
      </c>
      <c r="L30" s="106">
        <f t="shared" si="2"/>
        <v>0</v>
      </c>
      <c r="M30" s="106" t="s">
        <v>6083</v>
      </c>
      <c r="N30" s="114" t="s">
        <v>6083</v>
      </c>
      <c r="O30" s="114" t="s">
        <v>6083</v>
      </c>
      <c r="P30" s="114"/>
      <c r="Q30" s="63">
        <v>75</v>
      </c>
      <c r="R30" s="63"/>
      <c r="S30" s="114"/>
      <c r="T30" s="114"/>
      <c r="U30" s="63"/>
      <c r="V30" s="114">
        <v>15</v>
      </c>
      <c r="W30" s="63"/>
      <c r="X30" s="845">
        <v>5</v>
      </c>
      <c r="Y30" s="708"/>
      <c r="Z30" s="63"/>
      <c r="AA30" s="63">
        <v>10</v>
      </c>
      <c r="AB30" s="114">
        <v>20</v>
      </c>
      <c r="AC30" s="63">
        <v>5</v>
      </c>
      <c r="AD30" s="114"/>
      <c r="AE30" s="63"/>
      <c r="AF30" s="63"/>
      <c r="AG30" s="63"/>
      <c r="AH30" s="63"/>
      <c r="AI30" s="63"/>
      <c r="AJ30" s="63"/>
      <c r="AK30" s="63">
        <v>15</v>
      </c>
      <c r="AL30" s="63"/>
      <c r="AM30" s="63"/>
      <c r="AN30" s="63"/>
      <c r="AO30" s="63">
        <v>1</v>
      </c>
    </row>
    <row r="31" spans="1:41" s="58" customFormat="1">
      <c r="A31" s="85" t="str">
        <f>IFERROR(VLOOKUP(Table4[[#This Row],[Player No]],Table10[[#All],[No]:[Age Group]],4,0),"")</f>
        <v>U19</v>
      </c>
      <c r="B31" s="87">
        <v>19</v>
      </c>
      <c r="C31" s="88">
        <f t="shared" si="0"/>
        <v>-8</v>
      </c>
      <c r="D31" s="61">
        <f t="shared" si="3"/>
        <v>27</v>
      </c>
      <c r="E31" s="63">
        <v>3431</v>
      </c>
      <c r="F31" s="64" t="str">
        <f>IFERROR(VLOOKUP(Table4[[#This Row],[Player No]],Table10[[No]:[Province]],2,0),"")</f>
        <v>CILLIERS Jarrod</v>
      </c>
      <c r="G31" s="65" t="str">
        <f>IFERROR(VLOOKUP(Table4[[#This Row],[Player No]],Table10[[No]:[Province]],3,0),"")</f>
        <v>GN</v>
      </c>
      <c r="H31" s="66">
        <v>120</v>
      </c>
      <c r="I31" s="96">
        <v>134.5</v>
      </c>
      <c r="J31" s="124">
        <f>(Table4[[#This Row],[Points 2025]]/2)+SUM(Table4[[#This Row],[O1  ADMIN 2026]:[P2         WC    Open 2026]])</f>
        <v>67.25</v>
      </c>
      <c r="K31" s="106">
        <f t="shared" si="1"/>
        <v>0</v>
      </c>
      <c r="L31" s="106">
        <f t="shared" si="2"/>
        <v>0</v>
      </c>
      <c r="M31" s="106" t="s">
        <v>6083</v>
      </c>
      <c r="N31" s="114" t="s">
        <v>6083</v>
      </c>
      <c r="O31" s="114" t="s">
        <v>6083</v>
      </c>
      <c r="P31" s="114"/>
      <c r="Q31" s="63"/>
      <c r="R31" s="63"/>
      <c r="S31" s="114"/>
      <c r="T31" s="114"/>
      <c r="U31" s="63"/>
      <c r="V31" s="114">
        <v>25</v>
      </c>
      <c r="W31" s="63"/>
      <c r="X31" s="845"/>
      <c r="Y31" s="708"/>
      <c r="Z31" s="63"/>
      <c r="AA31" s="63">
        <v>25</v>
      </c>
      <c r="AB31" s="114"/>
      <c r="AC31" s="63">
        <v>25</v>
      </c>
      <c r="AD31" s="114"/>
      <c r="AE31" s="63"/>
      <c r="AF31" s="63"/>
      <c r="AG31" s="63"/>
      <c r="AH31" s="63"/>
      <c r="AI31" s="63"/>
      <c r="AJ31" s="63"/>
      <c r="AK31" s="63">
        <v>15</v>
      </c>
      <c r="AL31" s="63">
        <v>15</v>
      </c>
      <c r="AM31" s="63">
        <v>50</v>
      </c>
      <c r="AN31" s="63">
        <v>25</v>
      </c>
      <c r="AO31" s="63"/>
    </row>
    <row r="32" spans="1:41" s="58" customFormat="1">
      <c r="A32" s="85" t="str">
        <f>IFERROR(VLOOKUP(Table4[[#This Row],[Player No]],Table10[[#All],[No]:[Age Group]],4,0),"")</f>
        <v>U15</v>
      </c>
      <c r="B32" s="88"/>
      <c r="C32" s="88">
        <f t="shared" si="0"/>
        <v>-28</v>
      </c>
      <c r="D32" s="61">
        <f t="shared" si="3"/>
        <v>28</v>
      </c>
      <c r="E32" s="63">
        <v>3044</v>
      </c>
      <c r="F32" s="64" t="str">
        <f>IFERROR(VLOOKUP(Table4[[#This Row],[Player No]],Table10[[No]:[Province]],2,0),"")</f>
        <v>BROWN Wayden</v>
      </c>
      <c r="G32" s="65" t="str">
        <f>IFERROR(VLOOKUP(Table4[[#This Row],[Player No]],Table10[[No]:[Province]],3,0),"")</f>
        <v>CT</v>
      </c>
      <c r="H32" s="66"/>
      <c r="I32" s="96">
        <v>125</v>
      </c>
      <c r="J32" s="124">
        <f>(Table4[[#This Row],[Points 2025]]/2)+SUM(Table4[[#This Row],[O1  ADMIN 2026]:[P2         WC    Open 2026]])</f>
        <v>62.5</v>
      </c>
      <c r="K32" s="106">
        <f t="shared" si="1"/>
        <v>0</v>
      </c>
      <c r="L32" s="106">
        <f t="shared" si="2"/>
        <v>0</v>
      </c>
      <c r="M32" s="106" t="s">
        <v>6083</v>
      </c>
      <c r="N32" s="114" t="s">
        <v>6083</v>
      </c>
      <c r="O32" s="114" t="s">
        <v>6083</v>
      </c>
      <c r="P32" s="114"/>
      <c r="Q32" s="63"/>
      <c r="R32" s="63"/>
      <c r="S32" s="114"/>
      <c r="T32" s="114"/>
      <c r="U32" s="63"/>
      <c r="V32" s="114"/>
      <c r="W32" s="63"/>
      <c r="X32" s="845">
        <v>50</v>
      </c>
      <c r="Y32" s="708"/>
      <c r="Z32" s="63"/>
      <c r="AA32" s="63"/>
      <c r="AB32" s="114"/>
      <c r="AC32" s="63"/>
      <c r="AD32" s="114">
        <v>25</v>
      </c>
      <c r="AE32" s="63">
        <v>50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63"/>
    </row>
    <row r="33" spans="1:41" s="58" customFormat="1">
      <c r="A33" s="85">
        <f>IFERROR(VLOOKUP(Table4[[#This Row],[Player No]],Table10[[#All],[No]:[Age Group]],4,0),"")</f>
        <v>0</v>
      </c>
      <c r="B33" s="87">
        <v>26</v>
      </c>
      <c r="C33" s="88">
        <f t="shared" si="0"/>
        <v>-3</v>
      </c>
      <c r="D33" s="61">
        <f t="shared" si="3"/>
        <v>29</v>
      </c>
      <c r="E33" s="63">
        <v>3768</v>
      </c>
      <c r="F33" s="64" t="str">
        <f>IFERROR(VLOOKUP(Table4[[#This Row],[Player No]],Table10[[No]:[Province]],2,0),"")</f>
        <v>MAQONDO Alungile</v>
      </c>
      <c r="G33" s="65" t="str">
        <f>IFERROR(VLOOKUP(Table4[[#This Row],[Player No]],Table10[[No]:[Province]],3,0),"")</f>
        <v>EC</v>
      </c>
      <c r="H33" s="66">
        <v>200</v>
      </c>
      <c r="I33" s="96">
        <v>124.375</v>
      </c>
      <c r="J33" s="124">
        <f>(Table4[[#This Row],[Points 2025]]/2)+SUM(Table4[[#This Row],[O1  ADMIN 2026]:[P2         WC    Open 2026]])</f>
        <v>62.1875</v>
      </c>
      <c r="K33" s="106">
        <f t="shared" si="1"/>
        <v>0</v>
      </c>
      <c r="L33" s="106">
        <f t="shared" si="2"/>
        <v>0</v>
      </c>
      <c r="M33" s="106" t="s">
        <v>6083</v>
      </c>
      <c r="N33" s="114" t="s">
        <v>6083</v>
      </c>
      <c r="O33" s="114" t="s">
        <v>6083</v>
      </c>
      <c r="P33" s="114"/>
      <c r="Q33" s="63"/>
      <c r="R33" s="63"/>
      <c r="S33" s="114"/>
      <c r="T33" s="114"/>
      <c r="U33" s="63"/>
      <c r="V33" s="114"/>
      <c r="W33" s="63"/>
      <c r="X33" s="845">
        <v>25</v>
      </c>
      <c r="Y33" s="708"/>
      <c r="Z33" s="63"/>
      <c r="AA33" s="63"/>
      <c r="AB33" s="114"/>
      <c r="AC33" s="63"/>
      <c r="AD33" s="114"/>
      <c r="AE33" s="63"/>
      <c r="AF33" s="63"/>
      <c r="AG33" s="63"/>
      <c r="AH33" s="63"/>
      <c r="AI33" s="63"/>
      <c r="AJ33" s="63">
        <v>125</v>
      </c>
      <c r="AK33" s="63"/>
      <c r="AL33" s="63"/>
      <c r="AM33" s="63"/>
      <c r="AN33" s="63">
        <v>75</v>
      </c>
      <c r="AO33" s="63"/>
    </row>
    <row r="34" spans="1:41" s="58" customFormat="1">
      <c r="A34" s="85" t="str">
        <f>IFERROR(VLOOKUP(Table4[[#This Row],[Player No]],Table10[[#All],[No]:[Age Group]],4,0),"")</f>
        <v>U19</v>
      </c>
      <c r="B34" s="87">
        <v>32</v>
      </c>
      <c r="C34" s="88">
        <f t="shared" si="0"/>
        <v>2</v>
      </c>
      <c r="D34" s="61">
        <f t="shared" si="3"/>
        <v>30</v>
      </c>
      <c r="E34" s="63">
        <v>2246</v>
      </c>
      <c r="F34" s="64" t="str">
        <f>IFERROR(VLOOKUP(Table4[[#This Row],[Player No]],Table10[[No]:[Province]],2,0),"")</f>
        <v>CHAPMAN Kian</v>
      </c>
      <c r="G34" s="65" t="str">
        <f>IFERROR(VLOOKUP(Table4[[#This Row],[Player No]],Table10[[No]:[Province]],3,0),"")</f>
        <v>CT</v>
      </c>
      <c r="H34" s="66">
        <v>113.75</v>
      </c>
      <c r="I34" s="96">
        <v>123</v>
      </c>
      <c r="J34" s="124">
        <f>(Table4[[#This Row],[Points 2025]]/2)+SUM(Table4[[#This Row],[O1  ADMIN 2026]:[P2         WC    Open 2026]])</f>
        <v>61.5</v>
      </c>
      <c r="K34" s="106">
        <f t="shared" si="1"/>
        <v>0</v>
      </c>
      <c r="L34" s="106">
        <f t="shared" si="2"/>
        <v>0</v>
      </c>
      <c r="M34" s="106" t="s">
        <v>6083</v>
      </c>
      <c r="N34" s="114" t="s">
        <v>6083</v>
      </c>
      <c r="O34" s="114" t="s">
        <v>6083</v>
      </c>
      <c r="P34" s="114"/>
      <c r="Q34" s="63"/>
      <c r="R34" s="63"/>
      <c r="S34" s="114"/>
      <c r="T34" s="114"/>
      <c r="U34" s="63"/>
      <c r="V34" s="114"/>
      <c r="W34" s="63"/>
      <c r="X34" s="845">
        <v>10</v>
      </c>
      <c r="Y34" s="708"/>
      <c r="Z34" s="63"/>
      <c r="AA34" s="63"/>
      <c r="AB34" s="114"/>
      <c r="AC34" s="63"/>
      <c r="AD34" s="114">
        <v>7.5</v>
      </c>
      <c r="AE34" s="63">
        <v>50</v>
      </c>
      <c r="AF34" s="63"/>
      <c r="AG34" s="63"/>
      <c r="AH34" s="63">
        <v>15</v>
      </c>
      <c r="AI34" s="63">
        <v>75</v>
      </c>
      <c r="AJ34" s="63"/>
      <c r="AK34" s="63"/>
      <c r="AL34" s="63"/>
      <c r="AM34" s="63"/>
      <c r="AN34" s="63"/>
      <c r="AO34" s="63"/>
    </row>
    <row r="35" spans="1:41" s="58" customFormat="1">
      <c r="A35" s="85">
        <f>IFERROR(VLOOKUP(Table4[[#This Row],[Player No]],Table10[[#All],[No]:[Age Group]],4,0),"")</f>
        <v>0</v>
      </c>
      <c r="B35" s="87">
        <v>12</v>
      </c>
      <c r="C35" s="88">
        <f t="shared" si="0"/>
        <v>-19</v>
      </c>
      <c r="D35" s="61">
        <f t="shared" si="3"/>
        <v>31</v>
      </c>
      <c r="E35" s="63">
        <v>2918</v>
      </c>
      <c r="F35" s="64" t="str">
        <f>IFERROR(VLOOKUP(Table4[[#This Row],[Player No]],Table10[[No]:[Province]],2,0),"")</f>
        <v>HUSVU Makomborero</v>
      </c>
      <c r="G35" s="65" t="str">
        <f>IFERROR(VLOOKUP(Table4[[#This Row],[Player No]],Table10[[No]:[Province]],3,0),"")</f>
        <v>GN</v>
      </c>
      <c r="H35" s="66">
        <v>46.75</v>
      </c>
      <c r="I35" s="96">
        <v>80</v>
      </c>
      <c r="J35" s="124">
        <f>(Table4[[#This Row],[Points 2025]]/2)+SUM(Table4[[#This Row],[O1  ADMIN 2026]:[P2         WC    Open 2026]])</f>
        <v>60</v>
      </c>
      <c r="K35" s="106">
        <f t="shared" si="1"/>
        <v>2</v>
      </c>
      <c r="L35" s="106">
        <f t="shared" si="2"/>
        <v>0</v>
      </c>
      <c r="M35" s="106">
        <v>10</v>
      </c>
      <c r="N35" s="114">
        <v>10</v>
      </c>
      <c r="O35" s="114" t="s">
        <v>6083</v>
      </c>
      <c r="P35" s="114"/>
      <c r="Q35" s="63">
        <v>2</v>
      </c>
      <c r="R35" s="63">
        <v>10</v>
      </c>
      <c r="S35" s="114"/>
      <c r="T35" s="114"/>
      <c r="U35" s="63"/>
      <c r="V35" s="114">
        <v>1</v>
      </c>
      <c r="W35" s="63"/>
      <c r="X35" s="845"/>
      <c r="Y35" s="708"/>
      <c r="Z35" s="63"/>
      <c r="AA35" s="63">
        <v>15</v>
      </c>
      <c r="AB35" s="114">
        <v>12</v>
      </c>
      <c r="AC35" s="63">
        <v>15</v>
      </c>
      <c r="AD35" s="114"/>
      <c r="AE35" s="63">
        <v>2</v>
      </c>
      <c r="AF35" s="63">
        <v>2</v>
      </c>
      <c r="AG35" s="63">
        <v>10</v>
      </c>
      <c r="AH35" s="63"/>
      <c r="AI35" s="63"/>
      <c r="AJ35" s="63"/>
      <c r="AK35" s="63">
        <v>15</v>
      </c>
      <c r="AL35" s="63">
        <v>10</v>
      </c>
      <c r="AM35" s="63">
        <v>2</v>
      </c>
      <c r="AN35" s="63">
        <v>5</v>
      </c>
      <c r="AO35" s="63">
        <v>1</v>
      </c>
    </row>
    <row r="36" spans="1:41" s="58" customFormat="1">
      <c r="A36" s="85">
        <f>IFERROR(VLOOKUP(Table4[[#This Row],[Player No]],Table10[[#All],[No]:[Age Group]],4,0),"")</f>
        <v>0</v>
      </c>
      <c r="B36" s="87">
        <v>180</v>
      </c>
      <c r="C36" s="88">
        <f t="shared" si="0"/>
        <v>148</v>
      </c>
      <c r="D36" s="61">
        <f t="shared" si="3"/>
        <v>32</v>
      </c>
      <c r="E36" s="63">
        <v>2634</v>
      </c>
      <c r="F36" s="64" t="str">
        <f>IFERROR(VLOOKUP(Table4[[#This Row],[Player No]],Table10[[No]:[Province]],2,0),"")</f>
        <v>PHEKONYANE Kgalalelo</v>
      </c>
      <c r="G36" s="65" t="str">
        <f>IFERROR(VLOOKUP(Table4[[#This Row],[Player No]],Table10[[No]:[Province]],3,0),"")</f>
        <v>FS</v>
      </c>
      <c r="H36" s="66">
        <v>5</v>
      </c>
      <c r="I36" s="96">
        <v>69.5</v>
      </c>
      <c r="J36" s="124">
        <f>(Table4[[#This Row],[Points 2025]]/2)+SUM(Table4[[#This Row],[O1  ADMIN 2026]:[P2         WC    Open 2026]])</f>
        <v>59.75</v>
      </c>
      <c r="K36" s="106">
        <f t="shared" si="1"/>
        <v>1</v>
      </c>
      <c r="L36" s="106">
        <f t="shared" si="2"/>
        <v>0</v>
      </c>
      <c r="M36" s="106">
        <v>25</v>
      </c>
      <c r="N36" s="114">
        <v>0</v>
      </c>
      <c r="O36" s="114" t="s">
        <v>6083</v>
      </c>
      <c r="P36" s="114"/>
      <c r="Q36" s="63"/>
      <c r="R36" s="63"/>
      <c r="S36" s="114"/>
      <c r="T36" s="114"/>
      <c r="U36" s="63"/>
      <c r="V36" s="114">
        <v>15</v>
      </c>
      <c r="W36" s="63">
        <v>12.5</v>
      </c>
      <c r="X36" s="845">
        <v>25</v>
      </c>
      <c r="Y36" s="708"/>
      <c r="Z36" s="63"/>
      <c r="AA36" s="63"/>
      <c r="AB36" s="114"/>
      <c r="AC36" s="63">
        <v>15</v>
      </c>
      <c r="AD36" s="114"/>
      <c r="AE36" s="63"/>
      <c r="AF36" s="63"/>
      <c r="AG36" s="63"/>
      <c r="AH36" s="63"/>
      <c r="AI36" s="63"/>
      <c r="AJ36" s="63">
        <v>5</v>
      </c>
      <c r="AK36" s="63"/>
      <c r="AL36" s="63"/>
      <c r="AM36" s="63"/>
      <c r="AN36" s="63"/>
      <c r="AO36" s="63"/>
    </row>
    <row r="37" spans="1:41" s="58" customFormat="1">
      <c r="A37" s="85" t="str">
        <f>IFERROR(VLOOKUP(Table4[[#This Row],[Player No]],Table10[[#All],[No]:[Age Group]],4,0),"")</f>
        <v>U19</v>
      </c>
      <c r="B37" s="87">
        <v>29</v>
      </c>
      <c r="C37" s="88">
        <f t="shared" ref="C37:C68" si="4">+B37-D37</f>
        <v>-4</v>
      </c>
      <c r="D37" s="61">
        <f t="shared" si="3"/>
        <v>33</v>
      </c>
      <c r="E37" s="63">
        <v>3063</v>
      </c>
      <c r="F37" s="64" t="str">
        <f>IFERROR(VLOOKUP(Table4[[#This Row],[Player No]],Table10[[No]:[Province]],2,0),"")</f>
        <v>CARRASCO Ricardo</v>
      </c>
      <c r="G37" s="65" t="str">
        <f>IFERROR(VLOOKUP(Table4[[#This Row],[Player No]],Table10[[No]:[Province]],3,0),"")</f>
        <v>FS</v>
      </c>
      <c r="H37" s="66">
        <v>56</v>
      </c>
      <c r="I37" s="96">
        <v>116.5</v>
      </c>
      <c r="J37" s="124">
        <f>(Table4[[#This Row],[Points 2025]]/2)+SUM(Table4[[#This Row],[O1  ADMIN 2026]:[P2         WC    Open 2026]])</f>
        <v>58.25</v>
      </c>
      <c r="K37" s="106">
        <f t="shared" si="1"/>
        <v>0</v>
      </c>
      <c r="L37" s="106">
        <f t="shared" si="2"/>
        <v>0</v>
      </c>
      <c r="M37" s="106" t="s">
        <v>6083</v>
      </c>
      <c r="N37" s="114" t="s">
        <v>6083</v>
      </c>
      <c r="O37" s="114" t="s">
        <v>6083</v>
      </c>
      <c r="P37" s="114"/>
      <c r="Q37" s="63"/>
      <c r="R37" s="63"/>
      <c r="S37" s="114"/>
      <c r="T37" s="114"/>
      <c r="U37" s="63"/>
      <c r="V37" s="114">
        <v>50</v>
      </c>
      <c r="W37" s="63">
        <v>17.5</v>
      </c>
      <c r="X37" s="845">
        <v>10</v>
      </c>
      <c r="Y37" s="708"/>
      <c r="Z37" s="63"/>
      <c r="AA37" s="63"/>
      <c r="AB37" s="114"/>
      <c r="AC37" s="63">
        <v>15</v>
      </c>
      <c r="AD37" s="114"/>
      <c r="AE37" s="63"/>
      <c r="AF37" s="63"/>
      <c r="AG37" s="63"/>
      <c r="AH37" s="63"/>
      <c r="AI37" s="63"/>
      <c r="AJ37" s="63">
        <v>25</v>
      </c>
      <c r="AK37" s="63"/>
      <c r="AL37" s="63"/>
      <c r="AM37" s="63"/>
      <c r="AN37" s="63">
        <v>15</v>
      </c>
      <c r="AO37" s="63"/>
    </row>
    <row r="38" spans="1:41" s="58" customFormat="1">
      <c r="A38" s="85">
        <f>IFERROR(VLOOKUP(Table4[[#This Row],[Player No]],Table10[[#All],[No]:[Age Group]],4,0),"")</f>
        <v>0</v>
      </c>
      <c r="B38" s="87">
        <v>16</v>
      </c>
      <c r="C38" s="88">
        <f t="shared" si="4"/>
        <v>-18</v>
      </c>
      <c r="D38" s="61">
        <f t="shared" si="3"/>
        <v>34</v>
      </c>
      <c r="E38" s="63">
        <v>3432</v>
      </c>
      <c r="F38" s="64" t="str">
        <f>IFERROR(VLOOKUP(Table4[[#This Row],[Player No]],Table10[[No]:[Province]],2,0),"")</f>
        <v>LEKALAKALA Motshele</v>
      </c>
      <c r="G38" s="65" t="str">
        <f>IFERROR(VLOOKUP(Table4[[#This Row],[Player No]],Table10[[No]:[Province]],3,0),"")</f>
        <v>GN</v>
      </c>
      <c r="H38" s="66">
        <v>130</v>
      </c>
      <c r="I38" s="96">
        <v>106.25</v>
      </c>
      <c r="J38" s="124">
        <f>(Table4[[#This Row],[Points 2025]]/2)+SUM(Table4[[#This Row],[O1  ADMIN 2026]:[P2         WC    Open 2026]])</f>
        <v>53.125</v>
      </c>
      <c r="K38" s="106">
        <f t="shared" si="1"/>
        <v>0</v>
      </c>
      <c r="L38" s="106">
        <f t="shared" si="2"/>
        <v>0</v>
      </c>
      <c r="M38" s="106" t="s">
        <v>6083</v>
      </c>
      <c r="N38" s="114" t="s">
        <v>6083</v>
      </c>
      <c r="O38" s="114" t="s">
        <v>6083</v>
      </c>
      <c r="P38" s="114"/>
      <c r="Q38" s="63"/>
      <c r="R38" s="63"/>
      <c r="S38" s="114"/>
      <c r="T38" s="114"/>
      <c r="U38" s="63"/>
      <c r="V38" s="114"/>
      <c r="W38" s="63"/>
      <c r="X38" s="845"/>
      <c r="Y38" s="708"/>
      <c r="Z38" s="63"/>
      <c r="AA38" s="63">
        <v>10</v>
      </c>
      <c r="AB38" s="114">
        <v>12</v>
      </c>
      <c r="AC38" s="63">
        <v>25</v>
      </c>
      <c r="AD38" s="114"/>
      <c r="AE38" s="63"/>
      <c r="AF38" s="63"/>
      <c r="AG38" s="63"/>
      <c r="AH38" s="63"/>
      <c r="AI38" s="63"/>
      <c r="AJ38" s="63">
        <v>25</v>
      </c>
      <c r="AK38" s="63">
        <v>25</v>
      </c>
      <c r="AL38" s="63">
        <v>10</v>
      </c>
      <c r="AM38" s="63">
        <v>25</v>
      </c>
      <c r="AN38" s="63">
        <v>15</v>
      </c>
      <c r="AO38" s="63">
        <v>15</v>
      </c>
    </row>
    <row r="39" spans="1:41" s="58" customFormat="1">
      <c r="A39" s="85">
        <f>IFERROR(VLOOKUP(Table4[[#This Row],[Player No]],Table10[[#All],[No]:[Age Group]],4,0),"")</f>
        <v>0</v>
      </c>
      <c r="B39" s="87">
        <v>55</v>
      </c>
      <c r="C39" s="88">
        <f t="shared" si="4"/>
        <v>20</v>
      </c>
      <c r="D39" s="61">
        <f t="shared" si="3"/>
        <v>35</v>
      </c>
      <c r="E39" s="63">
        <v>2508</v>
      </c>
      <c r="F39" s="64" t="str">
        <f>IFERROR(VLOOKUP(Table4[[#This Row],[Player No]],Table10[[No]:[Province]],2,0),"")</f>
        <v>MORAILE Oreneile</v>
      </c>
      <c r="G39" s="65" t="str">
        <f>IFERROR(VLOOKUP(Table4[[#This Row],[Player No]],Table10[[No]:[Province]],3,0),"")</f>
        <v>FS</v>
      </c>
      <c r="H39" s="66">
        <v>5</v>
      </c>
      <c r="I39" s="96">
        <v>56.25</v>
      </c>
      <c r="J39" s="124">
        <f>(Table4[[#This Row],[Points 2025]]/2)+SUM(Table4[[#This Row],[O1  ADMIN 2026]:[P2         WC    Open 2026]])</f>
        <v>53.125</v>
      </c>
      <c r="K39" s="106">
        <f t="shared" si="1"/>
        <v>1</v>
      </c>
      <c r="L39" s="106">
        <f t="shared" si="2"/>
        <v>0</v>
      </c>
      <c r="M39" s="106">
        <v>25</v>
      </c>
      <c r="N39" s="114" t="s">
        <v>6083</v>
      </c>
      <c r="O39" s="114" t="s">
        <v>6083</v>
      </c>
      <c r="P39" s="114"/>
      <c r="Q39" s="63"/>
      <c r="R39" s="63"/>
      <c r="S39" s="114"/>
      <c r="T39" s="114"/>
      <c r="U39" s="63"/>
      <c r="V39" s="114">
        <v>25</v>
      </c>
      <c r="W39" s="63">
        <v>1</v>
      </c>
      <c r="X39" s="845">
        <v>25</v>
      </c>
      <c r="Y39" s="708"/>
      <c r="Z39" s="63"/>
      <c r="AA39" s="63"/>
      <c r="AB39" s="114"/>
      <c r="AC39" s="63">
        <v>5</v>
      </c>
      <c r="AD39" s="114"/>
      <c r="AE39" s="63"/>
      <c r="AF39" s="63"/>
      <c r="AG39" s="63"/>
      <c r="AH39" s="63"/>
      <c r="AI39" s="63"/>
      <c r="AJ39" s="63">
        <v>5</v>
      </c>
      <c r="AK39" s="63"/>
      <c r="AL39" s="63"/>
      <c r="AM39" s="63"/>
      <c r="AN39" s="63"/>
      <c r="AO39" s="63"/>
    </row>
    <row r="40" spans="1:41" s="58" customFormat="1">
      <c r="A40" s="85" t="str">
        <f>IFERROR(VLOOKUP(Table4[[#This Row],[Player No]],Table10[[#All],[No]:[Age Group]],4,0),"")</f>
        <v>U19</v>
      </c>
      <c r="B40" s="87">
        <v>21</v>
      </c>
      <c r="C40" s="88">
        <f t="shared" si="4"/>
        <v>-15</v>
      </c>
      <c r="D40" s="61">
        <f t="shared" si="3"/>
        <v>36</v>
      </c>
      <c r="E40" s="63">
        <v>2694</v>
      </c>
      <c r="F40" s="64" t="str">
        <f>IFERROR(VLOOKUP(Table4[[#This Row],[Player No]],Table10[[No]:[Province]],2,0),"")</f>
        <v>MARSHALL Daniel</v>
      </c>
      <c r="G40" s="65" t="str">
        <f>IFERROR(VLOOKUP(Table4[[#This Row],[Player No]],Table10[[No]:[Province]],3,0),"")</f>
        <v>JTTA</v>
      </c>
      <c r="H40" s="66">
        <v>212.5</v>
      </c>
      <c r="I40" s="96">
        <v>100</v>
      </c>
      <c r="J40" s="124">
        <f>(Table4[[#This Row],[Points 2025]]/2)+SUM(Table4[[#This Row],[O1  ADMIN 2026]:[P2         WC    Open 2026]])</f>
        <v>50</v>
      </c>
      <c r="K40" s="106">
        <f t="shared" si="1"/>
        <v>0</v>
      </c>
      <c r="L40" s="106">
        <f t="shared" si="2"/>
        <v>0</v>
      </c>
      <c r="M40" s="106" t="s">
        <v>6083</v>
      </c>
      <c r="N40" s="114" t="s">
        <v>6083</v>
      </c>
      <c r="O40" s="114" t="s">
        <v>6083</v>
      </c>
      <c r="P40" s="114"/>
      <c r="Q40" s="63"/>
      <c r="R40" s="63"/>
      <c r="S40" s="114"/>
      <c r="T40" s="114"/>
      <c r="U40" s="63"/>
      <c r="V40" s="114"/>
      <c r="W40" s="63"/>
      <c r="X40" s="845"/>
      <c r="Y40" s="708"/>
      <c r="Z40" s="63"/>
      <c r="AA40" s="63"/>
      <c r="AB40" s="114"/>
      <c r="AC40" s="63"/>
      <c r="AD40" s="114"/>
      <c r="AE40" s="63"/>
      <c r="AF40" s="63"/>
      <c r="AG40" s="63"/>
      <c r="AH40" s="63"/>
      <c r="AI40" s="63"/>
      <c r="AJ40" s="63"/>
      <c r="AK40" s="63"/>
      <c r="AL40" s="63"/>
      <c r="AM40" s="63">
        <v>25</v>
      </c>
      <c r="AN40" s="63"/>
      <c r="AO40" s="63">
        <v>50</v>
      </c>
    </row>
    <row r="41" spans="1:41" s="58" customFormat="1">
      <c r="A41" s="85" t="str">
        <f>IFERROR(VLOOKUP(Table4[[#This Row],[Player No]],Table10[[#All],[No]:[Age Group]],4,0),"")</f>
        <v>U15</v>
      </c>
      <c r="B41" s="87">
        <v>11</v>
      </c>
      <c r="C41" s="88">
        <f t="shared" si="4"/>
        <v>-26</v>
      </c>
      <c r="D41" s="61">
        <f t="shared" si="3"/>
        <v>37</v>
      </c>
      <c r="E41" s="63">
        <v>3780</v>
      </c>
      <c r="F41" s="64" t="str">
        <f>IFERROR(VLOOKUP(Table4[[#This Row],[Player No]],Table10[[No]:[Province]],2,0),"")</f>
        <v>KAVONICH Naftali</v>
      </c>
      <c r="G41" s="65" t="str">
        <f>IFERROR(VLOOKUP(Table4[[#This Row],[Player No]],Table10[[No]:[Province]],3,0),"")</f>
        <v>JTTA</v>
      </c>
      <c r="H41" s="66">
        <v>200</v>
      </c>
      <c r="I41" s="96">
        <v>96</v>
      </c>
      <c r="J41" s="124">
        <f>(Table4[[#This Row],[Points 2025]]/2)+SUM(Table4[[#This Row],[O1  ADMIN 2026]:[P2         WC    Open 2026]])</f>
        <v>48</v>
      </c>
      <c r="K41" s="106">
        <f t="shared" si="1"/>
        <v>0</v>
      </c>
      <c r="L41" s="106">
        <f t="shared" si="2"/>
        <v>0</v>
      </c>
      <c r="M41" s="106" t="s">
        <v>6083</v>
      </c>
      <c r="N41" s="114" t="s">
        <v>6083</v>
      </c>
      <c r="O41" s="114" t="s">
        <v>6083</v>
      </c>
      <c r="P41" s="114"/>
      <c r="Q41" s="63"/>
      <c r="R41" s="63"/>
      <c r="S41" s="114"/>
      <c r="T41" s="114"/>
      <c r="U41" s="63"/>
      <c r="V41" s="114"/>
      <c r="W41" s="63"/>
      <c r="X41" s="845"/>
      <c r="Y41" s="708"/>
      <c r="Z41" s="63"/>
      <c r="AA41" s="63"/>
      <c r="AB41" s="114"/>
      <c r="AC41" s="63"/>
      <c r="AD41" s="114"/>
      <c r="AE41" s="63"/>
      <c r="AF41" s="63"/>
      <c r="AG41" s="63"/>
      <c r="AH41" s="63"/>
      <c r="AI41" s="63"/>
      <c r="AJ41" s="63">
        <v>75</v>
      </c>
      <c r="AK41" s="63"/>
      <c r="AL41" s="63">
        <v>25</v>
      </c>
      <c r="AM41" s="63">
        <v>75</v>
      </c>
      <c r="AN41" s="63"/>
      <c r="AO41" s="63">
        <v>25</v>
      </c>
    </row>
    <row r="42" spans="1:41" s="58" customFormat="1">
      <c r="A42" s="85">
        <f>IFERROR(VLOOKUP(Table4[[#This Row],[Player No]],Table10[[#All],[No]:[Age Group]],4,0),"")</f>
        <v>0</v>
      </c>
      <c r="B42" s="87">
        <v>5</v>
      </c>
      <c r="C42" s="88">
        <f t="shared" si="4"/>
        <v>-33</v>
      </c>
      <c r="D42" s="61">
        <f t="shared" si="3"/>
        <v>38</v>
      </c>
      <c r="E42" s="63">
        <v>3437</v>
      </c>
      <c r="F42" s="64" t="str">
        <f>IFERROR(VLOOKUP(Table4[[#This Row],[Player No]],Table10[[No]:[Province]],2,0),"")</f>
        <v>DE BEER Derrick</v>
      </c>
      <c r="G42" s="65" t="str">
        <f>IFERROR(VLOOKUP(Table4[[#This Row],[Player No]],Table10[[No]:[Province]],3,0),"")</f>
        <v>GN</v>
      </c>
      <c r="H42" s="66">
        <v>136</v>
      </c>
      <c r="I42" s="96">
        <v>94.5</v>
      </c>
      <c r="J42" s="124">
        <f>(Table4[[#This Row],[Points 2025]]/2)+SUM(Table4[[#This Row],[O1  ADMIN 2026]:[P2         WC    Open 2026]])</f>
        <v>47.25</v>
      </c>
      <c r="K42" s="106">
        <f t="shared" si="1"/>
        <v>0</v>
      </c>
      <c r="L42" s="106">
        <f t="shared" si="2"/>
        <v>0</v>
      </c>
      <c r="M42" s="106" t="s">
        <v>6083</v>
      </c>
      <c r="N42" s="114" t="s">
        <v>6083</v>
      </c>
      <c r="O42" s="114" t="s">
        <v>6083</v>
      </c>
      <c r="P42" s="114"/>
      <c r="Q42" s="63"/>
      <c r="R42" s="63"/>
      <c r="S42" s="114"/>
      <c r="T42" s="114"/>
      <c r="U42" s="63"/>
      <c r="V42" s="114">
        <v>1</v>
      </c>
      <c r="W42" s="63"/>
      <c r="X42" s="845"/>
      <c r="Y42" s="708"/>
      <c r="Z42" s="63"/>
      <c r="AA42" s="63"/>
      <c r="AB42" s="114">
        <v>12</v>
      </c>
      <c r="AC42" s="63">
        <v>15</v>
      </c>
      <c r="AD42" s="114"/>
      <c r="AE42" s="63"/>
      <c r="AF42" s="63"/>
      <c r="AG42" s="63"/>
      <c r="AH42" s="63"/>
      <c r="AI42" s="63"/>
      <c r="AJ42" s="63">
        <v>25</v>
      </c>
      <c r="AK42" s="63">
        <v>10</v>
      </c>
      <c r="AL42" s="63"/>
      <c r="AM42" s="63">
        <v>50</v>
      </c>
      <c r="AN42" s="63">
        <v>15</v>
      </c>
      <c r="AO42" s="63">
        <v>35</v>
      </c>
    </row>
    <row r="43" spans="1:41" s="58" customFormat="1">
      <c r="A43" s="85" t="str">
        <f>IFERROR(VLOOKUP(Table4[[#This Row],[Player No]],Table10[[#All],[No]:[Age Group]],4,0),"")</f>
        <v>U19</v>
      </c>
      <c r="B43" s="87">
        <v>30</v>
      </c>
      <c r="C43" s="88">
        <f t="shared" si="4"/>
        <v>-9</v>
      </c>
      <c r="D43" s="61">
        <f t="shared" si="3"/>
        <v>39</v>
      </c>
      <c r="E43" s="63">
        <v>3834</v>
      </c>
      <c r="F43" s="64" t="str">
        <f>IFERROR(VLOOKUP(Table4[[#This Row],[Player No]],Table10[[No]:[Province]],2,0),"")</f>
        <v>DU TOIT JG</v>
      </c>
      <c r="G43" s="65" t="str">
        <f>IFERROR(VLOOKUP(Table4[[#This Row],[Player No]],Table10[[No]:[Province]],3,0),"")</f>
        <v>GN</v>
      </c>
      <c r="H43" s="66">
        <v>65</v>
      </c>
      <c r="I43" s="96">
        <v>93</v>
      </c>
      <c r="J43" s="124">
        <f>(Table4[[#This Row],[Points 2025]]/2)+SUM(Table4[[#This Row],[O1  ADMIN 2026]:[P2         WC    Open 2026]])</f>
        <v>46.5</v>
      </c>
      <c r="K43" s="106">
        <f t="shared" si="1"/>
        <v>0</v>
      </c>
      <c r="L43" s="106">
        <f t="shared" si="2"/>
        <v>0</v>
      </c>
      <c r="M43" s="106" t="s">
        <v>6083</v>
      </c>
      <c r="N43" s="114" t="s">
        <v>6083</v>
      </c>
      <c r="O43" s="114" t="s">
        <v>6083</v>
      </c>
      <c r="P43" s="114"/>
      <c r="Q43" s="63"/>
      <c r="R43" s="63"/>
      <c r="S43" s="114"/>
      <c r="T43" s="114"/>
      <c r="U43" s="63"/>
      <c r="V43" s="114">
        <v>25</v>
      </c>
      <c r="W43" s="63"/>
      <c r="X43" s="845">
        <v>25</v>
      </c>
      <c r="Y43" s="708"/>
      <c r="Z43" s="63"/>
      <c r="AA43" s="63"/>
      <c r="AB43" s="114">
        <v>12</v>
      </c>
      <c r="AC43" s="63"/>
      <c r="AD43" s="114"/>
      <c r="AE43" s="63"/>
      <c r="AF43" s="63"/>
      <c r="AG43" s="63"/>
      <c r="AH43" s="63"/>
      <c r="AI43" s="63"/>
      <c r="AJ43" s="63">
        <v>25</v>
      </c>
      <c r="AK43" s="63"/>
      <c r="AL43" s="63"/>
      <c r="AM43" s="63">
        <v>25</v>
      </c>
      <c r="AN43" s="63">
        <v>15</v>
      </c>
      <c r="AO43" s="63"/>
    </row>
    <row r="44" spans="1:41" s="58" customFormat="1">
      <c r="A44" s="85">
        <f>IFERROR(VLOOKUP(Table4[[#This Row],[Player No]],Table10[[#All],[No]:[Age Group]],4,0),"")</f>
        <v>0</v>
      </c>
      <c r="B44" s="87">
        <v>40</v>
      </c>
      <c r="C44" s="88">
        <f t="shared" si="4"/>
        <v>0</v>
      </c>
      <c r="D44" s="61">
        <f t="shared" si="3"/>
        <v>40</v>
      </c>
      <c r="E44" s="63">
        <v>3874</v>
      </c>
      <c r="F44" s="64" t="str">
        <f>IFERROR(VLOOKUP(Table4[[#This Row],[Player No]],Table10[[No]:[Province]],2,0),"")</f>
        <v>MGENGE Nelokuhle</v>
      </c>
      <c r="G44" s="65" t="str">
        <f>IFERROR(VLOOKUP(Table4[[#This Row],[Player No]],Table10[[No]:[Province]],3,0),"")</f>
        <v>ETTA</v>
      </c>
      <c r="H44" s="66">
        <v>51</v>
      </c>
      <c r="I44" s="96">
        <v>70</v>
      </c>
      <c r="J44" s="124">
        <f>(Table4[[#This Row],[Points 2025]]/2)+SUM(Table4[[#This Row],[O1  ADMIN 2026]:[P2         WC    Open 2026]])</f>
        <v>45</v>
      </c>
      <c r="K44" s="106">
        <f t="shared" si="1"/>
        <v>1</v>
      </c>
      <c r="L44" s="106">
        <f t="shared" si="2"/>
        <v>0</v>
      </c>
      <c r="M44" s="106" t="s">
        <v>6083</v>
      </c>
      <c r="N44" s="114" t="s">
        <v>6083</v>
      </c>
      <c r="O44" s="114">
        <v>10</v>
      </c>
      <c r="P44" s="114"/>
      <c r="Q44" s="63">
        <v>25</v>
      </c>
      <c r="R44" s="63">
        <v>1</v>
      </c>
      <c r="S44" s="114"/>
      <c r="T44" s="114">
        <v>15</v>
      </c>
      <c r="U44" s="63"/>
      <c r="V44" s="114"/>
      <c r="W44" s="63"/>
      <c r="X44" s="845">
        <v>5</v>
      </c>
      <c r="Y44" s="708"/>
      <c r="Z44" s="63"/>
      <c r="AA44" s="63"/>
      <c r="AB44" s="114"/>
      <c r="AC44" s="63"/>
      <c r="AD44" s="114"/>
      <c r="AE44" s="63"/>
      <c r="AF44" s="63">
        <v>25</v>
      </c>
      <c r="AG44" s="63">
        <v>1</v>
      </c>
      <c r="AH44" s="63"/>
      <c r="AI44" s="63"/>
      <c r="AJ44" s="63">
        <v>25</v>
      </c>
      <c r="AK44" s="63"/>
      <c r="AL44" s="63"/>
      <c r="AM44" s="63"/>
      <c r="AN44" s="63"/>
      <c r="AO44" s="63"/>
    </row>
    <row r="45" spans="1:41" s="58" customFormat="1">
      <c r="A45" s="85">
        <f>IFERROR(VLOOKUP(Table4[[#This Row],[Player No]],Table10[[#All],[No]:[Age Group]],4,0),"")</f>
        <v>0</v>
      </c>
      <c r="B45" s="87">
        <v>98</v>
      </c>
      <c r="C45" s="88">
        <f t="shared" si="4"/>
        <v>57</v>
      </c>
      <c r="D45" s="61">
        <f t="shared" si="3"/>
        <v>41</v>
      </c>
      <c r="E45" s="63">
        <v>3921</v>
      </c>
      <c r="F45" s="64" t="str">
        <f>IFERROR(VLOOKUP(Table4[[#This Row],[Player No]],Table10[[No]:[Province]],2,0),"")</f>
        <v>RAMTHOL Ashlyn</v>
      </c>
      <c r="G45" s="65" t="str">
        <f>IFERROR(VLOOKUP(Table4[[#This Row],[Player No]],Table10[[No]:[Province]],3,0),"")</f>
        <v>ETTA</v>
      </c>
      <c r="H45" s="66">
        <v>2</v>
      </c>
      <c r="I45" s="96">
        <v>47.5</v>
      </c>
      <c r="J45" s="124">
        <f>(Table4[[#This Row],[Points 2025]]/2)+SUM(Table4[[#This Row],[O1  ADMIN 2026]:[P2         WC    Open 2026]])</f>
        <v>43.75</v>
      </c>
      <c r="K45" s="106">
        <f t="shared" si="1"/>
        <v>2</v>
      </c>
      <c r="L45" s="106">
        <f t="shared" si="2"/>
        <v>0</v>
      </c>
      <c r="M45" s="106" t="s">
        <v>6083</v>
      </c>
      <c r="N45" s="114">
        <v>10</v>
      </c>
      <c r="O45" s="114">
        <v>10</v>
      </c>
      <c r="P45" s="114"/>
      <c r="Q45" s="63"/>
      <c r="R45" s="63">
        <v>1</v>
      </c>
      <c r="S45" s="114">
        <v>1</v>
      </c>
      <c r="T45" s="114">
        <v>15</v>
      </c>
      <c r="U45" s="63">
        <v>1</v>
      </c>
      <c r="V45" s="114"/>
      <c r="W45" s="63"/>
      <c r="X45" s="845">
        <v>10</v>
      </c>
      <c r="Y45" s="708"/>
      <c r="Z45" s="63"/>
      <c r="AA45" s="63"/>
      <c r="AB45" s="114">
        <v>20</v>
      </c>
      <c r="AC45" s="63"/>
      <c r="AD45" s="114"/>
      <c r="AE45" s="63"/>
      <c r="AF45" s="63">
        <v>2</v>
      </c>
      <c r="AG45" s="63"/>
      <c r="AH45" s="63"/>
      <c r="AI45" s="63"/>
      <c r="AJ45" s="63"/>
      <c r="AK45" s="63"/>
      <c r="AL45" s="63"/>
      <c r="AM45" s="63"/>
      <c r="AN45" s="63"/>
      <c r="AO45" s="63"/>
    </row>
    <row r="46" spans="1:41" s="58" customFormat="1">
      <c r="A46" s="85">
        <f>IFERROR(VLOOKUP(Table4[[#This Row],[Player No]],Table10[[#All],[No]:[Age Group]],4,0),"")</f>
        <v>0</v>
      </c>
      <c r="B46" s="87">
        <v>155</v>
      </c>
      <c r="C46" s="88">
        <f t="shared" si="4"/>
        <v>113</v>
      </c>
      <c r="D46" s="61">
        <f t="shared" si="3"/>
        <v>42</v>
      </c>
      <c r="E46" s="63">
        <v>3578</v>
      </c>
      <c r="F46" s="64" t="str">
        <f>IFERROR(VLOOKUP(Table4[[#This Row],[Player No]],Table10[[No]:[Province]],2,0),"")</f>
        <v>FERHELST Munier</v>
      </c>
      <c r="G46" s="65" t="str">
        <f>IFERROR(VLOOKUP(Table4[[#This Row],[Player No]],Table10[[No]:[Province]],3,0),"")</f>
        <v>CT</v>
      </c>
      <c r="H46" s="66">
        <v>5</v>
      </c>
      <c r="I46" s="96">
        <v>82.875</v>
      </c>
      <c r="J46" s="124">
        <f>(Table4[[#This Row],[Points 2025]]/2)+SUM(Table4[[#This Row],[O1  ADMIN 2026]:[P2         WC    Open 2026]])</f>
        <v>41.4375</v>
      </c>
      <c r="K46" s="106">
        <f t="shared" si="1"/>
        <v>0</v>
      </c>
      <c r="L46" s="106">
        <f t="shared" si="2"/>
        <v>0</v>
      </c>
      <c r="M46" s="106" t="s">
        <v>6083</v>
      </c>
      <c r="N46" s="114" t="s">
        <v>6083</v>
      </c>
      <c r="O46" s="114" t="s">
        <v>6083</v>
      </c>
      <c r="P46" s="114"/>
      <c r="Q46" s="63"/>
      <c r="R46" s="63"/>
      <c r="S46" s="114"/>
      <c r="T46" s="114"/>
      <c r="U46" s="63"/>
      <c r="V46" s="114"/>
      <c r="W46" s="63"/>
      <c r="X46" s="845">
        <v>50</v>
      </c>
      <c r="Y46" s="708"/>
      <c r="Z46" s="63"/>
      <c r="AA46" s="63"/>
      <c r="AB46" s="114"/>
      <c r="AC46" s="63"/>
      <c r="AD46" s="114">
        <v>12.5</v>
      </c>
      <c r="AE46" s="63">
        <v>25</v>
      </c>
      <c r="AF46" s="63"/>
      <c r="AG46" s="63"/>
      <c r="AH46" s="63">
        <v>5</v>
      </c>
      <c r="AI46" s="63"/>
      <c r="AJ46" s="63"/>
      <c r="AK46" s="63"/>
      <c r="AL46" s="63"/>
      <c r="AM46" s="63"/>
      <c r="AN46" s="63"/>
      <c r="AO46" s="63"/>
    </row>
    <row r="47" spans="1:41" s="58" customFormat="1">
      <c r="A47" s="85">
        <f>IFERROR(VLOOKUP(Table4[[#This Row],[Player No]],Table10[[#All],[No]:[Age Group]],4,0),"")</f>
        <v>0</v>
      </c>
      <c r="B47" s="87">
        <v>13</v>
      </c>
      <c r="C47" s="88">
        <f t="shared" si="4"/>
        <v>-30</v>
      </c>
      <c r="D47" s="61">
        <f t="shared" si="3"/>
        <v>43</v>
      </c>
      <c r="E47" s="63">
        <v>3316</v>
      </c>
      <c r="F47" s="64" t="str">
        <f>IFERROR(VLOOKUP(Table4[[#This Row],[Player No]],Table10[[No]:[Province]],2,0),"")</f>
        <v>DICKASON Nathan</v>
      </c>
      <c r="G47" s="65" t="str">
        <f>IFERROR(VLOOKUP(Table4[[#This Row],[Player No]],Table10[[No]:[Province]],3,0),"")</f>
        <v>UMG</v>
      </c>
      <c r="H47" s="66">
        <v>85.75</v>
      </c>
      <c r="I47" s="96">
        <v>82.5</v>
      </c>
      <c r="J47" s="124">
        <f>(Table4[[#This Row],[Points 2025]]/2)+SUM(Table4[[#This Row],[O1  ADMIN 2026]:[P2         WC    Open 2026]])</f>
        <v>41.25</v>
      </c>
      <c r="K47" s="106">
        <f t="shared" si="1"/>
        <v>0</v>
      </c>
      <c r="L47" s="106">
        <f t="shared" si="2"/>
        <v>0</v>
      </c>
      <c r="M47" s="106" t="s">
        <v>6083</v>
      </c>
      <c r="N47" s="114" t="s">
        <v>6083</v>
      </c>
      <c r="O47" s="114" t="s">
        <v>6083</v>
      </c>
      <c r="P47" s="114"/>
      <c r="Q47" s="63">
        <v>15</v>
      </c>
      <c r="R47" s="63">
        <v>10</v>
      </c>
      <c r="S47" s="114"/>
      <c r="T47" s="114"/>
      <c r="U47" s="63">
        <v>15</v>
      </c>
      <c r="V47" s="114"/>
      <c r="W47" s="63"/>
      <c r="X47" s="845"/>
      <c r="Y47" s="708"/>
      <c r="Z47" s="63"/>
      <c r="AA47" s="63"/>
      <c r="AB47" s="114"/>
      <c r="AC47" s="63"/>
      <c r="AD47" s="114"/>
      <c r="AE47" s="63"/>
      <c r="AF47" s="63">
        <v>25</v>
      </c>
      <c r="AG47" s="63">
        <v>10</v>
      </c>
      <c r="AH47" s="63"/>
      <c r="AI47" s="63"/>
      <c r="AJ47" s="63">
        <v>10</v>
      </c>
      <c r="AK47" s="63"/>
      <c r="AL47" s="63"/>
      <c r="AM47" s="63"/>
      <c r="AN47" s="63">
        <v>15</v>
      </c>
      <c r="AO47" s="63"/>
    </row>
    <row r="48" spans="1:41" s="58" customFormat="1">
      <c r="A48" s="85">
        <f>IFERROR(VLOOKUP(Table4[[#This Row],[Player No]],Table10[[#All],[No]:[Age Group]],4,0),"")</f>
        <v>0</v>
      </c>
      <c r="B48" s="87">
        <v>87</v>
      </c>
      <c r="C48" s="88">
        <f t="shared" si="4"/>
        <v>43</v>
      </c>
      <c r="D48" s="61">
        <f t="shared" si="3"/>
        <v>44</v>
      </c>
      <c r="E48" s="63">
        <v>3324</v>
      </c>
      <c r="F48" s="64" t="str">
        <f>IFERROR(VLOOKUP(Table4[[#This Row],[Player No]],Table10[[No]:[Province]],2,0),"")</f>
        <v>PHILANDER Nahum</v>
      </c>
      <c r="G48" s="65" t="str">
        <f>IFERROR(VLOOKUP(Table4[[#This Row],[Player No]],Table10[[No]:[Province]],3,0),"")</f>
        <v>CT</v>
      </c>
      <c r="H48" s="66">
        <v>90</v>
      </c>
      <c r="I48" s="96">
        <v>80.375</v>
      </c>
      <c r="J48" s="124">
        <f>(Table4[[#This Row],[Points 2025]]/2)+SUM(Table4[[#This Row],[O1  ADMIN 2026]:[P2         WC    Open 2026]])</f>
        <v>40.1875</v>
      </c>
      <c r="K48" s="106">
        <f t="shared" si="1"/>
        <v>0</v>
      </c>
      <c r="L48" s="106">
        <f t="shared" si="2"/>
        <v>0</v>
      </c>
      <c r="M48" s="106" t="s">
        <v>6083</v>
      </c>
      <c r="N48" s="114" t="s">
        <v>6083</v>
      </c>
      <c r="O48" s="114" t="s">
        <v>6083</v>
      </c>
      <c r="P48" s="114"/>
      <c r="Q48" s="63"/>
      <c r="R48" s="63"/>
      <c r="S48" s="114"/>
      <c r="T48" s="114"/>
      <c r="U48" s="63"/>
      <c r="V48" s="114"/>
      <c r="W48" s="63"/>
      <c r="X48" s="845">
        <v>10</v>
      </c>
      <c r="Y48" s="708"/>
      <c r="Z48" s="63"/>
      <c r="AA48" s="63"/>
      <c r="AB48" s="114"/>
      <c r="AC48" s="63"/>
      <c r="AD48" s="114">
        <v>12.5</v>
      </c>
      <c r="AE48" s="63">
        <v>15</v>
      </c>
      <c r="AF48" s="63"/>
      <c r="AG48" s="63"/>
      <c r="AH48" s="63">
        <v>15</v>
      </c>
      <c r="AI48" s="63">
        <v>50</v>
      </c>
      <c r="AJ48" s="63"/>
      <c r="AK48" s="63"/>
      <c r="AL48" s="63"/>
      <c r="AM48" s="63"/>
      <c r="AN48" s="63"/>
      <c r="AO48" s="63"/>
    </row>
    <row r="49" spans="1:41" s="58" customFormat="1">
      <c r="A49" s="85">
        <f>IFERROR(VLOOKUP(Table4[[#This Row],[Player No]],Table10[[#All],[No]:[Age Group]],4,0),"")</f>
        <v>0</v>
      </c>
      <c r="B49" s="87"/>
      <c r="C49" s="88">
        <f t="shared" si="4"/>
        <v>-45</v>
      </c>
      <c r="D49" s="61">
        <f t="shared" si="3"/>
        <v>45</v>
      </c>
      <c r="E49" s="63">
        <v>4082</v>
      </c>
      <c r="F49" s="64" t="str">
        <f>IFERROR(VLOOKUP(Table4[[#This Row],[Player No]],Table10[[No]:[Province]],2,0),"")</f>
        <v>Manqoba Nyamate</v>
      </c>
      <c r="G49" s="65" t="str">
        <f>IFERROR(VLOOKUP(Table4[[#This Row],[Player No]],Table10[[No]:[Province]],3,0),"")</f>
        <v>JTTA</v>
      </c>
      <c r="H49" s="66">
        <v>10</v>
      </c>
      <c r="I49" s="96">
        <v>50</v>
      </c>
      <c r="J49" s="124">
        <f>(Table4[[#This Row],[Points 2025]]/2)+SUM(Table4[[#This Row],[O1  ADMIN 2026]:[P2         WC    Open 2026]])</f>
        <v>40</v>
      </c>
      <c r="K49" s="106">
        <f t="shared" si="1"/>
        <v>1</v>
      </c>
      <c r="L49" s="106">
        <f t="shared" si="2"/>
        <v>0</v>
      </c>
      <c r="M49" s="106">
        <v>15</v>
      </c>
      <c r="N49" s="114" t="s">
        <v>6083</v>
      </c>
      <c r="O49" s="114" t="s">
        <v>6083</v>
      </c>
      <c r="P49" s="114"/>
      <c r="Q49" s="63"/>
      <c r="R49" s="63"/>
      <c r="S49" s="114"/>
      <c r="T49" s="114"/>
      <c r="U49" s="63"/>
      <c r="V49" s="114"/>
      <c r="W49" s="63"/>
      <c r="X49" s="845">
        <v>10</v>
      </c>
      <c r="Y49" s="708"/>
      <c r="Z49" s="63">
        <v>12.5</v>
      </c>
      <c r="AA49" s="63"/>
      <c r="AB49" s="114"/>
      <c r="AC49" s="63">
        <v>25</v>
      </c>
      <c r="AD49" s="114"/>
      <c r="AE49" s="63"/>
      <c r="AF49" s="63"/>
      <c r="AG49" s="63"/>
      <c r="AH49" s="63"/>
      <c r="AI49" s="63"/>
      <c r="AJ49" s="63"/>
      <c r="AK49" s="63"/>
      <c r="AL49" s="63">
        <v>10</v>
      </c>
      <c r="AM49" s="63"/>
      <c r="AN49" s="63"/>
      <c r="AO49" s="63"/>
    </row>
    <row r="50" spans="1:41" s="58" customFormat="1">
      <c r="A50" s="85">
        <f>IFERROR(VLOOKUP(Table4[[#This Row],[Player No]],Table10[[#All],[No]:[Age Group]],4,0),"")</f>
        <v>0</v>
      </c>
      <c r="B50" s="87">
        <v>18</v>
      </c>
      <c r="C50" s="88">
        <f t="shared" si="4"/>
        <v>-28</v>
      </c>
      <c r="D50" s="61">
        <f t="shared" si="3"/>
        <v>46</v>
      </c>
      <c r="E50" s="63">
        <v>3430</v>
      </c>
      <c r="F50" s="64" t="str">
        <f>IFERROR(VLOOKUP(Table4[[#This Row],[Player No]],Table10[[No]:[Province]],2,0),"")</f>
        <v>VAN DEN BERG Marlo</v>
      </c>
      <c r="G50" s="65" t="str">
        <f>IFERROR(VLOOKUP(Table4[[#This Row],[Player No]],Table10[[No]:[Province]],3,0),"")</f>
        <v>GN</v>
      </c>
      <c r="H50" s="66">
        <v>160</v>
      </c>
      <c r="I50" s="96">
        <v>78.125</v>
      </c>
      <c r="J50" s="124">
        <f>(Table4[[#This Row],[Points 2025]]/2)+SUM(Table4[[#This Row],[O1  ADMIN 2026]:[P2         WC    Open 2026]])</f>
        <v>39.0625</v>
      </c>
      <c r="K50" s="106">
        <f t="shared" si="1"/>
        <v>0</v>
      </c>
      <c r="L50" s="106">
        <f t="shared" si="2"/>
        <v>0</v>
      </c>
      <c r="M50" s="106" t="s">
        <v>6083</v>
      </c>
      <c r="N50" s="114" t="s">
        <v>6083</v>
      </c>
      <c r="O50" s="114" t="s">
        <v>6083</v>
      </c>
      <c r="P50" s="114"/>
      <c r="Q50" s="63"/>
      <c r="R50" s="63"/>
      <c r="S50" s="114"/>
      <c r="T50" s="114"/>
      <c r="U50" s="63"/>
      <c r="V50" s="114"/>
      <c r="W50" s="63"/>
      <c r="X50" s="845"/>
      <c r="Y50" s="708"/>
      <c r="Z50" s="63"/>
      <c r="AA50" s="63"/>
      <c r="AB50" s="114"/>
      <c r="AC50" s="63"/>
      <c r="AD50" s="114"/>
      <c r="AE50" s="63"/>
      <c r="AF50" s="63"/>
      <c r="AG50" s="63"/>
      <c r="AH50" s="63"/>
      <c r="AI50" s="63"/>
      <c r="AJ50" s="63">
        <v>50</v>
      </c>
      <c r="AK50" s="63"/>
      <c r="AL50" s="63"/>
      <c r="AM50" s="63">
        <v>75</v>
      </c>
      <c r="AN50" s="63">
        <v>15</v>
      </c>
      <c r="AO50" s="63"/>
    </row>
    <row r="51" spans="1:41" s="58" customFormat="1">
      <c r="A51" s="85">
        <f>IFERROR(VLOOKUP(Table4[[#This Row],[Player No]],Table10[[#All],[No]:[Age Group]],4,0),"")</f>
        <v>0</v>
      </c>
      <c r="B51" s="87">
        <v>39</v>
      </c>
      <c r="C51" s="88">
        <f t="shared" si="4"/>
        <v>-8</v>
      </c>
      <c r="D51" s="61">
        <f t="shared" si="3"/>
        <v>47</v>
      </c>
      <c r="E51" s="63">
        <v>3435</v>
      </c>
      <c r="F51" s="64" t="str">
        <f>IFERROR(VLOOKUP(Table4[[#This Row],[Player No]],Table10[[No]:[Province]],2,0),"")</f>
        <v>BROWN Evan</v>
      </c>
      <c r="G51" s="65" t="str">
        <f>IFERROR(VLOOKUP(Table4[[#This Row],[Player No]],Table10[[No]:[Province]],3,0),"")</f>
        <v>GN</v>
      </c>
      <c r="H51" s="66">
        <v>156.25</v>
      </c>
      <c r="I51" s="96">
        <v>71.5</v>
      </c>
      <c r="J51" s="124">
        <f>(Table4[[#This Row],[Points 2025]]/2)+SUM(Table4[[#This Row],[O1  ADMIN 2026]:[P2         WC    Open 2026]])</f>
        <v>35.75</v>
      </c>
      <c r="K51" s="106">
        <f t="shared" si="1"/>
        <v>0</v>
      </c>
      <c r="L51" s="106">
        <f t="shared" si="2"/>
        <v>0</v>
      </c>
      <c r="M51" s="106" t="s">
        <v>6083</v>
      </c>
      <c r="N51" s="114" t="s">
        <v>6083</v>
      </c>
      <c r="O51" s="114" t="s">
        <v>6083</v>
      </c>
      <c r="P51" s="114"/>
      <c r="Q51" s="63"/>
      <c r="R51" s="63"/>
      <c r="S51" s="114"/>
      <c r="T51" s="114"/>
      <c r="U51" s="63"/>
      <c r="V51" s="114"/>
      <c r="W51" s="63"/>
      <c r="X51" s="845"/>
      <c r="Y51" s="708"/>
      <c r="Z51" s="63"/>
      <c r="AA51" s="63"/>
      <c r="AB51" s="114"/>
      <c r="AC51" s="63"/>
      <c r="AD51" s="114"/>
      <c r="AE51" s="63"/>
      <c r="AF51" s="63"/>
      <c r="AG51" s="63"/>
      <c r="AH51" s="63"/>
      <c r="AI51" s="63"/>
      <c r="AJ51" s="63"/>
      <c r="AK51" s="63"/>
      <c r="AL51" s="63"/>
      <c r="AM51" s="63"/>
      <c r="AN51" s="63">
        <v>50</v>
      </c>
      <c r="AO51" s="63"/>
    </row>
    <row r="52" spans="1:41" s="58" customFormat="1">
      <c r="A52" s="85">
        <f>IFERROR(VLOOKUP(Table4[[#This Row],[Player No]],Table10[[#All],[No]:[Age Group]],4,0),"")</f>
        <v>0</v>
      </c>
      <c r="B52" s="87"/>
      <c r="C52" s="88">
        <f t="shared" si="4"/>
        <v>-48</v>
      </c>
      <c r="D52" s="61">
        <f t="shared" si="3"/>
        <v>48</v>
      </c>
      <c r="E52" s="63">
        <v>3873</v>
      </c>
      <c r="F52" s="64" t="str">
        <f>IFERROR(VLOOKUP(Table4[[#This Row],[Player No]],Table10[[No]:[Province]],2,0),"")</f>
        <v>FRANK Callum</v>
      </c>
      <c r="G52" s="65" t="str">
        <f>IFERROR(VLOOKUP(Table4[[#This Row],[Player No]],Table10[[No]:[Province]],3,0),"")</f>
        <v>UMG</v>
      </c>
      <c r="H52" s="66">
        <v>3</v>
      </c>
      <c r="I52" s="96">
        <v>45</v>
      </c>
      <c r="J52" s="124">
        <f>(Table4[[#This Row],[Points 2025]]/2)+SUM(Table4[[#This Row],[O1  ADMIN 2026]:[P2         WC    Open 2026]])</f>
        <v>34.5</v>
      </c>
      <c r="K52" s="106">
        <f t="shared" si="1"/>
        <v>2</v>
      </c>
      <c r="L52" s="106">
        <f t="shared" si="2"/>
        <v>0</v>
      </c>
      <c r="M52" s="106" t="s">
        <v>6083</v>
      </c>
      <c r="N52" s="114">
        <v>10</v>
      </c>
      <c r="O52" s="114">
        <v>2</v>
      </c>
      <c r="P52" s="114"/>
      <c r="Q52" s="63">
        <v>25</v>
      </c>
      <c r="R52" s="63">
        <v>10</v>
      </c>
      <c r="S52" s="114">
        <v>10</v>
      </c>
      <c r="T52" s="114"/>
      <c r="U52" s="63">
        <v>1</v>
      </c>
      <c r="V52" s="114"/>
      <c r="W52" s="63"/>
      <c r="X52" s="845"/>
      <c r="Y52" s="708"/>
      <c r="Z52" s="63"/>
      <c r="AA52" s="63"/>
      <c r="AB52" s="114"/>
      <c r="AC52" s="63"/>
      <c r="AD52" s="114"/>
      <c r="AE52" s="63"/>
      <c r="AF52" s="63">
        <v>2</v>
      </c>
      <c r="AG52" s="63">
        <v>1</v>
      </c>
      <c r="AH52" s="63"/>
      <c r="AI52" s="63"/>
      <c r="AJ52" s="63"/>
      <c r="AK52" s="63"/>
      <c r="AL52" s="63"/>
      <c r="AM52" s="63"/>
      <c r="AN52" s="63"/>
      <c r="AO52" s="63"/>
    </row>
    <row r="53" spans="1:41" s="58" customFormat="1">
      <c r="A53" s="85">
        <f>IFERROR(VLOOKUP(Table4[[#This Row],[Player No]],Table10[[#All],[No]:[Age Group]],4,0),"")</f>
        <v>0</v>
      </c>
      <c r="B53" s="87">
        <v>15</v>
      </c>
      <c r="C53" s="88">
        <f t="shared" si="4"/>
        <v>-34</v>
      </c>
      <c r="D53" s="61">
        <f t="shared" si="3"/>
        <v>49</v>
      </c>
      <c r="E53" s="63">
        <v>3461</v>
      </c>
      <c r="F53" s="64" t="str">
        <f>IFERROR(VLOOKUP(Table4[[#This Row],[Player No]],Table10[[No]:[Province]],2,0),"")</f>
        <v>VAN DER MERWE Ruan</v>
      </c>
      <c r="G53" s="65" t="str">
        <f>IFERROR(VLOOKUP(Table4[[#This Row],[Player No]],Table10[[No]:[Province]],3,0),"")</f>
        <v>GN</v>
      </c>
      <c r="H53" s="66">
        <v>15</v>
      </c>
      <c r="I53" s="96">
        <v>65</v>
      </c>
      <c r="J53" s="124">
        <f>(Table4[[#This Row],[Points 2025]]/2)+SUM(Table4[[#This Row],[O1  ADMIN 2026]:[P2         WC    Open 2026]])</f>
        <v>32.5</v>
      </c>
      <c r="K53" s="106">
        <f t="shared" si="1"/>
        <v>0</v>
      </c>
      <c r="L53" s="106">
        <f t="shared" si="2"/>
        <v>0</v>
      </c>
      <c r="M53" s="106" t="s">
        <v>6083</v>
      </c>
      <c r="N53" s="114" t="s">
        <v>6083</v>
      </c>
      <c r="O53" s="114" t="s">
        <v>6083</v>
      </c>
      <c r="P53" s="114"/>
      <c r="Q53" s="63"/>
      <c r="R53" s="63"/>
      <c r="S53" s="114"/>
      <c r="T53" s="114"/>
      <c r="U53" s="63"/>
      <c r="V53" s="114"/>
      <c r="W53" s="63"/>
      <c r="X53" s="845"/>
      <c r="Y53" s="708"/>
      <c r="Z53" s="63"/>
      <c r="AA53" s="63"/>
      <c r="AB53" s="114">
        <v>12</v>
      </c>
      <c r="AC53" s="63">
        <v>50</v>
      </c>
      <c r="AD53" s="114"/>
      <c r="AE53" s="63"/>
      <c r="AF53" s="63"/>
      <c r="AG53" s="63"/>
      <c r="AH53" s="63"/>
      <c r="AI53" s="63"/>
      <c r="AJ53" s="63"/>
      <c r="AK53" s="63"/>
      <c r="AL53" s="63"/>
      <c r="AM53" s="63">
        <v>15</v>
      </c>
      <c r="AN53" s="63"/>
      <c r="AO53" s="63"/>
    </row>
    <row r="54" spans="1:41" s="58" customFormat="1">
      <c r="A54" s="85" t="str">
        <f>IFERROR(VLOOKUP(Table4[[#This Row],[Player No]],Table10[[#All],[No]:[Age Group]],4,0),"")</f>
        <v>U15</v>
      </c>
      <c r="B54" s="88"/>
      <c r="C54" s="88">
        <f t="shared" si="4"/>
        <v>-50</v>
      </c>
      <c r="D54" s="61">
        <f t="shared" si="3"/>
        <v>50</v>
      </c>
      <c r="E54" s="63">
        <v>2605</v>
      </c>
      <c r="F54" s="64" t="str">
        <f>IFERROR(VLOOKUP(Table4[[#This Row],[Player No]],Table10[[No]:[Province]],2,0),"")</f>
        <v>JONES Alexander</v>
      </c>
      <c r="G54" s="65" t="str">
        <f>IFERROR(VLOOKUP(Table4[[#This Row],[Player No]],Table10[[No]:[Province]],3,0),"")</f>
        <v>CT</v>
      </c>
      <c r="H54" s="66"/>
      <c r="I54" s="96">
        <v>63</v>
      </c>
      <c r="J54" s="124">
        <f>(Table4[[#This Row],[Points 2025]]/2)+SUM(Table4[[#This Row],[O1  ADMIN 2026]:[P2         WC    Open 2026]])</f>
        <v>31.5</v>
      </c>
      <c r="K54" s="106">
        <f t="shared" si="1"/>
        <v>0</v>
      </c>
      <c r="L54" s="106">
        <f t="shared" si="2"/>
        <v>0</v>
      </c>
      <c r="M54" s="106" t="s">
        <v>6083</v>
      </c>
      <c r="N54" s="114" t="s">
        <v>6083</v>
      </c>
      <c r="O54" s="114" t="s">
        <v>6083</v>
      </c>
      <c r="P54" s="114"/>
      <c r="Q54" s="63"/>
      <c r="R54" s="63"/>
      <c r="S54" s="114"/>
      <c r="T54" s="114"/>
      <c r="U54" s="63"/>
      <c r="V54" s="114"/>
      <c r="W54" s="63"/>
      <c r="X54" s="845">
        <v>10</v>
      </c>
      <c r="Y54" s="708"/>
      <c r="Z54" s="63"/>
      <c r="AA54" s="63"/>
      <c r="AB54" s="114"/>
      <c r="AC54" s="63"/>
      <c r="AD54" s="114">
        <v>5</v>
      </c>
      <c r="AE54" s="63">
        <v>50</v>
      </c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5" spans="1:41" s="58" customFormat="1">
      <c r="A55" s="85">
        <f>IFERROR(VLOOKUP(Table4[[#This Row],[Player No]],Table10[[#All],[No]:[Age Group]],4,0),"")</f>
        <v>0</v>
      </c>
      <c r="B55" s="87"/>
      <c r="C55" s="88">
        <f t="shared" si="4"/>
        <v>-51</v>
      </c>
      <c r="D55" s="61">
        <f t="shared" si="3"/>
        <v>51</v>
      </c>
      <c r="E55" s="63">
        <v>3509</v>
      </c>
      <c r="F55" s="64" t="str">
        <f>IFERROR(VLOOKUP(Table4[[#This Row],[Player No]],Table10[[No]:[Province]],2,0),"")</f>
        <v>BHUNDOO Aryik</v>
      </c>
      <c r="G55" s="65" t="str">
        <f>IFERROR(VLOOKUP(Table4[[#This Row],[Player No]],Table10[[No]:[Province]],3,0),"")</f>
        <v>UMG</v>
      </c>
      <c r="H55" s="66">
        <v>6</v>
      </c>
      <c r="I55" s="96">
        <v>59.375</v>
      </c>
      <c r="J55" s="124">
        <f>(Table4[[#This Row],[Points 2025]]/2)+SUM(Table4[[#This Row],[O1  ADMIN 2026]:[P2         WC    Open 2026]])</f>
        <v>29.6875</v>
      </c>
      <c r="K55" s="106">
        <f t="shared" si="1"/>
        <v>0</v>
      </c>
      <c r="L55" s="106">
        <f t="shared" si="2"/>
        <v>0</v>
      </c>
      <c r="M55" s="106" t="s">
        <v>6083</v>
      </c>
      <c r="N55" s="114" t="s">
        <v>6083</v>
      </c>
      <c r="O55" s="114" t="s">
        <v>6083</v>
      </c>
      <c r="P55" s="114"/>
      <c r="Q55" s="63">
        <v>15</v>
      </c>
      <c r="R55" s="63">
        <v>10</v>
      </c>
      <c r="S55" s="114"/>
      <c r="T55" s="114"/>
      <c r="U55" s="63">
        <v>10</v>
      </c>
      <c r="V55" s="114"/>
      <c r="W55" s="63"/>
      <c r="X55" s="845">
        <v>25</v>
      </c>
      <c r="Y55" s="708"/>
      <c r="Z55" s="63"/>
      <c r="AA55" s="63"/>
      <c r="AB55" s="114"/>
      <c r="AC55" s="63"/>
      <c r="AD55" s="114"/>
      <c r="AE55" s="63"/>
      <c r="AF55" s="63"/>
      <c r="AG55" s="63">
        <v>1</v>
      </c>
      <c r="AH55" s="63"/>
      <c r="AI55" s="63"/>
      <c r="AJ55" s="63"/>
      <c r="AK55" s="63"/>
      <c r="AL55" s="63"/>
      <c r="AM55" s="63"/>
      <c r="AN55" s="63">
        <v>5</v>
      </c>
      <c r="AO55" s="63"/>
    </row>
    <row r="56" spans="1:41" s="58" customFormat="1">
      <c r="A56" s="85">
        <f>IFERROR(VLOOKUP(Table4[[#This Row],[Player No]],Table10[[#All],[No]:[Age Group]],4,0),"")</f>
        <v>0</v>
      </c>
      <c r="B56" s="87">
        <v>44</v>
      </c>
      <c r="C56" s="88">
        <f t="shared" si="4"/>
        <v>-8</v>
      </c>
      <c r="D56" s="61">
        <f t="shared" si="3"/>
        <v>52</v>
      </c>
      <c r="E56" s="63">
        <v>2928</v>
      </c>
      <c r="F56" s="64" t="str">
        <f>IFERROR(VLOOKUP(Table4[[#This Row],[Player No]],Table10[[No]:[Province]],2,0),"")</f>
        <v>JOUBERT Adriaan</v>
      </c>
      <c r="G56" s="65" t="str">
        <f>IFERROR(VLOOKUP(Table4[[#This Row],[Player No]],Table10[[No]:[Province]],3,0),"")</f>
        <v>GN</v>
      </c>
      <c r="H56" s="66">
        <v>118.75</v>
      </c>
      <c r="I56" s="96">
        <v>58.5</v>
      </c>
      <c r="J56" s="124">
        <f>(Table4[[#This Row],[Points 2025]]/2)+SUM(Table4[[#This Row],[O1  ADMIN 2026]:[P2         WC    Open 2026]])</f>
        <v>29.25</v>
      </c>
      <c r="K56" s="106">
        <f t="shared" si="1"/>
        <v>0</v>
      </c>
      <c r="L56" s="106">
        <f t="shared" si="2"/>
        <v>0</v>
      </c>
      <c r="M56" s="106" t="s">
        <v>6083</v>
      </c>
      <c r="N56" s="114" t="s">
        <v>6083</v>
      </c>
      <c r="O56" s="114" t="s">
        <v>6083</v>
      </c>
      <c r="P56" s="114"/>
      <c r="Q56" s="63"/>
      <c r="R56" s="63"/>
      <c r="S56" s="114"/>
      <c r="T56" s="114"/>
      <c r="U56" s="63"/>
      <c r="V56" s="114"/>
      <c r="W56" s="63"/>
      <c r="X56" s="845"/>
      <c r="Y56" s="708"/>
      <c r="Z56" s="63"/>
      <c r="AA56" s="63"/>
      <c r="AB56" s="114"/>
      <c r="AC56" s="63"/>
      <c r="AD56" s="114"/>
      <c r="AE56" s="63"/>
      <c r="AF56" s="63"/>
      <c r="AG56" s="63"/>
      <c r="AH56" s="63"/>
      <c r="AI56" s="63"/>
      <c r="AJ56" s="63"/>
      <c r="AK56" s="63"/>
      <c r="AL56" s="63"/>
      <c r="AM56" s="63"/>
      <c r="AN56" s="63">
        <v>50</v>
      </c>
      <c r="AO56" s="63"/>
    </row>
    <row r="57" spans="1:41" s="58" customFormat="1">
      <c r="A57" s="85">
        <f>IFERROR(VLOOKUP(Table4[[#This Row],[Player No]],Table10[[#All],[No]:[Age Group]],4,0),"")</f>
        <v>0</v>
      </c>
      <c r="B57" s="87">
        <v>46</v>
      </c>
      <c r="C57" s="88">
        <f t="shared" si="4"/>
        <v>-7</v>
      </c>
      <c r="D57" s="61">
        <f t="shared" si="3"/>
        <v>53</v>
      </c>
      <c r="E57" s="63">
        <v>1610</v>
      </c>
      <c r="F57" s="64" t="str">
        <f>IFERROR(VLOOKUP(Table4[[#This Row],[Player No]],Table10[[No]:[Province]],2,0),"")</f>
        <v>RAMOLLO Mahlatse</v>
      </c>
      <c r="G57" s="65" t="str">
        <f>IFERROR(VLOOKUP(Table4[[#This Row],[Player No]],Table10[[No]:[Province]],3,0),"")</f>
        <v>LIM</v>
      </c>
      <c r="H57" s="66">
        <v>62.5</v>
      </c>
      <c r="I57" s="96">
        <v>53.5</v>
      </c>
      <c r="J57" s="124">
        <f>(Table4[[#This Row],[Points 2025]]/2)+SUM(Table4[[#This Row],[O1  ADMIN 2026]:[P2         WC    Open 2026]])</f>
        <v>26.75</v>
      </c>
      <c r="K57" s="106">
        <f t="shared" si="1"/>
        <v>0</v>
      </c>
      <c r="L57" s="106">
        <f t="shared" si="2"/>
        <v>0</v>
      </c>
      <c r="M57" s="106" t="s">
        <v>6083</v>
      </c>
      <c r="N57" s="114" t="s">
        <v>6083</v>
      </c>
      <c r="O57" s="114" t="s">
        <v>6083</v>
      </c>
      <c r="P57" s="114"/>
      <c r="Q57" s="63"/>
      <c r="R57" s="63"/>
      <c r="S57" s="114"/>
      <c r="T57" s="114"/>
      <c r="U57" s="63"/>
      <c r="V57" s="114"/>
      <c r="W57" s="63"/>
      <c r="X57" s="845">
        <v>25</v>
      </c>
      <c r="Y57" s="708"/>
      <c r="Z57" s="63"/>
      <c r="AA57" s="63"/>
      <c r="AB57" s="114"/>
      <c r="AC57" s="63"/>
      <c r="AD57" s="114"/>
      <c r="AE57" s="63"/>
      <c r="AF57" s="63"/>
      <c r="AG57" s="63"/>
      <c r="AH57" s="63"/>
      <c r="AI57" s="63"/>
      <c r="AJ57" s="63">
        <v>50</v>
      </c>
      <c r="AK57" s="63"/>
      <c r="AL57" s="63"/>
      <c r="AM57" s="63"/>
      <c r="AN57" s="63"/>
      <c r="AO57" s="63"/>
    </row>
    <row r="58" spans="1:41" s="58" customFormat="1">
      <c r="A58" s="85" t="str">
        <f>IFERROR(VLOOKUP(Table4[[#This Row],[Player No]],Table10[[#All],[No]:[Age Group]],4,0),"")</f>
        <v>U19</v>
      </c>
      <c r="B58" s="87" t="e">
        <f>VLOOKUP([5]!Table4[[#This Row],[Player No]],'[6]u19 boys'!$E$5:$F$216,2,0)</f>
        <v>#REF!</v>
      </c>
      <c r="C58" s="88" t="e">
        <f t="shared" si="4"/>
        <v>#REF!</v>
      </c>
      <c r="D58" s="61">
        <f t="shared" si="3"/>
        <v>54</v>
      </c>
      <c r="E58" s="63">
        <v>2716</v>
      </c>
      <c r="F58" s="64" t="str">
        <f>IFERROR(VLOOKUP(Table4[[#This Row],[Player No]],Table10[[No]:[Province]],2,0),"")</f>
        <v>RAGUMAN Raidan</v>
      </c>
      <c r="G58" s="65" t="str">
        <f>IFERROR(VLOOKUP(Table4[[#This Row],[Player No]],Table10[[No]:[Province]],3,0),"")</f>
        <v>ETTA</v>
      </c>
      <c r="H58" s="66">
        <v>27</v>
      </c>
      <c r="I58" s="96">
        <v>52.5</v>
      </c>
      <c r="J58" s="124">
        <f>(Table4[[#This Row],[Points 2025]]/2)+SUM(Table4[[#This Row],[O1  ADMIN 2026]:[P2         WC    Open 2026]])</f>
        <v>26.25</v>
      </c>
      <c r="K58" s="106">
        <f t="shared" si="1"/>
        <v>0</v>
      </c>
      <c r="L58" s="106">
        <f t="shared" si="2"/>
        <v>0</v>
      </c>
      <c r="M58" s="106" t="s">
        <v>6083</v>
      </c>
      <c r="N58" s="114" t="s">
        <v>6083</v>
      </c>
      <c r="O58" s="114" t="s">
        <v>6083</v>
      </c>
      <c r="P58" s="114"/>
      <c r="Q58" s="63">
        <v>15</v>
      </c>
      <c r="R58" s="63"/>
      <c r="S58" s="114"/>
      <c r="T58" s="114">
        <v>15</v>
      </c>
      <c r="U58" s="63"/>
      <c r="V58" s="114"/>
      <c r="W58" s="63"/>
      <c r="X58" s="845">
        <v>10</v>
      </c>
      <c r="Y58" s="708"/>
      <c r="Z58" s="63"/>
      <c r="AA58" s="63"/>
      <c r="AB58" s="114"/>
      <c r="AC58" s="63"/>
      <c r="AD58" s="114"/>
      <c r="AE58" s="63"/>
      <c r="AF58" s="63">
        <v>2</v>
      </c>
      <c r="AG58" s="63"/>
      <c r="AH58" s="63"/>
      <c r="AI58" s="63"/>
      <c r="AJ58" s="63">
        <v>10</v>
      </c>
      <c r="AK58" s="63"/>
      <c r="AL58" s="63"/>
      <c r="AM58" s="63"/>
      <c r="AN58" s="63"/>
      <c r="AO58" s="63"/>
    </row>
    <row r="59" spans="1:41" s="58" customFormat="1">
      <c r="A59" s="85">
        <f>IFERROR(VLOOKUP(Table4[[#This Row],[Player No]],Table10[[#All],[No]:[Age Group]],4,0),"")</f>
        <v>0</v>
      </c>
      <c r="B59" s="87">
        <v>100</v>
      </c>
      <c r="C59" s="88">
        <f t="shared" si="4"/>
        <v>45</v>
      </c>
      <c r="D59" s="61">
        <f t="shared" si="3"/>
        <v>55</v>
      </c>
      <c r="E59" s="63">
        <v>1453</v>
      </c>
      <c r="F59" s="64" t="str">
        <f>IFERROR(VLOOKUP(Table4[[#This Row],[Player No]],Table10[[No]:[Province]],2,0),"")</f>
        <v>MAAKE Tebogo</v>
      </c>
      <c r="G59" s="65" t="str">
        <f>IFERROR(VLOOKUP(Table4[[#This Row],[Player No]],Table10[[No]:[Province]],3,0),"")</f>
        <v>LIM</v>
      </c>
      <c r="H59" s="66">
        <v>5</v>
      </c>
      <c r="I59" s="96">
        <v>52.5</v>
      </c>
      <c r="J59" s="124">
        <f>(Table4[[#This Row],[Points 2025]]/2)+SUM(Table4[[#This Row],[O1  ADMIN 2026]:[P2         WC    Open 2026]])</f>
        <v>26.25</v>
      </c>
      <c r="K59" s="106">
        <f t="shared" si="1"/>
        <v>0</v>
      </c>
      <c r="L59" s="106">
        <f t="shared" si="2"/>
        <v>0</v>
      </c>
      <c r="M59" s="106" t="s">
        <v>6083</v>
      </c>
      <c r="N59" s="114" t="s">
        <v>6083</v>
      </c>
      <c r="O59" s="114" t="s">
        <v>6083</v>
      </c>
      <c r="P59" s="114"/>
      <c r="Q59" s="63"/>
      <c r="R59" s="63"/>
      <c r="S59" s="114"/>
      <c r="T59" s="114"/>
      <c r="U59" s="63"/>
      <c r="V59" s="114"/>
      <c r="W59" s="63"/>
      <c r="X59" s="845">
        <v>50</v>
      </c>
      <c r="Y59" s="708"/>
      <c r="Z59" s="63"/>
      <c r="AA59" s="63"/>
      <c r="AB59" s="114"/>
      <c r="AC59" s="63"/>
      <c r="AD59" s="114"/>
      <c r="AE59" s="63"/>
      <c r="AF59" s="63"/>
      <c r="AG59" s="63"/>
      <c r="AH59" s="63"/>
      <c r="AI59" s="63"/>
      <c r="AJ59" s="63">
        <v>5</v>
      </c>
      <c r="AK59" s="63"/>
      <c r="AL59" s="63"/>
      <c r="AM59" s="63"/>
      <c r="AN59" s="63"/>
      <c r="AO59" s="63"/>
    </row>
    <row r="60" spans="1:41" s="58" customFormat="1">
      <c r="A60" s="85" t="str">
        <f>IFERROR(VLOOKUP(Table4[[#This Row],[Player No]],Table10[[#All],[No]:[Age Group]],4,0),"")</f>
        <v>Men's</v>
      </c>
      <c r="B60" s="350"/>
      <c r="C60" s="350">
        <f t="shared" si="4"/>
        <v>-56</v>
      </c>
      <c r="D60" s="61">
        <f t="shared" si="3"/>
        <v>56</v>
      </c>
      <c r="E60" s="327">
        <v>2614</v>
      </c>
      <c r="F60" s="64" t="str">
        <f>IFERROR(VLOOKUP(Table4[[#This Row],[Player No]],Table10[[No]:[Province]],2,0),"")</f>
        <v>INCE Sloan</v>
      </c>
      <c r="G60" s="65" t="str">
        <f>IFERROR(VLOOKUP(Table4[[#This Row],[Player No]],Table10[[No]:[Province]],3,0),"")</f>
        <v>UMG</v>
      </c>
      <c r="H60" s="66">
        <v>0</v>
      </c>
      <c r="I60" s="331">
        <v>12</v>
      </c>
      <c r="J60" s="124">
        <f>(Table4[[#This Row],[Points 2025]]/2)+SUM(Table4[[#This Row],[O1  ADMIN 2026]:[P2         WC    Open 2026]])</f>
        <v>26</v>
      </c>
      <c r="K60" s="106">
        <f t="shared" si="1"/>
        <v>2</v>
      </c>
      <c r="L60" s="106">
        <f t="shared" si="2"/>
        <v>0</v>
      </c>
      <c r="M60" s="106" t="s">
        <v>6083</v>
      </c>
      <c r="N60" s="321">
        <v>10</v>
      </c>
      <c r="O60" s="321">
        <v>10</v>
      </c>
      <c r="P60" s="321"/>
      <c r="Q60" s="327"/>
      <c r="R60" s="327"/>
      <c r="S60" s="321">
        <v>1</v>
      </c>
      <c r="T60" s="321">
        <v>1</v>
      </c>
      <c r="U60" s="327"/>
      <c r="V60" s="321"/>
      <c r="W60" s="327"/>
      <c r="X60" s="851">
        <v>10</v>
      </c>
      <c r="Y60" s="711"/>
      <c r="Z60" s="327"/>
      <c r="AA60" s="327"/>
      <c r="AB60" s="321"/>
      <c r="AC60" s="327"/>
      <c r="AD60" s="321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</row>
    <row r="61" spans="1:41" s="58" customFormat="1">
      <c r="A61" s="85">
        <f>IFERROR(VLOOKUP(Table4[[#This Row],[Player No]],Table10[[#All],[No]:[Age Group]],4,0),"")</f>
        <v>0</v>
      </c>
      <c r="B61" s="87">
        <v>41</v>
      </c>
      <c r="C61" s="88">
        <f t="shared" si="4"/>
        <v>-16</v>
      </c>
      <c r="D61" s="61">
        <f t="shared" si="3"/>
        <v>57</v>
      </c>
      <c r="E61" s="63">
        <v>3507</v>
      </c>
      <c r="F61" s="64" t="str">
        <f>IFERROR(VLOOKUP(Table4[[#This Row],[Player No]],Table10[[No]:[Province]],2,0),"")</f>
        <v>PADAYACHEE Rivaal</v>
      </c>
      <c r="G61" s="65" t="str">
        <f>IFERROR(VLOOKUP(Table4[[#This Row],[Player No]],Table10[[No]:[Province]],3,0),"")</f>
        <v>UMG</v>
      </c>
      <c r="H61" s="66">
        <v>51.5</v>
      </c>
      <c r="I61" s="96">
        <v>27.75</v>
      </c>
      <c r="J61" s="124">
        <f>(Table4[[#This Row],[Points 2025]]/2)+SUM(Table4[[#This Row],[O1  ADMIN 2026]:[P2         WC    Open 2026]])</f>
        <v>25.875</v>
      </c>
      <c r="K61" s="106">
        <f t="shared" si="1"/>
        <v>2</v>
      </c>
      <c r="L61" s="106">
        <f t="shared" si="2"/>
        <v>0</v>
      </c>
      <c r="M61" s="106" t="s">
        <v>6083</v>
      </c>
      <c r="N61" s="114">
        <v>10</v>
      </c>
      <c r="O61" s="114">
        <v>2</v>
      </c>
      <c r="P61" s="114"/>
      <c r="Q61" s="63">
        <v>2</v>
      </c>
      <c r="R61" s="63"/>
      <c r="S61" s="114"/>
      <c r="T61" s="114"/>
      <c r="U61" s="63">
        <v>1</v>
      </c>
      <c r="V61" s="114"/>
      <c r="W61" s="63"/>
      <c r="X61" s="845"/>
      <c r="Y61" s="708"/>
      <c r="Z61" s="63"/>
      <c r="AA61" s="63"/>
      <c r="AB61" s="114"/>
      <c r="AC61" s="63"/>
      <c r="AD61" s="114"/>
      <c r="AE61" s="63"/>
      <c r="AF61" s="63">
        <v>50</v>
      </c>
      <c r="AG61" s="63">
        <v>1</v>
      </c>
      <c r="AH61" s="63"/>
      <c r="AI61" s="63"/>
      <c r="AJ61" s="63"/>
      <c r="AK61" s="63"/>
      <c r="AL61" s="63"/>
      <c r="AM61" s="63"/>
      <c r="AN61" s="63"/>
      <c r="AO61" s="63"/>
    </row>
    <row r="62" spans="1:41" s="58" customFormat="1">
      <c r="A62" s="85">
        <f>IFERROR(VLOOKUP(Table4[[#This Row],[Player No]],Table10[[#All],[No]:[Age Group]],4,0),"")</f>
        <v>0</v>
      </c>
      <c r="B62" s="88"/>
      <c r="C62" s="88">
        <f t="shared" si="4"/>
        <v>-58</v>
      </c>
      <c r="D62" s="61">
        <f t="shared" si="3"/>
        <v>58</v>
      </c>
      <c r="E62" s="63">
        <v>4782</v>
      </c>
      <c r="F62" s="64" t="str">
        <f>IFERROR(VLOOKUP(Table4[[#This Row],[Player No]],Table10[[No]:[Province]],2,0),"")</f>
        <v>BRANDON Faghrie</v>
      </c>
      <c r="G62" s="65" t="str">
        <f>IFERROR(VLOOKUP(Table4[[#This Row],[Player No]],Table10[[No]:[Province]],3,0),"")</f>
        <v>NMB</v>
      </c>
      <c r="H62" s="66">
        <v>0</v>
      </c>
      <c r="I62" s="96">
        <v>50</v>
      </c>
      <c r="J62" s="124">
        <f>(Table4[[#This Row],[Points 2025]]/2)+SUM(Table4[[#This Row],[O1  ADMIN 2026]:[P2         WC    Open 2026]])</f>
        <v>25</v>
      </c>
      <c r="K62" s="106">
        <f t="shared" si="1"/>
        <v>0</v>
      </c>
      <c r="L62" s="106">
        <f t="shared" si="2"/>
        <v>0</v>
      </c>
      <c r="M62" s="106" t="s">
        <v>6083</v>
      </c>
      <c r="N62" s="114" t="s">
        <v>6083</v>
      </c>
      <c r="O62" s="114" t="s">
        <v>6083</v>
      </c>
      <c r="P62" s="114"/>
      <c r="Q62" s="63"/>
      <c r="R62" s="63"/>
      <c r="S62" s="114"/>
      <c r="T62" s="114"/>
      <c r="U62" s="63"/>
      <c r="V62" s="114"/>
      <c r="W62" s="63"/>
      <c r="X62" s="845"/>
      <c r="Y62" s="708">
        <v>50</v>
      </c>
      <c r="Z62" s="63"/>
      <c r="AA62" s="63"/>
      <c r="AB62" s="114"/>
      <c r="AC62" s="63"/>
      <c r="AD62" s="114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</row>
    <row r="63" spans="1:41" s="58" customFormat="1">
      <c r="A63" s="85">
        <f>IFERROR(VLOOKUP(Table4[[#This Row],[Player No]],Table10[[#All],[No]:[Age Group]],4,0),"")</f>
        <v>0</v>
      </c>
      <c r="B63" s="88"/>
      <c r="C63" s="88">
        <f t="shared" si="4"/>
        <v>-59</v>
      </c>
      <c r="D63" s="61">
        <f t="shared" si="3"/>
        <v>59</v>
      </c>
      <c r="E63" s="63">
        <v>3622</v>
      </c>
      <c r="F63" s="64" t="str">
        <f>IFERROR(VLOOKUP(Table4[[#This Row],[Player No]],Table10[[No]:[Province]],2,0),"")</f>
        <v>RAMASAMY Mikhael</v>
      </c>
      <c r="G63" s="65" t="str">
        <f>IFERROR(VLOOKUP(Table4[[#This Row],[Player No]],Table10[[No]:[Province]],3,0),"")</f>
        <v>NMB</v>
      </c>
      <c r="H63" s="66">
        <v>0</v>
      </c>
      <c r="I63" s="96">
        <v>50</v>
      </c>
      <c r="J63" s="124">
        <f>(Table4[[#This Row],[Points 2025]]/2)+SUM(Table4[[#This Row],[O1  ADMIN 2026]:[P2         WC    Open 2026]])</f>
        <v>25</v>
      </c>
      <c r="K63" s="106">
        <f t="shared" si="1"/>
        <v>0</v>
      </c>
      <c r="L63" s="106">
        <f t="shared" si="2"/>
        <v>0</v>
      </c>
      <c r="M63" s="106" t="s">
        <v>6083</v>
      </c>
      <c r="N63" s="114" t="s">
        <v>6083</v>
      </c>
      <c r="O63" s="114" t="s">
        <v>6083</v>
      </c>
      <c r="P63" s="114"/>
      <c r="Q63" s="63"/>
      <c r="R63" s="63"/>
      <c r="S63" s="114"/>
      <c r="T63" s="114"/>
      <c r="U63" s="63"/>
      <c r="V63" s="114"/>
      <c r="W63" s="63"/>
      <c r="X63" s="845"/>
      <c r="Y63" s="708">
        <v>50</v>
      </c>
      <c r="Z63" s="63"/>
      <c r="AA63" s="63"/>
      <c r="AB63" s="114"/>
      <c r="AC63" s="63"/>
      <c r="AD63" s="114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</row>
    <row r="64" spans="1:41" s="58" customFormat="1">
      <c r="A64" s="85">
        <f>IFERROR(VLOOKUP(Table4[[#This Row],[Player No]],Table10[[#All],[No]:[Age Group]],4,0),"")</f>
        <v>0</v>
      </c>
      <c r="B64" s="88"/>
      <c r="C64" s="88">
        <f t="shared" si="4"/>
        <v>-60</v>
      </c>
      <c r="D64" s="61">
        <f t="shared" si="3"/>
        <v>60</v>
      </c>
      <c r="E64" s="63">
        <v>3244</v>
      </c>
      <c r="F64" s="64" t="str">
        <f>IFERROR(VLOOKUP(Table4[[#This Row],[Player No]],Table10[[No]:[Province]],2,0),"")</f>
        <v>ROCKMAN Thegan</v>
      </c>
      <c r="G64" s="65" t="str">
        <f>IFERROR(VLOOKUP(Table4[[#This Row],[Player No]],Table10[[No]:[Province]],3,0),"")</f>
        <v>CT</v>
      </c>
      <c r="H64" s="66">
        <v>0</v>
      </c>
      <c r="I64" s="96">
        <v>50</v>
      </c>
      <c r="J64" s="124">
        <f>(Table4[[#This Row],[Points 2025]]/2)+SUM(Table4[[#This Row],[O1  ADMIN 2026]:[P2         WC    Open 2026]])</f>
        <v>25</v>
      </c>
      <c r="K64" s="106">
        <f t="shared" si="1"/>
        <v>0</v>
      </c>
      <c r="L64" s="106">
        <f t="shared" si="2"/>
        <v>0</v>
      </c>
      <c r="M64" s="106" t="s">
        <v>6083</v>
      </c>
      <c r="N64" s="114" t="s">
        <v>6083</v>
      </c>
      <c r="O64" s="114" t="s">
        <v>6083</v>
      </c>
      <c r="P64" s="114"/>
      <c r="Q64" s="63"/>
      <c r="R64" s="63"/>
      <c r="S64" s="114"/>
      <c r="T64" s="114"/>
      <c r="U64" s="63"/>
      <c r="V64" s="114"/>
      <c r="W64" s="63"/>
      <c r="X64" s="845"/>
      <c r="Y64" s="708">
        <v>50</v>
      </c>
      <c r="Z64" s="63"/>
      <c r="AA64" s="63"/>
      <c r="AB64" s="114"/>
      <c r="AC64" s="63"/>
      <c r="AD64" s="114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</row>
    <row r="65" spans="1:41" s="58" customFormat="1">
      <c r="A65" s="85">
        <f>IFERROR(VLOOKUP(Table4[[#This Row],[Player No]],Table10[[#All],[No]:[Age Group]],4,0),"")</f>
        <v>0</v>
      </c>
      <c r="B65" s="88"/>
      <c r="C65" s="88">
        <f t="shared" si="4"/>
        <v>-61</v>
      </c>
      <c r="D65" s="61">
        <f t="shared" si="3"/>
        <v>61</v>
      </c>
      <c r="E65" s="63">
        <v>3420</v>
      </c>
      <c r="F65" s="64" t="str">
        <f>IFERROR(VLOOKUP(Table4[[#This Row],[Player No]],Table10[[No]:[Province]],2,0),"")</f>
        <v>RAMASAMY Nikhil</v>
      </c>
      <c r="G65" s="65" t="str">
        <f>IFERROR(VLOOKUP(Table4[[#This Row],[Player No]],Table10[[No]:[Province]],3,0),"")</f>
        <v>NMB</v>
      </c>
      <c r="H65" s="66">
        <v>0</v>
      </c>
      <c r="I65" s="96">
        <v>50</v>
      </c>
      <c r="J65" s="124">
        <f>(Table4[[#This Row],[Points 2025]]/2)+SUM(Table4[[#This Row],[O1  ADMIN 2026]:[P2         WC    Open 2026]])</f>
        <v>25</v>
      </c>
      <c r="K65" s="106">
        <f t="shared" si="1"/>
        <v>0</v>
      </c>
      <c r="L65" s="106">
        <f t="shared" si="2"/>
        <v>0</v>
      </c>
      <c r="M65" s="106" t="s">
        <v>6083</v>
      </c>
      <c r="N65" s="114" t="s">
        <v>6083</v>
      </c>
      <c r="O65" s="114" t="s">
        <v>6083</v>
      </c>
      <c r="P65" s="114"/>
      <c r="Q65" s="63"/>
      <c r="R65" s="63"/>
      <c r="S65" s="114"/>
      <c r="T65" s="114"/>
      <c r="U65" s="63"/>
      <c r="V65" s="114"/>
      <c r="W65" s="63"/>
      <c r="X65" s="845"/>
      <c r="Y65" s="708">
        <v>50</v>
      </c>
      <c r="Z65" s="63"/>
      <c r="AA65" s="63"/>
      <c r="AB65" s="114"/>
      <c r="AC65" s="63"/>
      <c r="AD65" s="114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</row>
    <row r="66" spans="1:41" s="58" customFormat="1">
      <c r="A66" s="85" t="str">
        <f>IFERROR(VLOOKUP(Table4[[#This Row],[Player No]],Table10[[#All],[No]:[Age Group]],4,0),"")</f>
        <v>U19</v>
      </c>
      <c r="B66" s="87">
        <v>78</v>
      </c>
      <c r="C66" s="285">
        <f t="shared" si="4"/>
        <v>16</v>
      </c>
      <c r="D66" s="61">
        <f t="shared" si="3"/>
        <v>62</v>
      </c>
      <c r="E66" s="169">
        <v>3930</v>
      </c>
      <c r="F66" s="64" t="str">
        <f>IFERROR(VLOOKUP(Table4[[#This Row],[Player No]],Table10[[No]:[Province]],2,0),"")</f>
        <v>SMIT Logan</v>
      </c>
      <c r="G66" s="65" t="str">
        <f>IFERROR(VLOOKUP(Table4[[#This Row],[Player No]],Table10[[No]:[Province]],3,0),"")</f>
        <v>GN</v>
      </c>
      <c r="H66" s="66">
        <v>0</v>
      </c>
      <c r="I66" s="96">
        <v>50</v>
      </c>
      <c r="J66" s="124">
        <f>(Table4[[#This Row],[Points 2025]]/2)+SUM(Table4[[#This Row],[O1  ADMIN 2026]:[P2         WC    Open 2026]])</f>
        <v>25</v>
      </c>
      <c r="K66" s="106">
        <f t="shared" si="1"/>
        <v>0</v>
      </c>
      <c r="L66" s="106">
        <f t="shared" si="2"/>
        <v>0</v>
      </c>
      <c r="M66" s="106" t="s">
        <v>6083</v>
      </c>
      <c r="N66" s="114" t="s">
        <v>6083</v>
      </c>
      <c r="O66" s="114" t="s">
        <v>6083</v>
      </c>
      <c r="P66" s="114"/>
      <c r="Q66" s="169"/>
      <c r="R66" s="169"/>
      <c r="S66" s="318"/>
      <c r="T66" s="318"/>
      <c r="U66" s="169"/>
      <c r="V66" s="318">
        <v>15</v>
      </c>
      <c r="W66" s="169"/>
      <c r="X66" s="846">
        <v>10</v>
      </c>
      <c r="Y66" s="713"/>
      <c r="Z66" s="169"/>
      <c r="AA66" s="169"/>
      <c r="AB66" s="318">
        <v>20</v>
      </c>
      <c r="AC66" s="169">
        <v>5</v>
      </c>
      <c r="AD66" s="318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</row>
    <row r="67" spans="1:41" s="58" customFormat="1">
      <c r="A67" s="85">
        <f>IFERROR(VLOOKUP(Table4[[#This Row],[Player No]],Table10[[#All],[No]:[Age Group]],4,0),"")</f>
        <v>0</v>
      </c>
      <c r="B67" s="88"/>
      <c r="C67" s="88">
        <f t="shared" si="4"/>
        <v>-63</v>
      </c>
      <c r="D67" s="61">
        <f t="shared" si="3"/>
        <v>63</v>
      </c>
      <c r="E67" s="63">
        <v>3876</v>
      </c>
      <c r="F67" s="64" t="str">
        <f>IFERROR(VLOOKUP(Table4[[#This Row],[Player No]],Table10[[No]:[Province]],2,0),"")</f>
        <v>PATEL Umair</v>
      </c>
      <c r="G67" s="65" t="str">
        <f>IFERROR(VLOOKUP(Table4[[#This Row],[Player No]],Table10[[No]:[Province]],3,0),"")</f>
        <v>UMG</v>
      </c>
      <c r="H67" s="66"/>
      <c r="I67" s="96">
        <v>0</v>
      </c>
      <c r="J67" s="124">
        <f>(Table4[[#This Row],[Points 2025]]/2)+SUM(Table4[[#This Row],[O1  ADMIN 2026]:[P2         WC    Open 2026]])</f>
        <v>25</v>
      </c>
      <c r="K67" s="106">
        <f t="shared" si="1"/>
        <v>2</v>
      </c>
      <c r="L67" s="106">
        <f t="shared" si="2"/>
        <v>0</v>
      </c>
      <c r="M67" s="106" t="s">
        <v>6083</v>
      </c>
      <c r="N67" s="114">
        <v>15</v>
      </c>
      <c r="O67" s="114">
        <v>10</v>
      </c>
      <c r="P67" s="114"/>
      <c r="Q67" s="63"/>
      <c r="R67" s="63"/>
      <c r="S67" s="114"/>
      <c r="T67" s="114"/>
      <c r="U67" s="63"/>
      <c r="V67" s="114"/>
      <c r="W67" s="63"/>
      <c r="X67" s="845"/>
      <c r="Y67" s="708"/>
      <c r="Z67" s="63"/>
      <c r="AA67" s="63"/>
      <c r="AB67" s="114"/>
      <c r="AC67" s="63"/>
      <c r="AD67" s="114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</row>
    <row r="68" spans="1:41" s="58" customFormat="1">
      <c r="A68" s="85" t="str">
        <f>IFERROR(VLOOKUP(Table4[[#This Row],[Player No]],Table10[[#All],[No]:[Age Group]],4,0),"")</f>
        <v>U19</v>
      </c>
      <c r="B68" s="88"/>
      <c r="C68" s="88">
        <f t="shared" si="4"/>
        <v>-64</v>
      </c>
      <c r="D68" s="61">
        <f t="shared" si="3"/>
        <v>64</v>
      </c>
      <c r="E68" s="63">
        <v>4619</v>
      </c>
      <c r="F68" s="64" t="str">
        <f>IFERROR(VLOOKUP(Table4[[#This Row],[Player No]],Table10[[No]:[Province]],2,0),"")</f>
        <v>MADIWA Michael Tinotenda</v>
      </c>
      <c r="G68" s="65" t="str">
        <f>IFERROR(VLOOKUP(Table4[[#This Row],[Player No]],Table10[[No]:[Province]],3,0),"")</f>
        <v>ZIM</v>
      </c>
      <c r="H68" s="66">
        <v>0</v>
      </c>
      <c r="I68" s="96">
        <v>49</v>
      </c>
      <c r="J68" s="124">
        <f>(Table4[[#This Row],[Points 2025]]/2)+SUM(Table4[[#This Row],[O1  ADMIN 2026]:[P2         WC    Open 2026]])</f>
        <v>24.5</v>
      </c>
      <c r="K68" s="106">
        <f t="shared" si="1"/>
        <v>0</v>
      </c>
      <c r="L68" s="106">
        <f t="shared" si="2"/>
        <v>0</v>
      </c>
      <c r="M68" s="106" t="s">
        <v>6083</v>
      </c>
      <c r="N68" s="114" t="s">
        <v>6083</v>
      </c>
      <c r="O68" s="114" t="s">
        <v>6083</v>
      </c>
      <c r="P68" s="114"/>
      <c r="Q68" s="63"/>
      <c r="R68" s="63"/>
      <c r="S68" s="114"/>
      <c r="T68" s="114"/>
      <c r="U68" s="63"/>
      <c r="V68" s="114"/>
      <c r="W68" s="63"/>
      <c r="X68" s="847">
        <v>50</v>
      </c>
      <c r="Y68" s="737"/>
      <c r="Z68" s="63"/>
      <c r="AA68" s="63"/>
      <c r="AB68" s="114"/>
      <c r="AC68" s="63"/>
      <c r="AD68" s="114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</row>
    <row r="69" spans="1:41" s="58" customFormat="1">
      <c r="A69" s="85">
        <f>IFERROR(VLOOKUP(Table4[[#This Row],[Player No]],Table10[[#All],[No]:[Age Group]],4,0),"")</f>
        <v>0</v>
      </c>
      <c r="B69" s="87">
        <v>84</v>
      </c>
      <c r="C69" s="88">
        <f t="shared" ref="C69:C100" si="5">+B69-D69</f>
        <v>19</v>
      </c>
      <c r="D69" s="61">
        <f t="shared" si="3"/>
        <v>65</v>
      </c>
      <c r="E69" s="63">
        <v>3401</v>
      </c>
      <c r="F69" s="64" t="str">
        <f>IFERROR(VLOOKUP(Table4[[#This Row],[Player No]],Table10[[No]:[Province]],2,0),"")</f>
        <v>SWANEPOEL Shane</v>
      </c>
      <c r="G69" s="65" t="str">
        <f>IFERROR(VLOOKUP(Table4[[#This Row],[Player No]],Table10[[No]:[Province]],3,0),"")</f>
        <v>GN</v>
      </c>
      <c r="H69" s="66">
        <v>8.5</v>
      </c>
      <c r="I69" s="96">
        <v>23</v>
      </c>
      <c r="J69" s="124">
        <f>(Table4[[#This Row],[Points 2025]]/2)+SUM(Table4[[#This Row],[O1  ADMIN 2026]:[P2         WC    Open 2026]])</f>
        <v>21.5</v>
      </c>
      <c r="K69" s="106">
        <f t="shared" ref="K69:K132" si="6">COUNTIF(M69:P69,"&gt;0")</f>
        <v>1</v>
      </c>
      <c r="L69" s="106">
        <f t="shared" ref="L69:L132" si="7">COUNTIF(N69:AO69,"&lt;0")</f>
        <v>0</v>
      </c>
      <c r="M69" s="106">
        <v>10</v>
      </c>
      <c r="N69" s="114" t="s">
        <v>6083</v>
      </c>
      <c r="O69" s="114" t="s">
        <v>6083</v>
      </c>
      <c r="P69" s="114"/>
      <c r="Q69" s="63"/>
      <c r="R69" s="63"/>
      <c r="S69" s="114"/>
      <c r="T69" s="114"/>
      <c r="U69" s="63"/>
      <c r="V69" s="114"/>
      <c r="W69" s="63"/>
      <c r="X69" s="845"/>
      <c r="Y69" s="708"/>
      <c r="Z69" s="63"/>
      <c r="AA69" s="63"/>
      <c r="AB69" s="114">
        <v>20</v>
      </c>
      <c r="AC69" s="63"/>
      <c r="AD69" s="114"/>
      <c r="AE69" s="63"/>
      <c r="AF69" s="63"/>
      <c r="AG69" s="63"/>
      <c r="AH69" s="63"/>
      <c r="AI69" s="63"/>
      <c r="AJ69" s="63"/>
      <c r="AK69" s="63"/>
      <c r="AL69" s="63"/>
      <c r="AM69" s="63"/>
      <c r="AN69" s="63">
        <v>5</v>
      </c>
      <c r="AO69" s="63"/>
    </row>
    <row r="70" spans="1:41" s="58" customFormat="1">
      <c r="A70" s="85" t="str">
        <f>IFERROR(VLOOKUP(Table4[[#This Row],[Player No]],Table10[[#All],[No]:[Age Group]],4,0),"")</f>
        <v>U19</v>
      </c>
      <c r="B70" s="87">
        <v>112</v>
      </c>
      <c r="C70" s="286">
        <f t="shared" si="5"/>
        <v>46</v>
      </c>
      <c r="D70" s="61">
        <f t="shared" si="3"/>
        <v>66</v>
      </c>
      <c r="E70" s="157">
        <v>3799</v>
      </c>
      <c r="F70" s="64" t="str">
        <f>IFERROR(VLOOKUP(Table4[[#This Row],[Player No]],Table10[[No]:[Province]],2,0),"")</f>
        <v>CELE Sbongakonke Wandile</v>
      </c>
      <c r="G70" s="65" t="str">
        <f>IFERROR(VLOOKUP(Table4[[#This Row],[Player No]],Table10[[No]:[Province]],3,0),"")</f>
        <v>ETTA</v>
      </c>
      <c r="H70" s="66">
        <v>0</v>
      </c>
      <c r="I70" s="96">
        <v>22.5</v>
      </c>
      <c r="J70" s="124">
        <f>(Table4[[#This Row],[Points 2025]]/2)+SUM(Table4[[#This Row],[O1  ADMIN 2026]:[P2         WC    Open 2026]])</f>
        <v>21.25</v>
      </c>
      <c r="K70" s="106">
        <f t="shared" si="6"/>
        <v>1</v>
      </c>
      <c r="L70" s="106">
        <f t="shared" si="7"/>
        <v>0</v>
      </c>
      <c r="M70" s="106" t="s">
        <v>6083</v>
      </c>
      <c r="N70" s="114">
        <v>10</v>
      </c>
      <c r="O70" s="114" t="s">
        <v>6083</v>
      </c>
      <c r="P70" s="114"/>
      <c r="Q70" s="157">
        <v>2</v>
      </c>
      <c r="R70" s="157">
        <v>1</v>
      </c>
      <c r="S70" s="165"/>
      <c r="T70" s="165">
        <v>10</v>
      </c>
      <c r="U70" s="157"/>
      <c r="V70" s="165"/>
      <c r="W70" s="157"/>
      <c r="X70" s="849">
        <v>10</v>
      </c>
      <c r="Y70" s="712"/>
      <c r="Z70" s="157"/>
      <c r="AA70" s="157"/>
      <c r="AB70" s="165"/>
      <c r="AC70" s="157"/>
      <c r="AD70" s="165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</row>
    <row r="71" spans="1:41" s="58" customFormat="1">
      <c r="A71" s="85">
        <f>IFERROR(VLOOKUP(Table4[[#This Row],[Player No]],Table10[[#All],[No]:[Age Group]],4,0),"")</f>
        <v>0</v>
      </c>
      <c r="B71" s="397"/>
      <c r="C71" s="397">
        <f t="shared" si="5"/>
        <v>-67</v>
      </c>
      <c r="D71" s="61">
        <f t="shared" ref="D71:D134" si="8">D70+1</f>
        <v>67</v>
      </c>
      <c r="E71" s="392">
        <v>3450</v>
      </c>
      <c r="F71" s="64" t="str">
        <f>IFERROR(VLOOKUP(Table4[[#This Row],[Player No]],Table10[[No]:[Province]],2,0),"")</f>
        <v>DE KOCK Derrick</v>
      </c>
      <c r="G71" s="65" t="str">
        <f>IFERROR(VLOOKUP(Table4[[#This Row],[Player No]],Table10[[No]:[Province]],3,0),"")</f>
        <v>GN</v>
      </c>
      <c r="H71" s="393">
        <v>0</v>
      </c>
      <c r="I71" s="443">
        <v>41</v>
      </c>
      <c r="J71" s="124">
        <f>(Table4[[#This Row],[Points 2025]]/2)+SUM(Table4[[#This Row],[O1  ADMIN 2026]:[P2         WC    Open 2026]])</f>
        <v>20.5</v>
      </c>
      <c r="K71" s="106">
        <f t="shared" si="6"/>
        <v>0</v>
      </c>
      <c r="L71" s="106">
        <f t="shared" si="7"/>
        <v>0</v>
      </c>
      <c r="M71" s="106" t="s">
        <v>6083</v>
      </c>
      <c r="N71" s="386" t="s">
        <v>6083</v>
      </c>
      <c r="O71" s="386" t="s">
        <v>6083</v>
      </c>
      <c r="P71" s="386"/>
      <c r="Q71" s="392"/>
      <c r="R71" s="392"/>
      <c r="S71" s="386"/>
      <c r="T71" s="386"/>
      <c r="U71" s="392"/>
      <c r="V71" s="386"/>
      <c r="W71" s="392"/>
      <c r="X71" s="848">
        <v>10</v>
      </c>
      <c r="Y71" s="714"/>
      <c r="Z71" s="392"/>
      <c r="AA71" s="392"/>
      <c r="AB71" s="386">
        <v>35</v>
      </c>
      <c r="AC71" s="392"/>
      <c r="AD71" s="386"/>
      <c r="AE71" s="392"/>
      <c r="AF71" s="392"/>
      <c r="AG71" s="392"/>
      <c r="AH71" s="392"/>
      <c r="AI71" s="392"/>
      <c r="AJ71" s="392"/>
      <c r="AK71" s="392"/>
      <c r="AL71" s="392"/>
      <c r="AM71" s="392"/>
      <c r="AN71" s="392"/>
      <c r="AO71" s="392"/>
    </row>
    <row r="72" spans="1:41" s="58" customFormat="1">
      <c r="A72" s="85">
        <f>IFERROR(VLOOKUP(Table4[[#This Row],[Player No]],Table10[[#All],[No]:[Age Group]],4,0),"")</f>
        <v>0</v>
      </c>
      <c r="B72" s="87"/>
      <c r="C72" s="88">
        <f t="shared" si="5"/>
        <v>-68</v>
      </c>
      <c r="D72" s="61">
        <f t="shared" si="8"/>
        <v>68</v>
      </c>
      <c r="E72" s="63">
        <v>3368</v>
      </c>
      <c r="F72" s="64" t="str">
        <f>IFERROR(VLOOKUP(Table4[[#This Row],[Player No]],Table10[[No]:[Province]],2,0),"")</f>
        <v>JACOBS Qaa-im</v>
      </c>
      <c r="G72" s="65" t="str">
        <f>IFERROR(VLOOKUP(Table4[[#This Row],[Player No]],Table10[[No]:[Province]],3,0),"")</f>
        <v>CT</v>
      </c>
      <c r="H72" s="66">
        <v>2</v>
      </c>
      <c r="I72" s="96">
        <v>40</v>
      </c>
      <c r="J72" s="124">
        <f>(Table4[[#This Row],[Points 2025]]/2)+SUM(Table4[[#This Row],[O1  ADMIN 2026]:[P2         WC    Open 2026]])</f>
        <v>20</v>
      </c>
      <c r="K72" s="106">
        <f t="shared" si="6"/>
        <v>0</v>
      </c>
      <c r="L72" s="106">
        <f t="shared" si="7"/>
        <v>0</v>
      </c>
      <c r="M72" s="106" t="s">
        <v>6083</v>
      </c>
      <c r="N72" s="114" t="s">
        <v>6083</v>
      </c>
      <c r="O72" s="114" t="s">
        <v>6083</v>
      </c>
      <c r="P72" s="114"/>
      <c r="Q72" s="63"/>
      <c r="R72" s="63"/>
      <c r="S72" s="114"/>
      <c r="T72" s="114"/>
      <c r="U72" s="63"/>
      <c r="V72" s="114"/>
      <c r="W72" s="63"/>
      <c r="X72" s="845">
        <v>10</v>
      </c>
      <c r="Y72" s="708"/>
      <c r="Z72" s="63"/>
      <c r="AA72" s="63"/>
      <c r="AB72" s="114"/>
      <c r="AC72" s="63"/>
      <c r="AD72" s="114">
        <v>5</v>
      </c>
      <c r="AE72" s="63">
        <v>25</v>
      </c>
      <c r="AF72" s="63"/>
      <c r="AG72" s="63"/>
      <c r="AH72" s="63"/>
      <c r="AI72" s="63">
        <v>2</v>
      </c>
      <c r="AJ72" s="63"/>
      <c r="AK72" s="63"/>
      <c r="AL72" s="63"/>
      <c r="AM72" s="63"/>
      <c r="AN72" s="63"/>
      <c r="AO72" s="63"/>
    </row>
    <row r="73" spans="1:41" s="58" customFormat="1">
      <c r="A73" s="85" t="str">
        <f>IFERROR(VLOOKUP(Table4[[#This Row],[Player No]],Table10[[#All],[No]:[Age Group]],4,0),"")</f>
        <v>U19</v>
      </c>
      <c r="B73" s="87" t="e">
        <f>VLOOKUP([5]!Table4[[#This Row],[Player No]],'[6]u19 boys'!$E$5:$F$216,2,0)</f>
        <v>#REF!</v>
      </c>
      <c r="C73" s="88" t="e">
        <f t="shared" si="5"/>
        <v>#REF!</v>
      </c>
      <c r="D73" s="61">
        <f t="shared" si="8"/>
        <v>69</v>
      </c>
      <c r="E73" s="63">
        <v>3789</v>
      </c>
      <c r="F73" s="64" t="str">
        <f>IFERROR(VLOOKUP(Table4[[#This Row],[Player No]],Table10[[No]:[Province]],2,0),"")</f>
        <v xml:space="preserve">KHOZA Simangaliso </v>
      </c>
      <c r="G73" s="65" t="str">
        <f>IFERROR(VLOOKUP(Table4[[#This Row],[Player No]],Table10[[No]:[Province]],3,0),"")</f>
        <v>ETTA</v>
      </c>
      <c r="H73" s="66">
        <v>0</v>
      </c>
      <c r="I73" s="96">
        <v>20</v>
      </c>
      <c r="J73" s="124">
        <f>(Table4[[#This Row],[Points 2025]]/2)+SUM(Table4[[#This Row],[O1  ADMIN 2026]:[P2         WC    Open 2026]])</f>
        <v>20</v>
      </c>
      <c r="K73" s="106">
        <f t="shared" si="6"/>
        <v>1</v>
      </c>
      <c r="L73" s="106">
        <f t="shared" si="7"/>
        <v>0</v>
      </c>
      <c r="M73" s="106" t="s">
        <v>6083</v>
      </c>
      <c r="N73" s="114" t="s">
        <v>6083</v>
      </c>
      <c r="O73" s="114">
        <v>10</v>
      </c>
      <c r="P73" s="114"/>
      <c r="Q73" s="63"/>
      <c r="R73" s="63"/>
      <c r="S73" s="114"/>
      <c r="T73" s="114"/>
      <c r="U73" s="63">
        <v>15</v>
      </c>
      <c r="V73" s="114"/>
      <c r="W73" s="63"/>
      <c r="X73" s="845">
        <v>5</v>
      </c>
      <c r="Y73" s="708"/>
      <c r="Z73" s="63"/>
      <c r="AA73" s="63"/>
      <c r="AB73" s="114"/>
      <c r="AC73" s="63"/>
      <c r="AD73" s="114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</row>
    <row r="74" spans="1:41" s="58" customFormat="1">
      <c r="A74" s="85" t="str">
        <f>IFERROR(VLOOKUP(Table4[[#This Row],[Player No]],Table10[[#All],[No]:[Age Group]],4,0),"")</f>
        <v>U13</v>
      </c>
      <c r="B74" s="87">
        <v>59</v>
      </c>
      <c r="C74" s="285">
        <f t="shared" si="5"/>
        <v>-11</v>
      </c>
      <c r="D74" s="61">
        <f t="shared" si="8"/>
        <v>70</v>
      </c>
      <c r="E74" s="169">
        <v>1759</v>
      </c>
      <c r="F74" s="64" t="str">
        <f>IFERROR(VLOOKUP(Table4[[#This Row],[Player No]],Table10[[No]:[Province]],2,0),"")</f>
        <v>LEKORWE Reneilwe</v>
      </c>
      <c r="G74" s="65" t="str">
        <f>IFERROR(VLOOKUP(Table4[[#This Row],[Player No]],Table10[[No]:[Province]],3,0),"")</f>
        <v>BOT</v>
      </c>
      <c r="H74" s="170">
        <v>0</v>
      </c>
      <c r="I74" s="96">
        <v>37.5</v>
      </c>
      <c r="J74" s="124">
        <f>(Table4[[#This Row],[Points 2025]]/2)+SUM(Table4[[#This Row],[O1  ADMIN 2026]:[P2         WC    Open 2026]])</f>
        <v>18.75</v>
      </c>
      <c r="K74" s="106">
        <f t="shared" si="6"/>
        <v>0</v>
      </c>
      <c r="L74" s="106">
        <f t="shared" si="7"/>
        <v>0</v>
      </c>
      <c r="M74" s="106" t="s">
        <v>6083</v>
      </c>
      <c r="N74" s="114" t="s">
        <v>6083</v>
      </c>
      <c r="O74" s="114" t="s">
        <v>6083</v>
      </c>
      <c r="P74" s="114"/>
      <c r="Q74" s="169"/>
      <c r="R74" s="169"/>
      <c r="S74" s="318"/>
      <c r="T74" s="318"/>
      <c r="U74" s="169"/>
      <c r="V74" s="318"/>
      <c r="W74" s="169"/>
      <c r="X74" s="846"/>
      <c r="Y74" s="713"/>
      <c r="Z74" s="169"/>
      <c r="AA74" s="169">
        <v>25</v>
      </c>
      <c r="AB74" s="318"/>
      <c r="AC74" s="169">
        <v>15</v>
      </c>
      <c r="AD74" s="318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</row>
    <row r="75" spans="1:41" s="58" customFormat="1">
      <c r="A75" s="85" t="str">
        <f>IFERROR(VLOOKUP(Table4[[#This Row],[Player No]],Table10[[#All],[No]:[Age Group]],4,0),"")</f>
        <v>U15</v>
      </c>
      <c r="B75" s="373"/>
      <c r="C75" s="373">
        <f t="shared" si="5"/>
        <v>-71</v>
      </c>
      <c r="D75" s="61">
        <f t="shared" si="8"/>
        <v>71</v>
      </c>
      <c r="E75" s="361">
        <v>3801</v>
      </c>
      <c r="F75" s="64" t="str">
        <f>IFERROR(VLOOKUP(Table4[[#This Row],[Player No]],Table10[[No]:[Province]],2,0),"")</f>
        <v>CELE Samkelo Ayabonga</v>
      </c>
      <c r="G75" s="65" t="str">
        <f>IFERROR(VLOOKUP(Table4[[#This Row],[Player No]],Table10[[No]:[Province]],3,0),"")</f>
        <v>ETTA</v>
      </c>
      <c r="H75" s="66">
        <v>0</v>
      </c>
      <c r="I75" s="363">
        <v>15</v>
      </c>
      <c r="J75" s="124">
        <f>(Table4[[#This Row],[Points 2025]]/2)+SUM(Table4[[#This Row],[O1  ADMIN 2026]:[P2         WC    Open 2026]])</f>
        <v>18.5</v>
      </c>
      <c r="K75" s="106">
        <f t="shared" si="6"/>
        <v>2</v>
      </c>
      <c r="L75" s="106">
        <f t="shared" si="7"/>
        <v>0</v>
      </c>
      <c r="M75" s="106" t="s">
        <v>6083</v>
      </c>
      <c r="N75" s="357">
        <v>10</v>
      </c>
      <c r="O75" s="357">
        <v>1</v>
      </c>
      <c r="P75" s="357"/>
      <c r="Q75" s="361"/>
      <c r="R75" s="361"/>
      <c r="S75" s="357"/>
      <c r="T75" s="357">
        <v>15</v>
      </c>
      <c r="U75" s="361"/>
      <c r="V75" s="357"/>
      <c r="W75" s="361"/>
      <c r="X75" s="850"/>
      <c r="Y75" s="738"/>
      <c r="Z75" s="361"/>
      <c r="AA75" s="361"/>
      <c r="AB75" s="357"/>
      <c r="AC75" s="361"/>
      <c r="AD75" s="357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</row>
    <row r="76" spans="1:41" s="58" customFormat="1">
      <c r="A76" s="85" t="str">
        <f>IFERROR(VLOOKUP(Table4[[#This Row],[Player No]],Table10[[#All],[No]:[Age Group]],4,0),"")</f>
        <v>U19</v>
      </c>
      <c r="B76" s="87">
        <v>210</v>
      </c>
      <c r="C76" s="88">
        <f t="shared" si="5"/>
        <v>138</v>
      </c>
      <c r="D76" s="61">
        <f t="shared" si="8"/>
        <v>72</v>
      </c>
      <c r="E76" s="63">
        <v>3760</v>
      </c>
      <c r="F76" s="64" t="str">
        <f>IFERROR(VLOOKUP(Table4[[#This Row],[Player No]],Table10[[No]:[Province]],2,0),"")</f>
        <v>PERRANG Hayden</v>
      </c>
      <c r="G76" s="65" t="str">
        <f>IFERROR(VLOOKUP(Table4[[#This Row],[Player No]],Table10[[No]:[Province]],3,0),"")</f>
        <v>WC</v>
      </c>
      <c r="H76" s="66">
        <v>25</v>
      </c>
      <c r="I76" s="96">
        <v>35.78125</v>
      </c>
      <c r="J76" s="124">
        <f>(Table4[[#This Row],[Points 2025]]/2)+SUM(Table4[[#This Row],[O1  ADMIN 2026]:[P2         WC    Open 2026]])</f>
        <v>17.890625</v>
      </c>
      <c r="K76" s="106">
        <f t="shared" si="6"/>
        <v>0</v>
      </c>
      <c r="L76" s="106">
        <f t="shared" si="7"/>
        <v>0</v>
      </c>
      <c r="M76" s="106" t="s">
        <v>6083</v>
      </c>
      <c r="N76" s="114" t="s">
        <v>6083</v>
      </c>
      <c r="O76" s="114" t="s">
        <v>6083</v>
      </c>
      <c r="P76" s="114"/>
      <c r="Q76" s="63"/>
      <c r="R76" s="63"/>
      <c r="S76" s="114"/>
      <c r="T76" s="114"/>
      <c r="U76" s="63"/>
      <c r="V76" s="114"/>
      <c r="W76" s="63"/>
      <c r="X76" s="845">
        <v>0</v>
      </c>
      <c r="Y76" s="708"/>
      <c r="Z76" s="63"/>
      <c r="AA76" s="63"/>
      <c r="AB76" s="114"/>
      <c r="AC76" s="63"/>
      <c r="AD76" s="114"/>
      <c r="AE76" s="63">
        <v>25</v>
      </c>
      <c r="AF76" s="63"/>
      <c r="AG76" s="63"/>
      <c r="AH76" s="63">
        <v>25</v>
      </c>
      <c r="AI76" s="63"/>
      <c r="AJ76" s="63"/>
      <c r="AK76" s="63"/>
      <c r="AL76" s="63"/>
      <c r="AM76" s="63"/>
      <c r="AN76" s="63"/>
      <c r="AO76" s="63"/>
    </row>
    <row r="77" spans="1:41" s="58" customFormat="1">
      <c r="A77" s="85">
        <f>IFERROR(VLOOKUP(Table4[[#This Row],[Player No]],Table10[[#All],[No]:[Age Group]],4,0),"")</f>
        <v>0</v>
      </c>
      <c r="B77" s="87">
        <v>137</v>
      </c>
      <c r="C77" s="88">
        <f t="shared" si="5"/>
        <v>64</v>
      </c>
      <c r="D77" s="61">
        <f t="shared" si="8"/>
        <v>73</v>
      </c>
      <c r="E77" s="63">
        <v>4382</v>
      </c>
      <c r="F77" s="64" t="str">
        <f>IFERROR(VLOOKUP(Table4[[#This Row],[Player No]],Table10[[No]:[Province]],2,0),"")</f>
        <v>BAGIRATHI Advay</v>
      </c>
      <c r="G77" s="65" t="str">
        <f>IFERROR(VLOOKUP(Table4[[#This Row],[Player No]],Table10[[No]:[Province]],3,0),"")</f>
        <v>UMG</v>
      </c>
      <c r="H77" s="66">
        <v>0</v>
      </c>
      <c r="I77" s="96">
        <v>11.625</v>
      </c>
      <c r="J77" s="124">
        <f>(Table4[[#This Row],[Points 2025]]/2)+SUM(Table4[[#This Row],[O1  ADMIN 2026]:[P2         WC    Open 2026]])</f>
        <v>17.8125</v>
      </c>
      <c r="K77" s="106">
        <f t="shared" si="6"/>
        <v>2</v>
      </c>
      <c r="L77" s="106">
        <f t="shared" si="7"/>
        <v>0</v>
      </c>
      <c r="M77" s="106" t="s">
        <v>6083</v>
      </c>
      <c r="N77" s="114">
        <v>10</v>
      </c>
      <c r="O77" s="114">
        <v>2</v>
      </c>
      <c r="P77" s="114"/>
      <c r="Q77" s="63">
        <v>2</v>
      </c>
      <c r="R77" s="63"/>
      <c r="S77" s="114">
        <v>10</v>
      </c>
      <c r="T77" s="114"/>
      <c r="U77" s="63"/>
      <c r="V77" s="114"/>
      <c r="W77" s="63"/>
      <c r="X77" s="845"/>
      <c r="Y77" s="708"/>
      <c r="Z77" s="63"/>
      <c r="AA77" s="63"/>
      <c r="AB77" s="114"/>
      <c r="AC77" s="63"/>
      <c r="AD77" s="114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</row>
    <row r="78" spans="1:41" s="58" customFormat="1">
      <c r="A78" s="85"/>
      <c r="B78" s="87">
        <v>28</v>
      </c>
      <c r="C78" s="88">
        <f t="shared" si="5"/>
        <v>-46</v>
      </c>
      <c r="D78" s="61">
        <f t="shared" si="8"/>
        <v>74</v>
      </c>
      <c r="E78" s="63">
        <v>1738</v>
      </c>
      <c r="F78" s="64" t="str">
        <f>IFERROR(VLOOKUP(Table4[[#This Row],[Player No]],Table10[[No]:[Province]],2,0),"")</f>
        <v xml:space="preserve">VAN DYK Nur </v>
      </c>
      <c r="G78" s="65" t="str">
        <f>IFERROR(VLOOKUP(Table4[[#This Row],[Player No]],Table10[[No]:[Province]],3,0),"")</f>
        <v>CT</v>
      </c>
      <c r="H78" s="66">
        <v>71.5625</v>
      </c>
      <c r="I78" s="96">
        <v>30</v>
      </c>
      <c r="J78" s="124">
        <f>(Table4[[#This Row],[Points 2025]]/2)+SUM(Table4[[#This Row],[O1  ADMIN 2026]:[P2         WC    Open 2026]])</f>
        <v>15</v>
      </c>
      <c r="K78" s="106">
        <f t="shared" si="6"/>
        <v>0</v>
      </c>
      <c r="L78" s="106">
        <f t="shared" si="7"/>
        <v>0</v>
      </c>
      <c r="M78" s="106" t="s">
        <v>6083</v>
      </c>
      <c r="N78" s="114" t="s">
        <v>6083</v>
      </c>
      <c r="O78" s="114" t="s">
        <v>6083</v>
      </c>
      <c r="P78" s="114"/>
      <c r="Q78" s="63"/>
      <c r="R78" s="63"/>
      <c r="S78" s="114"/>
      <c r="T78" s="114"/>
      <c r="U78" s="63"/>
      <c r="V78" s="114"/>
      <c r="W78" s="63"/>
      <c r="X78" s="845"/>
      <c r="Y78" s="708"/>
      <c r="Z78" s="63"/>
      <c r="AA78" s="63"/>
      <c r="AB78" s="114"/>
      <c r="AC78" s="63"/>
      <c r="AD78" s="114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</row>
    <row r="79" spans="1:41" s="58" customFormat="1">
      <c r="A79" s="85" t="str">
        <f>IFERROR(VLOOKUP(Table4[[#This Row],[Player No]],Table10[[#All],[No]:[Age Group]],4,0),"")</f>
        <v>U19</v>
      </c>
      <c r="B79" s="87" t="e">
        <f>VLOOKUP([5]!Table4[[#This Row],[Player No]],'[6]u19 boys'!$E$5:$F$216,2,0)</f>
        <v>#REF!</v>
      </c>
      <c r="C79" s="88" t="e">
        <f t="shared" si="5"/>
        <v>#REF!</v>
      </c>
      <c r="D79" s="61">
        <f t="shared" si="8"/>
        <v>75</v>
      </c>
      <c r="E79" s="63">
        <v>2944</v>
      </c>
      <c r="F79" s="64" t="str">
        <f>IFERROR(VLOOKUP(Table4[[#This Row],[Player No]],Table10[[No]:[Province]],2,0),"")</f>
        <v>HENDRICKS Leighton</v>
      </c>
      <c r="G79" s="65" t="str">
        <f>IFERROR(VLOOKUP(Table4[[#This Row],[Player No]],Table10[[No]:[Province]],3,0),"")</f>
        <v>CW</v>
      </c>
      <c r="H79" s="66">
        <v>30</v>
      </c>
      <c r="I79" s="96">
        <v>30</v>
      </c>
      <c r="J79" s="124">
        <f>(Table4[[#This Row],[Points 2025]]/2)+SUM(Table4[[#This Row],[O1  ADMIN 2026]:[P2         WC    Open 2026]])</f>
        <v>15</v>
      </c>
      <c r="K79" s="106">
        <f t="shared" si="6"/>
        <v>0</v>
      </c>
      <c r="L79" s="106">
        <f t="shared" si="7"/>
        <v>0</v>
      </c>
      <c r="M79" s="106" t="s">
        <v>6083</v>
      </c>
      <c r="N79" s="114" t="s">
        <v>6083</v>
      </c>
      <c r="O79" s="114" t="s">
        <v>6083</v>
      </c>
      <c r="P79" s="114"/>
      <c r="Q79" s="63"/>
      <c r="R79" s="63"/>
      <c r="S79" s="114"/>
      <c r="T79" s="114"/>
      <c r="U79" s="63"/>
      <c r="V79" s="114"/>
      <c r="W79" s="63"/>
      <c r="X79" s="845"/>
      <c r="Y79" s="708"/>
      <c r="Z79" s="63"/>
      <c r="AA79" s="63"/>
      <c r="AB79" s="114"/>
      <c r="AC79" s="63"/>
      <c r="AD79" s="114"/>
      <c r="AE79" s="63">
        <v>15</v>
      </c>
      <c r="AF79" s="63"/>
      <c r="AG79" s="63"/>
      <c r="AH79" s="63"/>
      <c r="AI79" s="63">
        <v>25</v>
      </c>
      <c r="AJ79" s="63"/>
      <c r="AK79" s="63"/>
      <c r="AL79" s="63"/>
      <c r="AM79" s="63"/>
      <c r="AN79" s="63"/>
      <c r="AO79" s="63"/>
    </row>
    <row r="80" spans="1:41" s="58" customFormat="1">
      <c r="A80" s="85"/>
      <c r="B80" s="88"/>
      <c r="C80" s="88">
        <f t="shared" si="5"/>
        <v>-76</v>
      </c>
      <c r="D80" s="61">
        <f t="shared" si="8"/>
        <v>76</v>
      </c>
      <c r="E80" s="63">
        <v>4018</v>
      </c>
      <c r="F80" s="64" t="str">
        <f>IFERROR(VLOOKUP(Table4[[#This Row],[Player No]],Table10[[No]:[Province]],2,0),"")</f>
        <v>GOKHALE Aakash</v>
      </c>
      <c r="G80" s="65" t="str">
        <f>IFERROR(VLOOKUP(Table4[[#This Row],[Player No]],Table10[[No]:[Province]],3,0),"")</f>
        <v>GN</v>
      </c>
      <c r="H80" s="66"/>
      <c r="I80" s="96">
        <v>0</v>
      </c>
      <c r="J80" s="124">
        <f>(Table4[[#This Row],[Points 2025]]/2)+SUM(Table4[[#This Row],[O1  ADMIN 2026]:[P2         WC    Open 2026]])</f>
        <v>15</v>
      </c>
      <c r="K80" s="106">
        <f t="shared" si="6"/>
        <v>1</v>
      </c>
      <c r="L80" s="106">
        <f t="shared" si="7"/>
        <v>0</v>
      </c>
      <c r="M80" s="106">
        <v>15</v>
      </c>
      <c r="N80" s="114" t="s">
        <v>6083</v>
      </c>
      <c r="O80" s="114" t="str">
        <f>IFERROR(VALUE(IF(Table4[[#This Row],[Player No]]="","",IFERROR(VLOOKUP(Table4[[#This Row],[Player No]],'[2]U19 Boys'!$Z$14:$AB$63,2,FALSE)&amp;"",""))),"")</f>
        <v/>
      </c>
      <c r="P80" s="114"/>
      <c r="Q80" s="63"/>
      <c r="R80" s="63"/>
      <c r="S80" s="114"/>
      <c r="T80" s="114"/>
      <c r="U80" s="63"/>
      <c r="V80" s="114"/>
      <c r="W80" s="63"/>
      <c r="X80" s="845"/>
      <c r="Y80" s="708"/>
      <c r="Z80" s="63"/>
      <c r="AA80" s="63"/>
      <c r="AB80" s="114"/>
      <c r="AC80" s="63"/>
      <c r="AD80" s="114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</row>
    <row r="81" spans="1:41" s="58" customFormat="1">
      <c r="A81" s="85">
        <f>IFERROR(VLOOKUP(Table4[[#This Row],[Player No]],Table10[[#All],[No]:[Age Group]],4,0),"")</f>
        <v>0</v>
      </c>
      <c r="B81" s="88"/>
      <c r="C81" s="88">
        <f t="shared" si="5"/>
        <v>-77</v>
      </c>
      <c r="D81" s="61">
        <f t="shared" si="8"/>
        <v>77</v>
      </c>
      <c r="E81" s="63">
        <v>3936</v>
      </c>
      <c r="F81" s="64" t="str">
        <f>IFERROR(VLOOKUP(Table4[[#This Row],[Player No]],Table10[[No]:[Province]],2,0),"")</f>
        <v>NQGULA Nande</v>
      </c>
      <c r="G81" s="65" t="str">
        <f>IFERROR(VLOOKUP(Table4[[#This Row],[Player No]],Table10[[No]:[Province]],3,0),"")</f>
        <v>CT</v>
      </c>
      <c r="H81" s="66">
        <v>0</v>
      </c>
      <c r="I81" s="96">
        <v>28.75</v>
      </c>
      <c r="J81" s="124">
        <f>(Table4[[#This Row],[Points 2025]]/2)+SUM(Table4[[#This Row],[O1  ADMIN 2026]:[P2         WC    Open 2026]])</f>
        <v>14.375</v>
      </c>
      <c r="K81" s="106">
        <f t="shared" si="6"/>
        <v>0</v>
      </c>
      <c r="L81" s="106">
        <f t="shared" si="7"/>
        <v>0</v>
      </c>
      <c r="M81" s="106" t="s">
        <v>6083</v>
      </c>
      <c r="N81" s="114" t="s">
        <v>6083</v>
      </c>
      <c r="O81" s="114" t="s">
        <v>6083</v>
      </c>
      <c r="P81" s="114"/>
      <c r="Q81" s="63"/>
      <c r="R81" s="63"/>
      <c r="S81" s="114"/>
      <c r="T81" s="114"/>
      <c r="U81" s="63"/>
      <c r="V81" s="114"/>
      <c r="W81" s="63"/>
      <c r="X81" s="845"/>
      <c r="Y81" s="708"/>
      <c r="Z81" s="63"/>
      <c r="AA81" s="63"/>
      <c r="AB81" s="114"/>
      <c r="AC81" s="63"/>
      <c r="AD81" s="114">
        <v>5</v>
      </c>
      <c r="AE81" s="63">
        <v>25</v>
      </c>
      <c r="AF81" s="63"/>
      <c r="AG81" s="63"/>
      <c r="AH81" s="63"/>
      <c r="AI81" s="63"/>
      <c r="AJ81" s="63"/>
      <c r="AK81" s="63"/>
      <c r="AL81" s="63"/>
      <c r="AM81" s="63"/>
      <c r="AN81" s="63"/>
      <c r="AO81" s="63"/>
    </row>
    <row r="82" spans="1:41" s="58" customFormat="1">
      <c r="A82" s="85" t="str">
        <f>IFERROR(VLOOKUP(Table4[[#This Row],[Player No]],Table10[[#All],[No]:[Age Group]],4,0),"")</f>
        <v>U19</v>
      </c>
      <c r="B82" s="87">
        <v>99</v>
      </c>
      <c r="C82" s="88">
        <f t="shared" si="5"/>
        <v>21</v>
      </c>
      <c r="D82" s="61">
        <f t="shared" si="8"/>
        <v>78</v>
      </c>
      <c r="E82" s="63">
        <v>2284</v>
      </c>
      <c r="F82" s="64" t="str">
        <f>IFERROR(VLOOKUP(Table4[[#This Row],[Player No]],Table10[[No]:[Province]],2,0),"")</f>
        <v>CAROLUS Rewaldo</v>
      </c>
      <c r="G82" s="65" t="str">
        <f>IFERROR(VLOOKUP(Table4[[#This Row],[Player No]],Table10[[No]:[Province]],3,0),"")</f>
        <v>CT</v>
      </c>
      <c r="H82" s="66">
        <v>5.5</v>
      </c>
      <c r="I82" s="96">
        <v>27.5</v>
      </c>
      <c r="J82" s="124">
        <f>(Table4[[#This Row],[Points 2025]]/2)+SUM(Table4[[#This Row],[O1  ADMIN 2026]:[P2         WC    Open 2026]])</f>
        <v>13.75</v>
      </c>
      <c r="K82" s="106">
        <f t="shared" si="6"/>
        <v>0</v>
      </c>
      <c r="L82" s="106">
        <f t="shared" si="7"/>
        <v>0</v>
      </c>
      <c r="M82" s="106" t="s">
        <v>6083</v>
      </c>
      <c r="N82" s="114" t="s">
        <v>6083</v>
      </c>
      <c r="O82" s="114" t="s">
        <v>6083</v>
      </c>
      <c r="P82" s="114"/>
      <c r="Q82" s="63"/>
      <c r="R82" s="63"/>
      <c r="S82" s="114"/>
      <c r="T82" s="114"/>
      <c r="U82" s="63"/>
      <c r="V82" s="114"/>
      <c r="W82" s="63"/>
      <c r="X82" s="845"/>
      <c r="Y82" s="708"/>
      <c r="Z82" s="63"/>
      <c r="AA82" s="63"/>
      <c r="AB82" s="114"/>
      <c r="AC82" s="63"/>
      <c r="AD82" s="114"/>
      <c r="AE82" s="63">
        <v>25</v>
      </c>
      <c r="AF82" s="63"/>
      <c r="AG82" s="63"/>
      <c r="AH82" s="63"/>
      <c r="AI82" s="63"/>
      <c r="AJ82" s="63"/>
      <c r="AK82" s="63"/>
      <c r="AL82" s="63"/>
      <c r="AM82" s="63"/>
      <c r="AN82" s="63"/>
      <c r="AO82" s="63"/>
    </row>
    <row r="83" spans="1:41" s="58" customFormat="1">
      <c r="A83" s="85">
        <f>IFERROR(VLOOKUP(Table4[[#This Row],[Player No]],Table10[[#All],[No]:[Age Group]],4,0),"")</f>
        <v>0</v>
      </c>
      <c r="B83" s="87">
        <v>56</v>
      </c>
      <c r="C83" s="88">
        <f t="shared" si="5"/>
        <v>-23</v>
      </c>
      <c r="D83" s="61">
        <f t="shared" si="8"/>
        <v>79</v>
      </c>
      <c r="E83" s="63">
        <v>3543</v>
      </c>
      <c r="F83" s="64" t="str">
        <f>IFERROR(VLOOKUP(Table4[[#This Row],[Player No]],Table10[[No]:[Province]],2,0),"")</f>
        <v>KATZ Joseph</v>
      </c>
      <c r="G83" s="65" t="str">
        <f>IFERROR(VLOOKUP(Table4[[#This Row],[Player No]],Table10[[No]:[Province]],3,0),"")</f>
        <v>CT</v>
      </c>
      <c r="H83" s="66">
        <v>55</v>
      </c>
      <c r="I83" s="96">
        <v>26.875</v>
      </c>
      <c r="J83" s="124">
        <f>(Table4[[#This Row],[Points 2025]]/2)+SUM(Table4[[#This Row],[O1  ADMIN 2026]:[P2         WC    Open 2026]])</f>
        <v>13.4375</v>
      </c>
      <c r="K83" s="106">
        <f t="shared" si="6"/>
        <v>0</v>
      </c>
      <c r="L83" s="106">
        <f t="shared" si="7"/>
        <v>0</v>
      </c>
      <c r="M83" s="106" t="s">
        <v>6083</v>
      </c>
      <c r="N83" s="114" t="s">
        <v>6083</v>
      </c>
      <c r="O83" s="114" t="s">
        <v>6083</v>
      </c>
      <c r="P83" s="114"/>
      <c r="Q83" s="63"/>
      <c r="R83" s="63"/>
      <c r="S83" s="114"/>
      <c r="T83" s="114"/>
      <c r="U83" s="63"/>
      <c r="V83" s="114"/>
      <c r="W83" s="63"/>
      <c r="X83" s="845"/>
      <c r="Y83" s="708"/>
      <c r="Z83" s="63"/>
      <c r="AA83" s="63"/>
      <c r="AB83" s="114"/>
      <c r="AC83" s="63"/>
      <c r="AD83" s="114"/>
      <c r="AE83" s="63"/>
      <c r="AF83" s="63"/>
      <c r="AG83" s="63"/>
      <c r="AH83" s="63">
        <v>5</v>
      </c>
      <c r="AI83" s="63">
        <v>25</v>
      </c>
      <c r="AJ83" s="63">
        <v>25</v>
      </c>
      <c r="AK83" s="63"/>
      <c r="AL83" s="63"/>
      <c r="AM83" s="63"/>
      <c r="AN83" s="63"/>
      <c r="AO83" s="63"/>
    </row>
    <row r="84" spans="1:41" s="58" customFormat="1">
      <c r="A84" s="85">
        <f>IFERROR(VLOOKUP(Table4[[#This Row],[Player No]],Table10[[#All],[No]:[Age Group]],4,0),"")</f>
        <v>0</v>
      </c>
      <c r="B84" s="87">
        <v>96</v>
      </c>
      <c r="C84" s="88">
        <f t="shared" si="5"/>
        <v>16</v>
      </c>
      <c r="D84" s="61">
        <f t="shared" si="8"/>
        <v>80</v>
      </c>
      <c r="E84" s="63">
        <v>3098</v>
      </c>
      <c r="F84" s="64" t="str">
        <f>IFERROR(VLOOKUP(Table4[[#This Row],[Player No]],Table10[[No]:[Province]],2,0),"")</f>
        <v>NAIDOO Ezra Timothy</v>
      </c>
      <c r="G84" s="65" t="str">
        <f>IFERROR(VLOOKUP(Table4[[#This Row],[Player No]],Table10[[No]:[Province]],3,0),"")</f>
        <v>UMG</v>
      </c>
      <c r="H84" s="66">
        <v>53.75</v>
      </c>
      <c r="I84" s="96">
        <v>26</v>
      </c>
      <c r="J84" s="124">
        <f>(Table4[[#This Row],[Points 2025]]/2)+SUM(Table4[[#This Row],[O1  ADMIN 2026]:[P2         WC    Open 2026]])</f>
        <v>13</v>
      </c>
      <c r="K84" s="106">
        <f t="shared" si="6"/>
        <v>0</v>
      </c>
      <c r="L84" s="106">
        <f t="shared" si="7"/>
        <v>0</v>
      </c>
      <c r="M84" s="106" t="s">
        <v>6083</v>
      </c>
      <c r="N84" s="114" t="s">
        <v>6083</v>
      </c>
      <c r="O84" s="114" t="s">
        <v>6083</v>
      </c>
      <c r="P84" s="114"/>
      <c r="Q84" s="63"/>
      <c r="R84" s="63"/>
      <c r="S84" s="114"/>
      <c r="T84" s="114"/>
      <c r="U84" s="63"/>
      <c r="V84" s="114"/>
      <c r="W84" s="63"/>
      <c r="X84" s="845"/>
      <c r="Y84" s="708"/>
      <c r="Z84" s="63"/>
      <c r="AA84" s="63"/>
      <c r="AB84" s="114"/>
      <c r="AC84" s="63"/>
      <c r="AD84" s="114"/>
      <c r="AE84" s="63"/>
      <c r="AF84" s="63">
        <v>25</v>
      </c>
      <c r="AG84" s="63">
        <v>15</v>
      </c>
      <c r="AH84" s="63"/>
      <c r="AI84" s="63"/>
      <c r="AJ84" s="63"/>
      <c r="AK84" s="63"/>
      <c r="AL84" s="63"/>
      <c r="AM84" s="63"/>
      <c r="AN84" s="63"/>
      <c r="AO84" s="63"/>
    </row>
    <row r="85" spans="1:41" s="58" customFormat="1">
      <c r="A85" s="85" t="str">
        <f>IFERROR(VLOOKUP(Table4[[#This Row],[Player No]],Table10[[#All],[No]:[Age Group]],4,0),"")</f>
        <v>U15</v>
      </c>
      <c r="B85" s="87" t="e">
        <f>VLOOKUP([5]!Table4[[#This Row],[Player No]],'[6]u19 boys'!$E$5:$F$216,2,0)</f>
        <v>#REF!</v>
      </c>
      <c r="C85" s="88" t="e">
        <f t="shared" si="5"/>
        <v>#REF!</v>
      </c>
      <c r="D85" s="61">
        <f t="shared" si="8"/>
        <v>81</v>
      </c>
      <c r="E85" s="63">
        <v>3627</v>
      </c>
      <c r="F85" s="64" t="str">
        <f>IFERROR(VLOOKUP(Table4[[#This Row],[Player No]],Table10[[No]:[Province]],2,0),"")</f>
        <v>VD WESTHUIZEN Ruhayden</v>
      </c>
      <c r="G85" s="65" t="str">
        <f>IFERROR(VLOOKUP(Table4[[#This Row],[Player No]],Table10[[No]:[Province]],3,0),"")</f>
        <v>CW</v>
      </c>
      <c r="H85" s="66">
        <v>2</v>
      </c>
      <c r="I85" s="96">
        <v>25.5</v>
      </c>
      <c r="J85" s="124">
        <f>(Table4[[#This Row],[Points 2025]]/2)+SUM(Table4[[#This Row],[O1  ADMIN 2026]:[P2         WC    Open 2026]])</f>
        <v>12.75</v>
      </c>
      <c r="K85" s="106">
        <f t="shared" si="6"/>
        <v>0</v>
      </c>
      <c r="L85" s="106">
        <f t="shared" si="7"/>
        <v>0</v>
      </c>
      <c r="M85" s="106" t="s">
        <v>6083</v>
      </c>
      <c r="N85" s="114" t="s">
        <v>6083</v>
      </c>
      <c r="O85" s="114" t="s">
        <v>6083</v>
      </c>
      <c r="P85" s="114"/>
      <c r="Q85" s="63"/>
      <c r="R85" s="63"/>
      <c r="S85" s="114"/>
      <c r="T85" s="114"/>
      <c r="U85" s="63"/>
      <c r="V85" s="114"/>
      <c r="W85" s="63"/>
      <c r="X85" s="845"/>
      <c r="Y85" s="708"/>
      <c r="Z85" s="63"/>
      <c r="AA85" s="63"/>
      <c r="AB85" s="114"/>
      <c r="AC85" s="63"/>
      <c r="AD85" s="114"/>
      <c r="AE85" s="63">
        <v>25</v>
      </c>
      <c r="AF85" s="63"/>
      <c r="AG85" s="63"/>
      <c r="AH85" s="63"/>
      <c r="AI85" s="63">
        <v>2</v>
      </c>
      <c r="AJ85" s="63"/>
      <c r="AK85" s="63"/>
      <c r="AL85" s="63"/>
      <c r="AM85" s="63"/>
      <c r="AN85" s="63"/>
      <c r="AO85" s="63"/>
    </row>
    <row r="86" spans="1:41" s="58" customFormat="1">
      <c r="A86" s="85">
        <f>IFERROR(VLOOKUP(Table4[[#This Row],[Player No]],Table10[[#All],[No]:[Age Group]],4,0),"")</f>
        <v>0</v>
      </c>
      <c r="B86" s="87">
        <v>143</v>
      </c>
      <c r="C86" s="88">
        <f t="shared" si="5"/>
        <v>61</v>
      </c>
      <c r="D86" s="61">
        <f t="shared" si="8"/>
        <v>82</v>
      </c>
      <c r="E86" s="63">
        <v>2237</v>
      </c>
      <c r="F86" s="64" t="str">
        <f>IFERROR(VLOOKUP(Table4[[#This Row],[Player No]],Table10[[No]:[Province]],2,0),"")</f>
        <v xml:space="preserve">MADORO Trust </v>
      </c>
      <c r="G86" s="65" t="str">
        <f>IFERROR(VLOOKUP(Table4[[#This Row],[Player No]],Table10[[No]:[Province]],3,0),"")</f>
        <v>ZIM</v>
      </c>
      <c r="H86" s="66">
        <v>1</v>
      </c>
      <c r="I86" s="96">
        <v>25.5</v>
      </c>
      <c r="J86" s="124">
        <f>(Table4[[#This Row],[Points 2025]]/2)+SUM(Table4[[#This Row],[O1  ADMIN 2026]:[P2         WC    Open 2026]])</f>
        <v>12.75</v>
      </c>
      <c r="K86" s="106">
        <f t="shared" si="6"/>
        <v>0</v>
      </c>
      <c r="L86" s="106">
        <f t="shared" si="7"/>
        <v>0</v>
      </c>
      <c r="M86" s="106" t="s">
        <v>6083</v>
      </c>
      <c r="N86" s="114" t="s">
        <v>6083</v>
      </c>
      <c r="O86" s="114" t="s">
        <v>6083</v>
      </c>
      <c r="P86" s="114"/>
      <c r="Q86" s="63"/>
      <c r="R86" s="63"/>
      <c r="S86" s="114"/>
      <c r="T86" s="114"/>
      <c r="U86" s="63"/>
      <c r="V86" s="114"/>
      <c r="W86" s="63"/>
      <c r="X86" s="845">
        <v>25</v>
      </c>
      <c r="Y86" s="708"/>
      <c r="Z86" s="63"/>
      <c r="AA86" s="63"/>
      <c r="AB86" s="114"/>
      <c r="AC86" s="63"/>
      <c r="AD86" s="114"/>
      <c r="AE86" s="63"/>
      <c r="AF86" s="63"/>
      <c r="AG86" s="63"/>
      <c r="AH86" s="63"/>
      <c r="AI86" s="63"/>
      <c r="AJ86" s="63"/>
      <c r="AK86" s="63"/>
      <c r="AL86" s="63"/>
      <c r="AM86" s="63"/>
      <c r="AN86" s="63">
        <v>1</v>
      </c>
      <c r="AO86" s="63"/>
    </row>
    <row r="87" spans="1:41" s="58" customFormat="1">
      <c r="A87" s="85">
        <f>IFERROR(VLOOKUP(Table4[[#This Row],[Player No]],Table10[[#All],[No]:[Age Group]],4,0),"")</f>
        <v>0</v>
      </c>
      <c r="B87" s="87"/>
      <c r="C87" s="88">
        <f t="shared" si="5"/>
        <v>-83</v>
      </c>
      <c r="D87" s="61">
        <f t="shared" si="8"/>
        <v>83</v>
      </c>
      <c r="E87" s="63">
        <v>3885</v>
      </c>
      <c r="F87" s="64" t="str">
        <f>IFERROR(VLOOKUP(Table4[[#This Row],[Player No]],Table10[[No]:[Province]],2,0),"")</f>
        <v>BECKER Gustav</v>
      </c>
      <c r="G87" s="65" t="str">
        <f>IFERROR(VLOOKUP(Table4[[#This Row],[Player No]],Table10[[No]:[Province]],3,0),"")</f>
        <v>CW</v>
      </c>
      <c r="H87" s="66">
        <v>31</v>
      </c>
      <c r="I87" s="96">
        <v>25</v>
      </c>
      <c r="J87" s="124">
        <f>(Table4[[#This Row],[Points 2025]]/2)+SUM(Table4[[#This Row],[O1  ADMIN 2026]:[P2         WC    Open 2026]])</f>
        <v>12.5</v>
      </c>
      <c r="K87" s="106">
        <f t="shared" si="6"/>
        <v>0</v>
      </c>
      <c r="L87" s="106">
        <f t="shared" si="7"/>
        <v>0</v>
      </c>
      <c r="M87" s="106" t="s">
        <v>6083</v>
      </c>
      <c r="N87" s="114" t="s">
        <v>6083</v>
      </c>
      <c r="O87" s="114" t="s">
        <v>6083</v>
      </c>
      <c r="P87" s="114"/>
      <c r="Q87" s="63"/>
      <c r="R87" s="63"/>
      <c r="S87" s="114"/>
      <c r="T87" s="114"/>
      <c r="U87" s="63"/>
      <c r="V87" s="114"/>
      <c r="W87" s="63"/>
      <c r="X87" s="845">
        <v>10</v>
      </c>
      <c r="Y87" s="708"/>
      <c r="Z87" s="63"/>
      <c r="AA87" s="63"/>
      <c r="AB87" s="114"/>
      <c r="AC87" s="63"/>
      <c r="AD87" s="114"/>
      <c r="AE87" s="63"/>
      <c r="AF87" s="63"/>
      <c r="AG87" s="63"/>
      <c r="AH87" s="63">
        <v>1</v>
      </c>
      <c r="AI87" s="63">
        <v>25</v>
      </c>
      <c r="AJ87" s="63">
        <v>5</v>
      </c>
      <c r="AK87" s="63"/>
      <c r="AL87" s="63"/>
      <c r="AM87" s="63"/>
      <c r="AN87" s="63"/>
      <c r="AO87" s="63"/>
    </row>
    <row r="88" spans="1:41" s="58" customFormat="1">
      <c r="A88" s="85" t="str">
        <f>IFERROR(VLOOKUP(Table4[[#This Row],[Player No]],Table10[[#All],[No]:[Age Group]],4,0),"")</f>
        <v>U19</v>
      </c>
      <c r="B88" s="87">
        <v>75</v>
      </c>
      <c r="C88" s="88">
        <f t="shared" si="5"/>
        <v>-9</v>
      </c>
      <c r="D88" s="61">
        <f t="shared" si="8"/>
        <v>84</v>
      </c>
      <c r="E88" s="63">
        <v>3838</v>
      </c>
      <c r="F88" s="64" t="str">
        <f>IFERROR(VLOOKUP(Table4[[#This Row],[Player No]],Table10[[No]:[Province]],2,0),"")</f>
        <v>PAN Enjun</v>
      </c>
      <c r="G88" s="65" t="str">
        <f>IFERROR(VLOOKUP(Table4[[#This Row],[Player No]],Table10[[No]:[Province]],3,0),"")</f>
        <v>JTTA</v>
      </c>
      <c r="H88" s="66">
        <v>8</v>
      </c>
      <c r="I88" s="96">
        <v>25</v>
      </c>
      <c r="J88" s="124">
        <f>(Table4[[#This Row],[Points 2025]]/2)+SUM(Table4[[#This Row],[O1  ADMIN 2026]:[P2         WC    Open 2026]])</f>
        <v>12.5</v>
      </c>
      <c r="K88" s="106">
        <f t="shared" si="6"/>
        <v>0</v>
      </c>
      <c r="L88" s="106">
        <f t="shared" si="7"/>
        <v>0</v>
      </c>
      <c r="M88" s="106" t="s">
        <v>6083</v>
      </c>
      <c r="N88" s="114" t="s">
        <v>6083</v>
      </c>
      <c r="O88" s="114" t="s">
        <v>6083</v>
      </c>
      <c r="P88" s="114"/>
      <c r="Q88" s="63"/>
      <c r="R88" s="63"/>
      <c r="S88" s="114"/>
      <c r="T88" s="114"/>
      <c r="U88" s="63"/>
      <c r="V88" s="114"/>
      <c r="W88" s="63"/>
      <c r="X88" s="845">
        <v>10</v>
      </c>
      <c r="Y88" s="708"/>
      <c r="Z88" s="63"/>
      <c r="AA88" s="63">
        <v>10</v>
      </c>
      <c r="AB88" s="114"/>
      <c r="AC88" s="63">
        <v>1</v>
      </c>
      <c r="AD88" s="114"/>
      <c r="AE88" s="63"/>
      <c r="AF88" s="63"/>
      <c r="AG88" s="63"/>
      <c r="AH88" s="63"/>
      <c r="AI88" s="63"/>
      <c r="AJ88" s="63">
        <v>5</v>
      </c>
      <c r="AK88" s="63">
        <v>1</v>
      </c>
      <c r="AL88" s="63"/>
      <c r="AM88" s="63"/>
      <c r="AN88" s="63">
        <v>1</v>
      </c>
      <c r="AO88" s="63">
        <v>1</v>
      </c>
    </row>
    <row r="89" spans="1:41" s="58" customFormat="1">
      <c r="A89" s="85" t="str">
        <f>IFERROR(VLOOKUP(Table4[[#This Row],[Player No]],Table10[[#All],[No]:[Age Group]],4,0),"")</f>
        <v>U19</v>
      </c>
      <c r="B89" s="88"/>
      <c r="C89" s="88">
        <f t="shared" si="5"/>
        <v>-85</v>
      </c>
      <c r="D89" s="61">
        <f t="shared" si="8"/>
        <v>85</v>
      </c>
      <c r="E89" s="63">
        <v>3995</v>
      </c>
      <c r="F89" s="64" t="str">
        <f>IFERROR(VLOOKUP(Table4[[#This Row],[Player No]],Table10[[No]:[Province]],2,0),"")</f>
        <v xml:space="preserve">LETJOU Temoso Brenden </v>
      </c>
      <c r="G89" s="65" t="str">
        <f>IFERROR(VLOOKUP(Table4[[#This Row],[Player No]],Table10[[No]:[Province]],3,0),"")</f>
        <v>LIM</v>
      </c>
      <c r="H89" s="66">
        <v>0</v>
      </c>
      <c r="I89" s="96">
        <v>25</v>
      </c>
      <c r="J89" s="124">
        <f>(Table4[[#This Row],[Points 2025]]/2)+SUM(Table4[[#This Row],[O1  ADMIN 2026]:[P2         WC    Open 2026]])</f>
        <v>12.5</v>
      </c>
      <c r="K89" s="106">
        <f t="shared" si="6"/>
        <v>0</v>
      </c>
      <c r="L89" s="106">
        <f t="shared" si="7"/>
        <v>0</v>
      </c>
      <c r="M89" s="106" t="s">
        <v>6083</v>
      </c>
      <c r="N89" s="114" t="s">
        <v>6083</v>
      </c>
      <c r="O89" s="114" t="s">
        <v>6083</v>
      </c>
      <c r="P89" s="114"/>
      <c r="Q89" s="63"/>
      <c r="R89" s="63"/>
      <c r="S89" s="114"/>
      <c r="T89" s="114"/>
      <c r="U89" s="63"/>
      <c r="V89" s="114"/>
      <c r="W89" s="63"/>
      <c r="X89" s="847">
        <v>25</v>
      </c>
      <c r="Y89" s="737"/>
      <c r="Z89" s="63"/>
      <c r="AA89" s="63"/>
      <c r="AB89" s="114"/>
      <c r="AC89" s="63"/>
      <c r="AD89" s="114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</row>
    <row r="90" spans="1:41" s="58" customFormat="1">
      <c r="A90" s="85">
        <f>IFERROR(VLOOKUP(Table4[[#This Row],[Player No]],Table10[[#All],[No]:[Age Group]],4,0),"")</f>
        <v>0</v>
      </c>
      <c r="B90" s="87">
        <v>210</v>
      </c>
      <c r="C90" s="88">
        <f t="shared" si="5"/>
        <v>124</v>
      </c>
      <c r="D90" s="61">
        <f t="shared" si="8"/>
        <v>86</v>
      </c>
      <c r="E90" s="63">
        <v>4097</v>
      </c>
      <c r="F90" s="64" t="str">
        <f>IFERROR(VLOOKUP(Table4[[#This Row],[Player No]],Table10[[No]:[Province]],2,0),"")</f>
        <v>Lethukuthula MTHABISA</v>
      </c>
      <c r="G90" s="65" t="str">
        <f>IFERROR(VLOOKUP(Table4[[#This Row],[Player No]],Table10[[No]:[Province]],3,0),"")</f>
        <v>EC</v>
      </c>
      <c r="H90" s="66">
        <v>50</v>
      </c>
      <c r="I90" s="96">
        <v>25</v>
      </c>
      <c r="J90" s="124">
        <f>(Table4[[#This Row],[Points 2025]]/2)+SUM(Table4[[#This Row],[O1  ADMIN 2026]:[P2         WC    Open 2026]])</f>
        <v>12.5</v>
      </c>
      <c r="K90" s="106">
        <f t="shared" si="6"/>
        <v>0</v>
      </c>
      <c r="L90" s="106">
        <f t="shared" si="7"/>
        <v>0</v>
      </c>
      <c r="M90" s="106" t="s">
        <v>6083</v>
      </c>
      <c r="N90" s="114" t="s">
        <v>6083</v>
      </c>
      <c r="O90" s="114" t="s">
        <v>6083</v>
      </c>
      <c r="P90" s="114"/>
      <c r="Q90" s="63"/>
      <c r="R90" s="63"/>
      <c r="S90" s="114"/>
      <c r="T90" s="114"/>
      <c r="U90" s="63"/>
      <c r="V90" s="114"/>
      <c r="W90" s="63"/>
      <c r="X90" s="845"/>
      <c r="Y90" s="708"/>
      <c r="Z90" s="63"/>
      <c r="AA90" s="63"/>
      <c r="AB90" s="114"/>
      <c r="AC90" s="63"/>
      <c r="AD90" s="114"/>
      <c r="AE90" s="63"/>
      <c r="AF90" s="63"/>
      <c r="AG90" s="63"/>
      <c r="AH90" s="63"/>
      <c r="AI90" s="63"/>
      <c r="AJ90" s="63">
        <v>50</v>
      </c>
      <c r="AK90" s="63"/>
      <c r="AL90" s="63"/>
      <c r="AM90" s="63"/>
      <c r="AN90" s="63"/>
      <c r="AO90" s="63"/>
    </row>
    <row r="91" spans="1:41" s="58" customFormat="1">
      <c r="A91" s="85">
        <f>IFERROR(VLOOKUP(Table4[[#This Row],[Player No]],Table10[[#All],[No]:[Age Group]],4,0),"")</f>
        <v>0</v>
      </c>
      <c r="B91" s="87">
        <v>147</v>
      </c>
      <c r="C91" s="88">
        <f t="shared" si="5"/>
        <v>60</v>
      </c>
      <c r="D91" s="61">
        <f t="shared" si="8"/>
        <v>87</v>
      </c>
      <c r="E91" s="63">
        <v>4326</v>
      </c>
      <c r="F91" s="64" t="str">
        <f>IFERROR(VLOOKUP(Table4[[#This Row],[Player No]],Table10[[No]:[Province]],2,0),"")</f>
        <v>ZULU Awande</v>
      </c>
      <c r="G91" s="65" t="str">
        <f>IFERROR(VLOOKUP(Table4[[#This Row],[Player No]],Table10[[No]:[Province]],3,0),"")</f>
        <v>JTTA</v>
      </c>
      <c r="H91" s="66">
        <v>0</v>
      </c>
      <c r="I91" s="96">
        <v>25</v>
      </c>
      <c r="J91" s="124">
        <f>(Table4[[#This Row],[Points 2025]]/2)+SUM(Table4[[#This Row],[O1  ADMIN 2026]:[P2         WC    Open 2026]])</f>
        <v>12.5</v>
      </c>
      <c r="K91" s="106">
        <f t="shared" si="6"/>
        <v>0</v>
      </c>
      <c r="L91" s="106">
        <f t="shared" si="7"/>
        <v>0</v>
      </c>
      <c r="M91" s="106" t="s">
        <v>6083</v>
      </c>
      <c r="N91" s="114" t="s">
        <v>6083</v>
      </c>
      <c r="O91" s="114" t="s">
        <v>6083</v>
      </c>
      <c r="P91" s="114"/>
      <c r="Q91" s="63"/>
      <c r="R91" s="63"/>
      <c r="S91" s="114"/>
      <c r="T91" s="114"/>
      <c r="U91" s="63"/>
      <c r="V91" s="114"/>
      <c r="W91" s="63"/>
      <c r="X91" s="845">
        <v>5</v>
      </c>
      <c r="Y91" s="708"/>
      <c r="Z91" s="63"/>
      <c r="AA91" s="63">
        <v>15</v>
      </c>
      <c r="AB91" s="114"/>
      <c r="AC91" s="63">
        <v>5</v>
      </c>
      <c r="AD91" s="114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</row>
    <row r="92" spans="1:41" s="58" customFormat="1">
      <c r="A92" s="85">
        <f>IFERROR(VLOOKUP(Table4[[#This Row],[Player No]],Table10[[#All],[No]:[Age Group]],4,0),"")</f>
        <v>0</v>
      </c>
      <c r="B92" s="87">
        <v>31</v>
      </c>
      <c r="C92" s="285">
        <f t="shared" si="5"/>
        <v>-57</v>
      </c>
      <c r="D92" s="61">
        <f t="shared" si="8"/>
        <v>88</v>
      </c>
      <c r="E92" s="169">
        <v>4410</v>
      </c>
      <c r="F92" s="64" t="str">
        <f>IFERROR(VLOOKUP(Table4[[#This Row],[Player No]],Table10[[No]:[Province]],2,0),"")</f>
        <v>MNTAMBO Lunga</v>
      </c>
      <c r="G92" s="65" t="str">
        <f>IFERROR(VLOOKUP(Table4[[#This Row],[Player No]],Table10[[No]:[Province]],3,0),"")</f>
        <v>NED</v>
      </c>
      <c r="H92" s="170">
        <v>0</v>
      </c>
      <c r="I92" s="96">
        <v>25</v>
      </c>
      <c r="J92" s="124">
        <f>(Table4[[#This Row],[Points 2025]]/2)+SUM(Table4[[#This Row],[O1  ADMIN 2026]:[P2         WC    Open 2026]])</f>
        <v>12.5</v>
      </c>
      <c r="K92" s="106">
        <f t="shared" si="6"/>
        <v>0</v>
      </c>
      <c r="L92" s="106">
        <f t="shared" si="7"/>
        <v>0</v>
      </c>
      <c r="M92" s="106" t="s">
        <v>6083</v>
      </c>
      <c r="N92" s="114" t="s">
        <v>6083</v>
      </c>
      <c r="O92" s="114" t="s">
        <v>6083</v>
      </c>
      <c r="P92" s="114"/>
      <c r="Q92" s="169"/>
      <c r="R92" s="169"/>
      <c r="S92" s="318"/>
      <c r="T92" s="318"/>
      <c r="U92" s="169"/>
      <c r="V92" s="318"/>
      <c r="W92" s="169"/>
      <c r="X92" s="846"/>
      <c r="Y92" s="713"/>
      <c r="Z92" s="169"/>
      <c r="AA92" s="169"/>
      <c r="AB92" s="318"/>
      <c r="AC92" s="169">
        <v>25</v>
      </c>
      <c r="AD92" s="318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</row>
    <row r="93" spans="1:41" s="58" customFormat="1">
      <c r="A93" s="85">
        <f>IFERROR(VLOOKUP(Table4[[#This Row],[Player No]],Table10[[#All],[No]:[Age Group]],4,0),"")</f>
        <v>0</v>
      </c>
      <c r="B93" s="88"/>
      <c r="C93" s="88">
        <f t="shared" si="5"/>
        <v>-89</v>
      </c>
      <c r="D93" s="61">
        <f t="shared" si="8"/>
        <v>89</v>
      </c>
      <c r="E93" s="63">
        <v>4646</v>
      </c>
      <c r="F93" s="64" t="str">
        <f>IFERROR(VLOOKUP(Table4[[#This Row],[Player No]],Table10[[No]:[Province]],2,0),"")</f>
        <v xml:space="preserve">ISMAIL Abdul Qadir </v>
      </c>
      <c r="G93" s="65" t="str">
        <f>IFERROR(VLOOKUP(Table4[[#This Row],[Player No]],Table10[[No]:[Province]],3,0),"")</f>
        <v>CT</v>
      </c>
      <c r="H93" s="66">
        <v>0</v>
      </c>
      <c r="I93" s="96">
        <v>24.25</v>
      </c>
      <c r="J93" s="124">
        <f>(Table4[[#This Row],[Points 2025]]/2)+SUM(Table4[[#This Row],[O1  ADMIN 2026]:[P2         WC    Open 2026]])</f>
        <v>12.125</v>
      </c>
      <c r="K93" s="106">
        <f t="shared" si="6"/>
        <v>0</v>
      </c>
      <c r="L93" s="106">
        <f t="shared" si="7"/>
        <v>0</v>
      </c>
      <c r="M93" s="106" t="s">
        <v>6083</v>
      </c>
      <c r="N93" s="114" t="s">
        <v>6083</v>
      </c>
      <c r="O93" s="114" t="s">
        <v>6083</v>
      </c>
      <c r="P93" s="114"/>
      <c r="Q93" s="63"/>
      <c r="R93" s="63"/>
      <c r="S93" s="114"/>
      <c r="T93" s="114"/>
      <c r="U93" s="63"/>
      <c r="V93" s="114"/>
      <c r="W93" s="63"/>
      <c r="X93" s="845"/>
      <c r="Y93" s="708"/>
      <c r="Z93" s="63"/>
      <c r="AA93" s="63"/>
      <c r="AB93" s="114"/>
      <c r="AC93" s="63"/>
      <c r="AD93" s="114"/>
      <c r="AE93" s="63">
        <v>25</v>
      </c>
      <c r="AF93" s="63"/>
      <c r="AG93" s="63"/>
      <c r="AH93" s="63"/>
      <c r="AI93" s="63"/>
      <c r="AJ93" s="63"/>
      <c r="AK93" s="63"/>
      <c r="AL93" s="63"/>
      <c r="AM93" s="63"/>
      <c r="AN93" s="63"/>
      <c r="AO93" s="63"/>
    </row>
    <row r="94" spans="1:41" s="58" customFormat="1">
      <c r="A94" s="85" t="str">
        <f>IFERROR(VLOOKUP(Table4[[#This Row],[Player No]],Table10[[#All],[No]:[Age Group]],4,0),"")</f>
        <v>U19</v>
      </c>
      <c r="B94" s="87">
        <v>35</v>
      </c>
      <c r="C94" s="88">
        <f t="shared" si="5"/>
        <v>-55</v>
      </c>
      <c r="D94" s="61">
        <f t="shared" si="8"/>
        <v>90</v>
      </c>
      <c r="E94" s="63">
        <v>3302</v>
      </c>
      <c r="F94" s="64" t="str">
        <f>IFERROR(VLOOKUP(Table4[[#This Row],[Player No]],Table10[[No]:[Province]],2,0),"")</f>
        <v>BUCHLING Eddy</v>
      </c>
      <c r="G94" s="65" t="str">
        <f>IFERROR(VLOOKUP(Table4[[#This Row],[Player No]],Table10[[No]:[Province]],3,0),"")</f>
        <v>JTTA</v>
      </c>
      <c r="H94" s="66">
        <v>36.5</v>
      </c>
      <c r="I94" s="96">
        <v>24.25</v>
      </c>
      <c r="J94" s="124">
        <f>(Table4[[#This Row],[Points 2025]]/2)+SUM(Table4[[#This Row],[O1  ADMIN 2026]:[P2         WC    Open 2026]])</f>
        <v>12.125</v>
      </c>
      <c r="K94" s="106">
        <f t="shared" si="6"/>
        <v>0</v>
      </c>
      <c r="L94" s="106">
        <f t="shared" si="7"/>
        <v>0</v>
      </c>
      <c r="M94" s="106" t="s">
        <v>6083</v>
      </c>
      <c r="N94" s="114" t="s">
        <v>6083</v>
      </c>
      <c r="O94" s="114" t="s">
        <v>6083</v>
      </c>
      <c r="P94" s="114"/>
      <c r="Q94" s="63"/>
      <c r="R94" s="63"/>
      <c r="S94" s="114"/>
      <c r="T94" s="114"/>
      <c r="U94" s="63"/>
      <c r="V94" s="114"/>
      <c r="W94" s="63"/>
      <c r="X94" s="845"/>
      <c r="Y94" s="708"/>
      <c r="Z94" s="63"/>
      <c r="AA94" s="63">
        <v>1</v>
      </c>
      <c r="AB94" s="114"/>
      <c r="AC94" s="63">
        <v>5</v>
      </c>
      <c r="AD94" s="114"/>
      <c r="AE94" s="63"/>
      <c r="AF94" s="63"/>
      <c r="AG94" s="63"/>
      <c r="AH94" s="63"/>
      <c r="AI94" s="63"/>
      <c r="AJ94" s="63">
        <v>5</v>
      </c>
      <c r="AK94" s="63">
        <v>1</v>
      </c>
      <c r="AL94" s="63"/>
      <c r="AM94" s="63">
        <v>2</v>
      </c>
      <c r="AN94" s="63">
        <v>1</v>
      </c>
      <c r="AO94" s="63">
        <v>15</v>
      </c>
    </row>
    <row r="95" spans="1:41" s="58" customFormat="1">
      <c r="A95" s="85">
        <f>IFERROR(VLOOKUP(Table4[[#This Row],[Player No]],Table10[[#All],[No]:[Age Group]],4,0),"")</f>
        <v>0</v>
      </c>
      <c r="B95" s="88"/>
      <c r="C95" s="88">
        <f t="shared" si="5"/>
        <v>-91</v>
      </c>
      <c r="D95" s="61">
        <f t="shared" si="8"/>
        <v>91</v>
      </c>
      <c r="E95" s="63">
        <v>3844</v>
      </c>
      <c r="F95" s="64" t="str">
        <f>IFERROR(VLOOKUP(Table4[[#This Row],[Player No]],Table10[[No]:[Province]],2,0),"")</f>
        <v>PILLAY Keval</v>
      </c>
      <c r="G95" s="65" t="str">
        <f>IFERROR(VLOOKUP(Table4[[#This Row],[Player No]],Table10[[No]:[Province]],3,0),"")</f>
        <v>UMG</v>
      </c>
      <c r="H95" s="66"/>
      <c r="I95" s="96">
        <v>0</v>
      </c>
      <c r="J95" s="124">
        <f>(Table4[[#This Row],[Points 2025]]/2)+SUM(Table4[[#This Row],[O1  ADMIN 2026]:[P2         WC    Open 2026]])</f>
        <v>11</v>
      </c>
      <c r="K95" s="106">
        <f t="shared" si="6"/>
        <v>2</v>
      </c>
      <c r="L95" s="106">
        <f t="shared" si="7"/>
        <v>0</v>
      </c>
      <c r="M95" s="106" t="s">
        <v>6083</v>
      </c>
      <c r="N95" s="114">
        <v>1</v>
      </c>
      <c r="O95" s="114">
        <v>10</v>
      </c>
      <c r="P95" s="114"/>
      <c r="Q95" s="63"/>
      <c r="R95" s="63"/>
      <c r="S95" s="114"/>
      <c r="T95" s="114"/>
      <c r="U95" s="63"/>
      <c r="V95" s="114"/>
      <c r="W95" s="63"/>
      <c r="X95" s="845"/>
      <c r="Y95" s="708"/>
      <c r="Z95" s="63"/>
      <c r="AA95" s="63"/>
      <c r="AB95" s="114"/>
      <c r="AC95" s="63"/>
      <c r="AD95" s="114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</row>
    <row r="96" spans="1:41" s="58" customFormat="1">
      <c r="A96" s="85">
        <f>IFERROR(VLOOKUP(Table4[[#This Row],[Player No]],Table10[[#All],[No]:[Age Group]],4,0),"")</f>
        <v>0</v>
      </c>
      <c r="B96" s="87">
        <v>160</v>
      </c>
      <c r="C96" s="88">
        <f t="shared" si="5"/>
        <v>68</v>
      </c>
      <c r="D96" s="61">
        <f t="shared" si="8"/>
        <v>92</v>
      </c>
      <c r="E96" s="63">
        <v>3827</v>
      </c>
      <c r="F96" s="64" t="str">
        <f>IFERROR(VLOOKUP(Table4[[#This Row],[Player No]],Table10[[No]:[Province]],2,0),"")</f>
        <v>MC LEOD Leonard</v>
      </c>
      <c r="G96" s="65" t="str">
        <f>IFERROR(VLOOKUP(Table4[[#This Row],[Player No]],Table10[[No]:[Province]],3,0),"")</f>
        <v>GN</v>
      </c>
      <c r="H96" s="66">
        <v>1</v>
      </c>
      <c r="I96" s="96">
        <v>1.5</v>
      </c>
      <c r="J96" s="124">
        <f>(Table4[[#This Row],[Points 2025]]/2)+SUM(Table4[[#This Row],[O1  ADMIN 2026]:[P2         WC    Open 2026]])</f>
        <v>10.75</v>
      </c>
      <c r="K96" s="106">
        <f t="shared" si="6"/>
        <v>1</v>
      </c>
      <c r="L96" s="106">
        <f t="shared" si="7"/>
        <v>0</v>
      </c>
      <c r="M96" s="106">
        <v>10</v>
      </c>
      <c r="N96" s="114" t="s">
        <v>6083</v>
      </c>
      <c r="O96" s="114" t="s">
        <v>6083</v>
      </c>
      <c r="P96" s="114"/>
      <c r="Q96" s="63"/>
      <c r="R96" s="63"/>
      <c r="S96" s="114"/>
      <c r="T96" s="114"/>
      <c r="U96" s="63"/>
      <c r="V96" s="114"/>
      <c r="W96" s="63"/>
      <c r="X96" s="845"/>
      <c r="Y96" s="708"/>
      <c r="Z96" s="63"/>
      <c r="AA96" s="63"/>
      <c r="AB96" s="114">
        <v>1</v>
      </c>
      <c r="AC96" s="63"/>
      <c r="AD96" s="114"/>
      <c r="AE96" s="63"/>
      <c r="AF96" s="63"/>
      <c r="AG96" s="63"/>
      <c r="AH96" s="63"/>
      <c r="AI96" s="63"/>
      <c r="AJ96" s="63"/>
      <c r="AK96" s="63"/>
      <c r="AL96" s="63"/>
      <c r="AM96" s="63"/>
      <c r="AN96" s="63">
        <v>1</v>
      </c>
      <c r="AO96" s="63"/>
    </row>
    <row r="97" spans="1:41" s="58" customFormat="1">
      <c r="A97" s="85">
        <f>IFERROR(VLOOKUP(Table4[[#This Row],[Player No]],Table10[[#All],[No]:[Age Group]],4,0),"")</f>
        <v>0</v>
      </c>
      <c r="B97" s="88"/>
      <c r="C97" s="88">
        <f t="shared" si="5"/>
        <v>-93</v>
      </c>
      <c r="D97" s="61">
        <f t="shared" si="8"/>
        <v>93</v>
      </c>
      <c r="E97" s="63">
        <v>4496</v>
      </c>
      <c r="F97" s="64" t="str">
        <f>IFERROR(VLOOKUP(Table4[[#This Row],[Player No]],Table10[[No]:[Province]],2,0),"")</f>
        <v>Franco VAN STADEN</v>
      </c>
      <c r="G97" s="65" t="str">
        <f>IFERROR(VLOOKUP(Table4[[#This Row],[Player No]],Table10[[No]:[Province]],3,0),"")</f>
        <v>GN</v>
      </c>
      <c r="H97" s="66">
        <v>0</v>
      </c>
      <c r="I97" s="96">
        <v>1</v>
      </c>
      <c r="J97" s="124">
        <f>(Table4[[#This Row],[Points 2025]]/2)+SUM(Table4[[#This Row],[O1  ADMIN 2026]:[P2         WC    Open 2026]])</f>
        <v>10.5</v>
      </c>
      <c r="K97" s="106">
        <f t="shared" si="6"/>
        <v>1</v>
      </c>
      <c r="L97" s="106">
        <f t="shared" si="7"/>
        <v>0</v>
      </c>
      <c r="M97" s="106">
        <v>10</v>
      </c>
      <c r="N97" s="114" t="s">
        <v>6083</v>
      </c>
      <c r="O97" s="114" t="s">
        <v>6083</v>
      </c>
      <c r="P97" s="114"/>
      <c r="Q97" s="63"/>
      <c r="R97" s="63"/>
      <c r="S97" s="114"/>
      <c r="T97" s="114"/>
      <c r="U97" s="63"/>
      <c r="V97" s="114"/>
      <c r="W97" s="63"/>
      <c r="X97" s="845"/>
      <c r="Y97" s="708"/>
      <c r="Z97" s="63"/>
      <c r="AA97" s="63"/>
      <c r="AB97" s="114">
        <v>1</v>
      </c>
      <c r="AC97" s="63"/>
      <c r="AD97" s="114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</row>
    <row r="98" spans="1:41" s="58" customFormat="1">
      <c r="A98" s="85" t="str">
        <f>IFERROR(VLOOKUP(Table4[[#This Row],[Player No]],Table10[[#All],[No]:[Age Group]],4,0),"")</f>
        <v>U15</v>
      </c>
      <c r="B98" s="87">
        <v>154</v>
      </c>
      <c r="C98" s="88">
        <f t="shared" si="5"/>
        <v>60</v>
      </c>
      <c r="D98" s="61">
        <f t="shared" si="8"/>
        <v>94</v>
      </c>
      <c r="E98" s="63">
        <v>3781</v>
      </c>
      <c r="F98" s="64" t="str">
        <f>IFERROR(VLOOKUP(Table4[[#This Row],[Player No]],Table10[[No]:[Province]],2,0),"")</f>
        <v>NAGARDAS Diyaan</v>
      </c>
      <c r="G98" s="65" t="str">
        <f>IFERROR(VLOOKUP(Table4[[#This Row],[Player No]],Table10[[No]:[Province]],3,0),"")</f>
        <v>JTTA</v>
      </c>
      <c r="H98" s="66">
        <v>1</v>
      </c>
      <c r="I98" s="96">
        <v>0.5</v>
      </c>
      <c r="J98" s="124">
        <f>(Table4[[#This Row],[Points 2025]]/2)+SUM(Table4[[#This Row],[O1  ADMIN 2026]:[P2         WC    Open 2026]])</f>
        <v>10.25</v>
      </c>
      <c r="K98" s="106">
        <f t="shared" si="6"/>
        <v>1</v>
      </c>
      <c r="L98" s="106">
        <f t="shared" si="7"/>
        <v>0</v>
      </c>
      <c r="M98" s="106">
        <v>10</v>
      </c>
      <c r="N98" s="114" t="s">
        <v>6083</v>
      </c>
      <c r="O98" s="114" t="s">
        <v>6083</v>
      </c>
      <c r="P98" s="114"/>
      <c r="Q98" s="63"/>
      <c r="R98" s="63"/>
      <c r="S98" s="114"/>
      <c r="T98" s="114"/>
      <c r="U98" s="63"/>
      <c r="V98" s="114"/>
      <c r="W98" s="63"/>
      <c r="X98" s="845"/>
      <c r="Y98" s="708"/>
      <c r="Z98" s="63"/>
      <c r="AA98" s="63"/>
      <c r="AB98" s="114"/>
      <c r="AC98" s="63"/>
      <c r="AD98" s="114"/>
      <c r="AE98" s="63"/>
      <c r="AF98" s="63"/>
      <c r="AG98" s="63"/>
      <c r="AH98" s="63"/>
      <c r="AI98" s="63"/>
      <c r="AJ98" s="63"/>
      <c r="AK98" s="63">
        <v>1</v>
      </c>
      <c r="AL98" s="63"/>
      <c r="AM98" s="63"/>
      <c r="AN98" s="63"/>
      <c r="AO98" s="63"/>
    </row>
    <row r="99" spans="1:41" s="58" customFormat="1">
      <c r="A99" s="85">
        <f>IFERROR(VLOOKUP(Table4[[#This Row],[Player No]],Table10[[#All],[No]:[Age Group]],4,0),"")</f>
        <v>0</v>
      </c>
      <c r="B99" s="87"/>
      <c r="C99" s="88">
        <f t="shared" si="5"/>
        <v>-95</v>
      </c>
      <c r="D99" s="61">
        <f t="shared" si="8"/>
        <v>95</v>
      </c>
      <c r="E99" s="63">
        <v>4083</v>
      </c>
      <c r="F99" s="64" t="str">
        <f>IFERROR(VLOOKUP(Table4[[#This Row],[Player No]],Table10[[No]:[Province]],2,0),"")</f>
        <v>Dharmil Jeram Nathoo</v>
      </c>
      <c r="G99" s="65" t="str">
        <f>IFERROR(VLOOKUP(Table4[[#This Row],[Player No]],Table10[[No]:[Province]],3,0),"")</f>
        <v>JTTA</v>
      </c>
      <c r="H99" s="66">
        <v>1</v>
      </c>
      <c r="I99" s="96">
        <v>0.5</v>
      </c>
      <c r="J99" s="124">
        <f>(Table4[[#This Row],[Points 2025]]/2)+SUM(Table4[[#This Row],[O1  ADMIN 2026]:[P2         WC    Open 2026]])</f>
        <v>10.25</v>
      </c>
      <c r="K99" s="106">
        <f t="shared" si="6"/>
        <v>1</v>
      </c>
      <c r="L99" s="106">
        <f t="shared" si="7"/>
        <v>0</v>
      </c>
      <c r="M99" s="106">
        <v>10</v>
      </c>
      <c r="N99" s="114" t="s">
        <v>6083</v>
      </c>
      <c r="O99" s="114" t="s">
        <v>6083</v>
      </c>
      <c r="P99" s="114"/>
      <c r="Q99" s="63"/>
      <c r="R99" s="63"/>
      <c r="S99" s="114"/>
      <c r="T99" s="114"/>
      <c r="U99" s="63"/>
      <c r="V99" s="114"/>
      <c r="W99" s="63"/>
      <c r="X99" s="845"/>
      <c r="Y99" s="708"/>
      <c r="Z99" s="63"/>
      <c r="AA99" s="63"/>
      <c r="AB99" s="114"/>
      <c r="AC99" s="63"/>
      <c r="AD99" s="114"/>
      <c r="AE99" s="63"/>
      <c r="AF99" s="63"/>
      <c r="AG99" s="63"/>
      <c r="AH99" s="63"/>
      <c r="AI99" s="63"/>
      <c r="AJ99" s="63"/>
      <c r="AK99" s="63"/>
      <c r="AL99" s="63">
        <v>1</v>
      </c>
      <c r="AM99" s="63"/>
      <c r="AN99" s="63"/>
      <c r="AO99" s="63"/>
    </row>
    <row r="100" spans="1:41" s="58" customFormat="1">
      <c r="A100" s="85">
        <f>IFERROR(VLOOKUP(Table4[[#This Row],[Player No]],Table10[[#All],[No]:[Age Group]],4,0),"")</f>
        <v>0</v>
      </c>
      <c r="B100" s="88"/>
      <c r="C100" s="88">
        <f t="shared" si="5"/>
        <v>-96</v>
      </c>
      <c r="D100" s="61">
        <f t="shared" si="8"/>
        <v>96</v>
      </c>
      <c r="E100" s="63">
        <v>3938</v>
      </c>
      <c r="F100" s="64" t="str">
        <f>IFERROR(VLOOKUP(Table4[[#This Row],[Player No]],Table10[[No]:[Province]],2,0),"")</f>
        <v>MUSUNGISI Marvin</v>
      </c>
      <c r="G100" s="65" t="str">
        <f>IFERROR(VLOOKUP(Table4[[#This Row],[Player No]],Table10[[No]:[Province]],3,0),"")</f>
        <v>CT</v>
      </c>
      <c r="H100" s="66">
        <v>0</v>
      </c>
      <c r="I100" s="96">
        <v>20.25</v>
      </c>
      <c r="J100" s="124">
        <f>(Table4[[#This Row],[Points 2025]]/2)+SUM(Table4[[#This Row],[O1  ADMIN 2026]:[P2         WC    Open 2026]])</f>
        <v>10.125</v>
      </c>
      <c r="K100" s="106">
        <f t="shared" si="6"/>
        <v>0</v>
      </c>
      <c r="L100" s="106">
        <f t="shared" si="7"/>
        <v>0</v>
      </c>
      <c r="M100" s="106" t="s">
        <v>6083</v>
      </c>
      <c r="N100" s="114" t="s">
        <v>6083</v>
      </c>
      <c r="O100" s="114" t="s">
        <v>6083</v>
      </c>
      <c r="P100" s="114"/>
      <c r="Q100" s="63"/>
      <c r="R100" s="63"/>
      <c r="S100" s="114"/>
      <c r="T100" s="114"/>
      <c r="U100" s="63"/>
      <c r="V100" s="114"/>
      <c r="W100" s="63"/>
      <c r="X100" s="845"/>
      <c r="Y100" s="708"/>
      <c r="Z100" s="63"/>
      <c r="AA100" s="63"/>
      <c r="AB100" s="114"/>
      <c r="AC100" s="63"/>
      <c r="AD100" s="114">
        <v>7.5</v>
      </c>
      <c r="AE100" s="63">
        <v>15</v>
      </c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</row>
    <row r="101" spans="1:41" s="58" customFormat="1">
      <c r="A101" s="85" t="str">
        <f>IFERROR(VLOOKUP(Table4[[#This Row],[Player No]],Table10[[#All],[No]:[Age Group]],4,0),"")</f>
        <v>U19</v>
      </c>
      <c r="B101" s="87"/>
      <c r="C101" s="88">
        <f t="shared" ref="C101:C132" si="9">+B101-D101</f>
        <v>-97</v>
      </c>
      <c r="D101" s="61">
        <f t="shared" si="8"/>
        <v>97</v>
      </c>
      <c r="E101" s="63">
        <v>1755</v>
      </c>
      <c r="F101" s="64" t="str">
        <f>IFERROR(VLOOKUP(Table4[[#This Row],[Player No]],Table10[[No]:[Province]],2,0),"")</f>
        <v xml:space="preserve">NOMDO Jay </v>
      </c>
      <c r="G101" s="65" t="str">
        <f>IFERROR(VLOOKUP(Table4[[#This Row],[Player No]],Table10[[No]:[Province]],3,0),"")</f>
        <v>CT</v>
      </c>
      <c r="H101" s="66">
        <v>0.5</v>
      </c>
      <c r="I101" s="96">
        <v>20</v>
      </c>
      <c r="J101" s="124">
        <f>(Table4[[#This Row],[Points 2025]]/2)+SUM(Table4[[#This Row],[O1  ADMIN 2026]:[P2         WC    Open 2026]])</f>
        <v>10</v>
      </c>
      <c r="K101" s="106">
        <f t="shared" si="6"/>
        <v>0</v>
      </c>
      <c r="L101" s="106">
        <f t="shared" si="7"/>
        <v>0</v>
      </c>
      <c r="M101" s="106" t="s">
        <v>6083</v>
      </c>
      <c r="N101" s="114" t="s">
        <v>6083</v>
      </c>
      <c r="O101" s="114" t="s">
        <v>6083</v>
      </c>
      <c r="P101" s="114"/>
      <c r="Q101" s="63"/>
      <c r="R101" s="63"/>
      <c r="S101" s="114"/>
      <c r="T101" s="114"/>
      <c r="U101" s="63"/>
      <c r="V101" s="114"/>
      <c r="W101" s="63"/>
      <c r="X101" s="845"/>
      <c r="Y101" s="708"/>
      <c r="Z101" s="63"/>
      <c r="AA101" s="63"/>
      <c r="AB101" s="114"/>
      <c r="AC101" s="63"/>
      <c r="AD101" s="114">
        <v>5</v>
      </c>
      <c r="AE101" s="63">
        <v>15</v>
      </c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</row>
    <row r="102" spans="1:41" s="58" customFormat="1">
      <c r="A102" s="85">
        <f>IFERROR(VLOOKUP(Table4[[#This Row],[Player No]],Table10[[#All],[No]:[Age Group]],4,0),"")</f>
        <v>0</v>
      </c>
      <c r="B102" s="88"/>
      <c r="C102" s="88">
        <f t="shared" si="9"/>
        <v>-98</v>
      </c>
      <c r="D102" s="61">
        <f t="shared" si="8"/>
        <v>98</v>
      </c>
      <c r="E102" s="63">
        <v>4813</v>
      </c>
      <c r="F102" s="64" t="str">
        <f>IFERROR(VLOOKUP(Table4[[#This Row],[Player No]],Table10[[No]:[Province]],2,0),"")</f>
        <v>SWANEPOEL Keanen</v>
      </c>
      <c r="G102" s="65" t="str">
        <f>IFERROR(VLOOKUP(Table4[[#This Row],[Player No]],Table10[[No]:[Province]],3,0),"")</f>
        <v>GN</v>
      </c>
      <c r="H102" s="66"/>
      <c r="I102" s="96">
        <v>0</v>
      </c>
      <c r="J102" s="124">
        <f>(Table4[[#This Row],[Points 2025]]/2)+SUM(Table4[[#This Row],[O1  ADMIN 2026]:[P2         WC    Open 2026]])</f>
        <v>10</v>
      </c>
      <c r="K102" s="106">
        <f t="shared" si="6"/>
        <v>1</v>
      </c>
      <c r="L102" s="106">
        <f t="shared" si="7"/>
        <v>0</v>
      </c>
      <c r="M102" s="106">
        <v>10</v>
      </c>
      <c r="N102" s="114" t="s">
        <v>6083</v>
      </c>
      <c r="O102" s="114" t="str">
        <f>IFERROR(VALUE(IF(Table4[[#This Row],[Player No]]="","",IFERROR(VLOOKUP(Table4[[#This Row],[Player No]],'[2]U19 Boys'!$Z$14:$AB$63,2,FALSE)&amp;"",""))),"")</f>
        <v/>
      </c>
      <c r="P102" s="114"/>
      <c r="Q102" s="63"/>
      <c r="R102" s="63"/>
      <c r="S102" s="114"/>
      <c r="T102" s="114"/>
      <c r="U102" s="63"/>
      <c r="V102" s="114"/>
      <c r="W102" s="63"/>
      <c r="X102" s="845"/>
      <c r="Y102" s="708"/>
      <c r="Z102" s="63"/>
      <c r="AA102" s="63"/>
      <c r="AB102" s="114"/>
      <c r="AC102" s="63"/>
      <c r="AD102" s="114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</row>
    <row r="103" spans="1:41" s="58" customFormat="1">
      <c r="A103" s="85">
        <f>IFERROR(VLOOKUP(Table4[[#This Row],[Player No]],Table10[[#All],[No]:[Age Group]],4,0),"")</f>
        <v>0</v>
      </c>
      <c r="B103" s="87">
        <v>210</v>
      </c>
      <c r="C103" s="88">
        <f t="shared" si="9"/>
        <v>111</v>
      </c>
      <c r="D103" s="61">
        <f t="shared" si="8"/>
        <v>99</v>
      </c>
      <c r="E103" s="63">
        <v>4033</v>
      </c>
      <c r="F103" s="64" t="str">
        <f>IFERROR(VLOOKUP(Table4[[#This Row],[Player No]],Table10[[No]:[Province]],2,0),"")</f>
        <v>FREDERICKS Filippus</v>
      </c>
      <c r="G103" s="65" t="str">
        <f>IFERROR(VLOOKUP(Table4[[#This Row],[Player No]],Table10[[No]:[Province]],3,0),"")</f>
        <v>CT</v>
      </c>
      <c r="H103" s="66">
        <v>40</v>
      </c>
      <c r="I103" s="96">
        <v>19.75</v>
      </c>
      <c r="J103" s="124">
        <f>(Table4[[#This Row],[Points 2025]]/2)+SUM(Table4[[#This Row],[O1  ADMIN 2026]:[P2         WC    Open 2026]])</f>
        <v>9.875</v>
      </c>
      <c r="K103" s="106">
        <f t="shared" si="6"/>
        <v>0</v>
      </c>
      <c r="L103" s="106">
        <f t="shared" si="7"/>
        <v>0</v>
      </c>
      <c r="M103" s="106" t="s">
        <v>6083</v>
      </c>
      <c r="N103" s="114" t="s">
        <v>6083</v>
      </c>
      <c r="O103" s="114" t="s">
        <v>6083</v>
      </c>
      <c r="P103" s="114"/>
      <c r="Q103" s="63"/>
      <c r="R103" s="63"/>
      <c r="S103" s="114"/>
      <c r="T103" s="114"/>
      <c r="U103" s="63"/>
      <c r="V103" s="114"/>
      <c r="W103" s="63"/>
      <c r="X103" s="845"/>
      <c r="Y103" s="708"/>
      <c r="Z103" s="63"/>
      <c r="AA103" s="63"/>
      <c r="AB103" s="114"/>
      <c r="AC103" s="63"/>
      <c r="AD103" s="114"/>
      <c r="AE103" s="63"/>
      <c r="AF103" s="63"/>
      <c r="AG103" s="63"/>
      <c r="AH103" s="63">
        <v>15</v>
      </c>
      <c r="AI103" s="63">
        <v>25</v>
      </c>
      <c r="AJ103" s="63"/>
      <c r="AK103" s="63"/>
      <c r="AL103" s="63"/>
      <c r="AM103" s="63"/>
      <c r="AN103" s="63"/>
      <c r="AO103" s="63"/>
    </row>
    <row r="104" spans="1:41" s="58" customFormat="1">
      <c r="A104" s="85">
        <f>IFERROR(VLOOKUP(Table4[[#This Row],[Player No]],Table10[[#All],[No]:[Age Group]],4,0),"")</f>
        <v>0</v>
      </c>
      <c r="B104" s="87"/>
      <c r="C104" s="88">
        <f t="shared" si="9"/>
        <v>-100</v>
      </c>
      <c r="D104" s="61">
        <f t="shared" si="8"/>
        <v>100</v>
      </c>
      <c r="E104" s="63">
        <v>3048</v>
      </c>
      <c r="F104" s="64" t="str">
        <f>IFERROR(VLOOKUP(Table4[[#This Row],[Player No]],Table10[[No]:[Province]],2,0),"")</f>
        <v>POGGENPOEL Christian</v>
      </c>
      <c r="G104" s="65" t="str">
        <f>IFERROR(VLOOKUP(Table4[[#This Row],[Player No]],Table10[[No]:[Province]],3,0),"")</f>
        <v>CT</v>
      </c>
      <c r="H104" s="66">
        <v>5.5</v>
      </c>
      <c r="I104" s="96">
        <v>17.5</v>
      </c>
      <c r="J104" s="124">
        <f>(Table4[[#This Row],[Points 2025]]/2)+SUM(Table4[[#This Row],[O1  ADMIN 2026]:[P2         WC    Open 2026]])</f>
        <v>8.75</v>
      </c>
      <c r="K104" s="106">
        <f t="shared" si="6"/>
        <v>0</v>
      </c>
      <c r="L104" s="106">
        <f t="shared" si="7"/>
        <v>0</v>
      </c>
      <c r="M104" s="106" t="s">
        <v>6083</v>
      </c>
      <c r="N104" s="114" t="s">
        <v>6083</v>
      </c>
      <c r="O104" s="114" t="s">
        <v>6083</v>
      </c>
      <c r="P104" s="114"/>
      <c r="Q104" s="63"/>
      <c r="R104" s="63"/>
      <c r="S104" s="114"/>
      <c r="T104" s="114"/>
      <c r="U104" s="63"/>
      <c r="V104" s="114"/>
      <c r="W104" s="63"/>
      <c r="X104" s="845">
        <v>10</v>
      </c>
      <c r="Y104" s="708"/>
      <c r="Z104" s="63"/>
      <c r="AA104" s="63"/>
      <c r="AB104" s="114"/>
      <c r="AC104" s="63"/>
      <c r="AD104" s="114">
        <v>5</v>
      </c>
      <c r="AE104" s="63">
        <v>2</v>
      </c>
      <c r="AF104" s="63"/>
      <c r="AG104" s="63"/>
      <c r="AH104" s="63">
        <v>5</v>
      </c>
      <c r="AI104" s="63"/>
      <c r="AJ104" s="63"/>
      <c r="AK104" s="63"/>
      <c r="AL104" s="63"/>
      <c r="AM104" s="63"/>
      <c r="AN104" s="63"/>
      <c r="AO104" s="63"/>
    </row>
    <row r="105" spans="1:41" s="58" customFormat="1">
      <c r="A105" s="85">
        <f>IFERROR(VLOOKUP(Table4[[#This Row],[Player No]],Table10[[#All],[No]:[Age Group]],4,0),"")</f>
        <v>0</v>
      </c>
      <c r="B105" s="87">
        <v>79</v>
      </c>
      <c r="C105" s="88">
        <f t="shared" si="9"/>
        <v>-22</v>
      </c>
      <c r="D105" s="61">
        <f t="shared" si="8"/>
        <v>101</v>
      </c>
      <c r="E105" s="63">
        <v>1385</v>
      </c>
      <c r="F105" s="64" t="str">
        <f>IFERROR(VLOOKUP(Table4[[#This Row],[Player No]],Table10[[No]:[Province]],2,0),"")</f>
        <v>PHUNGULA Themba</v>
      </c>
      <c r="G105" s="65" t="str">
        <f>IFERROR(VLOOKUP(Table4[[#This Row],[Player No]],Table10[[No]:[Province]],3,0),"")</f>
        <v>UMG</v>
      </c>
      <c r="H105" s="66">
        <v>35</v>
      </c>
      <c r="I105" s="96">
        <v>17</v>
      </c>
      <c r="J105" s="124">
        <f>(Table4[[#This Row],[Points 2025]]/2)+SUM(Table4[[#This Row],[O1  ADMIN 2026]:[P2         WC    Open 2026]])</f>
        <v>8.5</v>
      </c>
      <c r="K105" s="106">
        <f t="shared" si="6"/>
        <v>0</v>
      </c>
      <c r="L105" s="106">
        <f t="shared" si="7"/>
        <v>0</v>
      </c>
      <c r="M105" s="106" t="s">
        <v>6083</v>
      </c>
      <c r="N105" s="114" t="s">
        <v>6083</v>
      </c>
      <c r="O105" s="114" t="s">
        <v>6083</v>
      </c>
      <c r="P105" s="114"/>
      <c r="Q105" s="63"/>
      <c r="R105" s="63"/>
      <c r="S105" s="114"/>
      <c r="T105" s="114"/>
      <c r="U105" s="63"/>
      <c r="V105" s="114"/>
      <c r="W105" s="63"/>
      <c r="X105" s="845"/>
      <c r="Y105" s="708"/>
      <c r="Z105" s="63"/>
      <c r="AA105" s="63"/>
      <c r="AB105" s="114"/>
      <c r="AC105" s="63"/>
      <c r="AD105" s="114"/>
      <c r="AE105" s="63"/>
      <c r="AF105" s="63"/>
      <c r="AG105" s="63">
        <v>10</v>
      </c>
      <c r="AH105" s="63"/>
      <c r="AI105" s="63"/>
      <c r="AJ105" s="63"/>
      <c r="AK105" s="63"/>
      <c r="AL105" s="63"/>
      <c r="AM105" s="63"/>
      <c r="AN105" s="63"/>
      <c r="AO105" s="63"/>
    </row>
    <row r="106" spans="1:41" s="58" customFormat="1">
      <c r="A106" s="85" t="str">
        <f>IFERROR(VLOOKUP(Table4[[#This Row],[Player No]],Table10[[#All],[No]:[Age Group]],4,0),"")</f>
        <v>U15</v>
      </c>
      <c r="B106" s="87">
        <v>150</v>
      </c>
      <c r="C106" s="88">
        <f t="shared" si="9"/>
        <v>48</v>
      </c>
      <c r="D106" s="61">
        <f t="shared" si="8"/>
        <v>102</v>
      </c>
      <c r="E106" s="63">
        <v>3407</v>
      </c>
      <c r="F106" s="64" t="str">
        <f>IFERROR(VLOOKUP(Table4[[#This Row],[Player No]],Table10[[No]:[Province]],2,0),"")</f>
        <v>MAART Cughan</v>
      </c>
      <c r="G106" s="65" t="str">
        <f>IFERROR(VLOOKUP(Table4[[#This Row],[Player No]],Table10[[No]:[Province]],3,0),"")</f>
        <v>CW</v>
      </c>
      <c r="H106" s="66">
        <v>3</v>
      </c>
      <c r="I106" s="96">
        <v>17</v>
      </c>
      <c r="J106" s="124">
        <f>(Table4[[#This Row],[Points 2025]]/2)+SUM(Table4[[#This Row],[O1  ADMIN 2026]:[P2         WC    Open 2026]])</f>
        <v>8.5</v>
      </c>
      <c r="K106" s="106">
        <f t="shared" si="6"/>
        <v>0</v>
      </c>
      <c r="L106" s="106">
        <f t="shared" si="7"/>
        <v>0</v>
      </c>
      <c r="M106" s="106" t="s">
        <v>6083</v>
      </c>
      <c r="N106" s="114" t="s">
        <v>6083</v>
      </c>
      <c r="O106" s="114" t="s">
        <v>6083</v>
      </c>
      <c r="P106" s="114"/>
      <c r="Q106" s="63"/>
      <c r="R106" s="63"/>
      <c r="S106" s="114"/>
      <c r="T106" s="114"/>
      <c r="U106" s="63"/>
      <c r="V106" s="114"/>
      <c r="W106" s="63"/>
      <c r="X106" s="845"/>
      <c r="Y106" s="708"/>
      <c r="Z106" s="63"/>
      <c r="AA106" s="63"/>
      <c r="AB106" s="114"/>
      <c r="AC106" s="63"/>
      <c r="AD106" s="114">
        <v>0.5</v>
      </c>
      <c r="AE106" s="63">
        <v>15</v>
      </c>
      <c r="AF106" s="63"/>
      <c r="AG106" s="63"/>
      <c r="AH106" s="63">
        <v>1</v>
      </c>
      <c r="AI106" s="63">
        <v>2</v>
      </c>
      <c r="AJ106" s="63"/>
      <c r="AK106" s="63"/>
      <c r="AL106" s="63"/>
      <c r="AM106" s="63"/>
      <c r="AN106" s="63"/>
      <c r="AO106" s="63"/>
    </row>
    <row r="107" spans="1:41" s="58" customFormat="1">
      <c r="A107" s="85" t="str">
        <f>IFERROR(VLOOKUP(Table4[[#This Row],[Player No]],Table10[[#All],[No]:[Age Group]],4,0),"")</f>
        <v>U15</v>
      </c>
      <c r="B107" s="87" t="e">
        <f>VLOOKUP([5]!Table4[[#This Row],[Player No]],'[6]u19 boys'!$E$5:$F$216,2,0)</f>
        <v>#REF!</v>
      </c>
      <c r="C107" s="88" t="e">
        <f t="shared" si="9"/>
        <v>#REF!</v>
      </c>
      <c r="D107" s="61">
        <f t="shared" si="8"/>
        <v>103</v>
      </c>
      <c r="E107" s="63">
        <v>3628</v>
      </c>
      <c r="F107" s="64" t="str">
        <f>IFERROR(VLOOKUP(Table4[[#This Row],[Player No]],Table10[[No]:[Province]],2,0),"")</f>
        <v>APPOLLIS Jayrin</v>
      </c>
      <c r="G107" s="65" t="str">
        <f>IFERROR(VLOOKUP(Table4[[#This Row],[Player No]],Table10[[No]:[Province]],3,0),"")</f>
        <v>CW</v>
      </c>
      <c r="H107" s="66">
        <v>3</v>
      </c>
      <c r="I107" s="96">
        <v>16.5</v>
      </c>
      <c r="J107" s="124">
        <f>(Table4[[#This Row],[Points 2025]]/2)+SUM(Table4[[#This Row],[O1  ADMIN 2026]:[P2         WC    Open 2026]])</f>
        <v>8.25</v>
      </c>
      <c r="K107" s="106">
        <f t="shared" si="6"/>
        <v>0</v>
      </c>
      <c r="L107" s="106">
        <f t="shared" si="7"/>
        <v>0</v>
      </c>
      <c r="M107" s="106" t="s">
        <v>6083</v>
      </c>
      <c r="N107" s="114" t="s">
        <v>6083</v>
      </c>
      <c r="O107" s="114" t="s">
        <v>6083</v>
      </c>
      <c r="P107" s="114"/>
      <c r="Q107" s="63"/>
      <c r="R107" s="63"/>
      <c r="S107" s="114"/>
      <c r="T107" s="114"/>
      <c r="U107" s="63"/>
      <c r="V107" s="114"/>
      <c r="W107" s="63"/>
      <c r="X107" s="845"/>
      <c r="Y107" s="708"/>
      <c r="Z107" s="63"/>
      <c r="AA107" s="63"/>
      <c r="AB107" s="114"/>
      <c r="AC107" s="63"/>
      <c r="AD107" s="114">
        <v>0.5</v>
      </c>
      <c r="AE107" s="63">
        <v>15</v>
      </c>
      <c r="AF107" s="63"/>
      <c r="AG107" s="63"/>
      <c r="AH107" s="63">
        <v>1</v>
      </c>
      <c r="AI107" s="63">
        <v>2</v>
      </c>
      <c r="AJ107" s="63"/>
      <c r="AK107" s="63"/>
      <c r="AL107" s="63"/>
      <c r="AM107" s="63"/>
      <c r="AN107" s="63"/>
      <c r="AO107" s="63"/>
    </row>
    <row r="108" spans="1:41" s="58" customFormat="1">
      <c r="A108" s="85" t="str">
        <f>IFERROR(VLOOKUP(Table4[[#This Row],[Player No]],Table10[[#All],[No]:[Age Group]],4,0),"")</f>
        <v>U19</v>
      </c>
      <c r="B108" s="87">
        <v>54</v>
      </c>
      <c r="C108" s="88">
        <f t="shared" si="9"/>
        <v>-50</v>
      </c>
      <c r="D108" s="61">
        <f t="shared" si="8"/>
        <v>104</v>
      </c>
      <c r="E108" s="63">
        <v>3935</v>
      </c>
      <c r="F108" s="64" t="str">
        <f>IFERROR(VLOOKUP(Table4[[#This Row],[Player No]],Table10[[No]:[Province]],2,0),"")</f>
        <v>SINGH Mungal Keshav</v>
      </c>
      <c r="G108" s="65" t="str">
        <f>IFERROR(VLOOKUP(Table4[[#This Row],[Player No]],Table10[[No]:[Province]],3,0),"")</f>
        <v>JTTA</v>
      </c>
      <c r="H108" s="66">
        <v>17</v>
      </c>
      <c r="I108" s="96">
        <v>16</v>
      </c>
      <c r="J108" s="124">
        <f>(Table4[[#This Row],[Points 2025]]/2)+SUM(Table4[[#This Row],[O1  ADMIN 2026]:[P2         WC    Open 2026]])</f>
        <v>8</v>
      </c>
      <c r="K108" s="106">
        <f t="shared" si="6"/>
        <v>0</v>
      </c>
      <c r="L108" s="106">
        <f t="shared" si="7"/>
        <v>0</v>
      </c>
      <c r="M108" s="106" t="s">
        <v>6083</v>
      </c>
      <c r="N108" s="114" t="s">
        <v>6083</v>
      </c>
      <c r="O108" s="114" t="s">
        <v>6083</v>
      </c>
      <c r="P108" s="114"/>
      <c r="Q108" s="63"/>
      <c r="R108" s="63"/>
      <c r="S108" s="114"/>
      <c r="T108" s="114"/>
      <c r="U108" s="63"/>
      <c r="V108" s="114">
        <v>1</v>
      </c>
      <c r="W108" s="63"/>
      <c r="X108" s="845"/>
      <c r="Y108" s="708"/>
      <c r="Z108" s="63"/>
      <c r="AA108" s="63">
        <v>1</v>
      </c>
      <c r="AB108" s="114">
        <v>1</v>
      </c>
      <c r="AC108" s="63">
        <v>5</v>
      </c>
      <c r="AD108" s="114"/>
      <c r="AE108" s="63"/>
      <c r="AF108" s="63"/>
      <c r="AG108" s="63"/>
      <c r="AH108" s="63"/>
      <c r="AI108" s="63"/>
      <c r="AJ108" s="63">
        <v>5</v>
      </c>
      <c r="AK108" s="63">
        <v>10</v>
      </c>
      <c r="AL108" s="63"/>
      <c r="AM108" s="63">
        <v>2</v>
      </c>
      <c r="AN108" s="63"/>
      <c r="AO108" s="63"/>
    </row>
    <row r="109" spans="1:41" s="58" customFormat="1">
      <c r="A109" s="85" t="str">
        <f>IFERROR(VLOOKUP(Table4[[#This Row],[Player No]],Table10[[#All],[No]:[Age Group]],4,0),"")</f>
        <v>U19</v>
      </c>
      <c r="B109" s="87">
        <v>210</v>
      </c>
      <c r="C109" s="88">
        <f t="shared" si="9"/>
        <v>105</v>
      </c>
      <c r="D109" s="61">
        <f t="shared" si="8"/>
        <v>105</v>
      </c>
      <c r="E109" s="63">
        <v>3464</v>
      </c>
      <c r="F109" s="64" t="str">
        <f>IFERROR(VLOOKUP(Table4[[#This Row],[Player No]],Table10[[No]:[Province]],2,0),"")</f>
        <v>KRUGER Luan</v>
      </c>
      <c r="G109" s="65" t="str">
        <f>IFERROR(VLOOKUP(Table4[[#This Row],[Player No]],Table10[[No]:[Province]],3,0),"")</f>
        <v>GN</v>
      </c>
      <c r="H109" s="66">
        <v>26</v>
      </c>
      <c r="I109" s="96">
        <v>16</v>
      </c>
      <c r="J109" s="124">
        <f>(Table4[[#This Row],[Points 2025]]/2)+SUM(Table4[[#This Row],[O1  ADMIN 2026]:[P2         WC    Open 2026]])</f>
        <v>8</v>
      </c>
      <c r="K109" s="106">
        <f t="shared" si="6"/>
        <v>0</v>
      </c>
      <c r="L109" s="106">
        <f t="shared" si="7"/>
        <v>0</v>
      </c>
      <c r="M109" s="106" t="s">
        <v>6083</v>
      </c>
      <c r="N109" s="114" t="s">
        <v>6083</v>
      </c>
      <c r="O109" s="114" t="s">
        <v>6083</v>
      </c>
      <c r="P109" s="114"/>
      <c r="Q109" s="63"/>
      <c r="R109" s="63"/>
      <c r="S109" s="114"/>
      <c r="T109" s="114"/>
      <c r="U109" s="63"/>
      <c r="V109" s="114">
        <v>1</v>
      </c>
      <c r="W109" s="63"/>
      <c r="X109" s="845"/>
      <c r="Y109" s="708"/>
      <c r="Z109" s="63"/>
      <c r="AA109" s="63"/>
      <c r="AB109" s="114">
        <v>1</v>
      </c>
      <c r="AC109" s="63">
        <v>1</v>
      </c>
      <c r="AD109" s="114"/>
      <c r="AE109" s="63"/>
      <c r="AF109" s="63"/>
      <c r="AG109" s="63"/>
      <c r="AH109" s="63"/>
      <c r="AI109" s="63"/>
      <c r="AJ109" s="63"/>
      <c r="AK109" s="63"/>
      <c r="AL109" s="63"/>
      <c r="AM109" s="63">
        <v>25</v>
      </c>
      <c r="AN109" s="63">
        <v>1</v>
      </c>
      <c r="AO109" s="63"/>
    </row>
    <row r="110" spans="1:41" s="58" customFormat="1">
      <c r="A110" s="85">
        <f>IFERROR(VLOOKUP(Table4[[#This Row],[Player No]],Table10[[#All],[No]:[Age Group]],4,0),"")</f>
        <v>0</v>
      </c>
      <c r="B110" s="87">
        <v>210</v>
      </c>
      <c r="C110" s="88">
        <f t="shared" si="9"/>
        <v>104</v>
      </c>
      <c r="D110" s="61">
        <f t="shared" si="8"/>
        <v>106</v>
      </c>
      <c r="E110" s="63">
        <v>3511</v>
      </c>
      <c r="F110" s="64" t="str">
        <f>IFERROR(VLOOKUP(Table4[[#This Row],[Player No]],Table10[[No]:[Province]],2,0),"")</f>
        <v>GUMEDE Oluhle</v>
      </c>
      <c r="G110" s="65" t="str">
        <f>IFERROR(VLOOKUP(Table4[[#This Row],[Player No]],Table10[[No]:[Province]],3,0),"")</f>
        <v>ETTA</v>
      </c>
      <c r="H110" s="66">
        <v>0</v>
      </c>
      <c r="I110" s="96">
        <v>15.5</v>
      </c>
      <c r="J110" s="124">
        <f>(Table4[[#This Row],[Points 2025]]/2)+SUM(Table4[[#This Row],[O1  ADMIN 2026]:[P2         WC    Open 2026]])</f>
        <v>7.75</v>
      </c>
      <c r="K110" s="106">
        <f t="shared" si="6"/>
        <v>0</v>
      </c>
      <c r="L110" s="106">
        <f t="shared" si="7"/>
        <v>0</v>
      </c>
      <c r="M110" s="106" t="s">
        <v>6083</v>
      </c>
      <c r="N110" s="114" t="s">
        <v>6083</v>
      </c>
      <c r="O110" s="114" t="s">
        <v>6083</v>
      </c>
      <c r="P110" s="114"/>
      <c r="Q110" s="63"/>
      <c r="R110" s="63"/>
      <c r="S110" s="114"/>
      <c r="T110" s="114">
        <v>15</v>
      </c>
      <c r="U110" s="63">
        <v>1</v>
      </c>
      <c r="V110" s="114"/>
      <c r="W110" s="63"/>
      <c r="X110" s="845"/>
      <c r="Y110" s="708"/>
      <c r="Z110" s="63"/>
      <c r="AA110" s="63"/>
      <c r="AB110" s="114"/>
      <c r="AC110" s="63"/>
      <c r="AD110" s="114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</row>
    <row r="111" spans="1:41" s="58" customFormat="1">
      <c r="A111" s="85">
        <f>IFERROR(VLOOKUP(Table4[[#This Row],[Player No]],Table10[[#All],[No]:[Age Group]],4,0),"")</f>
        <v>0</v>
      </c>
      <c r="B111" s="88"/>
      <c r="C111" s="88">
        <f t="shared" si="9"/>
        <v>-107</v>
      </c>
      <c r="D111" s="61">
        <f t="shared" si="8"/>
        <v>107</v>
      </c>
      <c r="E111" s="63">
        <v>1622</v>
      </c>
      <c r="F111" s="64" t="str">
        <f>IFERROR(VLOOKUP(Table4[[#This Row],[Player No]],Table10[[No]:[Province]],2,0),"")</f>
        <v xml:space="preserve">CEDRAS Sharief </v>
      </c>
      <c r="G111" s="65" t="str">
        <f>IFERROR(VLOOKUP(Table4[[#This Row],[Player No]],Table10[[No]:[Province]],3,0),"")</f>
        <v>CT</v>
      </c>
      <c r="H111" s="66">
        <v>0</v>
      </c>
      <c r="I111" s="96">
        <v>15</v>
      </c>
      <c r="J111" s="124">
        <f>(Table4[[#This Row],[Points 2025]]/2)+SUM(Table4[[#This Row],[O1  ADMIN 2026]:[P2         WC    Open 2026]])</f>
        <v>7.5</v>
      </c>
      <c r="K111" s="106">
        <f t="shared" si="6"/>
        <v>0</v>
      </c>
      <c r="L111" s="106">
        <f t="shared" si="7"/>
        <v>0</v>
      </c>
      <c r="M111" s="106" t="s">
        <v>6083</v>
      </c>
      <c r="N111" s="114" t="s">
        <v>6083</v>
      </c>
      <c r="O111" s="114" t="s">
        <v>6083</v>
      </c>
      <c r="P111" s="114"/>
      <c r="Q111" s="63"/>
      <c r="R111" s="63"/>
      <c r="S111" s="114"/>
      <c r="T111" s="114"/>
      <c r="U111" s="63"/>
      <c r="V111" s="114"/>
      <c r="W111" s="63"/>
      <c r="X111" s="845"/>
      <c r="Y111" s="708"/>
      <c r="Z111" s="63"/>
      <c r="AA111" s="63"/>
      <c r="AB111" s="114"/>
      <c r="AC111" s="63"/>
      <c r="AD111" s="114">
        <v>0.5</v>
      </c>
      <c r="AE111" s="63">
        <v>15</v>
      </c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</row>
    <row r="112" spans="1:41" s="58" customFormat="1">
      <c r="A112" s="85">
        <f>IFERROR(VLOOKUP(Table4[[#This Row],[Player No]],Table10[[#All],[No]:[Age Group]],4,0),"")</f>
        <v>0</v>
      </c>
      <c r="B112" s="87">
        <v>114</v>
      </c>
      <c r="C112" s="88">
        <f t="shared" si="9"/>
        <v>6</v>
      </c>
      <c r="D112" s="61">
        <f t="shared" si="8"/>
        <v>108</v>
      </c>
      <c r="E112" s="63">
        <v>1587</v>
      </c>
      <c r="F112" s="64" t="str">
        <f>IFERROR(VLOOKUP(Table4[[#This Row],[Player No]],Table10[[No]:[Province]],2,0),"")</f>
        <v>ZAIN EDDIN Kareem</v>
      </c>
      <c r="G112" s="65" t="str">
        <f>IFERROR(VLOOKUP(Table4[[#This Row],[Player No]],Table10[[No]:[Province]],3,0),"")</f>
        <v>GN</v>
      </c>
      <c r="H112" s="66">
        <v>10</v>
      </c>
      <c r="I112" s="96">
        <v>15</v>
      </c>
      <c r="J112" s="124">
        <f>(Table4[[#This Row],[Points 2025]]/2)+SUM(Table4[[#This Row],[O1  ADMIN 2026]:[P2         WC    Open 2026]])</f>
        <v>7.5</v>
      </c>
      <c r="K112" s="106">
        <f t="shared" si="6"/>
        <v>0</v>
      </c>
      <c r="L112" s="106">
        <f t="shared" si="7"/>
        <v>0</v>
      </c>
      <c r="M112" s="106" t="s">
        <v>6083</v>
      </c>
      <c r="N112" s="114" t="s">
        <v>6083</v>
      </c>
      <c r="O112" s="114" t="s">
        <v>6083</v>
      </c>
      <c r="P112" s="114"/>
      <c r="Q112" s="63"/>
      <c r="R112" s="63"/>
      <c r="S112" s="114"/>
      <c r="T112" s="114"/>
      <c r="U112" s="63"/>
      <c r="V112" s="114"/>
      <c r="W112" s="63"/>
      <c r="X112" s="845"/>
      <c r="Y112" s="708"/>
      <c r="Z112" s="63"/>
      <c r="AA112" s="63">
        <v>10</v>
      </c>
      <c r="AB112" s="114"/>
      <c r="AC112" s="63"/>
      <c r="AD112" s="114"/>
      <c r="AE112" s="63"/>
      <c r="AF112" s="63"/>
      <c r="AG112" s="63"/>
      <c r="AH112" s="63"/>
      <c r="AI112" s="63"/>
      <c r="AJ112" s="63"/>
      <c r="AK112" s="63">
        <v>10</v>
      </c>
      <c r="AL112" s="63"/>
      <c r="AM112" s="63"/>
      <c r="AN112" s="63"/>
      <c r="AO112" s="63"/>
    </row>
    <row r="113" spans="1:41" s="58" customFormat="1">
      <c r="A113" s="85">
        <f>IFERROR(VLOOKUP(Table4[[#This Row],[Player No]],Table10[[#All],[No]:[Age Group]],4,0),"")</f>
        <v>0</v>
      </c>
      <c r="B113" s="88"/>
      <c r="C113" s="88">
        <f t="shared" si="9"/>
        <v>-109</v>
      </c>
      <c r="D113" s="61">
        <f t="shared" si="8"/>
        <v>109</v>
      </c>
      <c r="E113" s="63">
        <v>3369</v>
      </c>
      <c r="F113" s="64" t="str">
        <f>IFERROR(VLOOKUP(Table4[[#This Row],[Player No]],Table10[[No]:[Province]],2,0),"")</f>
        <v>JACOBS Owais</v>
      </c>
      <c r="G113" s="65" t="str">
        <f>IFERROR(VLOOKUP(Table4[[#This Row],[Player No]],Table10[[No]:[Province]],3,0),"")</f>
        <v>CT</v>
      </c>
      <c r="H113" s="66">
        <v>0</v>
      </c>
      <c r="I113" s="96">
        <v>15</v>
      </c>
      <c r="J113" s="124">
        <f>(Table4[[#This Row],[Points 2025]]/2)+SUM(Table4[[#This Row],[O1  ADMIN 2026]:[P2         WC    Open 2026]])</f>
        <v>7.5</v>
      </c>
      <c r="K113" s="106">
        <f t="shared" si="6"/>
        <v>0</v>
      </c>
      <c r="L113" s="106">
        <f t="shared" si="7"/>
        <v>0</v>
      </c>
      <c r="M113" s="106" t="s">
        <v>6083</v>
      </c>
      <c r="N113" s="114" t="s">
        <v>6083</v>
      </c>
      <c r="O113" s="114" t="s">
        <v>6083</v>
      </c>
      <c r="P113" s="114"/>
      <c r="Q113" s="63"/>
      <c r="R113" s="63"/>
      <c r="S113" s="114"/>
      <c r="T113" s="114"/>
      <c r="U113" s="63"/>
      <c r="V113" s="114"/>
      <c r="W113" s="63"/>
      <c r="X113" s="845"/>
      <c r="Y113" s="708"/>
      <c r="Z113" s="63"/>
      <c r="AA113" s="63"/>
      <c r="AB113" s="114"/>
      <c r="AC113" s="63"/>
      <c r="AD113" s="114"/>
      <c r="AE113" s="63">
        <v>15</v>
      </c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</row>
    <row r="114" spans="1:41" s="58" customFormat="1">
      <c r="A114" s="85">
        <f>IFERROR(VLOOKUP(Table4[[#This Row],[Player No]],Table10[[#All],[No]:[Age Group]],4,0),"")</f>
        <v>0</v>
      </c>
      <c r="B114" s="88"/>
      <c r="C114" s="88">
        <f t="shared" si="9"/>
        <v>-110</v>
      </c>
      <c r="D114" s="61">
        <f t="shared" si="8"/>
        <v>110</v>
      </c>
      <c r="E114" s="63">
        <v>3406</v>
      </c>
      <c r="F114" s="64" t="str">
        <f>IFERROR(VLOOKUP(Table4[[#This Row],[Player No]],Table10[[No]:[Province]],2,0),"")</f>
        <v>O' RYAN Alex</v>
      </c>
      <c r="G114" s="65" t="str">
        <f>IFERROR(VLOOKUP(Table4[[#This Row],[Player No]],Table10[[No]:[Province]],3,0),"")</f>
        <v>CT</v>
      </c>
      <c r="H114" s="66">
        <v>0</v>
      </c>
      <c r="I114" s="96">
        <v>15</v>
      </c>
      <c r="J114" s="124">
        <f>(Table4[[#This Row],[Points 2025]]/2)+SUM(Table4[[#This Row],[O1  ADMIN 2026]:[P2         WC    Open 2026]])</f>
        <v>7.5</v>
      </c>
      <c r="K114" s="106">
        <f t="shared" si="6"/>
        <v>0</v>
      </c>
      <c r="L114" s="106">
        <f t="shared" si="7"/>
        <v>0</v>
      </c>
      <c r="M114" s="106" t="s">
        <v>6083</v>
      </c>
      <c r="N114" s="114" t="s">
        <v>6083</v>
      </c>
      <c r="O114" s="114" t="s">
        <v>6083</v>
      </c>
      <c r="P114" s="114"/>
      <c r="Q114" s="63"/>
      <c r="R114" s="63"/>
      <c r="S114" s="114"/>
      <c r="T114" s="114"/>
      <c r="U114" s="63"/>
      <c r="V114" s="114"/>
      <c r="W114" s="63"/>
      <c r="X114" s="845"/>
      <c r="Y114" s="708"/>
      <c r="Z114" s="63"/>
      <c r="AA114" s="63"/>
      <c r="AB114" s="114"/>
      <c r="AC114" s="63"/>
      <c r="AD114" s="114"/>
      <c r="AE114" s="63">
        <v>15</v>
      </c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</row>
    <row r="115" spans="1:41" s="58" customFormat="1">
      <c r="A115" s="85">
        <f>IFERROR(VLOOKUP(Table4[[#This Row],[Player No]],Table10[[#All],[No]:[Age Group]],4,0),"")</f>
        <v>0</v>
      </c>
      <c r="B115" s="88"/>
      <c r="C115" s="88">
        <f t="shared" si="9"/>
        <v>-111</v>
      </c>
      <c r="D115" s="61">
        <f t="shared" si="8"/>
        <v>111</v>
      </c>
      <c r="E115" s="63">
        <v>3572</v>
      </c>
      <c r="F115" s="64" t="str">
        <f>IFERROR(VLOOKUP(Table4[[#This Row],[Player No]],Table10[[No]:[Province]],2,0),"")</f>
        <v>PATEL Ilyaas</v>
      </c>
      <c r="G115" s="65" t="str">
        <f>IFERROR(VLOOKUP(Table4[[#This Row],[Player No]],Table10[[No]:[Province]],3,0),"")</f>
        <v>CT</v>
      </c>
      <c r="H115" s="66">
        <v>0</v>
      </c>
      <c r="I115" s="96">
        <v>15</v>
      </c>
      <c r="J115" s="124">
        <f>(Table4[[#This Row],[Points 2025]]/2)+SUM(Table4[[#This Row],[O1  ADMIN 2026]:[P2         WC    Open 2026]])</f>
        <v>7.5</v>
      </c>
      <c r="K115" s="106">
        <f t="shared" si="6"/>
        <v>0</v>
      </c>
      <c r="L115" s="106">
        <f t="shared" si="7"/>
        <v>0</v>
      </c>
      <c r="M115" s="106" t="s">
        <v>6083</v>
      </c>
      <c r="N115" s="114" t="s">
        <v>6083</v>
      </c>
      <c r="O115" s="114" t="s">
        <v>6083</v>
      </c>
      <c r="P115" s="114"/>
      <c r="Q115" s="63"/>
      <c r="R115" s="63"/>
      <c r="S115" s="114"/>
      <c r="T115" s="114"/>
      <c r="U115" s="63"/>
      <c r="V115" s="114"/>
      <c r="W115" s="63"/>
      <c r="X115" s="845"/>
      <c r="Y115" s="708"/>
      <c r="Z115" s="63"/>
      <c r="AA115" s="63"/>
      <c r="AB115" s="114"/>
      <c r="AC115" s="63"/>
      <c r="AD115" s="114"/>
      <c r="AE115" s="63">
        <v>15</v>
      </c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</row>
    <row r="116" spans="1:41" s="58" customFormat="1">
      <c r="A116" s="85">
        <f>IFERROR(VLOOKUP(Table4[[#This Row],[Player No]],Table10[[#All],[No]:[Age Group]],4,0),"")</f>
        <v>0</v>
      </c>
      <c r="B116" s="87">
        <v>53</v>
      </c>
      <c r="C116" s="285">
        <f t="shared" si="9"/>
        <v>-59</v>
      </c>
      <c r="D116" s="61">
        <f t="shared" si="8"/>
        <v>112</v>
      </c>
      <c r="E116" s="169">
        <v>4400</v>
      </c>
      <c r="F116" s="64" t="str">
        <f>IFERROR(VLOOKUP(Table4[[#This Row],[Player No]],Table10[[No]:[Province]],2,0),"")</f>
        <v>KGONGWANA Thato</v>
      </c>
      <c r="G116" s="65" t="str">
        <f>IFERROR(VLOOKUP(Table4[[#This Row],[Player No]],Table10[[No]:[Province]],3,0),"")</f>
        <v>BOT</v>
      </c>
      <c r="H116" s="66">
        <v>0</v>
      </c>
      <c r="I116" s="96">
        <v>15</v>
      </c>
      <c r="J116" s="124">
        <f>(Table4[[#This Row],[Points 2025]]/2)+SUM(Table4[[#This Row],[O1  ADMIN 2026]:[P2         WC    Open 2026]])</f>
        <v>7.5</v>
      </c>
      <c r="K116" s="106">
        <f t="shared" si="6"/>
        <v>0</v>
      </c>
      <c r="L116" s="106">
        <f t="shared" si="7"/>
        <v>0</v>
      </c>
      <c r="M116" s="106" t="s">
        <v>6083</v>
      </c>
      <c r="N116" s="114" t="s">
        <v>6083</v>
      </c>
      <c r="O116" s="114" t="s">
        <v>6083</v>
      </c>
      <c r="P116" s="114"/>
      <c r="Q116" s="169"/>
      <c r="R116" s="169"/>
      <c r="S116" s="318"/>
      <c r="T116" s="318"/>
      <c r="U116" s="169"/>
      <c r="V116" s="318"/>
      <c r="W116" s="169"/>
      <c r="X116" s="846"/>
      <c r="Y116" s="713"/>
      <c r="Z116" s="169"/>
      <c r="AA116" s="169"/>
      <c r="AB116" s="318"/>
      <c r="AC116" s="169">
        <v>15</v>
      </c>
      <c r="AD116" s="318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</row>
    <row r="117" spans="1:41" s="58" customFormat="1">
      <c r="A117" s="85">
        <f>IFERROR(VLOOKUP(Table4[[#This Row],[Player No]],Table10[[#All],[No]:[Age Group]],4,0),"")</f>
        <v>0</v>
      </c>
      <c r="B117" s="88"/>
      <c r="C117" s="88">
        <f t="shared" si="9"/>
        <v>-113</v>
      </c>
      <c r="D117" s="61">
        <f t="shared" si="8"/>
        <v>113</v>
      </c>
      <c r="E117" s="63">
        <v>4649</v>
      </c>
      <c r="F117" s="64" t="str">
        <f>IFERROR(VLOOKUP(Table4[[#This Row],[Player No]],Table10[[No]:[Province]],2,0),"")</f>
        <v xml:space="preserve">KENNY Saalih </v>
      </c>
      <c r="G117" s="65" t="str">
        <f>IFERROR(VLOOKUP(Table4[[#This Row],[Player No]],Table10[[No]:[Province]],3,0),"")</f>
        <v>CT</v>
      </c>
      <c r="H117" s="66">
        <v>0</v>
      </c>
      <c r="I117" s="96">
        <v>15</v>
      </c>
      <c r="J117" s="124">
        <f>(Table4[[#This Row],[Points 2025]]/2)+SUM(Table4[[#This Row],[O1  ADMIN 2026]:[P2         WC    Open 2026]])</f>
        <v>7.5</v>
      </c>
      <c r="K117" s="106">
        <f t="shared" si="6"/>
        <v>0</v>
      </c>
      <c r="L117" s="106">
        <f t="shared" si="7"/>
        <v>0</v>
      </c>
      <c r="M117" s="106" t="s">
        <v>6083</v>
      </c>
      <c r="N117" s="114" t="s">
        <v>6083</v>
      </c>
      <c r="O117" s="114" t="s">
        <v>6083</v>
      </c>
      <c r="P117" s="114"/>
      <c r="Q117" s="63"/>
      <c r="R117" s="63"/>
      <c r="S117" s="114"/>
      <c r="T117" s="114"/>
      <c r="U117" s="63"/>
      <c r="V117" s="114"/>
      <c r="W117" s="63"/>
      <c r="X117" s="845"/>
      <c r="Y117" s="708"/>
      <c r="Z117" s="63"/>
      <c r="AA117" s="63"/>
      <c r="AB117" s="114"/>
      <c r="AC117" s="63"/>
      <c r="AD117" s="114"/>
      <c r="AE117" s="63">
        <v>15</v>
      </c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</row>
    <row r="118" spans="1:41" s="58" customFormat="1">
      <c r="A118" s="85">
        <f>IFERROR(VLOOKUP(Table4[[#This Row],[Player No]],Table10[[#All],[No]:[Age Group]],4,0),"")</f>
        <v>0</v>
      </c>
      <c r="B118" s="88"/>
      <c r="C118" s="88">
        <f t="shared" si="9"/>
        <v>-114</v>
      </c>
      <c r="D118" s="61">
        <f t="shared" si="8"/>
        <v>114</v>
      </c>
      <c r="E118" s="63">
        <v>4652</v>
      </c>
      <c r="F118" s="64" t="str">
        <f>IFERROR(VLOOKUP(Table4[[#This Row],[Player No]],Table10[[No]:[Province]],2,0),"")</f>
        <v xml:space="preserve">AWOOD Cole </v>
      </c>
      <c r="G118" s="65" t="str">
        <f>IFERROR(VLOOKUP(Table4[[#This Row],[Player No]],Table10[[No]:[Province]],3,0),"")</f>
        <v xml:space="preserve">CT </v>
      </c>
      <c r="H118" s="66">
        <v>0</v>
      </c>
      <c r="I118" s="96">
        <v>15</v>
      </c>
      <c r="J118" s="124">
        <f>(Table4[[#This Row],[Points 2025]]/2)+SUM(Table4[[#This Row],[O1  ADMIN 2026]:[P2         WC    Open 2026]])</f>
        <v>7.5</v>
      </c>
      <c r="K118" s="106">
        <f t="shared" si="6"/>
        <v>0</v>
      </c>
      <c r="L118" s="106">
        <f t="shared" si="7"/>
        <v>0</v>
      </c>
      <c r="M118" s="106" t="s">
        <v>6083</v>
      </c>
      <c r="N118" s="114" t="s">
        <v>6083</v>
      </c>
      <c r="O118" s="114" t="s">
        <v>6083</v>
      </c>
      <c r="P118" s="114"/>
      <c r="Q118" s="63"/>
      <c r="R118" s="63"/>
      <c r="S118" s="114"/>
      <c r="T118" s="114"/>
      <c r="U118" s="63"/>
      <c r="V118" s="114"/>
      <c r="W118" s="63"/>
      <c r="X118" s="845"/>
      <c r="Y118" s="708"/>
      <c r="Z118" s="63"/>
      <c r="AA118" s="63"/>
      <c r="AB118" s="114"/>
      <c r="AC118" s="63"/>
      <c r="AD118" s="114"/>
      <c r="AE118" s="63">
        <v>15</v>
      </c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</row>
    <row r="119" spans="1:41" s="58" customFormat="1">
      <c r="A119" s="85">
        <f>IFERROR(VLOOKUP(Table4[[#This Row],[Player No]],Table10[[#All],[No]:[Age Group]],4,0),"")</f>
        <v>0</v>
      </c>
      <c r="B119" s="88"/>
      <c r="C119" s="88">
        <f t="shared" si="9"/>
        <v>-115</v>
      </c>
      <c r="D119" s="61">
        <f t="shared" si="8"/>
        <v>115</v>
      </c>
      <c r="E119" s="63">
        <v>4657</v>
      </c>
      <c r="F119" s="64" t="str">
        <f>IFERROR(VLOOKUP(Table4[[#This Row],[Player No]],Table10[[No]:[Province]],2,0),"")</f>
        <v xml:space="preserve">ABRAHAMS Saeed </v>
      </c>
      <c r="G119" s="65" t="str">
        <f>IFERROR(VLOOKUP(Table4[[#This Row],[Player No]],Table10[[No]:[Province]],3,0),"")</f>
        <v>CT</v>
      </c>
      <c r="H119" s="66">
        <v>0</v>
      </c>
      <c r="I119" s="96">
        <v>15</v>
      </c>
      <c r="J119" s="124">
        <f>(Table4[[#This Row],[Points 2025]]/2)+SUM(Table4[[#This Row],[O1  ADMIN 2026]:[P2         WC    Open 2026]])</f>
        <v>7.5</v>
      </c>
      <c r="K119" s="106">
        <f t="shared" si="6"/>
        <v>0</v>
      </c>
      <c r="L119" s="106">
        <f t="shared" si="7"/>
        <v>0</v>
      </c>
      <c r="M119" s="106" t="s">
        <v>6083</v>
      </c>
      <c r="N119" s="114" t="s">
        <v>6083</v>
      </c>
      <c r="O119" s="114" t="s">
        <v>6083</v>
      </c>
      <c r="P119" s="114"/>
      <c r="Q119" s="63"/>
      <c r="R119" s="63"/>
      <c r="S119" s="114"/>
      <c r="T119" s="114"/>
      <c r="U119" s="63"/>
      <c r="V119" s="114"/>
      <c r="W119" s="63"/>
      <c r="X119" s="845"/>
      <c r="Y119" s="708"/>
      <c r="Z119" s="63"/>
      <c r="AA119" s="63"/>
      <c r="AB119" s="114"/>
      <c r="AC119" s="63"/>
      <c r="AD119" s="114"/>
      <c r="AE119" s="63">
        <v>15</v>
      </c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</row>
    <row r="120" spans="1:41" s="58" customFormat="1">
      <c r="A120" s="85">
        <f>IFERROR(VLOOKUP(Table4[[#This Row],[Player No]],Table10[[#All],[No]:[Age Group]],4,0),"")</f>
        <v>0</v>
      </c>
      <c r="B120" s="88"/>
      <c r="C120" s="88">
        <f t="shared" si="9"/>
        <v>-116</v>
      </c>
      <c r="D120" s="61">
        <f t="shared" si="8"/>
        <v>116</v>
      </c>
      <c r="E120" s="63">
        <v>4658</v>
      </c>
      <c r="F120" s="64" t="str">
        <f>IFERROR(VLOOKUP(Table4[[#This Row],[Player No]],Table10[[No]:[Province]],2,0),"")</f>
        <v xml:space="preserve">HOFFMAN Luizin </v>
      </c>
      <c r="G120" s="65" t="str">
        <f>IFERROR(VLOOKUP(Table4[[#This Row],[Player No]],Table10[[No]:[Province]],3,0),"")</f>
        <v>CW</v>
      </c>
      <c r="H120" s="66">
        <v>0</v>
      </c>
      <c r="I120" s="96">
        <v>14.5</v>
      </c>
      <c r="J120" s="124">
        <f>(Table4[[#This Row],[Points 2025]]/2)+SUM(Table4[[#This Row],[O1  ADMIN 2026]:[P2         WC    Open 2026]])</f>
        <v>7.25</v>
      </c>
      <c r="K120" s="106">
        <f t="shared" si="6"/>
        <v>0</v>
      </c>
      <c r="L120" s="106">
        <f t="shared" si="7"/>
        <v>0</v>
      </c>
      <c r="M120" s="106" t="s">
        <v>6083</v>
      </c>
      <c r="N120" s="114" t="s">
        <v>6083</v>
      </c>
      <c r="O120" s="114" t="s">
        <v>6083</v>
      </c>
      <c r="P120" s="114"/>
      <c r="Q120" s="63"/>
      <c r="R120" s="63"/>
      <c r="S120" s="114"/>
      <c r="T120" s="114"/>
      <c r="U120" s="63"/>
      <c r="V120" s="114"/>
      <c r="W120" s="63"/>
      <c r="X120" s="845"/>
      <c r="Y120" s="708"/>
      <c r="Z120" s="63"/>
      <c r="AA120" s="63"/>
      <c r="AB120" s="114"/>
      <c r="AC120" s="63"/>
      <c r="AD120" s="114"/>
      <c r="AE120" s="63">
        <v>15</v>
      </c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</row>
    <row r="121" spans="1:41" s="58" customFormat="1">
      <c r="A121" s="85" t="str">
        <f>IFERROR(VLOOKUP(Table4[[#This Row],[Player No]],Table10[[#All],[No]:[Age Group]],4,0),"")</f>
        <v>U19</v>
      </c>
      <c r="B121" s="87"/>
      <c r="C121" s="88">
        <f t="shared" si="9"/>
        <v>-117</v>
      </c>
      <c r="D121" s="61">
        <f t="shared" si="8"/>
        <v>117</v>
      </c>
      <c r="E121" s="63">
        <v>3630</v>
      </c>
      <c r="F121" s="64" t="str">
        <f>IFERROR(VLOOKUP(Table4[[#This Row],[Player No]],Table10[[No]:[Province]],2,0),"")</f>
        <v>ANTHONY Auburn</v>
      </c>
      <c r="G121" s="65" t="str">
        <f>IFERROR(VLOOKUP(Table4[[#This Row],[Player No]],Table10[[No]:[Province]],3,0),"")</f>
        <v>CW</v>
      </c>
      <c r="H121" s="66">
        <v>25</v>
      </c>
      <c r="I121" s="96">
        <v>13.75</v>
      </c>
      <c r="J121" s="124">
        <f>(Table4[[#This Row],[Points 2025]]/2)+SUM(Table4[[#This Row],[O1  ADMIN 2026]:[P2         WC    Open 2026]])</f>
        <v>6.875</v>
      </c>
      <c r="K121" s="106">
        <f t="shared" si="6"/>
        <v>0</v>
      </c>
      <c r="L121" s="106">
        <f t="shared" si="7"/>
        <v>0</v>
      </c>
      <c r="M121" s="106" t="s">
        <v>6083</v>
      </c>
      <c r="N121" s="114" t="s">
        <v>6083</v>
      </c>
      <c r="O121" s="114" t="s">
        <v>6083</v>
      </c>
      <c r="P121" s="114"/>
      <c r="Q121" s="63"/>
      <c r="R121" s="63"/>
      <c r="S121" s="114"/>
      <c r="T121" s="114"/>
      <c r="U121" s="63"/>
      <c r="V121" s="114"/>
      <c r="W121" s="63"/>
      <c r="X121" s="845"/>
      <c r="Y121" s="708"/>
      <c r="Z121" s="63"/>
      <c r="AA121" s="63"/>
      <c r="AB121" s="114"/>
      <c r="AC121" s="63"/>
      <c r="AD121" s="114"/>
      <c r="AE121" s="63">
        <v>2</v>
      </c>
      <c r="AF121" s="63"/>
      <c r="AG121" s="63"/>
      <c r="AH121" s="63"/>
      <c r="AI121" s="63">
        <v>25</v>
      </c>
      <c r="AJ121" s="63"/>
      <c r="AK121" s="63"/>
      <c r="AL121" s="63"/>
      <c r="AM121" s="63"/>
      <c r="AN121" s="63"/>
      <c r="AO121" s="63"/>
    </row>
    <row r="122" spans="1:41" s="58" customFormat="1">
      <c r="A122" s="85" t="str">
        <f>IFERROR(VLOOKUP(Table4[[#This Row],[Player No]],Table10[[#All],[No]:[Age Group]],4,0),"")</f>
        <v>U13</v>
      </c>
      <c r="B122" s="87">
        <v>47</v>
      </c>
      <c r="C122" s="88">
        <f t="shared" si="9"/>
        <v>-71</v>
      </c>
      <c r="D122" s="61">
        <f t="shared" si="8"/>
        <v>118</v>
      </c>
      <c r="E122" s="63">
        <v>2136</v>
      </c>
      <c r="F122" s="64" t="str">
        <f>IFERROR(VLOOKUP(Table4[[#This Row],[Player No]],Table10[[No]:[Province]],2,0),"")</f>
        <v>FOURIE Barend</v>
      </c>
      <c r="G122" s="65" t="str">
        <f>IFERROR(VLOOKUP(Table4[[#This Row],[Player No]],Table10[[No]:[Province]],3,0),"")</f>
        <v>FS</v>
      </c>
      <c r="H122" s="66">
        <v>27.5</v>
      </c>
      <c r="I122" s="96">
        <v>13</v>
      </c>
      <c r="J122" s="124">
        <f>(Table4[[#This Row],[Points 2025]]/2)+SUM(Table4[[#This Row],[O1  ADMIN 2026]:[P2         WC    Open 2026]])</f>
        <v>6.5</v>
      </c>
      <c r="K122" s="106">
        <f t="shared" si="6"/>
        <v>0</v>
      </c>
      <c r="L122" s="106">
        <f t="shared" si="7"/>
        <v>0</v>
      </c>
      <c r="M122" s="106" t="s">
        <v>6083</v>
      </c>
      <c r="N122" s="114" t="s">
        <v>6083</v>
      </c>
      <c r="O122" s="114" t="s">
        <v>6083</v>
      </c>
      <c r="P122" s="114"/>
      <c r="Q122" s="63"/>
      <c r="R122" s="63"/>
      <c r="S122" s="114"/>
      <c r="T122" s="114"/>
      <c r="U122" s="63"/>
      <c r="V122" s="114"/>
      <c r="W122" s="63"/>
      <c r="X122" s="845"/>
      <c r="Y122" s="708"/>
      <c r="Z122" s="63"/>
      <c r="AA122" s="63"/>
      <c r="AB122" s="114"/>
      <c r="AC122" s="63"/>
      <c r="AD122" s="114"/>
      <c r="AE122" s="63"/>
      <c r="AF122" s="63"/>
      <c r="AG122" s="63"/>
      <c r="AH122" s="63"/>
      <c r="AI122" s="63"/>
      <c r="AJ122" s="63">
        <v>10</v>
      </c>
      <c r="AK122" s="63"/>
      <c r="AL122" s="63"/>
      <c r="AM122" s="63"/>
      <c r="AN122" s="63"/>
      <c r="AO122" s="63"/>
    </row>
    <row r="123" spans="1:41" s="58" customFormat="1">
      <c r="A123" s="85" t="str">
        <f>IFERROR(VLOOKUP(Table4[[#This Row],[Player No]],Table10[[#All],[No]:[Age Group]],4,0),"")</f>
        <v>U15</v>
      </c>
      <c r="B123" s="87">
        <v>210</v>
      </c>
      <c r="C123" s="88">
        <f t="shared" si="9"/>
        <v>91</v>
      </c>
      <c r="D123" s="61">
        <f t="shared" si="8"/>
        <v>119</v>
      </c>
      <c r="E123" s="63">
        <v>3390</v>
      </c>
      <c r="F123" s="64" t="str">
        <f>IFERROR(VLOOKUP(Table4[[#This Row],[Player No]],Table10[[No]:[Province]],2,0),"")</f>
        <v>SOLOMONS Kyle</v>
      </c>
      <c r="G123" s="65" t="str">
        <f>IFERROR(VLOOKUP(Table4[[#This Row],[Player No]],Table10[[No]:[Province]],3,0),"")</f>
        <v>CW</v>
      </c>
      <c r="H123" s="66">
        <v>26</v>
      </c>
      <c r="I123" s="96">
        <v>13</v>
      </c>
      <c r="J123" s="124">
        <f>(Table4[[#This Row],[Points 2025]]/2)+SUM(Table4[[#This Row],[O1  ADMIN 2026]:[P2         WC    Open 2026]])</f>
        <v>6.5</v>
      </c>
      <c r="K123" s="106">
        <f t="shared" si="6"/>
        <v>0</v>
      </c>
      <c r="L123" s="106">
        <f t="shared" si="7"/>
        <v>0</v>
      </c>
      <c r="M123" s="106" t="s">
        <v>6083</v>
      </c>
      <c r="N123" s="114" t="s">
        <v>6083</v>
      </c>
      <c r="O123" s="114" t="s">
        <v>6083</v>
      </c>
      <c r="P123" s="114"/>
      <c r="Q123" s="63"/>
      <c r="R123" s="63"/>
      <c r="S123" s="114"/>
      <c r="T123" s="114"/>
      <c r="U123" s="63"/>
      <c r="V123" s="114"/>
      <c r="W123" s="63"/>
      <c r="X123" s="845"/>
      <c r="Y123" s="708"/>
      <c r="Z123" s="63"/>
      <c r="AA123" s="63"/>
      <c r="AB123" s="114"/>
      <c r="AC123" s="63"/>
      <c r="AD123" s="114"/>
      <c r="AE123" s="63"/>
      <c r="AF123" s="63"/>
      <c r="AG123" s="63"/>
      <c r="AH123" s="63">
        <v>1</v>
      </c>
      <c r="AI123" s="63">
        <v>25</v>
      </c>
      <c r="AJ123" s="63"/>
      <c r="AK123" s="63"/>
      <c r="AL123" s="63"/>
      <c r="AM123" s="63"/>
      <c r="AN123" s="63"/>
      <c r="AO123" s="63"/>
    </row>
    <row r="124" spans="1:41" s="58" customFormat="1">
      <c r="A124" s="85">
        <f>IFERROR(VLOOKUP(Table4[[#This Row],[Player No]],Table10[[#All],[No]:[Age Group]],4,0),"")</f>
        <v>0</v>
      </c>
      <c r="B124" s="87" t="e">
        <f>VLOOKUP([5]!Table4[[#This Row],[Player No]],'[6]u19 boys'!$E$5:$F$216,2,0)</f>
        <v>#REF!</v>
      </c>
      <c r="C124" s="285" t="e">
        <f t="shared" si="9"/>
        <v>#REF!</v>
      </c>
      <c r="D124" s="61">
        <f t="shared" si="8"/>
        <v>120</v>
      </c>
      <c r="E124" s="169">
        <v>3754</v>
      </c>
      <c r="F124" s="64" t="str">
        <f>IFERROR(VLOOKUP(Table4[[#This Row],[Player No]],Table10[[No]:[Province]],2,0),"")</f>
        <v>ECCLES Sazi</v>
      </c>
      <c r="G124" s="65" t="str">
        <f>IFERROR(VLOOKUP(Table4[[#This Row],[Player No]],Table10[[No]:[Province]],3,0),"")</f>
        <v>GN</v>
      </c>
      <c r="H124" s="170">
        <v>0</v>
      </c>
      <c r="I124" s="96">
        <v>13</v>
      </c>
      <c r="J124" s="124">
        <f>(Table4[[#This Row],[Points 2025]]/2)+SUM(Table4[[#This Row],[O1  ADMIN 2026]:[P2         WC    Open 2026]])</f>
        <v>6.5</v>
      </c>
      <c r="K124" s="106">
        <f t="shared" si="6"/>
        <v>0</v>
      </c>
      <c r="L124" s="106">
        <f t="shared" si="7"/>
        <v>0</v>
      </c>
      <c r="M124" s="106" t="s">
        <v>6083</v>
      </c>
      <c r="N124" s="114" t="s">
        <v>6083</v>
      </c>
      <c r="O124" s="114" t="s">
        <v>6083</v>
      </c>
      <c r="P124" s="114"/>
      <c r="Q124" s="169"/>
      <c r="R124" s="169"/>
      <c r="S124" s="318"/>
      <c r="T124" s="318"/>
      <c r="U124" s="169"/>
      <c r="V124" s="318"/>
      <c r="W124" s="169"/>
      <c r="X124" s="846"/>
      <c r="Y124" s="713"/>
      <c r="Z124" s="169"/>
      <c r="AA124" s="169">
        <v>1</v>
      </c>
      <c r="AB124" s="318">
        <v>12</v>
      </c>
      <c r="AC124" s="169"/>
      <c r="AD124" s="318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</row>
    <row r="125" spans="1:41" s="58" customFormat="1">
      <c r="A125" s="85">
        <f>IFERROR(VLOOKUP(Table4[[#This Row],[Player No]],Table10[[#All],[No]:[Age Group]],4,0),"")</f>
        <v>0</v>
      </c>
      <c r="B125" s="87" t="e">
        <f>VLOOKUP([5]!Table4[[#This Row],[Player No]],'[6]u19 boys'!$E$5:$F$216,2,0)</f>
        <v>#REF!</v>
      </c>
      <c r="C125" s="88" t="e">
        <f t="shared" si="9"/>
        <v>#REF!</v>
      </c>
      <c r="D125" s="61">
        <f t="shared" si="8"/>
        <v>121</v>
      </c>
      <c r="E125" s="169">
        <v>4319</v>
      </c>
      <c r="F125" s="64" t="str">
        <f>IFERROR(VLOOKUP(Table4[[#This Row],[Player No]],Table10[[No]:[Province]],2,0),"")</f>
        <v>HUI Zhibo</v>
      </c>
      <c r="G125" s="65" t="str">
        <f>IFERROR(VLOOKUP(Table4[[#This Row],[Player No]],Table10[[No]:[Province]],3,0),"")</f>
        <v>JTTA</v>
      </c>
      <c r="H125" s="170">
        <v>0</v>
      </c>
      <c r="I125" s="96">
        <v>12.75</v>
      </c>
      <c r="J125" s="124">
        <f>(Table4[[#This Row],[Points 2025]]/2)+SUM(Table4[[#This Row],[O1  ADMIN 2026]:[P2         WC    Open 2026]])</f>
        <v>6.375</v>
      </c>
      <c r="K125" s="106">
        <f t="shared" si="6"/>
        <v>0</v>
      </c>
      <c r="L125" s="106">
        <f t="shared" si="7"/>
        <v>0</v>
      </c>
      <c r="M125" s="106" t="s">
        <v>6083</v>
      </c>
      <c r="N125" s="114" t="s">
        <v>6083</v>
      </c>
      <c r="O125" s="114" t="s">
        <v>6083</v>
      </c>
      <c r="P125" s="114"/>
      <c r="Q125" s="169"/>
      <c r="R125" s="169"/>
      <c r="S125" s="318"/>
      <c r="T125" s="318"/>
      <c r="U125" s="169"/>
      <c r="V125" s="318"/>
      <c r="W125" s="169"/>
      <c r="X125" s="846"/>
      <c r="Y125" s="713"/>
      <c r="Z125" s="169"/>
      <c r="AA125" s="169"/>
      <c r="AB125" s="318">
        <v>12</v>
      </c>
      <c r="AC125" s="169">
        <v>1</v>
      </c>
      <c r="AD125" s="318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</row>
    <row r="126" spans="1:41" s="58" customFormat="1">
      <c r="A126" s="85">
        <f>IFERROR(VLOOKUP(Table4[[#This Row],[Player No]],Table10[[#All],[No]:[Age Group]],4,0),"")</f>
        <v>0</v>
      </c>
      <c r="B126" s="87">
        <v>210</v>
      </c>
      <c r="C126" s="88">
        <f t="shared" si="9"/>
        <v>88</v>
      </c>
      <c r="D126" s="61">
        <f t="shared" si="8"/>
        <v>122</v>
      </c>
      <c r="E126" s="63">
        <v>3309</v>
      </c>
      <c r="F126" s="64" t="str">
        <f>IFERROR(VLOOKUP(Table4[[#This Row],[Player No]],Table10[[No]:[Province]],2,0),"")</f>
        <v>DIEDERICKS Edwin</v>
      </c>
      <c r="G126" s="65" t="str">
        <f>IFERROR(VLOOKUP(Table4[[#This Row],[Player No]],Table10[[No]:[Province]],3,0),"")</f>
        <v>JTTA</v>
      </c>
      <c r="H126" s="66">
        <v>25.5</v>
      </c>
      <c r="I126" s="96">
        <v>12.5</v>
      </c>
      <c r="J126" s="124">
        <f>(Table4[[#This Row],[Points 2025]]/2)+SUM(Table4[[#This Row],[O1  ADMIN 2026]:[P2         WC    Open 2026]])</f>
        <v>6.25</v>
      </c>
      <c r="K126" s="106">
        <f t="shared" si="6"/>
        <v>0</v>
      </c>
      <c r="L126" s="106">
        <f t="shared" si="7"/>
        <v>0</v>
      </c>
      <c r="M126" s="106" t="s">
        <v>6083</v>
      </c>
      <c r="N126" s="114" t="s">
        <v>6083</v>
      </c>
      <c r="O126" s="114" t="s">
        <v>6083</v>
      </c>
      <c r="P126" s="114"/>
      <c r="Q126" s="63"/>
      <c r="R126" s="63"/>
      <c r="S126" s="114"/>
      <c r="T126" s="114"/>
      <c r="U126" s="63"/>
      <c r="V126" s="114"/>
      <c r="W126" s="63"/>
      <c r="X126" s="845"/>
      <c r="Y126" s="708"/>
      <c r="Z126" s="63"/>
      <c r="AA126" s="63"/>
      <c r="AB126" s="114"/>
      <c r="AC126" s="63"/>
      <c r="AD126" s="114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</row>
    <row r="127" spans="1:41" s="58" customFormat="1">
      <c r="A127" s="85" t="str">
        <f>IFERROR(VLOOKUP(Table4[[#This Row],[Player No]],Table10[[#All],[No]:[Age Group]],4,0),"")</f>
        <v>U15</v>
      </c>
      <c r="B127" s="87"/>
      <c r="C127" s="88">
        <f t="shared" si="9"/>
        <v>-123</v>
      </c>
      <c r="D127" s="61">
        <f t="shared" si="8"/>
        <v>123</v>
      </c>
      <c r="E127" s="63">
        <v>3691</v>
      </c>
      <c r="F127" s="64" t="str">
        <f>IFERROR(VLOOKUP(Table4[[#This Row],[Player No]],Table10[[No]:[Province]],2,0),"")</f>
        <v>MOHAMMED Sajaid</v>
      </c>
      <c r="G127" s="65" t="str">
        <f>IFERROR(VLOOKUP(Table4[[#This Row],[Player No]],Table10[[No]:[Province]],3,0),"")</f>
        <v>Eden</v>
      </c>
      <c r="H127" s="66">
        <v>25</v>
      </c>
      <c r="I127" s="96">
        <v>12.5</v>
      </c>
      <c r="J127" s="124">
        <f>(Table4[[#This Row],[Points 2025]]/2)+SUM(Table4[[#This Row],[O1  ADMIN 2026]:[P2         WC    Open 2026]])</f>
        <v>6.25</v>
      </c>
      <c r="K127" s="106">
        <f t="shared" si="6"/>
        <v>0</v>
      </c>
      <c r="L127" s="106">
        <f t="shared" si="7"/>
        <v>0</v>
      </c>
      <c r="M127" s="106" t="s">
        <v>6083</v>
      </c>
      <c r="N127" s="114" t="s">
        <v>6083</v>
      </c>
      <c r="O127" s="114" t="s">
        <v>6083</v>
      </c>
      <c r="P127" s="114"/>
      <c r="Q127" s="63"/>
      <c r="R127" s="63"/>
      <c r="S127" s="114"/>
      <c r="T127" s="114"/>
      <c r="U127" s="63"/>
      <c r="V127" s="114"/>
      <c r="W127" s="63"/>
      <c r="X127" s="845"/>
      <c r="Y127" s="708"/>
      <c r="Z127" s="63"/>
      <c r="AA127" s="63"/>
      <c r="AB127" s="114"/>
      <c r="AC127" s="63"/>
      <c r="AD127" s="114"/>
      <c r="AE127" s="63"/>
      <c r="AF127" s="63"/>
      <c r="AG127" s="63"/>
      <c r="AH127" s="63"/>
      <c r="AI127" s="63">
        <v>25</v>
      </c>
      <c r="AJ127" s="63"/>
      <c r="AK127" s="63"/>
      <c r="AL127" s="63"/>
      <c r="AM127" s="63"/>
      <c r="AN127" s="63"/>
      <c r="AO127" s="63"/>
    </row>
    <row r="128" spans="1:41" s="58" customFormat="1">
      <c r="A128" s="85" t="str">
        <f>IFERROR(VLOOKUP(Table4[[#This Row],[Player No]],Table10[[#All],[No]:[Age Group]],4,0),"")</f>
        <v>U19</v>
      </c>
      <c r="B128" s="87">
        <v>113</v>
      </c>
      <c r="C128" s="88">
        <f t="shared" si="9"/>
        <v>-11</v>
      </c>
      <c r="D128" s="61">
        <f t="shared" si="8"/>
        <v>124</v>
      </c>
      <c r="E128" s="63">
        <v>3759</v>
      </c>
      <c r="F128" s="64" t="str">
        <f>IFERROR(VLOOKUP(Table4[[#This Row],[Player No]],Table10[[No]:[Province]],2,0),"")</f>
        <v>JOSEPH Amaru</v>
      </c>
      <c r="G128" s="65" t="str">
        <f>IFERROR(VLOOKUP(Table4[[#This Row],[Player No]],Table10[[No]:[Province]],3,0),"")</f>
        <v>WC</v>
      </c>
      <c r="H128" s="66">
        <v>25</v>
      </c>
      <c r="I128" s="96">
        <v>12.5</v>
      </c>
      <c r="J128" s="124">
        <f>(Table4[[#This Row],[Points 2025]]/2)+SUM(Table4[[#This Row],[O1  ADMIN 2026]:[P2         WC    Open 2026]])</f>
        <v>6.25</v>
      </c>
      <c r="K128" s="106">
        <f t="shared" si="6"/>
        <v>0</v>
      </c>
      <c r="L128" s="106">
        <f t="shared" si="7"/>
        <v>0</v>
      </c>
      <c r="M128" s="106" t="s">
        <v>6083</v>
      </c>
      <c r="N128" s="114" t="s">
        <v>6083</v>
      </c>
      <c r="O128" s="114" t="s">
        <v>6083</v>
      </c>
      <c r="P128" s="114"/>
      <c r="Q128" s="63"/>
      <c r="R128" s="63"/>
      <c r="S128" s="114"/>
      <c r="T128" s="114"/>
      <c r="U128" s="63"/>
      <c r="V128" s="114"/>
      <c r="W128" s="63"/>
      <c r="X128" s="845">
        <v>0</v>
      </c>
      <c r="Y128" s="708"/>
      <c r="Z128" s="63"/>
      <c r="AA128" s="63"/>
      <c r="AB128" s="114"/>
      <c r="AC128" s="63"/>
      <c r="AD128" s="114"/>
      <c r="AE128" s="63"/>
      <c r="AF128" s="63"/>
      <c r="AG128" s="63"/>
      <c r="AH128" s="63">
        <v>25</v>
      </c>
      <c r="AI128" s="63"/>
      <c r="AJ128" s="63"/>
      <c r="AK128" s="63"/>
      <c r="AL128" s="63"/>
      <c r="AM128" s="63"/>
      <c r="AN128" s="63"/>
      <c r="AO128" s="63"/>
    </row>
    <row r="129" spans="1:41" s="58" customFormat="1">
      <c r="A129" s="85">
        <f>IFERROR(VLOOKUP(Table4[[#This Row],[Player No]],Table10[[#All],[No]:[Age Group]],4,0),"")</f>
        <v>0</v>
      </c>
      <c r="B129" s="87"/>
      <c r="C129" s="88">
        <f t="shared" si="9"/>
        <v>-125</v>
      </c>
      <c r="D129" s="61">
        <f t="shared" si="8"/>
        <v>125</v>
      </c>
      <c r="E129" s="63">
        <v>3884</v>
      </c>
      <c r="F129" s="64" t="str">
        <f>IFERROR(VLOOKUP(Table4[[#This Row],[Player No]],Table10[[No]:[Province]],2,0),"")</f>
        <v>PHILANDER Deagan</v>
      </c>
      <c r="G129" s="65" t="str">
        <f>IFERROR(VLOOKUP(Table4[[#This Row],[Player No]],Table10[[No]:[Province]],3,0),"")</f>
        <v>CW</v>
      </c>
      <c r="H129" s="66">
        <v>25</v>
      </c>
      <c r="I129" s="96">
        <v>12.5</v>
      </c>
      <c r="J129" s="124">
        <f>(Table4[[#This Row],[Points 2025]]/2)+SUM(Table4[[#This Row],[O1  ADMIN 2026]:[P2         WC    Open 2026]])</f>
        <v>6.25</v>
      </c>
      <c r="K129" s="106">
        <f t="shared" si="6"/>
        <v>0</v>
      </c>
      <c r="L129" s="106">
        <f t="shared" si="7"/>
        <v>0</v>
      </c>
      <c r="M129" s="106" t="s">
        <v>6083</v>
      </c>
      <c r="N129" s="114" t="s">
        <v>6083</v>
      </c>
      <c r="O129" s="114" t="s">
        <v>6083</v>
      </c>
      <c r="P129" s="114"/>
      <c r="Q129" s="63"/>
      <c r="R129" s="63"/>
      <c r="S129" s="114"/>
      <c r="T129" s="114"/>
      <c r="U129" s="63"/>
      <c r="V129" s="114"/>
      <c r="W129" s="63"/>
      <c r="X129" s="845"/>
      <c r="Y129" s="708"/>
      <c r="Z129" s="63"/>
      <c r="AA129" s="63"/>
      <c r="AB129" s="114"/>
      <c r="AC129" s="63"/>
      <c r="AD129" s="114"/>
      <c r="AE129" s="63"/>
      <c r="AF129" s="63"/>
      <c r="AG129" s="63"/>
      <c r="AH129" s="63"/>
      <c r="AI129" s="63">
        <v>25</v>
      </c>
      <c r="AJ129" s="63"/>
      <c r="AK129" s="63"/>
      <c r="AL129" s="63"/>
      <c r="AM129" s="63"/>
      <c r="AN129" s="63"/>
      <c r="AO129" s="63"/>
    </row>
    <row r="130" spans="1:41" s="58" customFormat="1">
      <c r="A130" s="85" t="str">
        <f>IFERROR(VLOOKUP(Table4[[#This Row],[Player No]],Table10[[#All],[No]:[Age Group]],4,0),"")</f>
        <v>U19</v>
      </c>
      <c r="B130" s="87"/>
      <c r="C130" s="88">
        <f t="shared" si="9"/>
        <v>-126</v>
      </c>
      <c r="D130" s="61">
        <f t="shared" si="8"/>
        <v>126</v>
      </c>
      <c r="E130" s="63">
        <v>3998</v>
      </c>
      <c r="F130" s="64" t="str">
        <f>IFERROR(VLOOKUP(Table4[[#This Row],[Player No]],Table10[[No]:[Province]],2,0),"")</f>
        <v>LETSOALO  Ranti</v>
      </c>
      <c r="G130" s="65" t="str">
        <f>IFERROR(VLOOKUP(Table4[[#This Row],[Player No]],Table10[[No]:[Province]],3,0),"")</f>
        <v>LIM</v>
      </c>
      <c r="H130" s="66">
        <v>25</v>
      </c>
      <c r="I130" s="96">
        <v>12.5</v>
      </c>
      <c r="J130" s="124">
        <f>(Table4[[#This Row],[Points 2025]]/2)+SUM(Table4[[#This Row],[O1  ADMIN 2026]:[P2         WC    Open 2026]])</f>
        <v>6.25</v>
      </c>
      <c r="K130" s="106">
        <f t="shared" si="6"/>
        <v>0</v>
      </c>
      <c r="L130" s="106">
        <f t="shared" si="7"/>
        <v>0</v>
      </c>
      <c r="M130" s="106" t="s">
        <v>6083</v>
      </c>
      <c r="N130" s="114" t="s">
        <v>6083</v>
      </c>
      <c r="O130" s="114" t="s">
        <v>6083</v>
      </c>
      <c r="P130" s="114"/>
      <c r="Q130" s="63"/>
      <c r="R130" s="63"/>
      <c r="S130" s="114"/>
      <c r="T130" s="114"/>
      <c r="U130" s="63"/>
      <c r="V130" s="114"/>
      <c r="W130" s="63"/>
      <c r="X130" s="845"/>
      <c r="Y130" s="708"/>
      <c r="Z130" s="63"/>
      <c r="AA130" s="63"/>
      <c r="AB130" s="114"/>
      <c r="AC130" s="63"/>
      <c r="AD130" s="114"/>
      <c r="AE130" s="63"/>
      <c r="AF130" s="63"/>
      <c r="AG130" s="63"/>
      <c r="AH130" s="63"/>
      <c r="AI130" s="63"/>
      <c r="AJ130" s="63">
        <v>25</v>
      </c>
      <c r="AK130" s="63"/>
      <c r="AL130" s="63"/>
      <c r="AM130" s="63"/>
      <c r="AN130" s="63"/>
      <c r="AO130" s="63"/>
    </row>
    <row r="131" spans="1:41" s="58" customFormat="1">
      <c r="A131" s="85">
        <f>IFERROR(VLOOKUP(Table4[[#This Row],[Player No]],Table10[[#All],[No]:[Age Group]],4,0),"")</f>
        <v>0</v>
      </c>
      <c r="B131" s="87">
        <v>50</v>
      </c>
      <c r="C131" s="88">
        <f t="shared" si="9"/>
        <v>-77</v>
      </c>
      <c r="D131" s="61">
        <f t="shared" si="8"/>
        <v>127</v>
      </c>
      <c r="E131" s="63">
        <v>4304</v>
      </c>
      <c r="F131" s="64" t="str">
        <f>IFERROR(VLOOKUP(Table4[[#This Row],[Player No]],Table10[[No]:[Province]],2,0),"")</f>
        <v xml:space="preserve">S Moosa </v>
      </c>
      <c r="G131" s="65" t="str">
        <f>IFERROR(VLOOKUP(Table4[[#This Row],[Player No]],Table10[[No]:[Province]],3,0),"")</f>
        <v>FS</v>
      </c>
      <c r="H131" s="66">
        <v>0</v>
      </c>
      <c r="I131" s="96">
        <v>12</v>
      </c>
      <c r="J131" s="124">
        <f>(Table4[[#This Row],[Points 2025]]/2)+SUM(Table4[[#This Row],[O1  ADMIN 2026]:[P2         WC    Open 2026]])</f>
        <v>6</v>
      </c>
      <c r="K131" s="106">
        <f t="shared" si="6"/>
        <v>0</v>
      </c>
      <c r="L131" s="106">
        <f t="shared" si="7"/>
        <v>0</v>
      </c>
      <c r="M131" s="106" t="s">
        <v>6083</v>
      </c>
      <c r="N131" s="114" t="s">
        <v>6083</v>
      </c>
      <c r="O131" s="114" t="s">
        <v>6083</v>
      </c>
      <c r="P131" s="114"/>
      <c r="Q131" s="63"/>
      <c r="R131" s="63"/>
      <c r="S131" s="114"/>
      <c r="T131" s="114"/>
      <c r="U131" s="63"/>
      <c r="V131" s="114"/>
      <c r="W131" s="63">
        <v>12.5</v>
      </c>
      <c r="X131" s="845"/>
      <c r="Y131" s="708"/>
      <c r="Z131" s="63"/>
      <c r="AA131" s="63"/>
      <c r="AB131" s="114"/>
      <c r="AC131" s="63"/>
      <c r="AD131" s="114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</row>
    <row r="132" spans="1:41" s="58" customFormat="1">
      <c r="A132" s="85" t="str">
        <f>IFERROR(VLOOKUP(Table4[[#This Row],[Player No]],Table10[[#All],[No]:[Age Group]],4,0),"")</f>
        <v>U19</v>
      </c>
      <c r="B132" s="87"/>
      <c r="C132" s="88">
        <f t="shared" si="9"/>
        <v>-128</v>
      </c>
      <c r="D132" s="61">
        <f t="shared" si="8"/>
        <v>128</v>
      </c>
      <c r="E132" s="63">
        <v>3970</v>
      </c>
      <c r="F132" s="64" t="str">
        <f>IFERROR(VLOOKUP(Table4[[#This Row],[Player No]],Table10[[No]:[Province]],2,0),"")</f>
        <v>NOVEMBER  Bulelani</v>
      </c>
      <c r="G132" s="65" t="str">
        <f>IFERROR(VLOOKUP(Table4[[#This Row],[Player No]],Table10[[No]:[Province]],3,0),"")</f>
        <v>EKU</v>
      </c>
      <c r="H132" s="66">
        <v>5</v>
      </c>
      <c r="I132" s="96">
        <v>12</v>
      </c>
      <c r="J132" s="124">
        <f>(Table4[[#This Row],[Points 2025]]/2)+SUM(Table4[[#This Row],[O1  ADMIN 2026]:[P2         WC    Open 2026]])</f>
        <v>6</v>
      </c>
      <c r="K132" s="106">
        <f t="shared" si="6"/>
        <v>0</v>
      </c>
      <c r="L132" s="106">
        <f t="shared" si="7"/>
        <v>0</v>
      </c>
      <c r="M132" s="106" t="s">
        <v>6083</v>
      </c>
      <c r="N132" s="114" t="s">
        <v>6083</v>
      </c>
      <c r="O132" s="114" t="s">
        <v>6083</v>
      </c>
      <c r="P132" s="114"/>
      <c r="Q132" s="63"/>
      <c r="R132" s="63"/>
      <c r="S132" s="114"/>
      <c r="T132" s="114"/>
      <c r="U132" s="63"/>
      <c r="V132" s="114"/>
      <c r="W132" s="63"/>
      <c r="X132" s="845">
        <v>5</v>
      </c>
      <c r="Y132" s="708"/>
      <c r="Z132" s="63">
        <v>0.5</v>
      </c>
      <c r="AA132" s="63"/>
      <c r="AB132" s="114">
        <v>4</v>
      </c>
      <c r="AC132" s="63"/>
      <c r="AD132" s="114"/>
      <c r="AE132" s="63"/>
      <c r="AF132" s="63"/>
      <c r="AG132" s="63"/>
      <c r="AH132" s="63"/>
      <c r="AI132" s="63"/>
      <c r="AJ132" s="63">
        <v>5</v>
      </c>
      <c r="AK132" s="63"/>
      <c r="AL132" s="63"/>
      <c r="AM132" s="63"/>
      <c r="AN132" s="63"/>
      <c r="AO132" s="63"/>
    </row>
    <row r="133" spans="1:41" s="58" customFormat="1">
      <c r="A133" s="85" t="str">
        <f>IFERROR(VLOOKUP(Table4[[#This Row],[Player No]],Table10[[#All],[No]:[Age Group]],4,0),"")</f>
        <v>U11</v>
      </c>
      <c r="B133" s="87" t="e">
        <f>VLOOKUP([5]!Table4[[#This Row],[Player No]],'[6]u19 boys'!$E$5:$F$216,2,0)</f>
        <v>#REF!</v>
      </c>
      <c r="C133" s="285" t="e">
        <f t="shared" ref="C133:C164" si="10">+B133-D133</f>
        <v>#REF!</v>
      </c>
      <c r="D133" s="61">
        <f t="shared" si="8"/>
        <v>129</v>
      </c>
      <c r="E133" s="169">
        <v>3850</v>
      </c>
      <c r="F133" s="64" t="str">
        <f>IFERROR(VLOOKUP(Table4[[#This Row],[Player No]],Table10[[No]:[Province]],2,0),"")</f>
        <v>PADAYACHEE Vaishant</v>
      </c>
      <c r="G133" s="65" t="str">
        <f>IFERROR(VLOOKUP(Table4[[#This Row],[Player No]],Table10[[No]:[Province]],3,0),"")</f>
        <v>JTTA</v>
      </c>
      <c r="H133" s="170">
        <v>0</v>
      </c>
      <c r="I133" s="96">
        <v>10</v>
      </c>
      <c r="J133" s="124">
        <f>(Table4[[#This Row],[Points 2025]]/2)+SUM(Table4[[#This Row],[O1  ADMIN 2026]:[P2         WC    Open 2026]])</f>
        <v>6</v>
      </c>
      <c r="K133" s="106">
        <f t="shared" ref="K133:K196" si="11">COUNTIF(M133:P133,"&gt;0")</f>
        <v>1</v>
      </c>
      <c r="L133" s="106">
        <f t="shared" ref="L133:L196" si="12">COUNTIF(N133:AO133,"&lt;0")</f>
        <v>0</v>
      </c>
      <c r="M133" s="106">
        <v>1</v>
      </c>
      <c r="N133" s="114" t="s">
        <v>6083</v>
      </c>
      <c r="O133" s="114" t="s">
        <v>6083</v>
      </c>
      <c r="P133" s="114"/>
      <c r="Q133" s="169"/>
      <c r="R133" s="169"/>
      <c r="S133" s="318"/>
      <c r="T133" s="318"/>
      <c r="U133" s="169"/>
      <c r="V133" s="318"/>
      <c r="W133" s="169"/>
      <c r="X133" s="846"/>
      <c r="Y133" s="713"/>
      <c r="Z133" s="169"/>
      <c r="AA133" s="169">
        <v>10</v>
      </c>
      <c r="AB133" s="318"/>
      <c r="AC133" s="169"/>
      <c r="AD133" s="318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</row>
    <row r="134" spans="1:41" s="58" customFormat="1">
      <c r="A134" s="85">
        <f>IFERROR(VLOOKUP(Table4[[#This Row],[Player No]],Table10[[#All],[No]:[Age Group]],4,0),"")</f>
        <v>0</v>
      </c>
      <c r="B134" s="87">
        <v>103</v>
      </c>
      <c r="C134" s="88">
        <f t="shared" si="10"/>
        <v>-27</v>
      </c>
      <c r="D134" s="61">
        <f t="shared" si="8"/>
        <v>130</v>
      </c>
      <c r="E134" s="63">
        <v>2569</v>
      </c>
      <c r="F134" s="64" t="str">
        <f>IFERROR(VLOOKUP(Table4[[#This Row],[Player No]],Table10[[No]:[Province]],2,0),"")</f>
        <v>DAVIDS Liam</v>
      </c>
      <c r="G134" s="65" t="str">
        <f>IFERROR(VLOOKUP(Table4[[#This Row],[Player No]],Table10[[No]:[Province]],3,0),"")</f>
        <v>CT</v>
      </c>
      <c r="H134" s="66">
        <v>23.25</v>
      </c>
      <c r="I134" s="96">
        <v>11</v>
      </c>
      <c r="J134" s="124">
        <f>(Table4[[#This Row],[Points 2025]]/2)+SUM(Table4[[#This Row],[O1  ADMIN 2026]:[P2         WC    Open 2026]])</f>
        <v>5.5</v>
      </c>
      <c r="K134" s="106">
        <f t="shared" si="11"/>
        <v>0</v>
      </c>
      <c r="L134" s="106">
        <f t="shared" si="12"/>
        <v>0</v>
      </c>
      <c r="M134" s="106" t="s">
        <v>6083</v>
      </c>
      <c r="N134" s="114" t="s">
        <v>6083</v>
      </c>
      <c r="O134" s="114" t="s">
        <v>6083</v>
      </c>
      <c r="P134" s="114"/>
      <c r="Q134" s="63"/>
      <c r="R134" s="63"/>
      <c r="S134" s="114"/>
      <c r="T134" s="114"/>
      <c r="U134" s="63"/>
      <c r="V134" s="114"/>
      <c r="W134" s="63"/>
      <c r="X134" s="845"/>
      <c r="Y134" s="708"/>
      <c r="Z134" s="63"/>
      <c r="AA134" s="63"/>
      <c r="AB134" s="114"/>
      <c r="AC134" s="63"/>
      <c r="AD134" s="114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</row>
    <row r="135" spans="1:41" s="58" customFormat="1">
      <c r="A135" s="85">
        <f>IFERROR(VLOOKUP(Table4[[#This Row],[Player No]],Table10[[#All],[No]:[Age Group]],4,0),"")</f>
        <v>0</v>
      </c>
      <c r="B135" s="87" t="e">
        <f>VLOOKUP([5]!Table4[[#This Row],[Player No]],'[6]u19 boys'!$E$5:$F$216,2,0)</f>
        <v>#REF!</v>
      </c>
      <c r="C135" s="88" t="e">
        <f t="shared" si="10"/>
        <v>#REF!</v>
      </c>
      <c r="D135" s="61">
        <f t="shared" ref="D135:D198" si="13">D134+1</f>
        <v>131</v>
      </c>
      <c r="E135" s="63">
        <v>3960</v>
      </c>
      <c r="F135" s="64" t="str">
        <f>IFERROR(VLOOKUP(Table4[[#This Row],[Player No]],Table10[[No]:[Province]],2,0),"")</f>
        <v>JANSEN Evan</v>
      </c>
      <c r="G135" s="65" t="str">
        <f>IFERROR(VLOOKUP(Table4[[#This Row],[Player No]],Table10[[No]:[Province]],3,0),"")</f>
        <v>Eden</v>
      </c>
      <c r="H135" s="66">
        <v>2</v>
      </c>
      <c r="I135" s="96">
        <v>10</v>
      </c>
      <c r="J135" s="124">
        <f>(Table4[[#This Row],[Points 2025]]/2)+SUM(Table4[[#This Row],[O1  ADMIN 2026]:[P2         WC    Open 2026]])</f>
        <v>5</v>
      </c>
      <c r="K135" s="106">
        <f t="shared" si="11"/>
        <v>0</v>
      </c>
      <c r="L135" s="106">
        <f t="shared" si="12"/>
        <v>0</v>
      </c>
      <c r="M135" s="106" t="s">
        <v>6083</v>
      </c>
      <c r="N135" s="114" t="s">
        <v>6083</v>
      </c>
      <c r="O135" s="114" t="s">
        <v>6083</v>
      </c>
      <c r="P135" s="114"/>
      <c r="Q135" s="63"/>
      <c r="R135" s="63"/>
      <c r="S135" s="114"/>
      <c r="T135" s="114"/>
      <c r="U135" s="63"/>
      <c r="V135" s="114"/>
      <c r="W135" s="63"/>
      <c r="X135" s="845">
        <v>10</v>
      </c>
      <c r="Y135" s="708"/>
      <c r="Z135" s="63"/>
      <c r="AA135" s="63"/>
      <c r="AB135" s="114"/>
      <c r="AC135" s="63"/>
      <c r="AD135" s="114"/>
      <c r="AE135" s="63"/>
      <c r="AF135" s="63"/>
      <c r="AG135" s="63"/>
      <c r="AH135" s="63"/>
      <c r="AI135" s="63">
        <v>2</v>
      </c>
      <c r="AJ135" s="63"/>
      <c r="AK135" s="63"/>
      <c r="AL135" s="63"/>
      <c r="AM135" s="63"/>
      <c r="AN135" s="63"/>
      <c r="AO135" s="63"/>
    </row>
    <row r="136" spans="1:41" s="58" customFormat="1">
      <c r="A136" s="85" t="str">
        <f>IFERROR(VLOOKUP(Table4[[#This Row],[Player No]],Table10[[#All],[No]:[Age Group]],4,0),"")</f>
        <v>U19</v>
      </c>
      <c r="B136" s="88"/>
      <c r="C136" s="88">
        <f t="shared" si="10"/>
        <v>-132</v>
      </c>
      <c r="D136" s="61">
        <f t="shared" si="13"/>
        <v>132</v>
      </c>
      <c r="E136" s="63">
        <v>1619</v>
      </c>
      <c r="F136" s="64" t="str">
        <f>IFERROR(VLOOKUP(Table4[[#This Row],[Player No]],Table10[[No]:[Province]],2,0),"")</f>
        <v>THEBEYAME Kgotla</v>
      </c>
      <c r="G136" s="65" t="str">
        <f>IFERROR(VLOOKUP(Table4[[#This Row],[Player No]],Table10[[No]:[Province]],3,0),"")</f>
        <v>BOT</v>
      </c>
      <c r="H136" s="66">
        <v>0</v>
      </c>
      <c r="I136" s="96">
        <v>10</v>
      </c>
      <c r="J136" s="124">
        <f>(Table4[[#This Row],[Points 2025]]/2)+SUM(Table4[[#This Row],[O1  ADMIN 2026]:[P2         WC    Open 2026]])</f>
        <v>5</v>
      </c>
      <c r="K136" s="106">
        <f t="shared" si="11"/>
        <v>0</v>
      </c>
      <c r="L136" s="106">
        <f t="shared" si="12"/>
        <v>0</v>
      </c>
      <c r="M136" s="106" t="s">
        <v>6083</v>
      </c>
      <c r="N136" s="114" t="s">
        <v>6083</v>
      </c>
      <c r="O136" s="114" t="s">
        <v>6083</v>
      </c>
      <c r="P136" s="114"/>
      <c r="Q136" s="63"/>
      <c r="R136" s="63"/>
      <c r="S136" s="114"/>
      <c r="T136" s="114"/>
      <c r="U136" s="63"/>
      <c r="V136" s="114"/>
      <c r="W136" s="63"/>
      <c r="X136" s="847">
        <v>10</v>
      </c>
      <c r="Y136" s="737"/>
      <c r="Z136" s="63"/>
      <c r="AA136" s="63"/>
      <c r="AB136" s="114"/>
      <c r="AC136" s="63"/>
      <c r="AD136" s="114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</row>
    <row r="137" spans="1:41" s="58" customFormat="1">
      <c r="A137" s="85">
        <f>IFERROR(VLOOKUP(Table4[[#This Row],[Player No]],Table10[[#All],[No]:[Age Group]],4,0),"")</f>
        <v>0</v>
      </c>
      <c r="B137" s="87" t="e">
        <f>VLOOKUP([5]!Table4[[#This Row],[Player No]],'[6]u19 boys'!$E$5:$F$216,2,0)</f>
        <v>#REF!</v>
      </c>
      <c r="C137" s="88" t="e">
        <f t="shared" si="10"/>
        <v>#REF!</v>
      </c>
      <c r="D137" s="61">
        <f t="shared" si="13"/>
        <v>133</v>
      </c>
      <c r="E137" s="63">
        <v>3580</v>
      </c>
      <c r="F137" s="64" t="str">
        <f>IFERROR(VLOOKUP(Table4[[#This Row],[Player No]],Table10[[No]:[Province]],2,0),"")</f>
        <v>GRABE Victor</v>
      </c>
      <c r="G137" s="65" t="str">
        <f>IFERROR(VLOOKUP(Table4[[#This Row],[Player No]],Table10[[No]:[Province]],3,0),"")</f>
        <v>CT</v>
      </c>
      <c r="H137" s="66">
        <v>20</v>
      </c>
      <c r="I137" s="96">
        <v>10</v>
      </c>
      <c r="J137" s="124">
        <f>(Table4[[#This Row],[Points 2025]]/2)+SUM(Table4[[#This Row],[O1  ADMIN 2026]:[P2         WC    Open 2026]])</f>
        <v>5</v>
      </c>
      <c r="K137" s="106">
        <f t="shared" si="11"/>
        <v>0</v>
      </c>
      <c r="L137" s="106">
        <f t="shared" si="12"/>
        <v>0</v>
      </c>
      <c r="M137" s="106" t="s">
        <v>6083</v>
      </c>
      <c r="N137" s="114" t="s">
        <v>6083</v>
      </c>
      <c r="O137" s="114" t="s">
        <v>6083</v>
      </c>
      <c r="P137" s="114"/>
      <c r="Q137" s="63"/>
      <c r="R137" s="63"/>
      <c r="S137" s="114"/>
      <c r="T137" s="114"/>
      <c r="U137" s="63"/>
      <c r="V137" s="114"/>
      <c r="W137" s="63"/>
      <c r="X137" s="845"/>
      <c r="Y137" s="708"/>
      <c r="Z137" s="63"/>
      <c r="AA137" s="63"/>
      <c r="AB137" s="114"/>
      <c r="AC137" s="63"/>
      <c r="AD137" s="114"/>
      <c r="AE137" s="63"/>
      <c r="AF137" s="63"/>
      <c r="AG137" s="63"/>
      <c r="AH137" s="63">
        <v>15</v>
      </c>
      <c r="AI137" s="63"/>
      <c r="AJ137" s="63"/>
      <c r="AK137" s="63"/>
      <c r="AL137" s="63"/>
      <c r="AM137" s="63"/>
      <c r="AN137" s="63"/>
      <c r="AO137" s="63"/>
    </row>
    <row r="138" spans="1:41" s="58" customFormat="1">
      <c r="A138" s="85">
        <f>IFERROR(VLOOKUP(Table4[[#This Row],[Player No]],Table10[[#All],[No]:[Age Group]],4,0),"")</f>
        <v>0</v>
      </c>
      <c r="B138" s="350"/>
      <c r="C138" s="350">
        <f t="shared" si="10"/>
        <v>-134</v>
      </c>
      <c r="D138" s="61">
        <f t="shared" si="13"/>
        <v>134</v>
      </c>
      <c r="E138" s="327">
        <v>3606</v>
      </c>
      <c r="F138" s="64" t="str">
        <f>IFERROR(VLOOKUP(Table4[[#This Row],[Player No]],Table10[[No]:[Province]],2,0),"")</f>
        <v>MNIKATHI Siyamamukela</v>
      </c>
      <c r="G138" s="65" t="str">
        <f>IFERROR(VLOOKUP(Table4[[#This Row],[Player No]],Table10[[No]:[Province]],3,0),"")</f>
        <v>UMG</v>
      </c>
      <c r="H138" s="335">
        <v>0</v>
      </c>
      <c r="I138" s="331">
        <v>10</v>
      </c>
      <c r="J138" s="124">
        <f>(Table4[[#This Row],[Points 2025]]/2)+SUM(Table4[[#This Row],[O1  ADMIN 2026]:[P2         WC    Open 2026]])</f>
        <v>5</v>
      </c>
      <c r="K138" s="106">
        <f t="shared" si="11"/>
        <v>0</v>
      </c>
      <c r="L138" s="106">
        <f t="shared" si="12"/>
        <v>0</v>
      </c>
      <c r="M138" s="106" t="s">
        <v>6083</v>
      </c>
      <c r="N138" s="321" t="s">
        <v>6083</v>
      </c>
      <c r="O138" s="321" t="s">
        <v>6083</v>
      </c>
      <c r="P138" s="321"/>
      <c r="Q138" s="327"/>
      <c r="R138" s="327"/>
      <c r="S138" s="321">
        <v>10</v>
      </c>
      <c r="T138" s="321"/>
      <c r="U138" s="327"/>
      <c r="V138" s="321"/>
      <c r="W138" s="327"/>
      <c r="X138" s="851"/>
      <c r="Y138" s="711"/>
      <c r="Z138" s="327"/>
      <c r="AA138" s="327"/>
      <c r="AB138" s="321"/>
      <c r="AC138" s="327"/>
      <c r="AD138" s="321"/>
      <c r="AE138" s="327"/>
      <c r="AF138" s="327"/>
      <c r="AG138" s="327"/>
      <c r="AH138" s="327"/>
      <c r="AI138" s="327"/>
      <c r="AJ138" s="327"/>
      <c r="AK138" s="327"/>
      <c r="AL138" s="327"/>
      <c r="AM138" s="327"/>
      <c r="AN138" s="327"/>
      <c r="AO138" s="327"/>
    </row>
    <row r="139" spans="1:41" s="58" customFormat="1">
      <c r="A139" s="85">
        <f>IFERROR(VLOOKUP(Table4[[#This Row],[Player No]],Table10[[#All],[No]:[Age Group]],4,0),"")</f>
        <v>0</v>
      </c>
      <c r="B139" s="88"/>
      <c r="C139" s="88">
        <f t="shared" si="10"/>
        <v>-135</v>
      </c>
      <c r="D139" s="61">
        <f t="shared" si="13"/>
        <v>135</v>
      </c>
      <c r="E139" s="63">
        <v>3668</v>
      </c>
      <c r="F139" s="64" t="str">
        <f>IFERROR(VLOOKUP(Table4[[#This Row],[Player No]],Table10[[No]:[Province]],2,0),"")</f>
        <v>DITHIPE Orapeleng</v>
      </c>
      <c r="G139" s="65" t="str">
        <f>IFERROR(VLOOKUP(Table4[[#This Row],[Player No]],Table10[[No]:[Province]],3,0),"")</f>
        <v>NWP</v>
      </c>
      <c r="H139" s="66">
        <v>0</v>
      </c>
      <c r="I139" s="96">
        <v>10</v>
      </c>
      <c r="J139" s="124">
        <f>(Table4[[#This Row],[Points 2025]]/2)+SUM(Table4[[#This Row],[O1  ADMIN 2026]:[P2         WC    Open 2026]])</f>
        <v>5</v>
      </c>
      <c r="K139" s="106">
        <f t="shared" si="11"/>
        <v>0</v>
      </c>
      <c r="L139" s="106">
        <f t="shared" si="12"/>
        <v>0</v>
      </c>
      <c r="M139" s="106" t="s">
        <v>6083</v>
      </c>
      <c r="N139" s="114" t="s">
        <v>6083</v>
      </c>
      <c r="O139" s="114" t="s">
        <v>6083</v>
      </c>
      <c r="P139" s="114"/>
      <c r="Q139" s="63"/>
      <c r="R139" s="63"/>
      <c r="S139" s="114"/>
      <c r="T139" s="114"/>
      <c r="U139" s="63"/>
      <c r="V139" s="114"/>
      <c r="W139" s="63"/>
      <c r="X139" s="847">
        <v>10</v>
      </c>
      <c r="Y139" s="737"/>
      <c r="Z139" s="63"/>
      <c r="AA139" s="63"/>
      <c r="AB139" s="114"/>
      <c r="AC139" s="63"/>
      <c r="AD139" s="114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</row>
    <row r="140" spans="1:41" s="58" customFormat="1">
      <c r="A140" s="85">
        <f>IFERROR(VLOOKUP(Table4[[#This Row],[Player No]],Table10[[#All],[No]:[Age Group]],4,0),"")</f>
        <v>0</v>
      </c>
      <c r="B140" s="87" t="e">
        <f>VLOOKUP([5]!Table4[[#This Row],[Player No]],'[6]u19 boys'!$E$5:$F$216,2,0)</f>
        <v>#REF!</v>
      </c>
      <c r="C140" s="285" t="e">
        <f t="shared" si="10"/>
        <v>#REF!</v>
      </c>
      <c r="D140" s="61">
        <f t="shared" si="13"/>
        <v>136</v>
      </c>
      <c r="E140" s="169">
        <v>3862</v>
      </c>
      <c r="F140" s="64" t="str">
        <f>IFERROR(VLOOKUP(Table4[[#This Row],[Player No]],Table10[[No]:[Province]],2,0),"")</f>
        <v>SHKUDSY Ben</v>
      </c>
      <c r="G140" s="65" t="str">
        <f>IFERROR(VLOOKUP(Table4[[#This Row],[Player No]],Table10[[No]:[Province]],3,0),"")</f>
        <v>JTTA</v>
      </c>
      <c r="H140" s="170">
        <v>0</v>
      </c>
      <c r="I140" s="96">
        <v>10</v>
      </c>
      <c r="J140" s="124">
        <f>(Table4[[#This Row],[Points 2025]]/2)+SUM(Table4[[#This Row],[O1  ADMIN 2026]:[P2         WC    Open 2026]])</f>
        <v>5</v>
      </c>
      <c r="K140" s="106">
        <f t="shared" si="11"/>
        <v>0</v>
      </c>
      <c r="L140" s="106">
        <f t="shared" si="12"/>
        <v>0</v>
      </c>
      <c r="M140" s="106" t="s">
        <v>6083</v>
      </c>
      <c r="N140" s="114" t="s">
        <v>6083</v>
      </c>
      <c r="O140" s="114" t="s">
        <v>6083</v>
      </c>
      <c r="P140" s="114"/>
      <c r="Q140" s="169"/>
      <c r="R140" s="169"/>
      <c r="S140" s="318"/>
      <c r="T140" s="318"/>
      <c r="U140" s="169"/>
      <c r="V140" s="318"/>
      <c r="W140" s="169"/>
      <c r="X140" s="846"/>
      <c r="Y140" s="713"/>
      <c r="Z140" s="169"/>
      <c r="AA140" s="169">
        <v>10</v>
      </c>
      <c r="AB140" s="318"/>
      <c r="AC140" s="169"/>
      <c r="AD140" s="318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</row>
    <row r="141" spans="1:41" s="58" customFormat="1">
      <c r="A141" s="85">
        <f>IFERROR(VLOOKUP(Table4[[#This Row],[Player No]],Table10[[#All],[No]:[Age Group]],4,0),"")</f>
        <v>0</v>
      </c>
      <c r="B141" s="680"/>
      <c r="C141" s="680">
        <f t="shared" si="10"/>
        <v>-137</v>
      </c>
      <c r="D141" s="61">
        <f t="shared" si="13"/>
        <v>137</v>
      </c>
      <c r="E141" s="624">
        <v>4048</v>
      </c>
      <c r="F141" s="64" t="str">
        <f>IFERROR(VLOOKUP(Table4[[#This Row],[Player No]],Table10[[No]:[Province]],2,0),"")</f>
        <v>SIGABI Zukisani</v>
      </c>
      <c r="G141" s="65" t="str">
        <f>IFERROR(VLOOKUP(Table4[[#This Row],[Player No]],Table10[[No]:[Province]],3,0),"")</f>
        <v>EC</v>
      </c>
      <c r="H141" s="626">
        <v>0</v>
      </c>
      <c r="I141" s="644">
        <v>10</v>
      </c>
      <c r="J141" s="124">
        <f>(Table4[[#This Row],[Points 2025]]/2)+SUM(Table4[[#This Row],[O1  ADMIN 2026]:[P2         WC    Open 2026]])</f>
        <v>5</v>
      </c>
      <c r="K141" s="106">
        <f t="shared" si="11"/>
        <v>0</v>
      </c>
      <c r="L141" s="106">
        <f t="shared" si="12"/>
        <v>0</v>
      </c>
      <c r="M141" s="106" t="s">
        <v>6083</v>
      </c>
      <c r="N141" s="625" t="s">
        <v>6083</v>
      </c>
      <c r="O141" s="625" t="s">
        <v>6083</v>
      </c>
      <c r="P141" s="625"/>
      <c r="Q141" s="624"/>
      <c r="R141" s="624"/>
      <c r="S141" s="625"/>
      <c r="T141" s="625"/>
      <c r="U141" s="624"/>
      <c r="V141" s="625"/>
      <c r="W141" s="624"/>
      <c r="X141" s="852">
        <v>10</v>
      </c>
      <c r="Y141" s="709"/>
      <c r="Z141" s="624"/>
      <c r="AA141" s="624"/>
      <c r="AB141" s="625"/>
      <c r="AC141" s="624"/>
      <c r="AD141" s="625"/>
      <c r="AE141" s="624"/>
      <c r="AF141" s="624"/>
      <c r="AG141" s="624"/>
      <c r="AH141" s="624"/>
      <c r="AI141" s="624"/>
      <c r="AJ141" s="624"/>
      <c r="AK141" s="624"/>
      <c r="AL141" s="624"/>
      <c r="AM141" s="624"/>
      <c r="AN141" s="624"/>
      <c r="AO141" s="624"/>
    </row>
    <row r="142" spans="1:41" s="58" customFormat="1">
      <c r="A142" s="85">
        <f>IFERROR(VLOOKUP(Table4[[#This Row],[Player No]],Table10[[#All],[No]:[Age Group]],4,0),"")</f>
        <v>0</v>
      </c>
      <c r="B142" s="87">
        <v>51</v>
      </c>
      <c r="C142" s="88">
        <f t="shared" si="10"/>
        <v>-87</v>
      </c>
      <c r="D142" s="61">
        <f t="shared" si="13"/>
        <v>138</v>
      </c>
      <c r="E142" s="63">
        <v>4323</v>
      </c>
      <c r="F142" s="64" t="str">
        <f>IFERROR(VLOOKUP(Table4[[#This Row],[Player No]],Table10[[No]:[Province]],2,0),"")</f>
        <v>NYAMATE Manqoba</v>
      </c>
      <c r="G142" s="65" t="str">
        <f>IFERROR(VLOOKUP(Table4[[#This Row],[Player No]],Table10[[No]:[Province]],3,0),"")</f>
        <v>JTTA</v>
      </c>
      <c r="H142" s="66">
        <v>0</v>
      </c>
      <c r="I142" s="96">
        <v>10</v>
      </c>
      <c r="J142" s="124">
        <f>(Table4[[#This Row],[Points 2025]]/2)+SUM(Table4[[#This Row],[O1  ADMIN 2026]:[P2         WC    Open 2026]])</f>
        <v>5</v>
      </c>
      <c r="K142" s="106">
        <f t="shared" si="11"/>
        <v>0</v>
      </c>
      <c r="L142" s="106">
        <f t="shared" si="12"/>
        <v>0</v>
      </c>
      <c r="M142" s="106" t="s">
        <v>6083</v>
      </c>
      <c r="N142" s="114" t="s">
        <v>6083</v>
      </c>
      <c r="O142" s="114" t="s">
        <v>6083</v>
      </c>
      <c r="P142" s="114"/>
      <c r="Q142" s="63"/>
      <c r="R142" s="63"/>
      <c r="S142" s="114"/>
      <c r="T142" s="114"/>
      <c r="U142" s="63"/>
      <c r="V142" s="114"/>
      <c r="W142" s="63"/>
      <c r="X142" s="845"/>
      <c r="Y142" s="708"/>
      <c r="Z142" s="63"/>
      <c r="AA142" s="63">
        <v>10</v>
      </c>
      <c r="AB142" s="114"/>
      <c r="AC142" s="63"/>
      <c r="AD142" s="114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</row>
    <row r="143" spans="1:41" s="58" customFormat="1">
      <c r="A143" s="85">
        <f>IFERROR(VLOOKUP(Table4[[#This Row],[Player No]],Table10[[#All],[No]:[Age Group]],4,0),"")</f>
        <v>0</v>
      </c>
      <c r="B143" s="87">
        <v>92</v>
      </c>
      <c r="C143" s="88">
        <f t="shared" si="10"/>
        <v>-47</v>
      </c>
      <c r="D143" s="61">
        <f t="shared" si="13"/>
        <v>139</v>
      </c>
      <c r="E143" s="63">
        <v>3870</v>
      </c>
      <c r="F143" s="64" t="str">
        <f>IFERROR(VLOOKUP(Table4[[#This Row],[Player No]],Table10[[No]:[Province]],2,0),"")</f>
        <v>SINGH Yash</v>
      </c>
      <c r="G143" s="65" t="str">
        <f>IFERROR(VLOOKUP(Table4[[#This Row],[Player No]],Table10[[No]:[Province]],3,0),"")</f>
        <v>UMG</v>
      </c>
      <c r="H143" s="66">
        <v>1</v>
      </c>
      <c r="I143" s="96">
        <v>5.5</v>
      </c>
      <c r="J143" s="124">
        <f>(Table4[[#This Row],[Points 2025]]/2)+SUM(Table4[[#This Row],[O1  ADMIN 2026]:[P2         WC    Open 2026]])</f>
        <v>4.75</v>
      </c>
      <c r="K143" s="106">
        <f t="shared" si="11"/>
        <v>2</v>
      </c>
      <c r="L143" s="106">
        <f t="shared" si="12"/>
        <v>0</v>
      </c>
      <c r="M143" s="106" t="s">
        <v>6083</v>
      </c>
      <c r="N143" s="114">
        <v>1</v>
      </c>
      <c r="O143" s="114">
        <v>1</v>
      </c>
      <c r="P143" s="114"/>
      <c r="Q143" s="63">
        <v>2</v>
      </c>
      <c r="R143" s="63">
        <v>1</v>
      </c>
      <c r="S143" s="114">
        <v>1</v>
      </c>
      <c r="T143" s="114"/>
      <c r="U143" s="63">
        <v>1</v>
      </c>
      <c r="V143" s="114"/>
      <c r="W143" s="63"/>
      <c r="X143" s="845"/>
      <c r="Y143" s="708"/>
      <c r="Z143" s="63"/>
      <c r="AA143" s="63"/>
      <c r="AB143" s="114"/>
      <c r="AC143" s="63"/>
      <c r="AD143" s="114"/>
      <c r="AE143" s="63"/>
      <c r="AF143" s="63"/>
      <c r="AG143" s="63">
        <v>1</v>
      </c>
      <c r="AH143" s="63"/>
      <c r="AI143" s="63"/>
      <c r="AJ143" s="63"/>
      <c r="AK143" s="63"/>
      <c r="AL143" s="63"/>
      <c r="AM143" s="63"/>
      <c r="AN143" s="63"/>
      <c r="AO143" s="63"/>
    </row>
    <row r="144" spans="1:41" s="58" customFormat="1">
      <c r="A144" s="85" t="str">
        <f>IFERROR(VLOOKUP(Table4[[#This Row],[Player No]],Table10[[#All],[No]:[Age Group]],4,0),"")</f>
        <v>U15</v>
      </c>
      <c r="B144" s="373"/>
      <c r="C144" s="373">
        <f t="shared" si="10"/>
        <v>-140</v>
      </c>
      <c r="D144" s="61">
        <f t="shared" si="13"/>
        <v>140</v>
      </c>
      <c r="E144" s="361">
        <v>4376</v>
      </c>
      <c r="F144" s="64" t="str">
        <f>IFERROR(VLOOKUP(Table4[[#This Row],[Player No]],Table10[[No]:[Province]],2,0),"")</f>
        <v xml:space="preserve">SISHI Yamkela </v>
      </c>
      <c r="G144" s="65" t="str">
        <f>IFERROR(VLOOKUP(Table4[[#This Row],[Player No]],Table10[[No]:[Province]],3,0),"")</f>
        <v>ETTA</v>
      </c>
      <c r="H144" s="370">
        <v>0</v>
      </c>
      <c r="I144" s="363">
        <v>9.375</v>
      </c>
      <c r="J144" s="124">
        <f>(Table4[[#This Row],[Points 2025]]/2)+SUM(Table4[[#This Row],[O1  ADMIN 2026]:[P2         WC    Open 2026]])</f>
        <v>4.6875</v>
      </c>
      <c r="K144" s="106">
        <f t="shared" si="11"/>
        <v>0</v>
      </c>
      <c r="L144" s="106">
        <f t="shared" si="12"/>
        <v>0</v>
      </c>
      <c r="M144" s="106" t="s">
        <v>6083</v>
      </c>
      <c r="N144" s="357" t="s">
        <v>6083</v>
      </c>
      <c r="O144" s="357" t="s">
        <v>6083</v>
      </c>
      <c r="P144" s="357"/>
      <c r="Q144" s="361"/>
      <c r="R144" s="361"/>
      <c r="S144" s="357"/>
      <c r="T144" s="357">
        <v>10</v>
      </c>
      <c r="U144" s="361"/>
      <c r="V144" s="357"/>
      <c r="W144" s="361"/>
      <c r="X144" s="850"/>
      <c r="Y144" s="738"/>
      <c r="Z144" s="361"/>
      <c r="AA144" s="361"/>
      <c r="AB144" s="357"/>
      <c r="AC144" s="361"/>
      <c r="AD144" s="357"/>
      <c r="AE144" s="361"/>
      <c r="AF144" s="361"/>
      <c r="AG144" s="361"/>
      <c r="AH144" s="361"/>
      <c r="AI144" s="361"/>
      <c r="AJ144" s="361"/>
      <c r="AK144" s="361"/>
      <c r="AL144" s="361"/>
      <c r="AM144" s="361"/>
      <c r="AN144" s="361"/>
      <c r="AO144" s="361"/>
    </row>
    <row r="145" spans="1:41" s="58" customFormat="1">
      <c r="A145" s="85" t="str">
        <f>IFERROR(VLOOKUP(Table4[[#This Row],[Player No]],Table10[[#All],[No]:[Age Group]],4,0),"")</f>
        <v>U19</v>
      </c>
      <c r="B145" s="87">
        <v>111</v>
      </c>
      <c r="C145" s="88">
        <f t="shared" si="10"/>
        <v>-30</v>
      </c>
      <c r="D145" s="61">
        <f t="shared" si="13"/>
        <v>141</v>
      </c>
      <c r="E145" s="63">
        <v>2221</v>
      </c>
      <c r="F145" s="64" t="str">
        <f>IFERROR(VLOOKUP(Table4[[#This Row],[Player No]],Table10[[No]:[Province]],2,0),"")</f>
        <v>TONGWANE Kaone Phenyo</v>
      </c>
      <c r="G145" s="65" t="str">
        <f>IFERROR(VLOOKUP(Table4[[#This Row],[Player No]],Table10[[No]:[Province]],3,0),"")</f>
        <v>NC</v>
      </c>
      <c r="H145" s="66">
        <v>18.75</v>
      </c>
      <c r="I145" s="96">
        <v>9</v>
      </c>
      <c r="J145" s="124">
        <f>(Table4[[#This Row],[Points 2025]]/2)+SUM(Table4[[#This Row],[O1  ADMIN 2026]:[P2         WC    Open 2026]])</f>
        <v>4.5</v>
      </c>
      <c r="K145" s="106">
        <f t="shared" si="11"/>
        <v>0</v>
      </c>
      <c r="L145" s="106">
        <f t="shared" si="12"/>
        <v>0</v>
      </c>
      <c r="M145" s="106" t="s">
        <v>6083</v>
      </c>
      <c r="N145" s="114" t="s">
        <v>6083</v>
      </c>
      <c r="O145" s="114" t="s">
        <v>6083</v>
      </c>
      <c r="P145" s="114"/>
      <c r="Q145" s="63"/>
      <c r="R145" s="63"/>
      <c r="S145" s="114"/>
      <c r="T145" s="114"/>
      <c r="U145" s="63"/>
      <c r="V145" s="114"/>
      <c r="W145" s="63"/>
      <c r="X145" s="845"/>
      <c r="Y145" s="708"/>
      <c r="Z145" s="63"/>
      <c r="AA145" s="63"/>
      <c r="AB145" s="114"/>
      <c r="AC145" s="63"/>
      <c r="AD145" s="114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</row>
    <row r="146" spans="1:41" s="58" customFormat="1">
      <c r="A146" s="85" t="str">
        <f>IFERROR(VLOOKUP(Table4[[#This Row],[Player No]],Table10[[#All],[No]:[Age Group]],4,0),"")</f>
        <v>U19</v>
      </c>
      <c r="B146" s="87">
        <v>69</v>
      </c>
      <c r="C146" s="88">
        <f t="shared" si="10"/>
        <v>-73</v>
      </c>
      <c r="D146" s="61">
        <f t="shared" si="13"/>
        <v>142</v>
      </c>
      <c r="E146" s="63">
        <v>3530</v>
      </c>
      <c r="F146" s="64" t="str">
        <f>IFERROR(VLOOKUP(Table4[[#This Row],[Player No]],Table10[[No]:[Province]],2,0),"")</f>
        <v>BESTER Benjie</v>
      </c>
      <c r="G146" s="65" t="str">
        <f>IFERROR(VLOOKUP(Table4[[#This Row],[Player No]],Table10[[No]:[Province]],3,0),"")</f>
        <v>FS</v>
      </c>
      <c r="H146" s="66">
        <v>18</v>
      </c>
      <c r="I146" s="96">
        <v>9</v>
      </c>
      <c r="J146" s="124">
        <f>(Table4[[#This Row],[Points 2025]]/2)+SUM(Table4[[#This Row],[O1  ADMIN 2026]:[P2         WC    Open 2026]])</f>
        <v>4.5</v>
      </c>
      <c r="K146" s="106">
        <f t="shared" si="11"/>
        <v>0</v>
      </c>
      <c r="L146" s="106">
        <f t="shared" si="12"/>
        <v>0</v>
      </c>
      <c r="M146" s="106" t="s">
        <v>6083</v>
      </c>
      <c r="N146" s="114" t="s">
        <v>6083</v>
      </c>
      <c r="O146" s="114" t="s">
        <v>6083</v>
      </c>
      <c r="P146" s="114"/>
      <c r="Q146" s="63"/>
      <c r="R146" s="63"/>
      <c r="S146" s="114"/>
      <c r="T146" s="114"/>
      <c r="U146" s="63"/>
      <c r="V146" s="114"/>
      <c r="W146" s="63"/>
      <c r="X146" s="845"/>
      <c r="Y146" s="708"/>
      <c r="Z146" s="63"/>
      <c r="AA146" s="63"/>
      <c r="AB146" s="114"/>
      <c r="AC146" s="63"/>
      <c r="AD146" s="114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>
        <v>15</v>
      </c>
      <c r="AO146" s="63"/>
    </row>
    <row r="147" spans="1:41" s="58" customFormat="1">
      <c r="A147" s="85">
        <f>IFERROR(VLOOKUP(Table4[[#This Row],[Player No]],Table10[[#All],[No]:[Age Group]],4,0),"")</f>
        <v>0</v>
      </c>
      <c r="B147" s="87">
        <v>85</v>
      </c>
      <c r="C147" s="88">
        <f t="shared" si="10"/>
        <v>-58</v>
      </c>
      <c r="D147" s="61">
        <f t="shared" si="13"/>
        <v>143</v>
      </c>
      <c r="E147" s="63">
        <v>3886</v>
      </c>
      <c r="F147" s="64" t="str">
        <f>IFERROR(VLOOKUP(Table4[[#This Row],[Player No]],Table10[[No]:[Province]],2,0),"")</f>
        <v>GUNTELACH Noah</v>
      </c>
      <c r="G147" s="65" t="str">
        <f>IFERROR(VLOOKUP(Table4[[#This Row],[Player No]],Table10[[No]:[Province]],3,0),"")</f>
        <v>CW</v>
      </c>
      <c r="H147" s="66">
        <v>8</v>
      </c>
      <c r="I147" s="96">
        <v>8.75</v>
      </c>
      <c r="J147" s="124">
        <f>(Table4[[#This Row],[Points 2025]]/2)+SUM(Table4[[#This Row],[O1  ADMIN 2026]:[P2         WC    Open 2026]])</f>
        <v>4.375</v>
      </c>
      <c r="K147" s="106">
        <f t="shared" si="11"/>
        <v>0</v>
      </c>
      <c r="L147" s="106">
        <f t="shared" si="12"/>
        <v>0</v>
      </c>
      <c r="M147" s="106" t="s">
        <v>6083</v>
      </c>
      <c r="N147" s="114" t="s">
        <v>6083</v>
      </c>
      <c r="O147" s="114" t="s">
        <v>6083</v>
      </c>
      <c r="P147" s="114"/>
      <c r="Q147" s="63"/>
      <c r="R147" s="63"/>
      <c r="S147" s="114"/>
      <c r="T147" s="114"/>
      <c r="U147" s="63"/>
      <c r="V147" s="114"/>
      <c r="W147" s="63"/>
      <c r="X147" s="845">
        <v>5</v>
      </c>
      <c r="Y147" s="708"/>
      <c r="Z147" s="63"/>
      <c r="AA147" s="63"/>
      <c r="AB147" s="114"/>
      <c r="AC147" s="63"/>
      <c r="AD147" s="114"/>
      <c r="AE147" s="63"/>
      <c r="AF147" s="63"/>
      <c r="AG147" s="63"/>
      <c r="AH147" s="63">
        <v>1</v>
      </c>
      <c r="AI147" s="63">
        <v>2</v>
      </c>
      <c r="AJ147" s="63">
        <v>5</v>
      </c>
      <c r="AK147" s="63"/>
      <c r="AL147" s="63"/>
      <c r="AM147" s="63"/>
      <c r="AN147" s="63"/>
      <c r="AO147" s="63"/>
    </row>
    <row r="148" spans="1:41" s="58" customFormat="1">
      <c r="A148" s="85">
        <f>IFERROR(VLOOKUP(Table4[[#This Row],[Player No]],Table10[[#All],[No]:[Age Group]],4,0),"")</f>
        <v>0</v>
      </c>
      <c r="B148" s="87"/>
      <c r="C148" s="88">
        <f t="shared" si="10"/>
        <v>-144</v>
      </c>
      <c r="D148" s="61">
        <f t="shared" si="13"/>
        <v>144</v>
      </c>
      <c r="E148" s="63">
        <v>2867</v>
      </c>
      <c r="F148" s="64" t="str">
        <f>IFERROR(VLOOKUP(Table4[[#This Row],[Player No]],Table10[[No]:[Province]],2,0),"")</f>
        <v>SIQUNA Mzwanele</v>
      </c>
      <c r="G148" s="65" t="str">
        <f>IFERROR(VLOOKUP(Table4[[#This Row],[Player No]],Table10[[No]:[Province]],3,0),"")</f>
        <v>EC</v>
      </c>
      <c r="H148" s="66">
        <v>17.5</v>
      </c>
      <c r="I148" s="96">
        <v>8</v>
      </c>
      <c r="J148" s="124">
        <f>(Table4[[#This Row],[Points 2025]]/2)+SUM(Table4[[#This Row],[O1  ADMIN 2026]:[P2         WC    Open 2026]])</f>
        <v>4</v>
      </c>
      <c r="K148" s="106">
        <f t="shared" si="11"/>
        <v>0</v>
      </c>
      <c r="L148" s="106">
        <f t="shared" si="12"/>
        <v>0</v>
      </c>
      <c r="M148" s="106" t="s">
        <v>6083</v>
      </c>
      <c r="N148" s="114" t="s">
        <v>6083</v>
      </c>
      <c r="O148" s="114" t="s">
        <v>6083</v>
      </c>
      <c r="P148" s="114"/>
      <c r="Q148" s="63"/>
      <c r="R148" s="63"/>
      <c r="S148" s="114"/>
      <c r="T148" s="114"/>
      <c r="U148" s="63"/>
      <c r="V148" s="114"/>
      <c r="W148" s="63"/>
      <c r="X148" s="845"/>
      <c r="Y148" s="708"/>
      <c r="Z148" s="63"/>
      <c r="AA148" s="63"/>
      <c r="AB148" s="114"/>
      <c r="AC148" s="63"/>
      <c r="AD148" s="114"/>
      <c r="AE148" s="63"/>
      <c r="AF148" s="63"/>
      <c r="AG148" s="63"/>
      <c r="AH148" s="63"/>
      <c r="AI148" s="63"/>
      <c r="AJ148" s="63">
        <v>5</v>
      </c>
      <c r="AK148" s="63"/>
      <c r="AL148" s="63"/>
      <c r="AM148" s="63"/>
      <c r="AN148" s="63"/>
      <c r="AO148" s="63"/>
    </row>
    <row r="149" spans="1:41" s="58" customFormat="1">
      <c r="A149" s="85">
        <f>IFERROR(VLOOKUP(Table4[[#This Row],[Player No]],Table10[[#All],[No]:[Age Group]],4,0),"")</f>
        <v>0</v>
      </c>
      <c r="B149" s="87">
        <v>135</v>
      </c>
      <c r="C149" s="88">
        <f t="shared" si="10"/>
        <v>-10</v>
      </c>
      <c r="D149" s="61">
        <f t="shared" si="13"/>
        <v>145</v>
      </c>
      <c r="E149" s="63">
        <v>4381</v>
      </c>
      <c r="F149" s="64" t="str">
        <f>IFERROR(VLOOKUP(Table4[[#This Row],[Player No]],Table10[[No]:[Province]],2,0),"")</f>
        <v>SEWLALL Jatin</v>
      </c>
      <c r="G149" s="65" t="str">
        <f>IFERROR(VLOOKUP(Table4[[#This Row],[Player No]],Table10[[No]:[Province]],3,0),"")</f>
        <v>UMG</v>
      </c>
      <c r="H149" s="66">
        <v>0</v>
      </c>
      <c r="I149" s="96">
        <v>2</v>
      </c>
      <c r="J149" s="124">
        <f>(Table4[[#This Row],[Points 2025]]/2)+SUM(Table4[[#This Row],[O1  ADMIN 2026]:[P2         WC    Open 2026]])</f>
        <v>4</v>
      </c>
      <c r="K149" s="106">
        <f t="shared" si="11"/>
        <v>2</v>
      </c>
      <c r="L149" s="106">
        <f t="shared" si="12"/>
        <v>0</v>
      </c>
      <c r="M149" s="106" t="s">
        <v>6083</v>
      </c>
      <c r="N149" s="114">
        <v>1</v>
      </c>
      <c r="O149" s="114">
        <v>2</v>
      </c>
      <c r="P149" s="114"/>
      <c r="Q149" s="63">
        <v>2</v>
      </c>
      <c r="R149" s="63"/>
      <c r="S149" s="114"/>
      <c r="T149" s="114"/>
      <c r="U149" s="63"/>
      <c r="V149" s="114"/>
      <c r="W149" s="63"/>
      <c r="X149" s="845"/>
      <c r="Y149" s="708"/>
      <c r="Z149" s="63"/>
      <c r="AA149" s="63"/>
      <c r="AB149" s="114"/>
      <c r="AC149" s="63"/>
      <c r="AD149" s="114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</row>
    <row r="150" spans="1:41" s="58" customFormat="1">
      <c r="A150" s="85" t="str">
        <f>IFERROR(VLOOKUP(Table4[[#This Row],[Player No]],Table10[[#All],[No]:[Age Group]],4,0),"")</f>
        <v>U19</v>
      </c>
      <c r="B150" s="87">
        <v>57</v>
      </c>
      <c r="C150" s="88">
        <f t="shared" si="10"/>
        <v>-89</v>
      </c>
      <c r="D150" s="61">
        <f t="shared" si="13"/>
        <v>146</v>
      </c>
      <c r="E150" s="63">
        <v>3045</v>
      </c>
      <c r="F150" s="64" t="str">
        <f>IFERROR(VLOOKUP(Table4[[#This Row],[Player No]],Table10[[No]:[Province]],2,0),"")</f>
        <v>HOFFMAN Mujahid</v>
      </c>
      <c r="G150" s="65" t="str">
        <f>IFERROR(VLOOKUP(Table4[[#This Row],[Player No]],Table10[[No]:[Province]],3,0),"")</f>
        <v>CT</v>
      </c>
      <c r="H150" s="66">
        <v>16</v>
      </c>
      <c r="I150" s="96">
        <v>7.5</v>
      </c>
      <c r="J150" s="124">
        <f>(Table4[[#This Row],[Points 2025]]/2)+SUM(Table4[[#This Row],[O1  ADMIN 2026]:[P2         WC    Open 2026]])</f>
        <v>3.75</v>
      </c>
      <c r="K150" s="106">
        <f t="shared" si="11"/>
        <v>0</v>
      </c>
      <c r="L150" s="106">
        <f t="shared" si="12"/>
        <v>0</v>
      </c>
      <c r="M150" s="106" t="s">
        <v>6083</v>
      </c>
      <c r="N150" s="114" t="s">
        <v>6083</v>
      </c>
      <c r="O150" s="114" t="s">
        <v>6083</v>
      </c>
      <c r="P150" s="114"/>
      <c r="Q150" s="63"/>
      <c r="R150" s="63"/>
      <c r="S150" s="114"/>
      <c r="T150" s="114"/>
      <c r="U150" s="63"/>
      <c r="V150" s="114"/>
      <c r="W150" s="63"/>
      <c r="X150" s="845"/>
      <c r="Y150" s="708"/>
      <c r="Z150" s="63"/>
      <c r="AA150" s="63"/>
      <c r="AB150" s="114"/>
      <c r="AC150" s="63"/>
      <c r="AD150" s="114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</row>
    <row r="151" spans="1:41" s="58" customFormat="1">
      <c r="A151" s="85" t="str">
        <f>IFERROR(VLOOKUP(Table4[[#This Row],[Player No]],Table10[[#All],[No]:[Age Group]],4,0),"")</f>
        <v>U19</v>
      </c>
      <c r="B151" s="87">
        <v>58</v>
      </c>
      <c r="C151" s="88">
        <f t="shared" si="10"/>
        <v>-89</v>
      </c>
      <c r="D151" s="61">
        <f t="shared" si="13"/>
        <v>147</v>
      </c>
      <c r="E151" s="63">
        <v>2484</v>
      </c>
      <c r="F151" s="64" t="str">
        <f>IFERROR(VLOOKUP(Table4[[#This Row],[Player No]],Table10[[No]:[Province]],2,0),"")</f>
        <v>KUSE Amyoli</v>
      </c>
      <c r="G151" s="65" t="str">
        <f>IFERROR(VLOOKUP(Table4[[#This Row],[Player No]],Table10[[No]:[Province]],3,0),"")</f>
        <v>CT</v>
      </c>
      <c r="H151" s="66">
        <v>15</v>
      </c>
      <c r="I151" s="96">
        <v>7.5</v>
      </c>
      <c r="J151" s="124">
        <f>(Table4[[#This Row],[Points 2025]]/2)+SUM(Table4[[#This Row],[O1  ADMIN 2026]:[P2         WC    Open 2026]])</f>
        <v>3.75</v>
      </c>
      <c r="K151" s="106">
        <f t="shared" si="11"/>
        <v>0</v>
      </c>
      <c r="L151" s="106">
        <f t="shared" si="12"/>
        <v>0</v>
      </c>
      <c r="M151" s="106" t="s">
        <v>6083</v>
      </c>
      <c r="N151" s="114" t="s">
        <v>6083</v>
      </c>
      <c r="O151" s="114" t="s">
        <v>6083</v>
      </c>
      <c r="P151" s="114"/>
      <c r="Q151" s="63"/>
      <c r="R151" s="63"/>
      <c r="S151" s="114"/>
      <c r="T151" s="114"/>
      <c r="U151" s="63"/>
      <c r="V151" s="114"/>
      <c r="W151" s="63"/>
      <c r="X151" s="845"/>
      <c r="Y151" s="708"/>
      <c r="Z151" s="63"/>
      <c r="AA151" s="63"/>
      <c r="AB151" s="114"/>
      <c r="AC151" s="63"/>
      <c r="AD151" s="114"/>
      <c r="AE151" s="63"/>
      <c r="AF151" s="63"/>
      <c r="AG151" s="63"/>
      <c r="AH151" s="63">
        <v>15</v>
      </c>
      <c r="AI151" s="63"/>
      <c r="AJ151" s="63"/>
      <c r="AK151" s="63"/>
      <c r="AL151" s="63"/>
      <c r="AM151" s="63"/>
      <c r="AN151" s="63"/>
      <c r="AO151" s="63"/>
    </row>
    <row r="152" spans="1:41" s="58" customFormat="1">
      <c r="A152" s="85">
        <f>IFERROR(VLOOKUP(Table4[[#This Row],[Player No]],Table10[[#All],[No]:[Age Group]],4,0),"")</f>
        <v>0</v>
      </c>
      <c r="B152" s="87"/>
      <c r="C152" s="88">
        <f t="shared" si="10"/>
        <v>-148</v>
      </c>
      <c r="D152" s="61">
        <f t="shared" si="13"/>
        <v>148</v>
      </c>
      <c r="E152" s="63">
        <v>3833</v>
      </c>
      <c r="F152" s="64" t="str">
        <f>IFERROR(VLOOKUP(Table4[[#This Row],[Player No]],Table10[[No]:[Province]],2,0),"")</f>
        <v>MTHABISA Lethukuthula</v>
      </c>
      <c r="G152" s="65" t="str">
        <f>IFERROR(VLOOKUP(Table4[[#This Row],[Player No]],Table10[[No]:[Province]],3,0),"")</f>
        <v>EC</v>
      </c>
      <c r="H152" s="66">
        <v>15</v>
      </c>
      <c r="I152" s="96">
        <v>7.5</v>
      </c>
      <c r="J152" s="124">
        <f>(Table4[[#This Row],[Points 2025]]/2)+SUM(Table4[[#This Row],[O1  ADMIN 2026]:[P2         WC    Open 2026]])</f>
        <v>3.75</v>
      </c>
      <c r="K152" s="106">
        <f t="shared" si="11"/>
        <v>0</v>
      </c>
      <c r="L152" s="106">
        <f t="shared" si="12"/>
        <v>0</v>
      </c>
      <c r="M152" s="106" t="s">
        <v>6083</v>
      </c>
      <c r="N152" s="114" t="s">
        <v>6083</v>
      </c>
      <c r="O152" s="114" t="s">
        <v>6083</v>
      </c>
      <c r="P152" s="114"/>
      <c r="Q152" s="63"/>
      <c r="R152" s="63"/>
      <c r="S152" s="114"/>
      <c r="T152" s="114"/>
      <c r="U152" s="63"/>
      <c r="V152" s="114"/>
      <c r="W152" s="63"/>
      <c r="X152" s="845"/>
      <c r="Y152" s="708"/>
      <c r="Z152" s="63"/>
      <c r="AA152" s="63"/>
      <c r="AB152" s="114"/>
      <c r="AC152" s="63"/>
      <c r="AD152" s="114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>
        <v>15</v>
      </c>
      <c r="AO152" s="63"/>
    </row>
    <row r="153" spans="1:41" s="58" customFormat="1">
      <c r="A153" s="85">
        <f>IFERROR(VLOOKUP(Table4[[#This Row],[Player No]],Table10[[#All],[No]:[Age Group]],4,0),"")</f>
        <v>0</v>
      </c>
      <c r="B153" s="88"/>
      <c r="C153" s="88">
        <f t="shared" si="10"/>
        <v>-149</v>
      </c>
      <c r="D153" s="61">
        <f t="shared" si="13"/>
        <v>149</v>
      </c>
      <c r="E153" s="63">
        <v>3954</v>
      </c>
      <c r="F153" s="64" t="str">
        <f>IFERROR(VLOOKUP(Table4[[#This Row],[Player No]],Table10[[No]:[Province]],2,0),"")</f>
        <v>JACOBS Ghaneef</v>
      </c>
      <c r="G153" s="65" t="str">
        <f>IFERROR(VLOOKUP(Table4[[#This Row],[Player No]],Table10[[No]:[Province]],3,0),"")</f>
        <v>CW</v>
      </c>
      <c r="H153" s="66">
        <v>0</v>
      </c>
      <c r="I153" s="96">
        <v>7.5</v>
      </c>
      <c r="J153" s="124">
        <f>(Table4[[#This Row],[Points 2025]]/2)+SUM(Table4[[#This Row],[O1  ADMIN 2026]:[P2         WC    Open 2026]])</f>
        <v>3.75</v>
      </c>
      <c r="K153" s="106">
        <f t="shared" si="11"/>
        <v>0</v>
      </c>
      <c r="L153" s="106">
        <f t="shared" si="12"/>
        <v>0</v>
      </c>
      <c r="M153" s="106" t="s">
        <v>6083</v>
      </c>
      <c r="N153" s="114" t="s">
        <v>6083</v>
      </c>
      <c r="O153" s="114" t="s">
        <v>6083</v>
      </c>
      <c r="P153" s="114"/>
      <c r="Q153" s="63"/>
      <c r="R153" s="63"/>
      <c r="S153" s="114"/>
      <c r="T153" s="114"/>
      <c r="U153" s="63"/>
      <c r="V153" s="114"/>
      <c r="W153" s="63"/>
      <c r="X153" s="845">
        <v>5</v>
      </c>
      <c r="Y153" s="708"/>
      <c r="Z153" s="63"/>
      <c r="AA153" s="63"/>
      <c r="AB153" s="114"/>
      <c r="AC153" s="63"/>
      <c r="AD153" s="114">
        <v>0.5</v>
      </c>
      <c r="AE153" s="63">
        <v>2</v>
      </c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</row>
    <row r="154" spans="1:41" s="58" customFormat="1">
      <c r="A154" s="85">
        <f>IFERROR(VLOOKUP(Table4[[#This Row],[Player No]],Table10[[#All],[No]:[Age Group]],4,0),"")</f>
        <v>0</v>
      </c>
      <c r="B154" s="87"/>
      <c r="C154" s="88">
        <f t="shared" si="10"/>
        <v>-150</v>
      </c>
      <c r="D154" s="61">
        <f t="shared" si="13"/>
        <v>150</v>
      </c>
      <c r="E154" s="63">
        <v>4028</v>
      </c>
      <c r="F154" s="64" t="str">
        <f>IFERROR(VLOOKUP(Table4[[#This Row],[Player No]],Table10[[No]:[Province]],2,0),"")</f>
        <v>ZULU Andiswa</v>
      </c>
      <c r="G154" s="65" t="str">
        <f>IFERROR(VLOOKUP(Table4[[#This Row],[Player No]],Table10[[No]:[Province]],3,0),"")</f>
        <v>JTTA</v>
      </c>
      <c r="H154" s="66">
        <v>15</v>
      </c>
      <c r="I154" s="96">
        <v>7.5</v>
      </c>
      <c r="J154" s="124">
        <f>(Table4[[#This Row],[Points 2025]]/2)+SUM(Table4[[#This Row],[O1  ADMIN 2026]:[P2         WC    Open 2026]])</f>
        <v>3.75</v>
      </c>
      <c r="K154" s="106">
        <f t="shared" si="11"/>
        <v>0</v>
      </c>
      <c r="L154" s="106">
        <f t="shared" si="12"/>
        <v>0</v>
      </c>
      <c r="M154" s="106" t="s">
        <v>6083</v>
      </c>
      <c r="N154" s="114" t="s">
        <v>6083</v>
      </c>
      <c r="O154" s="114" t="s">
        <v>6083</v>
      </c>
      <c r="P154" s="114"/>
      <c r="Q154" s="63"/>
      <c r="R154" s="63"/>
      <c r="S154" s="114"/>
      <c r="T154" s="114"/>
      <c r="U154" s="63"/>
      <c r="V154" s="114"/>
      <c r="W154" s="63"/>
      <c r="X154" s="845"/>
      <c r="Y154" s="708"/>
      <c r="Z154" s="63"/>
      <c r="AA154" s="63"/>
      <c r="AB154" s="114"/>
      <c r="AC154" s="63"/>
      <c r="AD154" s="114"/>
      <c r="AE154" s="63"/>
      <c r="AF154" s="63"/>
      <c r="AG154" s="63"/>
      <c r="AH154" s="63"/>
      <c r="AI154" s="63"/>
      <c r="AJ154" s="63"/>
      <c r="AK154" s="63"/>
      <c r="AL154" s="63">
        <v>15</v>
      </c>
      <c r="AM154" s="63"/>
      <c r="AN154" s="63"/>
      <c r="AO154" s="63"/>
    </row>
    <row r="155" spans="1:41" s="58" customFormat="1">
      <c r="A155" s="85">
        <f>IFERROR(VLOOKUP(Table4[[#This Row],[Player No]],Table10[[#All],[No]:[Age Group]],4,0),"")</f>
        <v>0</v>
      </c>
      <c r="B155" s="87">
        <v>60</v>
      </c>
      <c r="C155" s="88">
        <f t="shared" si="10"/>
        <v>-91</v>
      </c>
      <c r="D155" s="61">
        <f t="shared" si="13"/>
        <v>151</v>
      </c>
      <c r="E155" s="63">
        <v>4074</v>
      </c>
      <c r="F155" s="64" t="str">
        <f>IFERROR(VLOOKUP(Table4[[#This Row],[Player No]],Table10[[No]:[Province]],2,0),"")</f>
        <v>KHAN Saad</v>
      </c>
      <c r="G155" s="65" t="str">
        <f>IFERROR(VLOOKUP(Table4[[#This Row],[Player No]],Table10[[No]:[Province]],3,0),"")</f>
        <v>JTTA</v>
      </c>
      <c r="H155" s="66">
        <v>15</v>
      </c>
      <c r="I155" s="96">
        <v>7.25</v>
      </c>
      <c r="J155" s="124">
        <f>(Table4[[#This Row],[Points 2025]]/2)+SUM(Table4[[#This Row],[O1  ADMIN 2026]:[P2         WC    Open 2026]])</f>
        <v>3.625</v>
      </c>
      <c r="K155" s="106">
        <f t="shared" si="11"/>
        <v>0</v>
      </c>
      <c r="L155" s="106">
        <f t="shared" si="12"/>
        <v>0</v>
      </c>
      <c r="M155" s="106" t="s">
        <v>6083</v>
      </c>
      <c r="N155" s="114" t="s">
        <v>6083</v>
      </c>
      <c r="O155" s="114" t="s">
        <v>6083</v>
      </c>
      <c r="P155" s="114"/>
      <c r="Q155" s="63"/>
      <c r="R155" s="63"/>
      <c r="S155" s="114"/>
      <c r="T155" s="114"/>
      <c r="U155" s="63"/>
      <c r="V155" s="114"/>
      <c r="W155" s="63"/>
      <c r="X155" s="845"/>
      <c r="Y155" s="708"/>
      <c r="Z155" s="63"/>
      <c r="AA155" s="63"/>
      <c r="AB155" s="114"/>
      <c r="AC155" s="63"/>
      <c r="AD155" s="114"/>
      <c r="AE155" s="63"/>
      <c r="AF155" s="63"/>
      <c r="AG155" s="63"/>
      <c r="AH155" s="63"/>
      <c r="AI155" s="63"/>
      <c r="AJ155" s="63"/>
      <c r="AK155" s="63"/>
      <c r="AL155" s="63">
        <v>15</v>
      </c>
      <c r="AM155" s="63"/>
      <c r="AN155" s="63"/>
      <c r="AO155" s="63"/>
    </row>
    <row r="156" spans="1:41" s="58" customFormat="1">
      <c r="A156" s="85">
        <f>IFERROR(VLOOKUP(Table4[[#This Row],[Player No]],Table10[[#All],[No]:[Age Group]],4,0),"")</f>
        <v>0</v>
      </c>
      <c r="B156" s="87">
        <v>120</v>
      </c>
      <c r="C156" s="88">
        <f t="shared" si="10"/>
        <v>-32</v>
      </c>
      <c r="D156" s="61">
        <f t="shared" si="13"/>
        <v>152</v>
      </c>
      <c r="E156" s="63">
        <v>2595</v>
      </c>
      <c r="F156" s="64" t="str">
        <f>IFERROR(VLOOKUP(Table4[[#This Row],[Player No]],Table10[[No]:[Province]],2,0),"")</f>
        <v>BIGGAS Jared</v>
      </c>
      <c r="G156" s="65" t="str">
        <f>IFERROR(VLOOKUP(Table4[[#This Row],[Player No]],Table10[[No]:[Province]],3,0),"")</f>
        <v>ETTA</v>
      </c>
      <c r="H156" s="66">
        <v>2.5</v>
      </c>
      <c r="I156" s="96">
        <v>7</v>
      </c>
      <c r="J156" s="124">
        <f>(Table4[[#This Row],[Points 2025]]/2)+SUM(Table4[[#This Row],[O1  ADMIN 2026]:[P2         WC    Open 2026]])</f>
        <v>3.5</v>
      </c>
      <c r="K156" s="106">
        <f t="shared" si="11"/>
        <v>0</v>
      </c>
      <c r="L156" s="106">
        <f t="shared" si="12"/>
        <v>0</v>
      </c>
      <c r="M156" s="106" t="s">
        <v>6083</v>
      </c>
      <c r="N156" s="114" t="s">
        <v>6083</v>
      </c>
      <c r="O156" s="114" t="s">
        <v>6083</v>
      </c>
      <c r="P156" s="114"/>
      <c r="Q156" s="63"/>
      <c r="R156" s="63"/>
      <c r="S156" s="114"/>
      <c r="T156" s="114">
        <v>1</v>
      </c>
      <c r="U156" s="63"/>
      <c r="V156" s="114"/>
      <c r="W156" s="63"/>
      <c r="X156" s="845">
        <v>5</v>
      </c>
      <c r="Y156" s="708"/>
      <c r="Z156" s="63"/>
      <c r="AA156" s="63"/>
      <c r="AB156" s="114"/>
      <c r="AC156" s="63"/>
      <c r="AD156" s="114"/>
      <c r="AE156" s="63"/>
      <c r="AF156" s="63">
        <v>2</v>
      </c>
      <c r="AG156" s="63"/>
      <c r="AH156" s="63"/>
      <c r="AI156" s="63"/>
      <c r="AJ156" s="63"/>
      <c r="AK156" s="63"/>
      <c r="AL156" s="63"/>
      <c r="AM156" s="63"/>
      <c r="AN156" s="63"/>
      <c r="AO156" s="63"/>
    </row>
    <row r="157" spans="1:41" s="58" customFormat="1">
      <c r="A157" s="85" t="str">
        <f>IFERROR(VLOOKUP(Table4[[#This Row],[Player No]],Table10[[#All],[No]:[Age Group]],4,0),"")</f>
        <v>U19</v>
      </c>
      <c r="B157" s="87" t="e">
        <f>VLOOKUP([5]!Table4[[#This Row],[Player No]],'[6]u19 boys'!$E$5:$F$216,2,0)</f>
        <v>#REF!</v>
      </c>
      <c r="C157" s="88" t="e">
        <f t="shared" si="10"/>
        <v>#REF!</v>
      </c>
      <c r="D157" s="61">
        <f t="shared" si="13"/>
        <v>153</v>
      </c>
      <c r="E157" s="169">
        <v>4263</v>
      </c>
      <c r="F157" s="64" t="str">
        <f>IFERROR(VLOOKUP(Table4[[#This Row],[Player No]],Table10[[No]:[Province]],2,0),"")</f>
        <v>Berkowitz Jesse</v>
      </c>
      <c r="G157" s="65" t="str">
        <f>IFERROR(VLOOKUP(Table4[[#This Row],[Player No]],Table10[[No]:[Province]],3,0),"")</f>
        <v>JTTA</v>
      </c>
      <c r="H157" s="170">
        <v>0</v>
      </c>
      <c r="I157" s="96">
        <v>6.484375</v>
      </c>
      <c r="J157" s="124">
        <f>(Table4[[#This Row],[Points 2025]]/2)+SUM(Table4[[#This Row],[O1  ADMIN 2026]:[P2         WC    Open 2026]])</f>
        <v>3.2421875</v>
      </c>
      <c r="K157" s="106">
        <f t="shared" si="11"/>
        <v>0</v>
      </c>
      <c r="L157" s="106">
        <f t="shared" si="12"/>
        <v>0</v>
      </c>
      <c r="M157" s="106" t="s">
        <v>6083</v>
      </c>
      <c r="N157" s="114" t="s">
        <v>6083</v>
      </c>
      <c r="O157" s="114" t="s">
        <v>6083</v>
      </c>
      <c r="P157" s="114"/>
      <c r="Q157" s="169"/>
      <c r="R157" s="169"/>
      <c r="S157" s="318"/>
      <c r="T157" s="318"/>
      <c r="U157" s="169"/>
      <c r="V157" s="318"/>
      <c r="W157" s="169"/>
      <c r="X157" s="846"/>
      <c r="Y157" s="713"/>
      <c r="Z157" s="169"/>
      <c r="AA157" s="169"/>
      <c r="AB157" s="318">
        <v>4</v>
      </c>
      <c r="AC157" s="169">
        <v>1</v>
      </c>
      <c r="AD157" s="318"/>
      <c r="AE157" s="169">
        <v>2</v>
      </c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</row>
    <row r="158" spans="1:41" s="58" customFormat="1">
      <c r="A158" s="85">
        <f>IFERROR(VLOOKUP(Table4[[#This Row],[Player No]],Table10[[#All],[No]:[Age Group]],4,0),"")</f>
        <v>0</v>
      </c>
      <c r="B158" s="87">
        <v>66</v>
      </c>
      <c r="C158" s="88">
        <f t="shared" si="10"/>
        <v>-88</v>
      </c>
      <c r="D158" s="61">
        <f t="shared" si="13"/>
        <v>154</v>
      </c>
      <c r="E158" s="63">
        <v>2637</v>
      </c>
      <c r="F158" s="64" t="str">
        <f>IFERROR(VLOOKUP(Table4[[#This Row],[Player No]],Table10[[No]:[Province]],2,0),"")</f>
        <v>MORENNE Kamogelo</v>
      </c>
      <c r="G158" s="65" t="str">
        <f>IFERROR(VLOOKUP(Table4[[#This Row],[Player No]],Table10[[No]:[Province]],3,0),"")</f>
        <v>NC</v>
      </c>
      <c r="H158" s="66">
        <v>12.96875</v>
      </c>
      <c r="I158" s="96">
        <v>6.25</v>
      </c>
      <c r="J158" s="124">
        <f>(Table4[[#This Row],[Points 2025]]/2)+SUM(Table4[[#This Row],[O1  ADMIN 2026]:[P2         WC    Open 2026]])</f>
        <v>3.125</v>
      </c>
      <c r="K158" s="106">
        <f t="shared" si="11"/>
        <v>0</v>
      </c>
      <c r="L158" s="106">
        <f t="shared" si="12"/>
        <v>0</v>
      </c>
      <c r="M158" s="106" t="s">
        <v>6083</v>
      </c>
      <c r="N158" s="114" t="s">
        <v>6083</v>
      </c>
      <c r="O158" s="114" t="s">
        <v>6083</v>
      </c>
      <c r="P158" s="114"/>
      <c r="Q158" s="63"/>
      <c r="R158" s="63"/>
      <c r="S158" s="114"/>
      <c r="T158" s="114"/>
      <c r="U158" s="63"/>
      <c r="V158" s="114"/>
      <c r="W158" s="63"/>
      <c r="X158" s="845"/>
      <c r="Y158" s="708"/>
      <c r="Z158" s="63"/>
      <c r="AA158" s="63"/>
      <c r="AB158" s="114"/>
      <c r="AC158" s="63"/>
      <c r="AD158" s="114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</row>
    <row r="159" spans="1:41" s="58" customFormat="1">
      <c r="A159" s="85" t="str">
        <f>IFERROR(VLOOKUP(Table4[[#This Row],[Player No]],Table10[[#All],[No]:[Age Group]],4,0),"")</f>
        <v>U19</v>
      </c>
      <c r="B159" s="87">
        <v>67</v>
      </c>
      <c r="C159" s="88">
        <f t="shared" si="10"/>
        <v>-88</v>
      </c>
      <c r="D159" s="61">
        <f t="shared" si="13"/>
        <v>155</v>
      </c>
      <c r="E159" s="63">
        <v>2239</v>
      </c>
      <c r="F159" s="64" t="str">
        <f>IFERROR(VLOOKUP(Table4[[#This Row],[Player No]],Table10[[No]:[Province]],2,0),"")</f>
        <v>TONGWANE Leboga</v>
      </c>
      <c r="G159" s="65" t="str">
        <f>IFERROR(VLOOKUP(Table4[[#This Row],[Player No]],Table10[[No]:[Province]],3,0),"")</f>
        <v>NC</v>
      </c>
      <c r="H159" s="66">
        <v>12.5</v>
      </c>
      <c r="I159" s="96">
        <v>6.25</v>
      </c>
      <c r="J159" s="124">
        <f>(Table4[[#This Row],[Points 2025]]/2)+SUM(Table4[[#This Row],[O1  ADMIN 2026]:[P2         WC    Open 2026]])</f>
        <v>3.125</v>
      </c>
      <c r="K159" s="106">
        <f t="shared" si="11"/>
        <v>0</v>
      </c>
      <c r="L159" s="106">
        <f t="shared" si="12"/>
        <v>0</v>
      </c>
      <c r="M159" s="106" t="s">
        <v>6083</v>
      </c>
      <c r="N159" s="114" t="s">
        <v>6083</v>
      </c>
      <c r="O159" s="114" t="s">
        <v>6083</v>
      </c>
      <c r="P159" s="114"/>
      <c r="Q159" s="63"/>
      <c r="R159" s="63"/>
      <c r="S159" s="114"/>
      <c r="T159" s="114"/>
      <c r="U159" s="63"/>
      <c r="V159" s="114"/>
      <c r="W159" s="63"/>
      <c r="X159" s="845">
        <v>0</v>
      </c>
      <c r="Y159" s="708"/>
      <c r="Z159" s="63"/>
      <c r="AA159" s="63"/>
      <c r="AB159" s="114"/>
      <c r="AC159" s="63"/>
      <c r="AD159" s="114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</row>
    <row r="160" spans="1:41" s="58" customFormat="1">
      <c r="A160" s="85">
        <f>IFERROR(VLOOKUP(Table4[[#This Row],[Player No]],Table10[[#All],[No]:[Age Group]],4,0),"")</f>
        <v>0</v>
      </c>
      <c r="B160" s="87">
        <v>64</v>
      </c>
      <c r="C160" s="88">
        <f t="shared" si="10"/>
        <v>-92</v>
      </c>
      <c r="D160" s="61">
        <f t="shared" si="13"/>
        <v>156</v>
      </c>
      <c r="E160" s="63">
        <v>2535</v>
      </c>
      <c r="F160" s="64" t="str">
        <f>IFERROR(VLOOKUP(Table4[[#This Row],[Player No]],Table10[[No]:[Province]],2,0),"")</f>
        <v>KING Ruwaan</v>
      </c>
      <c r="G160" s="65" t="str">
        <f>IFERROR(VLOOKUP(Table4[[#This Row],[Player No]],Table10[[No]:[Province]],3,0),"")</f>
        <v>EC</v>
      </c>
      <c r="H160" s="66">
        <v>12.5</v>
      </c>
      <c r="I160" s="96">
        <v>6.25</v>
      </c>
      <c r="J160" s="124">
        <f>(Table4[[#This Row],[Points 2025]]/2)+SUM(Table4[[#This Row],[O1  ADMIN 2026]:[P2         WC    Open 2026]])</f>
        <v>3.125</v>
      </c>
      <c r="K160" s="106">
        <f t="shared" si="11"/>
        <v>0</v>
      </c>
      <c r="L160" s="106">
        <f t="shared" si="12"/>
        <v>0</v>
      </c>
      <c r="M160" s="106" t="s">
        <v>6083</v>
      </c>
      <c r="N160" s="114" t="s">
        <v>6083</v>
      </c>
      <c r="O160" s="114" t="s">
        <v>6083</v>
      </c>
      <c r="P160" s="114"/>
      <c r="Q160" s="63"/>
      <c r="R160" s="63"/>
      <c r="S160" s="114"/>
      <c r="T160" s="114"/>
      <c r="U160" s="63"/>
      <c r="V160" s="114"/>
      <c r="W160" s="63"/>
      <c r="X160" s="845"/>
      <c r="Y160" s="708"/>
      <c r="Z160" s="63"/>
      <c r="AA160" s="63"/>
      <c r="AB160" s="114"/>
      <c r="AC160" s="63"/>
      <c r="AD160" s="114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</row>
    <row r="161" spans="1:41" s="58" customFormat="1">
      <c r="A161" s="85">
        <f>IFERROR(VLOOKUP(Table4[[#This Row],[Player No]],Table10[[#All],[No]:[Age Group]],4,0),"")</f>
        <v>0</v>
      </c>
      <c r="B161" s="87">
        <v>65</v>
      </c>
      <c r="C161" s="88">
        <f t="shared" si="10"/>
        <v>-92</v>
      </c>
      <c r="D161" s="61">
        <f t="shared" si="13"/>
        <v>157</v>
      </c>
      <c r="E161" s="63">
        <v>3314</v>
      </c>
      <c r="F161" s="64" t="str">
        <f>IFERROR(VLOOKUP(Table4[[#This Row],[Player No]],Table10[[No]:[Province]],2,0),"")</f>
        <v>DU PREEZ Liam</v>
      </c>
      <c r="G161" s="65" t="str">
        <f>IFERROR(VLOOKUP(Table4[[#This Row],[Player No]],Table10[[No]:[Province]],3,0),"")</f>
        <v>JTTA</v>
      </c>
      <c r="H161" s="66">
        <v>12.5</v>
      </c>
      <c r="I161" s="96">
        <v>6.25</v>
      </c>
      <c r="J161" s="124">
        <f>(Table4[[#This Row],[Points 2025]]/2)+SUM(Table4[[#This Row],[O1  ADMIN 2026]:[P2         WC    Open 2026]])</f>
        <v>3.125</v>
      </c>
      <c r="K161" s="106">
        <f t="shared" si="11"/>
        <v>0</v>
      </c>
      <c r="L161" s="106">
        <f t="shared" si="12"/>
        <v>0</v>
      </c>
      <c r="M161" s="106" t="s">
        <v>6083</v>
      </c>
      <c r="N161" s="114" t="s">
        <v>6083</v>
      </c>
      <c r="O161" s="114" t="s">
        <v>6083</v>
      </c>
      <c r="P161" s="114"/>
      <c r="Q161" s="63"/>
      <c r="R161" s="63"/>
      <c r="S161" s="114"/>
      <c r="T161" s="114"/>
      <c r="U161" s="63"/>
      <c r="V161" s="114"/>
      <c r="W161" s="63"/>
      <c r="X161" s="845"/>
      <c r="Y161" s="708"/>
      <c r="Z161" s="63"/>
      <c r="AA161" s="63"/>
      <c r="AB161" s="114"/>
      <c r="AC161" s="63"/>
      <c r="AD161" s="114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</row>
    <row r="162" spans="1:41" s="58" customFormat="1">
      <c r="A162" s="85">
        <f>IFERROR(VLOOKUP(Table4[[#This Row],[Player No]],Table10[[#All],[No]:[Age Group]],4,0),"")</f>
        <v>0</v>
      </c>
      <c r="B162" s="87">
        <v>62</v>
      </c>
      <c r="C162" s="88">
        <f t="shared" si="10"/>
        <v>-96</v>
      </c>
      <c r="D162" s="61">
        <f t="shared" si="13"/>
        <v>158</v>
      </c>
      <c r="E162" s="63">
        <v>3436</v>
      </c>
      <c r="F162" s="64" t="str">
        <f>IFERROR(VLOOKUP(Table4[[#This Row],[Player No]],Table10[[No]:[Province]],2,0),"")</f>
        <v>ROSSOUW Jonathan</v>
      </c>
      <c r="G162" s="65" t="str">
        <f>IFERROR(VLOOKUP(Table4[[#This Row],[Player No]],Table10[[No]:[Province]],3,0),"")</f>
        <v>GN</v>
      </c>
      <c r="H162" s="66">
        <v>12.5</v>
      </c>
      <c r="I162" s="96">
        <v>6.25</v>
      </c>
      <c r="J162" s="124">
        <f>(Table4[[#This Row],[Points 2025]]/2)+SUM(Table4[[#This Row],[O1  ADMIN 2026]:[P2         WC    Open 2026]])</f>
        <v>3.125</v>
      </c>
      <c r="K162" s="106">
        <f t="shared" si="11"/>
        <v>0</v>
      </c>
      <c r="L162" s="106">
        <f t="shared" si="12"/>
        <v>0</v>
      </c>
      <c r="M162" s="106" t="s">
        <v>6083</v>
      </c>
      <c r="N162" s="114" t="s">
        <v>6083</v>
      </c>
      <c r="O162" s="114" t="s">
        <v>6083</v>
      </c>
      <c r="P162" s="114"/>
      <c r="Q162" s="63"/>
      <c r="R162" s="63"/>
      <c r="S162" s="114"/>
      <c r="T162" s="114"/>
      <c r="U162" s="63"/>
      <c r="V162" s="114"/>
      <c r="W162" s="63"/>
      <c r="X162" s="845"/>
      <c r="Y162" s="708"/>
      <c r="Z162" s="63"/>
      <c r="AA162" s="63"/>
      <c r="AB162" s="114"/>
      <c r="AC162" s="63"/>
      <c r="AD162" s="114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</row>
    <row r="163" spans="1:41" s="58" customFormat="1">
      <c r="A163" s="85">
        <f>IFERROR(VLOOKUP(Table4[[#This Row],[Player No]],Table10[[#All],[No]:[Age Group]],4,0),"")</f>
        <v>0</v>
      </c>
      <c r="B163" s="87">
        <v>63</v>
      </c>
      <c r="C163" s="88">
        <f t="shared" si="10"/>
        <v>-96</v>
      </c>
      <c r="D163" s="61">
        <f t="shared" si="13"/>
        <v>159</v>
      </c>
      <c r="E163" s="63">
        <v>3439</v>
      </c>
      <c r="F163" s="64" t="str">
        <f>IFERROR(VLOOKUP(Table4[[#This Row],[Player No]],Table10[[No]:[Province]],2,0),"")</f>
        <v>EJIMS Daniel</v>
      </c>
      <c r="G163" s="65" t="str">
        <f>IFERROR(VLOOKUP(Table4[[#This Row],[Player No]],Table10[[No]:[Province]],3,0),"")</f>
        <v>GN</v>
      </c>
      <c r="H163" s="66">
        <v>12.5</v>
      </c>
      <c r="I163" s="96">
        <v>6.25</v>
      </c>
      <c r="J163" s="124">
        <f>(Table4[[#This Row],[Points 2025]]/2)+SUM(Table4[[#This Row],[O1  ADMIN 2026]:[P2         WC    Open 2026]])</f>
        <v>3.125</v>
      </c>
      <c r="K163" s="106">
        <f t="shared" si="11"/>
        <v>0</v>
      </c>
      <c r="L163" s="106">
        <f t="shared" si="12"/>
        <v>0</v>
      </c>
      <c r="M163" s="106" t="s">
        <v>6083</v>
      </c>
      <c r="N163" s="114" t="s">
        <v>6083</v>
      </c>
      <c r="O163" s="114" t="s">
        <v>6083</v>
      </c>
      <c r="P163" s="114"/>
      <c r="Q163" s="63"/>
      <c r="R163" s="63"/>
      <c r="S163" s="114"/>
      <c r="T163" s="114"/>
      <c r="U163" s="63"/>
      <c r="V163" s="114"/>
      <c r="W163" s="63"/>
      <c r="X163" s="845"/>
      <c r="Y163" s="708"/>
      <c r="Z163" s="63"/>
      <c r="AA163" s="63"/>
      <c r="AB163" s="114"/>
      <c r="AC163" s="63"/>
      <c r="AD163" s="114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</row>
    <row r="164" spans="1:41" s="58" customFormat="1">
      <c r="A164" s="85">
        <f>IFERROR(VLOOKUP(Table4[[#This Row],[Player No]],Table10[[#All],[No]:[Age Group]],4,0),"")</f>
        <v>0</v>
      </c>
      <c r="B164" s="87">
        <v>70</v>
      </c>
      <c r="C164" s="88">
        <f t="shared" si="10"/>
        <v>-90</v>
      </c>
      <c r="D164" s="61">
        <f t="shared" si="13"/>
        <v>160</v>
      </c>
      <c r="E164" s="63">
        <v>3445</v>
      </c>
      <c r="F164" s="64" t="str">
        <f>IFERROR(VLOOKUP(Table4[[#This Row],[Player No]],Table10[[No]:[Province]],2,0),"")</f>
        <v>HUANG Yu Kae</v>
      </c>
      <c r="G164" s="65">
        <f>IFERROR(VLOOKUP(Table4[[#This Row],[Player No]],Table10[[No]:[Province]],3,0),"")</f>
        <v>0</v>
      </c>
      <c r="H164" s="66">
        <v>12.5</v>
      </c>
      <c r="I164" s="96">
        <v>6.25</v>
      </c>
      <c r="J164" s="124">
        <f>(Table4[[#This Row],[Points 2025]]/2)+SUM(Table4[[#This Row],[O1  ADMIN 2026]:[P2         WC    Open 2026]])</f>
        <v>3.125</v>
      </c>
      <c r="K164" s="106">
        <f t="shared" si="11"/>
        <v>0</v>
      </c>
      <c r="L164" s="106">
        <f t="shared" si="12"/>
        <v>0</v>
      </c>
      <c r="M164" s="106" t="s">
        <v>6083</v>
      </c>
      <c r="N164" s="114" t="s">
        <v>6083</v>
      </c>
      <c r="O164" s="114" t="s">
        <v>6083</v>
      </c>
      <c r="P164" s="114"/>
      <c r="Q164" s="63"/>
      <c r="R164" s="63"/>
      <c r="S164" s="114"/>
      <c r="T164" s="114"/>
      <c r="U164" s="63"/>
      <c r="V164" s="114"/>
      <c r="W164" s="63"/>
      <c r="X164" s="845"/>
      <c r="Y164" s="708"/>
      <c r="Z164" s="63"/>
      <c r="AA164" s="63"/>
      <c r="AB164" s="114"/>
      <c r="AC164" s="63"/>
      <c r="AD164" s="114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</row>
    <row r="165" spans="1:41" s="58" customFormat="1">
      <c r="A165" s="85">
        <f>IFERROR(VLOOKUP(Table4[[#This Row],[Player No]],Table10[[#All],[No]:[Age Group]],4,0),"")</f>
        <v>0</v>
      </c>
      <c r="B165" s="87">
        <v>71</v>
      </c>
      <c r="C165" s="88">
        <f t="shared" ref="C165:C174" si="14">+B165-D165</f>
        <v>-90</v>
      </c>
      <c r="D165" s="61">
        <f t="shared" si="13"/>
        <v>161</v>
      </c>
      <c r="E165" s="63">
        <v>3784</v>
      </c>
      <c r="F165" s="64" t="str">
        <f>IFERROR(VLOOKUP(Table4[[#This Row],[Player No]],Table10[[No]:[Province]],2,0),"")</f>
        <v>ISMAIL Muzza</v>
      </c>
      <c r="G165" s="65" t="str">
        <f>IFERROR(VLOOKUP(Table4[[#This Row],[Player No]],Table10[[No]:[Province]],3,0),"")</f>
        <v>JTTA</v>
      </c>
      <c r="H165" s="66">
        <v>12.5</v>
      </c>
      <c r="I165" s="96">
        <v>6.25</v>
      </c>
      <c r="J165" s="124">
        <f>(Table4[[#This Row],[Points 2025]]/2)+SUM(Table4[[#This Row],[O1  ADMIN 2026]:[P2         WC    Open 2026]])</f>
        <v>3.125</v>
      </c>
      <c r="K165" s="106">
        <f t="shared" si="11"/>
        <v>0</v>
      </c>
      <c r="L165" s="106">
        <f t="shared" si="12"/>
        <v>0</v>
      </c>
      <c r="M165" s="106" t="s">
        <v>6083</v>
      </c>
      <c r="N165" s="114" t="s">
        <v>6083</v>
      </c>
      <c r="O165" s="114" t="s">
        <v>6083</v>
      </c>
      <c r="P165" s="114"/>
      <c r="Q165" s="63"/>
      <c r="R165" s="63"/>
      <c r="S165" s="114"/>
      <c r="T165" s="114"/>
      <c r="U165" s="63"/>
      <c r="V165" s="114"/>
      <c r="W165" s="63"/>
      <c r="X165" s="845"/>
      <c r="Y165" s="708"/>
      <c r="Z165" s="63"/>
      <c r="AA165" s="63"/>
      <c r="AB165" s="114"/>
      <c r="AC165" s="63"/>
      <c r="AD165" s="114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</row>
    <row r="166" spans="1:41" s="58" customFormat="1">
      <c r="A166" s="85">
        <f>IFERROR(VLOOKUP(Table4[[#This Row],[Player No]],Table10[[#All],[No]:[Age Group]],4,0),"")</f>
        <v>0</v>
      </c>
      <c r="B166" s="87">
        <v>73</v>
      </c>
      <c r="C166" s="88">
        <f t="shared" si="14"/>
        <v>-89</v>
      </c>
      <c r="D166" s="61">
        <f t="shared" si="13"/>
        <v>162</v>
      </c>
      <c r="E166" s="63">
        <v>3785</v>
      </c>
      <c r="F166" s="64" t="str">
        <f>IFERROR(VLOOKUP(Table4[[#This Row],[Player No]],Table10[[No]:[Province]],2,0),"")</f>
        <v>RAZIYA Lihle</v>
      </c>
      <c r="G166" s="65" t="str">
        <f>IFERROR(VLOOKUP(Table4[[#This Row],[Player No]],Table10[[No]:[Province]],3,0),"")</f>
        <v>EKU</v>
      </c>
      <c r="H166" s="66">
        <v>12.5</v>
      </c>
      <c r="I166" s="96">
        <v>6</v>
      </c>
      <c r="J166" s="124">
        <f>(Table4[[#This Row],[Points 2025]]/2)+SUM(Table4[[#This Row],[O1  ADMIN 2026]:[P2         WC    Open 2026]])</f>
        <v>3</v>
      </c>
      <c r="K166" s="106">
        <f t="shared" si="11"/>
        <v>0</v>
      </c>
      <c r="L166" s="106">
        <f t="shared" si="12"/>
        <v>0</v>
      </c>
      <c r="M166" s="106" t="s">
        <v>6083</v>
      </c>
      <c r="N166" s="114" t="s">
        <v>6083</v>
      </c>
      <c r="O166" s="114" t="s">
        <v>6083</v>
      </c>
      <c r="P166" s="114"/>
      <c r="Q166" s="63"/>
      <c r="R166" s="63"/>
      <c r="S166" s="114"/>
      <c r="T166" s="114"/>
      <c r="U166" s="63"/>
      <c r="V166" s="114"/>
      <c r="W166" s="63"/>
      <c r="X166" s="845"/>
      <c r="Y166" s="708"/>
      <c r="Z166" s="63"/>
      <c r="AA166" s="63"/>
      <c r="AB166" s="114"/>
      <c r="AC166" s="63"/>
      <c r="AD166" s="114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</row>
    <row r="167" spans="1:41" s="58" customFormat="1">
      <c r="A167" s="85" t="str">
        <f>IFERROR(VLOOKUP(Table4[[#This Row],[Player No]],Table10[[#All],[No]:[Age Group]],4,0),"")</f>
        <v>U19</v>
      </c>
      <c r="B167" s="88"/>
      <c r="C167" s="88">
        <f t="shared" si="14"/>
        <v>-163</v>
      </c>
      <c r="D167" s="61">
        <f t="shared" si="13"/>
        <v>163</v>
      </c>
      <c r="E167" s="63">
        <v>3066</v>
      </c>
      <c r="F167" s="64" t="str">
        <f>IFERROR(VLOOKUP(Table4[[#This Row],[Player No]],Table10[[No]:[Province]],2,0),"")</f>
        <v>SESEANE Bahumi</v>
      </c>
      <c r="G167" s="65" t="str">
        <f>IFERROR(VLOOKUP(Table4[[#This Row],[Player No]],Table10[[No]:[Province]],3,0),"")</f>
        <v>FS</v>
      </c>
      <c r="H167" s="66">
        <v>0</v>
      </c>
      <c r="I167" s="96">
        <v>6</v>
      </c>
      <c r="J167" s="124">
        <f>(Table4[[#This Row],[Points 2025]]/2)+SUM(Table4[[#This Row],[O1  ADMIN 2026]:[P2         WC    Open 2026]])</f>
        <v>3</v>
      </c>
      <c r="K167" s="106">
        <f t="shared" si="11"/>
        <v>0</v>
      </c>
      <c r="L167" s="106">
        <f t="shared" si="12"/>
        <v>0</v>
      </c>
      <c r="M167" s="106" t="s">
        <v>6083</v>
      </c>
      <c r="N167" s="114" t="s">
        <v>6083</v>
      </c>
      <c r="O167" s="114" t="s">
        <v>6083</v>
      </c>
      <c r="P167" s="114"/>
      <c r="Q167" s="63"/>
      <c r="R167" s="63"/>
      <c r="S167" s="114"/>
      <c r="T167" s="114"/>
      <c r="U167" s="63"/>
      <c r="V167" s="114">
        <v>1</v>
      </c>
      <c r="W167" s="63"/>
      <c r="X167" s="845">
        <v>5</v>
      </c>
      <c r="Y167" s="708"/>
      <c r="Z167" s="63"/>
      <c r="AA167" s="63"/>
      <c r="AB167" s="114"/>
      <c r="AC167" s="63"/>
      <c r="AD167" s="114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</row>
    <row r="168" spans="1:41" s="58" customFormat="1">
      <c r="A168" s="85">
        <f>IFERROR(VLOOKUP(Table4[[#This Row],[Player No]],Table10[[#All],[No]:[Age Group]],4,0),"")</f>
        <v>0</v>
      </c>
      <c r="B168" s="373"/>
      <c r="C168" s="373">
        <f t="shared" si="14"/>
        <v>-164</v>
      </c>
      <c r="D168" s="61">
        <f t="shared" si="13"/>
        <v>164</v>
      </c>
      <c r="E168" s="361">
        <v>3391</v>
      </c>
      <c r="F168" s="64" t="str">
        <f>IFERROR(VLOOKUP(Table4[[#This Row],[Player No]],Table10[[No]:[Province]],2,0),"")</f>
        <v>BECHOO Elijah Raphael</v>
      </c>
      <c r="G168" s="65" t="str">
        <f>IFERROR(VLOOKUP(Table4[[#This Row],[Player No]],Table10[[No]:[Province]],3,0),"")</f>
        <v>ETTA</v>
      </c>
      <c r="H168" s="370">
        <v>0</v>
      </c>
      <c r="I168" s="363">
        <v>6</v>
      </c>
      <c r="J168" s="124">
        <f>(Table4[[#This Row],[Points 2025]]/2)+SUM(Table4[[#This Row],[O1  ADMIN 2026]:[P2         WC    Open 2026]])</f>
        <v>3</v>
      </c>
      <c r="K168" s="106">
        <f t="shared" si="11"/>
        <v>0</v>
      </c>
      <c r="L168" s="106">
        <f t="shared" si="12"/>
        <v>0</v>
      </c>
      <c r="M168" s="106" t="s">
        <v>6083</v>
      </c>
      <c r="N168" s="357" t="s">
        <v>6083</v>
      </c>
      <c r="O168" s="357" t="s">
        <v>6083</v>
      </c>
      <c r="P168" s="357"/>
      <c r="Q168" s="361"/>
      <c r="R168" s="361"/>
      <c r="S168" s="357"/>
      <c r="T168" s="357">
        <v>1</v>
      </c>
      <c r="U168" s="361"/>
      <c r="V168" s="357"/>
      <c r="W168" s="361"/>
      <c r="X168" s="850">
        <v>5</v>
      </c>
      <c r="Y168" s="738"/>
      <c r="Z168" s="361"/>
      <c r="AA168" s="361"/>
      <c r="AB168" s="357"/>
      <c r="AC168" s="361"/>
      <c r="AD168" s="357"/>
      <c r="AE168" s="361"/>
      <c r="AF168" s="361"/>
      <c r="AG168" s="361"/>
      <c r="AH168" s="361"/>
      <c r="AI168" s="361"/>
      <c r="AJ168" s="361"/>
      <c r="AK168" s="361"/>
      <c r="AL168" s="361"/>
      <c r="AM168" s="361"/>
      <c r="AN168" s="361"/>
      <c r="AO168" s="361"/>
    </row>
    <row r="169" spans="1:41" s="58" customFormat="1">
      <c r="A169" s="85" t="str">
        <f>IFERROR(VLOOKUP(Table4[[#This Row],[Player No]],Table10[[#All],[No]:[Age Group]],4,0),"")</f>
        <v>U19</v>
      </c>
      <c r="B169" s="87">
        <v>105</v>
      </c>
      <c r="C169" s="88">
        <f t="shared" si="14"/>
        <v>-60</v>
      </c>
      <c r="D169" s="61">
        <f t="shared" si="13"/>
        <v>165</v>
      </c>
      <c r="E169" s="63">
        <v>3482</v>
      </c>
      <c r="F169" s="64" t="str">
        <f>IFERROR(VLOOKUP(Table4[[#This Row],[Player No]],Table10[[No]:[Province]],2,0),"")</f>
        <v>MOJONOTOAN Kamohelo</v>
      </c>
      <c r="G169" s="65" t="str">
        <f>IFERROR(VLOOKUP(Table4[[#This Row],[Player No]],Table10[[No]:[Province]],3,0),"")</f>
        <v>FS</v>
      </c>
      <c r="H169" s="66">
        <v>10</v>
      </c>
      <c r="I169" s="96">
        <v>6</v>
      </c>
      <c r="J169" s="124">
        <f>(Table4[[#This Row],[Points 2025]]/2)+SUM(Table4[[#This Row],[O1  ADMIN 2026]:[P2         WC    Open 2026]])</f>
        <v>3</v>
      </c>
      <c r="K169" s="106">
        <f t="shared" si="11"/>
        <v>0</v>
      </c>
      <c r="L169" s="106">
        <f t="shared" si="12"/>
        <v>0</v>
      </c>
      <c r="M169" s="106" t="s">
        <v>6083</v>
      </c>
      <c r="N169" s="114" t="s">
        <v>6083</v>
      </c>
      <c r="O169" s="114" t="s">
        <v>6083</v>
      </c>
      <c r="P169" s="114"/>
      <c r="Q169" s="63"/>
      <c r="R169" s="63"/>
      <c r="S169" s="114"/>
      <c r="T169" s="114"/>
      <c r="U169" s="63"/>
      <c r="V169" s="114">
        <v>1</v>
      </c>
      <c r="W169" s="63"/>
      <c r="X169" s="845">
        <v>0</v>
      </c>
      <c r="Y169" s="708"/>
      <c r="Z169" s="63"/>
      <c r="AA169" s="63"/>
      <c r="AB169" s="114"/>
      <c r="AC169" s="63"/>
      <c r="AD169" s="114"/>
      <c r="AE169" s="63"/>
      <c r="AF169" s="63"/>
      <c r="AG169" s="63"/>
      <c r="AH169" s="63"/>
      <c r="AI169" s="63"/>
      <c r="AJ169" s="63">
        <v>10</v>
      </c>
      <c r="AK169" s="63"/>
      <c r="AL169" s="63"/>
      <c r="AM169" s="63"/>
      <c r="AN169" s="63"/>
      <c r="AO169" s="63"/>
    </row>
    <row r="170" spans="1:41" s="58" customFormat="1">
      <c r="A170" s="85" t="str">
        <f>IFERROR(VLOOKUP(Table4[[#This Row],[Player No]],Table10[[#All],[No]:[Age Group]],4,0),"")</f>
        <v>U19</v>
      </c>
      <c r="B170" s="87" t="e">
        <f>VLOOKUP([5]!Table4[[#This Row],[Player No]],'[6]u19 boys'!$E$5:$F$216,2,0)</f>
        <v>#REF!</v>
      </c>
      <c r="C170" s="88" t="e">
        <f t="shared" si="14"/>
        <v>#REF!</v>
      </c>
      <c r="D170" s="61">
        <f t="shared" si="13"/>
        <v>166</v>
      </c>
      <c r="E170" s="63">
        <v>3689</v>
      </c>
      <c r="F170" s="64" t="str">
        <f>IFERROR(VLOOKUP(Table4[[#This Row],[Player No]],Table10[[No]:[Province]],2,0),"")</f>
        <v>WILLIAMS Deveigon</v>
      </c>
      <c r="G170" s="65" t="str">
        <f>IFERROR(VLOOKUP(Table4[[#This Row],[Player No]],Table10[[No]:[Province]],3,0),"")</f>
        <v>Eden</v>
      </c>
      <c r="H170" s="66">
        <v>2</v>
      </c>
      <c r="I170" s="96">
        <v>6</v>
      </c>
      <c r="J170" s="124">
        <f>(Table4[[#This Row],[Points 2025]]/2)+SUM(Table4[[#This Row],[O1  ADMIN 2026]:[P2         WC    Open 2026]])</f>
        <v>3</v>
      </c>
      <c r="K170" s="106">
        <f t="shared" si="11"/>
        <v>0</v>
      </c>
      <c r="L170" s="106">
        <f t="shared" si="12"/>
        <v>0</v>
      </c>
      <c r="M170" s="106" t="s">
        <v>6083</v>
      </c>
      <c r="N170" s="114" t="s">
        <v>6083</v>
      </c>
      <c r="O170" s="114" t="s">
        <v>6083</v>
      </c>
      <c r="P170" s="114"/>
      <c r="Q170" s="63"/>
      <c r="R170" s="63"/>
      <c r="S170" s="114"/>
      <c r="T170" s="114"/>
      <c r="U170" s="63"/>
      <c r="V170" s="114"/>
      <c r="W170" s="63"/>
      <c r="X170" s="845">
        <v>5</v>
      </c>
      <c r="Y170" s="708"/>
      <c r="Z170" s="63"/>
      <c r="AA170" s="63"/>
      <c r="AB170" s="114"/>
      <c r="AC170" s="63"/>
      <c r="AD170" s="114"/>
      <c r="AE170" s="63"/>
      <c r="AF170" s="63"/>
      <c r="AG170" s="63"/>
      <c r="AH170" s="63"/>
      <c r="AI170" s="63">
        <v>2</v>
      </c>
      <c r="AJ170" s="63"/>
      <c r="AK170" s="63"/>
      <c r="AL170" s="63"/>
      <c r="AM170" s="63"/>
      <c r="AN170" s="63"/>
      <c r="AO170" s="63"/>
    </row>
    <row r="171" spans="1:41" s="58" customFormat="1">
      <c r="A171" s="85">
        <f>IFERROR(VLOOKUP(Table4[[#This Row],[Player No]],Table10[[#All],[No]:[Age Group]],4,0),"")</f>
        <v>0</v>
      </c>
      <c r="B171" s="87" t="e">
        <f>VLOOKUP([5]!Table4[[#This Row],[Player No]],'[6]u19 boys'!$E$5:$F$216,2,0)</f>
        <v>#REF!</v>
      </c>
      <c r="C171" s="88" t="e">
        <f t="shared" si="14"/>
        <v>#REF!</v>
      </c>
      <c r="D171" s="61">
        <f t="shared" si="13"/>
        <v>167</v>
      </c>
      <c r="E171" s="63">
        <v>3959</v>
      </c>
      <c r="F171" s="64" t="str">
        <f>IFERROR(VLOOKUP(Table4[[#This Row],[Player No]],Table10[[No]:[Province]],2,0),"")</f>
        <v>MAART Dominiqwin</v>
      </c>
      <c r="G171" s="65" t="str">
        <f>IFERROR(VLOOKUP(Table4[[#This Row],[Player No]],Table10[[No]:[Province]],3,0),"")</f>
        <v>Eden</v>
      </c>
      <c r="H171" s="66">
        <v>2</v>
      </c>
      <c r="I171" s="96">
        <v>6</v>
      </c>
      <c r="J171" s="124">
        <f>(Table4[[#This Row],[Points 2025]]/2)+SUM(Table4[[#This Row],[O1  ADMIN 2026]:[P2         WC    Open 2026]])</f>
        <v>3</v>
      </c>
      <c r="K171" s="106">
        <f t="shared" si="11"/>
        <v>0</v>
      </c>
      <c r="L171" s="106">
        <f t="shared" si="12"/>
        <v>0</v>
      </c>
      <c r="M171" s="106" t="s">
        <v>6083</v>
      </c>
      <c r="N171" s="114" t="s">
        <v>6083</v>
      </c>
      <c r="O171" s="114" t="s">
        <v>6083</v>
      </c>
      <c r="P171" s="114"/>
      <c r="Q171" s="63"/>
      <c r="R171" s="63"/>
      <c r="S171" s="114"/>
      <c r="T171" s="114"/>
      <c r="U171" s="63"/>
      <c r="V171" s="114"/>
      <c r="W171" s="63"/>
      <c r="X171" s="845">
        <v>5</v>
      </c>
      <c r="Y171" s="708"/>
      <c r="Z171" s="63"/>
      <c r="AA171" s="63"/>
      <c r="AB171" s="114"/>
      <c r="AC171" s="63"/>
      <c r="AD171" s="114"/>
      <c r="AE171" s="63"/>
      <c r="AF171" s="63"/>
      <c r="AG171" s="63"/>
      <c r="AH171" s="63"/>
      <c r="AI171" s="63">
        <v>2</v>
      </c>
      <c r="AJ171" s="63"/>
      <c r="AK171" s="63"/>
      <c r="AL171" s="63"/>
      <c r="AM171" s="63"/>
      <c r="AN171" s="63"/>
      <c r="AO171" s="63"/>
    </row>
    <row r="172" spans="1:41" s="58" customFormat="1">
      <c r="A172" s="85">
        <f>IFERROR(VLOOKUP(Table4[[#This Row],[Player No]],Table10[[#All],[No]:[Age Group]],4,0),"")</f>
        <v>0</v>
      </c>
      <c r="B172" s="87" t="e">
        <f>VLOOKUP([5]!Table4[[#This Row],[Player No]],'[6]u19 boys'!$E$5:$F$216,2,0)</f>
        <v>#REF!</v>
      </c>
      <c r="C172" s="88" t="e">
        <f t="shared" si="14"/>
        <v>#REF!</v>
      </c>
      <c r="D172" s="61">
        <f t="shared" si="13"/>
        <v>168</v>
      </c>
      <c r="E172" s="63">
        <v>3961</v>
      </c>
      <c r="F172" s="64" t="str">
        <f>IFERROR(VLOOKUP(Table4[[#This Row],[Player No]],Table10[[No]:[Province]],2,0),"")</f>
        <v>MAART Hulon</v>
      </c>
      <c r="G172" s="65" t="str">
        <f>IFERROR(VLOOKUP(Table4[[#This Row],[Player No]],Table10[[No]:[Province]],3,0),"")</f>
        <v>Eden</v>
      </c>
      <c r="H172" s="66">
        <v>2</v>
      </c>
      <c r="I172" s="96">
        <v>6</v>
      </c>
      <c r="J172" s="124">
        <f>(Table4[[#This Row],[Points 2025]]/2)+SUM(Table4[[#This Row],[O1  ADMIN 2026]:[P2         WC    Open 2026]])</f>
        <v>3</v>
      </c>
      <c r="K172" s="106">
        <f t="shared" si="11"/>
        <v>0</v>
      </c>
      <c r="L172" s="106">
        <f t="shared" si="12"/>
        <v>0</v>
      </c>
      <c r="M172" s="106" t="s">
        <v>6083</v>
      </c>
      <c r="N172" s="114" t="s">
        <v>6083</v>
      </c>
      <c r="O172" s="114" t="s">
        <v>6083</v>
      </c>
      <c r="P172" s="114"/>
      <c r="Q172" s="63"/>
      <c r="R172" s="63"/>
      <c r="S172" s="114"/>
      <c r="T172" s="114"/>
      <c r="U172" s="63"/>
      <c r="V172" s="114"/>
      <c r="W172" s="63"/>
      <c r="X172" s="845">
        <v>5</v>
      </c>
      <c r="Y172" s="708"/>
      <c r="Z172" s="63"/>
      <c r="AA172" s="63"/>
      <c r="AB172" s="114"/>
      <c r="AC172" s="63"/>
      <c r="AD172" s="114"/>
      <c r="AE172" s="63"/>
      <c r="AF172" s="63"/>
      <c r="AG172" s="63"/>
      <c r="AH172" s="63"/>
      <c r="AI172" s="63">
        <v>2</v>
      </c>
      <c r="AJ172" s="63"/>
      <c r="AK172" s="63"/>
      <c r="AL172" s="63"/>
      <c r="AM172" s="63"/>
      <c r="AN172" s="63"/>
      <c r="AO172" s="63"/>
    </row>
    <row r="173" spans="1:41" s="58" customFormat="1">
      <c r="A173" s="85" t="str">
        <f>IFERROR(VLOOKUP(Table4[[#This Row],[Player No]],Table10[[#All],[No]:[Age Group]],4,0),"")</f>
        <v>U15</v>
      </c>
      <c r="B173" s="88"/>
      <c r="C173" s="88">
        <f t="shared" si="14"/>
        <v>-169</v>
      </c>
      <c r="D173" s="61">
        <f t="shared" si="13"/>
        <v>169</v>
      </c>
      <c r="E173" s="63">
        <v>4038</v>
      </c>
      <c r="F173" s="64" t="str">
        <f>IFERROR(VLOOKUP(Table4[[#This Row],[Player No]],Table10[[No]:[Province]],2,0),"")</f>
        <v>MOOSA  Shiraaz</v>
      </c>
      <c r="G173" s="65" t="str">
        <f>IFERROR(VLOOKUP(Table4[[#This Row],[Player No]],Table10[[No]:[Province]],3,0),"")</f>
        <v>FS</v>
      </c>
      <c r="H173" s="66">
        <v>0</v>
      </c>
      <c r="I173" s="96">
        <v>5.8203125</v>
      </c>
      <c r="J173" s="124">
        <f>(Table4[[#This Row],[Points 2025]]/2)+SUM(Table4[[#This Row],[O1  ADMIN 2026]:[P2         WC    Open 2026]])</f>
        <v>2.91015625</v>
      </c>
      <c r="K173" s="106">
        <f t="shared" si="11"/>
        <v>0</v>
      </c>
      <c r="L173" s="106">
        <f t="shared" si="12"/>
        <v>0</v>
      </c>
      <c r="M173" s="106" t="s">
        <v>6083</v>
      </c>
      <c r="N173" s="114" t="s">
        <v>6083</v>
      </c>
      <c r="O173" s="114" t="s">
        <v>6083</v>
      </c>
      <c r="P173" s="114"/>
      <c r="Q173" s="63"/>
      <c r="R173" s="63"/>
      <c r="S173" s="114"/>
      <c r="T173" s="114"/>
      <c r="U173" s="63"/>
      <c r="V173" s="114">
        <v>1</v>
      </c>
      <c r="W173" s="63"/>
      <c r="X173" s="845">
        <v>5</v>
      </c>
      <c r="Y173" s="708"/>
      <c r="Z173" s="63"/>
      <c r="AA173" s="63"/>
      <c r="AB173" s="114"/>
      <c r="AC173" s="63"/>
      <c r="AD173" s="114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</row>
    <row r="174" spans="1:41" s="58" customFormat="1">
      <c r="A174" s="85">
        <f>IFERROR(VLOOKUP(Table4[[#This Row],[Player No]],Table10[[#All],[No]:[Age Group]],4,0),"")</f>
        <v>0</v>
      </c>
      <c r="B174" s="87"/>
      <c r="C174" s="88">
        <f t="shared" si="14"/>
        <v>-170</v>
      </c>
      <c r="D174" s="61">
        <f t="shared" si="13"/>
        <v>170</v>
      </c>
      <c r="E174" s="63">
        <v>1657</v>
      </c>
      <c r="F174" s="64" t="s">
        <v>1795</v>
      </c>
      <c r="G174" s="65" t="str">
        <f>IFERROR(VLOOKUP(Table4[[#This Row],[Player No]],Table10[[No]:[Province]],3,0),"")</f>
        <v>EC</v>
      </c>
      <c r="H174" s="66">
        <v>11.640625</v>
      </c>
      <c r="I174" s="96">
        <v>5.5</v>
      </c>
      <c r="J174" s="124">
        <f>(Table4[[#This Row],[Points 2025]]/2)+SUM(Table4[[#This Row],[O1  ADMIN 2026]:[P2         WC    Open 2026]])</f>
        <v>2.75</v>
      </c>
      <c r="K174" s="106">
        <f t="shared" si="11"/>
        <v>0</v>
      </c>
      <c r="L174" s="106">
        <f t="shared" si="12"/>
        <v>0</v>
      </c>
      <c r="M174" s="106" t="s">
        <v>6083</v>
      </c>
      <c r="N174" s="114" t="s">
        <v>6083</v>
      </c>
      <c r="O174" s="114" t="s">
        <v>6083</v>
      </c>
      <c r="P174" s="114"/>
      <c r="Q174" s="63"/>
      <c r="R174" s="63"/>
      <c r="S174" s="114"/>
      <c r="T174" s="114"/>
      <c r="U174" s="63"/>
      <c r="V174" s="114"/>
      <c r="W174" s="63"/>
      <c r="X174" s="845"/>
      <c r="Y174" s="708"/>
      <c r="Z174" s="63"/>
      <c r="AA174" s="63"/>
      <c r="AB174" s="114"/>
      <c r="AC174" s="63"/>
      <c r="AD174" s="114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</row>
    <row r="175" spans="1:41" s="58" customFormat="1">
      <c r="A175" s="85">
        <f>IFERROR(VLOOKUP(Table4[[#This Row],[Player No]],Table10[[#All],[No]:[Age Group]],4,0),"")</f>
        <v>0</v>
      </c>
      <c r="B175" s="88"/>
      <c r="C175" s="88">
        <f>+B174-D174</f>
        <v>-170</v>
      </c>
      <c r="D175" s="61">
        <f t="shared" si="13"/>
        <v>171</v>
      </c>
      <c r="E175" s="63">
        <v>4520</v>
      </c>
      <c r="F175" s="64" t="str">
        <f>IFERROR(VLOOKUP(Table4[[#This Row],[Player No]],Table10[[No]:[Province]],2,0),"")</f>
        <v xml:space="preserve">KHOZA Sipho </v>
      </c>
      <c r="G175" s="65" t="str">
        <f>IFERROR(VLOOKUP(Table4[[#This Row],[Player No]],Table10[[No]:[Province]],3,0),"")</f>
        <v>EKR</v>
      </c>
      <c r="H175" s="66">
        <v>0</v>
      </c>
      <c r="I175" s="96">
        <v>5</v>
      </c>
      <c r="J175" s="124">
        <f>(Table4[[#This Row],[Points 2025]]/2)+SUM(Table4[[#This Row],[O1  ADMIN 2026]:[P2         WC    Open 2026]])</f>
        <v>2.5</v>
      </c>
      <c r="K175" s="106">
        <f t="shared" si="11"/>
        <v>0</v>
      </c>
      <c r="L175" s="106">
        <f t="shared" si="12"/>
        <v>0</v>
      </c>
      <c r="M175" s="106" t="s">
        <v>6083</v>
      </c>
      <c r="N175" s="114" t="s">
        <v>6083</v>
      </c>
      <c r="O175" s="114" t="s">
        <v>6083</v>
      </c>
      <c r="P175" s="114"/>
      <c r="Q175" s="63"/>
      <c r="R175" s="63"/>
      <c r="S175" s="114"/>
      <c r="T175" s="114"/>
      <c r="U175" s="63"/>
      <c r="V175" s="114"/>
      <c r="W175" s="63"/>
      <c r="X175" s="845">
        <v>5</v>
      </c>
      <c r="Y175" s="708"/>
      <c r="Z175" s="63">
        <v>0.5</v>
      </c>
      <c r="AA175" s="63"/>
      <c r="AB175" s="114"/>
      <c r="AC175" s="63"/>
      <c r="AD175" s="114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</row>
    <row r="176" spans="1:41" s="58" customFormat="1">
      <c r="A176" s="85">
        <f>IFERROR(VLOOKUP(Table4[[#This Row],[Player No]],Table10[[#All],[No]:[Age Group]],4,0),"")</f>
        <v>0</v>
      </c>
      <c r="B176" s="87"/>
      <c r="C176" s="88">
        <f>+B176-D176</f>
        <v>-172</v>
      </c>
      <c r="D176" s="61">
        <f t="shared" si="13"/>
        <v>172</v>
      </c>
      <c r="E176" s="63">
        <v>2204</v>
      </c>
      <c r="F176" s="64" t="str">
        <f>IFERROR(VLOOKUP(Table4[[#This Row],[Player No]],Table10[[No]:[Province]],2,0),"")</f>
        <v>KUBAYI Xihlobo</v>
      </c>
      <c r="G176" s="65" t="str">
        <f>IFERROR(VLOOKUP(Table4[[#This Row],[Player No]],Table10[[No]:[Province]],3,0),"")</f>
        <v>LIM</v>
      </c>
      <c r="H176" s="66">
        <v>10</v>
      </c>
      <c r="I176" s="96">
        <v>5</v>
      </c>
      <c r="J176" s="124">
        <f>(Table4[[#This Row],[Points 2025]]/2)+SUM(Table4[[#This Row],[O1  ADMIN 2026]:[P2         WC    Open 2026]])</f>
        <v>2.5</v>
      </c>
      <c r="K176" s="106">
        <f t="shared" si="11"/>
        <v>0</v>
      </c>
      <c r="L176" s="106">
        <f t="shared" si="12"/>
        <v>0</v>
      </c>
      <c r="M176" s="106" t="s">
        <v>6083</v>
      </c>
      <c r="N176" s="114" t="s">
        <v>6083</v>
      </c>
      <c r="O176" s="114" t="s">
        <v>6083</v>
      </c>
      <c r="P176" s="114"/>
      <c r="Q176" s="63"/>
      <c r="R176" s="63"/>
      <c r="S176" s="114"/>
      <c r="T176" s="114"/>
      <c r="U176" s="63"/>
      <c r="V176" s="114"/>
      <c r="W176" s="63"/>
      <c r="X176" s="845"/>
      <c r="Y176" s="708"/>
      <c r="Z176" s="63"/>
      <c r="AA176" s="63"/>
      <c r="AB176" s="114"/>
      <c r="AC176" s="63"/>
      <c r="AD176" s="114"/>
      <c r="AE176" s="63"/>
      <c r="AF176" s="63"/>
      <c r="AG176" s="63"/>
      <c r="AH176" s="63"/>
      <c r="AI176" s="63"/>
      <c r="AJ176" s="63">
        <v>10</v>
      </c>
      <c r="AK176" s="63"/>
      <c r="AL176" s="63"/>
      <c r="AM176" s="63"/>
      <c r="AN176" s="63"/>
      <c r="AO176" s="63"/>
    </row>
    <row r="177" spans="1:41" s="58" customFormat="1">
      <c r="A177" s="85">
        <f>IFERROR(VLOOKUP(Table4[[#This Row],[Player No]],Table10[[#All],[No]:[Age Group]],4,0),"")</f>
        <v>0</v>
      </c>
      <c r="B177" s="88"/>
      <c r="C177" s="88">
        <f>+B177-D177</f>
        <v>-173</v>
      </c>
      <c r="D177" s="61">
        <f t="shared" si="13"/>
        <v>173</v>
      </c>
      <c r="E177" s="63">
        <v>2560</v>
      </c>
      <c r="F177" s="64" t="str">
        <f>IFERROR(VLOOKUP(Table4[[#This Row],[Player No]],Table10[[No]:[Province]],2,0),"")</f>
        <v>MADONYELA Azola</v>
      </c>
      <c r="G177" s="65" t="str">
        <f>IFERROR(VLOOKUP(Table4[[#This Row],[Player No]],Table10[[No]:[Province]],3,0),"")</f>
        <v>EC</v>
      </c>
      <c r="H177" s="66">
        <v>0</v>
      </c>
      <c r="I177" s="96">
        <v>5</v>
      </c>
      <c r="J177" s="124">
        <f>(Table4[[#This Row],[Points 2025]]/2)+SUM(Table4[[#This Row],[O1  ADMIN 2026]:[P2         WC    Open 2026]])</f>
        <v>2.5</v>
      </c>
      <c r="K177" s="106">
        <f t="shared" si="11"/>
        <v>0</v>
      </c>
      <c r="L177" s="106">
        <f t="shared" si="12"/>
        <v>0</v>
      </c>
      <c r="M177" s="106" t="s">
        <v>6083</v>
      </c>
      <c r="N177" s="114" t="s">
        <v>6083</v>
      </c>
      <c r="O177" s="114" t="s">
        <v>6083</v>
      </c>
      <c r="P177" s="114"/>
      <c r="Q177" s="63"/>
      <c r="R177" s="63"/>
      <c r="S177" s="114"/>
      <c r="T177" s="114"/>
      <c r="U177" s="63"/>
      <c r="V177" s="114"/>
      <c r="W177" s="63"/>
      <c r="X177" s="847">
        <v>5</v>
      </c>
      <c r="Y177" s="737"/>
      <c r="Z177" s="63"/>
      <c r="AA177" s="63"/>
      <c r="AB177" s="114"/>
      <c r="AC177" s="63"/>
      <c r="AD177" s="114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</row>
    <row r="178" spans="1:41" s="58" customFormat="1">
      <c r="A178" s="85">
        <f>IFERROR(VLOOKUP(Table4[[#This Row],[Player No]],Table10[[#All],[No]:[Age Group]],4,0),"")</f>
        <v>0</v>
      </c>
      <c r="B178" s="88"/>
      <c r="C178" s="88">
        <f>+B177-D177</f>
        <v>-173</v>
      </c>
      <c r="D178" s="61">
        <f t="shared" si="13"/>
        <v>174</v>
      </c>
      <c r="E178" s="63">
        <v>3046</v>
      </c>
      <c r="F178" s="64" t="str">
        <f>IFERROR(VLOOKUP(Table4[[#This Row],[Player No]],Table10[[No]:[Province]],2,0),"")</f>
        <v>PETERSEN Jay Jay</v>
      </c>
      <c r="G178" s="65" t="str">
        <f>IFERROR(VLOOKUP(Table4[[#This Row],[Player No]],Table10[[No]:[Province]],3,0),"")</f>
        <v>CT</v>
      </c>
      <c r="H178" s="66">
        <v>0</v>
      </c>
      <c r="I178" s="96">
        <v>5</v>
      </c>
      <c r="J178" s="124">
        <f>(Table4[[#This Row],[Points 2025]]/2)+SUM(Table4[[#This Row],[O1  ADMIN 2026]:[P2         WC    Open 2026]])</f>
        <v>2.5</v>
      </c>
      <c r="K178" s="106">
        <f t="shared" si="11"/>
        <v>0</v>
      </c>
      <c r="L178" s="106">
        <f t="shared" si="12"/>
        <v>0</v>
      </c>
      <c r="M178" s="106" t="s">
        <v>6083</v>
      </c>
      <c r="N178" s="114" t="s">
        <v>6083</v>
      </c>
      <c r="O178" s="114" t="s">
        <v>6083</v>
      </c>
      <c r="P178" s="114"/>
      <c r="Q178" s="63"/>
      <c r="R178" s="63"/>
      <c r="S178" s="114"/>
      <c r="T178" s="114"/>
      <c r="U178" s="63"/>
      <c r="V178" s="114"/>
      <c r="W178" s="63"/>
      <c r="X178" s="845"/>
      <c r="Y178" s="708"/>
      <c r="Z178" s="63"/>
      <c r="AA178" s="63"/>
      <c r="AB178" s="114"/>
      <c r="AC178" s="63"/>
      <c r="AD178" s="114">
        <v>5</v>
      </c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</row>
    <row r="179" spans="1:41" s="58" customFormat="1">
      <c r="A179" s="85" t="str">
        <f>IFERROR(VLOOKUP(Table4[[#This Row],[Player No]],Table10[[#All],[No]:[Age Group]],4,0),"")</f>
        <v>U19</v>
      </c>
      <c r="B179" s="88"/>
      <c r="C179" s="88">
        <f t="shared" ref="C179:C214" si="15">+B179-D179</f>
        <v>-175</v>
      </c>
      <c r="D179" s="61">
        <f t="shared" si="13"/>
        <v>175</v>
      </c>
      <c r="E179" s="63">
        <v>3152</v>
      </c>
      <c r="F179" s="64" t="str">
        <f>IFERROR(VLOOKUP(Table4[[#This Row],[Player No]],Table10[[No]:[Province]],2,0),"")</f>
        <v>KOTOPO Tebogo</v>
      </c>
      <c r="G179" s="65" t="str">
        <f>IFERROR(VLOOKUP(Table4[[#This Row],[Player No]],Table10[[No]:[Province]],3,0),"")</f>
        <v>BOT</v>
      </c>
      <c r="H179" s="66">
        <v>0</v>
      </c>
      <c r="I179" s="96">
        <v>5</v>
      </c>
      <c r="J179" s="124">
        <f>(Table4[[#This Row],[Points 2025]]/2)+SUM(Table4[[#This Row],[O1  ADMIN 2026]:[P2         WC    Open 2026]])</f>
        <v>2.5</v>
      </c>
      <c r="K179" s="106">
        <f t="shared" si="11"/>
        <v>0</v>
      </c>
      <c r="L179" s="106">
        <f t="shared" si="12"/>
        <v>0</v>
      </c>
      <c r="M179" s="106" t="s">
        <v>6083</v>
      </c>
      <c r="N179" s="114" t="s">
        <v>6083</v>
      </c>
      <c r="O179" s="114" t="s">
        <v>6083</v>
      </c>
      <c r="P179" s="114"/>
      <c r="Q179" s="63"/>
      <c r="R179" s="63"/>
      <c r="S179" s="114"/>
      <c r="T179" s="114"/>
      <c r="U179" s="63"/>
      <c r="V179" s="114"/>
      <c r="W179" s="63"/>
      <c r="X179" s="847">
        <v>5</v>
      </c>
      <c r="Y179" s="737"/>
      <c r="Z179" s="63"/>
      <c r="AA179" s="63"/>
      <c r="AB179" s="114"/>
      <c r="AC179" s="63"/>
      <c r="AD179" s="114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</row>
    <row r="180" spans="1:41" s="58" customFormat="1">
      <c r="A180" s="85">
        <f>IFERROR(VLOOKUP(Table4[[#This Row],[Player No]],Table10[[#All],[No]:[Age Group]],4,0),"")</f>
        <v>0</v>
      </c>
      <c r="B180" s="88"/>
      <c r="C180" s="88">
        <f t="shared" si="15"/>
        <v>-176</v>
      </c>
      <c r="D180" s="61">
        <f t="shared" si="13"/>
        <v>176</v>
      </c>
      <c r="E180" s="63">
        <v>3356</v>
      </c>
      <c r="F180" s="64" t="str">
        <f>IFERROR(VLOOKUP(Table4[[#This Row],[Player No]],Table10[[No]:[Province]],2,0),"")</f>
        <v>MEYER Shane</v>
      </c>
      <c r="G180" s="65" t="str">
        <f>IFERROR(VLOOKUP(Table4[[#This Row],[Player No]],Table10[[No]:[Province]],3,0),"")</f>
        <v>CT</v>
      </c>
      <c r="H180" s="66">
        <v>0</v>
      </c>
      <c r="I180" s="96">
        <v>5</v>
      </c>
      <c r="J180" s="124">
        <f>(Table4[[#This Row],[Points 2025]]/2)+SUM(Table4[[#This Row],[O1  ADMIN 2026]:[P2         WC    Open 2026]])</f>
        <v>2.5</v>
      </c>
      <c r="K180" s="106">
        <f t="shared" si="11"/>
        <v>0</v>
      </c>
      <c r="L180" s="106">
        <f t="shared" si="12"/>
        <v>0</v>
      </c>
      <c r="M180" s="106" t="s">
        <v>6083</v>
      </c>
      <c r="N180" s="114" t="s">
        <v>6083</v>
      </c>
      <c r="O180" s="114" t="s">
        <v>6083</v>
      </c>
      <c r="P180" s="114"/>
      <c r="Q180" s="63"/>
      <c r="R180" s="63"/>
      <c r="S180" s="114"/>
      <c r="T180" s="114"/>
      <c r="U180" s="63"/>
      <c r="V180" s="114"/>
      <c r="W180" s="63"/>
      <c r="X180" s="845"/>
      <c r="Y180" s="708"/>
      <c r="Z180" s="63"/>
      <c r="AA180" s="63"/>
      <c r="AB180" s="114"/>
      <c r="AC180" s="63"/>
      <c r="AD180" s="114">
        <v>5</v>
      </c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</row>
    <row r="181" spans="1:41" s="58" customFormat="1">
      <c r="A181" s="85">
        <f>IFERROR(VLOOKUP(Table4[[#This Row],[Player No]],Table10[[#All],[No]:[Age Group]],4,0),"")</f>
        <v>0</v>
      </c>
      <c r="B181" s="88"/>
      <c r="C181" s="88">
        <f t="shared" si="15"/>
        <v>-177</v>
      </c>
      <c r="D181" s="61">
        <f t="shared" si="13"/>
        <v>177</v>
      </c>
      <c r="E181" s="63">
        <v>3387</v>
      </c>
      <c r="F181" s="64" t="str">
        <f>IFERROR(VLOOKUP(Table4[[#This Row],[Player No]],Table10[[No]:[Province]],2,0),"")</f>
        <v>THWALA Slyabonga</v>
      </c>
      <c r="G181" s="65" t="str">
        <f>IFERROR(VLOOKUP(Table4[[#This Row],[Player No]],Table10[[No]:[Province]],3,0),"")</f>
        <v>UMZ</v>
      </c>
      <c r="H181" s="66">
        <v>0</v>
      </c>
      <c r="I181" s="96">
        <v>5</v>
      </c>
      <c r="J181" s="124">
        <f>(Table4[[#This Row],[Points 2025]]/2)+SUM(Table4[[#This Row],[O1  ADMIN 2026]:[P2         WC    Open 2026]])</f>
        <v>2.5</v>
      </c>
      <c r="K181" s="106">
        <f t="shared" si="11"/>
        <v>0</v>
      </c>
      <c r="L181" s="106">
        <f t="shared" si="12"/>
        <v>0</v>
      </c>
      <c r="M181" s="106" t="s">
        <v>6083</v>
      </c>
      <c r="N181" s="114" t="s">
        <v>6083</v>
      </c>
      <c r="O181" s="114" t="s">
        <v>6083</v>
      </c>
      <c r="P181" s="114"/>
      <c r="Q181" s="63"/>
      <c r="R181" s="63"/>
      <c r="S181" s="114"/>
      <c r="T181" s="114"/>
      <c r="U181" s="63"/>
      <c r="V181" s="114"/>
      <c r="W181" s="63"/>
      <c r="X181" s="847">
        <v>5</v>
      </c>
      <c r="Y181" s="737"/>
      <c r="Z181" s="63"/>
      <c r="AA181" s="63"/>
      <c r="AB181" s="114"/>
      <c r="AC181" s="63"/>
      <c r="AD181" s="114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</row>
    <row r="182" spans="1:41" s="58" customFormat="1">
      <c r="A182" s="85" t="str">
        <f>IFERROR(VLOOKUP(Table4[[#This Row],[Player No]],Table10[[#All],[No]:[Age Group]],4,0),"")</f>
        <v>U19</v>
      </c>
      <c r="B182" s="88"/>
      <c r="C182" s="88">
        <f t="shared" si="15"/>
        <v>-178</v>
      </c>
      <c r="D182" s="61">
        <f t="shared" si="13"/>
        <v>178</v>
      </c>
      <c r="E182" s="63">
        <v>3889</v>
      </c>
      <c r="F182" s="64" t="str">
        <f>IFERROR(VLOOKUP(Table4[[#This Row],[Player No]],Table10[[No]:[Province]],2,0),"")</f>
        <v>KHABELA Katlego</v>
      </c>
      <c r="G182" s="65" t="str">
        <f>IFERROR(VLOOKUP(Table4[[#This Row],[Player No]],Table10[[No]:[Province]],3,0),"")</f>
        <v>DRRSMTTA</v>
      </c>
      <c r="H182" s="66">
        <v>0</v>
      </c>
      <c r="I182" s="96">
        <v>5</v>
      </c>
      <c r="J182" s="124">
        <f>(Table4[[#This Row],[Points 2025]]/2)+SUM(Table4[[#This Row],[O1  ADMIN 2026]:[P2         WC    Open 2026]])</f>
        <v>2.5</v>
      </c>
      <c r="K182" s="106">
        <f t="shared" si="11"/>
        <v>0</v>
      </c>
      <c r="L182" s="106">
        <f t="shared" si="12"/>
        <v>0</v>
      </c>
      <c r="M182" s="106" t="s">
        <v>6083</v>
      </c>
      <c r="N182" s="114" t="s">
        <v>6083</v>
      </c>
      <c r="O182" s="114" t="s">
        <v>6083</v>
      </c>
      <c r="P182" s="114"/>
      <c r="Q182" s="63"/>
      <c r="R182" s="63"/>
      <c r="S182" s="114"/>
      <c r="T182" s="114"/>
      <c r="U182" s="63"/>
      <c r="V182" s="114"/>
      <c r="W182" s="63"/>
      <c r="X182" s="847">
        <v>5</v>
      </c>
      <c r="Y182" s="737"/>
      <c r="Z182" s="63"/>
      <c r="AA182" s="63"/>
      <c r="AB182" s="114"/>
      <c r="AC182" s="63"/>
      <c r="AD182" s="114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</row>
    <row r="183" spans="1:41" s="58" customFormat="1">
      <c r="A183" s="85">
        <f>IFERROR(VLOOKUP(Table4[[#This Row],[Player No]],Table10[[#All],[No]:[Age Group]],4,0),"")</f>
        <v>0</v>
      </c>
      <c r="B183" s="88"/>
      <c r="C183" s="88">
        <f t="shared" si="15"/>
        <v>-179</v>
      </c>
      <c r="D183" s="61">
        <f t="shared" si="13"/>
        <v>179</v>
      </c>
      <c r="E183" s="63">
        <v>3465</v>
      </c>
      <c r="F183" s="64" t="str">
        <f>IFERROR(VLOOKUP(Table4[[#This Row],[Player No]],Table10[[No]:[Province]],2,0),"")</f>
        <v>TEMA Tebogo David</v>
      </c>
      <c r="G183" s="65" t="str">
        <f>IFERROR(VLOOKUP(Table4[[#This Row],[Player No]],Table10[[No]:[Province]],3,0),"")</f>
        <v>LIM</v>
      </c>
      <c r="H183" s="66">
        <v>0</v>
      </c>
      <c r="I183" s="96">
        <v>5</v>
      </c>
      <c r="J183" s="124">
        <f>(Table4[[#This Row],[Points 2025]]/2)+SUM(Table4[[#This Row],[O1  ADMIN 2026]:[P2         WC    Open 2026]])</f>
        <v>2.5</v>
      </c>
      <c r="K183" s="106">
        <f t="shared" si="11"/>
        <v>0</v>
      </c>
      <c r="L183" s="106">
        <f t="shared" si="12"/>
        <v>0</v>
      </c>
      <c r="M183" s="106" t="s">
        <v>6083</v>
      </c>
      <c r="N183" s="114" t="s">
        <v>6083</v>
      </c>
      <c r="O183" s="114" t="s">
        <v>6083</v>
      </c>
      <c r="P183" s="114"/>
      <c r="Q183" s="63"/>
      <c r="R183" s="63"/>
      <c r="S183" s="114"/>
      <c r="T183" s="114"/>
      <c r="U183" s="63"/>
      <c r="V183" s="114"/>
      <c r="W183" s="63"/>
      <c r="X183" s="847">
        <v>5</v>
      </c>
      <c r="Y183" s="737"/>
      <c r="Z183" s="63"/>
      <c r="AA183" s="63"/>
      <c r="AB183" s="114"/>
      <c r="AC183" s="63"/>
      <c r="AD183" s="114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</row>
    <row r="184" spans="1:41" s="58" customFormat="1">
      <c r="A184" s="85" t="str">
        <f>IFERROR(VLOOKUP(Table4[[#This Row],[Player No]],Table10[[#All],[No]:[Age Group]],4,0),"")</f>
        <v>U19</v>
      </c>
      <c r="B184" s="87">
        <v>77</v>
      </c>
      <c r="C184" s="88">
        <f t="shared" si="15"/>
        <v>-103</v>
      </c>
      <c r="D184" s="61">
        <f t="shared" si="13"/>
        <v>180</v>
      </c>
      <c r="E184" s="63">
        <v>3721</v>
      </c>
      <c r="F184" s="64" t="str">
        <f>IFERROR(VLOOKUP(Table4[[#This Row],[Player No]],Table10[[No]:[Province]],2,0),"")</f>
        <v>LEWUS Liav</v>
      </c>
      <c r="G184" s="65" t="str">
        <f>IFERROR(VLOOKUP(Table4[[#This Row],[Player No]],Table10[[No]:[Province]],3,0),"")</f>
        <v>JTTA</v>
      </c>
      <c r="H184" s="66">
        <v>10</v>
      </c>
      <c r="I184" s="96">
        <v>5</v>
      </c>
      <c r="J184" s="124">
        <f>(Table4[[#This Row],[Points 2025]]/2)+SUM(Table4[[#This Row],[O1  ADMIN 2026]:[P2         WC    Open 2026]])</f>
        <v>2.5</v>
      </c>
      <c r="K184" s="106">
        <f t="shared" si="11"/>
        <v>0</v>
      </c>
      <c r="L184" s="106">
        <f t="shared" si="12"/>
        <v>0</v>
      </c>
      <c r="M184" s="106" t="s">
        <v>6083</v>
      </c>
      <c r="N184" s="114" t="s">
        <v>6083</v>
      </c>
      <c r="O184" s="114" t="s">
        <v>6083</v>
      </c>
      <c r="P184" s="114"/>
      <c r="Q184" s="63"/>
      <c r="R184" s="63"/>
      <c r="S184" s="114"/>
      <c r="T184" s="114"/>
      <c r="U184" s="63"/>
      <c r="V184" s="114"/>
      <c r="W184" s="63"/>
      <c r="X184" s="845"/>
      <c r="Y184" s="708"/>
      <c r="Z184" s="63"/>
      <c r="AA184" s="63"/>
      <c r="AB184" s="114"/>
      <c r="AC184" s="63"/>
      <c r="AD184" s="114"/>
      <c r="AE184" s="63"/>
      <c r="AF184" s="63"/>
      <c r="AG184" s="63"/>
      <c r="AH184" s="63"/>
      <c r="AI184" s="63"/>
      <c r="AJ184" s="63">
        <v>5</v>
      </c>
      <c r="AK184" s="63"/>
      <c r="AL184" s="63"/>
      <c r="AM184" s="63"/>
      <c r="AN184" s="63"/>
      <c r="AO184" s="63"/>
    </row>
    <row r="185" spans="1:41" s="58" customFormat="1">
      <c r="A185" s="85" t="str">
        <f>IFERROR(VLOOKUP(Table4[[#This Row],[Player No]],Table10[[#All],[No]:[Age Group]],4,0),"")</f>
        <v>U19</v>
      </c>
      <c r="B185" s="87">
        <v>76</v>
      </c>
      <c r="C185" s="88">
        <f t="shared" si="15"/>
        <v>-105</v>
      </c>
      <c r="D185" s="61">
        <f t="shared" si="13"/>
        <v>181</v>
      </c>
      <c r="E185" s="63">
        <v>3779</v>
      </c>
      <c r="F185" s="64" t="str">
        <f>IFERROR(VLOOKUP(Table4[[#This Row],[Player No]],Table10[[No]:[Province]],2,0),"")</f>
        <v>KAVONICH Levi</v>
      </c>
      <c r="G185" s="65" t="str">
        <f>IFERROR(VLOOKUP(Table4[[#This Row],[Player No]],Table10[[No]:[Province]],3,0),"")</f>
        <v>JTTA</v>
      </c>
      <c r="H185" s="66">
        <v>10</v>
      </c>
      <c r="I185" s="96">
        <v>5</v>
      </c>
      <c r="J185" s="124">
        <f>(Table4[[#This Row],[Points 2025]]/2)+SUM(Table4[[#This Row],[O1  ADMIN 2026]:[P2         WC    Open 2026]])</f>
        <v>2.5</v>
      </c>
      <c r="K185" s="106">
        <f t="shared" si="11"/>
        <v>0</v>
      </c>
      <c r="L185" s="106">
        <f t="shared" si="12"/>
        <v>0</v>
      </c>
      <c r="M185" s="106" t="s">
        <v>6083</v>
      </c>
      <c r="N185" s="114" t="s">
        <v>6083</v>
      </c>
      <c r="O185" s="114" t="s">
        <v>6083</v>
      </c>
      <c r="P185" s="114"/>
      <c r="Q185" s="63"/>
      <c r="R185" s="63"/>
      <c r="S185" s="114"/>
      <c r="T185" s="114"/>
      <c r="U185" s="63"/>
      <c r="V185" s="114"/>
      <c r="W185" s="63"/>
      <c r="X185" s="845"/>
      <c r="Y185" s="708"/>
      <c r="Z185" s="63"/>
      <c r="AA185" s="63"/>
      <c r="AB185" s="114"/>
      <c r="AC185" s="63"/>
      <c r="AD185" s="114"/>
      <c r="AE185" s="63"/>
      <c r="AF185" s="63"/>
      <c r="AG185" s="63"/>
      <c r="AH185" s="63"/>
      <c r="AI185" s="63"/>
      <c r="AJ185" s="63"/>
      <c r="AK185" s="63">
        <v>10</v>
      </c>
      <c r="AL185" s="63"/>
      <c r="AM185" s="63"/>
      <c r="AN185" s="63"/>
      <c r="AO185" s="63"/>
    </row>
    <row r="186" spans="1:41" s="58" customFormat="1">
      <c r="A186" s="85" t="str">
        <f>IFERROR(VLOOKUP(Table4[[#This Row],[Player No]],Table10[[#All],[No]:[Age Group]],4,0),"")</f>
        <v>U15</v>
      </c>
      <c r="B186" s="87">
        <v>74</v>
      </c>
      <c r="C186" s="88">
        <f t="shared" si="15"/>
        <v>-108</v>
      </c>
      <c r="D186" s="61">
        <f t="shared" si="13"/>
        <v>182</v>
      </c>
      <c r="E186" s="63">
        <v>3859</v>
      </c>
      <c r="F186" s="64" t="str">
        <f>IFERROR(VLOOKUP(Table4[[#This Row],[Player No]],Table10[[No]:[Province]],2,0),"")</f>
        <v>SIEFF Daniel</v>
      </c>
      <c r="G186" s="65" t="str">
        <f>IFERROR(VLOOKUP(Table4[[#This Row],[Player No]],Table10[[No]:[Province]],3,0),"")</f>
        <v>JTTA</v>
      </c>
      <c r="H186" s="66">
        <v>10</v>
      </c>
      <c r="I186" s="96">
        <v>5</v>
      </c>
      <c r="J186" s="124">
        <f>(Table4[[#This Row],[Points 2025]]/2)+SUM(Table4[[#This Row],[O1  ADMIN 2026]:[P2         WC    Open 2026]])</f>
        <v>2.5</v>
      </c>
      <c r="K186" s="106">
        <f t="shared" si="11"/>
        <v>0</v>
      </c>
      <c r="L186" s="106">
        <f t="shared" si="12"/>
        <v>0</v>
      </c>
      <c r="M186" s="106" t="s">
        <v>6083</v>
      </c>
      <c r="N186" s="114" t="s">
        <v>6083</v>
      </c>
      <c r="O186" s="114" t="s">
        <v>6083</v>
      </c>
      <c r="P186" s="114"/>
      <c r="Q186" s="63"/>
      <c r="R186" s="63"/>
      <c r="S186" s="114"/>
      <c r="T186" s="114"/>
      <c r="U186" s="63"/>
      <c r="V186" s="114"/>
      <c r="W186" s="63"/>
      <c r="X186" s="845"/>
      <c r="Y186" s="708"/>
      <c r="Z186" s="63"/>
      <c r="AA186" s="63"/>
      <c r="AB186" s="114"/>
      <c r="AC186" s="63"/>
      <c r="AD186" s="114"/>
      <c r="AE186" s="63"/>
      <c r="AF186" s="63"/>
      <c r="AG186" s="63"/>
      <c r="AH186" s="63"/>
      <c r="AI186" s="63"/>
      <c r="AJ186" s="63"/>
      <c r="AK186" s="63">
        <v>10</v>
      </c>
      <c r="AL186" s="63"/>
      <c r="AM186" s="63"/>
      <c r="AN186" s="63"/>
      <c r="AO186" s="63"/>
    </row>
    <row r="187" spans="1:41" s="58" customFormat="1">
      <c r="A187" s="85">
        <f>IFERROR(VLOOKUP(Table4[[#This Row],[Player No]],Table10[[#All],[No]:[Age Group]],4,0),"")</f>
        <v>0</v>
      </c>
      <c r="B187" s="87"/>
      <c r="C187" s="88">
        <f t="shared" si="15"/>
        <v>-183</v>
      </c>
      <c r="D187" s="61">
        <f t="shared" si="13"/>
        <v>183</v>
      </c>
      <c r="E187" s="63">
        <v>3865</v>
      </c>
      <c r="F187" s="64" t="str">
        <f>IFERROR(VLOOKUP(Table4[[#This Row],[Player No]],Table10[[No]:[Province]],2,0),"")</f>
        <v>NAIDOO Kyan</v>
      </c>
      <c r="G187" s="65" t="str">
        <f>IFERROR(VLOOKUP(Table4[[#This Row],[Player No]],Table10[[No]:[Province]],3,0),"")</f>
        <v>UMG</v>
      </c>
      <c r="H187" s="66">
        <v>10</v>
      </c>
      <c r="I187" s="96">
        <v>5</v>
      </c>
      <c r="J187" s="124">
        <f>(Table4[[#This Row],[Points 2025]]/2)+SUM(Table4[[#This Row],[O1  ADMIN 2026]:[P2         WC    Open 2026]])</f>
        <v>2.5</v>
      </c>
      <c r="K187" s="106">
        <f t="shared" si="11"/>
        <v>0</v>
      </c>
      <c r="L187" s="106">
        <f t="shared" si="12"/>
        <v>0</v>
      </c>
      <c r="M187" s="106" t="s">
        <v>6083</v>
      </c>
      <c r="N187" s="114" t="s">
        <v>6083</v>
      </c>
      <c r="O187" s="114" t="s">
        <v>6083</v>
      </c>
      <c r="P187" s="114"/>
      <c r="Q187" s="63"/>
      <c r="R187" s="63"/>
      <c r="S187" s="114"/>
      <c r="T187" s="114"/>
      <c r="U187" s="63"/>
      <c r="V187" s="114"/>
      <c r="W187" s="63"/>
      <c r="X187" s="845"/>
      <c r="Y187" s="708"/>
      <c r="Z187" s="63"/>
      <c r="AA187" s="63"/>
      <c r="AB187" s="114"/>
      <c r="AC187" s="63"/>
      <c r="AD187" s="114"/>
      <c r="AE187" s="63"/>
      <c r="AF187" s="63"/>
      <c r="AG187" s="63">
        <v>10</v>
      </c>
      <c r="AH187" s="63"/>
      <c r="AI187" s="63"/>
      <c r="AJ187" s="63"/>
      <c r="AK187" s="63"/>
      <c r="AL187" s="63"/>
      <c r="AM187" s="63"/>
      <c r="AN187" s="63"/>
      <c r="AO187" s="63"/>
    </row>
    <row r="188" spans="1:41" s="58" customFormat="1" ht="15.75" customHeight="1">
      <c r="A188" s="85">
        <f>IFERROR(VLOOKUP(Table4[[#This Row],[Player No]],Table10[[#All],[No]:[Age Group]],4,0),"")</f>
        <v>0</v>
      </c>
      <c r="B188" s="87" t="e">
        <f>VLOOKUP([5]!Table4[[#This Row],[Player No]],'[6]u19 boys'!$E$5:$F$216,2,0)</f>
        <v>#REF!</v>
      </c>
      <c r="C188" s="88" t="e">
        <f t="shared" si="15"/>
        <v>#REF!</v>
      </c>
      <c r="D188" s="61">
        <f t="shared" si="13"/>
        <v>184</v>
      </c>
      <c r="E188" s="63">
        <v>3888</v>
      </c>
      <c r="F188" s="64" t="str">
        <f>IFERROR(VLOOKUP(Table4[[#This Row],[Player No]],Table10[[No]:[Province]],2,0),"")</f>
        <v>ROMAN Kgothatso</v>
      </c>
      <c r="G188" s="65" t="str">
        <f>IFERROR(VLOOKUP(Table4[[#This Row],[Player No]],Table10[[No]:[Province]],3,0),"")</f>
        <v>NWP</v>
      </c>
      <c r="H188" s="66">
        <v>10</v>
      </c>
      <c r="I188" s="96">
        <v>5</v>
      </c>
      <c r="J188" s="124">
        <f>(Table4[[#This Row],[Points 2025]]/2)+SUM(Table4[[#This Row],[O1  ADMIN 2026]:[P2         WC    Open 2026]])</f>
        <v>2.5</v>
      </c>
      <c r="K188" s="106">
        <f t="shared" si="11"/>
        <v>0</v>
      </c>
      <c r="L188" s="106">
        <f t="shared" si="12"/>
        <v>0</v>
      </c>
      <c r="M188" s="106" t="s">
        <v>6083</v>
      </c>
      <c r="N188" s="114" t="s">
        <v>6083</v>
      </c>
      <c r="O188" s="114" t="s">
        <v>6083</v>
      </c>
      <c r="P188" s="114"/>
      <c r="Q188" s="63"/>
      <c r="R188" s="63"/>
      <c r="S188" s="114"/>
      <c r="T188" s="114"/>
      <c r="U188" s="63"/>
      <c r="V188" s="114"/>
      <c r="W188" s="63"/>
      <c r="X188" s="845"/>
      <c r="Y188" s="708"/>
      <c r="Z188" s="63"/>
      <c r="AA188" s="63"/>
      <c r="AB188" s="114"/>
      <c r="AC188" s="63"/>
      <c r="AD188" s="114"/>
      <c r="AE188" s="63"/>
      <c r="AF188" s="63"/>
      <c r="AG188" s="63"/>
      <c r="AH188" s="63"/>
      <c r="AI188" s="63"/>
      <c r="AJ188" s="63">
        <v>10</v>
      </c>
      <c r="AK188" s="63"/>
      <c r="AL188" s="63"/>
      <c r="AM188" s="63"/>
      <c r="AN188" s="63"/>
      <c r="AO188" s="63"/>
    </row>
    <row r="189" spans="1:41" s="58" customFormat="1">
      <c r="A189" s="85">
        <f>IFERROR(VLOOKUP(Table4[[#This Row],[Player No]],Table10[[#All],[No]:[Age Group]],4,0),"")</f>
        <v>0</v>
      </c>
      <c r="B189" s="87"/>
      <c r="C189" s="88">
        <f t="shared" si="15"/>
        <v>-185</v>
      </c>
      <c r="D189" s="61">
        <f t="shared" si="13"/>
        <v>185</v>
      </c>
      <c r="E189" s="63">
        <v>3932</v>
      </c>
      <c r="F189" s="64" t="str">
        <f>IFERROR(VLOOKUP(Table4[[#This Row],[Player No]],Table10[[No]:[Province]],2,0),"")</f>
        <v>ALLY Sa'ad</v>
      </c>
      <c r="G189" s="65" t="str">
        <f>IFERROR(VLOOKUP(Table4[[#This Row],[Player No]],Table10[[No]:[Province]],3,0),"")</f>
        <v>JTTA</v>
      </c>
      <c r="H189" s="66">
        <v>10</v>
      </c>
      <c r="I189" s="96">
        <v>5</v>
      </c>
      <c r="J189" s="124">
        <f>(Table4[[#This Row],[Points 2025]]/2)+SUM(Table4[[#This Row],[O1  ADMIN 2026]:[P2         WC    Open 2026]])</f>
        <v>2.5</v>
      </c>
      <c r="K189" s="106">
        <f t="shared" si="11"/>
        <v>0</v>
      </c>
      <c r="L189" s="106">
        <f t="shared" si="12"/>
        <v>0</v>
      </c>
      <c r="M189" s="106" t="s">
        <v>6083</v>
      </c>
      <c r="N189" s="114" t="s">
        <v>6083</v>
      </c>
      <c r="O189" s="114" t="s">
        <v>6083</v>
      </c>
      <c r="P189" s="114"/>
      <c r="Q189" s="63"/>
      <c r="R189" s="63"/>
      <c r="S189" s="114"/>
      <c r="T189" s="114"/>
      <c r="U189" s="63"/>
      <c r="V189" s="114"/>
      <c r="W189" s="63"/>
      <c r="X189" s="845"/>
      <c r="Y189" s="708"/>
      <c r="Z189" s="63"/>
      <c r="AA189" s="63"/>
      <c r="AB189" s="114"/>
      <c r="AC189" s="63"/>
      <c r="AD189" s="114"/>
      <c r="AE189" s="63"/>
      <c r="AF189" s="63"/>
      <c r="AG189" s="63"/>
      <c r="AH189" s="63"/>
      <c r="AI189" s="63"/>
      <c r="AJ189" s="63"/>
      <c r="AK189" s="63">
        <v>10</v>
      </c>
      <c r="AL189" s="63"/>
      <c r="AM189" s="63"/>
      <c r="AN189" s="63"/>
      <c r="AO189" s="63"/>
    </row>
    <row r="190" spans="1:41" s="58" customFormat="1">
      <c r="A190" s="85">
        <f>IFERROR(VLOOKUP(Table4[[#This Row],[Player No]],Table10[[#All],[No]:[Age Group]],4,0),"")</f>
        <v>0</v>
      </c>
      <c r="B190" s="88"/>
      <c r="C190" s="88">
        <f t="shared" si="15"/>
        <v>-186</v>
      </c>
      <c r="D190" s="61">
        <f t="shared" si="13"/>
        <v>186</v>
      </c>
      <c r="E190" s="63">
        <v>3957</v>
      </c>
      <c r="F190" s="64" t="str">
        <f>IFERROR(VLOOKUP(Table4[[#This Row],[Player No]],Table10[[No]:[Province]],2,0),"")</f>
        <v>KAYSER Marquin</v>
      </c>
      <c r="G190" s="65" t="str">
        <f>IFERROR(VLOOKUP(Table4[[#This Row],[Player No]],Table10[[No]:[Province]],3,0),"")</f>
        <v>Eden</v>
      </c>
      <c r="H190" s="66">
        <v>0</v>
      </c>
      <c r="I190" s="96">
        <v>5</v>
      </c>
      <c r="J190" s="124">
        <f>(Table4[[#This Row],[Points 2025]]/2)+SUM(Table4[[#This Row],[O1  ADMIN 2026]:[P2         WC    Open 2026]])</f>
        <v>2.5</v>
      </c>
      <c r="K190" s="106">
        <f t="shared" si="11"/>
        <v>0</v>
      </c>
      <c r="L190" s="106">
        <f t="shared" si="12"/>
        <v>0</v>
      </c>
      <c r="M190" s="106" t="s">
        <v>6083</v>
      </c>
      <c r="N190" s="114" t="s">
        <v>6083</v>
      </c>
      <c r="O190" s="114" t="s">
        <v>6083</v>
      </c>
      <c r="P190" s="114"/>
      <c r="Q190" s="63"/>
      <c r="R190" s="63"/>
      <c r="S190" s="114"/>
      <c r="T190" s="114"/>
      <c r="U190" s="63"/>
      <c r="V190" s="114"/>
      <c r="W190" s="63"/>
      <c r="X190" s="847">
        <v>5</v>
      </c>
      <c r="Y190" s="737"/>
      <c r="Z190" s="63"/>
      <c r="AA190" s="63"/>
      <c r="AB190" s="114"/>
      <c r="AC190" s="63"/>
      <c r="AD190" s="114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</row>
    <row r="191" spans="1:41" s="58" customFormat="1">
      <c r="A191" s="85">
        <f>IFERROR(VLOOKUP(Table4[[#This Row],[Player No]],Table10[[#All],[No]:[Age Group]],4,0),"")</f>
        <v>0</v>
      </c>
      <c r="B191" s="87"/>
      <c r="C191" s="88">
        <f t="shared" si="15"/>
        <v>-187</v>
      </c>
      <c r="D191" s="61">
        <f t="shared" si="13"/>
        <v>187</v>
      </c>
      <c r="E191" s="63">
        <v>4076</v>
      </c>
      <c r="F191" s="64" t="str">
        <f>IFERROR(VLOOKUP(Table4[[#This Row],[Player No]],Table10[[No]:[Province]],2,0),"")</f>
        <v>Caywyn Sevalingam</v>
      </c>
      <c r="G191" s="65" t="str">
        <f>IFERROR(VLOOKUP(Table4[[#This Row],[Player No]],Table10[[No]:[Province]],3,0),"")</f>
        <v>JTTA</v>
      </c>
      <c r="H191" s="66">
        <v>10</v>
      </c>
      <c r="I191" s="96">
        <v>5</v>
      </c>
      <c r="J191" s="124">
        <f>(Table4[[#This Row],[Points 2025]]/2)+SUM(Table4[[#This Row],[O1  ADMIN 2026]:[P2         WC    Open 2026]])</f>
        <v>2.5</v>
      </c>
      <c r="K191" s="106">
        <f t="shared" si="11"/>
        <v>0</v>
      </c>
      <c r="L191" s="106">
        <f t="shared" si="12"/>
        <v>0</v>
      </c>
      <c r="M191" s="106" t="s">
        <v>6083</v>
      </c>
      <c r="N191" s="114" t="s">
        <v>6083</v>
      </c>
      <c r="O191" s="114" t="s">
        <v>6083</v>
      </c>
      <c r="P191" s="114"/>
      <c r="Q191" s="63"/>
      <c r="R191" s="63"/>
      <c r="S191" s="114"/>
      <c r="T191" s="114"/>
      <c r="U191" s="63"/>
      <c r="V191" s="114"/>
      <c r="W191" s="63"/>
      <c r="X191" s="845"/>
      <c r="Y191" s="708"/>
      <c r="Z191" s="63"/>
      <c r="AA191" s="63"/>
      <c r="AB191" s="114"/>
      <c r="AC191" s="63"/>
      <c r="AD191" s="114"/>
      <c r="AE191" s="63"/>
      <c r="AF191" s="63"/>
      <c r="AG191" s="63"/>
      <c r="AH191" s="63"/>
      <c r="AI191" s="63"/>
      <c r="AJ191" s="63"/>
      <c r="AK191" s="63"/>
      <c r="AL191" s="63">
        <v>10</v>
      </c>
      <c r="AM191" s="63"/>
      <c r="AN191" s="63"/>
      <c r="AO191" s="63"/>
    </row>
    <row r="192" spans="1:41" s="58" customFormat="1">
      <c r="A192" s="85">
        <f>IFERROR(VLOOKUP(Table4[[#This Row],[Player No]],Table10[[#All],[No]:[Age Group]],4,0),"")</f>
        <v>0</v>
      </c>
      <c r="B192" s="88"/>
      <c r="C192" s="88">
        <f t="shared" si="15"/>
        <v>-188</v>
      </c>
      <c r="D192" s="61">
        <f t="shared" si="13"/>
        <v>188</v>
      </c>
      <c r="E192" s="63">
        <v>4105</v>
      </c>
      <c r="F192" s="64" t="str">
        <f>IFERROR(VLOOKUP(Table4[[#This Row],[Player No]],Table10[[No]:[Province]],2,0),"")</f>
        <v>Siyabonga MOTLOUNG</v>
      </c>
      <c r="G192" s="65" t="str">
        <f>IFERROR(VLOOKUP(Table4[[#This Row],[Player No]],Table10[[No]:[Province]],3,0),"")</f>
        <v>UMZ</v>
      </c>
      <c r="H192" s="66">
        <v>0</v>
      </c>
      <c r="I192" s="96">
        <v>5</v>
      </c>
      <c r="J192" s="124">
        <f>(Table4[[#This Row],[Points 2025]]/2)+SUM(Table4[[#This Row],[O1  ADMIN 2026]:[P2         WC    Open 2026]])</f>
        <v>2.5</v>
      </c>
      <c r="K192" s="106">
        <f t="shared" si="11"/>
        <v>0</v>
      </c>
      <c r="L192" s="106">
        <f t="shared" si="12"/>
        <v>0</v>
      </c>
      <c r="M192" s="106" t="s">
        <v>6083</v>
      </c>
      <c r="N192" s="114" t="s">
        <v>6083</v>
      </c>
      <c r="O192" s="114" t="s">
        <v>6083</v>
      </c>
      <c r="P192" s="114"/>
      <c r="Q192" s="63"/>
      <c r="R192" s="63"/>
      <c r="S192" s="114"/>
      <c r="T192" s="114"/>
      <c r="U192" s="63"/>
      <c r="V192" s="114"/>
      <c r="W192" s="63"/>
      <c r="X192" s="847">
        <v>5</v>
      </c>
      <c r="Y192" s="737"/>
      <c r="Z192" s="63"/>
      <c r="AA192" s="63"/>
      <c r="AB192" s="114"/>
      <c r="AC192" s="63"/>
      <c r="AD192" s="114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</row>
    <row r="193" spans="1:41" s="58" customFormat="1">
      <c r="A193" s="85">
        <f>IFERROR(VLOOKUP(Table4[[#This Row],[Player No]],Table10[[#All],[No]:[Age Group]],4,0),"")</f>
        <v>0</v>
      </c>
      <c r="B193" s="87"/>
      <c r="C193" s="88">
        <f t="shared" si="15"/>
        <v>-189</v>
      </c>
      <c r="D193" s="61">
        <f t="shared" si="13"/>
        <v>189</v>
      </c>
      <c r="E193" s="63">
        <v>4123</v>
      </c>
      <c r="F193" s="64" t="str">
        <f>IFERROR(VLOOKUP(Table4[[#This Row],[Player No]],Table10[[No]:[Province]],2,0),"")</f>
        <v>Siddeeq BUCKUS</v>
      </c>
      <c r="G193" s="65" t="str">
        <f>IFERROR(VLOOKUP(Table4[[#This Row],[Player No]],Table10[[No]:[Province]],3,0),"")</f>
        <v>UMZ</v>
      </c>
      <c r="H193" s="66">
        <v>10</v>
      </c>
      <c r="I193" s="96">
        <v>5</v>
      </c>
      <c r="J193" s="124">
        <f>(Table4[[#This Row],[Points 2025]]/2)+SUM(Table4[[#This Row],[O1  ADMIN 2026]:[P2         WC    Open 2026]])</f>
        <v>2.5</v>
      </c>
      <c r="K193" s="106">
        <f t="shared" si="11"/>
        <v>0</v>
      </c>
      <c r="L193" s="106">
        <f t="shared" si="12"/>
        <v>0</v>
      </c>
      <c r="M193" s="106" t="s">
        <v>6083</v>
      </c>
      <c r="N193" s="114" t="s">
        <v>6083</v>
      </c>
      <c r="O193" s="114" t="s">
        <v>6083</v>
      </c>
      <c r="P193" s="114"/>
      <c r="Q193" s="63"/>
      <c r="R193" s="63"/>
      <c r="S193" s="114"/>
      <c r="T193" s="114"/>
      <c r="U193" s="63"/>
      <c r="V193" s="114"/>
      <c r="W193" s="63"/>
      <c r="X193" s="845"/>
      <c r="Y193" s="708"/>
      <c r="Z193" s="63"/>
      <c r="AA193" s="63"/>
      <c r="AB193" s="114"/>
      <c r="AC193" s="63"/>
      <c r="AD193" s="114"/>
      <c r="AE193" s="63"/>
      <c r="AF193" s="63"/>
      <c r="AG193" s="63"/>
      <c r="AH193" s="63"/>
      <c r="AI193" s="63"/>
      <c r="AJ193" s="63">
        <v>10</v>
      </c>
      <c r="AK193" s="63"/>
      <c r="AL193" s="63"/>
      <c r="AM193" s="63"/>
      <c r="AN193" s="63"/>
      <c r="AO193" s="63"/>
    </row>
    <row r="194" spans="1:41" s="58" customFormat="1">
      <c r="A194" s="85">
        <f>IFERROR(VLOOKUP(Table4[[#This Row],[Player No]],Table10[[#All],[No]:[Age Group]],4,0),"")</f>
        <v>0</v>
      </c>
      <c r="B194" s="87" t="e">
        <f>VLOOKUP([5]!Table4[[#This Row],[Player No]],'[6]u19 boys'!$E$5:$F$216,2,0)</f>
        <v>#REF!</v>
      </c>
      <c r="C194" s="88" t="e">
        <f t="shared" si="15"/>
        <v>#REF!</v>
      </c>
      <c r="D194" s="61">
        <f t="shared" si="13"/>
        <v>190</v>
      </c>
      <c r="E194" s="173">
        <v>4128</v>
      </c>
      <c r="F194" s="64" t="str">
        <f>IFERROR(VLOOKUP(Table4[[#This Row],[Player No]],Table10[[No]:[Province]],2,0),"")</f>
        <v xml:space="preserve">KAMALDIEN Keyaam </v>
      </c>
      <c r="G194" s="65" t="str">
        <f>IFERROR(VLOOKUP(Table4[[#This Row],[Player No]],Table10[[No]:[Province]],3,0),"")</f>
        <v>CT</v>
      </c>
      <c r="H194" s="66">
        <v>10</v>
      </c>
      <c r="I194" s="96">
        <v>5</v>
      </c>
      <c r="J194" s="124">
        <f>(Table4[[#This Row],[Points 2025]]/2)+SUM(Table4[[#This Row],[O1  ADMIN 2026]:[P2         WC    Open 2026]])</f>
        <v>2.5</v>
      </c>
      <c r="K194" s="106">
        <f t="shared" si="11"/>
        <v>0</v>
      </c>
      <c r="L194" s="106">
        <f t="shared" si="12"/>
        <v>0</v>
      </c>
      <c r="M194" s="106" t="s">
        <v>6083</v>
      </c>
      <c r="N194" s="114" t="s">
        <v>6083</v>
      </c>
      <c r="O194" s="114" t="s">
        <v>6083</v>
      </c>
      <c r="P194" s="114"/>
      <c r="Q194" s="63"/>
      <c r="R194" s="63"/>
      <c r="S194" s="114"/>
      <c r="T194" s="114"/>
      <c r="U194" s="63"/>
      <c r="V194" s="114"/>
      <c r="W194" s="63"/>
      <c r="X194" s="845"/>
      <c r="Y194" s="708"/>
      <c r="Z194" s="63"/>
      <c r="AA194" s="63"/>
      <c r="AB194" s="114"/>
      <c r="AC194" s="63"/>
      <c r="AD194" s="114"/>
      <c r="AE194" s="63"/>
      <c r="AF194" s="63"/>
      <c r="AG194" s="63"/>
      <c r="AH194" s="63">
        <v>5</v>
      </c>
      <c r="AI194" s="63"/>
      <c r="AJ194" s="63">
        <v>5</v>
      </c>
      <c r="AK194" s="63"/>
      <c r="AL194" s="63"/>
      <c r="AM194" s="63"/>
      <c r="AN194" s="63"/>
      <c r="AO194" s="63"/>
    </row>
    <row r="195" spans="1:41" s="58" customFormat="1">
      <c r="A195" s="85">
        <f>IFERROR(VLOOKUP(Table4[[#This Row],[Player No]],Table10[[#All],[No]:[Age Group]],4,0),"")</f>
        <v>0</v>
      </c>
      <c r="B195" s="87">
        <v>81</v>
      </c>
      <c r="C195" s="285">
        <f t="shared" si="15"/>
        <v>-110</v>
      </c>
      <c r="D195" s="61">
        <f t="shared" si="13"/>
        <v>191</v>
      </c>
      <c r="E195" s="169">
        <v>4516</v>
      </c>
      <c r="F195" s="64" t="str">
        <f>IFERROR(VLOOKUP(Table4[[#This Row],[Player No]],Table10[[No]:[Province]],2,0),"")</f>
        <v xml:space="preserve">WANG Qianfei </v>
      </c>
      <c r="G195" s="65" t="str">
        <f>IFERROR(VLOOKUP(Table4[[#This Row],[Player No]],Table10[[No]:[Province]],3,0),"")</f>
        <v>JTTA</v>
      </c>
      <c r="H195" s="170">
        <v>0</v>
      </c>
      <c r="I195" s="96">
        <v>5</v>
      </c>
      <c r="J195" s="124">
        <f>(Table4[[#This Row],[Points 2025]]/2)+SUM(Table4[[#This Row],[O1  ADMIN 2026]:[P2         WC    Open 2026]])</f>
        <v>2.5</v>
      </c>
      <c r="K195" s="106">
        <f t="shared" si="11"/>
        <v>0</v>
      </c>
      <c r="L195" s="106">
        <f t="shared" si="12"/>
        <v>0</v>
      </c>
      <c r="M195" s="106" t="s">
        <v>6083</v>
      </c>
      <c r="N195" s="114" t="s">
        <v>6083</v>
      </c>
      <c r="O195" s="114" t="s">
        <v>6083</v>
      </c>
      <c r="P195" s="114"/>
      <c r="Q195" s="169"/>
      <c r="R195" s="169"/>
      <c r="S195" s="318"/>
      <c r="T195" s="318"/>
      <c r="U195" s="169"/>
      <c r="V195" s="318"/>
      <c r="W195" s="169"/>
      <c r="X195" s="846"/>
      <c r="Y195" s="713"/>
      <c r="Z195" s="169"/>
      <c r="AA195" s="169"/>
      <c r="AB195" s="318"/>
      <c r="AC195" s="169">
        <v>5</v>
      </c>
      <c r="AD195" s="318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</row>
    <row r="196" spans="1:41" s="58" customFormat="1">
      <c r="A196" s="85" t="str">
        <f>IFERROR(VLOOKUP(Table4[[#This Row],[Player No]],Table10[[#All],[No]:[Age Group]],4,0),"")</f>
        <v>U15</v>
      </c>
      <c r="B196" s="88"/>
      <c r="C196" s="88">
        <f t="shared" si="15"/>
        <v>-192</v>
      </c>
      <c r="D196" s="61">
        <f t="shared" si="13"/>
        <v>192</v>
      </c>
      <c r="E196" s="63">
        <v>4587</v>
      </c>
      <c r="F196" s="64" t="str">
        <f>IFERROR(VLOOKUP(Table4[[#This Row],[Player No]],Table10[[No]:[Province]],2,0),"")</f>
        <v>NAIDOO Keane Dane</v>
      </c>
      <c r="G196" s="65" t="str">
        <f>IFERROR(VLOOKUP(Table4[[#This Row],[Player No]],Table10[[No]:[Province]],3,0),"")</f>
        <v>ETTA</v>
      </c>
      <c r="H196" s="66">
        <v>0</v>
      </c>
      <c r="I196" s="96">
        <v>5</v>
      </c>
      <c r="J196" s="124">
        <f>(Table4[[#This Row],[Points 2025]]/2)+SUM(Table4[[#This Row],[O1  ADMIN 2026]:[P2         WC    Open 2026]])</f>
        <v>2.5</v>
      </c>
      <c r="K196" s="106">
        <f t="shared" si="11"/>
        <v>0</v>
      </c>
      <c r="L196" s="106">
        <f t="shared" si="12"/>
        <v>0</v>
      </c>
      <c r="M196" s="106" t="s">
        <v>6083</v>
      </c>
      <c r="N196" s="114" t="s">
        <v>6083</v>
      </c>
      <c r="O196" s="114" t="s">
        <v>6083</v>
      </c>
      <c r="P196" s="114"/>
      <c r="Q196" s="63"/>
      <c r="R196" s="63"/>
      <c r="S196" s="114"/>
      <c r="T196" s="114"/>
      <c r="U196" s="63"/>
      <c r="V196" s="114"/>
      <c r="W196" s="63"/>
      <c r="X196" s="847">
        <v>5</v>
      </c>
      <c r="Y196" s="737"/>
      <c r="Z196" s="63"/>
      <c r="AA196" s="63"/>
      <c r="AB196" s="114"/>
      <c r="AC196" s="63"/>
      <c r="AD196" s="114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</row>
    <row r="197" spans="1:41" s="58" customFormat="1">
      <c r="A197" s="85" t="str">
        <f>IFERROR(VLOOKUP(Table4[[#This Row],[Player No]],Table10[[#All],[No]:[Age Group]],4,0),"")</f>
        <v>U19</v>
      </c>
      <c r="B197" s="88"/>
      <c r="C197" s="88">
        <f t="shared" si="15"/>
        <v>-193</v>
      </c>
      <c r="D197" s="61">
        <f t="shared" si="13"/>
        <v>193</v>
      </c>
      <c r="E197" s="63">
        <v>4702</v>
      </c>
      <c r="F197" s="64" t="str">
        <f>IFERROR(VLOOKUP(Table4[[#This Row],[Player No]],Table10[[No]:[Province]],2,0),"")</f>
        <v>MALEPA Siyabonga</v>
      </c>
      <c r="G197" s="65" t="str">
        <f>IFERROR(VLOOKUP(Table4[[#This Row],[Player No]],Table10[[No]:[Province]],3,0),"")</f>
        <v>NMMTTA</v>
      </c>
      <c r="H197" s="66">
        <v>0</v>
      </c>
      <c r="I197" s="96">
        <v>5</v>
      </c>
      <c r="J197" s="124">
        <f>(Table4[[#This Row],[Points 2025]]/2)+SUM(Table4[[#This Row],[O1  ADMIN 2026]:[P2         WC    Open 2026]])</f>
        <v>2.5</v>
      </c>
      <c r="K197" s="106">
        <f t="shared" ref="K197:K260" si="16">COUNTIF(M197:P197,"&gt;0")</f>
        <v>0</v>
      </c>
      <c r="L197" s="106">
        <f t="shared" ref="L197:L260" si="17">COUNTIF(N197:AO197,"&lt;0")</f>
        <v>0</v>
      </c>
      <c r="M197" s="106" t="s">
        <v>6083</v>
      </c>
      <c r="N197" s="114" t="s">
        <v>6083</v>
      </c>
      <c r="O197" s="114" t="s">
        <v>6083</v>
      </c>
      <c r="P197" s="114"/>
      <c r="Q197" s="63"/>
      <c r="R197" s="63"/>
      <c r="S197" s="114"/>
      <c r="T197" s="114"/>
      <c r="U197" s="63"/>
      <c r="V197" s="114"/>
      <c r="W197" s="63"/>
      <c r="X197" s="847">
        <v>5</v>
      </c>
      <c r="Y197" s="737"/>
      <c r="Z197" s="63"/>
      <c r="AA197" s="63"/>
      <c r="AB197" s="114"/>
      <c r="AC197" s="63"/>
      <c r="AD197" s="114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</row>
    <row r="198" spans="1:41" s="58" customFormat="1">
      <c r="A198" s="85" t="str">
        <f>IFERROR(VLOOKUP(Table4[[#This Row],[Player No]],Table10[[#All],[No]:[Age Group]],4,0),"")</f>
        <v>U19</v>
      </c>
      <c r="B198" s="88"/>
      <c r="C198" s="88">
        <f t="shared" si="15"/>
        <v>-194</v>
      </c>
      <c r="D198" s="61">
        <f t="shared" si="13"/>
        <v>194</v>
      </c>
      <c r="E198" s="63">
        <v>4703</v>
      </c>
      <c r="F198" s="64" t="str">
        <f>IFERROR(VLOOKUP(Table4[[#This Row],[Player No]],Table10[[No]:[Province]],2,0),"")</f>
        <v>BABEDI Elrio</v>
      </c>
      <c r="G198" s="65" t="str">
        <f>IFERROR(VLOOKUP(Table4[[#This Row],[Player No]],Table10[[No]:[Province]],3,0),"")</f>
        <v>BOJTTA</v>
      </c>
      <c r="H198" s="66">
        <v>0</v>
      </c>
      <c r="I198" s="96">
        <v>5</v>
      </c>
      <c r="J198" s="124">
        <f>(Table4[[#This Row],[Points 2025]]/2)+SUM(Table4[[#This Row],[O1  ADMIN 2026]:[P2         WC    Open 2026]])</f>
        <v>2.5</v>
      </c>
      <c r="K198" s="106">
        <f t="shared" si="16"/>
        <v>0</v>
      </c>
      <c r="L198" s="106">
        <f t="shared" si="17"/>
        <v>0</v>
      </c>
      <c r="M198" s="106" t="s">
        <v>6083</v>
      </c>
      <c r="N198" s="114" t="s">
        <v>6083</v>
      </c>
      <c r="O198" s="114" t="s">
        <v>6083</v>
      </c>
      <c r="P198" s="114"/>
      <c r="Q198" s="63"/>
      <c r="R198" s="63"/>
      <c r="S198" s="114"/>
      <c r="T198" s="114"/>
      <c r="U198" s="63"/>
      <c r="V198" s="114"/>
      <c r="W198" s="63"/>
      <c r="X198" s="847">
        <v>5</v>
      </c>
      <c r="Y198" s="737"/>
      <c r="Z198" s="63"/>
      <c r="AA198" s="63"/>
      <c r="AB198" s="114"/>
      <c r="AC198" s="63"/>
      <c r="AD198" s="114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</row>
    <row r="199" spans="1:41" s="58" customFormat="1">
      <c r="A199" s="85" t="str">
        <f>IFERROR(VLOOKUP(Table4[[#This Row],[Player No]],Table10[[#All],[No]:[Age Group]],4,0),"")</f>
        <v>U15</v>
      </c>
      <c r="B199" s="373"/>
      <c r="C199" s="373">
        <f t="shared" si="15"/>
        <v>-195</v>
      </c>
      <c r="D199" s="61">
        <f t="shared" ref="D199:D262" si="18">D198+1</f>
        <v>195</v>
      </c>
      <c r="E199" s="361">
        <v>3798</v>
      </c>
      <c r="F199" s="64" t="str">
        <f>IFERROR(VLOOKUP(Table4[[#This Row],[Player No]],Table10[[No]:[Province]],2,0),"")</f>
        <v>NHLAPO Mbusowezulu</v>
      </c>
      <c r="G199" s="65" t="str">
        <f>IFERROR(VLOOKUP(Table4[[#This Row],[Player No]],Table10[[No]:[Province]],3,0),"")</f>
        <v>ETTA</v>
      </c>
      <c r="H199" s="370">
        <v>0</v>
      </c>
      <c r="I199" s="363">
        <v>1</v>
      </c>
      <c r="J199" s="124">
        <f>(Table4[[#This Row],[Points 2025]]/2)+SUM(Table4[[#This Row],[O1  ADMIN 2026]:[P2         WC    Open 2026]])</f>
        <v>2.5</v>
      </c>
      <c r="K199" s="106">
        <f t="shared" si="16"/>
        <v>2</v>
      </c>
      <c r="L199" s="106">
        <f t="shared" si="17"/>
        <v>0</v>
      </c>
      <c r="M199" s="106" t="s">
        <v>6083</v>
      </c>
      <c r="N199" s="357">
        <v>1</v>
      </c>
      <c r="O199" s="357">
        <v>1</v>
      </c>
      <c r="P199" s="357"/>
      <c r="Q199" s="361"/>
      <c r="R199" s="361"/>
      <c r="S199" s="357"/>
      <c r="T199" s="357">
        <v>1</v>
      </c>
      <c r="U199" s="361"/>
      <c r="V199" s="357"/>
      <c r="W199" s="361"/>
      <c r="X199" s="850"/>
      <c r="Y199" s="738"/>
      <c r="Z199" s="361"/>
      <c r="AA199" s="361"/>
      <c r="AB199" s="357"/>
      <c r="AC199" s="361"/>
      <c r="AD199" s="357"/>
      <c r="AE199" s="361"/>
      <c r="AF199" s="361"/>
      <c r="AG199" s="361"/>
      <c r="AH199" s="361"/>
      <c r="AI199" s="361"/>
      <c r="AJ199" s="361"/>
      <c r="AK199" s="361"/>
      <c r="AL199" s="361"/>
      <c r="AM199" s="361"/>
      <c r="AN199" s="361"/>
      <c r="AO199" s="361"/>
    </row>
    <row r="200" spans="1:41" s="58" customFormat="1">
      <c r="A200" s="85" t="str">
        <f>IFERROR(VLOOKUP(Table4[[#This Row],[Player No]],Table10[[#All],[No]:[Age Group]],4,0),"")</f>
        <v>U19</v>
      </c>
      <c r="B200" s="88"/>
      <c r="C200" s="88">
        <f t="shared" si="15"/>
        <v>-196</v>
      </c>
      <c r="D200" s="61">
        <f t="shared" si="18"/>
        <v>196</v>
      </c>
      <c r="E200" s="63">
        <v>4740</v>
      </c>
      <c r="F200" s="64" t="str">
        <f>IFERROR(VLOOKUP(Table4[[#This Row],[Player No]],Table10[[No]:[Province]],2,0),"")</f>
        <v xml:space="preserve">MWATSIKA Propheser </v>
      </c>
      <c r="G200" s="65" t="str">
        <f>IFERROR(VLOOKUP(Table4[[#This Row],[Player No]],Table10[[No]:[Province]],3,0),"")</f>
        <v>ZIM</v>
      </c>
      <c r="H200" s="66">
        <v>0</v>
      </c>
      <c r="I200" s="96">
        <v>4.6875</v>
      </c>
      <c r="J200" s="124">
        <f>(Table4[[#This Row],[Points 2025]]/2)+SUM(Table4[[#This Row],[O1  ADMIN 2026]:[P2         WC    Open 2026]])</f>
        <v>2.34375</v>
      </c>
      <c r="K200" s="106">
        <f t="shared" si="16"/>
        <v>0</v>
      </c>
      <c r="L200" s="106">
        <f t="shared" si="17"/>
        <v>0</v>
      </c>
      <c r="M200" s="106" t="s">
        <v>6083</v>
      </c>
      <c r="N200" s="114" t="s">
        <v>6083</v>
      </c>
      <c r="O200" s="114" t="s">
        <v>6083</v>
      </c>
      <c r="P200" s="114"/>
      <c r="Q200" s="63"/>
      <c r="R200" s="63"/>
      <c r="S200" s="114"/>
      <c r="T200" s="114"/>
      <c r="U200" s="63"/>
      <c r="V200" s="114"/>
      <c r="W200" s="63"/>
      <c r="X200" s="847">
        <v>5</v>
      </c>
      <c r="Y200" s="737"/>
      <c r="Z200" s="63"/>
      <c r="AA200" s="63"/>
      <c r="AB200" s="114"/>
      <c r="AC200" s="63"/>
      <c r="AD200" s="114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</row>
    <row r="201" spans="1:41" s="58" customFormat="1">
      <c r="A201" s="85">
        <f>IFERROR(VLOOKUP(Table4[[#This Row],[Player No]],Table10[[#All],[No]:[Age Group]],4,0),"")</f>
        <v>0</v>
      </c>
      <c r="B201" s="87"/>
      <c r="C201" s="88">
        <f t="shared" si="15"/>
        <v>-197</v>
      </c>
      <c r="D201" s="61">
        <f t="shared" si="18"/>
        <v>197</v>
      </c>
      <c r="E201" s="63">
        <v>3155</v>
      </c>
      <c r="F201" s="64" t="str">
        <f>IFERROR(VLOOKUP(Table4[[#This Row],[Player No]],Table10[[No]:[Province]],2,0),"")</f>
        <v>LETSOALO Lethabo</v>
      </c>
      <c r="G201" s="65" t="str">
        <f>IFERROR(VLOOKUP(Table4[[#This Row],[Player No]],Table10[[No]:[Province]],3,0),"")</f>
        <v xml:space="preserve">LIM  </v>
      </c>
      <c r="H201" s="66">
        <v>9.375</v>
      </c>
      <c r="I201" s="96">
        <v>4.5</v>
      </c>
      <c r="J201" s="124">
        <f>(Table4[[#This Row],[Points 2025]]/2)+SUM(Table4[[#This Row],[O1  ADMIN 2026]:[P2         WC    Open 2026]])</f>
        <v>2.25</v>
      </c>
      <c r="K201" s="106">
        <f t="shared" si="16"/>
        <v>0</v>
      </c>
      <c r="L201" s="106">
        <f t="shared" si="17"/>
        <v>0</v>
      </c>
      <c r="M201" s="106" t="s">
        <v>6083</v>
      </c>
      <c r="N201" s="114" t="s">
        <v>6083</v>
      </c>
      <c r="O201" s="114" t="s">
        <v>6083</v>
      </c>
      <c r="P201" s="114"/>
      <c r="Q201" s="63"/>
      <c r="R201" s="63"/>
      <c r="S201" s="114"/>
      <c r="T201" s="114"/>
      <c r="U201" s="63"/>
      <c r="V201" s="114"/>
      <c r="W201" s="63"/>
      <c r="X201" s="845"/>
      <c r="Y201" s="708"/>
      <c r="Z201" s="63"/>
      <c r="AA201" s="63"/>
      <c r="AB201" s="114"/>
      <c r="AC201" s="63"/>
      <c r="AD201" s="114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</row>
    <row r="202" spans="1:41" s="58" customFormat="1">
      <c r="A202" s="85" t="str">
        <f>IFERROR(VLOOKUP(Table4[[#This Row],[Player No]],Table10[[#All],[No]:[Age Group]],4,0),"")</f>
        <v>U19</v>
      </c>
      <c r="B202" s="87">
        <v>83</v>
      </c>
      <c r="C202" s="88">
        <f t="shared" si="15"/>
        <v>-115</v>
      </c>
      <c r="D202" s="61">
        <f t="shared" si="18"/>
        <v>198</v>
      </c>
      <c r="E202" s="63">
        <v>4100</v>
      </c>
      <c r="F202" s="64" t="str">
        <f>IFERROR(VLOOKUP(Table4[[#This Row],[Player No]],Table10[[No]:[Province]],2,0),"")</f>
        <v>Saul EPHRON</v>
      </c>
      <c r="G202" s="65" t="str">
        <f>IFERROR(VLOOKUP(Table4[[#This Row],[Player No]],Table10[[No]:[Province]],3,0),"")</f>
        <v>JTTA</v>
      </c>
      <c r="H202" s="66">
        <v>5</v>
      </c>
      <c r="I202" s="96">
        <v>4.140625</v>
      </c>
      <c r="J202" s="124">
        <f>(Table4[[#This Row],[Points 2025]]/2)+SUM(Table4[[#This Row],[O1  ADMIN 2026]:[P2         WC    Open 2026]])</f>
        <v>2.0703125</v>
      </c>
      <c r="K202" s="106">
        <f t="shared" si="16"/>
        <v>0</v>
      </c>
      <c r="L202" s="106">
        <f t="shared" si="17"/>
        <v>0</v>
      </c>
      <c r="M202" s="106" t="s">
        <v>6083</v>
      </c>
      <c r="N202" s="114" t="s">
        <v>6083</v>
      </c>
      <c r="O202" s="114" t="s">
        <v>6083</v>
      </c>
      <c r="P202" s="114"/>
      <c r="Q202" s="63"/>
      <c r="R202" s="63"/>
      <c r="S202" s="114"/>
      <c r="T202" s="114"/>
      <c r="U202" s="63"/>
      <c r="V202" s="114"/>
      <c r="W202" s="63"/>
      <c r="X202" s="845"/>
      <c r="Y202" s="708"/>
      <c r="Z202" s="63"/>
      <c r="AA202" s="63">
        <v>1</v>
      </c>
      <c r="AB202" s="114"/>
      <c r="AC202" s="63">
        <v>1</v>
      </c>
      <c r="AD202" s="114"/>
      <c r="AE202" s="63"/>
      <c r="AF202" s="63"/>
      <c r="AG202" s="63"/>
      <c r="AH202" s="63"/>
      <c r="AI202" s="63"/>
      <c r="AJ202" s="63">
        <v>5</v>
      </c>
      <c r="AK202" s="63"/>
      <c r="AL202" s="63"/>
      <c r="AM202" s="63"/>
      <c r="AN202" s="63"/>
      <c r="AO202" s="63"/>
    </row>
    <row r="203" spans="1:41" s="58" customFormat="1">
      <c r="A203" s="85" t="str">
        <f>IFERROR(VLOOKUP(Table4[[#This Row],[Player No]],Table10[[#All],[No]:[Age Group]],4,0),"")</f>
        <v>U19</v>
      </c>
      <c r="B203" s="87"/>
      <c r="C203" s="88">
        <f t="shared" si="15"/>
        <v>-199</v>
      </c>
      <c r="D203" s="61">
        <f t="shared" si="18"/>
        <v>199</v>
      </c>
      <c r="E203" s="63">
        <v>1429</v>
      </c>
      <c r="F203" s="64" t="str">
        <f>IFERROR(VLOOKUP(Table4[[#This Row],[Player No]],Table10[[No]:[Province]],2,0),"")</f>
        <v>TROMP Luthando</v>
      </c>
      <c r="G203" s="65" t="str">
        <f>IFERROR(VLOOKUP(Table4[[#This Row],[Player No]],Table10[[No]:[Province]],3,0),"")</f>
        <v>EC</v>
      </c>
      <c r="H203" s="66">
        <v>8.28125</v>
      </c>
      <c r="I203" s="96">
        <v>4</v>
      </c>
      <c r="J203" s="124">
        <f>(Table4[[#This Row],[Points 2025]]/2)+SUM(Table4[[#This Row],[O1  ADMIN 2026]:[P2         WC    Open 2026]])</f>
        <v>2</v>
      </c>
      <c r="K203" s="106">
        <f t="shared" si="16"/>
        <v>0</v>
      </c>
      <c r="L203" s="106">
        <f t="shared" si="17"/>
        <v>0</v>
      </c>
      <c r="M203" s="106" t="s">
        <v>6083</v>
      </c>
      <c r="N203" s="114" t="s">
        <v>6083</v>
      </c>
      <c r="O203" s="114" t="s">
        <v>6083</v>
      </c>
      <c r="P203" s="114"/>
      <c r="Q203" s="63"/>
      <c r="R203" s="63"/>
      <c r="S203" s="114"/>
      <c r="T203" s="114"/>
      <c r="U203" s="63"/>
      <c r="V203" s="114"/>
      <c r="W203" s="63"/>
      <c r="X203" s="845"/>
      <c r="Y203" s="708"/>
      <c r="Z203" s="63"/>
      <c r="AA203" s="63"/>
      <c r="AB203" s="114"/>
      <c r="AC203" s="63"/>
      <c r="AD203" s="114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</row>
    <row r="204" spans="1:41" s="58" customFormat="1">
      <c r="A204" s="85" t="str">
        <f>IFERROR(VLOOKUP(Table4[[#This Row],[Player No]],Table10[[#All],[No]:[Age Group]],4,0),"")</f>
        <v>U15</v>
      </c>
      <c r="B204" s="397"/>
      <c r="C204" s="397">
        <f t="shared" si="15"/>
        <v>-200</v>
      </c>
      <c r="D204" s="61">
        <f t="shared" si="18"/>
        <v>200</v>
      </c>
      <c r="E204" s="392">
        <v>3471</v>
      </c>
      <c r="F204" s="64" t="str">
        <f>IFERROR(VLOOKUP(Table4[[#This Row],[Player No]],Table10[[No]:[Province]],2,0),"")</f>
        <v>MORYA Vedansh</v>
      </c>
      <c r="G204" s="65" t="str">
        <f>IFERROR(VLOOKUP(Table4[[#This Row],[Player No]],Table10[[No]:[Province]],3,0),"")</f>
        <v>GN</v>
      </c>
      <c r="H204" s="393">
        <v>0</v>
      </c>
      <c r="I204" s="443">
        <v>4</v>
      </c>
      <c r="J204" s="124">
        <f>(Table4[[#This Row],[Points 2025]]/2)+SUM(Table4[[#This Row],[O1  ADMIN 2026]:[P2         WC    Open 2026]])</f>
        <v>2</v>
      </c>
      <c r="K204" s="106">
        <f t="shared" si="16"/>
        <v>0</v>
      </c>
      <c r="L204" s="106">
        <f t="shared" si="17"/>
        <v>0</v>
      </c>
      <c r="M204" s="106" t="s">
        <v>6083</v>
      </c>
      <c r="N204" s="386" t="s">
        <v>6083</v>
      </c>
      <c r="O204" s="386" t="s">
        <v>6083</v>
      </c>
      <c r="P204" s="386"/>
      <c r="Q204" s="392"/>
      <c r="R204" s="392"/>
      <c r="S204" s="386"/>
      <c r="T204" s="386"/>
      <c r="U204" s="392"/>
      <c r="V204" s="386"/>
      <c r="W204" s="392"/>
      <c r="X204" s="848"/>
      <c r="Y204" s="714"/>
      <c r="Z204" s="392"/>
      <c r="AA204" s="392"/>
      <c r="AB204" s="386">
        <v>4</v>
      </c>
      <c r="AC204" s="392"/>
      <c r="AD204" s="386"/>
      <c r="AE204" s="392"/>
      <c r="AF204" s="392"/>
      <c r="AG204" s="392"/>
      <c r="AH204" s="392"/>
      <c r="AI204" s="392"/>
      <c r="AJ204" s="392"/>
      <c r="AK204" s="392"/>
      <c r="AL204" s="392"/>
      <c r="AM204" s="392"/>
      <c r="AN204" s="392"/>
      <c r="AO204" s="392"/>
    </row>
    <row r="205" spans="1:41" s="58" customFormat="1">
      <c r="A205" s="85">
        <f>IFERROR(VLOOKUP(Table4[[#This Row],[Player No]],Table10[[#All],[No]:[Age Group]],4,0),"")</f>
        <v>0</v>
      </c>
      <c r="B205" s="88"/>
      <c r="C205" s="88">
        <f t="shared" si="15"/>
        <v>-201</v>
      </c>
      <c r="D205" s="61">
        <f t="shared" si="18"/>
        <v>201</v>
      </c>
      <c r="E205" s="63">
        <v>4804</v>
      </c>
      <c r="F205" s="64" t="str">
        <f>IFERROR(VLOOKUP(Table4[[#This Row],[Player No]],Table10[[No]:[Province]],2,0),"")</f>
        <v>MTHEMBU Lethigugu</v>
      </c>
      <c r="G205" s="65" t="str">
        <f>IFERROR(VLOOKUP(Table4[[#This Row],[Player No]],Table10[[No]:[Province]],3,0),"")</f>
        <v>UMG</v>
      </c>
      <c r="H205" s="66"/>
      <c r="I205" s="96">
        <v>0</v>
      </c>
      <c r="J205" s="124">
        <f>(Table4[[#This Row],[Points 2025]]/2)+SUM(Table4[[#This Row],[O1  ADMIN 2026]:[P2         WC    Open 2026]])</f>
        <v>2</v>
      </c>
      <c r="K205" s="106">
        <f t="shared" si="16"/>
        <v>2</v>
      </c>
      <c r="L205" s="106">
        <f t="shared" si="17"/>
        <v>0</v>
      </c>
      <c r="M205" s="106" t="s">
        <v>6083</v>
      </c>
      <c r="N205" s="114">
        <v>1</v>
      </c>
      <c r="O205" s="114">
        <v>1</v>
      </c>
      <c r="P205" s="114"/>
      <c r="Q205" s="63"/>
      <c r="R205" s="63"/>
      <c r="S205" s="114"/>
      <c r="T205" s="114"/>
      <c r="U205" s="63"/>
      <c r="V205" s="114"/>
      <c r="W205" s="63"/>
      <c r="X205" s="845"/>
      <c r="Y205" s="708"/>
      <c r="Z205" s="63"/>
      <c r="AA205" s="63"/>
      <c r="AB205" s="114"/>
      <c r="AC205" s="63"/>
      <c r="AD205" s="114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</row>
    <row r="206" spans="1:41" s="58" customFormat="1">
      <c r="A206" s="85">
        <f>IFERROR(VLOOKUP(Table4[[#This Row],[Player No]],Table10[[#All],[No]:[Age Group]],4,0),"")</f>
        <v>0</v>
      </c>
      <c r="B206" s="88"/>
      <c r="C206" s="88">
        <f t="shared" si="15"/>
        <v>-202</v>
      </c>
      <c r="D206" s="61">
        <f t="shared" si="18"/>
        <v>202</v>
      </c>
      <c r="E206" s="63">
        <v>4380</v>
      </c>
      <c r="F206" s="64" t="str">
        <f>IFERROR(VLOOKUP(Table4[[#This Row],[Player No]],Table10[[No]:[Province]],2,0),"")</f>
        <v>HANUMAN Aryan</v>
      </c>
      <c r="G206" s="65" t="str">
        <f>IFERROR(VLOOKUP(Table4[[#This Row],[Player No]],Table10[[No]:[Province]],3,0),"")</f>
        <v>UMG</v>
      </c>
      <c r="H206" s="66"/>
      <c r="I206" s="96">
        <v>0</v>
      </c>
      <c r="J206" s="124">
        <f>(Table4[[#This Row],[Points 2025]]/2)+SUM(Table4[[#This Row],[O1  ADMIN 2026]:[P2         WC    Open 2026]])</f>
        <v>2</v>
      </c>
      <c r="K206" s="106">
        <f t="shared" si="16"/>
        <v>2</v>
      </c>
      <c r="L206" s="106">
        <f t="shared" si="17"/>
        <v>0</v>
      </c>
      <c r="M206" s="106" t="s">
        <v>6083</v>
      </c>
      <c r="N206" s="114">
        <v>1</v>
      </c>
      <c r="O206" s="114">
        <v>1</v>
      </c>
      <c r="P206" s="114"/>
      <c r="Q206" s="63"/>
      <c r="R206" s="63"/>
      <c r="S206" s="114"/>
      <c r="T206" s="114"/>
      <c r="U206" s="63"/>
      <c r="V206" s="114"/>
      <c r="W206" s="63"/>
      <c r="X206" s="845"/>
      <c r="Y206" s="708"/>
      <c r="Z206" s="63"/>
      <c r="AA206" s="63"/>
      <c r="AB206" s="114"/>
      <c r="AC206" s="63"/>
      <c r="AD206" s="114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</row>
    <row r="207" spans="1:41" s="58" customFormat="1">
      <c r="A207" s="85">
        <f>IFERROR(VLOOKUP(Table4[[#This Row],[Player No]],Table10[[#All],[No]:[Age Group]],4,0),"")</f>
        <v>0</v>
      </c>
      <c r="B207" s="88"/>
      <c r="C207" s="88">
        <f t="shared" si="15"/>
        <v>-203</v>
      </c>
      <c r="D207" s="61">
        <f t="shared" si="18"/>
        <v>203</v>
      </c>
      <c r="E207" s="63">
        <v>3514</v>
      </c>
      <c r="F207" s="64" t="str">
        <f>IFERROR(VLOOKUP(Table4[[#This Row],[Player No]],Table10[[No]:[Province]],2,0),"")</f>
        <v>PERUMAL Kiaran</v>
      </c>
      <c r="G207" s="65" t="str">
        <f>IFERROR(VLOOKUP(Table4[[#This Row],[Player No]],Table10[[No]:[Province]],3,0),"")</f>
        <v>UMG</v>
      </c>
      <c r="H207" s="66"/>
      <c r="I207" s="96">
        <v>0</v>
      </c>
      <c r="J207" s="124">
        <f>(Table4[[#This Row],[Points 2025]]/2)+SUM(Table4[[#This Row],[O1  ADMIN 2026]:[P2         WC    Open 2026]])</f>
        <v>2</v>
      </c>
      <c r="K207" s="106">
        <f t="shared" si="16"/>
        <v>2</v>
      </c>
      <c r="L207" s="106">
        <f t="shared" si="17"/>
        <v>0</v>
      </c>
      <c r="M207" s="106" t="s">
        <v>6083</v>
      </c>
      <c r="N207" s="114">
        <v>1</v>
      </c>
      <c r="O207" s="114">
        <v>1</v>
      </c>
      <c r="P207" s="114"/>
      <c r="Q207" s="63"/>
      <c r="R207" s="63"/>
      <c r="S207" s="114"/>
      <c r="T207" s="114"/>
      <c r="U207" s="63"/>
      <c r="V207" s="114"/>
      <c r="W207" s="63"/>
      <c r="X207" s="845"/>
      <c r="Y207" s="708"/>
      <c r="Z207" s="63"/>
      <c r="AA207" s="63"/>
      <c r="AB207" s="114"/>
      <c r="AC207" s="63"/>
      <c r="AD207" s="114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</row>
    <row r="208" spans="1:41" s="58" customFormat="1">
      <c r="A208" s="85">
        <f>IFERROR(VLOOKUP(Table4[[#This Row],[Player No]],Table10[[#All],[No]:[Age Group]],4,0),"")</f>
        <v>0</v>
      </c>
      <c r="B208" s="397"/>
      <c r="C208" s="397">
        <f t="shared" si="15"/>
        <v>-204</v>
      </c>
      <c r="D208" s="61">
        <f t="shared" si="18"/>
        <v>204</v>
      </c>
      <c r="E208" s="392">
        <v>4511</v>
      </c>
      <c r="F208" s="64" t="str">
        <f>IFERROR(VLOOKUP(Table4[[#This Row],[Player No]],Table10[[No]:[Province]],2,0),"")</f>
        <v>Franco PRETORIUS</v>
      </c>
      <c r="G208" s="65" t="str">
        <f>IFERROR(VLOOKUP(Table4[[#This Row],[Player No]],Table10[[No]:[Province]],3,0),"")</f>
        <v>GN</v>
      </c>
      <c r="H208" s="393">
        <v>0</v>
      </c>
      <c r="I208" s="443">
        <v>3.75</v>
      </c>
      <c r="J208" s="124">
        <f>(Table4[[#This Row],[Points 2025]]/2)+SUM(Table4[[#This Row],[O1  ADMIN 2026]:[P2         WC    Open 2026]])</f>
        <v>1.875</v>
      </c>
      <c r="K208" s="106">
        <f t="shared" si="16"/>
        <v>0</v>
      </c>
      <c r="L208" s="106">
        <f t="shared" si="17"/>
        <v>0</v>
      </c>
      <c r="M208" s="106" t="s">
        <v>6083</v>
      </c>
      <c r="N208" s="386" t="s">
        <v>6083</v>
      </c>
      <c r="O208" s="386" t="s">
        <v>6083</v>
      </c>
      <c r="P208" s="386"/>
      <c r="Q208" s="392"/>
      <c r="R208" s="392"/>
      <c r="S208" s="386"/>
      <c r="T208" s="386"/>
      <c r="U208" s="392"/>
      <c r="V208" s="386"/>
      <c r="W208" s="392"/>
      <c r="X208" s="848"/>
      <c r="Y208" s="714"/>
      <c r="Z208" s="392"/>
      <c r="AA208" s="392"/>
      <c r="AB208" s="386">
        <v>4</v>
      </c>
      <c r="AC208" s="392"/>
      <c r="AD208" s="386"/>
      <c r="AE208" s="392"/>
      <c r="AF208" s="392"/>
      <c r="AG208" s="392"/>
      <c r="AH208" s="392"/>
      <c r="AI208" s="392"/>
      <c r="AJ208" s="392"/>
      <c r="AK208" s="392"/>
      <c r="AL208" s="392"/>
      <c r="AM208" s="392"/>
      <c r="AN208" s="392"/>
      <c r="AO208" s="392"/>
    </row>
    <row r="209" spans="1:41" s="58" customFormat="1">
      <c r="A209" s="85">
        <f>IFERROR(VLOOKUP(Table4[[#This Row],[Player No]],Table10[[#All],[No]:[Age Group]],4,0),"")</f>
        <v>0</v>
      </c>
      <c r="B209" s="87">
        <v>88</v>
      </c>
      <c r="C209" s="88">
        <f t="shared" si="15"/>
        <v>-117</v>
      </c>
      <c r="D209" s="61">
        <f t="shared" si="18"/>
        <v>205</v>
      </c>
      <c r="E209" s="63">
        <v>3404</v>
      </c>
      <c r="F209" s="64" t="str">
        <f>IFERROR(VLOOKUP(Table4[[#This Row],[Player No]],Table10[[No]:[Province]],2,0),"")</f>
        <v>SINOMSO Liqhawe</v>
      </c>
      <c r="G209" s="65" t="str">
        <f>IFERROR(VLOOKUP(Table4[[#This Row],[Player No]],Table10[[No]:[Province]],3,0),"")</f>
        <v>CT</v>
      </c>
      <c r="H209" s="66">
        <v>7.5</v>
      </c>
      <c r="I209" s="96">
        <v>3.125</v>
      </c>
      <c r="J209" s="124">
        <f>(Table4[[#This Row],[Points 2025]]/2)+SUM(Table4[[#This Row],[O1  ADMIN 2026]:[P2         WC    Open 2026]])</f>
        <v>1.5625</v>
      </c>
      <c r="K209" s="106">
        <f t="shared" si="16"/>
        <v>0</v>
      </c>
      <c r="L209" s="106">
        <f t="shared" si="17"/>
        <v>0</v>
      </c>
      <c r="M209" s="106" t="s">
        <v>6083</v>
      </c>
      <c r="N209" s="114" t="s">
        <v>6083</v>
      </c>
      <c r="O209" s="114" t="s">
        <v>6083</v>
      </c>
      <c r="P209" s="114"/>
      <c r="Q209" s="63"/>
      <c r="R209" s="63"/>
      <c r="S209" s="114"/>
      <c r="T209" s="114"/>
      <c r="U209" s="63"/>
      <c r="V209" s="114"/>
      <c r="W209" s="63"/>
      <c r="X209" s="845"/>
      <c r="Y209" s="708"/>
      <c r="Z209" s="63"/>
      <c r="AA209" s="63"/>
      <c r="AB209" s="114"/>
      <c r="AC209" s="63"/>
      <c r="AD209" s="114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</row>
    <row r="210" spans="1:41" s="58" customFormat="1">
      <c r="A210" s="85">
        <f>IFERROR(VLOOKUP(Table4[[#This Row],[Player No]],Table10[[#All],[No]:[Age Group]],4,0),"")</f>
        <v>0</v>
      </c>
      <c r="B210" s="87">
        <v>89</v>
      </c>
      <c r="C210" s="88">
        <f t="shared" si="15"/>
        <v>-117</v>
      </c>
      <c r="D210" s="61">
        <f t="shared" si="18"/>
        <v>206</v>
      </c>
      <c r="E210" s="63">
        <v>2124</v>
      </c>
      <c r="F210" s="64" t="str">
        <f>IFERROR(VLOOKUP(Table4[[#This Row],[Player No]],Table10[[No]:[Province]],2,0),"")</f>
        <v>MAPHUNYE Rorisang</v>
      </c>
      <c r="G210" s="65" t="str">
        <f>IFERROR(VLOOKUP(Table4[[#This Row],[Player No]],Table10[[No]:[Province]],3,0),"")</f>
        <v>NWP</v>
      </c>
      <c r="H210" s="66">
        <v>6.25</v>
      </c>
      <c r="I210" s="96">
        <v>3.125</v>
      </c>
      <c r="J210" s="124">
        <f>(Table4[[#This Row],[Points 2025]]/2)+SUM(Table4[[#This Row],[O1  ADMIN 2026]:[P2         WC    Open 2026]])</f>
        <v>1.5625</v>
      </c>
      <c r="K210" s="106">
        <f t="shared" si="16"/>
        <v>0</v>
      </c>
      <c r="L210" s="106">
        <f t="shared" si="17"/>
        <v>0</v>
      </c>
      <c r="M210" s="106" t="s">
        <v>6083</v>
      </c>
      <c r="N210" s="114" t="s">
        <v>6083</v>
      </c>
      <c r="O210" s="114" t="s">
        <v>6083</v>
      </c>
      <c r="P210" s="114"/>
      <c r="Q210" s="63"/>
      <c r="R210" s="63"/>
      <c r="S210" s="114"/>
      <c r="T210" s="114"/>
      <c r="U210" s="63"/>
      <c r="V210" s="114"/>
      <c r="W210" s="63"/>
      <c r="X210" s="845"/>
      <c r="Y210" s="708"/>
      <c r="Z210" s="63"/>
      <c r="AA210" s="63"/>
      <c r="AB210" s="114"/>
      <c r="AC210" s="63"/>
      <c r="AD210" s="114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</row>
    <row r="211" spans="1:41" s="58" customFormat="1">
      <c r="A211" s="85">
        <f>IFERROR(VLOOKUP(Table4[[#This Row],[Player No]],Table10[[#All],[No]:[Age Group]],4,0),"")</f>
        <v>0</v>
      </c>
      <c r="B211" s="87">
        <v>90</v>
      </c>
      <c r="C211" s="88">
        <f t="shared" si="15"/>
        <v>-117</v>
      </c>
      <c r="D211" s="61">
        <f t="shared" si="18"/>
        <v>207</v>
      </c>
      <c r="E211" s="63">
        <v>2863</v>
      </c>
      <c r="F211" s="64" t="str">
        <f>IFERROR(VLOOKUP(Table4[[#This Row],[Player No]],Table10[[No]:[Province]],2,0),"")</f>
        <v>ZENZILE Anele</v>
      </c>
      <c r="G211" s="65" t="str">
        <f>IFERROR(VLOOKUP(Table4[[#This Row],[Player No]],Table10[[No]:[Province]],3,0),"")</f>
        <v>EC</v>
      </c>
      <c r="H211" s="66">
        <v>6.25</v>
      </c>
      <c r="I211" s="96">
        <v>3.125</v>
      </c>
      <c r="J211" s="124">
        <f>(Table4[[#This Row],[Points 2025]]/2)+SUM(Table4[[#This Row],[O1  ADMIN 2026]:[P2         WC    Open 2026]])</f>
        <v>1.5625</v>
      </c>
      <c r="K211" s="106">
        <f t="shared" si="16"/>
        <v>0</v>
      </c>
      <c r="L211" s="106">
        <f t="shared" si="17"/>
        <v>0</v>
      </c>
      <c r="M211" s="106" t="s">
        <v>6083</v>
      </c>
      <c r="N211" s="114" t="s">
        <v>6083</v>
      </c>
      <c r="O211" s="114" t="s">
        <v>6083</v>
      </c>
      <c r="P211" s="114"/>
      <c r="Q211" s="63"/>
      <c r="R211" s="63"/>
      <c r="S211" s="114"/>
      <c r="T211" s="114"/>
      <c r="U211" s="63"/>
      <c r="V211" s="114"/>
      <c r="W211" s="63"/>
      <c r="X211" s="845"/>
      <c r="Y211" s="708"/>
      <c r="Z211" s="63"/>
      <c r="AA211" s="63"/>
      <c r="AB211" s="114"/>
      <c r="AC211" s="63"/>
      <c r="AD211" s="114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</row>
    <row r="212" spans="1:41" s="58" customFormat="1">
      <c r="A212" s="85">
        <f>IFERROR(VLOOKUP(Table4[[#This Row],[Player No]],Table10[[#All],[No]:[Age Group]],4,0),"")</f>
        <v>0</v>
      </c>
      <c r="B212" s="87">
        <v>91</v>
      </c>
      <c r="C212" s="88">
        <f t="shared" si="15"/>
        <v>-117</v>
      </c>
      <c r="D212" s="61">
        <f t="shared" si="18"/>
        <v>208</v>
      </c>
      <c r="E212" s="63">
        <v>3112</v>
      </c>
      <c r="F212" s="64" t="str">
        <f>IFERROR(VLOOKUP(Table4[[#This Row],[Player No]],Table10[[No]:[Province]],2,0),"")</f>
        <v>DEKOP Sean</v>
      </c>
      <c r="G212" s="65" t="str">
        <f>IFERROR(VLOOKUP(Table4[[#This Row],[Player No]],Table10[[No]:[Province]],3,0),"")</f>
        <v>BOT</v>
      </c>
      <c r="H212" s="66">
        <v>6.25</v>
      </c>
      <c r="I212" s="96">
        <v>3.125</v>
      </c>
      <c r="J212" s="124">
        <f>(Table4[[#This Row],[Points 2025]]/2)+SUM(Table4[[#This Row],[O1  ADMIN 2026]:[P2         WC    Open 2026]])</f>
        <v>1.5625</v>
      </c>
      <c r="K212" s="106">
        <f t="shared" si="16"/>
        <v>0</v>
      </c>
      <c r="L212" s="106">
        <f t="shared" si="17"/>
        <v>0</v>
      </c>
      <c r="M212" s="106" t="s">
        <v>6083</v>
      </c>
      <c r="N212" s="114" t="s">
        <v>6083</v>
      </c>
      <c r="O212" s="114" t="s">
        <v>6083</v>
      </c>
      <c r="P212" s="114"/>
      <c r="Q212" s="63"/>
      <c r="R212" s="63"/>
      <c r="S212" s="114"/>
      <c r="T212" s="114"/>
      <c r="U212" s="63"/>
      <c r="V212" s="114"/>
      <c r="W212" s="63"/>
      <c r="X212" s="845"/>
      <c r="Y212" s="708"/>
      <c r="Z212" s="63"/>
      <c r="AA212" s="63"/>
      <c r="AB212" s="114"/>
      <c r="AC212" s="63"/>
      <c r="AD212" s="114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</row>
    <row r="213" spans="1:41" s="58" customFormat="1">
      <c r="A213" s="85">
        <f>IFERROR(VLOOKUP(Table4[[#This Row],[Player No]],Table10[[#All],[No]:[Age Group]],4,0),"")</f>
        <v>0</v>
      </c>
      <c r="B213" s="87">
        <v>133</v>
      </c>
      <c r="C213" s="88">
        <f t="shared" si="15"/>
        <v>-76</v>
      </c>
      <c r="D213" s="61">
        <f t="shared" si="18"/>
        <v>209</v>
      </c>
      <c r="E213" s="63">
        <v>3303</v>
      </c>
      <c r="F213" s="64" t="str">
        <f>IFERROR(VLOOKUP(Table4[[#This Row],[Player No]],Table10[[No]:[Province]],2,0),"")</f>
        <v>GOVIND Shaneel</v>
      </c>
      <c r="G213" s="65" t="str">
        <f>IFERROR(VLOOKUP(Table4[[#This Row],[Player No]],Table10[[No]:[Province]],3,0),"")</f>
        <v>JTTA</v>
      </c>
      <c r="H213" s="66">
        <v>6.25</v>
      </c>
      <c r="I213" s="96">
        <v>3.125</v>
      </c>
      <c r="J213" s="124">
        <f>(Table4[[#This Row],[Points 2025]]/2)+SUM(Table4[[#This Row],[O1  ADMIN 2026]:[P2         WC    Open 2026]])</f>
        <v>1.5625</v>
      </c>
      <c r="K213" s="106">
        <f t="shared" si="16"/>
        <v>0</v>
      </c>
      <c r="L213" s="106">
        <f t="shared" si="17"/>
        <v>0</v>
      </c>
      <c r="M213" s="106" t="s">
        <v>6083</v>
      </c>
      <c r="N213" s="114" t="s">
        <v>6083</v>
      </c>
      <c r="O213" s="114" t="s">
        <v>6083</v>
      </c>
      <c r="P213" s="114"/>
      <c r="Q213" s="63"/>
      <c r="R213" s="63"/>
      <c r="S213" s="114"/>
      <c r="T213" s="114"/>
      <c r="U213" s="63"/>
      <c r="V213" s="114"/>
      <c r="W213" s="63"/>
      <c r="X213" s="845"/>
      <c r="Y213" s="708"/>
      <c r="Z213" s="63"/>
      <c r="AA213" s="63"/>
      <c r="AB213" s="114"/>
      <c r="AC213" s="63"/>
      <c r="AD213" s="114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</row>
    <row r="214" spans="1:41" s="58" customFormat="1">
      <c r="A214" s="85">
        <f>IFERROR(VLOOKUP(Table4[[#This Row],[Player No]],Table10[[#All],[No]:[Age Group]],4,0),"")</f>
        <v>0</v>
      </c>
      <c r="B214" s="87">
        <v>97</v>
      </c>
      <c r="C214" s="88">
        <f t="shared" si="15"/>
        <v>-113</v>
      </c>
      <c r="D214" s="61">
        <f t="shared" si="18"/>
        <v>210</v>
      </c>
      <c r="E214" s="63">
        <v>3304</v>
      </c>
      <c r="F214" s="64" t="str">
        <f>IFERROR(VLOOKUP(Table4[[#This Row],[Player No]],Table10[[No]:[Province]],2,0),"")</f>
        <v>JANSEN VAN RENSBURG Reuben</v>
      </c>
      <c r="G214" s="65" t="str">
        <f>IFERROR(VLOOKUP(Table4[[#This Row],[Player No]],Table10[[No]:[Province]],3,0),"")</f>
        <v>JTTA</v>
      </c>
      <c r="H214" s="66">
        <v>6.25</v>
      </c>
      <c r="I214" s="96">
        <v>3</v>
      </c>
      <c r="J214" s="124">
        <f>(Table4[[#This Row],[Points 2025]]/2)+SUM(Table4[[#This Row],[O1  ADMIN 2026]:[P2         WC    Open 2026]])</f>
        <v>1.5</v>
      </c>
      <c r="K214" s="106">
        <f t="shared" si="16"/>
        <v>0</v>
      </c>
      <c r="L214" s="106">
        <f t="shared" si="17"/>
        <v>0</v>
      </c>
      <c r="M214" s="106" t="s">
        <v>6083</v>
      </c>
      <c r="N214" s="114" t="s">
        <v>6083</v>
      </c>
      <c r="O214" s="114" t="s">
        <v>6083</v>
      </c>
      <c r="P214" s="114"/>
      <c r="Q214" s="63"/>
      <c r="R214" s="63"/>
      <c r="S214" s="114"/>
      <c r="T214" s="114"/>
      <c r="U214" s="63"/>
      <c r="V214" s="114"/>
      <c r="W214" s="63"/>
      <c r="X214" s="845"/>
      <c r="Y214" s="708"/>
      <c r="Z214" s="63"/>
      <c r="AA214" s="63"/>
      <c r="AB214" s="114"/>
      <c r="AC214" s="63"/>
      <c r="AD214" s="114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</row>
    <row r="215" spans="1:41" s="58" customFormat="1">
      <c r="A215" s="85">
        <f>IFERROR(VLOOKUP(Table4[[#This Row],[Player No]],Table10[[#All],[No]:[Age Group]],4,0),"")</f>
        <v>0</v>
      </c>
      <c r="B215" s="373"/>
      <c r="C215" s="373">
        <f>+B214-D214</f>
        <v>-113</v>
      </c>
      <c r="D215" s="61">
        <f t="shared" si="18"/>
        <v>211</v>
      </c>
      <c r="E215" s="361">
        <v>3916</v>
      </c>
      <c r="F215" s="64" t="str">
        <f>IFERROR(VLOOKUP(Table4[[#This Row],[Player No]],Table10[[No]:[Province]],2,0),"")</f>
        <v>DZANIBE Kethukuthula</v>
      </c>
      <c r="G215" s="65" t="str">
        <f>IFERROR(VLOOKUP(Table4[[#This Row],[Player No]],Table10[[No]:[Province]],3,0),"")</f>
        <v>ETTA</v>
      </c>
      <c r="H215" s="370">
        <v>0</v>
      </c>
      <c r="I215" s="363">
        <v>1</v>
      </c>
      <c r="J215" s="124">
        <f>(Table4[[#This Row],[Points 2025]]/2)+SUM(Table4[[#This Row],[O1  ADMIN 2026]:[P2         WC    Open 2026]])</f>
        <v>1.5</v>
      </c>
      <c r="K215" s="106">
        <f t="shared" si="16"/>
        <v>1</v>
      </c>
      <c r="L215" s="106">
        <f t="shared" si="17"/>
        <v>0</v>
      </c>
      <c r="M215" s="106" t="s">
        <v>6083</v>
      </c>
      <c r="N215" s="357" t="s">
        <v>6083</v>
      </c>
      <c r="O215" s="357">
        <v>1</v>
      </c>
      <c r="P215" s="357"/>
      <c r="Q215" s="361"/>
      <c r="R215" s="361"/>
      <c r="S215" s="357"/>
      <c r="T215" s="357">
        <v>1</v>
      </c>
      <c r="U215" s="361"/>
      <c r="V215" s="357"/>
      <c r="W215" s="361"/>
      <c r="X215" s="850"/>
      <c r="Y215" s="738"/>
      <c r="Z215" s="361"/>
      <c r="AA215" s="361"/>
      <c r="AB215" s="357"/>
      <c r="AC215" s="361"/>
      <c r="AD215" s="357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</row>
    <row r="216" spans="1:41" s="58" customFormat="1">
      <c r="A216" s="85" t="str">
        <f>IFERROR(VLOOKUP(Table4[[#This Row],[Player No]],Table10[[#All],[No]:[Age Group]],4,0),"")</f>
        <v>U19</v>
      </c>
      <c r="B216" s="373"/>
      <c r="C216" s="373">
        <f t="shared" ref="C216:C247" si="19">+B216-D216</f>
        <v>-212</v>
      </c>
      <c r="D216" s="61">
        <f t="shared" si="18"/>
        <v>212</v>
      </c>
      <c r="E216" s="361">
        <v>4352</v>
      </c>
      <c r="F216" s="64" t="str">
        <f>IFERROR(VLOOKUP(Table4[[#This Row],[Player No]],Table10[[No]:[Province]],2,0),"")</f>
        <v>MOHANLALL Ryan</v>
      </c>
      <c r="G216" s="65" t="str">
        <f>IFERROR(VLOOKUP(Table4[[#This Row],[Player No]],Table10[[No]:[Province]],3,0),"")</f>
        <v>ETTA</v>
      </c>
      <c r="H216" s="370">
        <v>0</v>
      </c>
      <c r="I216" s="363">
        <v>1</v>
      </c>
      <c r="J216" s="124">
        <f>(Table4[[#This Row],[Points 2025]]/2)+SUM(Table4[[#This Row],[O1  ADMIN 2026]:[P2         WC    Open 2026]])</f>
        <v>1.5</v>
      </c>
      <c r="K216" s="106">
        <f t="shared" si="16"/>
        <v>1</v>
      </c>
      <c r="L216" s="106">
        <f t="shared" si="17"/>
        <v>0</v>
      </c>
      <c r="M216" s="106" t="s">
        <v>6083</v>
      </c>
      <c r="N216" s="357" t="s">
        <v>6083</v>
      </c>
      <c r="O216" s="357">
        <v>1</v>
      </c>
      <c r="P216" s="357"/>
      <c r="Q216" s="361"/>
      <c r="R216" s="361"/>
      <c r="S216" s="357"/>
      <c r="T216" s="357">
        <v>1</v>
      </c>
      <c r="U216" s="361"/>
      <c r="V216" s="357"/>
      <c r="W216" s="361"/>
      <c r="X216" s="850"/>
      <c r="Y216" s="738"/>
      <c r="Z216" s="361"/>
      <c r="AA216" s="361"/>
      <c r="AB216" s="357"/>
      <c r="AC216" s="361"/>
      <c r="AD216" s="357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</row>
    <row r="217" spans="1:41" s="58" customFormat="1">
      <c r="A217" s="85">
        <f>IFERROR(VLOOKUP(Table4[[#This Row],[Player No]],Table10[[#All],[No]:[Age Group]],4,0),"")</f>
        <v>0</v>
      </c>
      <c r="B217" s="87">
        <v>210</v>
      </c>
      <c r="C217" s="88">
        <f t="shared" si="19"/>
        <v>-3</v>
      </c>
      <c r="D217" s="61">
        <f t="shared" si="18"/>
        <v>213</v>
      </c>
      <c r="E217" s="63">
        <v>3918</v>
      </c>
      <c r="F217" s="64" t="str">
        <f>IFERROR(VLOOKUP(Table4[[#This Row],[Player No]],Table10[[No]:[Province]],2,0),"")</f>
        <v>MKONTWANE Simphiwe</v>
      </c>
      <c r="G217" s="65" t="str">
        <f>IFERROR(VLOOKUP(Table4[[#This Row],[Player No]],Table10[[No]:[Province]],3,0),"")</f>
        <v>ETTA</v>
      </c>
      <c r="H217" s="66">
        <v>0</v>
      </c>
      <c r="I217" s="96">
        <v>2.625</v>
      </c>
      <c r="J217" s="124">
        <f>(Table4[[#This Row],[Points 2025]]/2)+SUM(Table4[[#This Row],[O1  ADMIN 2026]:[P2         WC    Open 2026]])</f>
        <v>1.3125</v>
      </c>
      <c r="K217" s="106">
        <f t="shared" si="16"/>
        <v>0</v>
      </c>
      <c r="L217" s="106">
        <f t="shared" si="17"/>
        <v>0</v>
      </c>
      <c r="M217" s="106" t="s">
        <v>6083</v>
      </c>
      <c r="N217" s="114" t="s">
        <v>6083</v>
      </c>
      <c r="O217" s="114" t="s">
        <v>6083</v>
      </c>
      <c r="P217" s="114"/>
      <c r="Q217" s="63"/>
      <c r="R217" s="63"/>
      <c r="S217" s="114">
        <v>1</v>
      </c>
      <c r="T217" s="114">
        <v>1</v>
      </c>
      <c r="U217" s="63">
        <v>1</v>
      </c>
      <c r="V217" s="114"/>
      <c r="W217" s="63"/>
      <c r="X217" s="845"/>
      <c r="Y217" s="708"/>
      <c r="Z217" s="63"/>
      <c r="AA217" s="63"/>
      <c r="AB217" s="114"/>
      <c r="AC217" s="63"/>
      <c r="AD217" s="114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</row>
    <row r="218" spans="1:41" s="58" customFormat="1">
      <c r="A218" s="85" t="str">
        <f>IFERROR(VLOOKUP(Table4[[#This Row],[Player No]],Table10[[#All],[No]:[Age Group]],4,0),"")</f>
        <v>U19</v>
      </c>
      <c r="B218" s="87"/>
      <c r="C218" s="88">
        <f t="shared" si="19"/>
        <v>-214</v>
      </c>
      <c r="D218" s="61">
        <f t="shared" si="18"/>
        <v>214</v>
      </c>
      <c r="E218" s="63">
        <v>2286</v>
      </c>
      <c r="F218" s="64" t="str">
        <f>IFERROR(VLOOKUP(Table4[[#This Row],[Player No]],Table10[[No]:[Province]],2,0),"")</f>
        <v>MANSOER Zaheer</v>
      </c>
      <c r="G218" s="65" t="str">
        <f>IFERROR(VLOOKUP(Table4[[#This Row],[Player No]],Table10[[No]:[Province]],3,0),"")</f>
        <v>CT</v>
      </c>
      <c r="H218" s="66">
        <v>5.25</v>
      </c>
      <c r="I218" s="96">
        <v>2.5625</v>
      </c>
      <c r="J218" s="124">
        <f>(Table4[[#This Row],[Points 2025]]/2)+SUM(Table4[[#This Row],[O1  ADMIN 2026]:[P2         WC    Open 2026]])</f>
        <v>1.28125</v>
      </c>
      <c r="K218" s="106">
        <f t="shared" si="16"/>
        <v>0</v>
      </c>
      <c r="L218" s="106">
        <f t="shared" si="17"/>
        <v>0</v>
      </c>
      <c r="M218" s="106" t="s">
        <v>6083</v>
      </c>
      <c r="N218" s="114" t="s">
        <v>6083</v>
      </c>
      <c r="O218" s="114" t="s">
        <v>6083</v>
      </c>
      <c r="P218" s="114"/>
      <c r="Q218" s="63"/>
      <c r="R218" s="63"/>
      <c r="S218" s="114"/>
      <c r="T218" s="114"/>
      <c r="U218" s="63"/>
      <c r="V218" s="114"/>
      <c r="W218" s="63"/>
      <c r="X218" s="845"/>
      <c r="Y218" s="708"/>
      <c r="Z218" s="63"/>
      <c r="AA218" s="63"/>
      <c r="AB218" s="114"/>
      <c r="AC218" s="63"/>
      <c r="AD218" s="114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</row>
    <row r="219" spans="1:41" s="58" customFormat="1">
      <c r="A219" s="85">
        <f>IFERROR(VLOOKUP(Table4[[#This Row],[Player No]],Table10[[#All],[No]:[Age Group]],4,0),"")</f>
        <v>0</v>
      </c>
      <c r="B219" s="87">
        <v>107</v>
      </c>
      <c r="C219" s="88">
        <f t="shared" si="19"/>
        <v>-108</v>
      </c>
      <c r="D219" s="61">
        <f t="shared" si="18"/>
        <v>215</v>
      </c>
      <c r="E219" s="63">
        <v>2834</v>
      </c>
      <c r="F219" s="64" t="str">
        <f>IFERROR(VLOOKUP(Table4[[#This Row],[Player No]],Table10[[No]:[Province]],2,0),"")</f>
        <v>KING Rashaad</v>
      </c>
      <c r="G219" s="65" t="str">
        <f>IFERROR(VLOOKUP(Table4[[#This Row],[Player No]],Table10[[No]:[Province]],3,0),"")</f>
        <v>EC</v>
      </c>
      <c r="H219" s="66">
        <v>5.125</v>
      </c>
      <c r="I219" s="96">
        <v>2.5</v>
      </c>
      <c r="J219" s="124">
        <f>(Table4[[#This Row],[Points 2025]]/2)+SUM(Table4[[#This Row],[O1  ADMIN 2026]:[P2         WC    Open 2026]])</f>
        <v>1.25</v>
      </c>
      <c r="K219" s="106">
        <f t="shared" si="16"/>
        <v>0</v>
      </c>
      <c r="L219" s="106">
        <f t="shared" si="17"/>
        <v>0</v>
      </c>
      <c r="M219" s="106" t="s">
        <v>6083</v>
      </c>
      <c r="N219" s="114" t="s">
        <v>6083</v>
      </c>
      <c r="O219" s="114" t="s">
        <v>6083</v>
      </c>
      <c r="P219" s="114"/>
      <c r="Q219" s="63"/>
      <c r="R219" s="63"/>
      <c r="S219" s="114"/>
      <c r="T219" s="114"/>
      <c r="U219" s="63"/>
      <c r="V219" s="114"/>
      <c r="W219" s="63"/>
      <c r="X219" s="845"/>
      <c r="Y219" s="708"/>
      <c r="Z219" s="63"/>
      <c r="AA219" s="63"/>
      <c r="AB219" s="114"/>
      <c r="AC219" s="63"/>
      <c r="AD219" s="114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</row>
    <row r="220" spans="1:41" s="58" customFormat="1">
      <c r="A220" s="85">
        <f>IFERROR(VLOOKUP(Table4[[#This Row],[Player No]],Table10[[#All],[No]:[Age Group]],4,0),"")</f>
        <v>0</v>
      </c>
      <c r="B220" s="87">
        <v>102</v>
      </c>
      <c r="C220" s="88">
        <f t="shared" si="19"/>
        <v>-114</v>
      </c>
      <c r="D220" s="61">
        <f t="shared" si="18"/>
        <v>216</v>
      </c>
      <c r="E220" s="63">
        <v>1486</v>
      </c>
      <c r="F220" s="64" t="str">
        <f>IFERROR(VLOOKUP(Table4[[#This Row],[Player No]],Table10[[No]:[Province]],2,0),"")</f>
        <v xml:space="preserve">MOREMEDI Thuto </v>
      </c>
      <c r="G220" s="65" t="str">
        <f>IFERROR(VLOOKUP(Table4[[#This Row],[Player No]],Table10[[No]:[Province]],3,0),"")</f>
        <v>NWP</v>
      </c>
      <c r="H220" s="66">
        <v>5</v>
      </c>
      <c r="I220" s="96">
        <v>2.5</v>
      </c>
      <c r="J220" s="124">
        <f>(Table4[[#This Row],[Points 2025]]/2)+SUM(Table4[[#This Row],[O1  ADMIN 2026]:[P2         WC    Open 2026]])</f>
        <v>1.25</v>
      </c>
      <c r="K220" s="106">
        <f t="shared" si="16"/>
        <v>0</v>
      </c>
      <c r="L220" s="106">
        <f t="shared" si="17"/>
        <v>0</v>
      </c>
      <c r="M220" s="106" t="s">
        <v>6083</v>
      </c>
      <c r="N220" s="114" t="s">
        <v>6083</v>
      </c>
      <c r="O220" s="114" t="s">
        <v>6083</v>
      </c>
      <c r="P220" s="114"/>
      <c r="Q220" s="63"/>
      <c r="R220" s="63"/>
      <c r="S220" s="114"/>
      <c r="T220" s="114"/>
      <c r="U220" s="63"/>
      <c r="V220" s="114"/>
      <c r="W220" s="63"/>
      <c r="X220" s="845"/>
      <c r="Y220" s="708"/>
      <c r="Z220" s="63"/>
      <c r="AA220" s="63"/>
      <c r="AB220" s="114"/>
      <c r="AC220" s="63"/>
      <c r="AD220" s="114"/>
      <c r="AE220" s="63"/>
      <c r="AF220" s="63"/>
      <c r="AG220" s="63"/>
      <c r="AH220" s="63"/>
      <c r="AI220" s="63"/>
      <c r="AJ220" s="63">
        <v>5</v>
      </c>
      <c r="AK220" s="63"/>
      <c r="AL220" s="63"/>
      <c r="AM220" s="63"/>
      <c r="AN220" s="63"/>
      <c r="AO220" s="63"/>
    </row>
    <row r="221" spans="1:41" s="58" customFormat="1">
      <c r="A221" s="85" t="str">
        <f>IFERROR(VLOOKUP(Table4[[#This Row],[Player No]],Table10[[#All],[No]:[Age Group]],4,0),"")</f>
        <v>U19</v>
      </c>
      <c r="B221" s="87">
        <v>106</v>
      </c>
      <c r="C221" s="88">
        <f t="shared" si="19"/>
        <v>-111</v>
      </c>
      <c r="D221" s="61">
        <f t="shared" si="18"/>
        <v>217</v>
      </c>
      <c r="E221" s="63">
        <v>2785</v>
      </c>
      <c r="F221" s="64" t="str">
        <f>IFERROR(VLOOKUP(Table4[[#This Row],[Player No]],Table10[[No]:[Province]],2,0),"")</f>
        <v>TIETIES Carlo</v>
      </c>
      <c r="G221" s="65" t="str">
        <f>IFERROR(VLOOKUP(Table4[[#This Row],[Player No]],Table10[[No]:[Province]],3,0),"")</f>
        <v>WC</v>
      </c>
      <c r="H221" s="66">
        <v>5</v>
      </c>
      <c r="I221" s="96">
        <v>2.5</v>
      </c>
      <c r="J221" s="124">
        <f>(Table4[[#This Row],[Points 2025]]/2)+SUM(Table4[[#This Row],[O1  ADMIN 2026]:[P2         WC    Open 2026]])</f>
        <v>1.25</v>
      </c>
      <c r="K221" s="106">
        <f t="shared" si="16"/>
        <v>0</v>
      </c>
      <c r="L221" s="106">
        <f t="shared" si="17"/>
        <v>0</v>
      </c>
      <c r="M221" s="106" t="s">
        <v>6083</v>
      </c>
      <c r="N221" s="114" t="s">
        <v>6083</v>
      </c>
      <c r="O221" s="114" t="s">
        <v>6083</v>
      </c>
      <c r="P221" s="114"/>
      <c r="Q221" s="63"/>
      <c r="R221" s="63"/>
      <c r="S221" s="114"/>
      <c r="T221" s="114"/>
      <c r="U221" s="63"/>
      <c r="V221" s="114"/>
      <c r="W221" s="63"/>
      <c r="X221" s="845"/>
      <c r="Y221" s="708"/>
      <c r="Z221" s="63"/>
      <c r="AA221" s="63"/>
      <c r="AB221" s="114"/>
      <c r="AC221" s="63"/>
      <c r="AD221" s="114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</row>
    <row r="222" spans="1:41" s="58" customFormat="1">
      <c r="B222" s="87">
        <v>101</v>
      </c>
      <c r="C222" s="88">
        <f t="shared" si="19"/>
        <v>-117</v>
      </c>
      <c r="D222" s="61">
        <f t="shared" si="18"/>
        <v>218</v>
      </c>
      <c r="E222" s="63">
        <v>3320</v>
      </c>
      <c r="F222" s="64" t="str">
        <f>IFERROR(VLOOKUP(Table4[[#This Row],[Player No]],Table10[[No]:[Province]],2,0),"")</f>
        <v>MATTHYSSEN Huzzayr</v>
      </c>
      <c r="G222" s="65" t="str">
        <f>IFERROR(VLOOKUP(Table4[[#This Row],[Player No]],Table10[[No]:[Province]],3,0),"")</f>
        <v>CT</v>
      </c>
      <c r="H222" s="66">
        <v>5</v>
      </c>
      <c r="I222" s="96">
        <v>2.5</v>
      </c>
      <c r="J222" s="124">
        <f>(Table4[[#This Row],[Points 2025]]/2)+SUM(Table4[[#This Row],[O1  ADMIN 2026]:[P2         WC    Open 2026]])</f>
        <v>1.25</v>
      </c>
      <c r="K222" s="106">
        <f t="shared" si="16"/>
        <v>0</v>
      </c>
      <c r="L222" s="106">
        <f t="shared" si="17"/>
        <v>0</v>
      </c>
      <c r="M222" s="106" t="s">
        <v>6083</v>
      </c>
      <c r="N222" s="114" t="s">
        <v>6083</v>
      </c>
      <c r="O222" s="114" t="s">
        <v>6083</v>
      </c>
      <c r="P222" s="114"/>
      <c r="Q222" s="63"/>
      <c r="R222" s="63"/>
      <c r="S222" s="114"/>
      <c r="T222" s="114"/>
      <c r="U222" s="63"/>
      <c r="V222" s="114"/>
      <c r="W222" s="63"/>
      <c r="X222" s="845"/>
      <c r="Y222" s="708"/>
      <c r="Z222" s="63"/>
      <c r="AA222" s="63"/>
      <c r="AB222" s="114"/>
      <c r="AC222" s="63"/>
      <c r="AD222" s="114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</row>
    <row r="223" spans="1:41" s="58" customFormat="1">
      <c r="B223" s="87"/>
      <c r="C223" s="88">
        <f t="shared" si="19"/>
        <v>-219</v>
      </c>
      <c r="D223" s="61">
        <f t="shared" si="18"/>
        <v>219</v>
      </c>
      <c r="E223" s="63">
        <v>3358</v>
      </c>
      <c r="F223" s="64" t="str">
        <f>IFERROR(VLOOKUP(Table4[[#This Row],[Player No]],Table10[[No]:[Province]],2,0),"")</f>
        <v>VISAGIE Dale</v>
      </c>
      <c r="G223" s="65" t="str">
        <f>IFERROR(VLOOKUP(Table4[[#This Row],[Player No]],Table10[[No]:[Province]],3,0),"")</f>
        <v>WC</v>
      </c>
      <c r="H223" s="66">
        <v>5</v>
      </c>
      <c r="I223" s="96">
        <v>2.5</v>
      </c>
      <c r="J223" s="124">
        <f>(Table4[[#This Row],[Points 2025]]/2)+SUM(Table4[[#This Row],[O1  ADMIN 2026]:[P2         WC    Open 2026]])</f>
        <v>1.25</v>
      </c>
      <c r="K223" s="106">
        <f t="shared" si="16"/>
        <v>0</v>
      </c>
      <c r="L223" s="106">
        <f t="shared" si="17"/>
        <v>0</v>
      </c>
      <c r="M223" s="106" t="s">
        <v>6083</v>
      </c>
      <c r="N223" s="114" t="s">
        <v>6083</v>
      </c>
      <c r="O223" s="114" t="s">
        <v>6083</v>
      </c>
      <c r="P223" s="114"/>
      <c r="Q223" s="63"/>
      <c r="R223" s="63"/>
      <c r="S223" s="114"/>
      <c r="T223" s="114"/>
      <c r="U223" s="63"/>
      <c r="V223" s="114"/>
      <c r="W223" s="63"/>
      <c r="X223" s="845"/>
      <c r="Y223" s="708"/>
      <c r="Z223" s="63"/>
      <c r="AA223" s="63"/>
      <c r="AB223" s="114"/>
      <c r="AC223" s="63"/>
      <c r="AD223" s="114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</row>
    <row r="224" spans="1:41" s="58" customFormat="1">
      <c r="B224" s="87"/>
      <c r="C224" s="88">
        <f t="shared" si="19"/>
        <v>-220</v>
      </c>
      <c r="D224" s="61">
        <f t="shared" si="18"/>
        <v>220</v>
      </c>
      <c r="E224" s="63">
        <v>3405</v>
      </c>
      <c r="F224" s="64" t="str">
        <f>IFERROR(VLOOKUP(Table4[[#This Row],[Player No]],Table10[[No]:[Province]],2,0),"")</f>
        <v>NAIKER Uveshan</v>
      </c>
      <c r="G224" s="65" t="str">
        <f>IFERROR(VLOOKUP(Table4[[#This Row],[Player No]],Table10[[No]:[Province]],3,0),"")</f>
        <v>ETTA</v>
      </c>
      <c r="H224" s="66">
        <v>5</v>
      </c>
      <c r="I224" s="96">
        <v>2.5</v>
      </c>
      <c r="J224" s="124">
        <f>(Table4[[#This Row],[Points 2025]]/2)+SUM(Table4[[#This Row],[O1  ADMIN 2026]:[P2         WC    Open 2026]])</f>
        <v>1.25</v>
      </c>
      <c r="K224" s="106">
        <f t="shared" si="16"/>
        <v>0</v>
      </c>
      <c r="L224" s="106">
        <f t="shared" si="17"/>
        <v>0</v>
      </c>
      <c r="M224" s="106" t="s">
        <v>6083</v>
      </c>
      <c r="N224" s="114" t="s">
        <v>6083</v>
      </c>
      <c r="O224" s="114" t="s">
        <v>6083</v>
      </c>
      <c r="P224" s="114"/>
      <c r="Q224" s="63"/>
      <c r="R224" s="63"/>
      <c r="S224" s="114"/>
      <c r="T224" s="114"/>
      <c r="U224" s="63"/>
      <c r="V224" s="114"/>
      <c r="W224" s="63"/>
      <c r="X224" s="845"/>
      <c r="Y224" s="708"/>
      <c r="Z224" s="63"/>
      <c r="AA224" s="63"/>
      <c r="AB224" s="114"/>
      <c r="AC224" s="63"/>
      <c r="AD224" s="114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</row>
    <row r="225" spans="2:41" s="58" customFormat="1">
      <c r="B225" s="87">
        <v>108</v>
      </c>
      <c r="C225" s="88">
        <f t="shared" si="19"/>
        <v>-113</v>
      </c>
      <c r="D225" s="61">
        <f t="shared" si="18"/>
        <v>221</v>
      </c>
      <c r="E225" s="63">
        <v>3506</v>
      </c>
      <c r="F225" s="64" t="str">
        <f>IFERROR(VLOOKUP(Table4[[#This Row],[Player No]],Table10[[No]:[Province]],2,0),"")</f>
        <v>GOVENDER Bradwyn</v>
      </c>
      <c r="G225" s="65" t="str">
        <f>IFERROR(VLOOKUP(Table4[[#This Row],[Player No]],Table10[[No]:[Province]],3,0),"")</f>
        <v>UMG</v>
      </c>
      <c r="H225" s="66">
        <v>5</v>
      </c>
      <c r="I225" s="96">
        <v>2.5</v>
      </c>
      <c r="J225" s="124">
        <f>(Table4[[#This Row],[Points 2025]]/2)+SUM(Table4[[#This Row],[O1  ADMIN 2026]:[P2         WC    Open 2026]])</f>
        <v>1.25</v>
      </c>
      <c r="K225" s="106">
        <f t="shared" si="16"/>
        <v>0</v>
      </c>
      <c r="L225" s="106">
        <f t="shared" si="17"/>
        <v>0</v>
      </c>
      <c r="M225" s="106" t="s">
        <v>6083</v>
      </c>
      <c r="N225" s="114" t="s">
        <v>6083</v>
      </c>
      <c r="O225" s="114" t="s">
        <v>6083</v>
      </c>
      <c r="P225" s="114"/>
      <c r="Q225" s="63"/>
      <c r="R225" s="63"/>
      <c r="S225" s="114"/>
      <c r="T225" s="114"/>
      <c r="U225" s="63"/>
      <c r="V225" s="114"/>
      <c r="W225" s="63"/>
      <c r="X225" s="845"/>
      <c r="Y225" s="708"/>
      <c r="Z225" s="63"/>
      <c r="AA225" s="63"/>
      <c r="AB225" s="114"/>
      <c r="AC225" s="63"/>
      <c r="AD225" s="114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</row>
    <row r="226" spans="2:41" s="58" customFormat="1">
      <c r="B226" s="87"/>
      <c r="C226" s="88">
        <f t="shared" si="19"/>
        <v>-222</v>
      </c>
      <c r="D226" s="61">
        <f t="shared" si="18"/>
        <v>222</v>
      </c>
      <c r="E226" s="63">
        <v>3667</v>
      </c>
      <c r="F226" s="64" t="str">
        <f>IFERROR(VLOOKUP(Table4[[#This Row],[Player No]],Table10[[No]:[Province]],2,0),"")</f>
        <v>Moganisi Ofentse</v>
      </c>
      <c r="G226" s="65" t="str">
        <f>IFERROR(VLOOKUP(Table4[[#This Row],[Player No]],Table10[[No]:[Province]],3,0),"")</f>
        <v>NWP</v>
      </c>
      <c r="H226" s="66">
        <v>5</v>
      </c>
      <c r="I226" s="96">
        <v>2.5</v>
      </c>
      <c r="J226" s="124">
        <f>(Table4[[#This Row],[Points 2025]]/2)+SUM(Table4[[#This Row],[O1  ADMIN 2026]:[P2         WC    Open 2026]])</f>
        <v>1.25</v>
      </c>
      <c r="K226" s="106">
        <f t="shared" si="16"/>
        <v>0</v>
      </c>
      <c r="L226" s="106">
        <f t="shared" si="17"/>
        <v>0</v>
      </c>
      <c r="M226" s="106" t="s">
        <v>6083</v>
      </c>
      <c r="N226" s="114" t="s">
        <v>6083</v>
      </c>
      <c r="O226" s="114" t="s">
        <v>6083</v>
      </c>
      <c r="P226" s="114"/>
      <c r="Q226" s="63"/>
      <c r="R226" s="63"/>
      <c r="S226" s="114"/>
      <c r="T226" s="114"/>
      <c r="U226" s="63"/>
      <c r="V226" s="114"/>
      <c r="W226" s="63"/>
      <c r="X226" s="845"/>
      <c r="Y226" s="708"/>
      <c r="Z226" s="63"/>
      <c r="AA226" s="63"/>
      <c r="AB226" s="114"/>
      <c r="AC226" s="63"/>
      <c r="AD226" s="114"/>
      <c r="AE226" s="63"/>
      <c r="AF226" s="63"/>
      <c r="AG226" s="63"/>
      <c r="AH226" s="63"/>
      <c r="AI226" s="63"/>
      <c r="AJ226" s="63">
        <v>5</v>
      </c>
      <c r="AK226" s="63"/>
      <c r="AL226" s="63"/>
      <c r="AM226" s="63"/>
      <c r="AN226" s="63"/>
      <c r="AO226" s="63"/>
    </row>
    <row r="227" spans="2:41" s="58" customFormat="1">
      <c r="B227" s="87"/>
      <c r="C227" s="88">
        <f t="shared" si="19"/>
        <v>-223</v>
      </c>
      <c r="D227" s="61">
        <f t="shared" si="18"/>
        <v>223</v>
      </c>
      <c r="E227" s="63">
        <v>3835</v>
      </c>
      <c r="F227" s="64" t="str">
        <f>IFERROR(VLOOKUP(Table4[[#This Row],[Player No]],Table10[[No]:[Province]],2,0),"")</f>
        <v>GETACHEW Ebenezer</v>
      </c>
      <c r="G227" s="65" t="str">
        <f>IFERROR(VLOOKUP(Table4[[#This Row],[Player No]],Table10[[No]:[Province]],3,0),"")</f>
        <v>JTTA</v>
      </c>
      <c r="H227" s="66">
        <v>5</v>
      </c>
      <c r="I227" s="96">
        <v>2.5</v>
      </c>
      <c r="J227" s="124">
        <f>(Table4[[#This Row],[Points 2025]]/2)+SUM(Table4[[#This Row],[O1  ADMIN 2026]:[P2         WC    Open 2026]])</f>
        <v>1.25</v>
      </c>
      <c r="K227" s="106">
        <f t="shared" si="16"/>
        <v>0</v>
      </c>
      <c r="L227" s="106">
        <f t="shared" si="17"/>
        <v>0</v>
      </c>
      <c r="M227" s="106" t="s">
        <v>6083</v>
      </c>
      <c r="N227" s="114" t="s">
        <v>6083</v>
      </c>
      <c r="O227" s="114" t="s">
        <v>6083</v>
      </c>
      <c r="P227" s="114"/>
      <c r="Q227" s="63"/>
      <c r="R227" s="63"/>
      <c r="S227" s="114"/>
      <c r="T227" s="114"/>
      <c r="U227" s="63"/>
      <c r="V227" s="114"/>
      <c r="W227" s="63"/>
      <c r="X227" s="845"/>
      <c r="Y227" s="708"/>
      <c r="Z227" s="63"/>
      <c r="AA227" s="63"/>
      <c r="AB227" s="114"/>
      <c r="AC227" s="63"/>
      <c r="AD227" s="114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>
        <v>5</v>
      </c>
      <c r="AO227" s="63"/>
    </row>
    <row r="228" spans="2:41" s="58" customFormat="1">
      <c r="B228" s="87"/>
      <c r="C228" s="88">
        <f t="shared" si="19"/>
        <v>-224</v>
      </c>
      <c r="D228" s="61">
        <f t="shared" si="18"/>
        <v>224</v>
      </c>
      <c r="E228" s="63">
        <v>3890</v>
      </c>
      <c r="F228" s="64" t="str">
        <f>IFERROR(VLOOKUP(Table4[[#This Row],[Player No]],Table10[[No]:[Province]],2,0),"")</f>
        <v>LESIE Goitsemodimo</v>
      </c>
      <c r="G228" s="65" t="str">
        <f>IFERROR(VLOOKUP(Table4[[#This Row],[Player No]],Table10[[No]:[Province]],3,0),"")</f>
        <v>NWP</v>
      </c>
      <c r="H228" s="66">
        <v>5</v>
      </c>
      <c r="I228" s="96">
        <v>2.5</v>
      </c>
      <c r="J228" s="124">
        <f>(Table4[[#This Row],[Points 2025]]/2)+SUM(Table4[[#This Row],[O1  ADMIN 2026]:[P2         WC    Open 2026]])</f>
        <v>1.25</v>
      </c>
      <c r="K228" s="106">
        <f t="shared" si="16"/>
        <v>0</v>
      </c>
      <c r="L228" s="106">
        <f t="shared" si="17"/>
        <v>0</v>
      </c>
      <c r="M228" s="106" t="s">
        <v>6083</v>
      </c>
      <c r="N228" s="114" t="s">
        <v>6083</v>
      </c>
      <c r="O228" s="114" t="s">
        <v>6083</v>
      </c>
      <c r="P228" s="114"/>
      <c r="Q228" s="63"/>
      <c r="R228" s="63"/>
      <c r="S228" s="114"/>
      <c r="T228" s="114"/>
      <c r="U228" s="63"/>
      <c r="V228" s="114"/>
      <c r="W228" s="63"/>
      <c r="X228" s="845"/>
      <c r="Y228" s="708"/>
      <c r="Z228" s="63"/>
      <c r="AA228" s="63"/>
      <c r="AB228" s="114"/>
      <c r="AC228" s="63"/>
      <c r="AD228" s="114"/>
      <c r="AE228" s="63"/>
      <c r="AF228" s="63"/>
      <c r="AG228" s="63"/>
      <c r="AH228" s="63"/>
      <c r="AI228" s="63"/>
      <c r="AJ228" s="63">
        <v>5</v>
      </c>
      <c r="AK228" s="63"/>
      <c r="AL228" s="63"/>
      <c r="AM228" s="63"/>
      <c r="AN228" s="63"/>
      <c r="AO228" s="63"/>
    </row>
    <row r="229" spans="2:41" s="58" customFormat="1">
      <c r="B229" s="87"/>
      <c r="C229" s="88">
        <f t="shared" si="19"/>
        <v>-225</v>
      </c>
      <c r="D229" s="61">
        <f t="shared" si="18"/>
        <v>225</v>
      </c>
      <c r="E229" s="63">
        <v>3975</v>
      </c>
      <c r="F229" s="64" t="str">
        <f>IFERROR(VLOOKUP(Table4[[#This Row],[Player No]],Table10[[No]:[Province]],2,0),"")</f>
        <v>NXUMALO Ntando</v>
      </c>
      <c r="G229" s="65" t="str">
        <f>IFERROR(VLOOKUP(Table4[[#This Row],[Player No]],Table10[[No]:[Province]],3,0),"")</f>
        <v>EKU</v>
      </c>
      <c r="H229" s="66">
        <v>5</v>
      </c>
      <c r="I229" s="96">
        <v>2.5</v>
      </c>
      <c r="J229" s="124">
        <f>(Table4[[#This Row],[Points 2025]]/2)+SUM(Table4[[#This Row],[O1  ADMIN 2026]:[P2         WC    Open 2026]])</f>
        <v>1.25</v>
      </c>
      <c r="K229" s="106">
        <f t="shared" si="16"/>
        <v>0</v>
      </c>
      <c r="L229" s="106">
        <f t="shared" si="17"/>
        <v>0</v>
      </c>
      <c r="M229" s="106" t="s">
        <v>6083</v>
      </c>
      <c r="N229" s="114" t="s">
        <v>6083</v>
      </c>
      <c r="O229" s="114" t="s">
        <v>6083</v>
      </c>
      <c r="P229" s="114"/>
      <c r="Q229" s="63"/>
      <c r="R229" s="63"/>
      <c r="S229" s="114"/>
      <c r="T229" s="114"/>
      <c r="U229" s="63"/>
      <c r="V229" s="114"/>
      <c r="W229" s="63"/>
      <c r="X229" s="845"/>
      <c r="Y229" s="708"/>
      <c r="Z229" s="63"/>
      <c r="AA229" s="63"/>
      <c r="AB229" s="114"/>
      <c r="AC229" s="63"/>
      <c r="AD229" s="114"/>
      <c r="AE229" s="63"/>
      <c r="AF229" s="63"/>
      <c r="AG229" s="63"/>
      <c r="AH229" s="63"/>
      <c r="AI229" s="63"/>
      <c r="AJ229" s="63">
        <v>5</v>
      </c>
      <c r="AK229" s="63"/>
      <c r="AL229" s="63"/>
      <c r="AM229" s="63"/>
      <c r="AN229" s="63"/>
      <c r="AO229" s="63"/>
    </row>
    <row r="230" spans="2:41" s="58" customFormat="1">
      <c r="B230" s="87"/>
      <c r="C230" s="88">
        <f t="shared" si="19"/>
        <v>-226</v>
      </c>
      <c r="D230" s="61">
        <f t="shared" si="18"/>
        <v>226</v>
      </c>
      <c r="E230" s="63">
        <v>3976</v>
      </c>
      <c r="F230" s="64" t="str">
        <f>IFERROR(VLOOKUP(Table4[[#This Row],[Player No]],Table10[[No]:[Province]],2,0),"")</f>
        <v>SESOANE Siyabulela</v>
      </c>
      <c r="G230" s="65" t="str">
        <f>IFERROR(VLOOKUP(Table4[[#This Row],[Player No]],Table10[[No]:[Province]],3,0),"")</f>
        <v>EKU</v>
      </c>
      <c r="H230" s="66">
        <v>5</v>
      </c>
      <c r="I230" s="96">
        <v>2.5</v>
      </c>
      <c r="J230" s="124">
        <f>(Table4[[#This Row],[Points 2025]]/2)+SUM(Table4[[#This Row],[O1  ADMIN 2026]:[P2         WC    Open 2026]])</f>
        <v>1.25</v>
      </c>
      <c r="K230" s="106">
        <f t="shared" si="16"/>
        <v>0</v>
      </c>
      <c r="L230" s="106">
        <f t="shared" si="17"/>
        <v>0</v>
      </c>
      <c r="M230" s="106" t="s">
        <v>6083</v>
      </c>
      <c r="N230" s="114" t="s">
        <v>6083</v>
      </c>
      <c r="O230" s="114" t="s">
        <v>6083</v>
      </c>
      <c r="P230" s="114"/>
      <c r="Q230" s="63"/>
      <c r="R230" s="63"/>
      <c r="S230" s="114"/>
      <c r="T230" s="114"/>
      <c r="U230" s="63"/>
      <c r="V230" s="114"/>
      <c r="W230" s="63"/>
      <c r="X230" s="845"/>
      <c r="Y230" s="708"/>
      <c r="Z230" s="63"/>
      <c r="AA230" s="63"/>
      <c r="AB230" s="114"/>
      <c r="AC230" s="63"/>
      <c r="AD230" s="114"/>
      <c r="AE230" s="63"/>
      <c r="AF230" s="63"/>
      <c r="AG230" s="63"/>
      <c r="AH230" s="63"/>
      <c r="AI230" s="63"/>
      <c r="AJ230" s="63">
        <v>5</v>
      </c>
      <c r="AK230" s="63"/>
      <c r="AL230" s="63"/>
      <c r="AM230" s="63"/>
      <c r="AN230" s="63"/>
      <c r="AO230" s="63"/>
    </row>
    <row r="231" spans="2:41" s="58" customFormat="1">
      <c r="B231" s="87"/>
      <c r="C231" s="88">
        <f t="shared" si="19"/>
        <v>-227</v>
      </c>
      <c r="D231" s="61">
        <f t="shared" si="18"/>
        <v>227</v>
      </c>
      <c r="E231" s="63">
        <v>3977</v>
      </c>
      <c r="F231" s="64" t="str">
        <f>IFERROR(VLOOKUP(Table4[[#This Row],[Player No]],Table10[[No]:[Province]],2,0),"")</f>
        <v>NKOSI Tshepo</v>
      </c>
      <c r="G231" s="65" t="str">
        <f>IFERROR(VLOOKUP(Table4[[#This Row],[Player No]],Table10[[No]:[Province]],3,0),"")</f>
        <v>EKU</v>
      </c>
      <c r="H231" s="66">
        <v>5</v>
      </c>
      <c r="I231" s="96">
        <v>2.5</v>
      </c>
      <c r="J231" s="124">
        <f>(Table4[[#This Row],[Points 2025]]/2)+SUM(Table4[[#This Row],[O1  ADMIN 2026]:[P2         WC    Open 2026]])</f>
        <v>1.25</v>
      </c>
      <c r="K231" s="106">
        <f t="shared" si="16"/>
        <v>0</v>
      </c>
      <c r="L231" s="106">
        <f t="shared" si="17"/>
        <v>0</v>
      </c>
      <c r="M231" s="106" t="s">
        <v>6083</v>
      </c>
      <c r="N231" s="114" t="s">
        <v>6083</v>
      </c>
      <c r="O231" s="114" t="s">
        <v>6083</v>
      </c>
      <c r="P231" s="114"/>
      <c r="Q231" s="63"/>
      <c r="R231" s="63"/>
      <c r="S231" s="114"/>
      <c r="T231" s="114"/>
      <c r="U231" s="63"/>
      <c r="V231" s="114"/>
      <c r="W231" s="63"/>
      <c r="X231" s="845"/>
      <c r="Y231" s="708"/>
      <c r="Z231" s="63"/>
      <c r="AA231" s="63"/>
      <c r="AB231" s="114"/>
      <c r="AC231" s="63"/>
      <c r="AD231" s="114"/>
      <c r="AE231" s="63"/>
      <c r="AF231" s="63"/>
      <c r="AG231" s="63"/>
      <c r="AH231" s="63"/>
      <c r="AI231" s="63"/>
      <c r="AJ231" s="63">
        <v>5</v>
      </c>
      <c r="AK231" s="63"/>
      <c r="AL231" s="63"/>
      <c r="AM231" s="63"/>
      <c r="AN231" s="63"/>
      <c r="AO231" s="63"/>
    </row>
    <row r="232" spans="2:41" s="58" customFormat="1">
      <c r="B232" s="87"/>
      <c r="C232" s="88">
        <f t="shared" si="19"/>
        <v>-228</v>
      </c>
      <c r="D232" s="61">
        <f t="shared" si="18"/>
        <v>228</v>
      </c>
      <c r="E232" s="63">
        <v>4098</v>
      </c>
      <c r="F232" s="64" t="str">
        <f>IFERROR(VLOOKUP(Table4[[#This Row],[Player No]],Table10[[No]:[Province]],2,0),"")</f>
        <v>Tsepang MOKWANE</v>
      </c>
      <c r="G232" s="65" t="str">
        <f>IFERROR(VLOOKUP(Table4[[#This Row],[Player No]],Table10[[No]:[Province]],3,0),"")</f>
        <v>UMZ</v>
      </c>
      <c r="H232" s="66">
        <v>5</v>
      </c>
      <c r="I232" s="96">
        <v>2.5</v>
      </c>
      <c r="J232" s="124">
        <f>(Table4[[#This Row],[Points 2025]]/2)+SUM(Table4[[#This Row],[O1  ADMIN 2026]:[P2         WC    Open 2026]])</f>
        <v>1.25</v>
      </c>
      <c r="K232" s="106">
        <f t="shared" si="16"/>
        <v>0</v>
      </c>
      <c r="L232" s="106">
        <f t="shared" si="17"/>
        <v>0</v>
      </c>
      <c r="M232" s="106" t="s">
        <v>6083</v>
      </c>
      <c r="N232" s="114" t="s">
        <v>6083</v>
      </c>
      <c r="O232" s="114" t="s">
        <v>6083</v>
      </c>
      <c r="P232" s="114"/>
      <c r="Q232" s="63"/>
      <c r="R232" s="63"/>
      <c r="S232" s="114"/>
      <c r="T232" s="114"/>
      <c r="U232" s="63"/>
      <c r="V232" s="114"/>
      <c r="W232" s="63"/>
      <c r="X232" s="845"/>
      <c r="Y232" s="708"/>
      <c r="Z232" s="63"/>
      <c r="AA232" s="63"/>
      <c r="AB232" s="114"/>
      <c r="AC232" s="63"/>
      <c r="AD232" s="114"/>
      <c r="AE232" s="63"/>
      <c r="AF232" s="63"/>
      <c r="AG232" s="63"/>
      <c r="AH232" s="63"/>
      <c r="AI232" s="63"/>
      <c r="AJ232" s="63">
        <v>5</v>
      </c>
      <c r="AK232" s="63"/>
      <c r="AL232" s="63"/>
      <c r="AM232" s="63"/>
      <c r="AN232" s="63"/>
      <c r="AO232" s="63"/>
    </row>
    <row r="233" spans="2:41" s="58" customFormat="1">
      <c r="B233" s="87"/>
      <c r="C233" s="88">
        <f t="shared" si="19"/>
        <v>-229</v>
      </c>
      <c r="D233" s="61">
        <f t="shared" si="18"/>
        <v>229</v>
      </c>
      <c r="E233" s="63">
        <v>4099</v>
      </c>
      <c r="F233" s="64" t="str">
        <f>IFERROR(VLOOKUP(Table4[[#This Row],[Player No]],Table10[[No]:[Province]],2,0),"")</f>
        <v>Kamohelo MOLAPISI</v>
      </c>
      <c r="G233" s="65" t="str">
        <f>IFERROR(VLOOKUP(Table4[[#This Row],[Player No]],Table10[[No]:[Province]],3,0),"")</f>
        <v>EKU</v>
      </c>
      <c r="H233" s="66">
        <v>5</v>
      </c>
      <c r="I233" s="96">
        <v>2.5</v>
      </c>
      <c r="J233" s="124">
        <f>(Table4[[#This Row],[Points 2025]]/2)+SUM(Table4[[#This Row],[O1  ADMIN 2026]:[P2         WC    Open 2026]])</f>
        <v>1.25</v>
      </c>
      <c r="K233" s="106">
        <f t="shared" si="16"/>
        <v>0</v>
      </c>
      <c r="L233" s="106">
        <f t="shared" si="17"/>
        <v>0</v>
      </c>
      <c r="M233" s="106" t="s">
        <v>6083</v>
      </c>
      <c r="N233" s="114" t="s">
        <v>6083</v>
      </c>
      <c r="O233" s="114" t="s">
        <v>6083</v>
      </c>
      <c r="P233" s="114"/>
      <c r="Q233" s="63"/>
      <c r="R233" s="63"/>
      <c r="S233" s="114"/>
      <c r="T233" s="114"/>
      <c r="U233" s="63"/>
      <c r="V233" s="114"/>
      <c r="W233" s="63"/>
      <c r="X233" s="845"/>
      <c r="Y233" s="708"/>
      <c r="Z233" s="63"/>
      <c r="AA233" s="63"/>
      <c r="AB233" s="114"/>
      <c r="AC233" s="63"/>
      <c r="AD233" s="114"/>
      <c r="AE233" s="63"/>
      <c r="AF233" s="63"/>
      <c r="AG233" s="63"/>
      <c r="AH233" s="63"/>
      <c r="AI233" s="63"/>
      <c r="AJ233" s="63">
        <v>5</v>
      </c>
      <c r="AK233" s="63"/>
      <c r="AL233" s="63"/>
      <c r="AM233" s="63"/>
      <c r="AN233" s="63"/>
      <c r="AO233" s="63"/>
    </row>
    <row r="234" spans="2:41" s="58" customFormat="1">
      <c r="B234" s="87"/>
      <c r="C234" s="88">
        <f t="shared" si="19"/>
        <v>-230</v>
      </c>
      <c r="D234" s="61">
        <f t="shared" si="18"/>
        <v>230</v>
      </c>
      <c r="E234" s="63">
        <v>4101</v>
      </c>
      <c r="F234" s="64" t="str">
        <f>IFERROR(VLOOKUP(Table4[[#This Row],[Player No]],Table10[[No]:[Province]],2,0),"")</f>
        <v>Obaid KARBELKER</v>
      </c>
      <c r="G234" s="65" t="str">
        <f>IFERROR(VLOOKUP(Table4[[#This Row],[Player No]],Table10[[No]:[Province]],3,0),"")</f>
        <v>UMZ</v>
      </c>
      <c r="H234" s="66">
        <v>5</v>
      </c>
      <c r="I234" s="96">
        <v>2.5</v>
      </c>
      <c r="J234" s="124">
        <f>(Table4[[#This Row],[Points 2025]]/2)+SUM(Table4[[#This Row],[O1  ADMIN 2026]:[P2         WC    Open 2026]])</f>
        <v>1.25</v>
      </c>
      <c r="K234" s="106">
        <f t="shared" si="16"/>
        <v>0</v>
      </c>
      <c r="L234" s="106">
        <f t="shared" si="17"/>
        <v>0</v>
      </c>
      <c r="M234" s="106" t="s">
        <v>6083</v>
      </c>
      <c r="N234" s="114" t="s">
        <v>6083</v>
      </c>
      <c r="O234" s="114" t="s">
        <v>6083</v>
      </c>
      <c r="P234" s="114"/>
      <c r="Q234" s="63"/>
      <c r="R234" s="63"/>
      <c r="S234" s="114"/>
      <c r="T234" s="114"/>
      <c r="U234" s="63"/>
      <c r="V234" s="114"/>
      <c r="W234" s="63"/>
      <c r="X234" s="845"/>
      <c r="Y234" s="708"/>
      <c r="Z234" s="63"/>
      <c r="AA234" s="63"/>
      <c r="AB234" s="114"/>
      <c r="AC234" s="63"/>
      <c r="AD234" s="114"/>
      <c r="AE234" s="63"/>
      <c r="AF234" s="63"/>
      <c r="AG234" s="63"/>
      <c r="AH234" s="63"/>
      <c r="AI234" s="63"/>
      <c r="AJ234" s="63">
        <v>5</v>
      </c>
      <c r="AK234" s="63"/>
      <c r="AL234" s="63"/>
      <c r="AM234" s="63"/>
      <c r="AN234" s="63"/>
      <c r="AO234" s="63"/>
    </row>
    <row r="235" spans="2:41" s="58" customFormat="1">
      <c r="B235" s="87"/>
      <c r="C235" s="88">
        <f t="shared" si="19"/>
        <v>-231</v>
      </c>
      <c r="D235" s="61">
        <f t="shared" si="18"/>
        <v>231</v>
      </c>
      <c r="E235" s="63">
        <v>4129</v>
      </c>
      <c r="F235" s="64" t="str">
        <f>IFERROR(VLOOKUP(Table4[[#This Row],[Player No]],Table10[[No]:[Province]],2,0),"")</f>
        <v xml:space="preserve">SINGISELO Loyiso </v>
      </c>
      <c r="G235" s="65" t="str">
        <f>IFERROR(VLOOKUP(Table4[[#This Row],[Player No]],Table10[[No]:[Province]],3,0),"")</f>
        <v>CT</v>
      </c>
      <c r="H235" s="66">
        <v>5</v>
      </c>
      <c r="I235" s="96">
        <v>2.5</v>
      </c>
      <c r="J235" s="124">
        <f>(Table4[[#This Row],[Points 2025]]/2)+SUM(Table4[[#This Row],[O1  ADMIN 2026]:[P2         WC    Open 2026]])</f>
        <v>1.25</v>
      </c>
      <c r="K235" s="106">
        <f t="shared" si="16"/>
        <v>0</v>
      </c>
      <c r="L235" s="106">
        <f t="shared" si="17"/>
        <v>0</v>
      </c>
      <c r="M235" s="106" t="s">
        <v>6083</v>
      </c>
      <c r="N235" s="114" t="s">
        <v>6083</v>
      </c>
      <c r="O235" s="114" t="s">
        <v>6083</v>
      </c>
      <c r="P235" s="114"/>
      <c r="Q235" s="63"/>
      <c r="R235" s="63"/>
      <c r="S235" s="114"/>
      <c r="T235" s="114"/>
      <c r="U235" s="63"/>
      <c r="V235" s="114"/>
      <c r="W235" s="63"/>
      <c r="X235" s="845"/>
      <c r="Y235" s="708"/>
      <c r="Z235" s="63"/>
      <c r="AA235" s="63"/>
      <c r="AB235" s="114"/>
      <c r="AC235" s="63"/>
      <c r="AD235" s="114"/>
      <c r="AE235" s="63"/>
      <c r="AF235" s="63"/>
      <c r="AG235" s="63"/>
      <c r="AH235" s="63">
        <v>5</v>
      </c>
      <c r="AI235" s="63"/>
      <c r="AJ235" s="63"/>
      <c r="AK235" s="63"/>
      <c r="AL235" s="63"/>
      <c r="AM235" s="63"/>
      <c r="AN235" s="63"/>
      <c r="AO235" s="63"/>
    </row>
    <row r="236" spans="2:41" s="58" customFormat="1">
      <c r="B236" s="87"/>
      <c r="C236" s="88">
        <f t="shared" si="19"/>
        <v>-232</v>
      </c>
      <c r="D236" s="61">
        <f t="shared" si="18"/>
        <v>232</v>
      </c>
      <c r="E236" s="63">
        <v>4131</v>
      </c>
      <c r="F236" s="64" t="str">
        <f>IFERROR(VLOOKUP(Table4[[#This Row],[Player No]],Table10[[No]:[Province]],2,0),"")</f>
        <v xml:space="preserve">JACOBS Rushin </v>
      </c>
      <c r="G236" s="65" t="str">
        <f>IFERROR(VLOOKUP(Table4[[#This Row],[Player No]],Table10[[No]:[Province]],3,0),"")</f>
        <v>CT</v>
      </c>
      <c r="H236" s="66">
        <v>5</v>
      </c>
      <c r="I236" s="96">
        <v>2.5</v>
      </c>
      <c r="J236" s="124">
        <f>(Table4[[#This Row],[Points 2025]]/2)+SUM(Table4[[#This Row],[O1  ADMIN 2026]:[P2         WC    Open 2026]])</f>
        <v>1.25</v>
      </c>
      <c r="K236" s="106">
        <f t="shared" si="16"/>
        <v>0</v>
      </c>
      <c r="L236" s="106">
        <f t="shared" si="17"/>
        <v>0</v>
      </c>
      <c r="M236" s="106" t="s">
        <v>6083</v>
      </c>
      <c r="N236" s="114" t="s">
        <v>6083</v>
      </c>
      <c r="O236" s="114" t="s">
        <v>6083</v>
      </c>
      <c r="P236" s="114"/>
      <c r="Q236" s="63"/>
      <c r="R236" s="63"/>
      <c r="S236" s="114"/>
      <c r="T236" s="114"/>
      <c r="U236" s="63"/>
      <c r="V236" s="114"/>
      <c r="W236" s="63"/>
      <c r="X236" s="845"/>
      <c r="Y236" s="708"/>
      <c r="Z236" s="63"/>
      <c r="AA236" s="63"/>
      <c r="AB236" s="114"/>
      <c r="AC236" s="63"/>
      <c r="AD236" s="114"/>
      <c r="AE236" s="63"/>
      <c r="AF236" s="63"/>
      <c r="AG236" s="63"/>
      <c r="AH236" s="63">
        <v>5</v>
      </c>
      <c r="AI236" s="63"/>
      <c r="AJ236" s="63"/>
      <c r="AK236" s="63"/>
      <c r="AL236" s="63"/>
      <c r="AM236" s="63"/>
      <c r="AN236" s="63"/>
      <c r="AO236" s="63"/>
    </row>
    <row r="237" spans="2:41" s="58" customFormat="1">
      <c r="B237" s="87"/>
      <c r="C237" s="88">
        <f t="shared" si="19"/>
        <v>-233</v>
      </c>
      <c r="D237" s="61">
        <f t="shared" si="18"/>
        <v>233</v>
      </c>
      <c r="E237" s="63">
        <v>4132</v>
      </c>
      <c r="F237" s="64" t="str">
        <f>IFERROR(VLOOKUP(Table4[[#This Row],[Player No]],Table10[[No]:[Province]],2,0),"")</f>
        <v xml:space="preserve">ISAACS Daleel </v>
      </c>
      <c r="G237" s="65" t="str">
        <f>IFERROR(VLOOKUP(Table4[[#This Row],[Player No]],Table10[[No]:[Province]],3,0),"")</f>
        <v>CT</v>
      </c>
      <c r="H237" s="66">
        <v>5</v>
      </c>
      <c r="I237" s="96">
        <v>2.5</v>
      </c>
      <c r="J237" s="124">
        <f>(Table4[[#This Row],[Points 2025]]/2)+SUM(Table4[[#This Row],[O1  ADMIN 2026]:[P2         WC    Open 2026]])</f>
        <v>1.25</v>
      </c>
      <c r="K237" s="106">
        <f t="shared" si="16"/>
        <v>0</v>
      </c>
      <c r="L237" s="106">
        <f t="shared" si="17"/>
        <v>0</v>
      </c>
      <c r="M237" s="106" t="s">
        <v>6083</v>
      </c>
      <c r="N237" s="114" t="s">
        <v>6083</v>
      </c>
      <c r="O237" s="114" t="s">
        <v>6083</v>
      </c>
      <c r="P237" s="114"/>
      <c r="Q237" s="63"/>
      <c r="R237" s="63"/>
      <c r="S237" s="114"/>
      <c r="T237" s="114"/>
      <c r="U237" s="63"/>
      <c r="V237" s="114"/>
      <c r="W237" s="63"/>
      <c r="X237" s="845"/>
      <c r="Y237" s="708"/>
      <c r="Z237" s="63"/>
      <c r="AA237" s="63"/>
      <c r="AB237" s="114"/>
      <c r="AC237" s="63"/>
      <c r="AD237" s="114"/>
      <c r="AE237" s="63"/>
      <c r="AF237" s="63"/>
      <c r="AG237" s="63"/>
      <c r="AH237" s="63">
        <v>5</v>
      </c>
      <c r="AI237" s="63"/>
      <c r="AJ237" s="63"/>
      <c r="AK237" s="63"/>
      <c r="AL237" s="63"/>
      <c r="AM237" s="63"/>
      <c r="AN237" s="63"/>
      <c r="AO237" s="63"/>
    </row>
    <row r="238" spans="2:41" s="58" customFormat="1">
      <c r="B238" s="87">
        <v>110</v>
      </c>
      <c r="C238" s="88">
        <f t="shared" si="19"/>
        <v>-124</v>
      </c>
      <c r="D238" s="61">
        <f t="shared" si="18"/>
        <v>234</v>
      </c>
      <c r="E238" s="63">
        <v>4509</v>
      </c>
      <c r="F238" s="64" t="str">
        <f>IFERROR(VLOOKUP(Table4[[#This Row],[Player No]],Table10[[No]:[Province]],2,0),"")</f>
        <v xml:space="preserve">JONES Gustav </v>
      </c>
      <c r="G238" s="65" t="str">
        <f>IFERROR(VLOOKUP(Table4[[#This Row],[Player No]],Table10[[No]:[Province]],3,0),"")</f>
        <v>JTTA</v>
      </c>
      <c r="H238" s="66">
        <v>5</v>
      </c>
      <c r="I238" s="96">
        <v>2.5</v>
      </c>
      <c r="J238" s="124">
        <f>(Table4[[#This Row],[Points 2025]]/2)+SUM(Table4[[#This Row],[O1  ADMIN 2026]:[P2         WC    Open 2026]])</f>
        <v>1.25</v>
      </c>
      <c r="K238" s="106">
        <f t="shared" si="16"/>
        <v>0</v>
      </c>
      <c r="L238" s="106">
        <f t="shared" si="17"/>
        <v>0</v>
      </c>
      <c r="M238" s="106" t="s">
        <v>6083</v>
      </c>
      <c r="N238" s="114" t="s">
        <v>6083</v>
      </c>
      <c r="O238" s="114" t="s">
        <v>6083</v>
      </c>
      <c r="P238" s="114"/>
      <c r="Q238" s="63"/>
      <c r="R238" s="63"/>
      <c r="S238" s="114"/>
      <c r="T238" s="114"/>
      <c r="U238" s="63"/>
      <c r="V238" s="114"/>
      <c r="W238" s="63"/>
      <c r="X238" s="845"/>
      <c r="Y238" s="708"/>
      <c r="Z238" s="63"/>
      <c r="AA238" s="63"/>
      <c r="AB238" s="114"/>
      <c r="AC238" s="63"/>
      <c r="AD238" s="114"/>
      <c r="AE238" s="63"/>
      <c r="AF238" s="63"/>
      <c r="AG238" s="63"/>
      <c r="AH238" s="63"/>
      <c r="AI238" s="63"/>
      <c r="AJ238" s="63">
        <v>5</v>
      </c>
      <c r="AK238" s="63"/>
      <c r="AL238" s="63"/>
      <c r="AM238" s="63"/>
      <c r="AN238" s="63"/>
      <c r="AO238" s="63"/>
    </row>
    <row r="239" spans="2:41" s="58" customFormat="1">
      <c r="B239" s="87"/>
      <c r="C239" s="88">
        <f t="shared" si="19"/>
        <v>-235</v>
      </c>
      <c r="D239" s="61">
        <f t="shared" si="18"/>
        <v>235</v>
      </c>
      <c r="E239" s="173">
        <v>4529</v>
      </c>
      <c r="F239" s="64" t="str">
        <f>IFERROR(VLOOKUP(Table4[[#This Row],[Player No]],Table10[[No]:[Province]],2,0),"")</f>
        <v xml:space="preserve">HENDRICKS Andrew </v>
      </c>
      <c r="G239" s="65" t="str">
        <f>IFERROR(VLOOKUP(Table4[[#This Row],[Player No]],Table10[[No]:[Province]],3,0),"")</f>
        <v>CW</v>
      </c>
      <c r="H239" s="66">
        <v>1</v>
      </c>
      <c r="I239" s="96">
        <v>2</v>
      </c>
      <c r="J239" s="124">
        <f>(Table4[[#This Row],[Points 2025]]/2)+SUM(Table4[[#This Row],[O1  ADMIN 2026]:[P2         WC    Open 2026]])</f>
        <v>1</v>
      </c>
      <c r="K239" s="106">
        <f t="shared" si="16"/>
        <v>0</v>
      </c>
      <c r="L239" s="106">
        <f t="shared" si="17"/>
        <v>0</v>
      </c>
      <c r="M239" s="106" t="s">
        <v>6083</v>
      </c>
      <c r="N239" s="114" t="s">
        <v>6083</v>
      </c>
      <c r="O239" s="114" t="s">
        <v>6083</v>
      </c>
      <c r="P239" s="114"/>
      <c r="Q239" s="63"/>
      <c r="R239" s="63"/>
      <c r="S239" s="114"/>
      <c r="T239" s="114"/>
      <c r="U239" s="63"/>
      <c r="V239" s="114"/>
      <c r="W239" s="63"/>
      <c r="X239" s="845"/>
      <c r="Y239" s="708"/>
      <c r="Z239" s="63"/>
      <c r="AA239" s="63"/>
      <c r="AB239" s="114"/>
      <c r="AC239" s="63"/>
      <c r="AD239" s="114"/>
      <c r="AE239" s="63">
        <v>2</v>
      </c>
      <c r="AF239" s="63"/>
      <c r="AG239" s="63"/>
      <c r="AH239" s="63">
        <v>1</v>
      </c>
      <c r="AI239" s="63"/>
      <c r="AJ239" s="63"/>
      <c r="AK239" s="63"/>
      <c r="AL239" s="63"/>
      <c r="AM239" s="63"/>
      <c r="AN239" s="63"/>
      <c r="AO239" s="63"/>
    </row>
    <row r="240" spans="2:41" s="58" customFormat="1">
      <c r="B240" s="88"/>
      <c r="C240" s="88">
        <f t="shared" si="19"/>
        <v>-236</v>
      </c>
      <c r="D240" s="61">
        <f t="shared" si="18"/>
        <v>236</v>
      </c>
      <c r="E240" s="63">
        <v>3748</v>
      </c>
      <c r="F240" s="64" t="str">
        <f>IFERROR(VLOOKUP(Table4[[#This Row],[Player No]],Table10[[No]:[Province]],2,0),"")</f>
        <v xml:space="preserve"> GOLIATH Rowan</v>
      </c>
      <c r="G240" s="65" t="str">
        <f>IFERROR(VLOOKUP(Table4[[#This Row],[Player No]],Table10[[No]:[Province]],3,0),"")</f>
        <v>NMB</v>
      </c>
      <c r="H240" s="66">
        <v>0</v>
      </c>
      <c r="I240" s="96">
        <v>2</v>
      </c>
      <c r="J240" s="124">
        <f>(Table4[[#This Row],[Points 2025]]/2)+SUM(Table4[[#This Row],[O1  ADMIN 2026]:[P2         WC    Open 2026]])</f>
        <v>1</v>
      </c>
      <c r="K240" s="106">
        <f t="shared" si="16"/>
        <v>0</v>
      </c>
      <c r="L240" s="106">
        <f t="shared" si="17"/>
        <v>0</v>
      </c>
      <c r="M240" s="106" t="s">
        <v>6083</v>
      </c>
      <c r="N240" s="114" t="s">
        <v>6083</v>
      </c>
      <c r="O240" s="114" t="s">
        <v>6083</v>
      </c>
      <c r="P240" s="114"/>
      <c r="Q240" s="63"/>
      <c r="R240" s="63"/>
      <c r="S240" s="114"/>
      <c r="T240" s="114"/>
      <c r="U240" s="63"/>
      <c r="V240" s="114"/>
      <c r="W240" s="63"/>
      <c r="X240" s="845"/>
      <c r="Y240" s="708">
        <v>2</v>
      </c>
      <c r="Z240" s="63"/>
      <c r="AA240" s="63"/>
      <c r="AB240" s="114"/>
      <c r="AC240" s="63"/>
      <c r="AD240" s="114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</row>
    <row r="241" spans="2:41" s="58" customFormat="1">
      <c r="B241" s="88"/>
      <c r="C241" s="88">
        <f t="shared" si="19"/>
        <v>-237</v>
      </c>
      <c r="D241" s="61">
        <f t="shared" si="18"/>
        <v>237</v>
      </c>
      <c r="E241" s="63">
        <v>4784</v>
      </c>
      <c r="F241" s="64" t="str">
        <f>IFERROR(VLOOKUP(Table4[[#This Row],[Player No]],Table10[[No]:[Province]],2,0),"")</f>
        <v>O'BRIEN Zachron</v>
      </c>
      <c r="G241" s="65" t="str">
        <f>IFERROR(VLOOKUP(Table4[[#This Row],[Player No]],Table10[[No]:[Province]],3,0),"")</f>
        <v>NMB</v>
      </c>
      <c r="H241" s="66">
        <v>0</v>
      </c>
      <c r="I241" s="96">
        <v>2</v>
      </c>
      <c r="J241" s="124">
        <f>(Table4[[#This Row],[Points 2025]]/2)+SUM(Table4[[#This Row],[O1  ADMIN 2026]:[P2         WC    Open 2026]])</f>
        <v>1</v>
      </c>
      <c r="K241" s="106">
        <f t="shared" si="16"/>
        <v>0</v>
      </c>
      <c r="L241" s="106">
        <f t="shared" si="17"/>
        <v>0</v>
      </c>
      <c r="M241" s="106" t="s">
        <v>6083</v>
      </c>
      <c r="N241" s="114" t="s">
        <v>6083</v>
      </c>
      <c r="O241" s="114" t="s">
        <v>6083</v>
      </c>
      <c r="P241" s="114"/>
      <c r="Q241" s="63"/>
      <c r="R241" s="63"/>
      <c r="S241" s="114"/>
      <c r="T241" s="114"/>
      <c r="U241" s="63"/>
      <c r="V241" s="114"/>
      <c r="W241" s="63"/>
      <c r="X241" s="845"/>
      <c r="Y241" s="708">
        <v>2</v>
      </c>
      <c r="Z241" s="63"/>
      <c r="AA241" s="63"/>
      <c r="AB241" s="114"/>
      <c r="AC241" s="63"/>
      <c r="AD241" s="114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</row>
    <row r="242" spans="2:41" s="58" customFormat="1">
      <c r="B242" s="88"/>
      <c r="C242" s="88">
        <f t="shared" si="19"/>
        <v>-238</v>
      </c>
      <c r="D242" s="61">
        <f t="shared" si="18"/>
        <v>238</v>
      </c>
      <c r="E242" s="63">
        <v>4787</v>
      </c>
      <c r="F242" s="64" t="str">
        <f>IFERROR(VLOOKUP(Table4[[#This Row],[Player No]],Table10[[No]:[Province]],2,0),"")</f>
        <v>PRINCE Zaine</v>
      </c>
      <c r="G242" s="65" t="str">
        <f>IFERROR(VLOOKUP(Table4[[#This Row],[Player No]],Table10[[No]:[Province]],3,0),"")</f>
        <v>NMB</v>
      </c>
      <c r="H242" s="66">
        <v>0</v>
      </c>
      <c r="I242" s="96">
        <v>2</v>
      </c>
      <c r="J242" s="124">
        <f>(Table4[[#This Row],[Points 2025]]/2)+SUM(Table4[[#This Row],[O1  ADMIN 2026]:[P2         WC    Open 2026]])</f>
        <v>1</v>
      </c>
      <c r="K242" s="106">
        <f t="shared" si="16"/>
        <v>0</v>
      </c>
      <c r="L242" s="106">
        <f t="shared" si="17"/>
        <v>0</v>
      </c>
      <c r="M242" s="106" t="s">
        <v>6083</v>
      </c>
      <c r="N242" s="114" t="s">
        <v>6083</v>
      </c>
      <c r="O242" s="114" t="s">
        <v>6083</v>
      </c>
      <c r="P242" s="114"/>
      <c r="Q242" s="63"/>
      <c r="R242" s="63"/>
      <c r="S242" s="114"/>
      <c r="T242" s="114"/>
      <c r="U242" s="63"/>
      <c r="V242" s="114"/>
      <c r="W242" s="63"/>
      <c r="X242" s="845"/>
      <c r="Y242" s="708">
        <v>2</v>
      </c>
      <c r="Z242" s="63"/>
      <c r="AA242" s="63"/>
      <c r="AB242" s="114"/>
      <c r="AC242" s="63"/>
      <c r="AD242" s="114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</row>
    <row r="243" spans="2:41" s="58" customFormat="1">
      <c r="B243" s="88"/>
      <c r="C243" s="88">
        <f t="shared" si="19"/>
        <v>-239</v>
      </c>
      <c r="D243" s="61">
        <f t="shared" si="18"/>
        <v>239</v>
      </c>
      <c r="E243" s="63">
        <v>4783</v>
      </c>
      <c r="F243" s="64" t="str">
        <f>IFERROR(VLOOKUP(Table4[[#This Row],[Player No]],Table10[[No]:[Province]],2,0),"")</f>
        <v>GERTZE Zanick</v>
      </c>
      <c r="G243" s="65" t="str">
        <f>IFERROR(VLOOKUP(Table4[[#This Row],[Player No]],Table10[[No]:[Province]],3,0),"")</f>
        <v>NMB</v>
      </c>
      <c r="H243" s="66">
        <v>0</v>
      </c>
      <c r="I243" s="96">
        <v>2</v>
      </c>
      <c r="J243" s="124">
        <f>(Table4[[#This Row],[Points 2025]]/2)+SUM(Table4[[#This Row],[O1  ADMIN 2026]:[P2         WC    Open 2026]])</f>
        <v>1</v>
      </c>
      <c r="K243" s="106">
        <f t="shared" si="16"/>
        <v>0</v>
      </c>
      <c r="L243" s="106">
        <f t="shared" si="17"/>
        <v>0</v>
      </c>
      <c r="M243" s="106" t="s">
        <v>6083</v>
      </c>
      <c r="N243" s="114" t="s">
        <v>6083</v>
      </c>
      <c r="O243" s="114" t="s">
        <v>6083</v>
      </c>
      <c r="P243" s="114"/>
      <c r="Q243" s="63"/>
      <c r="R243" s="63"/>
      <c r="S243" s="114"/>
      <c r="T243" s="114"/>
      <c r="U243" s="63"/>
      <c r="V243" s="114"/>
      <c r="W243" s="63"/>
      <c r="X243" s="845"/>
      <c r="Y243" s="708">
        <v>2</v>
      </c>
      <c r="Z243" s="63"/>
      <c r="AA243" s="63"/>
      <c r="AB243" s="114"/>
      <c r="AC243" s="63"/>
      <c r="AD243" s="114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</row>
    <row r="244" spans="2:41" s="58" customFormat="1">
      <c r="B244" s="88"/>
      <c r="C244" s="88">
        <f t="shared" si="19"/>
        <v>-240</v>
      </c>
      <c r="D244" s="61">
        <f t="shared" si="18"/>
        <v>240</v>
      </c>
      <c r="E244" s="63">
        <v>4780</v>
      </c>
      <c r="F244" s="64" t="str">
        <f>IFERROR(VLOOKUP(Table4[[#This Row],[Player No]],Table10[[No]:[Province]],2,0),"")</f>
        <v>PATEL Owais</v>
      </c>
      <c r="G244" s="65" t="str">
        <f>IFERROR(VLOOKUP(Table4[[#This Row],[Player No]],Table10[[No]:[Province]],3,0),"")</f>
        <v>NMB</v>
      </c>
      <c r="H244" s="66">
        <v>0</v>
      </c>
      <c r="I244" s="96">
        <v>2</v>
      </c>
      <c r="J244" s="124">
        <f>(Table4[[#This Row],[Points 2025]]/2)+SUM(Table4[[#This Row],[O1  ADMIN 2026]:[P2         WC    Open 2026]])</f>
        <v>1</v>
      </c>
      <c r="K244" s="106">
        <f t="shared" si="16"/>
        <v>0</v>
      </c>
      <c r="L244" s="106">
        <f t="shared" si="17"/>
        <v>0</v>
      </c>
      <c r="M244" s="106" t="s">
        <v>6083</v>
      </c>
      <c r="N244" s="114" t="s">
        <v>6083</v>
      </c>
      <c r="O244" s="114" t="s">
        <v>6083</v>
      </c>
      <c r="P244" s="114"/>
      <c r="Q244" s="63"/>
      <c r="R244" s="63"/>
      <c r="S244" s="114"/>
      <c r="T244" s="114"/>
      <c r="U244" s="63"/>
      <c r="V244" s="114"/>
      <c r="W244" s="63"/>
      <c r="X244" s="845"/>
      <c r="Y244" s="708">
        <v>2</v>
      </c>
      <c r="Z244" s="63"/>
      <c r="AA244" s="63"/>
      <c r="AB244" s="114"/>
      <c r="AC244" s="63"/>
      <c r="AD244" s="114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</row>
    <row r="245" spans="2:41" s="58" customFormat="1">
      <c r="B245" s="88"/>
      <c r="C245" s="88">
        <f t="shared" si="19"/>
        <v>-241</v>
      </c>
      <c r="D245" s="61">
        <f t="shared" si="18"/>
        <v>241</v>
      </c>
      <c r="E245" s="63">
        <v>4785</v>
      </c>
      <c r="F245" s="64" t="str">
        <f>IFERROR(VLOOKUP(Table4[[#This Row],[Player No]],Table10[[No]:[Province]],2,0),"")</f>
        <v xml:space="preserve">MADUNGOZI Ahluma </v>
      </c>
      <c r="G245" s="65" t="str">
        <f>IFERROR(VLOOKUP(Table4[[#This Row],[Player No]],Table10[[No]:[Province]],3,0),"")</f>
        <v>EC</v>
      </c>
      <c r="H245" s="66">
        <v>0</v>
      </c>
      <c r="I245" s="96">
        <v>2</v>
      </c>
      <c r="J245" s="124">
        <f>(Table4[[#This Row],[Points 2025]]/2)+SUM(Table4[[#This Row],[O1  ADMIN 2026]:[P2         WC    Open 2026]])</f>
        <v>1</v>
      </c>
      <c r="K245" s="106">
        <f t="shared" si="16"/>
        <v>0</v>
      </c>
      <c r="L245" s="106">
        <f t="shared" si="17"/>
        <v>0</v>
      </c>
      <c r="M245" s="106" t="s">
        <v>6083</v>
      </c>
      <c r="N245" s="114" t="s">
        <v>6083</v>
      </c>
      <c r="O245" s="114" t="s">
        <v>6083</v>
      </c>
      <c r="P245" s="114"/>
      <c r="Q245" s="63"/>
      <c r="R245" s="63"/>
      <c r="S245" s="114"/>
      <c r="T245" s="114"/>
      <c r="U245" s="63"/>
      <c r="V245" s="114"/>
      <c r="W245" s="63"/>
      <c r="X245" s="845"/>
      <c r="Y245" s="708">
        <v>2</v>
      </c>
      <c r="Z245" s="63"/>
      <c r="AA245" s="63"/>
      <c r="AB245" s="114"/>
      <c r="AC245" s="63"/>
      <c r="AD245" s="114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</row>
    <row r="246" spans="2:41" s="58" customFormat="1">
      <c r="B246" s="88"/>
      <c r="C246" s="88">
        <f t="shared" si="19"/>
        <v>-242</v>
      </c>
      <c r="D246" s="61">
        <f t="shared" si="18"/>
        <v>242</v>
      </c>
      <c r="E246" s="63">
        <v>4781</v>
      </c>
      <c r="F246" s="64" t="str">
        <f>IFERROR(VLOOKUP(Table4[[#This Row],[Player No]],Table10[[No]:[Province]],2,0),"")</f>
        <v>COOK Matthew Mak</v>
      </c>
      <c r="G246" s="65" t="str">
        <f>IFERROR(VLOOKUP(Table4[[#This Row],[Player No]],Table10[[No]:[Province]],3,0),"")</f>
        <v>NMB</v>
      </c>
      <c r="H246" s="66">
        <v>0</v>
      </c>
      <c r="I246" s="96">
        <v>2</v>
      </c>
      <c r="J246" s="124">
        <f>(Table4[[#This Row],[Points 2025]]/2)+SUM(Table4[[#This Row],[O1  ADMIN 2026]:[P2         WC    Open 2026]])</f>
        <v>1</v>
      </c>
      <c r="K246" s="106">
        <f t="shared" si="16"/>
        <v>0</v>
      </c>
      <c r="L246" s="106">
        <f t="shared" si="17"/>
        <v>0</v>
      </c>
      <c r="M246" s="106" t="s">
        <v>6083</v>
      </c>
      <c r="N246" s="114" t="s">
        <v>6083</v>
      </c>
      <c r="O246" s="114" t="s">
        <v>6083</v>
      </c>
      <c r="P246" s="114"/>
      <c r="Q246" s="63"/>
      <c r="R246" s="63"/>
      <c r="S246" s="114"/>
      <c r="T246" s="114"/>
      <c r="U246" s="63"/>
      <c r="V246" s="114"/>
      <c r="W246" s="63"/>
      <c r="X246" s="845"/>
      <c r="Y246" s="708">
        <v>2</v>
      </c>
      <c r="Z246" s="63"/>
      <c r="AA246" s="63"/>
      <c r="AB246" s="114"/>
      <c r="AC246" s="63"/>
      <c r="AD246" s="114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</row>
    <row r="247" spans="2:41" s="58" customFormat="1">
      <c r="B247" s="88"/>
      <c r="C247" s="88">
        <f t="shared" si="19"/>
        <v>-243</v>
      </c>
      <c r="D247" s="61">
        <f t="shared" si="18"/>
        <v>243</v>
      </c>
      <c r="E247" s="63">
        <v>4786</v>
      </c>
      <c r="F247" s="64" t="str">
        <f>IFERROR(VLOOKUP(Table4[[#This Row],[Player No]],Table10[[No]:[Province]],2,0),"")</f>
        <v>RUITERS Jerenza</v>
      </c>
      <c r="G247" s="65" t="str">
        <f>IFERROR(VLOOKUP(Table4[[#This Row],[Player No]],Table10[[No]:[Province]],3,0),"")</f>
        <v>NMB</v>
      </c>
      <c r="H247" s="66">
        <v>0</v>
      </c>
      <c r="I247" s="96">
        <v>2</v>
      </c>
      <c r="J247" s="124">
        <f>(Table4[[#This Row],[Points 2025]]/2)+SUM(Table4[[#This Row],[O1  ADMIN 2026]:[P2         WC    Open 2026]])</f>
        <v>1</v>
      </c>
      <c r="K247" s="106">
        <f t="shared" si="16"/>
        <v>0</v>
      </c>
      <c r="L247" s="106">
        <f t="shared" si="17"/>
        <v>0</v>
      </c>
      <c r="M247" s="106" t="s">
        <v>6083</v>
      </c>
      <c r="N247" s="114" t="s">
        <v>6083</v>
      </c>
      <c r="O247" s="114" t="s">
        <v>6083</v>
      </c>
      <c r="P247" s="114"/>
      <c r="Q247" s="63"/>
      <c r="R247" s="63"/>
      <c r="S247" s="114"/>
      <c r="T247" s="114"/>
      <c r="U247" s="63"/>
      <c r="V247" s="114"/>
      <c r="W247" s="63"/>
      <c r="X247" s="845"/>
      <c r="Y247" s="708">
        <v>2</v>
      </c>
      <c r="Z247" s="63"/>
      <c r="AA247" s="63"/>
      <c r="AB247" s="114"/>
      <c r="AC247" s="63"/>
      <c r="AD247" s="114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</row>
    <row r="248" spans="2:41" s="58" customFormat="1">
      <c r="B248" s="87">
        <v>136</v>
      </c>
      <c r="C248" s="88">
        <f t="shared" ref="C248:C279" si="20">+B248-D248</f>
        <v>-108</v>
      </c>
      <c r="D248" s="61">
        <f t="shared" si="18"/>
        <v>244</v>
      </c>
      <c r="E248" s="63">
        <v>2660</v>
      </c>
      <c r="F248" s="64" t="str">
        <f>IFERROR(VLOOKUP(Table4[[#This Row],[Player No]],Table10[[No]:[Province]],2,0),"")</f>
        <v>CRUYWAGEN Matthew</v>
      </c>
      <c r="G248" s="65" t="str">
        <f>IFERROR(VLOOKUP(Table4[[#This Row],[Player No]],Table10[[No]:[Province]],3,0),"")</f>
        <v>GNTTB</v>
      </c>
      <c r="H248" s="66">
        <v>0</v>
      </c>
      <c r="I248" s="96">
        <v>2</v>
      </c>
      <c r="J248" s="124">
        <f>(Table4[[#This Row],[Points 2025]]/2)+SUM(Table4[[#This Row],[O1  ADMIN 2026]:[P2         WC    Open 2026]])</f>
        <v>1</v>
      </c>
      <c r="K248" s="106">
        <f t="shared" si="16"/>
        <v>0</v>
      </c>
      <c r="L248" s="106">
        <f t="shared" si="17"/>
        <v>0</v>
      </c>
      <c r="M248" s="106" t="s">
        <v>6083</v>
      </c>
      <c r="N248" s="114" t="s">
        <v>6083</v>
      </c>
      <c r="O248" s="114" t="s">
        <v>6083</v>
      </c>
      <c r="P248" s="114"/>
      <c r="Q248" s="63">
        <v>2</v>
      </c>
      <c r="R248" s="63"/>
      <c r="S248" s="114"/>
      <c r="T248" s="114"/>
      <c r="U248" s="63"/>
      <c r="V248" s="114"/>
      <c r="W248" s="63"/>
      <c r="X248" s="845"/>
      <c r="Y248" s="708"/>
      <c r="Z248" s="63"/>
      <c r="AA248" s="63"/>
      <c r="AB248" s="114"/>
      <c r="AC248" s="63"/>
      <c r="AD248" s="114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</row>
    <row r="249" spans="2:41" s="58" customFormat="1">
      <c r="B249" s="88"/>
      <c r="C249" s="88">
        <f t="shared" si="20"/>
        <v>-245</v>
      </c>
      <c r="D249" s="61">
        <f t="shared" si="18"/>
        <v>245</v>
      </c>
      <c r="E249" s="63">
        <v>3256</v>
      </c>
      <c r="F249" s="64" t="str">
        <f>IFERROR(VLOOKUP(Table4[[#This Row],[Player No]],Table10[[No]:[Province]],2,0),"")</f>
        <v>PHILANDER Nickairo</v>
      </c>
      <c r="G249" s="65" t="str">
        <f>IFERROR(VLOOKUP(Table4[[#This Row],[Player No]],Table10[[No]:[Province]],3,0),"")</f>
        <v>WC</v>
      </c>
      <c r="H249" s="66">
        <v>0</v>
      </c>
      <c r="I249" s="96">
        <v>2</v>
      </c>
      <c r="J249" s="124">
        <f>(Table4[[#This Row],[Points 2025]]/2)+SUM(Table4[[#This Row],[O1  ADMIN 2026]:[P2         WC    Open 2026]])</f>
        <v>1</v>
      </c>
      <c r="K249" s="106">
        <f t="shared" si="16"/>
        <v>0</v>
      </c>
      <c r="L249" s="106">
        <f t="shared" si="17"/>
        <v>0</v>
      </c>
      <c r="M249" s="106" t="s">
        <v>6083</v>
      </c>
      <c r="N249" s="114" t="s">
        <v>6083</v>
      </c>
      <c r="O249" s="114" t="s">
        <v>6083</v>
      </c>
      <c r="P249" s="114"/>
      <c r="Q249" s="63"/>
      <c r="R249" s="63"/>
      <c r="S249" s="114"/>
      <c r="T249" s="114"/>
      <c r="U249" s="63"/>
      <c r="V249" s="114"/>
      <c r="W249" s="63"/>
      <c r="X249" s="845"/>
      <c r="Y249" s="708"/>
      <c r="Z249" s="63"/>
      <c r="AA249" s="63"/>
      <c r="AB249" s="114"/>
      <c r="AC249" s="63"/>
      <c r="AD249" s="114"/>
      <c r="AE249" s="63">
        <v>2</v>
      </c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</row>
    <row r="250" spans="2:41" s="58" customFormat="1">
      <c r="B250" s="87">
        <v>148</v>
      </c>
      <c r="C250" s="88">
        <f t="shared" si="20"/>
        <v>-98</v>
      </c>
      <c r="D250" s="61">
        <f t="shared" si="18"/>
        <v>246</v>
      </c>
      <c r="E250" s="189">
        <v>3875</v>
      </c>
      <c r="F250" s="64" t="str">
        <f>IFERROR(VLOOKUP(Table4[[#This Row],[Player No]],Table10[[No]:[Province]],2,0),"")</f>
        <v>MKHONTWANA Simpiwe</v>
      </c>
      <c r="G250" s="65" t="str">
        <f>IFERROR(VLOOKUP(Table4[[#This Row],[Player No]],Table10[[No]:[Province]],3,0),"")</f>
        <v>ETTA</v>
      </c>
      <c r="H250" s="192">
        <v>0</v>
      </c>
      <c r="I250" s="193">
        <v>2</v>
      </c>
      <c r="J250" s="124">
        <f>(Table4[[#This Row],[Points 2025]]/2)+SUM(Table4[[#This Row],[O1  ADMIN 2026]:[P2         WC    Open 2026]])</f>
        <v>1</v>
      </c>
      <c r="K250" s="106">
        <f t="shared" si="16"/>
        <v>0</v>
      </c>
      <c r="L250" s="106">
        <f t="shared" si="17"/>
        <v>0</v>
      </c>
      <c r="M250" s="838" t="s">
        <v>6083</v>
      </c>
      <c r="N250" s="442" t="s">
        <v>6083</v>
      </c>
      <c r="O250" s="442" t="s">
        <v>6083</v>
      </c>
      <c r="P250" s="442"/>
      <c r="Q250" s="189">
        <v>2</v>
      </c>
      <c r="R250" s="189"/>
      <c r="S250" s="189"/>
      <c r="T250" s="189"/>
      <c r="U250" s="189"/>
      <c r="V250" s="189"/>
      <c r="W250" s="189"/>
      <c r="X250" s="853"/>
      <c r="Y250" s="442"/>
      <c r="Z250" s="189"/>
      <c r="AA250" s="189"/>
      <c r="AB250" s="401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</row>
    <row r="251" spans="2:41" s="58" customFormat="1">
      <c r="B251" s="88"/>
      <c r="C251" s="88">
        <f t="shared" si="20"/>
        <v>-247</v>
      </c>
      <c r="D251" s="61">
        <f t="shared" si="18"/>
        <v>247</v>
      </c>
      <c r="E251" s="114">
        <v>4469</v>
      </c>
      <c r="F251" s="64" t="str">
        <f>IFERROR(VLOOKUP(Table4[[#This Row],[Player No]],Table10[[No]:[Province]],2,0),"")</f>
        <v xml:space="preserve">MOHAMED Sofian </v>
      </c>
      <c r="G251" s="65" t="str">
        <f>IFERROR(VLOOKUP(Table4[[#This Row],[Player No]],Table10[[No]:[Province]],3,0),"")</f>
        <v>CT</v>
      </c>
      <c r="H251" s="192">
        <v>0</v>
      </c>
      <c r="I251" s="124">
        <v>2</v>
      </c>
      <c r="J251" s="124">
        <f>(Table4[[#This Row],[Points 2025]]/2)+SUM(Table4[[#This Row],[O1  ADMIN 2026]:[P2         WC    Open 2026]])</f>
        <v>1</v>
      </c>
      <c r="K251" s="106">
        <f t="shared" si="16"/>
        <v>0</v>
      </c>
      <c r="L251" s="106">
        <f t="shared" si="17"/>
        <v>0</v>
      </c>
      <c r="M251" s="106" t="s">
        <v>6083</v>
      </c>
      <c r="N251" s="114" t="s">
        <v>6083</v>
      </c>
      <c r="O251" s="114" t="s">
        <v>6083</v>
      </c>
      <c r="P251" s="114"/>
      <c r="Q251" s="114"/>
      <c r="R251" s="114"/>
      <c r="S251" s="114"/>
      <c r="T251" s="114"/>
      <c r="U251" s="114"/>
      <c r="V251" s="114"/>
      <c r="W251" s="114"/>
      <c r="X251" s="845"/>
      <c r="Y251" s="708"/>
      <c r="Z251" s="114"/>
      <c r="AA251" s="114"/>
      <c r="AB251" s="114"/>
      <c r="AC251" s="114"/>
      <c r="AD251" s="114"/>
      <c r="AE251" s="114">
        <v>2</v>
      </c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</row>
    <row r="252" spans="2:41" s="58" customFormat="1">
      <c r="B252" s="88"/>
      <c r="C252" s="88">
        <f t="shared" si="20"/>
        <v>-248</v>
      </c>
      <c r="D252" s="61">
        <f t="shared" si="18"/>
        <v>248</v>
      </c>
      <c r="E252" s="114">
        <v>4478</v>
      </c>
      <c r="F252" s="64" t="str">
        <f>IFERROR(VLOOKUP(Table4[[#This Row],[Player No]],Table10[[No]:[Province]],2,0),"")</f>
        <v xml:space="preserve">ADAMS Darawees </v>
      </c>
      <c r="G252" s="65" t="str">
        <f>IFERROR(VLOOKUP(Table4[[#This Row],[Player No]],Table10[[No]:[Province]],3,0),"")</f>
        <v>CT</v>
      </c>
      <c r="H252" s="192">
        <v>0</v>
      </c>
      <c r="I252" s="124">
        <v>2</v>
      </c>
      <c r="J252" s="124">
        <f>(Table4[[#This Row],[Points 2025]]/2)+SUM(Table4[[#This Row],[O1  ADMIN 2026]:[P2         WC    Open 2026]])</f>
        <v>1</v>
      </c>
      <c r="K252" s="106">
        <f t="shared" si="16"/>
        <v>0</v>
      </c>
      <c r="L252" s="106">
        <f t="shared" si="17"/>
        <v>0</v>
      </c>
      <c r="M252" s="106" t="s">
        <v>6083</v>
      </c>
      <c r="N252" s="114" t="s">
        <v>6083</v>
      </c>
      <c r="O252" s="114" t="s">
        <v>6083</v>
      </c>
      <c r="P252" s="114"/>
      <c r="Q252" s="114"/>
      <c r="R252" s="114"/>
      <c r="S252" s="114"/>
      <c r="T252" s="114"/>
      <c r="U252" s="114"/>
      <c r="V252" s="114"/>
      <c r="W252" s="114"/>
      <c r="X252" s="845"/>
      <c r="Y252" s="708"/>
      <c r="Z252" s="114"/>
      <c r="AA252" s="114"/>
      <c r="AB252" s="114"/>
      <c r="AC252" s="114"/>
      <c r="AD252" s="114"/>
      <c r="AE252" s="114">
        <v>2</v>
      </c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</row>
    <row r="253" spans="2:41" s="58" customFormat="1">
      <c r="B253" s="88"/>
      <c r="C253" s="88">
        <f t="shared" si="20"/>
        <v>-249</v>
      </c>
      <c r="D253" s="61">
        <f t="shared" si="18"/>
        <v>249</v>
      </c>
      <c r="E253" s="189">
        <v>4660</v>
      </c>
      <c r="F253" s="64" t="str">
        <f>IFERROR(VLOOKUP(Table4[[#This Row],[Player No]],Table10[[No]:[Province]],2,0),"")</f>
        <v xml:space="preserve">GUNTSHO Batandwa </v>
      </c>
      <c r="G253" s="65" t="str">
        <f>IFERROR(VLOOKUP(Table4[[#This Row],[Player No]],Table10[[No]:[Province]],3,0),"")</f>
        <v>CW</v>
      </c>
      <c r="H253" s="192">
        <v>0</v>
      </c>
      <c r="I253" s="193">
        <v>2</v>
      </c>
      <c r="J253" s="124">
        <f>(Table4[[#This Row],[Points 2025]]/2)+SUM(Table4[[#This Row],[O1  ADMIN 2026]:[P2         WC    Open 2026]])</f>
        <v>1</v>
      </c>
      <c r="K253" s="106">
        <f t="shared" si="16"/>
        <v>0</v>
      </c>
      <c r="L253" s="106">
        <f t="shared" si="17"/>
        <v>0</v>
      </c>
      <c r="M253" s="838" t="s">
        <v>6083</v>
      </c>
      <c r="N253" s="442" t="s">
        <v>6083</v>
      </c>
      <c r="O253" s="442" t="s">
        <v>6083</v>
      </c>
      <c r="P253" s="442"/>
      <c r="Q253" s="189"/>
      <c r="R253" s="189"/>
      <c r="S253" s="189"/>
      <c r="T253" s="189"/>
      <c r="U253" s="189"/>
      <c r="V253" s="189"/>
      <c r="W253" s="189"/>
      <c r="X253" s="853"/>
      <c r="Y253" s="442"/>
      <c r="Z253" s="189"/>
      <c r="AA253" s="189"/>
      <c r="AB253" s="401"/>
      <c r="AC253" s="189"/>
      <c r="AD253" s="189"/>
      <c r="AE253" s="189">
        <v>2</v>
      </c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</row>
    <row r="254" spans="2:41" s="58" customFormat="1">
      <c r="B254" s="88"/>
      <c r="C254" s="88">
        <f t="shared" si="20"/>
        <v>-250</v>
      </c>
      <c r="D254" s="61">
        <f t="shared" si="18"/>
        <v>250</v>
      </c>
      <c r="E254" s="189">
        <v>4661</v>
      </c>
      <c r="F254" s="64" t="str">
        <f>IFERROR(VLOOKUP(Table4[[#This Row],[Player No]],Table10[[No]:[Province]],2,0),"")</f>
        <v xml:space="preserve">TAHO Zingce </v>
      </c>
      <c r="G254" s="65" t="str">
        <f>IFERROR(VLOOKUP(Table4[[#This Row],[Player No]],Table10[[No]:[Province]],3,0),"")</f>
        <v>CT</v>
      </c>
      <c r="H254" s="192">
        <v>0</v>
      </c>
      <c r="I254" s="193">
        <v>2</v>
      </c>
      <c r="J254" s="124">
        <f>(Table4[[#This Row],[Points 2025]]/2)+SUM(Table4[[#This Row],[O1  ADMIN 2026]:[P2         WC    Open 2026]])</f>
        <v>1</v>
      </c>
      <c r="K254" s="106">
        <f t="shared" si="16"/>
        <v>0</v>
      </c>
      <c r="L254" s="106">
        <f t="shared" si="17"/>
        <v>0</v>
      </c>
      <c r="M254" s="838" t="s">
        <v>6083</v>
      </c>
      <c r="N254" s="442" t="s">
        <v>6083</v>
      </c>
      <c r="O254" s="442" t="s">
        <v>6083</v>
      </c>
      <c r="P254" s="442"/>
      <c r="Q254" s="189"/>
      <c r="R254" s="189"/>
      <c r="S254" s="189"/>
      <c r="T254" s="189"/>
      <c r="U254" s="189"/>
      <c r="V254" s="189"/>
      <c r="W254" s="189"/>
      <c r="X254" s="853"/>
      <c r="Y254" s="442"/>
      <c r="Z254" s="189"/>
      <c r="AA254" s="189"/>
      <c r="AB254" s="401"/>
      <c r="AC254" s="189"/>
      <c r="AD254" s="189"/>
      <c r="AE254" s="189">
        <v>2</v>
      </c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</row>
    <row r="255" spans="2:41" s="58" customFormat="1">
      <c r="B255" s="88"/>
      <c r="C255" s="88">
        <f t="shared" si="20"/>
        <v>-251</v>
      </c>
      <c r="D255" s="61">
        <f t="shared" si="18"/>
        <v>251</v>
      </c>
      <c r="E255" s="114">
        <v>4662</v>
      </c>
      <c r="F255" s="64" t="str">
        <f>IFERROR(VLOOKUP(Table4[[#This Row],[Player No]],Table10[[No]:[Province]],2,0),"")</f>
        <v xml:space="preserve">JOHAADIEN Tashriq </v>
      </c>
      <c r="G255" s="65" t="str">
        <f>IFERROR(VLOOKUP(Table4[[#This Row],[Player No]],Table10[[No]:[Province]],3,0),"")</f>
        <v>CT</v>
      </c>
      <c r="H255" s="116">
        <v>0</v>
      </c>
      <c r="I255" s="124">
        <v>2</v>
      </c>
      <c r="J255" s="124">
        <f>(Table4[[#This Row],[Points 2025]]/2)+SUM(Table4[[#This Row],[O1  ADMIN 2026]:[P2         WC    Open 2026]])</f>
        <v>1</v>
      </c>
      <c r="K255" s="106">
        <f t="shared" si="16"/>
        <v>0</v>
      </c>
      <c r="L255" s="106">
        <f t="shared" si="17"/>
        <v>0</v>
      </c>
      <c r="M255" s="106" t="s">
        <v>6083</v>
      </c>
      <c r="N255" s="114" t="s">
        <v>6083</v>
      </c>
      <c r="O255" s="114" t="s">
        <v>6083</v>
      </c>
      <c r="P255" s="114"/>
      <c r="Q255" s="114"/>
      <c r="R255" s="114"/>
      <c r="S255" s="114"/>
      <c r="T255" s="114"/>
      <c r="U255" s="114"/>
      <c r="V255" s="114"/>
      <c r="W255" s="114"/>
      <c r="X255" s="845"/>
      <c r="Y255" s="708"/>
      <c r="Z255" s="114"/>
      <c r="AA255" s="114"/>
      <c r="AB255" s="114"/>
      <c r="AC255" s="114"/>
      <c r="AD255" s="114"/>
      <c r="AE255" s="114">
        <v>2</v>
      </c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</row>
    <row r="256" spans="2:41" s="58" customFormat="1">
      <c r="B256" s="88"/>
      <c r="C256" s="88">
        <f t="shared" si="20"/>
        <v>-252</v>
      </c>
      <c r="D256" s="61">
        <f t="shared" si="18"/>
        <v>252</v>
      </c>
      <c r="E256" s="114">
        <v>4663</v>
      </c>
      <c r="F256" s="64" t="str">
        <f>IFERROR(VLOOKUP(Table4[[#This Row],[Player No]],Table10[[No]:[Province]],2,0),"")</f>
        <v xml:space="preserve">BUTLER Malaki </v>
      </c>
      <c r="G256" s="65" t="str">
        <f>IFERROR(VLOOKUP(Table4[[#This Row],[Player No]],Table10[[No]:[Province]],3,0),"")</f>
        <v>CT</v>
      </c>
      <c r="H256" s="116">
        <v>0</v>
      </c>
      <c r="I256" s="124">
        <v>2</v>
      </c>
      <c r="J256" s="124">
        <f>(Table4[[#This Row],[Points 2025]]/2)+SUM(Table4[[#This Row],[O1  ADMIN 2026]:[P2         WC    Open 2026]])</f>
        <v>1</v>
      </c>
      <c r="K256" s="106">
        <f t="shared" si="16"/>
        <v>0</v>
      </c>
      <c r="L256" s="106">
        <f t="shared" si="17"/>
        <v>0</v>
      </c>
      <c r="M256" s="106" t="s">
        <v>6083</v>
      </c>
      <c r="N256" s="114" t="s">
        <v>6083</v>
      </c>
      <c r="O256" s="114" t="s">
        <v>6083</v>
      </c>
      <c r="P256" s="114"/>
      <c r="Q256" s="114"/>
      <c r="R256" s="114"/>
      <c r="S256" s="114"/>
      <c r="T256" s="114"/>
      <c r="U256" s="114"/>
      <c r="V256" s="114"/>
      <c r="W256" s="114"/>
      <c r="X256" s="845"/>
      <c r="Y256" s="708"/>
      <c r="Z256" s="114"/>
      <c r="AA256" s="114"/>
      <c r="AB256" s="114"/>
      <c r="AC256" s="114"/>
      <c r="AD256" s="114"/>
      <c r="AE256" s="114">
        <v>2</v>
      </c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</row>
    <row r="257" spans="2:41" s="58" customFormat="1">
      <c r="B257" s="88"/>
      <c r="C257" s="88">
        <f t="shared" si="20"/>
        <v>-253</v>
      </c>
      <c r="D257" s="61">
        <f t="shared" si="18"/>
        <v>253</v>
      </c>
      <c r="E257" s="114">
        <v>4664</v>
      </c>
      <c r="F257" s="64" t="str">
        <f>IFERROR(VLOOKUP(Table4[[#This Row],[Player No]],Table10[[No]:[Province]],2,0),"")</f>
        <v xml:space="preserve">JANSEN Cruz </v>
      </c>
      <c r="G257" s="65" t="str">
        <f>IFERROR(VLOOKUP(Table4[[#This Row],[Player No]],Table10[[No]:[Province]],3,0),"")</f>
        <v>CT</v>
      </c>
      <c r="H257" s="116">
        <v>0</v>
      </c>
      <c r="I257" s="124">
        <v>2</v>
      </c>
      <c r="J257" s="124">
        <f>(Table4[[#This Row],[Points 2025]]/2)+SUM(Table4[[#This Row],[O1  ADMIN 2026]:[P2         WC    Open 2026]])</f>
        <v>1</v>
      </c>
      <c r="K257" s="106">
        <f t="shared" si="16"/>
        <v>0</v>
      </c>
      <c r="L257" s="106">
        <f t="shared" si="17"/>
        <v>0</v>
      </c>
      <c r="M257" s="106" t="s">
        <v>6083</v>
      </c>
      <c r="N257" s="114" t="s">
        <v>6083</v>
      </c>
      <c r="O257" s="114" t="s">
        <v>6083</v>
      </c>
      <c r="P257" s="114"/>
      <c r="Q257" s="114"/>
      <c r="R257" s="114"/>
      <c r="S257" s="114"/>
      <c r="T257" s="114"/>
      <c r="U257" s="114"/>
      <c r="V257" s="114"/>
      <c r="W257" s="114"/>
      <c r="X257" s="845"/>
      <c r="Y257" s="708"/>
      <c r="Z257" s="114"/>
      <c r="AA257" s="114"/>
      <c r="AB257" s="114"/>
      <c r="AC257" s="114"/>
      <c r="AD257" s="114"/>
      <c r="AE257" s="114">
        <v>2</v>
      </c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</row>
    <row r="258" spans="2:41" s="58" customFormat="1">
      <c r="B258" s="88"/>
      <c r="C258" s="88">
        <f t="shared" si="20"/>
        <v>-254</v>
      </c>
      <c r="D258" s="61">
        <f t="shared" si="18"/>
        <v>254</v>
      </c>
      <c r="E258" s="114">
        <v>4665</v>
      </c>
      <c r="F258" s="64" t="str">
        <f>IFERROR(VLOOKUP(Table4[[#This Row],[Player No]],Table10[[No]:[Province]],2,0),"")</f>
        <v xml:space="preserve">SYKES Zeeshan </v>
      </c>
      <c r="G258" s="65" t="str">
        <f>IFERROR(VLOOKUP(Table4[[#This Row],[Player No]],Table10[[No]:[Province]],3,0),"")</f>
        <v>CT</v>
      </c>
      <c r="H258" s="116">
        <v>0</v>
      </c>
      <c r="I258" s="124">
        <v>2</v>
      </c>
      <c r="J258" s="124">
        <f>(Table4[[#This Row],[Points 2025]]/2)+SUM(Table4[[#This Row],[O1  ADMIN 2026]:[P2         WC    Open 2026]])</f>
        <v>1</v>
      </c>
      <c r="K258" s="106">
        <f t="shared" si="16"/>
        <v>0</v>
      </c>
      <c r="L258" s="106">
        <f t="shared" si="17"/>
        <v>0</v>
      </c>
      <c r="M258" s="106" t="s">
        <v>6083</v>
      </c>
      <c r="N258" s="114" t="s">
        <v>6083</v>
      </c>
      <c r="O258" s="114" t="s">
        <v>6083</v>
      </c>
      <c r="P258" s="114"/>
      <c r="Q258" s="114"/>
      <c r="R258" s="114"/>
      <c r="S258" s="114"/>
      <c r="T258" s="114"/>
      <c r="U258" s="114"/>
      <c r="V258" s="114"/>
      <c r="W258" s="114"/>
      <c r="X258" s="845"/>
      <c r="Y258" s="708"/>
      <c r="Z258" s="114"/>
      <c r="AA258" s="114"/>
      <c r="AB258" s="114"/>
      <c r="AC258" s="114"/>
      <c r="AD258" s="114"/>
      <c r="AE258" s="114">
        <v>2</v>
      </c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</row>
    <row r="259" spans="2:41" s="58" customFormat="1">
      <c r="B259" s="88"/>
      <c r="C259" s="88">
        <f t="shared" si="20"/>
        <v>-255</v>
      </c>
      <c r="D259" s="61">
        <f t="shared" si="18"/>
        <v>255</v>
      </c>
      <c r="E259" s="114">
        <v>4666</v>
      </c>
      <c r="F259" s="64" t="str">
        <f>IFERROR(VLOOKUP(Table4[[#This Row],[Player No]],Table10[[No]:[Province]],2,0),"")</f>
        <v xml:space="preserve">FATAAR Yaaseen </v>
      </c>
      <c r="G259" s="65" t="str">
        <f>IFERROR(VLOOKUP(Table4[[#This Row],[Player No]],Table10[[No]:[Province]],3,0),"")</f>
        <v>CT</v>
      </c>
      <c r="H259" s="116">
        <v>0</v>
      </c>
      <c r="I259" s="124">
        <v>2</v>
      </c>
      <c r="J259" s="124">
        <f>(Table4[[#This Row],[Points 2025]]/2)+SUM(Table4[[#This Row],[O1  ADMIN 2026]:[P2         WC    Open 2026]])</f>
        <v>1</v>
      </c>
      <c r="K259" s="106">
        <f t="shared" si="16"/>
        <v>0</v>
      </c>
      <c r="L259" s="106">
        <f t="shared" si="17"/>
        <v>0</v>
      </c>
      <c r="M259" s="106" t="s">
        <v>6083</v>
      </c>
      <c r="N259" s="114" t="s">
        <v>6083</v>
      </c>
      <c r="O259" s="114" t="s">
        <v>6083</v>
      </c>
      <c r="P259" s="114"/>
      <c r="Q259" s="114"/>
      <c r="R259" s="114"/>
      <c r="S259" s="114"/>
      <c r="T259" s="114"/>
      <c r="U259" s="114"/>
      <c r="V259" s="114"/>
      <c r="W259" s="114"/>
      <c r="X259" s="845"/>
      <c r="Y259" s="708"/>
      <c r="Z259" s="114"/>
      <c r="AA259" s="114"/>
      <c r="AB259" s="114"/>
      <c r="AC259" s="114"/>
      <c r="AD259" s="114"/>
      <c r="AE259" s="114">
        <v>2</v>
      </c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</row>
    <row r="260" spans="2:41" s="58" customFormat="1">
      <c r="B260" s="88"/>
      <c r="C260" s="88">
        <f t="shared" si="20"/>
        <v>-256</v>
      </c>
      <c r="D260" s="61">
        <f t="shared" si="18"/>
        <v>256</v>
      </c>
      <c r="E260" s="114">
        <v>4667</v>
      </c>
      <c r="F260" s="64" t="str">
        <f>IFERROR(VLOOKUP(Table4[[#This Row],[Player No]],Table10[[No]:[Province]],2,0),"")</f>
        <v xml:space="preserve">BAARTMAN Riedwaan </v>
      </c>
      <c r="G260" s="65" t="str">
        <f>IFERROR(VLOOKUP(Table4[[#This Row],[Player No]],Table10[[No]:[Province]],3,0),"")</f>
        <v>CW</v>
      </c>
      <c r="H260" s="116">
        <v>0</v>
      </c>
      <c r="I260" s="124">
        <v>2</v>
      </c>
      <c r="J260" s="124">
        <f>(Table4[[#This Row],[Points 2025]]/2)+SUM(Table4[[#This Row],[O1  ADMIN 2026]:[P2         WC    Open 2026]])</f>
        <v>1</v>
      </c>
      <c r="K260" s="106">
        <f t="shared" si="16"/>
        <v>0</v>
      </c>
      <c r="L260" s="106">
        <f t="shared" si="17"/>
        <v>0</v>
      </c>
      <c r="M260" s="106" t="s">
        <v>6083</v>
      </c>
      <c r="N260" s="114" t="s">
        <v>6083</v>
      </c>
      <c r="O260" s="114" t="s">
        <v>6083</v>
      </c>
      <c r="P260" s="114"/>
      <c r="Q260" s="114"/>
      <c r="R260" s="114"/>
      <c r="S260" s="114"/>
      <c r="T260" s="114"/>
      <c r="U260" s="114"/>
      <c r="V260" s="114"/>
      <c r="W260" s="114"/>
      <c r="X260" s="845"/>
      <c r="Y260" s="708"/>
      <c r="Z260" s="114"/>
      <c r="AA260" s="114"/>
      <c r="AB260" s="114"/>
      <c r="AC260" s="114"/>
      <c r="AD260" s="114"/>
      <c r="AE260" s="114">
        <v>2</v>
      </c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</row>
    <row r="261" spans="2:41" s="58" customFormat="1">
      <c r="B261" s="88"/>
      <c r="C261" s="88">
        <f t="shared" si="20"/>
        <v>-257</v>
      </c>
      <c r="D261" s="61">
        <f t="shared" si="18"/>
        <v>257</v>
      </c>
      <c r="E261" s="114">
        <v>4586</v>
      </c>
      <c r="F261" s="64" t="str">
        <f>IFERROR(VLOOKUP(Table4[[#This Row],[Player No]],Table10[[No]:[Province]],2,0),"")</f>
        <v>CHETTY Japhet Cayo</v>
      </c>
      <c r="G261" s="65" t="str">
        <f>IFERROR(VLOOKUP(Table4[[#This Row],[Player No]],Table10[[No]:[Province]],3,0),"")</f>
        <v>ETTA</v>
      </c>
      <c r="H261" s="116"/>
      <c r="I261" s="124">
        <v>0</v>
      </c>
      <c r="J261" s="124">
        <f>(Table4[[#This Row],[Points 2025]]/2)+SUM(Table4[[#This Row],[O1  ADMIN 2026]:[P2         WC    Open 2026]])</f>
        <v>1</v>
      </c>
      <c r="K261" s="106">
        <f t="shared" ref="K261:K324" si="21">COUNTIF(M261:P261,"&gt;0")</f>
        <v>1</v>
      </c>
      <c r="L261" s="106">
        <f t="shared" ref="L261:L324" si="22">COUNTIF(N261:AO261,"&lt;0")</f>
        <v>0</v>
      </c>
      <c r="M261" s="106" t="s">
        <v>6083</v>
      </c>
      <c r="N261" s="114" t="s">
        <v>6083</v>
      </c>
      <c r="O261" s="114">
        <v>1</v>
      </c>
      <c r="P261" s="114"/>
      <c r="Q261" s="114"/>
      <c r="R261" s="114"/>
      <c r="S261" s="114"/>
      <c r="T261" s="114"/>
      <c r="U261" s="114"/>
      <c r="V261" s="114"/>
      <c r="W261" s="114"/>
      <c r="X261" s="845"/>
      <c r="Y261" s="708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</row>
    <row r="262" spans="2:41" s="58" customFormat="1">
      <c r="B262" s="88"/>
      <c r="C262" s="88">
        <f t="shared" si="20"/>
        <v>-258</v>
      </c>
      <c r="D262" s="61">
        <f t="shared" si="18"/>
        <v>258</v>
      </c>
      <c r="E262" s="114">
        <v>3360</v>
      </c>
      <c r="F262" s="64" t="str">
        <f>IFERROR(VLOOKUP(Table4[[#This Row],[Player No]],Table10[[No]:[Province]],2,0),"")</f>
        <v>MAHLANGU Sihle</v>
      </c>
      <c r="G262" s="65" t="str">
        <f>IFERROR(VLOOKUP(Table4[[#This Row],[Player No]],Table10[[No]:[Province]],3,0),"")</f>
        <v>CT</v>
      </c>
      <c r="H262" s="116"/>
      <c r="I262" s="124">
        <v>0</v>
      </c>
      <c r="J262" s="124">
        <f>(Table4[[#This Row],[Points 2025]]/2)+SUM(Table4[[#This Row],[O1  ADMIN 2026]:[P2         WC    Open 2026]])</f>
        <v>1</v>
      </c>
      <c r="K262" s="106">
        <f t="shared" si="21"/>
        <v>1</v>
      </c>
      <c r="L262" s="106">
        <f t="shared" si="22"/>
        <v>0</v>
      </c>
      <c r="M262" s="106" t="s">
        <v>6083</v>
      </c>
      <c r="N262" s="114" t="s">
        <v>6083</v>
      </c>
      <c r="O262" s="114">
        <v>1</v>
      </c>
      <c r="P262" s="114"/>
      <c r="Q262" s="114"/>
      <c r="R262" s="114"/>
      <c r="S262" s="114"/>
      <c r="T262" s="114"/>
      <c r="U262" s="114"/>
      <c r="V262" s="114"/>
      <c r="W262" s="114"/>
      <c r="X262" s="845"/>
      <c r="Y262" s="708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</row>
    <row r="263" spans="2:41" s="58" customFormat="1">
      <c r="B263" s="88"/>
      <c r="C263" s="88">
        <f t="shared" si="20"/>
        <v>-259</v>
      </c>
      <c r="D263" s="61">
        <f t="shared" ref="D263:D326" si="23">D262+1</f>
        <v>259</v>
      </c>
      <c r="E263" s="189">
        <v>3912</v>
      </c>
      <c r="F263" s="64" t="str">
        <f>IFERROR(VLOOKUP(Table4[[#This Row],[Player No]],Table10[[No]:[Province]],2,0),"")</f>
        <v>NGWEU Samkelo</v>
      </c>
      <c r="G263" s="65" t="str">
        <f>IFERROR(VLOOKUP(Table4[[#This Row],[Player No]],Table10[[No]:[Province]],3,0),"")</f>
        <v>ETTA</v>
      </c>
      <c r="H263" s="192"/>
      <c r="I263" s="193">
        <v>0</v>
      </c>
      <c r="J263" s="124">
        <f>(Table4[[#This Row],[Points 2025]]/2)+SUM(Table4[[#This Row],[O1  ADMIN 2026]:[P2         WC    Open 2026]])</f>
        <v>1</v>
      </c>
      <c r="K263" s="106">
        <f t="shared" si="21"/>
        <v>1</v>
      </c>
      <c r="L263" s="106">
        <f t="shared" si="22"/>
        <v>0</v>
      </c>
      <c r="M263" s="838" t="s">
        <v>6083</v>
      </c>
      <c r="N263" s="442" t="s">
        <v>6083</v>
      </c>
      <c r="O263" s="442">
        <v>1</v>
      </c>
      <c r="P263" s="442"/>
      <c r="Q263" s="189"/>
      <c r="R263" s="189"/>
      <c r="S263" s="189"/>
      <c r="T263" s="189"/>
      <c r="U263" s="189"/>
      <c r="V263" s="189"/>
      <c r="W263" s="189"/>
      <c r="X263" s="853"/>
      <c r="Y263" s="442"/>
      <c r="Z263" s="189"/>
      <c r="AA263" s="189"/>
      <c r="AB263" s="401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</row>
    <row r="264" spans="2:41" s="58" customFormat="1">
      <c r="B264" s="88"/>
      <c r="C264" s="88">
        <f t="shared" si="20"/>
        <v>-260</v>
      </c>
      <c r="D264" s="61">
        <f t="shared" si="23"/>
        <v>260</v>
      </c>
      <c r="E264" s="189">
        <v>4814</v>
      </c>
      <c r="F264" s="64" t="str">
        <f>IFERROR(VLOOKUP(Table4[[#This Row],[Player No]],Table10[[No]:[Province]],2,0),"")</f>
        <v>STODART Rouan</v>
      </c>
      <c r="G264" s="65" t="str">
        <f>IFERROR(VLOOKUP(Table4[[#This Row],[Player No]],Table10[[No]:[Province]],3,0),"")</f>
        <v>GN</v>
      </c>
      <c r="H264" s="192"/>
      <c r="I264" s="193">
        <v>0</v>
      </c>
      <c r="J264" s="124">
        <f>(Table4[[#This Row],[Points 2025]]/2)+SUM(Table4[[#This Row],[O1  ADMIN 2026]:[P2         WC    Open 2026]])</f>
        <v>1</v>
      </c>
      <c r="K264" s="106">
        <f t="shared" si="21"/>
        <v>1</v>
      </c>
      <c r="L264" s="106">
        <f t="shared" si="22"/>
        <v>0</v>
      </c>
      <c r="M264" s="838">
        <v>1</v>
      </c>
      <c r="N264" s="442" t="s">
        <v>6083</v>
      </c>
      <c r="O264" s="442" t="str">
        <f>IFERROR(VALUE(IF(Table4[[#This Row],[Player No]]="","",IFERROR(VLOOKUP(Table4[[#This Row],[Player No]],'[2]U19 Boys'!$Z$14:$AB$63,2,FALSE)&amp;"",""))),"")</f>
        <v/>
      </c>
      <c r="P264" s="442"/>
      <c r="Q264" s="189"/>
      <c r="R264" s="189"/>
      <c r="S264" s="189"/>
      <c r="T264" s="189"/>
      <c r="U264" s="189"/>
      <c r="V264" s="189"/>
      <c r="W264" s="189"/>
      <c r="X264" s="853"/>
      <c r="Y264" s="442"/>
      <c r="Z264" s="189"/>
      <c r="AA264" s="189"/>
      <c r="AB264" s="401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</row>
    <row r="265" spans="2:41" s="58" customFormat="1">
      <c r="B265" s="88"/>
      <c r="C265" s="88">
        <f t="shared" si="20"/>
        <v>-261</v>
      </c>
      <c r="D265" s="61">
        <f t="shared" si="23"/>
        <v>261</v>
      </c>
      <c r="E265" s="189">
        <v>4815</v>
      </c>
      <c r="F265" s="64" t="str">
        <f>IFERROR(VLOOKUP(Table4[[#This Row],[Player No]],Table10[[No]:[Province]],2,0),"")</f>
        <v>SANTANA Logan</v>
      </c>
      <c r="G265" s="65" t="str">
        <f>IFERROR(VLOOKUP(Table4[[#This Row],[Player No]],Table10[[No]:[Province]],3,0),"")</f>
        <v>GN</v>
      </c>
      <c r="H265" s="192"/>
      <c r="I265" s="193">
        <v>0</v>
      </c>
      <c r="J265" s="124">
        <f>(Table4[[#This Row],[Points 2025]]/2)+SUM(Table4[[#This Row],[O1  ADMIN 2026]:[P2         WC    Open 2026]])</f>
        <v>1</v>
      </c>
      <c r="K265" s="106">
        <f t="shared" si="21"/>
        <v>1</v>
      </c>
      <c r="L265" s="106">
        <f t="shared" si="22"/>
        <v>0</v>
      </c>
      <c r="M265" s="838">
        <v>1</v>
      </c>
      <c r="N265" s="442" t="s">
        <v>6083</v>
      </c>
      <c r="O265" s="442" t="str">
        <f>IFERROR(VALUE(IF(Table4[[#This Row],[Player No]]="","",IFERROR(VLOOKUP(Table4[[#This Row],[Player No]],'[2]U19 Boys'!$Z$14:$AB$63,2,FALSE)&amp;"",""))),"")</f>
        <v/>
      </c>
      <c r="P265" s="442"/>
      <c r="Q265" s="189"/>
      <c r="R265" s="189"/>
      <c r="S265" s="189"/>
      <c r="T265" s="189"/>
      <c r="U265" s="189"/>
      <c r="V265" s="189"/>
      <c r="W265" s="189"/>
      <c r="X265" s="853"/>
      <c r="Y265" s="442"/>
      <c r="Z265" s="189"/>
      <c r="AA265" s="189"/>
      <c r="AB265" s="401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</row>
    <row r="266" spans="2:41" s="58" customFormat="1">
      <c r="B266" s="88"/>
      <c r="C266" s="88">
        <f t="shared" si="20"/>
        <v>-262</v>
      </c>
      <c r="D266" s="61">
        <f t="shared" si="23"/>
        <v>262</v>
      </c>
      <c r="E266" s="189">
        <v>4816</v>
      </c>
      <c r="F266" s="64" t="str">
        <f>IFERROR(VLOOKUP(Table4[[#This Row],[Player No]],Table10[[No]:[Province]],2,0),"")</f>
        <v>STODART Reuben</v>
      </c>
      <c r="G266" s="65" t="str">
        <f>IFERROR(VLOOKUP(Table4[[#This Row],[Player No]],Table10[[No]:[Province]],3,0),"")</f>
        <v>GN</v>
      </c>
      <c r="H266" s="192"/>
      <c r="I266" s="193">
        <v>0</v>
      </c>
      <c r="J266" s="124">
        <f>(Table4[[#This Row],[Points 2025]]/2)+SUM(Table4[[#This Row],[O1  ADMIN 2026]:[P2         WC    Open 2026]])</f>
        <v>1</v>
      </c>
      <c r="K266" s="106">
        <f t="shared" si="21"/>
        <v>1</v>
      </c>
      <c r="L266" s="106">
        <f t="shared" si="22"/>
        <v>0</v>
      </c>
      <c r="M266" s="838">
        <v>1</v>
      </c>
      <c r="N266" s="442" t="s">
        <v>6083</v>
      </c>
      <c r="O266" s="442" t="str">
        <f>IFERROR(VALUE(IF(Table4[[#This Row],[Player No]]="","",IFERROR(VLOOKUP(Table4[[#This Row],[Player No]],'[2]U19 Boys'!$Z$14:$AB$63,2,FALSE)&amp;"",""))),"")</f>
        <v/>
      </c>
      <c r="P266" s="442"/>
      <c r="Q266" s="189"/>
      <c r="R266" s="189"/>
      <c r="S266" s="189"/>
      <c r="T266" s="189"/>
      <c r="U266" s="189"/>
      <c r="V266" s="189"/>
      <c r="W266" s="189"/>
      <c r="X266" s="853"/>
      <c r="Y266" s="442"/>
      <c r="Z266" s="189"/>
      <c r="AA266" s="189"/>
      <c r="AB266" s="401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</row>
    <row r="267" spans="2:41" s="58" customFormat="1">
      <c r="B267" s="88"/>
      <c r="C267" s="88">
        <f t="shared" si="20"/>
        <v>-263</v>
      </c>
      <c r="D267" s="61">
        <f t="shared" si="23"/>
        <v>263</v>
      </c>
      <c r="E267" s="189">
        <v>4817</v>
      </c>
      <c r="F267" s="64" t="str">
        <f>IFERROR(VLOOKUP(Table4[[#This Row],[Player No]],Table10[[No]:[Province]],2,0),"")</f>
        <v>DU PLESSIS Valentine</v>
      </c>
      <c r="G267" s="65" t="str">
        <f>IFERROR(VLOOKUP(Table4[[#This Row],[Player No]],Table10[[No]:[Province]],3,0),"")</f>
        <v>GN</v>
      </c>
      <c r="H267" s="192"/>
      <c r="I267" s="193">
        <v>0</v>
      </c>
      <c r="J267" s="124">
        <f>(Table4[[#This Row],[Points 2025]]/2)+SUM(Table4[[#This Row],[O1  ADMIN 2026]:[P2         WC    Open 2026]])</f>
        <v>1</v>
      </c>
      <c r="K267" s="106">
        <f t="shared" si="21"/>
        <v>1</v>
      </c>
      <c r="L267" s="106">
        <f t="shared" si="22"/>
        <v>0</v>
      </c>
      <c r="M267" s="838">
        <v>1</v>
      </c>
      <c r="N267" s="442" t="s">
        <v>6083</v>
      </c>
      <c r="O267" s="442" t="str">
        <f>IFERROR(VALUE(IF(Table4[[#This Row],[Player No]]="","",IFERROR(VLOOKUP(Table4[[#This Row],[Player No]],'[2]U19 Boys'!$Z$14:$AB$63,2,FALSE)&amp;"",""))),"")</f>
        <v/>
      </c>
      <c r="P267" s="442"/>
      <c r="Q267" s="189"/>
      <c r="R267" s="189"/>
      <c r="S267" s="189"/>
      <c r="T267" s="189"/>
      <c r="U267" s="189"/>
      <c r="V267" s="189"/>
      <c r="W267" s="189"/>
      <c r="X267" s="853"/>
      <c r="Y267" s="442"/>
      <c r="Z267" s="189"/>
      <c r="AA267" s="189"/>
      <c r="AB267" s="401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</row>
    <row r="268" spans="2:41" s="58" customFormat="1">
      <c r="B268" s="88"/>
      <c r="C268" s="88">
        <f t="shared" si="20"/>
        <v>-264</v>
      </c>
      <c r="D268" s="61">
        <f t="shared" si="23"/>
        <v>264</v>
      </c>
      <c r="E268" s="189">
        <v>4818</v>
      </c>
      <c r="F268" s="64" t="str">
        <f>IFERROR(VLOOKUP(Table4[[#This Row],[Player No]],Table10[[No]:[Province]],2,0),"")</f>
        <v>TSIANE Makhosi</v>
      </c>
      <c r="G268" s="65" t="str">
        <f>IFERROR(VLOOKUP(Table4[[#This Row],[Player No]],Table10[[No]:[Province]],3,0),"")</f>
        <v>FS</v>
      </c>
      <c r="H268" s="192"/>
      <c r="I268" s="193">
        <v>0</v>
      </c>
      <c r="J268" s="124">
        <f>(Table4[[#This Row],[Points 2025]]/2)+SUM(Table4[[#This Row],[O1  ADMIN 2026]:[P2         WC    Open 2026]])</f>
        <v>1</v>
      </c>
      <c r="K268" s="106">
        <f t="shared" si="21"/>
        <v>1</v>
      </c>
      <c r="L268" s="106">
        <f t="shared" si="22"/>
        <v>0</v>
      </c>
      <c r="M268" s="838">
        <v>1</v>
      </c>
      <c r="N268" s="442" t="s">
        <v>6083</v>
      </c>
      <c r="O268" s="442" t="str">
        <f>IFERROR(VALUE(IF(Table4[[#This Row],[Player No]]="","",IFERROR(VLOOKUP(Table4[[#This Row],[Player No]],'[2]U19 Boys'!$Z$14:$AB$63,2,FALSE)&amp;"",""))),"")</f>
        <v/>
      </c>
      <c r="P268" s="442"/>
      <c r="Q268" s="189"/>
      <c r="R268" s="189"/>
      <c r="S268" s="189"/>
      <c r="T268" s="189"/>
      <c r="U268" s="189"/>
      <c r="V268" s="189"/>
      <c r="W268" s="189"/>
      <c r="X268" s="853"/>
      <c r="Y268" s="442"/>
      <c r="Z268" s="189"/>
      <c r="AA268" s="189"/>
      <c r="AB268" s="401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</row>
    <row r="269" spans="2:41" s="58" customFormat="1">
      <c r="B269" s="88"/>
      <c r="C269" s="88">
        <f t="shared" si="20"/>
        <v>-265</v>
      </c>
      <c r="D269" s="61">
        <f t="shared" si="23"/>
        <v>265</v>
      </c>
      <c r="E269" s="189">
        <v>4819</v>
      </c>
      <c r="F269" s="64" t="str">
        <f>IFERROR(VLOOKUP(Table4[[#This Row],[Player No]],Table10[[No]:[Province]],2,0),"")</f>
        <v>UYS Lavras</v>
      </c>
      <c r="G269" s="65" t="str">
        <f>IFERROR(VLOOKUP(Table4[[#This Row],[Player No]],Table10[[No]:[Province]],3,0),"")</f>
        <v>GN</v>
      </c>
      <c r="H269" s="192"/>
      <c r="I269" s="193">
        <v>0</v>
      </c>
      <c r="J269" s="124">
        <f>(Table4[[#This Row],[Points 2025]]/2)+SUM(Table4[[#This Row],[O1  ADMIN 2026]:[P2         WC    Open 2026]])</f>
        <v>1</v>
      </c>
      <c r="K269" s="106">
        <f t="shared" si="21"/>
        <v>1</v>
      </c>
      <c r="L269" s="106">
        <f t="shared" si="22"/>
        <v>0</v>
      </c>
      <c r="M269" s="838">
        <v>1</v>
      </c>
      <c r="N269" s="442" t="s">
        <v>6083</v>
      </c>
      <c r="O269" s="442" t="str">
        <f>IFERROR(VALUE(IF(Table4[[#This Row],[Player No]]="","",IFERROR(VLOOKUP(Table4[[#This Row],[Player No]],'[2]U19 Boys'!$Z$14:$AB$63,2,FALSE)&amp;"",""))),"")</f>
        <v/>
      </c>
      <c r="P269" s="442"/>
      <c r="Q269" s="189"/>
      <c r="R269" s="189"/>
      <c r="S269" s="189"/>
      <c r="T269" s="189"/>
      <c r="U269" s="189"/>
      <c r="V269" s="189"/>
      <c r="W269" s="189"/>
      <c r="X269" s="853"/>
      <c r="Y269" s="442"/>
      <c r="Z269" s="189"/>
      <c r="AA269" s="189"/>
      <c r="AB269" s="401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</row>
    <row r="270" spans="2:41" s="58" customFormat="1">
      <c r="B270" s="88"/>
      <c r="C270" s="88">
        <f t="shared" si="20"/>
        <v>-266</v>
      </c>
      <c r="D270" s="61">
        <f t="shared" si="23"/>
        <v>266</v>
      </c>
      <c r="E270" s="189">
        <v>4678</v>
      </c>
      <c r="F270" s="64" t="str">
        <f>IFERROR(VLOOKUP(Table4[[#This Row],[Player No]],Table10[[No]:[Province]],2,0),"")</f>
        <v>Tyrelle KISTAN</v>
      </c>
      <c r="G270" s="65" t="str">
        <f>IFERROR(VLOOKUP(Table4[[#This Row],[Player No]],Table10[[No]:[Province]],3,0),"")</f>
        <v>GN</v>
      </c>
      <c r="H270" s="192"/>
      <c r="I270" s="193">
        <v>0</v>
      </c>
      <c r="J270" s="124">
        <f>(Table4[[#This Row],[Points 2025]]/2)+SUM(Table4[[#This Row],[O1  ADMIN 2026]:[P2         WC    Open 2026]])</f>
        <v>1</v>
      </c>
      <c r="K270" s="106">
        <f t="shared" si="21"/>
        <v>1</v>
      </c>
      <c r="L270" s="106">
        <f t="shared" si="22"/>
        <v>0</v>
      </c>
      <c r="M270" s="838">
        <v>1</v>
      </c>
      <c r="N270" s="442" t="s">
        <v>6083</v>
      </c>
      <c r="O270" s="442" t="str">
        <f>IFERROR(VALUE(IF(Table4[[#This Row],[Player No]]="","",IFERROR(VLOOKUP(Table4[[#This Row],[Player No]],'[2]U19 Boys'!$Z$14:$AB$63,2,FALSE)&amp;"",""))),"")</f>
        <v/>
      </c>
      <c r="P270" s="442"/>
      <c r="Q270" s="189"/>
      <c r="R270" s="189"/>
      <c r="S270" s="189"/>
      <c r="T270" s="189"/>
      <c r="U270" s="189"/>
      <c r="V270" s="189"/>
      <c r="W270" s="189"/>
      <c r="X270" s="853"/>
      <c r="Y270" s="442"/>
      <c r="Z270" s="189"/>
      <c r="AA270" s="189"/>
      <c r="AB270" s="401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</row>
    <row r="271" spans="2:41" s="58" customFormat="1">
      <c r="B271" s="88"/>
      <c r="C271" s="88">
        <f t="shared" si="20"/>
        <v>-267</v>
      </c>
      <c r="D271" s="61">
        <f t="shared" si="23"/>
        <v>267</v>
      </c>
      <c r="E271" s="189">
        <v>4399</v>
      </c>
      <c r="F271" s="64" t="str">
        <f>IFERROR(VLOOKUP(Table4[[#This Row],[Player No]],Table10[[No]:[Province]],2,0),"")</f>
        <v>GOKHALE Ishaan</v>
      </c>
      <c r="G271" s="65" t="str">
        <f>IFERROR(VLOOKUP(Table4[[#This Row],[Player No]],Table10[[No]:[Province]],3,0),"")</f>
        <v>GN</v>
      </c>
      <c r="H271" s="192"/>
      <c r="I271" s="193">
        <v>0</v>
      </c>
      <c r="J271" s="124">
        <f>(Table4[[#This Row],[Points 2025]]/2)+SUM(Table4[[#This Row],[O1  ADMIN 2026]:[P2         WC    Open 2026]])</f>
        <v>1</v>
      </c>
      <c r="K271" s="106">
        <f t="shared" si="21"/>
        <v>1</v>
      </c>
      <c r="L271" s="106">
        <f t="shared" si="22"/>
        <v>0</v>
      </c>
      <c r="M271" s="838">
        <v>1</v>
      </c>
      <c r="N271" s="442" t="s">
        <v>6083</v>
      </c>
      <c r="O271" s="442" t="str">
        <f>IFERROR(VALUE(IF(Table4[[#This Row],[Player No]]="","",IFERROR(VLOOKUP(Table4[[#This Row],[Player No]],'[2]U19 Boys'!$Z$14:$AB$63,2,FALSE)&amp;"",""))),"")</f>
        <v/>
      </c>
      <c r="P271" s="442"/>
      <c r="Q271" s="189"/>
      <c r="R271" s="189"/>
      <c r="S271" s="189"/>
      <c r="T271" s="189"/>
      <c r="U271" s="189"/>
      <c r="V271" s="189"/>
      <c r="W271" s="189"/>
      <c r="X271" s="853"/>
      <c r="Y271" s="442"/>
      <c r="Z271" s="189"/>
      <c r="AA271" s="189"/>
      <c r="AB271" s="401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</row>
    <row r="272" spans="2:41" s="58" customFormat="1">
      <c r="B272" s="88"/>
      <c r="C272" s="88">
        <f t="shared" si="20"/>
        <v>-268</v>
      </c>
      <c r="D272" s="61">
        <f t="shared" si="23"/>
        <v>268</v>
      </c>
      <c r="E272" s="189">
        <v>4091</v>
      </c>
      <c r="F272" s="64" t="str">
        <f>IFERROR(VLOOKUP(Table4[[#This Row],[Player No]],Table10[[No]:[Province]],2,0),"")</f>
        <v>Reshalin Govender</v>
      </c>
      <c r="G272" s="65" t="str">
        <f>IFERROR(VLOOKUP(Table4[[#This Row],[Player No]],Table10[[No]:[Province]],3,0),"")</f>
        <v>JTTA</v>
      </c>
      <c r="H272" s="192"/>
      <c r="I272" s="193">
        <v>0</v>
      </c>
      <c r="J272" s="124">
        <f>(Table4[[#This Row],[Points 2025]]/2)+SUM(Table4[[#This Row],[O1  ADMIN 2026]:[P2         WC    Open 2026]])</f>
        <v>1</v>
      </c>
      <c r="K272" s="106">
        <f t="shared" si="21"/>
        <v>1</v>
      </c>
      <c r="L272" s="106">
        <f t="shared" si="22"/>
        <v>0</v>
      </c>
      <c r="M272" s="838">
        <v>1</v>
      </c>
      <c r="N272" s="442" t="s">
        <v>6083</v>
      </c>
      <c r="O272" s="442" t="str">
        <f>IFERROR(VALUE(IF(Table4[[#This Row],[Player No]]="","",IFERROR(VLOOKUP(Table4[[#This Row],[Player No]],'[2]U19 Boys'!$Z$14:$AB$63,2,FALSE)&amp;"",""))),"")</f>
        <v/>
      </c>
      <c r="P272" s="442"/>
      <c r="Q272" s="189"/>
      <c r="R272" s="189"/>
      <c r="S272" s="189"/>
      <c r="T272" s="189"/>
      <c r="U272" s="189"/>
      <c r="V272" s="189"/>
      <c r="W272" s="189"/>
      <c r="X272" s="853"/>
      <c r="Y272" s="442"/>
      <c r="Z272" s="189"/>
      <c r="AA272" s="189"/>
      <c r="AB272" s="401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</row>
    <row r="273" spans="2:41" s="58" customFormat="1">
      <c r="B273" s="88"/>
      <c r="C273" s="88">
        <f t="shared" si="20"/>
        <v>-269</v>
      </c>
      <c r="D273" s="61">
        <f t="shared" si="23"/>
        <v>269</v>
      </c>
      <c r="E273" s="189">
        <v>4669</v>
      </c>
      <c r="F273" s="64" t="str">
        <f>IFERROR(VLOOKUP(Table4[[#This Row],[Player No]],Table10[[No]:[Province]],2,0),"")</f>
        <v xml:space="preserve">VILLET Troy </v>
      </c>
      <c r="G273" s="65" t="str">
        <f>IFERROR(VLOOKUP(Table4[[#This Row],[Player No]],Table10[[No]:[Province]],3,0),"")</f>
        <v>CT</v>
      </c>
      <c r="H273" s="192">
        <v>0</v>
      </c>
      <c r="I273" s="193">
        <v>1.75</v>
      </c>
      <c r="J273" s="124">
        <f>(Table4[[#This Row],[Points 2025]]/2)+SUM(Table4[[#This Row],[O1  ADMIN 2026]:[P2         WC    Open 2026]])</f>
        <v>0.875</v>
      </c>
      <c r="K273" s="106">
        <f t="shared" si="21"/>
        <v>0</v>
      </c>
      <c r="L273" s="106">
        <f t="shared" si="22"/>
        <v>0</v>
      </c>
      <c r="M273" s="838" t="s">
        <v>6083</v>
      </c>
      <c r="N273" s="442" t="s">
        <v>6083</v>
      </c>
      <c r="O273" s="442" t="s">
        <v>6083</v>
      </c>
      <c r="P273" s="442"/>
      <c r="Q273" s="189"/>
      <c r="R273" s="189"/>
      <c r="S273" s="189"/>
      <c r="T273" s="189"/>
      <c r="U273" s="189"/>
      <c r="V273" s="189"/>
      <c r="W273" s="189"/>
      <c r="X273" s="853"/>
      <c r="Y273" s="442"/>
      <c r="Z273" s="189"/>
      <c r="AA273" s="189"/>
      <c r="AB273" s="401"/>
      <c r="AC273" s="189"/>
      <c r="AD273" s="189"/>
      <c r="AE273" s="189">
        <v>2</v>
      </c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</row>
    <row r="274" spans="2:41" s="58" customFormat="1">
      <c r="B274" s="87"/>
      <c r="C274" s="88">
        <f t="shared" si="20"/>
        <v>-270</v>
      </c>
      <c r="D274" s="61">
        <f t="shared" si="23"/>
        <v>270</v>
      </c>
      <c r="E274" s="189">
        <v>3449</v>
      </c>
      <c r="F274" s="64" t="str">
        <f>IFERROR(VLOOKUP(Table4[[#This Row],[Player No]],Table10[[No]:[Province]],2,0),"")</f>
        <v>RABSON Tebogo</v>
      </c>
      <c r="G274" s="65" t="str">
        <f>IFERROR(VLOOKUP(Table4[[#This Row],[Player No]],Table10[[No]:[Province]],3,0),"")</f>
        <v>JTTA</v>
      </c>
      <c r="H274" s="192">
        <v>3.5</v>
      </c>
      <c r="I274" s="193">
        <v>1.5</v>
      </c>
      <c r="J274" s="124">
        <f>(Table4[[#This Row],[Points 2025]]/2)+SUM(Table4[[#This Row],[O1  ADMIN 2026]:[P2         WC    Open 2026]])</f>
        <v>0.75</v>
      </c>
      <c r="K274" s="106">
        <f t="shared" si="21"/>
        <v>0</v>
      </c>
      <c r="L274" s="106">
        <f t="shared" si="22"/>
        <v>0</v>
      </c>
      <c r="M274" s="838" t="s">
        <v>6083</v>
      </c>
      <c r="N274" s="442" t="s">
        <v>6083</v>
      </c>
      <c r="O274" s="442" t="s">
        <v>6083</v>
      </c>
      <c r="P274" s="442"/>
      <c r="Q274" s="189"/>
      <c r="R274" s="189"/>
      <c r="S274" s="189"/>
      <c r="T274" s="189"/>
      <c r="U274" s="189"/>
      <c r="V274" s="189"/>
      <c r="W274" s="189"/>
      <c r="X274" s="853"/>
      <c r="Y274" s="442"/>
      <c r="Z274" s="189"/>
      <c r="AA274" s="189"/>
      <c r="AB274" s="401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</row>
    <row r="275" spans="2:41" s="58" customFormat="1">
      <c r="B275" s="87">
        <v>116</v>
      </c>
      <c r="C275" s="88">
        <f t="shared" si="20"/>
        <v>-155</v>
      </c>
      <c r="D275" s="61">
        <f t="shared" si="23"/>
        <v>271</v>
      </c>
      <c r="E275" s="189">
        <v>3836</v>
      </c>
      <c r="F275" s="64" t="str">
        <f>IFERROR(VLOOKUP(Table4[[#This Row],[Player No]],Table10[[No]:[Province]],2,0),"")</f>
        <v>PHATELI Tshepang</v>
      </c>
      <c r="G275" s="65" t="str">
        <f>IFERROR(VLOOKUP(Table4[[#This Row],[Player No]],Table10[[No]:[Province]],3,0),"")</f>
        <v>JTTA</v>
      </c>
      <c r="H275" s="192">
        <v>3</v>
      </c>
      <c r="I275" s="193">
        <v>1.5</v>
      </c>
      <c r="J275" s="124">
        <f>(Table4[[#This Row],[Points 2025]]/2)+SUM(Table4[[#This Row],[O1  ADMIN 2026]:[P2         WC    Open 2026]])</f>
        <v>0.75</v>
      </c>
      <c r="K275" s="106">
        <f t="shared" si="21"/>
        <v>0</v>
      </c>
      <c r="L275" s="106">
        <f t="shared" si="22"/>
        <v>0</v>
      </c>
      <c r="M275" s="838" t="s">
        <v>6083</v>
      </c>
      <c r="N275" s="442" t="s">
        <v>6083</v>
      </c>
      <c r="O275" s="442" t="s">
        <v>6083</v>
      </c>
      <c r="P275" s="442"/>
      <c r="Q275" s="189"/>
      <c r="R275" s="189"/>
      <c r="S275" s="189"/>
      <c r="T275" s="189"/>
      <c r="U275" s="189"/>
      <c r="V275" s="189"/>
      <c r="W275" s="189"/>
      <c r="X275" s="853"/>
      <c r="Y275" s="442"/>
      <c r="Z275" s="189"/>
      <c r="AA275" s="189"/>
      <c r="AB275" s="401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>
        <v>2</v>
      </c>
      <c r="AN275" s="189">
        <v>1</v>
      </c>
      <c r="AO275" s="189"/>
    </row>
    <row r="276" spans="2:41" s="58" customFormat="1">
      <c r="B276" s="87">
        <v>115</v>
      </c>
      <c r="C276" s="88">
        <f t="shared" si="20"/>
        <v>-157</v>
      </c>
      <c r="D276" s="61">
        <f t="shared" si="23"/>
        <v>272</v>
      </c>
      <c r="E276" s="189">
        <v>4305</v>
      </c>
      <c r="F276" s="64" t="str">
        <f>IFERROR(VLOOKUP(Table4[[#This Row],[Player No]],Table10[[No]:[Province]],2,0),"")</f>
        <v xml:space="preserve">MDEBUKA Nhlanhla </v>
      </c>
      <c r="G276" s="65" t="str">
        <f>IFERROR(VLOOKUP(Table4[[#This Row],[Player No]],Table10[[No]:[Province]],3,0),"")</f>
        <v>FS</v>
      </c>
      <c r="H276" s="192">
        <v>1</v>
      </c>
      <c r="I276" s="193">
        <v>1.3125</v>
      </c>
      <c r="J276" s="124">
        <f>(Table4[[#This Row],[Points 2025]]/2)+SUM(Table4[[#This Row],[O1  ADMIN 2026]:[P2         WC    Open 2026]])</f>
        <v>0.65625</v>
      </c>
      <c r="K276" s="106">
        <f t="shared" si="21"/>
        <v>0</v>
      </c>
      <c r="L276" s="106">
        <f t="shared" si="22"/>
        <v>0</v>
      </c>
      <c r="M276" s="838" t="s">
        <v>6083</v>
      </c>
      <c r="N276" s="442" t="s">
        <v>6083</v>
      </c>
      <c r="O276" s="442" t="s">
        <v>6083</v>
      </c>
      <c r="P276" s="442"/>
      <c r="Q276" s="189"/>
      <c r="R276" s="189"/>
      <c r="S276" s="189"/>
      <c r="T276" s="189"/>
      <c r="U276" s="189"/>
      <c r="V276" s="189"/>
      <c r="W276" s="189">
        <v>1</v>
      </c>
      <c r="X276" s="853"/>
      <c r="Y276" s="442"/>
      <c r="Z276" s="189"/>
      <c r="AA276" s="189"/>
      <c r="AB276" s="401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</row>
    <row r="277" spans="2:41" s="58" customFormat="1">
      <c r="B277" s="87">
        <v>121</v>
      </c>
      <c r="C277" s="88">
        <f t="shared" si="20"/>
        <v>-152</v>
      </c>
      <c r="D277" s="61">
        <f t="shared" si="23"/>
        <v>273</v>
      </c>
      <c r="E277" s="189">
        <v>3119</v>
      </c>
      <c r="F277" s="64" t="str">
        <f>IFERROR(VLOOKUP(Table4[[#This Row],[Player No]],Table10[[No]:[Province]],2,0),"")</f>
        <v>KENNEDY Damien</v>
      </c>
      <c r="G277" s="65" t="str">
        <f>IFERROR(VLOOKUP(Table4[[#This Row],[Player No]],Table10[[No]:[Province]],3,0),"")</f>
        <v>EDEN</v>
      </c>
      <c r="H277" s="192">
        <v>2.625</v>
      </c>
      <c r="I277" s="193">
        <v>1.3125</v>
      </c>
      <c r="J277" s="124">
        <f>(Table4[[#This Row],[Points 2025]]/2)+SUM(Table4[[#This Row],[O1  ADMIN 2026]:[P2         WC    Open 2026]])</f>
        <v>0.65625</v>
      </c>
      <c r="K277" s="106">
        <f t="shared" si="21"/>
        <v>0</v>
      </c>
      <c r="L277" s="106">
        <f t="shared" si="22"/>
        <v>0</v>
      </c>
      <c r="M277" s="838" t="s">
        <v>6083</v>
      </c>
      <c r="N277" s="442" t="s">
        <v>6083</v>
      </c>
      <c r="O277" s="442" t="s">
        <v>6083</v>
      </c>
      <c r="P277" s="442"/>
      <c r="Q277" s="189"/>
      <c r="R277" s="189"/>
      <c r="S277" s="189"/>
      <c r="T277" s="189"/>
      <c r="U277" s="189"/>
      <c r="V277" s="189"/>
      <c r="W277" s="189"/>
      <c r="X277" s="853"/>
      <c r="Y277" s="442"/>
      <c r="Z277" s="189"/>
      <c r="AA277" s="189"/>
      <c r="AB277" s="401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</row>
    <row r="278" spans="2:41" s="58" customFormat="1">
      <c r="B278" s="87">
        <v>118</v>
      </c>
      <c r="C278" s="88">
        <f t="shared" si="20"/>
        <v>-156</v>
      </c>
      <c r="D278" s="61">
        <f t="shared" si="23"/>
        <v>274</v>
      </c>
      <c r="E278" s="114">
        <v>3242</v>
      </c>
      <c r="F278" s="64" t="str">
        <f>IFERROR(VLOOKUP(Table4[[#This Row],[Player No]],Table10[[No]:[Province]],2,0),"")</f>
        <v>WILDEMANS Ethan</v>
      </c>
      <c r="G278" s="65" t="str">
        <f>IFERROR(VLOOKUP(Table4[[#This Row],[Player No]],Table10[[No]:[Province]],3,0),"")</f>
        <v>EDEN</v>
      </c>
      <c r="H278" s="116">
        <v>2.625</v>
      </c>
      <c r="I278" s="124">
        <v>1.25</v>
      </c>
      <c r="J278" s="124">
        <f>(Table4[[#This Row],[Points 2025]]/2)+SUM(Table4[[#This Row],[O1  ADMIN 2026]:[P2         WC    Open 2026]])</f>
        <v>0.625</v>
      </c>
      <c r="K278" s="106">
        <f t="shared" si="21"/>
        <v>0</v>
      </c>
      <c r="L278" s="106">
        <f t="shared" si="22"/>
        <v>0</v>
      </c>
      <c r="M278" s="106" t="s">
        <v>6083</v>
      </c>
      <c r="N278" s="114" t="s">
        <v>6083</v>
      </c>
      <c r="O278" s="114" t="s">
        <v>6083</v>
      </c>
      <c r="P278" s="114"/>
      <c r="Q278" s="114"/>
      <c r="R278" s="114"/>
      <c r="S278" s="189"/>
      <c r="T278" s="189"/>
      <c r="U278" s="114"/>
      <c r="V278" s="114"/>
      <c r="W278" s="114"/>
      <c r="X278" s="845"/>
      <c r="Y278" s="708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</row>
    <row r="279" spans="2:41" s="58" customFormat="1">
      <c r="B279" s="87">
        <v>123</v>
      </c>
      <c r="C279" s="88">
        <f t="shared" si="20"/>
        <v>-152</v>
      </c>
      <c r="D279" s="61">
        <f t="shared" si="23"/>
        <v>275</v>
      </c>
      <c r="E279" s="189">
        <v>1454</v>
      </c>
      <c r="F279" s="64" t="str">
        <f>IFERROR(VLOOKUP(Table4[[#This Row],[Player No]],Table10[[No]:[Province]],2,0),"")</f>
        <v xml:space="preserve">PHUNGULA Nkululeko </v>
      </c>
      <c r="G279" s="65" t="str">
        <f>IFERROR(VLOOKUP(Table4[[#This Row],[Player No]],Table10[[No]:[Province]],3,0),"")</f>
        <v>UTH</v>
      </c>
      <c r="H279" s="192">
        <v>2.5</v>
      </c>
      <c r="I279" s="193">
        <v>1.25</v>
      </c>
      <c r="J279" s="124">
        <f>(Table4[[#This Row],[Points 2025]]/2)+SUM(Table4[[#This Row],[O1  ADMIN 2026]:[P2         WC    Open 2026]])</f>
        <v>0.625</v>
      </c>
      <c r="K279" s="106">
        <f t="shared" si="21"/>
        <v>0</v>
      </c>
      <c r="L279" s="106">
        <f t="shared" si="22"/>
        <v>0</v>
      </c>
      <c r="M279" s="838" t="s">
        <v>6083</v>
      </c>
      <c r="N279" s="442" t="s">
        <v>6083</v>
      </c>
      <c r="O279" s="442" t="s">
        <v>6083</v>
      </c>
      <c r="P279" s="442"/>
      <c r="Q279" s="189"/>
      <c r="R279" s="189"/>
      <c r="S279" s="189"/>
      <c r="T279" s="189"/>
      <c r="U279" s="189"/>
      <c r="V279" s="189"/>
      <c r="W279" s="189"/>
      <c r="X279" s="853"/>
      <c r="Y279" s="442"/>
      <c r="Z279" s="189"/>
      <c r="AA279" s="189"/>
      <c r="AB279" s="401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</row>
    <row r="280" spans="2:41" s="58" customFormat="1">
      <c r="B280" s="87">
        <v>122</v>
      </c>
      <c r="C280" s="88">
        <f t="shared" ref="C280:C304" si="24">+B280-D280</f>
        <v>-154</v>
      </c>
      <c r="D280" s="61">
        <f t="shared" si="23"/>
        <v>276</v>
      </c>
      <c r="E280" s="189">
        <v>1460</v>
      </c>
      <c r="F280" s="64" t="str">
        <f>IFERROR(VLOOKUP(Table4[[#This Row],[Player No]],Table10[[No]:[Province]],2,0),"")</f>
        <v xml:space="preserve">MHLONGO Khethokuhle </v>
      </c>
      <c r="G280" s="65" t="str">
        <f>IFERROR(VLOOKUP(Table4[[#This Row],[Player No]],Table10[[No]:[Province]],3,0),"")</f>
        <v>UTH</v>
      </c>
      <c r="H280" s="192">
        <v>2.5</v>
      </c>
      <c r="I280" s="193">
        <v>1.25</v>
      </c>
      <c r="J280" s="124">
        <f>(Table4[[#This Row],[Points 2025]]/2)+SUM(Table4[[#This Row],[O1  ADMIN 2026]:[P2         WC    Open 2026]])</f>
        <v>0.625</v>
      </c>
      <c r="K280" s="106">
        <f t="shared" si="21"/>
        <v>0</v>
      </c>
      <c r="L280" s="106">
        <f t="shared" si="22"/>
        <v>0</v>
      </c>
      <c r="M280" s="838" t="s">
        <v>6083</v>
      </c>
      <c r="N280" s="442" t="s">
        <v>6083</v>
      </c>
      <c r="O280" s="442" t="s">
        <v>6083</v>
      </c>
      <c r="P280" s="442"/>
      <c r="Q280" s="189"/>
      <c r="R280" s="189"/>
      <c r="S280" s="189"/>
      <c r="T280" s="189"/>
      <c r="U280" s="189"/>
      <c r="V280" s="189"/>
      <c r="W280" s="189"/>
      <c r="X280" s="853"/>
      <c r="Y280" s="442"/>
      <c r="Z280" s="189"/>
      <c r="AA280" s="189"/>
      <c r="AB280" s="401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</row>
    <row r="281" spans="2:41" s="58" customFormat="1">
      <c r="B281" s="87">
        <v>127</v>
      </c>
      <c r="C281" s="88">
        <f t="shared" si="24"/>
        <v>-150</v>
      </c>
      <c r="D281" s="61">
        <f t="shared" si="23"/>
        <v>277</v>
      </c>
      <c r="E281" s="114">
        <v>1597</v>
      </c>
      <c r="F281" s="64" t="str">
        <f>IFERROR(VLOOKUP(Table4[[#This Row],[Player No]],Table10[[No]:[Province]],2,0),"")</f>
        <v>MAFOO Leon</v>
      </c>
      <c r="G281" s="65" t="str">
        <f>IFERROR(VLOOKUP(Table4[[#This Row],[Player No]],Table10[[No]:[Province]],3,0),"")</f>
        <v>LIM</v>
      </c>
      <c r="H281" s="116">
        <v>2.5</v>
      </c>
      <c r="I281" s="124">
        <v>1.25</v>
      </c>
      <c r="J281" s="124">
        <f>(Table4[[#This Row],[Points 2025]]/2)+SUM(Table4[[#This Row],[O1  ADMIN 2026]:[P2         WC    Open 2026]])</f>
        <v>0.625</v>
      </c>
      <c r="K281" s="106">
        <f t="shared" si="21"/>
        <v>0</v>
      </c>
      <c r="L281" s="106">
        <f t="shared" si="22"/>
        <v>0</v>
      </c>
      <c r="M281" s="106" t="s">
        <v>6083</v>
      </c>
      <c r="N281" s="114" t="s">
        <v>6083</v>
      </c>
      <c r="O281" s="114" t="s">
        <v>6083</v>
      </c>
      <c r="P281" s="114"/>
      <c r="Q281" s="114"/>
      <c r="R281" s="114"/>
      <c r="S281" s="189"/>
      <c r="T281" s="189"/>
      <c r="U281" s="114"/>
      <c r="V281" s="114"/>
      <c r="W281" s="114"/>
      <c r="X281" s="845"/>
      <c r="Y281" s="708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</row>
    <row r="282" spans="2:41" s="58" customFormat="1">
      <c r="B282" s="87">
        <v>129</v>
      </c>
      <c r="C282" s="88">
        <f t="shared" si="24"/>
        <v>-149</v>
      </c>
      <c r="D282" s="61">
        <f t="shared" si="23"/>
        <v>278</v>
      </c>
      <c r="E282" s="114">
        <v>2280</v>
      </c>
      <c r="F282" s="64" t="str">
        <f>IFERROR(VLOOKUP(Table4[[#This Row],[Player No]],Table10[[No]:[Province]],2,0),"")</f>
        <v>PETERSEN Ashton</v>
      </c>
      <c r="G282" s="65" t="str">
        <f>IFERROR(VLOOKUP(Table4[[#This Row],[Player No]],Table10[[No]:[Province]],3,0),"")</f>
        <v>CT</v>
      </c>
      <c r="H282" s="116">
        <v>2.5</v>
      </c>
      <c r="I282" s="124">
        <v>1.25</v>
      </c>
      <c r="J282" s="124">
        <f>(Table4[[#This Row],[Points 2025]]/2)+SUM(Table4[[#This Row],[O1  ADMIN 2026]:[P2         WC    Open 2026]])</f>
        <v>0.625</v>
      </c>
      <c r="K282" s="106">
        <f t="shared" si="21"/>
        <v>0</v>
      </c>
      <c r="L282" s="106">
        <f t="shared" si="22"/>
        <v>0</v>
      </c>
      <c r="M282" s="106" t="s">
        <v>6083</v>
      </c>
      <c r="N282" s="114" t="s">
        <v>6083</v>
      </c>
      <c r="O282" s="114" t="s">
        <v>6083</v>
      </c>
      <c r="P282" s="114"/>
      <c r="Q282" s="114"/>
      <c r="R282" s="114"/>
      <c r="S282" s="189"/>
      <c r="T282" s="189"/>
      <c r="U282" s="114"/>
      <c r="V282" s="114"/>
      <c r="W282" s="114"/>
      <c r="X282" s="845"/>
      <c r="Y282" s="708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</row>
    <row r="283" spans="2:41" s="58" customFormat="1">
      <c r="B283" s="87">
        <v>119</v>
      </c>
      <c r="C283" s="88">
        <f t="shared" si="24"/>
        <v>-160</v>
      </c>
      <c r="D283" s="61">
        <f t="shared" si="23"/>
        <v>279</v>
      </c>
      <c r="E283" s="189">
        <v>3232</v>
      </c>
      <c r="F283" s="64" t="str">
        <f>IFERROR(VLOOKUP(Table4[[#This Row],[Player No]],Table10[[No]:[Province]],2,0),"")</f>
        <v>MBATHA Lwazi</v>
      </c>
      <c r="G283" s="65" t="str">
        <f>IFERROR(VLOOKUP(Table4[[#This Row],[Player No]],Table10[[No]:[Province]],3,0),"")</f>
        <v>UMZ</v>
      </c>
      <c r="H283" s="192">
        <v>2.5</v>
      </c>
      <c r="I283" s="193">
        <v>1.25</v>
      </c>
      <c r="J283" s="124">
        <f>(Table4[[#This Row],[Points 2025]]/2)+SUM(Table4[[#This Row],[O1  ADMIN 2026]:[P2         WC    Open 2026]])</f>
        <v>0.625</v>
      </c>
      <c r="K283" s="106">
        <f t="shared" si="21"/>
        <v>0</v>
      </c>
      <c r="L283" s="106">
        <f t="shared" si="22"/>
        <v>0</v>
      </c>
      <c r="M283" s="838" t="s">
        <v>6083</v>
      </c>
      <c r="N283" s="442" t="s">
        <v>6083</v>
      </c>
      <c r="O283" s="442" t="s">
        <v>6083</v>
      </c>
      <c r="P283" s="442"/>
      <c r="Q283" s="189"/>
      <c r="R283" s="189"/>
      <c r="S283" s="189"/>
      <c r="T283" s="189"/>
      <c r="U283" s="189"/>
      <c r="V283" s="189"/>
      <c r="W283" s="189"/>
      <c r="X283" s="853"/>
      <c r="Y283" s="442"/>
      <c r="Z283" s="189"/>
      <c r="AA283" s="189"/>
      <c r="AB283" s="401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</row>
    <row r="284" spans="2:41" s="58" customFormat="1">
      <c r="B284" s="87">
        <v>126</v>
      </c>
      <c r="C284" s="88">
        <f t="shared" si="24"/>
        <v>-154</v>
      </c>
      <c r="D284" s="61">
        <f t="shared" si="23"/>
        <v>280</v>
      </c>
      <c r="E284" s="114">
        <v>3433</v>
      </c>
      <c r="F284" s="64" t="str">
        <f>IFERROR(VLOOKUP(Table4[[#This Row],[Player No]],Table10[[No]:[Province]],2,0),"")</f>
        <v>TEBOHO Lesoetsa</v>
      </c>
      <c r="G284" s="65" t="str">
        <f>IFERROR(VLOOKUP(Table4[[#This Row],[Player No]],Table10[[No]:[Province]],3,0),"")</f>
        <v>LIM</v>
      </c>
      <c r="H284" s="116">
        <v>2.5</v>
      </c>
      <c r="I284" s="124">
        <v>1.25</v>
      </c>
      <c r="J284" s="124">
        <f>(Table4[[#This Row],[Points 2025]]/2)+SUM(Table4[[#This Row],[O1  ADMIN 2026]:[P2         WC    Open 2026]])</f>
        <v>0.625</v>
      </c>
      <c r="K284" s="106">
        <f t="shared" si="21"/>
        <v>0</v>
      </c>
      <c r="L284" s="106">
        <f t="shared" si="22"/>
        <v>0</v>
      </c>
      <c r="M284" s="106" t="s">
        <v>6083</v>
      </c>
      <c r="N284" s="114" t="s">
        <v>6083</v>
      </c>
      <c r="O284" s="114" t="s">
        <v>6083</v>
      </c>
      <c r="P284" s="114"/>
      <c r="Q284" s="114"/>
      <c r="R284" s="114"/>
      <c r="S284" s="189"/>
      <c r="T284" s="189"/>
      <c r="U284" s="114"/>
      <c r="V284" s="114"/>
      <c r="W284" s="114"/>
      <c r="X284" s="845"/>
      <c r="Y284" s="708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</row>
    <row r="285" spans="2:41" s="58" customFormat="1">
      <c r="B285" s="87">
        <v>124</v>
      </c>
      <c r="C285" s="88">
        <f t="shared" si="24"/>
        <v>-157</v>
      </c>
      <c r="D285" s="61">
        <f t="shared" si="23"/>
        <v>281</v>
      </c>
      <c r="E285" s="114">
        <v>3434</v>
      </c>
      <c r="F285" s="64" t="str">
        <f>IFERROR(VLOOKUP(Table4[[#This Row],[Player No]],Table10[[No]:[Province]],2,0),"")</f>
        <v xml:space="preserve">EBRAHIM Rameez </v>
      </c>
      <c r="G285" s="65" t="str">
        <f>IFERROR(VLOOKUP(Table4[[#This Row],[Player No]],Table10[[No]:[Province]],3,0),"")</f>
        <v>GN</v>
      </c>
      <c r="H285" s="116">
        <v>2.5</v>
      </c>
      <c r="I285" s="124">
        <v>1.25</v>
      </c>
      <c r="J285" s="124">
        <f>(Table4[[#This Row],[Points 2025]]/2)+SUM(Table4[[#This Row],[O1  ADMIN 2026]:[P2         WC    Open 2026]])</f>
        <v>0.625</v>
      </c>
      <c r="K285" s="106">
        <f t="shared" si="21"/>
        <v>0</v>
      </c>
      <c r="L285" s="106">
        <f t="shared" si="22"/>
        <v>0</v>
      </c>
      <c r="M285" s="106" t="s">
        <v>6083</v>
      </c>
      <c r="N285" s="114" t="s">
        <v>6083</v>
      </c>
      <c r="O285" s="114" t="s">
        <v>6083</v>
      </c>
      <c r="P285" s="114"/>
      <c r="Q285" s="114"/>
      <c r="R285" s="114"/>
      <c r="S285" s="189"/>
      <c r="T285" s="189"/>
      <c r="U285" s="114"/>
      <c r="V285" s="114"/>
      <c r="W285" s="114"/>
      <c r="X285" s="845"/>
      <c r="Y285" s="708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</row>
    <row r="286" spans="2:41" s="58" customFormat="1">
      <c r="B286" s="87">
        <v>128</v>
      </c>
      <c r="C286" s="88">
        <f t="shared" si="24"/>
        <v>-154</v>
      </c>
      <c r="D286" s="61">
        <f t="shared" si="23"/>
        <v>282</v>
      </c>
      <c r="E286" s="114">
        <v>3585</v>
      </c>
      <c r="F286" s="64" t="str">
        <f>IFERROR(VLOOKUP(Table4[[#This Row],[Player No]],Table10[[No]:[Province]],2,0),"")</f>
        <v>MLAMBO Lethabo Nicky</v>
      </c>
      <c r="G286" s="65" t="str">
        <f>IFERROR(VLOOKUP(Table4[[#This Row],[Player No]],Table10[[No]:[Province]],3,0),"")</f>
        <v>LIM</v>
      </c>
      <c r="H286" s="116">
        <v>2.5</v>
      </c>
      <c r="I286" s="124">
        <v>1.25</v>
      </c>
      <c r="J286" s="124">
        <f>(Table4[[#This Row],[Points 2025]]/2)+SUM(Table4[[#This Row],[O1  ADMIN 2026]:[P2         WC    Open 2026]])</f>
        <v>0.625</v>
      </c>
      <c r="K286" s="106">
        <f t="shared" si="21"/>
        <v>0</v>
      </c>
      <c r="L286" s="106">
        <f t="shared" si="22"/>
        <v>0</v>
      </c>
      <c r="M286" s="106" t="s">
        <v>6083</v>
      </c>
      <c r="N286" s="114" t="s">
        <v>6083</v>
      </c>
      <c r="O286" s="114" t="s">
        <v>6083</v>
      </c>
      <c r="P286" s="114"/>
      <c r="Q286" s="114"/>
      <c r="R286" s="114"/>
      <c r="S286" s="189"/>
      <c r="T286" s="189"/>
      <c r="U286" s="114"/>
      <c r="V286" s="114"/>
      <c r="W286" s="114"/>
      <c r="X286" s="845"/>
      <c r="Y286" s="708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</row>
    <row r="287" spans="2:41" s="58" customFormat="1">
      <c r="B287" s="87">
        <v>130</v>
      </c>
      <c r="C287" s="88">
        <f t="shared" si="24"/>
        <v>-153</v>
      </c>
      <c r="D287" s="61">
        <f t="shared" si="23"/>
        <v>283</v>
      </c>
      <c r="E287" s="114">
        <v>3744</v>
      </c>
      <c r="F287" s="64" t="str">
        <f>IFERROR(VLOOKUP(Table4[[#This Row],[Player No]],Table10[[No]:[Province]],2,0),"")</f>
        <v xml:space="preserve">BUCKUS  Saddeeq </v>
      </c>
      <c r="G287" s="65" t="str">
        <f>IFERROR(VLOOKUP(Table4[[#This Row],[Player No]],Table10[[No]:[Province]],3,0),"")</f>
        <v>UMZ</v>
      </c>
      <c r="H287" s="116">
        <v>2.5</v>
      </c>
      <c r="I287" s="124">
        <v>1</v>
      </c>
      <c r="J287" s="124">
        <f>(Table4[[#This Row],[Points 2025]]/2)+SUM(Table4[[#This Row],[O1  ADMIN 2026]:[P2         WC    Open 2026]])</f>
        <v>0.5</v>
      </c>
      <c r="K287" s="106">
        <f t="shared" si="21"/>
        <v>0</v>
      </c>
      <c r="L287" s="106">
        <f t="shared" si="22"/>
        <v>0</v>
      </c>
      <c r="M287" s="106" t="s">
        <v>6083</v>
      </c>
      <c r="N287" s="114" t="s">
        <v>6083</v>
      </c>
      <c r="O287" s="114" t="s">
        <v>6083</v>
      </c>
      <c r="P287" s="114"/>
      <c r="Q287" s="114"/>
      <c r="R287" s="114"/>
      <c r="S287" s="189"/>
      <c r="T287" s="189"/>
      <c r="U287" s="114"/>
      <c r="V287" s="114"/>
      <c r="W287" s="114"/>
      <c r="X287" s="845"/>
      <c r="Y287" s="708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</row>
    <row r="288" spans="2:41" s="58" customFormat="1">
      <c r="B288" s="87"/>
      <c r="C288" s="88">
        <f t="shared" si="24"/>
        <v>-284</v>
      </c>
      <c r="D288" s="61">
        <f t="shared" si="23"/>
        <v>284</v>
      </c>
      <c r="E288" s="114">
        <v>3444</v>
      </c>
      <c r="F288" s="64" t="str">
        <f>IFERROR(VLOOKUP(Table4[[#This Row],[Player No]],Table10[[No]:[Province]],2,0),"")</f>
        <v xml:space="preserve">WYMA Heinrich </v>
      </c>
      <c r="G288" s="65" t="str">
        <f>IFERROR(VLOOKUP(Table4[[#This Row],[Player No]],Table10[[No]:[Province]],3,0),"")</f>
        <v>GN</v>
      </c>
      <c r="H288" s="116">
        <v>2</v>
      </c>
      <c r="I288" s="124">
        <v>1</v>
      </c>
      <c r="J288" s="124">
        <f>(Table4[[#This Row],[Points 2025]]/2)+SUM(Table4[[#This Row],[O1  ADMIN 2026]:[P2         WC    Open 2026]])</f>
        <v>0.5</v>
      </c>
      <c r="K288" s="106">
        <f t="shared" si="21"/>
        <v>0</v>
      </c>
      <c r="L288" s="106">
        <f t="shared" si="22"/>
        <v>0</v>
      </c>
      <c r="M288" s="106" t="s">
        <v>6083</v>
      </c>
      <c r="N288" s="114" t="s">
        <v>6083</v>
      </c>
      <c r="O288" s="114" t="s">
        <v>6083</v>
      </c>
      <c r="P288" s="114"/>
      <c r="Q288" s="114"/>
      <c r="R288" s="114"/>
      <c r="S288" s="189"/>
      <c r="T288" s="189"/>
      <c r="U288" s="114"/>
      <c r="V288" s="114"/>
      <c r="W288" s="114"/>
      <c r="X288" s="845"/>
      <c r="Y288" s="708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>
        <v>1</v>
      </c>
      <c r="AO288" s="114"/>
    </row>
    <row r="289" spans="2:41" s="58" customFormat="1">
      <c r="B289" s="87">
        <v>210</v>
      </c>
      <c r="C289" s="88">
        <f t="shared" si="24"/>
        <v>-75</v>
      </c>
      <c r="D289" s="61">
        <f t="shared" si="23"/>
        <v>285</v>
      </c>
      <c r="E289" s="114">
        <v>3466</v>
      </c>
      <c r="F289" s="64" t="str">
        <f>IFERROR(VLOOKUP(Table4[[#This Row],[Player No]],Table10[[No]:[Province]],2,0),"")</f>
        <v>MAKKINK Henrico</v>
      </c>
      <c r="G289" s="65" t="str">
        <f>IFERROR(VLOOKUP(Table4[[#This Row],[Player No]],Table10[[No]:[Province]],3,0),"")</f>
        <v>GN</v>
      </c>
      <c r="H289" s="116">
        <v>2</v>
      </c>
      <c r="I289" s="124">
        <v>1</v>
      </c>
      <c r="J289" s="124">
        <f>(Table4[[#This Row],[Points 2025]]/2)+SUM(Table4[[#This Row],[O1  ADMIN 2026]:[P2         WC    Open 2026]])</f>
        <v>0.5</v>
      </c>
      <c r="K289" s="106">
        <f t="shared" si="21"/>
        <v>0</v>
      </c>
      <c r="L289" s="106">
        <f t="shared" si="22"/>
        <v>0</v>
      </c>
      <c r="M289" s="106" t="s">
        <v>6083</v>
      </c>
      <c r="N289" s="114" t="s">
        <v>6083</v>
      </c>
      <c r="O289" s="114" t="s">
        <v>6083</v>
      </c>
      <c r="P289" s="114"/>
      <c r="Q289" s="114"/>
      <c r="R289" s="114"/>
      <c r="S289" s="189"/>
      <c r="T289" s="189"/>
      <c r="U289" s="114"/>
      <c r="V289" s="114"/>
      <c r="W289" s="114"/>
      <c r="X289" s="845"/>
      <c r="Y289" s="708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>
        <v>2</v>
      </c>
      <c r="AN289" s="114"/>
      <c r="AO289" s="114"/>
    </row>
    <row r="290" spans="2:41" s="58" customFormat="1">
      <c r="B290" s="373"/>
      <c r="C290" s="373">
        <f t="shared" si="24"/>
        <v>-286</v>
      </c>
      <c r="D290" s="61">
        <f t="shared" si="23"/>
        <v>286</v>
      </c>
      <c r="E290" s="357">
        <v>3508</v>
      </c>
      <c r="F290" s="64" t="str">
        <f>IFERROR(VLOOKUP(Table4[[#This Row],[Player No]],Table10[[No]:[Province]],2,0),"")</f>
        <v>BATYO Nhlaknipho</v>
      </c>
      <c r="G290" s="65" t="str">
        <f>IFERROR(VLOOKUP(Table4[[#This Row],[Player No]],Table10[[No]:[Province]],3,0),"")</f>
        <v>ETTA</v>
      </c>
      <c r="H290" s="743">
        <v>0</v>
      </c>
      <c r="I290" s="358">
        <v>1</v>
      </c>
      <c r="J290" s="124">
        <f>(Table4[[#This Row],[Points 2025]]/2)+SUM(Table4[[#This Row],[O1  ADMIN 2026]:[P2         WC    Open 2026]])</f>
        <v>0.5</v>
      </c>
      <c r="K290" s="106">
        <f t="shared" si="21"/>
        <v>0</v>
      </c>
      <c r="L290" s="106">
        <f t="shared" si="22"/>
        <v>0</v>
      </c>
      <c r="M290" s="106" t="s">
        <v>6083</v>
      </c>
      <c r="N290" s="357" t="s">
        <v>6083</v>
      </c>
      <c r="O290" s="357" t="s">
        <v>6083</v>
      </c>
      <c r="P290" s="357"/>
      <c r="Q290" s="357"/>
      <c r="R290" s="357"/>
      <c r="S290" s="354"/>
      <c r="T290" s="354">
        <v>1</v>
      </c>
      <c r="U290" s="357"/>
      <c r="V290" s="357"/>
      <c r="W290" s="357"/>
      <c r="X290" s="850"/>
      <c r="Y290" s="738"/>
      <c r="Z290" s="357"/>
      <c r="AA290" s="357"/>
      <c r="AB290" s="357"/>
      <c r="AC290" s="357"/>
      <c r="AD290" s="357"/>
      <c r="AE290" s="357"/>
      <c r="AF290" s="357"/>
      <c r="AG290" s="357"/>
      <c r="AH290" s="357"/>
      <c r="AI290" s="357"/>
      <c r="AJ290" s="357"/>
      <c r="AK290" s="357"/>
      <c r="AL290" s="357"/>
      <c r="AM290" s="357"/>
      <c r="AN290" s="357"/>
      <c r="AO290" s="357"/>
    </row>
    <row r="291" spans="2:41" s="58" customFormat="1">
      <c r="B291" s="373"/>
      <c r="C291" s="373">
        <f t="shared" si="24"/>
        <v>-287</v>
      </c>
      <c r="D291" s="61">
        <f t="shared" si="23"/>
        <v>287</v>
      </c>
      <c r="E291" s="357">
        <v>3797</v>
      </c>
      <c r="F291" s="64" t="str">
        <f>IFERROR(VLOOKUP(Table4[[#This Row],[Player No]],Table10[[No]:[Province]],2,0),"")</f>
        <v>SIBIYA Vukile Mnqobi</v>
      </c>
      <c r="G291" s="65" t="str">
        <f>IFERROR(VLOOKUP(Table4[[#This Row],[Player No]],Table10[[No]:[Province]],3,0),"")</f>
        <v>ETTA</v>
      </c>
      <c r="H291" s="743">
        <v>0</v>
      </c>
      <c r="I291" s="358">
        <v>1</v>
      </c>
      <c r="J291" s="124">
        <f>(Table4[[#This Row],[Points 2025]]/2)+SUM(Table4[[#This Row],[O1  ADMIN 2026]:[P2         WC    Open 2026]])</f>
        <v>0.5</v>
      </c>
      <c r="K291" s="106">
        <f t="shared" si="21"/>
        <v>0</v>
      </c>
      <c r="L291" s="106">
        <f t="shared" si="22"/>
        <v>0</v>
      </c>
      <c r="M291" s="106" t="s">
        <v>6083</v>
      </c>
      <c r="N291" s="357" t="s">
        <v>6083</v>
      </c>
      <c r="O291" s="357" t="s">
        <v>6083</v>
      </c>
      <c r="P291" s="357"/>
      <c r="Q291" s="357"/>
      <c r="R291" s="357"/>
      <c r="S291" s="354"/>
      <c r="T291" s="354">
        <v>1</v>
      </c>
      <c r="U291" s="357"/>
      <c r="V291" s="357"/>
      <c r="W291" s="357"/>
      <c r="X291" s="850"/>
      <c r="Y291" s="738"/>
      <c r="Z291" s="357"/>
      <c r="AA291" s="357"/>
      <c r="AB291" s="357"/>
      <c r="AC291" s="357"/>
      <c r="AD291" s="357"/>
      <c r="AE291" s="357"/>
      <c r="AF291" s="357"/>
      <c r="AG291" s="357"/>
      <c r="AH291" s="357"/>
      <c r="AI291" s="357"/>
      <c r="AJ291" s="357"/>
      <c r="AK291" s="357"/>
      <c r="AL291" s="357"/>
      <c r="AM291" s="357"/>
      <c r="AN291" s="357"/>
      <c r="AO291" s="357"/>
    </row>
    <row r="292" spans="2:41" s="58" customFormat="1">
      <c r="B292" s="87"/>
      <c r="C292" s="285">
        <f t="shared" si="24"/>
        <v>-288</v>
      </c>
      <c r="D292" s="61">
        <f t="shared" si="23"/>
        <v>288</v>
      </c>
      <c r="E292" s="318">
        <v>3847</v>
      </c>
      <c r="F292" s="64" t="str">
        <f>IFERROR(VLOOKUP(Table4[[#This Row],[Player No]],Table10[[No]:[Province]],2,0),"")</f>
        <v>MUYIKWA Given Moses</v>
      </c>
      <c r="G292" s="65" t="str">
        <f>IFERROR(VLOOKUP(Table4[[#This Row],[Player No]],Table10[[No]:[Province]],3,0),"")</f>
        <v>JTTA</v>
      </c>
      <c r="H292" s="317">
        <v>0</v>
      </c>
      <c r="I292" s="124">
        <v>1</v>
      </c>
      <c r="J292" s="124">
        <f>(Table4[[#This Row],[Points 2025]]/2)+SUM(Table4[[#This Row],[O1  ADMIN 2026]:[P2         WC    Open 2026]])</f>
        <v>0.5</v>
      </c>
      <c r="K292" s="106">
        <f t="shared" si="21"/>
        <v>0</v>
      </c>
      <c r="L292" s="106">
        <f t="shared" si="22"/>
        <v>0</v>
      </c>
      <c r="M292" s="106" t="s">
        <v>6083</v>
      </c>
      <c r="N292" s="114" t="s">
        <v>6083</v>
      </c>
      <c r="O292" s="114" t="s">
        <v>6083</v>
      </c>
      <c r="P292" s="114"/>
      <c r="Q292" s="318"/>
      <c r="R292" s="318"/>
      <c r="S292" s="294"/>
      <c r="T292" s="294"/>
      <c r="U292" s="318"/>
      <c r="V292" s="318"/>
      <c r="W292" s="318"/>
      <c r="X292" s="846"/>
      <c r="Y292" s="713"/>
      <c r="Z292" s="318"/>
      <c r="AA292" s="318"/>
      <c r="AB292" s="318"/>
      <c r="AC292" s="318">
        <v>1</v>
      </c>
      <c r="AD292" s="318"/>
      <c r="AE292" s="318"/>
      <c r="AF292" s="318"/>
      <c r="AG292" s="318"/>
      <c r="AH292" s="318"/>
      <c r="AI292" s="318"/>
      <c r="AJ292" s="318"/>
      <c r="AK292" s="318"/>
      <c r="AL292" s="318"/>
      <c r="AM292" s="318"/>
      <c r="AN292" s="318"/>
      <c r="AO292" s="318"/>
    </row>
    <row r="293" spans="2:41" s="58" customFormat="1">
      <c r="B293" s="87">
        <v>131</v>
      </c>
      <c r="C293" s="285">
        <f t="shared" si="24"/>
        <v>-158</v>
      </c>
      <c r="D293" s="61">
        <f t="shared" si="23"/>
        <v>289</v>
      </c>
      <c r="E293" s="318">
        <v>3858</v>
      </c>
      <c r="F293" s="64" t="str">
        <f>IFERROR(VLOOKUP(Table4[[#This Row],[Player No]],Table10[[No]:[Province]],2,0),"")</f>
        <v>ASULIN Amichai</v>
      </c>
      <c r="G293" s="65" t="str">
        <f>IFERROR(VLOOKUP(Table4[[#This Row],[Player No]],Table10[[No]:[Province]],3,0),"")</f>
        <v>JTTA</v>
      </c>
      <c r="H293" s="317">
        <v>0</v>
      </c>
      <c r="I293" s="124">
        <v>1</v>
      </c>
      <c r="J293" s="124">
        <f>(Table4[[#This Row],[Points 2025]]/2)+SUM(Table4[[#This Row],[O1  ADMIN 2026]:[P2         WC    Open 2026]])</f>
        <v>0.5</v>
      </c>
      <c r="K293" s="106">
        <f t="shared" si="21"/>
        <v>0</v>
      </c>
      <c r="L293" s="106">
        <f t="shared" si="22"/>
        <v>0</v>
      </c>
      <c r="M293" s="106" t="s">
        <v>6083</v>
      </c>
      <c r="N293" s="114" t="s">
        <v>6083</v>
      </c>
      <c r="O293" s="114" t="s">
        <v>6083</v>
      </c>
      <c r="P293" s="114"/>
      <c r="Q293" s="318"/>
      <c r="R293" s="318"/>
      <c r="S293" s="294"/>
      <c r="T293" s="294"/>
      <c r="U293" s="318"/>
      <c r="V293" s="318"/>
      <c r="W293" s="318"/>
      <c r="X293" s="846"/>
      <c r="Y293" s="713"/>
      <c r="Z293" s="318"/>
      <c r="AA293" s="318"/>
      <c r="AB293" s="318"/>
      <c r="AC293" s="318">
        <v>1</v>
      </c>
      <c r="AD293" s="318"/>
      <c r="AE293" s="318"/>
      <c r="AF293" s="318"/>
      <c r="AG293" s="318"/>
      <c r="AH293" s="318"/>
      <c r="AI293" s="318"/>
      <c r="AJ293" s="318"/>
      <c r="AK293" s="318"/>
      <c r="AL293" s="318"/>
      <c r="AM293" s="318"/>
      <c r="AN293" s="318"/>
      <c r="AO293" s="318"/>
    </row>
    <row r="294" spans="2:41" s="58" customFormat="1">
      <c r="B294" s="87">
        <v>132</v>
      </c>
      <c r="C294" s="285">
        <f t="shared" si="24"/>
        <v>-158</v>
      </c>
      <c r="D294" s="61">
        <f t="shared" si="23"/>
        <v>290</v>
      </c>
      <c r="E294" s="318">
        <v>3864</v>
      </c>
      <c r="F294" s="64" t="str">
        <f>IFERROR(VLOOKUP(Table4[[#This Row],[Player No]],Table10[[No]:[Province]],2,0),"")</f>
        <v>TIFFLIN Saeed</v>
      </c>
      <c r="G294" s="65" t="str">
        <f>IFERROR(VLOOKUP(Table4[[#This Row],[Player No]],Table10[[No]:[Province]],3,0),"")</f>
        <v>JTTA</v>
      </c>
      <c r="H294" s="317">
        <v>0</v>
      </c>
      <c r="I294" s="124">
        <v>1</v>
      </c>
      <c r="J294" s="124">
        <f>(Table4[[#This Row],[Points 2025]]/2)+SUM(Table4[[#This Row],[O1  ADMIN 2026]:[P2         WC    Open 2026]])</f>
        <v>0.5</v>
      </c>
      <c r="K294" s="106">
        <f t="shared" si="21"/>
        <v>0</v>
      </c>
      <c r="L294" s="106">
        <f t="shared" si="22"/>
        <v>0</v>
      </c>
      <c r="M294" s="106" t="s">
        <v>6083</v>
      </c>
      <c r="N294" s="114" t="s">
        <v>6083</v>
      </c>
      <c r="O294" s="114" t="s">
        <v>6083</v>
      </c>
      <c r="P294" s="114"/>
      <c r="Q294" s="318"/>
      <c r="R294" s="318"/>
      <c r="S294" s="294"/>
      <c r="T294" s="294"/>
      <c r="U294" s="318"/>
      <c r="V294" s="318"/>
      <c r="W294" s="318"/>
      <c r="X294" s="846"/>
      <c r="Y294" s="713"/>
      <c r="Z294" s="318"/>
      <c r="AA294" s="318">
        <v>1</v>
      </c>
      <c r="AB294" s="318"/>
      <c r="AC294" s="318"/>
      <c r="AD294" s="318"/>
      <c r="AE294" s="318"/>
      <c r="AF294" s="318"/>
      <c r="AG294" s="318"/>
      <c r="AH294" s="318"/>
      <c r="AI294" s="318"/>
      <c r="AJ294" s="318"/>
      <c r="AK294" s="318"/>
      <c r="AL294" s="318"/>
      <c r="AM294" s="318"/>
      <c r="AN294" s="318"/>
      <c r="AO294" s="318"/>
    </row>
    <row r="295" spans="2:41" s="58" customFormat="1">
      <c r="B295" s="87">
        <v>210</v>
      </c>
      <c r="C295" s="88">
        <f t="shared" si="24"/>
        <v>-81</v>
      </c>
      <c r="D295" s="61">
        <f t="shared" si="23"/>
        <v>291</v>
      </c>
      <c r="E295" s="114">
        <v>3919</v>
      </c>
      <c r="F295" s="64" t="str">
        <f>IFERROR(VLOOKUP(Table4[[#This Row],[Player No]],Table10[[No]:[Province]],2,0),"")</f>
        <v>GUMEDE Sbonelo</v>
      </c>
      <c r="G295" s="65" t="str">
        <f>IFERROR(VLOOKUP(Table4[[#This Row],[Player No]],Table10[[No]:[Province]],3,0),"")</f>
        <v>ETTA</v>
      </c>
      <c r="H295" s="116">
        <v>2</v>
      </c>
      <c r="I295" s="124">
        <v>1</v>
      </c>
      <c r="J295" s="124">
        <f>(Table4[[#This Row],[Points 2025]]/2)+SUM(Table4[[#This Row],[O1  ADMIN 2026]:[P2         WC    Open 2026]])</f>
        <v>0.5</v>
      </c>
      <c r="K295" s="106">
        <f t="shared" si="21"/>
        <v>0</v>
      </c>
      <c r="L295" s="106">
        <f t="shared" si="22"/>
        <v>0</v>
      </c>
      <c r="M295" s="106" t="s">
        <v>6083</v>
      </c>
      <c r="N295" s="114" t="s">
        <v>6083</v>
      </c>
      <c r="O295" s="114" t="s">
        <v>6083</v>
      </c>
      <c r="P295" s="114"/>
      <c r="Q295" s="114"/>
      <c r="R295" s="114"/>
      <c r="S295" s="189"/>
      <c r="T295" s="189"/>
      <c r="U295" s="114"/>
      <c r="V295" s="114"/>
      <c r="W295" s="114"/>
      <c r="X295" s="845"/>
      <c r="Y295" s="708"/>
      <c r="Z295" s="114"/>
      <c r="AA295" s="114"/>
      <c r="AB295" s="114"/>
      <c r="AC295" s="114"/>
      <c r="AD295" s="114"/>
      <c r="AE295" s="114"/>
      <c r="AF295" s="114">
        <v>2</v>
      </c>
      <c r="AG295" s="114"/>
      <c r="AH295" s="114"/>
      <c r="AI295" s="114"/>
      <c r="AJ295" s="114"/>
      <c r="AK295" s="114"/>
      <c r="AL295" s="114"/>
      <c r="AM295" s="114"/>
      <c r="AN295" s="114"/>
      <c r="AO295" s="114"/>
    </row>
    <row r="296" spans="2:41" s="58" customFormat="1">
      <c r="B296" s="87">
        <v>210</v>
      </c>
      <c r="C296" s="88">
        <f t="shared" si="24"/>
        <v>-82</v>
      </c>
      <c r="D296" s="61">
        <f t="shared" si="23"/>
        <v>292</v>
      </c>
      <c r="E296" s="189">
        <v>3920</v>
      </c>
      <c r="F296" s="64" t="str">
        <f>IFERROR(VLOOKUP(Table4[[#This Row],[Player No]],Table10[[No]:[Province]],2,0),"")</f>
        <v>ZONDI Tholithemba</v>
      </c>
      <c r="G296" s="65" t="str">
        <f>IFERROR(VLOOKUP(Table4[[#This Row],[Player No]],Table10[[No]:[Province]],3,0),"")</f>
        <v>ETTA</v>
      </c>
      <c r="H296" s="192">
        <v>2</v>
      </c>
      <c r="I296" s="193">
        <v>1</v>
      </c>
      <c r="J296" s="124">
        <f>(Table4[[#This Row],[Points 2025]]/2)+SUM(Table4[[#This Row],[O1  ADMIN 2026]:[P2         WC    Open 2026]])</f>
        <v>0.5</v>
      </c>
      <c r="K296" s="106">
        <f t="shared" si="21"/>
        <v>0</v>
      </c>
      <c r="L296" s="106">
        <f t="shared" si="22"/>
        <v>0</v>
      </c>
      <c r="M296" s="838" t="s">
        <v>6083</v>
      </c>
      <c r="N296" s="442" t="s">
        <v>6083</v>
      </c>
      <c r="O296" s="442" t="s">
        <v>6083</v>
      </c>
      <c r="P296" s="442"/>
      <c r="Q296" s="189"/>
      <c r="R296" s="189"/>
      <c r="S296" s="189"/>
      <c r="T296" s="189"/>
      <c r="U296" s="189"/>
      <c r="V296" s="189"/>
      <c r="W296" s="189"/>
      <c r="X296" s="853"/>
      <c r="Y296" s="442"/>
      <c r="Z296" s="189"/>
      <c r="AA296" s="189"/>
      <c r="AB296" s="401"/>
      <c r="AC296" s="189"/>
      <c r="AD296" s="189"/>
      <c r="AE296" s="189"/>
      <c r="AF296" s="189">
        <v>2</v>
      </c>
      <c r="AG296" s="189"/>
      <c r="AH296" s="189"/>
      <c r="AI296" s="189"/>
      <c r="AJ296" s="189"/>
      <c r="AK296" s="189"/>
      <c r="AL296" s="189"/>
      <c r="AM296" s="189"/>
      <c r="AN296" s="189"/>
      <c r="AO296" s="189"/>
    </row>
    <row r="297" spans="2:41" s="58" customFormat="1">
      <c r="B297" s="87" t="e">
        <f>VLOOKUP([5]!Table4[[#This Row],[Player No]],'[6]u19 boys'!$E$5:$F$216,2,0)</f>
        <v>#REF!</v>
      </c>
      <c r="C297" s="88" t="e">
        <f t="shared" si="24"/>
        <v>#REF!</v>
      </c>
      <c r="D297" s="61">
        <f t="shared" si="23"/>
        <v>293</v>
      </c>
      <c r="E297" s="422">
        <v>4006</v>
      </c>
      <c r="F297" s="64" t="str">
        <f>IFERROR(VLOOKUP(Table4[[#This Row],[Player No]],Table10[[No]:[Province]],2,0),"")</f>
        <v>MARAIS Barry</v>
      </c>
      <c r="G297" s="65" t="str">
        <f>IFERROR(VLOOKUP(Table4[[#This Row],[Player No]],Table10[[No]:[Province]],3,0),"")</f>
        <v>GN</v>
      </c>
      <c r="H297" s="419">
        <v>0</v>
      </c>
      <c r="I297" s="418">
        <v>1</v>
      </c>
      <c r="J297" s="124">
        <f>(Table4[[#This Row],[Points 2025]]/2)+SUM(Table4[[#This Row],[O1  ADMIN 2026]:[P2         WC    Open 2026]])</f>
        <v>0.5</v>
      </c>
      <c r="K297" s="106">
        <f t="shared" si="21"/>
        <v>0</v>
      </c>
      <c r="L297" s="106">
        <f t="shared" si="22"/>
        <v>0</v>
      </c>
      <c r="M297" s="838" t="s">
        <v>6083</v>
      </c>
      <c r="N297" s="442" t="s">
        <v>6083</v>
      </c>
      <c r="O297" s="442" t="s">
        <v>6083</v>
      </c>
      <c r="P297" s="442"/>
      <c r="Q297" s="422"/>
      <c r="R297" s="422"/>
      <c r="S297" s="422"/>
      <c r="T297" s="422"/>
      <c r="U297" s="422"/>
      <c r="V297" s="422"/>
      <c r="W297" s="422"/>
      <c r="X297" s="853"/>
      <c r="Y297" s="442"/>
      <c r="Z297" s="422"/>
      <c r="AA297" s="422">
        <v>1</v>
      </c>
      <c r="AB297" s="422"/>
      <c r="AC297" s="422"/>
      <c r="AD297" s="422"/>
      <c r="AE297" s="422"/>
      <c r="AF297" s="422"/>
      <c r="AG297" s="422"/>
      <c r="AH297" s="422"/>
      <c r="AI297" s="422"/>
      <c r="AJ297" s="422"/>
      <c r="AK297" s="422"/>
      <c r="AL297" s="422"/>
      <c r="AM297" s="422"/>
      <c r="AN297" s="422"/>
      <c r="AO297" s="422"/>
    </row>
    <row r="298" spans="2:41" s="58" customFormat="1">
      <c r="B298" s="87" t="e">
        <f>VLOOKUP([5]!Table4[[#This Row],[Player No]],'[6]u19 boys'!$E$5:$F$216,2,0)</f>
        <v>#REF!</v>
      </c>
      <c r="C298" s="88" t="e">
        <f t="shared" si="24"/>
        <v>#REF!</v>
      </c>
      <c r="D298" s="61">
        <f t="shared" si="23"/>
        <v>294</v>
      </c>
      <c r="E298" s="422">
        <v>4245</v>
      </c>
      <c r="F298" s="64" t="str">
        <f>IFERROR(VLOOKUP(Table4[[#This Row],[Player No]],Table10[[No]:[Province]],2,0),"")</f>
        <v>NAIR Shaylin</v>
      </c>
      <c r="G298" s="65" t="str">
        <f>IFERROR(VLOOKUP(Table4[[#This Row],[Player No]],Table10[[No]:[Province]],3,0),"")</f>
        <v>UMG</v>
      </c>
      <c r="H298" s="419">
        <v>0</v>
      </c>
      <c r="I298" s="418">
        <v>1</v>
      </c>
      <c r="J298" s="124">
        <f>(Table4[[#This Row],[Points 2025]]/2)+SUM(Table4[[#This Row],[O1  ADMIN 2026]:[P2         WC    Open 2026]])</f>
        <v>0.5</v>
      </c>
      <c r="K298" s="106">
        <f t="shared" si="21"/>
        <v>0</v>
      </c>
      <c r="L298" s="106">
        <f t="shared" si="22"/>
        <v>0</v>
      </c>
      <c r="M298" s="838" t="s">
        <v>6083</v>
      </c>
      <c r="N298" s="442" t="s">
        <v>6083</v>
      </c>
      <c r="O298" s="442" t="s">
        <v>6083</v>
      </c>
      <c r="P298" s="442"/>
      <c r="Q298" s="422"/>
      <c r="R298" s="422">
        <v>1</v>
      </c>
      <c r="S298" s="422"/>
      <c r="T298" s="422"/>
      <c r="U298" s="422"/>
      <c r="V298" s="422"/>
      <c r="W298" s="422"/>
      <c r="X298" s="853"/>
      <c r="Y298" s="442"/>
      <c r="Z298" s="422"/>
      <c r="AA298" s="422"/>
      <c r="AB298" s="422"/>
      <c r="AC298" s="422"/>
      <c r="AD298" s="422"/>
      <c r="AE298" s="422"/>
      <c r="AF298" s="422"/>
      <c r="AG298" s="422"/>
      <c r="AH298" s="422"/>
      <c r="AI298" s="422"/>
      <c r="AJ298" s="422"/>
      <c r="AK298" s="422"/>
      <c r="AL298" s="422"/>
      <c r="AM298" s="422"/>
      <c r="AN298" s="422"/>
      <c r="AO298" s="422"/>
    </row>
    <row r="299" spans="2:41" s="58" customFormat="1">
      <c r="B299" s="397"/>
      <c r="C299" s="397">
        <f t="shared" si="24"/>
        <v>-295</v>
      </c>
      <c r="D299" s="61">
        <f t="shared" si="23"/>
        <v>295</v>
      </c>
      <c r="E299" s="1057">
        <v>4266</v>
      </c>
      <c r="F299" s="64" t="str">
        <f>IFERROR(VLOOKUP(Table4[[#This Row],[Player No]],Table10[[No]:[Province]],2,0),"")</f>
        <v>Gilchrist Matt</v>
      </c>
      <c r="G299" s="420" t="str">
        <f>IFERROR(VLOOKUP(Table4[[#This Row],[Player No]],Table10[[No]:[Province]],3,0),"")</f>
        <v>JTTA</v>
      </c>
      <c r="H299" s="1059">
        <v>0</v>
      </c>
      <c r="I299" s="1060">
        <v>1</v>
      </c>
      <c r="J299" s="124">
        <f>(Table4[[#This Row],[Points 2025]]/2)+SUM(Table4[[#This Row],[O1  ADMIN 2026]:[P2         WC    Open 2026]])</f>
        <v>0.5</v>
      </c>
      <c r="K299" s="106">
        <f t="shared" si="21"/>
        <v>0</v>
      </c>
      <c r="L299" s="106">
        <f t="shared" si="22"/>
        <v>0</v>
      </c>
      <c r="M299" s="838" t="s">
        <v>6083</v>
      </c>
      <c r="N299" s="426" t="s">
        <v>6083</v>
      </c>
      <c r="O299" s="426" t="s">
        <v>6083</v>
      </c>
      <c r="P299" s="426"/>
      <c r="Q299" s="1057"/>
      <c r="R299" s="1057"/>
      <c r="S299" s="1057"/>
      <c r="T299" s="1057"/>
      <c r="U299" s="1057"/>
      <c r="V299" s="1057"/>
      <c r="W299" s="1057"/>
      <c r="X299" s="855"/>
      <c r="Y299" s="426"/>
      <c r="Z299" s="1057"/>
      <c r="AA299" s="1057"/>
      <c r="AB299" s="1057">
        <v>1</v>
      </c>
      <c r="AC299" s="1057"/>
      <c r="AD299" s="1057"/>
      <c r="AE299" s="1057"/>
      <c r="AF299" s="1057"/>
      <c r="AG299" s="1057"/>
      <c r="AH299" s="1057"/>
      <c r="AI299" s="1057"/>
      <c r="AJ299" s="1057"/>
      <c r="AK299" s="1057"/>
      <c r="AL299" s="1057"/>
      <c r="AM299" s="1057"/>
      <c r="AN299" s="1057"/>
      <c r="AO299" s="1057"/>
    </row>
    <row r="300" spans="2:41" s="58" customFormat="1">
      <c r="B300" s="397"/>
      <c r="C300" s="397">
        <f t="shared" si="24"/>
        <v>-296</v>
      </c>
      <c r="D300" s="61">
        <f t="shared" si="23"/>
        <v>296</v>
      </c>
      <c r="E300" s="1057">
        <v>4404</v>
      </c>
      <c r="F300" s="64" t="str">
        <f>IFERROR(VLOOKUP(Table4[[#This Row],[Player No]],Table10[[No]:[Province]],2,0),"")</f>
        <v>BOOYENS Ewan</v>
      </c>
      <c r="G300" s="65" t="str">
        <f>IFERROR(VLOOKUP(Table4[[#This Row],[Player No]],Table10[[No]:[Province]],3,0),"")</f>
        <v>GN</v>
      </c>
      <c r="H300" s="1059">
        <v>0</v>
      </c>
      <c r="I300" s="1060">
        <v>1</v>
      </c>
      <c r="J300" s="124">
        <f>(Table4[[#This Row],[Points 2025]]/2)+SUM(Table4[[#This Row],[O1  ADMIN 2026]:[P2         WC    Open 2026]])</f>
        <v>0.5</v>
      </c>
      <c r="K300" s="106">
        <f t="shared" si="21"/>
        <v>0</v>
      </c>
      <c r="L300" s="106">
        <f t="shared" si="22"/>
        <v>0</v>
      </c>
      <c r="M300" s="838" t="s">
        <v>6083</v>
      </c>
      <c r="N300" s="426" t="s">
        <v>6083</v>
      </c>
      <c r="O300" s="426" t="s">
        <v>6083</v>
      </c>
      <c r="P300" s="426"/>
      <c r="Q300" s="1057"/>
      <c r="R300" s="1057"/>
      <c r="S300" s="1057"/>
      <c r="T300" s="1057"/>
      <c r="U300" s="1057"/>
      <c r="V300" s="1057"/>
      <c r="W300" s="1057"/>
      <c r="X300" s="855"/>
      <c r="Y300" s="426"/>
      <c r="Z300" s="1057"/>
      <c r="AA300" s="1057"/>
      <c r="AB300" s="1057">
        <v>1</v>
      </c>
      <c r="AC300" s="1057"/>
      <c r="AD300" s="1057"/>
      <c r="AE300" s="1057"/>
      <c r="AF300" s="1057"/>
      <c r="AG300" s="1057"/>
      <c r="AH300" s="1057"/>
      <c r="AI300" s="1057"/>
      <c r="AJ300" s="1057"/>
      <c r="AK300" s="1057"/>
      <c r="AL300" s="1057"/>
      <c r="AM300" s="1057"/>
      <c r="AN300" s="1057"/>
      <c r="AO300" s="1057"/>
    </row>
    <row r="301" spans="2:41" s="58" customFormat="1">
      <c r="B301" s="87" t="e">
        <f>VLOOKUP([5]!Table4[[#This Row],[Player No]],'[6]u19 boys'!$E$5:$F$216,2,0)</f>
        <v>#REF!</v>
      </c>
      <c r="C301" s="88" t="e">
        <f t="shared" si="24"/>
        <v>#REF!</v>
      </c>
      <c r="D301" s="61">
        <f t="shared" si="23"/>
        <v>297</v>
      </c>
      <c r="E301" s="1056">
        <v>4408</v>
      </c>
      <c r="F301" s="64" t="str">
        <f>IFERROR(VLOOKUP(Table4[[#This Row],[Player No]],Table10[[No]:[Province]],2,0),"")</f>
        <v>AMOILS Netanel</v>
      </c>
      <c r="G301" s="65" t="str">
        <f>IFERROR(VLOOKUP(Table4[[#This Row],[Player No]],Table10[[No]:[Province]],3,0),"")</f>
        <v>JTTA</v>
      </c>
      <c r="H301" s="1058">
        <v>0</v>
      </c>
      <c r="I301" s="418">
        <v>1</v>
      </c>
      <c r="J301" s="124">
        <f>(Table4[[#This Row],[Points 2025]]/2)+SUM(Table4[[#This Row],[O1  ADMIN 2026]:[P2         WC    Open 2026]])</f>
        <v>0.5</v>
      </c>
      <c r="K301" s="106">
        <f t="shared" si="21"/>
        <v>0</v>
      </c>
      <c r="L301" s="106">
        <f t="shared" si="22"/>
        <v>0</v>
      </c>
      <c r="M301" s="838" t="s">
        <v>6083</v>
      </c>
      <c r="N301" s="442" t="s">
        <v>6083</v>
      </c>
      <c r="O301" s="442" t="s">
        <v>6083</v>
      </c>
      <c r="P301" s="442"/>
      <c r="Q301" s="1056"/>
      <c r="R301" s="1056"/>
      <c r="S301" s="1056"/>
      <c r="T301" s="1056"/>
      <c r="U301" s="1056"/>
      <c r="V301" s="1056"/>
      <c r="W301" s="1056"/>
      <c r="X301" s="854"/>
      <c r="Y301" s="437"/>
      <c r="Z301" s="1056"/>
      <c r="AA301" s="1056"/>
      <c r="AB301" s="1056"/>
      <c r="AC301" s="1056">
        <v>1</v>
      </c>
      <c r="AD301" s="1056"/>
      <c r="AE301" s="1056"/>
      <c r="AF301" s="1056"/>
      <c r="AG301" s="1056"/>
      <c r="AH301" s="1056"/>
      <c r="AI301" s="1056"/>
      <c r="AJ301" s="1056"/>
      <c r="AK301" s="1056"/>
      <c r="AL301" s="1056"/>
      <c r="AM301" s="1056"/>
      <c r="AN301" s="1056"/>
      <c r="AO301" s="1056"/>
    </row>
    <row r="302" spans="2:41" s="58" customFormat="1">
      <c r="B302" s="87" t="e">
        <f>VLOOKUP([5]!Table4[[#This Row],[Player No]],'[6]u19 boys'!$E$5:$F$216,2,0)</f>
        <v>#REF!</v>
      </c>
      <c r="C302" s="88" t="e">
        <f t="shared" si="24"/>
        <v>#REF!</v>
      </c>
      <c r="D302" s="61">
        <f t="shared" si="23"/>
        <v>298</v>
      </c>
      <c r="E302" s="1056">
        <v>4409</v>
      </c>
      <c r="F302" s="64" t="str">
        <f>IFERROR(VLOOKUP(Table4[[#This Row],[Player No]],Table10[[No]:[Province]],2,0),"")</f>
        <v xml:space="preserve"> RANGATA Franklin</v>
      </c>
      <c r="G302" s="65" t="str">
        <f>IFERROR(VLOOKUP(Table4[[#This Row],[Player No]],Table10[[No]:[Province]],3,0),"")</f>
        <v>JTTA</v>
      </c>
      <c r="H302" s="1058">
        <v>0</v>
      </c>
      <c r="I302" s="418">
        <v>1</v>
      </c>
      <c r="J302" s="124">
        <f>(Table4[[#This Row],[Points 2025]]/2)+SUM(Table4[[#This Row],[O1  ADMIN 2026]:[P2         WC    Open 2026]])</f>
        <v>0.5</v>
      </c>
      <c r="K302" s="106">
        <f t="shared" si="21"/>
        <v>0</v>
      </c>
      <c r="L302" s="106">
        <f t="shared" si="22"/>
        <v>0</v>
      </c>
      <c r="M302" s="838" t="s">
        <v>6083</v>
      </c>
      <c r="N302" s="442" t="s">
        <v>6083</v>
      </c>
      <c r="O302" s="442" t="s">
        <v>6083</v>
      </c>
      <c r="P302" s="442"/>
      <c r="Q302" s="1056"/>
      <c r="R302" s="1056"/>
      <c r="S302" s="1056"/>
      <c r="T302" s="1056"/>
      <c r="U302" s="1056"/>
      <c r="V302" s="1056"/>
      <c r="W302" s="1056"/>
      <c r="X302" s="854"/>
      <c r="Y302" s="437"/>
      <c r="Z302" s="1056"/>
      <c r="AA302" s="1056"/>
      <c r="AB302" s="1056"/>
      <c r="AC302" s="1056">
        <v>1</v>
      </c>
      <c r="AD302" s="1056"/>
      <c r="AE302" s="1056"/>
      <c r="AF302" s="1056"/>
      <c r="AG302" s="1056"/>
      <c r="AH302" s="1056"/>
      <c r="AI302" s="1056"/>
      <c r="AJ302" s="1056"/>
      <c r="AK302" s="1056"/>
      <c r="AL302" s="1056"/>
      <c r="AM302" s="1056"/>
      <c r="AN302" s="1056"/>
      <c r="AO302" s="1056"/>
    </row>
    <row r="303" spans="2:41" s="58" customFormat="1">
      <c r="B303" s="88"/>
      <c r="C303" s="88">
        <f t="shared" si="24"/>
        <v>-299</v>
      </c>
      <c r="D303" s="61">
        <f t="shared" si="23"/>
        <v>299</v>
      </c>
      <c r="E303" s="422">
        <v>4476</v>
      </c>
      <c r="F303" s="64" t="str">
        <f>IFERROR(VLOOKUP(Table4[[#This Row],[Player No]],Table10[[No]:[Province]],2,0),"")</f>
        <v xml:space="preserve">ISMAIL Abdul </v>
      </c>
      <c r="G303" s="65" t="str">
        <f>IFERROR(VLOOKUP(Table4[[#This Row],[Player No]],Table10[[No]:[Province]],3,0),"")</f>
        <v>CT</v>
      </c>
      <c r="H303" s="419">
        <v>0</v>
      </c>
      <c r="I303" s="418">
        <v>1</v>
      </c>
      <c r="J303" s="124">
        <f>(Table4[[#This Row],[Points 2025]]/2)+SUM(Table4[[#This Row],[O1  ADMIN 2026]:[P2         WC    Open 2026]])</f>
        <v>0.5</v>
      </c>
      <c r="K303" s="106">
        <f t="shared" si="21"/>
        <v>0</v>
      </c>
      <c r="L303" s="106">
        <f t="shared" si="22"/>
        <v>0</v>
      </c>
      <c r="M303" s="838" t="s">
        <v>6083</v>
      </c>
      <c r="N303" s="442" t="s">
        <v>6083</v>
      </c>
      <c r="O303" s="442" t="s">
        <v>6083</v>
      </c>
      <c r="P303" s="442"/>
      <c r="Q303" s="422"/>
      <c r="R303" s="422"/>
      <c r="S303" s="422"/>
      <c r="T303" s="422"/>
      <c r="U303" s="422"/>
      <c r="V303" s="422"/>
      <c r="W303" s="422"/>
      <c r="X303" s="853"/>
      <c r="Y303" s="442"/>
      <c r="Z303" s="422"/>
      <c r="AA303" s="422"/>
      <c r="AB303" s="422"/>
      <c r="AC303" s="422"/>
      <c r="AD303" s="422">
        <v>1</v>
      </c>
      <c r="AE303" s="422"/>
      <c r="AF303" s="422"/>
      <c r="AG303" s="422"/>
      <c r="AH303" s="422"/>
      <c r="AI303" s="422"/>
      <c r="AJ303" s="422"/>
      <c r="AK303" s="422"/>
      <c r="AL303" s="422"/>
      <c r="AM303" s="422"/>
      <c r="AN303" s="422"/>
      <c r="AO303" s="422"/>
    </row>
    <row r="304" spans="2:41" s="58" customFormat="1">
      <c r="B304" s="397"/>
      <c r="C304" s="397">
        <f t="shared" si="24"/>
        <v>-300</v>
      </c>
      <c r="D304" s="61">
        <f t="shared" si="23"/>
        <v>300</v>
      </c>
      <c r="E304" s="1057">
        <v>4497</v>
      </c>
      <c r="F304" s="64" t="str">
        <f>IFERROR(VLOOKUP(Table4[[#This Row],[Player No]],Table10[[No]:[Province]],2,0),"")</f>
        <v>Leanu LOTZ</v>
      </c>
      <c r="G304" s="65" t="str">
        <f>IFERROR(VLOOKUP(Table4[[#This Row],[Player No]],Table10[[No]:[Province]],3,0),"")</f>
        <v>GN</v>
      </c>
      <c r="H304" s="1059">
        <v>0</v>
      </c>
      <c r="I304" s="1060">
        <v>1</v>
      </c>
      <c r="J304" s="124">
        <f>(Table4[[#This Row],[Points 2025]]/2)+SUM(Table4[[#This Row],[O1  ADMIN 2026]:[P2         WC    Open 2026]])</f>
        <v>0.5</v>
      </c>
      <c r="K304" s="106">
        <f t="shared" si="21"/>
        <v>0</v>
      </c>
      <c r="L304" s="106">
        <f t="shared" si="22"/>
        <v>0</v>
      </c>
      <c r="M304" s="838" t="s">
        <v>6083</v>
      </c>
      <c r="N304" s="426" t="s">
        <v>6083</v>
      </c>
      <c r="O304" s="426" t="s">
        <v>6083</v>
      </c>
      <c r="P304" s="426"/>
      <c r="Q304" s="1057"/>
      <c r="R304" s="1057"/>
      <c r="S304" s="1057"/>
      <c r="T304" s="1057"/>
      <c r="U304" s="1057"/>
      <c r="V304" s="1057"/>
      <c r="W304" s="1057"/>
      <c r="X304" s="855"/>
      <c r="Y304" s="426"/>
      <c r="Z304" s="1057"/>
      <c r="AA304" s="1057"/>
      <c r="AB304" s="1057">
        <v>1</v>
      </c>
      <c r="AC304" s="1057"/>
      <c r="AD304" s="1057"/>
      <c r="AE304" s="1057"/>
      <c r="AF304" s="1057"/>
      <c r="AG304" s="1057"/>
      <c r="AH304" s="1057"/>
      <c r="AI304" s="1057"/>
      <c r="AJ304" s="1057"/>
      <c r="AK304" s="1057"/>
      <c r="AL304" s="1057"/>
      <c r="AM304" s="1057"/>
      <c r="AN304" s="1057"/>
      <c r="AO304" s="1057"/>
    </row>
    <row r="305" spans="2:41" s="58" customFormat="1">
      <c r="B305" s="397"/>
      <c r="C305" s="397">
        <f>+B306-D306</f>
        <v>-168</v>
      </c>
      <c r="D305" s="61">
        <f t="shared" si="23"/>
        <v>301</v>
      </c>
      <c r="E305" s="386">
        <v>4499</v>
      </c>
      <c r="F305" s="64" t="str">
        <f>IFERROR(VLOOKUP(Table4[[#This Row],[Player No]],Table10[[No]:[Province]],2,0),"")</f>
        <v>Rickus CONRADIE</v>
      </c>
      <c r="G305" s="421"/>
      <c r="H305" s="741">
        <v>0</v>
      </c>
      <c r="I305" s="416">
        <v>1</v>
      </c>
      <c r="J305" s="124">
        <f>(Table4[[#This Row],[Points 2025]]/2)+SUM(Table4[[#This Row],[O1  ADMIN 2026]:[P2         WC    Open 2026]])</f>
        <v>0.5</v>
      </c>
      <c r="K305" s="106">
        <f t="shared" si="21"/>
        <v>0</v>
      </c>
      <c r="L305" s="106">
        <f t="shared" si="22"/>
        <v>0</v>
      </c>
      <c r="M305" s="106" t="s">
        <v>6083</v>
      </c>
      <c r="N305" s="386" t="s">
        <v>6083</v>
      </c>
      <c r="O305" s="386" t="s">
        <v>6083</v>
      </c>
      <c r="P305" s="386"/>
      <c r="Q305" s="386"/>
      <c r="R305" s="386"/>
      <c r="S305" s="426"/>
      <c r="T305" s="426"/>
      <c r="U305" s="386"/>
      <c r="V305" s="386"/>
      <c r="W305" s="386"/>
      <c r="X305" s="1062"/>
      <c r="Y305" s="744"/>
      <c r="Z305" s="386"/>
      <c r="AA305" s="386"/>
      <c r="AB305" s="386">
        <v>1</v>
      </c>
      <c r="AC305" s="386"/>
      <c r="AD305" s="386"/>
      <c r="AE305" s="386"/>
      <c r="AF305" s="386"/>
      <c r="AG305" s="386"/>
      <c r="AH305" s="386"/>
      <c r="AI305" s="386"/>
      <c r="AJ305" s="386"/>
      <c r="AK305" s="386"/>
      <c r="AL305" s="386"/>
      <c r="AM305" s="386"/>
      <c r="AN305" s="386"/>
      <c r="AO305" s="386"/>
    </row>
    <row r="306" spans="2:41" s="58" customFormat="1">
      <c r="B306" s="87">
        <v>134</v>
      </c>
      <c r="C306" s="88">
        <f t="shared" ref="C306:C352" si="25">+B306-D306</f>
        <v>-168</v>
      </c>
      <c r="D306" s="61">
        <f t="shared" si="23"/>
        <v>302</v>
      </c>
      <c r="E306" s="318">
        <v>4528</v>
      </c>
      <c r="F306" s="64" t="str">
        <f>IFERROR(VLOOKUP(Table4[[#This Row],[Player No]],Table10[[No]:[Province]],2,0),"")</f>
        <v xml:space="preserve">VACHIAT Eesa </v>
      </c>
      <c r="G306" s="65" t="str">
        <f>IFERROR(VLOOKUP(Table4[[#This Row],[Player No]],Table10[[No]:[Province]],3,0),"")</f>
        <v>SED</v>
      </c>
      <c r="H306" s="317">
        <v>0</v>
      </c>
      <c r="I306" s="124">
        <v>1</v>
      </c>
      <c r="J306" s="124">
        <f>(Table4[[#This Row],[Points 2025]]/2)+SUM(Table4[[#This Row],[O1  ADMIN 2026]:[P2         WC    Open 2026]])</f>
        <v>0.5</v>
      </c>
      <c r="K306" s="106">
        <f t="shared" si="21"/>
        <v>0</v>
      </c>
      <c r="L306" s="106">
        <f t="shared" si="22"/>
        <v>0</v>
      </c>
      <c r="M306" s="106" t="s">
        <v>6083</v>
      </c>
      <c r="N306" s="114" t="s">
        <v>6083</v>
      </c>
      <c r="O306" s="114" t="s">
        <v>6083</v>
      </c>
      <c r="P306" s="114"/>
      <c r="Q306" s="318"/>
      <c r="R306" s="318"/>
      <c r="S306" s="437"/>
      <c r="T306" s="437"/>
      <c r="U306" s="318"/>
      <c r="V306" s="318"/>
      <c r="W306" s="318"/>
      <c r="X306" s="1063"/>
      <c r="Y306" s="745"/>
      <c r="Z306" s="318"/>
      <c r="AA306" s="318"/>
      <c r="AB306" s="318"/>
      <c r="AC306" s="318">
        <v>1</v>
      </c>
      <c r="AD306" s="318"/>
      <c r="AE306" s="318"/>
      <c r="AF306" s="318"/>
      <c r="AG306" s="318"/>
      <c r="AH306" s="318"/>
      <c r="AI306" s="318"/>
      <c r="AJ306" s="318"/>
      <c r="AK306" s="318"/>
      <c r="AL306" s="318"/>
      <c r="AM306" s="318"/>
      <c r="AN306" s="318"/>
      <c r="AO306" s="318"/>
    </row>
    <row r="307" spans="2:41" s="58" customFormat="1">
      <c r="B307" s="373"/>
      <c r="C307" s="373">
        <f t="shared" si="25"/>
        <v>-303</v>
      </c>
      <c r="D307" s="61">
        <f t="shared" si="23"/>
        <v>303</v>
      </c>
      <c r="E307" s="357">
        <v>4616</v>
      </c>
      <c r="F307" s="64" t="str">
        <f>IFERROR(VLOOKUP(Table4[[#This Row],[Player No]],Table10[[No]:[Province]],2,0),"")</f>
        <v xml:space="preserve">NGEWU Samkelo </v>
      </c>
      <c r="G307" s="65" t="str">
        <f>IFERROR(VLOOKUP(Table4[[#This Row],[Player No]],Table10[[No]:[Province]],3,0),"")</f>
        <v>ETTA</v>
      </c>
      <c r="H307" s="743">
        <v>0</v>
      </c>
      <c r="I307" s="358">
        <v>1</v>
      </c>
      <c r="J307" s="124">
        <f>(Table4[[#This Row],[Points 2025]]/2)+SUM(Table4[[#This Row],[O1  ADMIN 2026]:[P2         WC    Open 2026]])</f>
        <v>0.5</v>
      </c>
      <c r="K307" s="106">
        <f t="shared" si="21"/>
        <v>0</v>
      </c>
      <c r="L307" s="106">
        <f t="shared" si="22"/>
        <v>0</v>
      </c>
      <c r="M307" s="106" t="s">
        <v>6083</v>
      </c>
      <c r="N307" s="357" t="s">
        <v>6083</v>
      </c>
      <c r="O307" s="357" t="s">
        <v>6083</v>
      </c>
      <c r="P307" s="357"/>
      <c r="Q307" s="357"/>
      <c r="R307" s="357"/>
      <c r="S307" s="641"/>
      <c r="T307" s="641">
        <v>1</v>
      </c>
      <c r="U307" s="357"/>
      <c r="V307" s="357"/>
      <c r="W307" s="357"/>
      <c r="X307" s="1064"/>
      <c r="Y307" s="1066"/>
      <c r="Z307" s="357"/>
      <c r="AA307" s="357"/>
      <c r="AB307" s="357"/>
      <c r="AC307" s="357"/>
      <c r="AD307" s="357"/>
      <c r="AE307" s="357"/>
      <c r="AF307" s="357"/>
      <c r="AG307" s="357"/>
      <c r="AH307" s="357"/>
      <c r="AI307" s="357"/>
      <c r="AJ307" s="357"/>
      <c r="AK307" s="357"/>
      <c r="AL307" s="357"/>
      <c r="AM307" s="357"/>
      <c r="AN307" s="357"/>
      <c r="AO307" s="357"/>
    </row>
    <row r="308" spans="2:41" s="58" customFormat="1">
      <c r="B308" s="350"/>
      <c r="C308" s="350">
        <f t="shared" si="25"/>
        <v>-304</v>
      </c>
      <c r="D308" s="61">
        <f t="shared" si="23"/>
        <v>304</v>
      </c>
      <c r="E308" s="321">
        <v>4617</v>
      </c>
      <c r="F308" s="64" t="str">
        <f>IFERROR(VLOOKUP(Table4[[#This Row],[Player No]],Table10[[No]:[Province]],2,0),"")</f>
        <v xml:space="preserve">RAJCOOMAR Kairan </v>
      </c>
      <c r="G308" s="65" t="str">
        <f>IFERROR(VLOOKUP(Table4[[#This Row],[Player No]],Table10[[No]:[Province]],3,0),"")</f>
        <v>UMG</v>
      </c>
      <c r="H308" s="723">
        <v>0</v>
      </c>
      <c r="I308" s="383">
        <v>0.75</v>
      </c>
      <c r="J308" s="124">
        <f>(Table4[[#This Row],[Points 2025]]/2)+SUM(Table4[[#This Row],[O1  ADMIN 2026]:[P2         WC    Open 2026]])</f>
        <v>0.375</v>
      </c>
      <c r="K308" s="106">
        <f t="shared" si="21"/>
        <v>0</v>
      </c>
      <c r="L308" s="106">
        <f t="shared" si="22"/>
        <v>0</v>
      </c>
      <c r="M308" s="106" t="s">
        <v>6083</v>
      </c>
      <c r="N308" s="321" t="s">
        <v>6083</v>
      </c>
      <c r="O308" s="321" t="s">
        <v>6083</v>
      </c>
      <c r="P308" s="321"/>
      <c r="Q308" s="321"/>
      <c r="R308" s="321"/>
      <c r="S308" s="642">
        <v>1</v>
      </c>
      <c r="T308" s="642"/>
      <c r="U308" s="321"/>
      <c r="V308" s="321"/>
      <c r="W308" s="321"/>
      <c r="X308" s="1061"/>
      <c r="Y308" s="1065"/>
      <c r="Z308" s="321"/>
      <c r="AA308" s="321"/>
      <c r="AB308" s="321"/>
      <c r="AC308" s="321"/>
      <c r="AD308" s="321"/>
      <c r="AE308" s="321"/>
      <c r="AF308" s="321"/>
      <c r="AG308" s="321"/>
      <c r="AH308" s="321"/>
      <c r="AI308" s="321"/>
      <c r="AJ308" s="321"/>
      <c r="AK308" s="321"/>
      <c r="AL308" s="321"/>
      <c r="AM308" s="321"/>
      <c r="AN308" s="321"/>
      <c r="AO308" s="321"/>
    </row>
    <row r="309" spans="2:41" s="58" customFormat="1">
      <c r="B309" s="87">
        <v>146</v>
      </c>
      <c r="C309" s="88">
        <f t="shared" si="25"/>
        <v>-159</v>
      </c>
      <c r="D309" s="61">
        <f t="shared" si="23"/>
        <v>305</v>
      </c>
      <c r="E309" s="114">
        <v>3310</v>
      </c>
      <c r="F309" s="64" t="str">
        <f>IFERROR(VLOOKUP(Table4[[#This Row],[Player No]],Table10[[No]:[Province]],2,0),"")</f>
        <v>DHLAMINI Phiwayinkosi</v>
      </c>
      <c r="G309" s="65" t="str">
        <f>IFERROR(VLOOKUP(Table4[[#This Row],[Player No]],Table10[[No]:[Province]],3,0),"")</f>
        <v>JTTA</v>
      </c>
      <c r="H309" s="116">
        <v>1.5</v>
      </c>
      <c r="I309" s="124">
        <v>0.75</v>
      </c>
      <c r="J309" s="124">
        <f>(Table4[[#This Row],[Points 2025]]/2)+SUM(Table4[[#This Row],[O1  ADMIN 2026]:[P2         WC    Open 2026]])</f>
        <v>0.375</v>
      </c>
      <c r="K309" s="106">
        <f t="shared" si="21"/>
        <v>0</v>
      </c>
      <c r="L309" s="106">
        <f t="shared" si="22"/>
        <v>0</v>
      </c>
      <c r="M309" s="106" t="s">
        <v>6083</v>
      </c>
      <c r="N309" s="114" t="s">
        <v>6083</v>
      </c>
      <c r="O309" s="114" t="s">
        <v>6083</v>
      </c>
      <c r="P309" s="114"/>
      <c r="Q309" s="114"/>
      <c r="R309" s="114"/>
      <c r="S309" s="442"/>
      <c r="T309" s="442"/>
      <c r="U309" s="114"/>
      <c r="V309" s="114"/>
      <c r="W309" s="114"/>
      <c r="X309" s="856"/>
      <c r="Y309" s="85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>
        <v>1</v>
      </c>
      <c r="AO309" s="114"/>
    </row>
    <row r="310" spans="2:41" s="58" customFormat="1">
      <c r="B310" s="87">
        <v>142</v>
      </c>
      <c r="C310" s="88">
        <f t="shared" si="25"/>
        <v>-164</v>
      </c>
      <c r="D310" s="61">
        <f t="shared" si="23"/>
        <v>306</v>
      </c>
      <c r="E310" s="114">
        <v>3311</v>
      </c>
      <c r="F310" s="64" t="str">
        <f>IFERROR(VLOOKUP(Table4[[#This Row],[Player No]],Table10[[No]:[Province]],2,0),"")</f>
        <v>MUCAVEL Shawn</v>
      </c>
      <c r="G310" s="65" t="str">
        <f>IFERROR(VLOOKUP(Table4[[#This Row],[Player No]],Table10[[No]:[Province]],3,0),"")</f>
        <v>JTTA</v>
      </c>
      <c r="H310" s="116">
        <v>1.5</v>
      </c>
      <c r="I310" s="124">
        <v>0.625</v>
      </c>
      <c r="J310" s="124">
        <f>(Table4[[#This Row],[Points 2025]]/2)+SUM(Table4[[#This Row],[O1  ADMIN 2026]:[P2         WC    Open 2026]])</f>
        <v>0.3125</v>
      </c>
      <c r="K310" s="106">
        <f t="shared" si="21"/>
        <v>0</v>
      </c>
      <c r="L310" s="106">
        <f t="shared" si="22"/>
        <v>0</v>
      </c>
      <c r="M310" s="106" t="s">
        <v>6083</v>
      </c>
      <c r="N310" s="114" t="s">
        <v>6083</v>
      </c>
      <c r="O310" s="114" t="s">
        <v>6083</v>
      </c>
      <c r="P310" s="114"/>
      <c r="Q310" s="114"/>
      <c r="R310" s="114"/>
      <c r="S310" s="442"/>
      <c r="T310" s="442"/>
      <c r="U310" s="114"/>
      <c r="V310" s="114"/>
      <c r="W310" s="114"/>
      <c r="X310" s="856"/>
      <c r="Y310" s="85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>
        <v>1</v>
      </c>
      <c r="AO310" s="114"/>
    </row>
    <row r="311" spans="2:41" s="58" customFormat="1">
      <c r="B311" s="87"/>
      <c r="C311" s="88">
        <f t="shared" si="25"/>
        <v>-307</v>
      </c>
      <c r="D311" s="61">
        <f t="shared" si="23"/>
        <v>307</v>
      </c>
      <c r="E311" s="114">
        <v>3372</v>
      </c>
      <c r="F311" s="64" t="str">
        <f>IFERROR(VLOOKUP(Table4[[#This Row],[Player No]],Table10[[No]:[Province]],2,0),"")</f>
        <v>KILLIAN CJ</v>
      </c>
      <c r="G311" s="65" t="str">
        <f>IFERROR(VLOOKUP(Table4[[#This Row],[Player No]],Table10[[No]:[Province]],3,0),"")</f>
        <v>WC</v>
      </c>
      <c r="H311" s="116">
        <v>1.25</v>
      </c>
      <c r="I311" s="124">
        <v>0.625</v>
      </c>
      <c r="J311" s="124">
        <f>(Table4[[#This Row],[Points 2025]]/2)+SUM(Table4[[#This Row],[O1  ADMIN 2026]:[P2         WC    Open 2026]])</f>
        <v>0.3125</v>
      </c>
      <c r="K311" s="106">
        <f t="shared" si="21"/>
        <v>0</v>
      </c>
      <c r="L311" s="106">
        <f t="shared" si="22"/>
        <v>0</v>
      </c>
      <c r="M311" s="106" t="s">
        <v>6083</v>
      </c>
      <c r="N311" s="114" t="s">
        <v>6083</v>
      </c>
      <c r="O311" s="114" t="s">
        <v>6083</v>
      </c>
      <c r="P311" s="114"/>
      <c r="Q311" s="114"/>
      <c r="R311" s="114"/>
      <c r="S311" s="442"/>
      <c r="T311" s="442"/>
      <c r="U311" s="114"/>
      <c r="V311" s="114"/>
      <c r="W311" s="114"/>
      <c r="X311" s="856"/>
      <c r="Y311" s="85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</row>
    <row r="312" spans="2:41" s="58" customFormat="1">
      <c r="B312" s="87"/>
      <c r="C312" s="88">
        <f t="shared" si="25"/>
        <v>-308</v>
      </c>
      <c r="D312" s="61">
        <f t="shared" si="23"/>
        <v>308</v>
      </c>
      <c r="E312" s="114">
        <v>3373</v>
      </c>
      <c r="F312" s="64" t="str">
        <f>IFERROR(VLOOKUP(Table4[[#This Row],[Player No]],Table10[[No]:[Province]],2,0),"")</f>
        <v>SAAL Ro-marion</v>
      </c>
      <c r="G312" s="65" t="str">
        <f>IFERROR(VLOOKUP(Table4[[#This Row],[Player No]],Table10[[No]:[Province]],3,0),"")</f>
        <v>WC</v>
      </c>
      <c r="H312" s="116">
        <v>1.25</v>
      </c>
      <c r="I312" s="124">
        <v>0.5</v>
      </c>
      <c r="J312" s="124">
        <f>(Table4[[#This Row],[Points 2025]]/2)+SUM(Table4[[#This Row],[O1  ADMIN 2026]:[P2         WC    Open 2026]])</f>
        <v>0.25</v>
      </c>
      <c r="K312" s="106">
        <f t="shared" si="21"/>
        <v>0</v>
      </c>
      <c r="L312" s="106">
        <f t="shared" si="22"/>
        <v>0</v>
      </c>
      <c r="M312" s="106" t="s">
        <v>6083</v>
      </c>
      <c r="N312" s="114" t="s">
        <v>6083</v>
      </c>
      <c r="O312" s="114" t="s">
        <v>6083</v>
      </c>
      <c r="P312" s="114"/>
      <c r="Q312" s="114"/>
      <c r="R312" s="114"/>
      <c r="S312" s="442"/>
      <c r="T312" s="442"/>
      <c r="U312" s="114"/>
      <c r="V312" s="114"/>
      <c r="W312" s="114"/>
      <c r="X312" s="856"/>
      <c r="Y312" s="85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</row>
    <row r="313" spans="2:41" s="58" customFormat="1">
      <c r="B313" s="87">
        <v>144</v>
      </c>
      <c r="C313" s="88">
        <f t="shared" si="25"/>
        <v>-165</v>
      </c>
      <c r="D313" s="61">
        <f t="shared" si="23"/>
        <v>309</v>
      </c>
      <c r="E313" s="114">
        <v>2926</v>
      </c>
      <c r="F313" s="64" t="str">
        <f>IFERROR(VLOOKUP(Table4[[#This Row],[Player No]],Table10[[No]:[Province]],2,0),"")</f>
        <v>DU TOIT Jochanan</v>
      </c>
      <c r="G313" s="65" t="str">
        <f>IFERROR(VLOOKUP(Table4[[#This Row],[Player No]],Table10[[No]:[Province]],3,0),"")</f>
        <v>GN</v>
      </c>
      <c r="H313" s="116">
        <v>1</v>
      </c>
      <c r="I313" s="124">
        <v>0.5</v>
      </c>
      <c r="J313" s="124">
        <f>(Table4[[#This Row],[Points 2025]]/2)+SUM(Table4[[#This Row],[O1  ADMIN 2026]:[P2         WC    Open 2026]])</f>
        <v>0.25</v>
      </c>
      <c r="K313" s="106">
        <f t="shared" si="21"/>
        <v>0</v>
      </c>
      <c r="L313" s="106">
        <f t="shared" si="22"/>
        <v>0</v>
      </c>
      <c r="M313" s="106" t="s">
        <v>6083</v>
      </c>
      <c r="N313" s="114" t="s">
        <v>6083</v>
      </c>
      <c r="O313" s="114" t="s">
        <v>6083</v>
      </c>
      <c r="P313" s="114"/>
      <c r="Q313" s="114"/>
      <c r="R313" s="114"/>
      <c r="S313" s="442"/>
      <c r="T313" s="442"/>
      <c r="U313" s="114"/>
      <c r="V313" s="114"/>
      <c r="W313" s="114"/>
      <c r="X313" s="856"/>
      <c r="Y313" s="85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</row>
    <row r="314" spans="2:41" s="58" customFormat="1">
      <c r="B314" s="87">
        <v>145</v>
      </c>
      <c r="C314" s="88">
        <f t="shared" si="25"/>
        <v>-165</v>
      </c>
      <c r="D314" s="61">
        <f t="shared" si="23"/>
        <v>310</v>
      </c>
      <c r="E314" s="114">
        <v>3009</v>
      </c>
      <c r="F314" s="64" t="str">
        <f>IFERROR(VLOOKUP(Table4[[#This Row],[Player No]],Table10[[No]:[Province]],2,0),"")</f>
        <v>COETZEE Christiaan</v>
      </c>
      <c r="G314" s="65" t="str">
        <f>IFERROR(VLOOKUP(Table4[[#This Row],[Player No]],Table10[[No]:[Province]],3,0),"")</f>
        <v>GN</v>
      </c>
      <c r="H314" s="116">
        <v>1</v>
      </c>
      <c r="I314" s="124">
        <v>0.5</v>
      </c>
      <c r="J314" s="124">
        <f>(Table4[[#This Row],[Points 2025]]/2)+SUM(Table4[[#This Row],[O1  ADMIN 2026]:[P2         WC    Open 2026]])</f>
        <v>0.25</v>
      </c>
      <c r="K314" s="106">
        <f t="shared" si="21"/>
        <v>0</v>
      </c>
      <c r="L314" s="106">
        <f t="shared" si="22"/>
        <v>0</v>
      </c>
      <c r="M314" s="106" t="s">
        <v>6083</v>
      </c>
      <c r="N314" s="114" t="s">
        <v>6083</v>
      </c>
      <c r="O314" s="114" t="s">
        <v>6083</v>
      </c>
      <c r="P314" s="114"/>
      <c r="Q314" s="114"/>
      <c r="R314" s="114"/>
      <c r="S314" s="442"/>
      <c r="T314" s="442"/>
      <c r="U314" s="114"/>
      <c r="V314" s="114"/>
      <c r="W314" s="114"/>
      <c r="X314" s="856"/>
      <c r="Y314" s="85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</row>
    <row r="315" spans="2:41" s="58" customFormat="1">
      <c r="B315" s="87">
        <v>156</v>
      </c>
      <c r="C315" s="88">
        <f t="shared" si="25"/>
        <v>-155</v>
      </c>
      <c r="D315" s="61">
        <f t="shared" si="23"/>
        <v>311</v>
      </c>
      <c r="E315" s="114">
        <v>3239</v>
      </c>
      <c r="F315" s="64" t="str">
        <f>IFERROR(VLOOKUP(Table4[[#This Row],[Player No]],Table10[[No]:[Province]],2,0),"")</f>
        <v>MEADE Matthew</v>
      </c>
      <c r="G315" s="65" t="str">
        <f>IFERROR(VLOOKUP(Table4[[#This Row],[Player No]],Table10[[No]:[Province]],3,0),"")</f>
        <v>CT</v>
      </c>
      <c r="H315" s="116">
        <v>1</v>
      </c>
      <c r="I315" s="124">
        <v>0.5</v>
      </c>
      <c r="J315" s="124">
        <f>(Table4[[#This Row],[Points 2025]]/2)+SUM(Table4[[#This Row],[O1  ADMIN 2026]:[P2         WC    Open 2026]])</f>
        <v>0.25</v>
      </c>
      <c r="K315" s="106">
        <f t="shared" si="21"/>
        <v>0</v>
      </c>
      <c r="L315" s="106">
        <f t="shared" si="22"/>
        <v>0</v>
      </c>
      <c r="M315" s="106" t="s">
        <v>6083</v>
      </c>
      <c r="N315" s="114" t="s">
        <v>6083</v>
      </c>
      <c r="O315" s="114" t="s">
        <v>6083</v>
      </c>
      <c r="P315" s="114"/>
      <c r="Q315" s="114"/>
      <c r="R315" s="114"/>
      <c r="S315" s="442"/>
      <c r="T315" s="442"/>
      <c r="U315" s="114"/>
      <c r="V315" s="114"/>
      <c r="W315" s="114"/>
      <c r="X315" s="856"/>
      <c r="Y315" s="85"/>
      <c r="Z315" s="114"/>
      <c r="AA315" s="114"/>
      <c r="AB315" s="114"/>
      <c r="AC315" s="114"/>
      <c r="AD315" s="114"/>
      <c r="AE315" s="114"/>
      <c r="AF315" s="114"/>
      <c r="AG315" s="114"/>
      <c r="AH315" s="114">
        <v>1</v>
      </c>
      <c r="AI315" s="114"/>
      <c r="AJ315" s="114"/>
      <c r="AK315" s="114"/>
      <c r="AL315" s="114"/>
      <c r="AM315" s="114"/>
      <c r="AN315" s="114"/>
      <c r="AO315" s="114"/>
    </row>
    <row r="316" spans="2:41" s="58" customFormat="1">
      <c r="B316" s="87">
        <v>158</v>
      </c>
      <c r="C316" s="88">
        <f t="shared" si="25"/>
        <v>-154</v>
      </c>
      <c r="D316" s="61">
        <f t="shared" si="23"/>
        <v>312</v>
      </c>
      <c r="E316" s="114">
        <v>3328</v>
      </c>
      <c r="F316" s="64" t="str">
        <f>IFERROR(VLOOKUP(Table4[[#This Row],[Player No]],Table10[[No]:[Province]],2,0),"")</f>
        <v>ARNOLD Aneeq</v>
      </c>
      <c r="G316" s="65" t="str">
        <f>IFERROR(VLOOKUP(Table4[[#This Row],[Player No]],Table10[[No]:[Province]],3,0),"")</f>
        <v>CT</v>
      </c>
      <c r="H316" s="116">
        <v>1</v>
      </c>
      <c r="I316" s="124">
        <v>0.5</v>
      </c>
      <c r="J316" s="124">
        <f>(Table4[[#This Row],[Points 2025]]/2)+SUM(Table4[[#This Row],[O1  ADMIN 2026]:[P2         WC    Open 2026]])</f>
        <v>0.25</v>
      </c>
      <c r="K316" s="106">
        <f t="shared" si="21"/>
        <v>0</v>
      </c>
      <c r="L316" s="106">
        <f t="shared" si="22"/>
        <v>0</v>
      </c>
      <c r="M316" s="106" t="s">
        <v>6083</v>
      </c>
      <c r="N316" s="114" t="s">
        <v>6083</v>
      </c>
      <c r="O316" s="114" t="s">
        <v>6083</v>
      </c>
      <c r="P316" s="114"/>
      <c r="Q316" s="114"/>
      <c r="R316" s="114"/>
      <c r="S316" s="442"/>
      <c r="T316" s="442"/>
      <c r="U316" s="114"/>
      <c r="V316" s="114"/>
      <c r="W316" s="114"/>
      <c r="X316" s="856"/>
      <c r="Y316" s="85"/>
      <c r="Z316" s="114"/>
      <c r="AA316" s="114"/>
      <c r="AB316" s="114"/>
      <c r="AC316" s="114"/>
      <c r="AD316" s="114"/>
      <c r="AE316" s="114"/>
      <c r="AF316" s="114"/>
      <c r="AG316" s="114"/>
      <c r="AH316" s="114">
        <v>1</v>
      </c>
      <c r="AI316" s="114"/>
      <c r="AJ316" s="114"/>
      <c r="AK316" s="114"/>
      <c r="AL316" s="114"/>
      <c r="AM316" s="114"/>
      <c r="AN316" s="114"/>
      <c r="AO316" s="114"/>
    </row>
    <row r="317" spans="2:41" s="58" customFormat="1">
      <c r="B317" s="87">
        <v>149</v>
      </c>
      <c r="C317" s="88">
        <f t="shared" si="25"/>
        <v>-164</v>
      </c>
      <c r="D317" s="61">
        <f t="shared" si="23"/>
        <v>313</v>
      </c>
      <c r="E317" s="114">
        <v>3438</v>
      </c>
      <c r="F317" s="64" t="str">
        <f>IFERROR(VLOOKUP(Table4[[#This Row],[Player No]],Table10[[No]:[Province]],2,0),"")</f>
        <v>VAN ROOYEN Renier</v>
      </c>
      <c r="G317" s="65" t="str">
        <f>IFERROR(VLOOKUP(Table4[[#This Row],[Player No]],Table10[[No]:[Province]],3,0),"")</f>
        <v>GN</v>
      </c>
      <c r="H317" s="116">
        <v>1</v>
      </c>
      <c r="I317" s="124">
        <v>0.5</v>
      </c>
      <c r="J317" s="124">
        <f>(Table4[[#This Row],[Points 2025]]/2)+SUM(Table4[[#This Row],[O1  ADMIN 2026]:[P2         WC    Open 2026]])</f>
        <v>0.25</v>
      </c>
      <c r="K317" s="106">
        <f t="shared" si="21"/>
        <v>0</v>
      </c>
      <c r="L317" s="106">
        <f t="shared" si="22"/>
        <v>0</v>
      </c>
      <c r="M317" s="106" t="s">
        <v>6083</v>
      </c>
      <c r="N317" s="114" t="s">
        <v>6083</v>
      </c>
      <c r="O317" s="114" t="s">
        <v>6083</v>
      </c>
      <c r="P317" s="114"/>
      <c r="Q317" s="114"/>
      <c r="R317" s="114"/>
      <c r="S317" s="442"/>
      <c r="T317" s="442"/>
      <c r="U317" s="114"/>
      <c r="V317" s="114"/>
      <c r="W317" s="114"/>
      <c r="X317" s="856"/>
      <c r="Y317" s="85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</row>
    <row r="318" spans="2:41" s="58" customFormat="1">
      <c r="B318" s="87">
        <v>151</v>
      </c>
      <c r="C318" s="88">
        <f t="shared" si="25"/>
        <v>-163</v>
      </c>
      <c r="D318" s="61">
        <f t="shared" si="23"/>
        <v>314</v>
      </c>
      <c r="E318" s="114">
        <v>3441</v>
      </c>
      <c r="F318" s="64" t="str">
        <f>IFERROR(VLOOKUP(Table4[[#This Row],[Player No]],Table10[[No]:[Province]],2,0),"")</f>
        <v>PECK Daniel</v>
      </c>
      <c r="G318" s="65" t="str">
        <f>IFERROR(VLOOKUP(Table4[[#This Row],[Player No]],Table10[[No]:[Province]],3,0),"")</f>
        <v>GN</v>
      </c>
      <c r="H318" s="116">
        <v>1</v>
      </c>
      <c r="I318" s="124">
        <v>0.5</v>
      </c>
      <c r="J318" s="124">
        <f>(Table4[[#This Row],[Points 2025]]/2)+SUM(Table4[[#This Row],[O1  ADMIN 2026]:[P2         WC    Open 2026]])</f>
        <v>0.25</v>
      </c>
      <c r="K318" s="106">
        <f t="shared" si="21"/>
        <v>0</v>
      </c>
      <c r="L318" s="106">
        <f t="shared" si="22"/>
        <v>0</v>
      </c>
      <c r="M318" s="106" t="s">
        <v>6083</v>
      </c>
      <c r="N318" s="114" t="s">
        <v>6083</v>
      </c>
      <c r="O318" s="114" t="s">
        <v>6083</v>
      </c>
      <c r="P318" s="114"/>
      <c r="Q318" s="114"/>
      <c r="R318" s="114"/>
      <c r="S318" s="442"/>
      <c r="T318" s="442"/>
      <c r="U318" s="114"/>
      <c r="V318" s="114"/>
      <c r="W318" s="114"/>
      <c r="X318" s="856"/>
      <c r="Y318" s="85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</row>
    <row r="319" spans="2:41" s="58" customFormat="1">
      <c r="B319" s="87">
        <v>152</v>
      </c>
      <c r="C319" s="88">
        <f t="shared" si="25"/>
        <v>-163</v>
      </c>
      <c r="D319" s="61">
        <f t="shared" si="23"/>
        <v>315</v>
      </c>
      <c r="E319" s="114">
        <v>3442</v>
      </c>
      <c r="F319" s="64" t="str">
        <f>IFERROR(VLOOKUP(Table4[[#This Row],[Player No]],Table10[[No]:[Province]],2,0),"")</f>
        <v>LE ROUX Jean</v>
      </c>
      <c r="G319" s="65" t="str">
        <f>IFERROR(VLOOKUP(Table4[[#This Row],[Player No]],Table10[[No]:[Province]],3,0),"")</f>
        <v>GN</v>
      </c>
      <c r="H319" s="116">
        <v>1</v>
      </c>
      <c r="I319" s="124">
        <v>0.5</v>
      </c>
      <c r="J319" s="124">
        <f>(Table4[[#This Row],[Points 2025]]/2)+SUM(Table4[[#This Row],[O1  ADMIN 2026]:[P2         WC    Open 2026]])</f>
        <v>0.25</v>
      </c>
      <c r="K319" s="106">
        <f t="shared" si="21"/>
        <v>0</v>
      </c>
      <c r="L319" s="106">
        <f t="shared" si="22"/>
        <v>0</v>
      </c>
      <c r="M319" s="106" t="s">
        <v>6083</v>
      </c>
      <c r="N319" s="114" t="s">
        <v>6083</v>
      </c>
      <c r="O319" s="114" t="s">
        <v>6083</v>
      </c>
      <c r="P319" s="114"/>
      <c r="Q319" s="114"/>
      <c r="R319" s="114"/>
      <c r="S319" s="442"/>
      <c r="T319" s="442"/>
      <c r="U319" s="114"/>
      <c r="V319" s="114"/>
      <c r="W319" s="114"/>
      <c r="X319" s="856"/>
      <c r="Y319" s="85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</row>
    <row r="320" spans="2:41" s="58" customFormat="1">
      <c r="B320" s="87">
        <v>153</v>
      </c>
      <c r="C320" s="88">
        <f t="shared" si="25"/>
        <v>-163</v>
      </c>
      <c r="D320" s="61">
        <f t="shared" si="23"/>
        <v>316</v>
      </c>
      <c r="E320" s="442">
        <v>3775</v>
      </c>
      <c r="F320" s="64" t="str">
        <f>IFERROR(VLOOKUP(Table4[[#This Row],[Player No]],Table10[[No]:[Province]],2,0),"")</f>
        <v>MAGWINYA Olwami</v>
      </c>
      <c r="G320" s="65" t="str">
        <f>IFERROR(VLOOKUP(Table4[[#This Row],[Player No]],Table10[[No]:[Province]],3,0),"")</f>
        <v>UMG</v>
      </c>
      <c r="H320" s="660">
        <v>1</v>
      </c>
      <c r="I320" s="661">
        <v>0.5</v>
      </c>
      <c r="J320" s="124">
        <f>(Table4[[#This Row],[Points 2025]]/2)+SUM(Table4[[#This Row],[O1  ADMIN 2026]:[P2         WC    Open 2026]])</f>
        <v>0.25</v>
      </c>
      <c r="K320" s="106">
        <f t="shared" si="21"/>
        <v>0</v>
      </c>
      <c r="L320" s="106">
        <f t="shared" si="22"/>
        <v>0</v>
      </c>
      <c r="M320" s="838" t="s">
        <v>6083</v>
      </c>
      <c r="N320" s="442" t="s">
        <v>6083</v>
      </c>
      <c r="O320" s="442" t="s">
        <v>6083</v>
      </c>
      <c r="P320" s="442"/>
      <c r="Q320" s="442"/>
      <c r="R320" s="442"/>
      <c r="S320" s="442"/>
      <c r="T320" s="442"/>
      <c r="U320" s="442"/>
      <c r="V320" s="442"/>
      <c r="W320" s="442"/>
      <c r="X320" s="856"/>
      <c r="Y320" s="85"/>
      <c r="Z320" s="442"/>
      <c r="AA320" s="442"/>
      <c r="AB320" s="442"/>
      <c r="AC320" s="442"/>
      <c r="AD320" s="442"/>
      <c r="AE320" s="442"/>
      <c r="AF320" s="442"/>
      <c r="AG320" s="442">
        <v>1</v>
      </c>
      <c r="AH320" s="442"/>
      <c r="AI320" s="442"/>
      <c r="AJ320" s="442"/>
      <c r="AK320" s="442"/>
      <c r="AL320" s="442"/>
      <c r="AM320" s="442"/>
      <c r="AN320" s="442"/>
      <c r="AO320" s="442"/>
    </row>
    <row r="321" spans="2:41" s="58" customFormat="1">
      <c r="B321" s="87">
        <v>157</v>
      </c>
      <c r="C321" s="88">
        <f t="shared" si="25"/>
        <v>-160</v>
      </c>
      <c r="D321" s="61">
        <f t="shared" si="23"/>
        <v>317</v>
      </c>
      <c r="E321" s="442">
        <v>3837</v>
      </c>
      <c r="F321" s="64" t="str">
        <f>IFERROR(VLOOKUP(Table4[[#This Row],[Player No]],Table10[[No]:[Province]],2,0),"")</f>
        <v>GROVE Schyler</v>
      </c>
      <c r="G321" s="65" t="str">
        <f>IFERROR(VLOOKUP(Table4[[#This Row],[Player No]],Table10[[No]:[Province]],3,0),"")</f>
        <v>GN</v>
      </c>
      <c r="H321" s="660">
        <v>1</v>
      </c>
      <c r="I321" s="661">
        <v>0.5</v>
      </c>
      <c r="J321" s="124">
        <f>(Table4[[#This Row],[Points 2025]]/2)+SUM(Table4[[#This Row],[O1  ADMIN 2026]:[P2         WC    Open 2026]])</f>
        <v>0.25</v>
      </c>
      <c r="K321" s="106">
        <f t="shared" si="21"/>
        <v>0</v>
      </c>
      <c r="L321" s="106">
        <f t="shared" si="22"/>
        <v>0</v>
      </c>
      <c r="M321" s="838" t="s">
        <v>6083</v>
      </c>
      <c r="N321" s="442" t="s">
        <v>6083</v>
      </c>
      <c r="O321" s="442" t="s">
        <v>6083</v>
      </c>
      <c r="P321" s="442"/>
      <c r="Q321" s="442"/>
      <c r="R321" s="442"/>
      <c r="S321" s="442"/>
      <c r="T321" s="442"/>
      <c r="U321" s="442"/>
      <c r="V321" s="442"/>
      <c r="W321" s="442"/>
      <c r="X321" s="853"/>
      <c r="Y321" s="442"/>
      <c r="Z321" s="442"/>
      <c r="AA321" s="442"/>
      <c r="AB321" s="442"/>
      <c r="AC321" s="442"/>
      <c r="AD321" s="442"/>
      <c r="AE321" s="442"/>
      <c r="AF321" s="442"/>
      <c r="AG321" s="442"/>
      <c r="AH321" s="442"/>
      <c r="AI321" s="442"/>
      <c r="AJ321" s="442"/>
      <c r="AK321" s="442"/>
      <c r="AL321" s="442"/>
      <c r="AM321" s="442"/>
      <c r="AN321" s="442">
        <v>1</v>
      </c>
      <c r="AO321" s="442"/>
    </row>
    <row r="322" spans="2:41" s="58" customFormat="1">
      <c r="B322" s="87">
        <v>159</v>
      </c>
      <c r="C322" s="88">
        <f t="shared" si="25"/>
        <v>-159</v>
      </c>
      <c r="D322" s="61">
        <f t="shared" si="23"/>
        <v>318</v>
      </c>
      <c r="E322" s="442">
        <v>3839</v>
      </c>
      <c r="F322" s="64" t="str">
        <f>IFERROR(VLOOKUP(Table4[[#This Row],[Player No]],Table10[[No]:[Province]],2,0),"")</f>
        <v>PHATELI Tshepo</v>
      </c>
      <c r="G322" s="65" t="str">
        <f>IFERROR(VLOOKUP(Table4[[#This Row],[Player No]],Table10[[No]:[Province]],3,0),"")</f>
        <v>JTTA</v>
      </c>
      <c r="H322" s="660">
        <v>1</v>
      </c>
      <c r="I322" s="661">
        <v>0.5</v>
      </c>
      <c r="J322" s="124">
        <f>(Table4[[#This Row],[Points 2025]]/2)+SUM(Table4[[#This Row],[O1  ADMIN 2026]:[P2         WC    Open 2026]])</f>
        <v>0.25</v>
      </c>
      <c r="K322" s="106">
        <f t="shared" si="21"/>
        <v>0</v>
      </c>
      <c r="L322" s="106">
        <f t="shared" si="22"/>
        <v>0</v>
      </c>
      <c r="M322" s="838" t="s">
        <v>6083</v>
      </c>
      <c r="N322" s="442" t="s">
        <v>6083</v>
      </c>
      <c r="O322" s="442" t="s">
        <v>6083</v>
      </c>
      <c r="P322" s="442"/>
      <c r="Q322" s="442"/>
      <c r="R322" s="442"/>
      <c r="S322" s="442"/>
      <c r="T322" s="442"/>
      <c r="U322" s="442"/>
      <c r="V322" s="442"/>
      <c r="W322" s="442"/>
      <c r="X322" s="853"/>
      <c r="Y322" s="85"/>
      <c r="Z322" s="442"/>
      <c r="AA322" s="442"/>
      <c r="AB322" s="442"/>
      <c r="AC322" s="442"/>
      <c r="AD322" s="442"/>
      <c r="AE322" s="442"/>
      <c r="AF322" s="442"/>
      <c r="AG322" s="442"/>
      <c r="AH322" s="442"/>
      <c r="AI322" s="442"/>
      <c r="AJ322" s="442"/>
      <c r="AK322" s="442"/>
      <c r="AL322" s="442"/>
      <c r="AM322" s="442"/>
      <c r="AN322" s="442">
        <v>1</v>
      </c>
      <c r="AO322" s="442"/>
    </row>
    <row r="323" spans="2:41" s="58" customFormat="1">
      <c r="B323" s="87"/>
      <c r="C323" s="88">
        <f t="shared" si="25"/>
        <v>-319</v>
      </c>
      <c r="D323" s="61">
        <f t="shared" si="23"/>
        <v>319</v>
      </c>
      <c r="E323" s="442">
        <v>3840</v>
      </c>
      <c r="F323" s="64" t="str">
        <f>IFERROR(VLOOKUP(Table4[[#This Row],[Player No]],Table10[[No]:[Province]],2,0),"")</f>
        <v>SIBANGO Liso</v>
      </c>
      <c r="G323" s="65" t="str">
        <f>IFERROR(VLOOKUP(Table4[[#This Row],[Player No]],Table10[[No]:[Province]],3,0),"")</f>
        <v>JTTA</v>
      </c>
      <c r="H323" s="660">
        <v>1</v>
      </c>
      <c r="I323" s="661">
        <v>0.5</v>
      </c>
      <c r="J323" s="124">
        <f>(Table4[[#This Row],[Points 2025]]/2)+SUM(Table4[[#This Row],[O1  ADMIN 2026]:[P2         WC    Open 2026]])</f>
        <v>0.25</v>
      </c>
      <c r="K323" s="106">
        <f t="shared" si="21"/>
        <v>0</v>
      </c>
      <c r="L323" s="106">
        <f t="shared" si="22"/>
        <v>0</v>
      </c>
      <c r="M323" s="838" t="s">
        <v>6083</v>
      </c>
      <c r="N323" s="442" t="s">
        <v>6083</v>
      </c>
      <c r="O323" s="442" t="s">
        <v>6083</v>
      </c>
      <c r="P323" s="442"/>
      <c r="Q323" s="442"/>
      <c r="R323" s="442"/>
      <c r="S323" s="442"/>
      <c r="T323" s="442"/>
      <c r="U323" s="442"/>
      <c r="V323" s="442"/>
      <c r="W323" s="442"/>
      <c r="X323" s="853"/>
      <c r="Y323" s="85"/>
      <c r="Z323" s="442"/>
      <c r="AA323" s="442"/>
      <c r="AB323" s="442"/>
      <c r="AC323" s="442"/>
      <c r="AD323" s="442"/>
      <c r="AE323" s="442"/>
      <c r="AF323" s="442"/>
      <c r="AG323" s="442"/>
      <c r="AH323" s="442"/>
      <c r="AI323" s="442"/>
      <c r="AJ323" s="442"/>
      <c r="AK323" s="442"/>
      <c r="AL323" s="442"/>
      <c r="AM323" s="442"/>
      <c r="AN323" s="442">
        <v>1</v>
      </c>
      <c r="AO323" s="442"/>
    </row>
    <row r="324" spans="2:41" s="58" customFormat="1">
      <c r="B324" s="87"/>
      <c r="C324" s="88">
        <f t="shared" si="25"/>
        <v>-320</v>
      </c>
      <c r="D324" s="61">
        <f t="shared" si="23"/>
        <v>320</v>
      </c>
      <c r="E324" s="442">
        <v>3857</v>
      </c>
      <c r="F324" s="64" t="str">
        <f>IFERROR(VLOOKUP(Table4[[#This Row],[Player No]],Table10[[No]:[Province]],2,0),"")</f>
        <v>VAN DEN BERG Pieter</v>
      </c>
      <c r="G324" s="65" t="str">
        <f>IFERROR(VLOOKUP(Table4[[#This Row],[Player No]],Table10[[No]:[Province]],3,0),"")</f>
        <v>GN</v>
      </c>
      <c r="H324" s="660">
        <v>1</v>
      </c>
      <c r="I324" s="661">
        <v>0.5</v>
      </c>
      <c r="J324" s="124">
        <f>(Table4[[#This Row],[Points 2025]]/2)+SUM(Table4[[#This Row],[O1  ADMIN 2026]:[P2         WC    Open 2026]])</f>
        <v>0.25</v>
      </c>
      <c r="K324" s="106">
        <f t="shared" si="21"/>
        <v>0</v>
      </c>
      <c r="L324" s="106">
        <f t="shared" si="22"/>
        <v>0</v>
      </c>
      <c r="M324" s="838" t="s">
        <v>6083</v>
      </c>
      <c r="N324" s="442" t="s">
        <v>6083</v>
      </c>
      <c r="O324" s="442" t="s">
        <v>6083</v>
      </c>
      <c r="P324" s="442"/>
      <c r="Q324" s="442"/>
      <c r="R324" s="442"/>
      <c r="S324" s="442"/>
      <c r="T324" s="442"/>
      <c r="U324" s="442"/>
      <c r="V324" s="442"/>
      <c r="W324" s="442"/>
      <c r="X324" s="853"/>
      <c r="Y324" s="85"/>
      <c r="Z324" s="442"/>
      <c r="AA324" s="442"/>
      <c r="AB324" s="442"/>
      <c r="AC324" s="442"/>
      <c r="AD324" s="442"/>
      <c r="AE324" s="442"/>
      <c r="AF324" s="442"/>
      <c r="AG324" s="442"/>
      <c r="AH324" s="442"/>
      <c r="AI324" s="442"/>
      <c r="AJ324" s="442"/>
      <c r="AK324" s="442"/>
      <c r="AL324" s="442"/>
      <c r="AM324" s="442"/>
      <c r="AN324" s="442"/>
      <c r="AO324" s="442">
        <v>1</v>
      </c>
    </row>
    <row r="325" spans="2:41" s="58" customFormat="1">
      <c r="B325" s="87"/>
      <c r="C325" s="88">
        <f t="shared" si="25"/>
        <v>-321</v>
      </c>
      <c r="D325" s="61">
        <f t="shared" si="23"/>
        <v>321</v>
      </c>
      <c r="E325" s="442">
        <v>3861</v>
      </c>
      <c r="F325" s="64" t="str">
        <f>IFERROR(VLOOKUP(Table4[[#This Row],[Player No]],Table10[[No]:[Province]],2,0),"")</f>
        <v>MEYERSON Benji</v>
      </c>
      <c r="G325" s="65" t="str">
        <f>IFERROR(VLOOKUP(Table4[[#This Row],[Player No]],Table10[[No]:[Province]],3,0),"")</f>
        <v>JTTA</v>
      </c>
      <c r="H325" s="660">
        <v>1</v>
      </c>
      <c r="I325" s="661">
        <v>0.5</v>
      </c>
      <c r="J325" s="124">
        <f>(Table4[[#This Row],[Points 2025]]/2)+SUM(Table4[[#This Row],[O1  ADMIN 2026]:[P2         WC    Open 2026]])</f>
        <v>0.25</v>
      </c>
      <c r="K325" s="106">
        <f t="shared" ref="K325:K352" si="26">COUNTIF(M325:P325,"&gt;0")</f>
        <v>0</v>
      </c>
      <c r="L325" s="106">
        <f t="shared" ref="L325:L352" si="27">COUNTIF(N325:AO325,"&lt;0")</f>
        <v>0</v>
      </c>
      <c r="M325" s="838" t="s">
        <v>6083</v>
      </c>
      <c r="N325" s="442" t="s">
        <v>6083</v>
      </c>
      <c r="O325" s="442" t="s">
        <v>6083</v>
      </c>
      <c r="P325" s="442"/>
      <c r="Q325" s="442"/>
      <c r="R325" s="442"/>
      <c r="S325" s="442"/>
      <c r="T325" s="442"/>
      <c r="U325" s="442"/>
      <c r="V325" s="442"/>
      <c r="W325" s="442"/>
      <c r="X325" s="853"/>
      <c r="Y325" s="85"/>
      <c r="Z325" s="442"/>
      <c r="AA325" s="442"/>
      <c r="AB325" s="442"/>
      <c r="AC325" s="442"/>
      <c r="AD325" s="442"/>
      <c r="AE325" s="442"/>
      <c r="AF325" s="442"/>
      <c r="AG325" s="442"/>
      <c r="AH325" s="442"/>
      <c r="AI325" s="442"/>
      <c r="AJ325" s="442"/>
      <c r="AK325" s="442">
        <v>1</v>
      </c>
      <c r="AL325" s="442"/>
      <c r="AM325" s="442"/>
      <c r="AN325" s="442"/>
      <c r="AO325" s="442"/>
    </row>
    <row r="326" spans="2:41" s="58" customFormat="1">
      <c r="B326" s="87"/>
      <c r="C326" s="88">
        <f t="shared" si="25"/>
        <v>-322</v>
      </c>
      <c r="D326" s="61">
        <f t="shared" si="23"/>
        <v>322</v>
      </c>
      <c r="E326" s="442">
        <v>3872</v>
      </c>
      <c r="F326" s="64" t="str">
        <f>IFERROR(VLOOKUP(Table4[[#This Row],[Player No]],Table10[[No]:[Province]],2,0),"")</f>
        <v>SINGH Manav</v>
      </c>
      <c r="G326" s="65" t="str">
        <f>IFERROR(VLOOKUP(Table4[[#This Row],[Player No]],Table10[[No]:[Province]],3,0),"")</f>
        <v>UMG</v>
      </c>
      <c r="H326" s="660">
        <v>1</v>
      </c>
      <c r="I326" s="661">
        <v>0.5</v>
      </c>
      <c r="J326" s="124">
        <f>(Table4[[#This Row],[Points 2025]]/2)+SUM(Table4[[#This Row],[O1  ADMIN 2026]:[P2         WC    Open 2026]])</f>
        <v>0.25</v>
      </c>
      <c r="K326" s="106">
        <f t="shared" si="26"/>
        <v>0</v>
      </c>
      <c r="L326" s="106">
        <f t="shared" si="27"/>
        <v>0</v>
      </c>
      <c r="M326" s="838" t="s">
        <v>6083</v>
      </c>
      <c r="N326" s="442" t="s">
        <v>6083</v>
      </c>
      <c r="O326" s="442" t="s">
        <v>6083</v>
      </c>
      <c r="P326" s="442"/>
      <c r="Q326" s="442"/>
      <c r="R326" s="442"/>
      <c r="S326" s="442"/>
      <c r="T326" s="442"/>
      <c r="U326" s="442"/>
      <c r="V326" s="442"/>
      <c r="W326" s="442"/>
      <c r="X326" s="853"/>
      <c r="Y326" s="85"/>
      <c r="Z326" s="442"/>
      <c r="AA326" s="442"/>
      <c r="AB326" s="442"/>
      <c r="AC326" s="442"/>
      <c r="AD326" s="442"/>
      <c r="AE326" s="442"/>
      <c r="AF326" s="442"/>
      <c r="AG326" s="442">
        <v>1</v>
      </c>
      <c r="AH326" s="442"/>
      <c r="AI326" s="442"/>
      <c r="AJ326" s="442"/>
      <c r="AK326" s="442"/>
      <c r="AL326" s="442"/>
      <c r="AM326" s="442"/>
      <c r="AN326" s="442"/>
      <c r="AO326" s="442"/>
    </row>
    <row r="327" spans="2:41" s="58" customFormat="1">
      <c r="B327" s="87"/>
      <c r="C327" s="88">
        <f t="shared" si="25"/>
        <v>-323</v>
      </c>
      <c r="D327" s="61">
        <f t="shared" ref="D327:D352" si="28">D326+1</f>
        <v>323</v>
      </c>
      <c r="E327" s="442">
        <v>3934</v>
      </c>
      <c r="F327" s="64" t="str">
        <f>IFERROR(VLOOKUP(Table4[[#This Row],[Player No]],Table10[[No]:[Province]],2,0),"")</f>
        <v>GERSON Raphi</v>
      </c>
      <c r="G327" s="65" t="str">
        <f>IFERROR(VLOOKUP(Table4[[#This Row],[Player No]],Table10[[No]:[Province]],3,0),"")</f>
        <v>JTTA</v>
      </c>
      <c r="H327" s="660">
        <v>1</v>
      </c>
      <c r="I327" s="661">
        <v>0.5</v>
      </c>
      <c r="J327" s="124">
        <f>(Table4[[#This Row],[Points 2025]]/2)+SUM(Table4[[#This Row],[O1  ADMIN 2026]:[P2         WC    Open 2026]])</f>
        <v>0.25</v>
      </c>
      <c r="K327" s="106">
        <f t="shared" si="26"/>
        <v>0</v>
      </c>
      <c r="L327" s="106">
        <f t="shared" si="27"/>
        <v>0</v>
      </c>
      <c r="M327" s="838" t="s">
        <v>6083</v>
      </c>
      <c r="N327" s="442" t="s">
        <v>6083</v>
      </c>
      <c r="O327" s="442" t="s">
        <v>6083</v>
      </c>
      <c r="P327" s="442"/>
      <c r="Q327" s="442"/>
      <c r="R327" s="442"/>
      <c r="S327" s="442"/>
      <c r="T327" s="442"/>
      <c r="U327" s="442"/>
      <c r="V327" s="442"/>
      <c r="W327" s="442"/>
      <c r="X327" s="853"/>
      <c r="Y327" s="85"/>
      <c r="Z327" s="442"/>
      <c r="AA327" s="442"/>
      <c r="AB327" s="442"/>
      <c r="AC327" s="442"/>
      <c r="AD327" s="442"/>
      <c r="AE327" s="442"/>
      <c r="AF327" s="442"/>
      <c r="AG327" s="442"/>
      <c r="AH327" s="442"/>
      <c r="AI327" s="442"/>
      <c r="AJ327" s="442"/>
      <c r="AK327" s="442">
        <v>1</v>
      </c>
      <c r="AL327" s="442"/>
      <c r="AM327" s="442"/>
      <c r="AN327" s="442"/>
      <c r="AO327" s="442"/>
    </row>
    <row r="328" spans="2:41" s="58" customFormat="1">
      <c r="B328" s="87"/>
      <c r="C328" s="88">
        <f t="shared" si="25"/>
        <v>-324</v>
      </c>
      <c r="D328" s="61">
        <f t="shared" si="28"/>
        <v>324</v>
      </c>
      <c r="E328" s="442">
        <v>4084</v>
      </c>
      <c r="F328" s="64" t="str">
        <f>IFERROR(VLOOKUP(Table4[[#This Row],[Player No]],Table10[[No]:[Province]],2,0),"")</f>
        <v xml:space="preserve"> Thabani Scelo</v>
      </c>
      <c r="G328" s="65" t="str">
        <f>IFERROR(VLOOKUP(Table4[[#This Row],[Player No]],Table10[[No]:[Province]],3,0),"")</f>
        <v>ETH</v>
      </c>
      <c r="H328" s="660">
        <v>1</v>
      </c>
      <c r="I328" s="661">
        <v>0.5</v>
      </c>
      <c r="J328" s="124">
        <f>(Table4[[#This Row],[Points 2025]]/2)+SUM(Table4[[#This Row],[O1  ADMIN 2026]:[P2         WC    Open 2026]])</f>
        <v>0.25</v>
      </c>
      <c r="K328" s="106">
        <f t="shared" si="26"/>
        <v>0</v>
      </c>
      <c r="L328" s="106">
        <f t="shared" si="27"/>
        <v>0</v>
      </c>
      <c r="M328" s="838" t="s">
        <v>6083</v>
      </c>
      <c r="N328" s="442" t="s">
        <v>6083</v>
      </c>
      <c r="O328" s="442" t="s">
        <v>6083</v>
      </c>
      <c r="P328" s="442"/>
      <c r="Q328" s="442"/>
      <c r="R328" s="442"/>
      <c r="S328" s="442"/>
      <c r="T328" s="442"/>
      <c r="U328" s="442"/>
      <c r="V328" s="442"/>
      <c r="W328" s="442"/>
      <c r="X328" s="853"/>
      <c r="Y328" s="85"/>
      <c r="Z328" s="442"/>
      <c r="AA328" s="442"/>
      <c r="AB328" s="442"/>
      <c r="AC328" s="442"/>
      <c r="AD328" s="442"/>
      <c r="AE328" s="442"/>
      <c r="AF328" s="442"/>
      <c r="AG328" s="442"/>
      <c r="AH328" s="442"/>
      <c r="AI328" s="442"/>
      <c r="AJ328" s="442"/>
      <c r="AK328" s="442"/>
      <c r="AL328" s="442">
        <v>1</v>
      </c>
      <c r="AM328" s="442"/>
      <c r="AN328" s="442"/>
      <c r="AO328" s="442"/>
    </row>
    <row r="329" spans="2:41" s="58" customFormat="1">
      <c r="B329" s="87"/>
      <c r="C329" s="88">
        <f t="shared" si="25"/>
        <v>-325</v>
      </c>
      <c r="D329" s="61">
        <f t="shared" si="28"/>
        <v>325</v>
      </c>
      <c r="E329" s="442">
        <v>4085</v>
      </c>
      <c r="F329" s="64" t="str">
        <f>IFERROR(VLOOKUP(Table4[[#This Row],[Player No]],Table10[[No]:[Province]],2,0),"")</f>
        <v>Keshav Singh</v>
      </c>
      <c r="G329" s="65" t="str">
        <f>IFERROR(VLOOKUP(Table4[[#This Row],[Player No]],Table10[[No]:[Province]],3,0),"")</f>
        <v>JTTA</v>
      </c>
      <c r="H329" s="660">
        <v>1</v>
      </c>
      <c r="I329" s="661">
        <v>0.5</v>
      </c>
      <c r="J329" s="124">
        <f>(Table4[[#This Row],[Points 2025]]/2)+SUM(Table4[[#This Row],[O1  ADMIN 2026]:[P2         WC    Open 2026]])</f>
        <v>0.25</v>
      </c>
      <c r="K329" s="106">
        <f t="shared" si="26"/>
        <v>0</v>
      </c>
      <c r="L329" s="106">
        <f t="shared" si="27"/>
        <v>0</v>
      </c>
      <c r="M329" s="838" t="s">
        <v>6083</v>
      </c>
      <c r="N329" s="442" t="s">
        <v>6083</v>
      </c>
      <c r="O329" s="442" t="s">
        <v>6083</v>
      </c>
      <c r="P329" s="442"/>
      <c r="Q329" s="442"/>
      <c r="R329" s="442"/>
      <c r="S329" s="442"/>
      <c r="T329" s="442"/>
      <c r="U329" s="442"/>
      <c r="V329" s="442"/>
      <c r="W329" s="442"/>
      <c r="X329" s="853"/>
      <c r="Y329" s="85"/>
      <c r="Z329" s="442"/>
      <c r="AA329" s="442"/>
      <c r="AB329" s="442"/>
      <c r="AC329" s="442"/>
      <c r="AD329" s="442"/>
      <c r="AE329" s="442"/>
      <c r="AF329" s="442"/>
      <c r="AG329" s="442"/>
      <c r="AH329" s="442"/>
      <c r="AI329" s="442"/>
      <c r="AJ329" s="442"/>
      <c r="AK329" s="442"/>
      <c r="AL329" s="442">
        <v>1</v>
      </c>
      <c r="AM329" s="442"/>
      <c r="AN329" s="442"/>
      <c r="AO329" s="442"/>
    </row>
    <row r="330" spans="2:41" s="58" customFormat="1">
      <c r="B330" s="87"/>
      <c r="C330" s="88">
        <f t="shared" si="25"/>
        <v>-326</v>
      </c>
      <c r="D330" s="61">
        <f t="shared" si="28"/>
        <v>326</v>
      </c>
      <c r="E330" s="442">
        <v>4086</v>
      </c>
      <c r="F330" s="64" t="str">
        <f>IFERROR(VLOOKUP(Table4[[#This Row],[Player No]],Table10[[No]:[Province]],2,0),"")</f>
        <v>Jake Feigenbaum</v>
      </c>
      <c r="G330" s="65" t="str">
        <f>IFERROR(VLOOKUP(Table4[[#This Row],[Player No]],Table10[[No]:[Province]],3,0),"")</f>
        <v>JTTA</v>
      </c>
      <c r="H330" s="660">
        <v>1</v>
      </c>
      <c r="I330" s="661">
        <v>0.5</v>
      </c>
      <c r="J330" s="124">
        <f>(Table4[[#This Row],[Points 2025]]/2)+SUM(Table4[[#This Row],[O1  ADMIN 2026]:[P2         WC    Open 2026]])</f>
        <v>0.25</v>
      </c>
      <c r="K330" s="106">
        <f t="shared" si="26"/>
        <v>0</v>
      </c>
      <c r="L330" s="106">
        <f t="shared" si="27"/>
        <v>0</v>
      </c>
      <c r="M330" s="838" t="s">
        <v>6083</v>
      </c>
      <c r="N330" s="442" t="s">
        <v>6083</v>
      </c>
      <c r="O330" s="442" t="s">
        <v>6083</v>
      </c>
      <c r="P330" s="442"/>
      <c r="Q330" s="442"/>
      <c r="R330" s="442"/>
      <c r="S330" s="442"/>
      <c r="T330" s="442"/>
      <c r="U330" s="442"/>
      <c r="V330" s="442"/>
      <c r="W330" s="442"/>
      <c r="X330" s="853"/>
      <c r="Y330" s="85"/>
      <c r="Z330" s="442"/>
      <c r="AA330" s="442"/>
      <c r="AB330" s="442"/>
      <c r="AC330" s="442"/>
      <c r="AD330" s="442"/>
      <c r="AE330" s="442"/>
      <c r="AF330" s="442"/>
      <c r="AG330" s="442"/>
      <c r="AH330" s="442"/>
      <c r="AI330" s="442"/>
      <c r="AJ330" s="442"/>
      <c r="AK330" s="442"/>
      <c r="AL330" s="442">
        <v>1</v>
      </c>
      <c r="AM330" s="442"/>
      <c r="AN330" s="442"/>
      <c r="AO330" s="442"/>
    </row>
    <row r="331" spans="2:41" s="58" customFormat="1">
      <c r="B331" s="87">
        <v>183</v>
      </c>
      <c r="C331" s="88">
        <f t="shared" si="25"/>
        <v>-144</v>
      </c>
      <c r="D331" s="61">
        <f t="shared" si="28"/>
        <v>327</v>
      </c>
      <c r="E331" s="442">
        <v>4087</v>
      </c>
      <c r="F331" s="64" t="str">
        <f>IFERROR(VLOOKUP(Table4[[#This Row],[Player No]],Table10[[No]:[Province]],2,0),"")</f>
        <v>Samrudh Vijay Narayan</v>
      </c>
      <c r="G331" s="65" t="str">
        <f>IFERROR(VLOOKUP(Table4[[#This Row],[Player No]],Table10[[No]:[Province]],3,0),"")</f>
        <v>JTTA</v>
      </c>
      <c r="H331" s="660">
        <v>1</v>
      </c>
      <c r="I331" s="661">
        <v>0.5</v>
      </c>
      <c r="J331" s="124">
        <f>(Table4[[#This Row],[Points 2025]]/2)+SUM(Table4[[#This Row],[O1  ADMIN 2026]:[P2         WC    Open 2026]])</f>
        <v>0.25</v>
      </c>
      <c r="K331" s="106">
        <f t="shared" si="26"/>
        <v>0</v>
      </c>
      <c r="L331" s="106">
        <f t="shared" si="27"/>
        <v>0</v>
      </c>
      <c r="M331" s="838" t="s">
        <v>6083</v>
      </c>
      <c r="N331" s="442" t="s">
        <v>6083</v>
      </c>
      <c r="O331" s="442" t="s">
        <v>6083</v>
      </c>
      <c r="P331" s="442"/>
      <c r="Q331" s="442"/>
      <c r="R331" s="442"/>
      <c r="S331" s="442"/>
      <c r="T331" s="442"/>
      <c r="U331" s="442"/>
      <c r="V331" s="442"/>
      <c r="W331" s="442"/>
      <c r="X331" s="853"/>
      <c r="Y331" s="85"/>
      <c r="Z331" s="442"/>
      <c r="AA331" s="442"/>
      <c r="AB331" s="442"/>
      <c r="AC331" s="442"/>
      <c r="AD331" s="442"/>
      <c r="AE331" s="442"/>
      <c r="AF331" s="442"/>
      <c r="AG331" s="442"/>
      <c r="AH331" s="442"/>
      <c r="AI331" s="442"/>
      <c r="AJ331" s="442"/>
      <c r="AK331" s="442"/>
      <c r="AL331" s="442">
        <v>1</v>
      </c>
      <c r="AM331" s="442"/>
      <c r="AN331" s="442"/>
      <c r="AO331" s="442"/>
    </row>
    <row r="332" spans="2:41" s="58" customFormat="1">
      <c r="B332" s="87">
        <v>184</v>
      </c>
      <c r="C332" s="88">
        <f t="shared" si="25"/>
        <v>-144</v>
      </c>
      <c r="D332" s="61">
        <f t="shared" si="28"/>
        <v>328</v>
      </c>
      <c r="E332" s="955">
        <v>4121</v>
      </c>
      <c r="F332" s="64" t="str">
        <f>IFERROR(VLOOKUP(Table4[[#This Row],[Player No]],Table10[[No]:[Province]],2,0),"")</f>
        <v xml:space="preserve">SALIE Naathiem </v>
      </c>
      <c r="G332" s="65" t="str">
        <f>IFERROR(VLOOKUP(Table4[[#This Row],[Player No]],Table10[[No]:[Province]],3,0),"")</f>
        <v>CT</v>
      </c>
      <c r="H332" s="660">
        <v>1</v>
      </c>
      <c r="I332" s="661">
        <v>0.5</v>
      </c>
      <c r="J332" s="124">
        <f>(Table4[[#This Row],[Points 2025]]/2)+SUM(Table4[[#This Row],[O1  ADMIN 2026]:[P2         WC    Open 2026]])</f>
        <v>0.25</v>
      </c>
      <c r="K332" s="106">
        <f t="shared" si="26"/>
        <v>0</v>
      </c>
      <c r="L332" s="106">
        <f t="shared" si="27"/>
        <v>0</v>
      </c>
      <c r="M332" s="838" t="s">
        <v>6083</v>
      </c>
      <c r="N332" s="442" t="s">
        <v>6083</v>
      </c>
      <c r="O332" s="442" t="s">
        <v>6083</v>
      </c>
      <c r="P332" s="442"/>
      <c r="Q332" s="442"/>
      <c r="R332" s="442"/>
      <c r="S332" s="442"/>
      <c r="T332" s="442"/>
      <c r="U332" s="442"/>
      <c r="V332" s="442"/>
      <c r="W332" s="442"/>
      <c r="X332" s="853"/>
      <c r="Y332" s="85"/>
      <c r="Z332" s="442"/>
      <c r="AA332" s="442"/>
      <c r="AB332" s="442"/>
      <c r="AC332" s="442"/>
      <c r="AD332" s="442"/>
      <c r="AE332" s="442"/>
      <c r="AF332" s="442"/>
      <c r="AG332" s="442"/>
      <c r="AH332" s="442">
        <v>1</v>
      </c>
      <c r="AI332" s="442"/>
      <c r="AJ332" s="442"/>
      <c r="AK332" s="442"/>
      <c r="AL332" s="442"/>
      <c r="AM332" s="442"/>
      <c r="AN332" s="442"/>
      <c r="AO332" s="442"/>
    </row>
    <row r="333" spans="2:41" s="58" customFormat="1">
      <c r="B333" s="87"/>
      <c r="C333" s="88">
        <f t="shared" si="25"/>
        <v>-329</v>
      </c>
      <c r="D333" s="61">
        <f t="shared" si="28"/>
        <v>329</v>
      </c>
      <c r="E333" s="955">
        <v>4133</v>
      </c>
      <c r="F333" s="64" t="str">
        <f>IFERROR(VLOOKUP(Table4[[#This Row],[Player No]],Table10[[No]:[Province]],2,0),"")</f>
        <v xml:space="preserve">TIETIES Malik </v>
      </c>
      <c r="G333" s="65" t="str">
        <f>IFERROR(VLOOKUP(Table4[[#This Row],[Player No]],Table10[[No]:[Province]],3,0),"")</f>
        <v>CW</v>
      </c>
      <c r="H333" s="660">
        <v>1</v>
      </c>
      <c r="I333" s="661">
        <v>0.5</v>
      </c>
      <c r="J333" s="124">
        <f>(Table4[[#This Row],[Points 2025]]/2)+SUM(Table4[[#This Row],[O1  ADMIN 2026]:[P2         WC    Open 2026]])</f>
        <v>0.25</v>
      </c>
      <c r="K333" s="106">
        <f t="shared" si="26"/>
        <v>0</v>
      </c>
      <c r="L333" s="106">
        <f t="shared" si="27"/>
        <v>0</v>
      </c>
      <c r="M333" s="838" t="s">
        <v>6083</v>
      </c>
      <c r="N333" s="442" t="s">
        <v>6083</v>
      </c>
      <c r="O333" s="442" t="s">
        <v>6083</v>
      </c>
      <c r="P333" s="442"/>
      <c r="Q333" s="442"/>
      <c r="R333" s="442"/>
      <c r="S333" s="442"/>
      <c r="T333" s="442"/>
      <c r="U333" s="442"/>
      <c r="V333" s="442"/>
      <c r="W333" s="442"/>
      <c r="X333" s="853"/>
      <c r="Y333" s="85"/>
      <c r="Z333" s="442"/>
      <c r="AA333" s="442"/>
      <c r="AB333" s="442"/>
      <c r="AC333" s="442"/>
      <c r="AD333" s="442"/>
      <c r="AE333" s="442"/>
      <c r="AF333" s="442"/>
      <c r="AG333" s="442"/>
      <c r="AH333" s="442">
        <v>1</v>
      </c>
      <c r="AI333" s="442"/>
      <c r="AJ333" s="442"/>
      <c r="AK333" s="442"/>
      <c r="AL333" s="442"/>
      <c r="AM333" s="442"/>
      <c r="AN333" s="442"/>
      <c r="AO333" s="442"/>
    </row>
    <row r="334" spans="2:41" s="58" customFormat="1">
      <c r="B334" s="88"/>
      <c r="C334" s="88">
        <f t="shared" si="25"/>
        <v>-330</v>
      </c>
      <c r="D334" s="61">
        <f t="shared" si="28"/>
        <v>330</v>
      </c>
      <c r="E334" s="442">
        <v>4179</v>
      </c>
      <c r="F334" s="64" t="str">
        <f>IFERROR(VLOOKUP(Table4[[#This Row],[Player No]],Table10[[No]:[Province]],2,0),"")</f>
        <v>Jordan MARTIN</v>
      </c>
      <c r="G334" s="65" t="str">
        <f>IFERROR(VLOOKUP(Table4[[#This Row],[Player No]],Table10[[No]:[Province]],3,0),"")</f>
        <v>CT</v>
      </c>
      <c r="H334" s="660">
        <v>0</v>
      </c>
      <c r="I334" s="661">
        <v>0.5</v>
      </c>
      <c r="J334" s="661">
        <f>(Table4[[#This Row],[Points 2025]]/2)+SUM(Table4[[#This Row],[O1  ADMIN 2026]:[P2         WC    Open 2026]])</f>
        <v>0.25</v>
      </c>
      <c r="K334" s="442">
        <f t="shared" si="26"/>
        <v>0</v>
      </c>
      <c r="L334" s="442">
        <f t="shared" si="27"/>
        <v>0</v>
      </c>
      <c r="M334" s="442" t="s">
        <v>6083</v>
      </c>
      <c r="N334" s="442" t="s">
        <v>6083</v>
      </c>
      <c r="O334" s="442" t="s">
        <v>6083</v>
      </c>
      <c r="P334" s="442"/>
      <c r="Q334" s="442"/>
      <c r="R334" s="442"/>
      <c r="S334" s="442"/>
      <c r="T334" s="442"/>
      <c r="U334" s="442"/>
      <c r="V334" s="442"/>
      <c r="W334" s="442"/>
      <c r="X334" s="853"/>
      <c r="Y334" s="85"/>
      <c r="Z334" s="442"/>
      <c r="AA334" s="442"/>
      <c r="AB334" s="442"/>
      <c r="AC334" s="442"/>
      <c r="AD334" s="442">
        <v>0.5</v>
      </c>
      <c r="AE334" s="442"/>
      <c r="AF334" s="442"/>
      <c r="AG334" s="442"/>
      <c r="AH334" s="442"/>
      <c r="AI334" s="442"/>
      <c r="AJ334" s="442"/>
      <c r="AK334" s="442"/>
      <c r="AL334" s="442"/>
      <c r="AM334" s="442"/>
      <c r="AN334" s="442"/>
      <c r="AO334" s="442"/>
    </row>
    <row r="335" spans="2:41" s="58" customFormat="1">
      <c r="B335" s="88"/>
      <c r="C335" s="88">
        <f t="shared" si="25"/>
        <v>-331</v>
      </c>
      <c r="D335" s="61">
        <f t="shared" si="28"/>
        <v>331</v>
      </c>
      <c r="E335" s="442">
        <v>4474</v>
      </c>
      <c r="F335" s="64" t="str">
        <f>IFERROR(VLOOKUP(Table4[[#This Row],[Player No]],Table10[[No]:[Province]],2,0),"")</f>
        <v xml:space="preserve">JANSEN Juwayden </v>
      </c>
      <c r="G335" s="65" t="str">
        <f>IFERROR(VLOOKUP(Table4[[#This Row],[Player No]],Table10[[No]:[Province]],3,0),"")</f>
        <v>CT</v>
      </c>
      <c r="H335" s="660">
        <v>0</v>
      </c>
      <c r="I335" s="661">
        <v>0.5</v>
      </c>
      <c r="J335" s="661">
        <f>(Table4[[#This Row],[Points 2025]]/2)+SUM(Table4[[#This Row],[O1  ADMIN 2026]:[P2         WC    Open 2026]])</f>
        <v>0.25</v>
      </c>
      <c r="K335" s="442">
        <f t="shared" si="26"/>
        <v>0</v>
      </c>
      <c r="L335" s="442">
        <f t="shared" si="27"/>
        <v>0</v>
      </c>
      <c r="M335" s="442" t="s">
        <v>6083</v>
      </c>
      <c r="N335" s="442" t="s">
        <v>6083</v>
      </c>
      <c r="O335" s="442" t="s">
        <v>6083</v>
      </c>
      <c r="P335" s="442"/>
      <c r="Q335" s="442"/>
      <c r="R335" s="442"/>
      <c r="S335" s="442"/>
      <c r="T335" s="442"/>
      <c r="U335" s="442"/>
      <c r="V335" s="442"/>
      <c r="W335" s="442"/>
      <c r="X335" s="853"/>
      <c r="Y335" s="85"/>
      <c r="Z335" s="442"/>
      <c r="AA335" s="442"/>
      <c r="AB335" s="442"/>
      <c r="AC335" s="442"/>
      <c r="AD335" s="442">
        <v>0.5</v>
      </c>
      <c r="AE335" s="442"/>
      <c r="AF335" s="442"/>
      <c r="AG335" s="442"/>
      <c r="AH335" s="442"/>
      <c r="AI335" s="442"/>
      <c r="AJ335" s="442"/>
      <c r="AK335" s="442"/>
      <c r="AL335" s="442"/>
      <c r="AM335" s="442"/>
      <c r="AN335" s="442"/>
      <c r="AO335" s="442"/>
    </row>
    <row r="336" spans="2:41" s="58" customFormat="1">
      <c r="B336" s="88"/>
      <c r="C336" s="88">
        <f t="shared" si="25"/>
        <v>-332</v>
      </c>
      <c r="D336" s="61">
        <f t="shared" si="28"/>
        <v>332</v>
      </c>
      <c r="E336" s="442">
        <v>4475</v>
      </c>
      <c r="F336" s="64" t="str">
        <f>IFERROR(VLOOKUP(Table4[[#This Row],[Player No]],Table10[[No]:[Province]],2,0),"")</f>
        <v xml:space="preserve">IDAS Shabier </v>
      </c>
      <c r="G336" s="65" t="str">
        <f>IFERROR(VLOOKUP(Table4[[#This Row],[Player No]],Table10[[No]:[Province]],3,0),"")</f>
        <v>CT</v>
      </c>
      <c r="H336" s="660">
        <v>0</v>
      </c>
      <c r="I336" s="661">
        <v>0.5</v>
      </c>
      <c r="J336" s="661">
        <f>(Table4[[#This Row],[Points 2025]]/2)+SUM(Table4[[#This Row],[O1  ADMIN 2026]:[P2         WC    Open 2026]])</f>
        <v>0.25</v>
      </c>
      <c r="K336" s="442">
        <f t="shared" si="26"/>
        <v>0</v>
      </c>
      <c r="L336" s="442">
        <f t="shared" si="27"/>
        <v>0</v>
      </c>
      <c r="M336" s="442" t="s">
        <v>6083</v>
      </c>
      <c r="N336" s="442" t="s">
        <v>6083</v>
      </c>
      <c r="O336" s="442" t="s">
        <v>6083</v>
      </c>
      <c r="P336" s="442"/>
      <c r="Q336" s="442"/>
      <c r="R336" s="442"/>
      <c r="S336" s="442"/>
      <c r="T336" s="442"/>
      <c r="U336" s="442"/>
      <c r="V336" s="442"/>
      <c r="W336" s="442"/>
      <c r="X336" s="853"/>
      <c r="Y336" s="85"/>
      <c r="Z336" s="442"/>
      <c r="AA336" s="442"/>
      <c r="AB336" s="442"/>
      <c r="AC336" s="442"/>
      <c r="AD336" s="442">
        <v>0.5</v>
      </c>
      <c r="AE336" s="442"/>
      <c r="AF336" s="442"/>
      <c r="AG336" s="442"/>
      <c r="AH336" s="442"/>
      <c r="AI336" s="442"/>
      <c r="AJ336" s="442"/>
      <c r="AK336" s="442"/>
      <c r="AL336" s="442"/>
      <c r="AM336" s="442"/>
      <c r="AN336" s="442"/>
      <c r="AO336" s="442"/>
    </row>
    <row r="337" spans="2:41" s="58" customFormat="1">
      <c r="B337" s="87"/>
      <c r="C337" s="88">
        <f t="shared" si="25"/>
        <v>-333</v>
      </c>
      <c r="D337" s="61">
        <f t="shared" si="28"/>
        <v>333</v>
      </c>
      <c r="E337" s="955">
        <v>4531</v>
      </c>
      <c r="F337" s="64" t="str">
        <f>IFERROR(VLOOKUP(Table4[[#This Row],[Player No]],Table10[[No]:[Province]],2,0),"")</f>
        <v xml:space="preserve">VERMAAK Christiaan </v>
      </c>
      <c r="G337" s="65" t="str">
        <f>IFERROR(VLOOKUP(Table4[[#This Row],[Player No]],Table10[[No]:[Province]],3,0),"")</f>
        <v>CW</v>
      </c>
      <c r="H337" s="660">
        <v>1</v>
      </c>
      <c r="I337" s="661">
        <v>0.25</v>
      </c>
      <c r="J337" s="661">
        <f>(Table4[[#This Row],[Points 2025]]/2)+SUM(Table4[[#This Row],[O1  ADMIN 2026]:[P2         WC    Open 2026]])</f>
        <v>0.125</v>
      </c>
      <c r="K337" s="442">
        <f t="shared" si="26"/>
        <v>0</v>
      </c>
      <c r="L337" s="442">
        <f t="shared" si="27"/>
        <v>0</v>
      </c>
      <c r="M337" s="442" t="s">
        <v>6083</v>
      </c>
      <c r="N337" s="442" t="s">
        <v>6083</v>
      </c>
      <c r="O337" s="442" t="s">
        <v>6083</v>
      </c>
      <c r="P337" s="442"/>
      <c r="Q337" s="442"/>
      <c r="R337" s="442"/>
      <c r="S337" s="442"/>
      <c r="T337" s="442"/>
      <c r="U337" s="442"/>
      <c r="V337" s="442"/>
      <c r="W337" s="442"/>
      <c r="X337" s="853"/>
      <c r="Y337" s="85"/>
      <c r="Z337" s="442"/>
      <c r="AA337" s="442"/>
      <c r="AB337" s="442"/>
      <c r="AC337" s="442"/>
      <c r="AD337" s="442"/>
      <c r="AE337" s="442"/>
      <c r="AF337" s="442"/>
      <c r="AG337" s="442"/>
      <c r="AH337" s="442">
        <v>1</v>
      </c>
      <c r="AI337" s="442"/>
      <c r="AJ337" s="442"/>
      <c r="AK337" s="442"/>
      <c r="AL337" s="442"/>
      <c r="AM337" s="442"/>
      <c r="AN337" s="442"/>
      <c r="AO337" s="442"/>
    </row>
    <row r="338" spans="2:41" s="58" customFormat="1">
      <c r="B338" s="87"/>
      <c r="C338" s="88">
        <f t="shared" si="25"/>
        <v>-334</v>
      </c>
      <c r="D338" s="61">
        <f t="shared" si="28"/>
        <v>334</v>
      </c>
      <c r="E338" s="442">
        <v>2131</v>
      </c>
      <c r="F338" s="64" t="str">
        <f>IFERROR(VLOOKUP(Table4[[#This Row],[Player No]],Table10[[No]:[Province]],2,0),"")</f>
        <v>ROOPLAL Udav</v>
      </c>
      <c r="G338" s="65" t="str">
        <f>IFERROR(VLOOKUP(Table4[[#This Row],[Player No]],Table10[[No]:[Province]],3,0),"")</f>
        <v>ETTA</v>
      </c>
      <c r="H338" s="660">
        <v>0.5</v>
      </c>
      <c r="I338" s="661">
        <v>0.25</v>
      </c>
      <c r="J338" s="661">
        <f>(Table4[[#This Row],[Points 2025]]/2)+SUM(Table4[[#This Row],[O1  ADMIN 2026]:[P2         WC    Open 2026]])</f>
        <v>0.125</v>
      </c>
      <c r="K338" s="442">
        <f t="shared" si="26"/>
        <v>0</v>
      </c>
      <c r="L338" s="442">
        <f t="shared" si="27"/>
        <v>0</v>
      </c>
      <c r="M338" s="442" t="s">
        <v>6083</v>
      </c>
      <c r="N338" s="442" t="s">
        <v>6083</v>
      </c>
      <c r="O338" s="442" t="s">
        <v>6083</v>
      </c>
      <c r="P338" s="442"/>
      <c r="Q338" s="442"/>
      <c r="R338" s="442"/>
      <c r="S338" s="442"/>
      <c r="T338" s="442"/>
      <c r="U338" s="442"/>
      <c r="V338" s="442"/>
      <c r="W338" s="442"/>
      <c r="X338" s="853"/>
      <c r="Y338" s="85"/>
      <c r="Z338" s="442"/>
      <c r="AA338" s="442"/>
      <c r="AB338" s="442"/>
      <c r="AC338" s="442"/>
      <c r="AD338" s="442"/>
      <c r="AE338" s="442"/>
      <c r="AF338" s="442"/>
      <c r="AG338" s="442"/>
      <c r="AH338" s="442"/>
      <c r="AI338" s="442"/>
      <c r="AJ338" s="442"/>
      <c r="AK338" s="442"/>
      <c r="AL338" s="442"/>
      <c r="AM338" s="442"/>
      <c r="AN338" s="442"/>
      <c r="AO338" s="442"/>
    </row>
    <row r="339" spans="2:41" s="58" customFormat="1">
      <c r="B339" s="87"/>
      <c r="C339" s="88">
        <f t="shared" si="25"/>
        <v>-335</v>
      </c>
      <c r="D339" s="61">
        <f t="shared" si="28"/>
        <v>335</v>
      </c>
      <c r="E339" s="442">
        <v>2720</v>
      </c>
      <c r="F339" s="64" t="str">
        <f>IFERROR(VLOOKUP(Table4[[#This Row],[Player No]],Table10[[No]:[Province]],2,0),"")</f>
        <v>MONNE Thabang</v>
      </c>
      <c r="G339" s="65" t="str">
        <f>IFERROR(VLOOKUP(Table4[[#This Row],[Player No]],Table10[[No]:[Province]],3,0),"")</f>
        <v>FS</v>
      </c>
      <c r="H339" s="660">
        <v>0.5</v>
      </c>
      <c r="I339" s="661">
        <v>0.25</v>
      </c>
      <c r="J339" s="661">
        <f>(Table4[[#This Row],[Points 2025]]/2)+SUM(Table4[[#This Row],[O1  ADMIN 2026]:[P2         WC    Open 2026]])</f>
        <v>0.125</v>
      </c>
      <c r="K339" s="442">
        <f t="shared" si="26"/>
        <v>0</v>
      </c>
      <c r="L339" s="442">
        <f t="shared" si="27"/>
        <v>0</v>
      </c>
      <c r="M339" s="442" t="s">
        <v>6083</v>
      </c>
      <c r="N339" s="442" t="s">
        <v>6083</v>
      </c>
      <c r="O339" s="442" t="s">
        <v>6083</v>
      </c>
      <c r="P339" s="442"/>
      <c r="Q339" s="442"/>
      <c r="R339" s="442"/>
      <c r="S339" s="442"/>
      <c r="T339" s="442"/>
      <c r="U339" s="442"/>
      <c r="V339" s="442"/>
      <c r="W339" s="442"/>
      <c r="X339" s="853"/>
      <c r="Y339" s="85"/>
      <c r="Z339" s="442"/>
      <c r="AA339" s="442"/>
      <c r="AB339" s="442"/>
      <c r="AC339" s="442"/>
      <c r="AD339" s="442"/>
      <c r="AE339" s="442"/>
      <c r="AF339" s="442"/>
      <c r="AG339" s="442"/>
      <c r="AH339" s="442"/>
      <c r="AI339" s="442"/>
      <c r="AJ339" s="442"/>
      <c r="AK339" s="442"/>
      <c r="AL339" s="442"/>
      <c r="AM339" s="442"/>
      <c r="AN339" s="442"/>
      <c r="AO339" s="442"/>
    </row>
    <row r="340" spans="2:41" s="58" customFormat="1">
      <c r="B340" s="87"/>
      <c r="C340" s="88">
        <f t="shared" si="25"/>
        <v>-336</v>
      </c>
      <c r="D340" s="61">
        <f t="shared" si="28"/>
        <v>336</v>
      </c>
      <c r="E340" s="442">
        <v>3371</v>
      </c>
      <c r="F340" s="64" t="str">
        <f>IFERROR(VLOOKUP(Table4[[#This Row],[Player No]],Table10[[No]:[Province]],2,0),"")</f>
        <v>ADRIAAN MJ</v>
      </c>
      <c r="G340" s="65" t="str">
        <f>IFERROR(VLOOKUP(Table4[[#This Row],[Player No]],Table10[[No]:[Province]],3,0),"")</f>
        <v>WC</v>
      </c>
      <c r="H340" s="660">
        <v>0.5</v>
      </c>
      <c r="I340" s="661">
        <v>0.25</v>
      </c>
      <c r="J340" s="661">
        <f>(Table4[[#This Row],[Points 2025]]/2)+SUM(Table4[[#This Row],[O1  ADMIN 2026]:[P2         WC    Open 2026]])</f>
        <v>0.125</v>
      </c>
      <c r="K340" s="442">
        <f t="shared" si="26"/>
        <v>0</v>
      </c>
      <c r="L340" s="442">
        <f t="shared" si="27"/>
        <v>0</v>
      </c>
      <c r="M340" s="442" t="s">
        <v>6083</v>
      </c>
      <c r="N340" s="442" t="s">
        <v>6083</v>
      </c>
      <c r="O340" s="442" t="s">
        <v>6083</v>
      </c>
      <c r="P340" s="442"/>
      <c r="Q340" s="442"/>
      <c r="R340" s="442"/>
      <c r="S340" s="442"/>
      <c r="T340" s="442"/>
      <c r="U340" s="442"/>
      <c r="V340" s="442"/>
      <c r="W340" s="442"/>
      <c r="X340" s="853"/>
      <c r="Y340" s="85"/>
      <c r="Z340" s="442"/>
      <c r="AA340" s="442"/>
      <c r="AB340" s="442"/>
      <c r="AC340" s="442"/>
      <c r="AD340" s="442"/>
      <c r="AE340" s="442"/>
      <c r="AF340" s="442"/>
      <c r="AG340" s="442"/>
      <c r="AH340" s="442"/>
      <c r="AI340" s="442"/>
      <c r="AJ340" s="442"/>
      <c r="AK340" s="442"/>
      <c r="AL340" s="442"/>
      <c r="AM340" s="442"/>
      <c r="AN340" s="442"/>
      <c r="AO340" s="442"/>
    </row>
    <row r="341" spans="2:41" s="58" customFormat="1">
      <c r="B341" s="87"/>
      <c r="C341" s="88">
        <f t="shared" si="25"/>
        <v>-337</v>
      </c>
      <c r="D341" s="61">
        <f t="shared" si="28"/>
        <v>337</v>
      </c>
      <c r="E341" s="442">
        <v>3532</v>
      </c>
      <c r="F341" s="64" t="str">
        <f>IFERROR(VLOOKUP(Table4[[#This Row],[Player No]],Table10[[No]:[Province]],2,0),"")</f>
        <v>OWADEE David</v>
      </c>
      <c r="G341" s="65" t="str">
        <f>IFERROR(VLOOKUP(Table4[[#This Row],[Player No]],Table10[[No]:[Province]],3,0),"")</f>
        <v>FS</v>
      </c>
      <c r="H341" s="660">
        <v>0.5</v>
      </c>
      <c r="I341" s="661">
        <v>0.25</v>
      </c>
      <c r="J341" s="661">
        <f>(Table4[[#This Row],[Points 2025]]/2)+SUM(Table4[[#This Row],[O1  ADMIN 2026]:[P2         WC    Open 2026]])</f>
        <v>0.125</v>
      </c>
      <c r="K341" s="442">
        <f t="shared" si="26"/>
        <v>0</v>
      </c>
      <c r="L341" s="442">
        <f t="shared" si="27"/>
        <v>0</v>
      </c>
      <c r="M341" s="442" t="s">
        <v>6083</v>
      </c>
      <c r="N341" s="442" t="s">
        <v>6083</v>
      </c>
      <c r="O341" s="442" t="s">
        <v>6083</v>
      </c>
      <c r="P341" s="442"/>
      <c r="Q341" s="442"/>
      <c r="R341" s="442"/>
      <c r="S341" s="442"/>
      <c r="T341" s="442"/>
      <c r="U341" s="442"/>
      <c r="V341" s="442"/>
      <c r="W341" s="442"/>
      <c r="X341" s="853"/>
      <c r="Y341" s="85"/>
      <c r="Z341" s="442"/>
      <c r="AA341" s="442"/>
      <c r="AB341" s="442"/>
      <c r="AC341" s="442"/>
      <c r="AD341" s="442"/>
      <c r="AE341" s="442"/>
      <c r="AF341" s="442"/>
      <c r="AG341" s="442"/>
      <c r="AH341" s="442"/>
      <c r="AI341" s="442"/>
      <c r="AJ341" s="442"/>
      <c r="AK341" s="442"/>
      <c r="AL341" s="442"/>
      <c r="AM341" s="442"/>
      <c r="AN341" s="442"/>
      <c r="AO341" s="442"/>
    </row>
    <row r="342" spans="2:41" s="58" customFormat="1">
      <c r="B342" s="87"/>
      <c r="C342" s="88">
        <f t="shared" si="25"/>
        <v>-338</v>
      </c>
      <c r="D342" s="61">
        <f t="shared" si="28"/>
        <v>338</v>
      </c>
      <c r="E342" s="442">
        <v>3542</v>
      </c>
      <c r="F342" s="64" t="str">
        <f>IFERROR(VLOOKUP(Table4[[#This Row],[Player No]],Table10[[No]:[Province]],2,0),"")</f>
        <v>BESTER George</v>
      </c>
      <c r="G342" s="65" t="str">
        <f>IFERROR(VLOOKUP(Table4[[#This Row],[Player No]],Table10[[No]:[Province]],3,0),"")</f>
        <v>FS</v>
      </c>
      <c r="H342" s="660">
        <v>0.5</v>
      </c>
      <c r="I342" s="124">
        <v>0.25</v>
      </c>
      <c r="J342" s="661">
        <f>(Table4[[#This Row],[Points 2025]]/2)+SUM(Table4[[#This Row],[O1  ADMIN 2026]:[P2         WC    Open 2026]])</f>
        <v>0.125</v>
      </c>
      <c r="K342" s="442">
        <f t="shared" si="26"/>
        <v>0</v>
      </c>
      <c r="L342" s="442">
        <f t="shared" si="27"/>
        <v>0</v>
      </c>
      <c r="M342" s="442" t="s">
        <v>6083</v>
      </c>
      <c r="N342" s="442" t="s">
        <v>6083</v>
      </c>
      <c r="O342" s="442" t="s">
        <v>6083</v>
      </c>
      <c r="P342" s="442"/>
      <c r="Q342" s="442"/>
      <c r="R342" s="442"/>
      <c r="S342" s="442"/>
      <c r="T342" s="442"/>
      <c r="U342" s="442"/>
      <c r="V342" s="442"/>
      <c r="W342" s="442"/>
      <c r="X342" s="853"/>
      <c r="Y342" s="85"/>
      <c r="Z342" s="442"/>
      <c r="AA342" s="442"/>
      <c r="AB342" s="442"/>
      <c r="AC342" s="442"/>
      <c r="AD342" s="442"/>
      <c r="AE342" s="442"/>
      <c r="AF342" s="442"/>
      <c r="AG342" s="442"/>
      <c r="AH342" s="442"/>
      <c r="AI342" s="442"/>
      <c r="AJ342" s="442"/>
      <c r="AK342" s="442"/>
      <c r="AL342" s="442"/>
      <c r="AM342" s="442"/>
      <c r="AN342" s="442"/>
      <c r="AO342" s="442"/>
    </row>
    <row r="343" spans="2:41" s="58" customFormat="1">
      <c r="B343" s="87"/>
      <c r="C343" s="88">
        <f t="shared" si="25"/>
        <v>-339</v>
      </c>
      <c r="D343" s="61">
        <f t="shared" si="28"/>
        <v>339</v>
      </c>
      <c r="E343" s="442">
        <v>3581</v>
      </c>
      <c r="F343" s="64" t="str">
        <f>IFERROR(VLOOKUP(Table4[[#This Row],[Player No]],Table10[[No]:[Province]],2,0),"")</f>
        <v>ORANSIE Aiden</v>
      </c>
      <c r="G343" s="65" t="str">
        <f>IFERROR(VLOOKUP(Table4[[#This Row],[Player No]],Table10[[No]:[Province]],3,0),"")</f>
        <v>CT</v>
      </c>
      <c r="H343" s="660">
        <v>0.5</v>
      </c>
      <c r="I343" s="124">
        <v>0.25</v>
      </c>
      <c r="J343" s="661">
        <f>(Table4[[#This Row],[Points 2025]]/2)+SUM(Table4[[#This Row],[O1  ADMIN 2026]:[P2         WC    Open 2026]])</f>
        <v>0.125</v>
      </c>
      <c r="K343" s="442">
        <f t="shared" si="26"/>
        <v>0</v>
      </c>
      <c r="L343" s="442">
        <f t="shared" si="27"/>
        <v>0</v>
      </c>
      <c r="M343" s="442" t="s">
        <v>6083</v>
      </c>
      <c r="N343" s="442" t="s">
        <v>6083</v>
      </c>
      <c r="O343" s="442" t="s">
        <v>6083</v>
      </c>
      <c r="P343" s="442"/>
      <c r="Q343" s="442"/>
      <c r="R343" s="442"/>
      <c r="S343" s="442"/>
      <c r="T343" s="442"/>
      <c r="U343" s="442"/>
      <c r="V343" s="442"/>
      <c r="W343" s="442"/>
      <c r="X343" s="853"/>
      <c r="Y343" s="85"/>
      <c r="Z343" s="442"/>
      <c r="AA343" s="442"/>
      <c r="AB343" s="442"/>
      <c r="AC343" s="442"/>
      <c r="AD343" s="442"/>
      <c r="AE343" s="442"/>
      <c r="AF343" s="442"/>
      <c r="AG343" s="442"/>
      <c r="AH343" s="442"/>
      <c r="AI343" s="442"/>
      <c r="AJ343" s="442"/>
      <c r="AK343" s="442"/>
      <c r="AL343" s="442"/>
      <c r="AM343" s="442"/>
      <c r="AN343" s="442"/>
      <c r="AO343" s="442"/>
    </row>
    <row r="344" spans="2:41" s="58" customFormat="1">
      <c r="B344" s="87"/>
      <c r="C344" s="88">
        <f t="shared" si="25"/>
        <v>-340</v>
      </c>
      <c r="D344" s="61">
        <f t="shared" si="28"/>
        <v>340</v>
      </c>
      <c r="E344" s="442">
        <v>3582</v>
      </c>
      <c r="F344" s="64" t="str">
        <f>IFERROR(VLOOKUP(Table4[[#This Row],[Player No]],Table10[[No]:[Province]],2,0),"")</f>
        <v>RUITERS Imeraan</v>
      </c>
      <c r="G344" s="65" t="str">
        <f>IFERROR(VLOOKUP(Table4[[#This Row],[Player No]],Table10[[No]:[Province]],3,0),"")</f>
        <v>CT</v>
      </c>
      <c r="H344" s="660">
        <v>0.5</v>
      </c>
      <c r="I344" s="124">
        <v>0.125</v>
      </c>
      <c r="J344" s="661">
        <f>(Table4[[#This Row],[Points 2025]]/2)+SUM(Table4[[#This Row],[O1  ADMIN 2026]:[P2         WC    Open 2026]])</f>
        <v>6.25E-2</v>
      </c>
      <c r="K344" s="442">
        <f t="shared" si="26"/>
        <v>0</v>
      </c>
      <c r="L344" s="442">
        <f t="shared" si="27"/>
        <v>0</v>
      </c>
      <c r="M344" s="442" t="s">
        <v>6083</v>
      </c>
      <c r="N344" s="442" t="s">
        <v>6083</v>
      </c>
      <c r="O344" s="442" t="s">
        <v>6083</v>
      </c>
      <c r="P344" s="442"/>
      <c r="Q344" s="442"/>
      <c r="R344" s="442"/>
      <c r="S344" s="442"/>
      <c r="T344" s="442"/>
      <c r="U344" s="442"/>
      <c r="V344" s="442"/>
      <c r="W344" s="442"/>
      <c r="X344" s="853"/>
      <c r="Y344" s="85"/>
      <c r="Z344" s="442"/>
      <c r="AA344" s="442"/>
      <c r="AB344" s="442"/>
      <c r="AC344" s="442"/>
      <c r="AD344" s="442"/>
      <c r="AE344" s="442"/>
      <c r="AF344" s="442"/>
      <c r="AG344" s="442"/>
      <c r="AH344" s="442"/>
      <c r="AI344" s="442"/>
      <c r="AJ344" s="442"/>
      <c r="AK344" s="442"/>
      <c r="AL344" s="442"/>
      <c r="AM344" s="442"/>
      <c r="AN344" s="442"/>
      <c r="AO344" s="442"/>
    </row>
    <row r="345" spans="2:41" s="58" customFormat="1">
      <c r="B345" s="87"/>
      <c r="C345" s="88">
        <f t="shared" si="25"/>
        <v>-341</v>
      </c>
      <c r="D345" s="61">
        <f t="shared" si="28"/>
        <v>341</v>
      </c>
      <c r="E345" s="442">
        <v>3317</v>
      </c>
      <c r="F345" s="64" t="str">
        <f>IFERROR(VLOOKUP(Table4[[#This Row],[Player No]],Table10[[No]:[Province]],2,0),"")</f>
        <v>NAIDOO Delwyn</v>
      </c>
      <c r="G345" s="65" t="str">
        <f>IFERROR(VLOOKUP(Table4[[#This Row],[Player No]],Table10[[No]:[Province]],3,0),"")</f>
        <v>UMG</v>
      </c>
      <c r="H345" s="660">
        <v>0.25</v>
      </c>
      <c r="I345" s="124">
        <v>0</v>
      </c>
      <c r="J345" s="661">
        <f>(Table4[[#This Row],[Points 2025]]/2)+SUM(Table4[[#This Row],[O1  ADMIN 2026]:[P2         WC    Open 2026]])</f>
        <v>0</v>
      </c>
      <c r="K345" s="442">
        <f t="shared" si="26"/>
        <v>0</v>
      </c>
      <c r="L345" s="442">
        <f t="shared" si="27"/>
        <v>0</v>
      </c>
      <c r="M345" s="442" t="s">
        <v>6083</v>
      </c>
      <c r="N345" s="442" t="s">
        <v>6083</v>
      </c>
      <c r="O345" s="442" t="s">
        <v>6083</v>
      </c>
      <c r="P345" s="442"/>
      <c r="Q345" s="442"/>
      <c r="R345" s="442"/>
      <c r="S345" s="442"/>
      <c r="T345" s="442"/>
      <c r="U345" s="442"/>
      <c r="V345" s="442"/>
      <c r="W345" s="442"/>
      <c r="X345" s="853"/>
      <c r="Y345" s="85"/>
      <c r="Z345" s="442"/>
      <c r="AA345" s="442"/>
      <c r="AB345" s="442"/>
      <c r="AC345" s="442"/>
      <c r="AD345" s="442"/>
      <c r="AE345" s="442"/>
      <c r="AF345" s="442"/>
      <c r="AG345" s="442"/>
      <c r="AH345" s="442"/>
      <c r="AI345" s="442"/>
      <c r="AJ345" s="442"/>
      <c r="AK345" s="442"/>
      <c r="AL345" s="442"/>
      <c r="AM345" s="442"/>
      <c r="AN345" s="442"/>
      <c r="AO345" s="442"/>
    </row>
    <row r="346" spans="2:41" s="58" customFormat="1">
      <c r="B346" s="88"/>
      <c r="C346" s="88">
        <f t="shared" si="25"/>
        <v>-342</v>
      </c>
      <c r="D346" s="61">
        <f t="shared" si="28"/>
        <v>342</v>
      </c>
      <c r="E346" s="442">
        <v>1767</v>
      </c>
      <c r="F346" s="64" t="str">
        <f>IFERROR(VLOOKUP(Table4[[#This Row],[Player No]],Table10[[No]:[Province]],2,0),"")</f>
        <v>SEGOMOCO Boinelo</v>
      </c>
      <c r="G346" s="65" t="str">
        <f>IFERROR(VLOOKUP(Table4[[#This Row],[Player No]],Table10[[No]:[Province]],3,0),"")</f>
        <v>NC</v>
      </c>
      <c r="H346" s="660">
        <v>0</v>
      </c>
      <c r="I346" s="124">
        <v>0</v>
      </c>
      <c r="J346" s="661">
        <f>(Table4[[#This Row],[Points 2025]]/2)+SUM(Table4[[#This Row],[O1  ADMIN 2026]:[P2         WC    Open 2026]])</f>
        <v>0</v>
      </c>
      <c r="K346" s="442">
        <f t="shared" si="26"/>
        <v>0</v>
      </c>
      <c r="L346" s="442">
        <f t="shared" si="27"/>
        <v>0</v>
      </c>
      <c r="M346" s="442" t="s">
        <v>6083</v>
      </c>
      <c r="N346" s="442" t="s">
        <v>6083</v>
      </c>
      <c r="O346" s="442" t="s">
        <v>6083</v>
      </c>
      <c r="P346" s="442"/>
      <c r="Q346" s="442"/>
      <c r="R346" s="442"/>
      <c r="S346" s="442"/>
      <c r="T346" s="442"/>
      <c r="U346" s="442"/>
      <c r="V346" s="442"/>
      <c r="W346" s="442"/>
      <c r="X346" s="857">
        <v>0</v>
      </c>
      <c r="Y346" s="742"/>
      <c r="Z346" s="442"/>
      <c r="AA346" s="442"/>
      <c r="AB346" s="442"/>
      <c r="AC346" s="442"/>
      <c r="AD346" s="442"/>
      <c r="AE346" s="442"/>
      <c r="AF346" s="442"/>
      <c r="AG346" s="442"/>
      <c r="AH346" s="442"/>
      <c r="AI346" s="442"/>
      <c r="AJ346" s="442"/>
      <c r="AK346" s="442"/>
      <c r="AL346" s="442"/>
      <c r="AM346" s="442"/>
      <c r="AN346" s="442"/>
      <c r="AO346" s="442"/>
    </row>
    <row r="347" spans="2:41" s="58" customFormat="1">
      <c r="B347" s="87"/>
      <c r="C347" s="88">
        <f t="shared" si="25"/>
        <v>-343</v>
      </c>
      <c r="D347" s="61">
        <f t="shared" si="28"/>
        <v>343</v>
      </c>
      <c r="E347" s="442">
        <v>2819</v>
      </c>
      <c r="F347" s="64" t="str">
        <f>IFERROR(VLOOKUP(Table4[[#This Row],[Player No]],Table10[[No]:[Province]],2,0),"")</f>
        <v>VAALTUIN Jayden</v>
      </c>
      <c r="G347" s="65" t="str">
        <f>IFERROR(VLOOKUP(Table4[[#This Row],[Player No]],Table10[[No]:[Province]],3,0),"")</f>
        <v>WC</v>
      </c>
      <c r="H347" s="660">
        <v>0</v>
      </c>
      <c r="I347" s="124">
        <v>0</v>
      </c>
      <c r="J347" s="661">
        <f>(Table4[[#This Row],[Points 2025]]/2)+SUM(Table4[[#This Row],[O1  ADMIN 2026]:[P2         WC    Open 2026]])</f>
        <v>0</v>
      </c>
      <c r="K347" s="442">
        <f t="shared" si="26"/>
        <v>0</v>
      </c>
      <c r="L347" s="442">
        <f t="shared" si="27"/>
        <v>0</v>
      </c>
      <c r="M347" s="442" t="s">
        <v>6083</v>
      </c>
      <c r="N347" s="442" t="s">
        <v>6083</v>
      </c>
      <c r="O347" s="442" t="s">
        <v>6083</v>
      </c>
      <c r="P347" s="442"/>
      <c r="Q347" s="442"/>
      <c r="R347" s="442"/>
      <c r="S347" s="442"/>
      <c r="T347" s="442"/>
      <c r="U347" s="442"/>
      <c r="V347" s="442"/>
      <c r="W347" s="442"/>
      <c r="X347" s="853"/>
      <c r="Y347" s="85"/>
      <c r="Z347" s="442"/>
      <c r="AA347" s="442"/>
      <c r="AB347" s="442"/>
      <c r="AC347" s="442"/>
      <c r="AD347" s="442"/>
      <c r="AE347" s="442"/>
      <c r="AF347" s="442"/>
      <c r="AG347" s="442"/>
      <c r="AH347" s="442"/>
      <c r="AI347" s="442"/>
      <c r="AJ347" s="442"/>
      <c r="AK347" s="442"/>
      <c r="AL347" s="442"/>
      <c r="AM347" s="442"/>
      <c r="AN347" s="442"/>
      <c r="AO347" s="442"/>
    </row>
    <row r="348" spans="2:41" s="58" customFormat="1">
      <c r="B348" s="87"/>
      <c r="C348" s="88">
        <f t="shared" si="25"/>
        <v>-344</v>
      </c>
      <c r="D348" s="61">
        <f t="shared" si="28"/>
        <v>344</v>
      </c>
      <c r="E348" s="437">
        <v>3719</v>
      </c>
      <c r="F348" s="64" t="str">
        <f>IFERROR(VLOOKUP(Table4[[#This Row],[Player No]],Table10[[No]:[Province]],2,0),"")</f>
        <v>KADAVIALEI Fahim</v>
      </c>
      <c r="G348" s="65" t="str">
        <f>IFERROR(VLOOKUP(Table4[[#This Row],[Player No]],Table10[[No]:[Province]],3,0),"")</f>
        <v>JTTA</v>
      </c>
      <c r="H348" s="438">
        <v>0</v>
      </c>
      <c r="I348" s="124">
        <v>0</v>
      </c>
      <c r="J348" s="661">
        <f>(Table4[[#This Row],[Points 2025]]/2)+SUM(Table4[[#This Row],[O1  ADMIN 2026]:[P2         WC    Open 2026]])</f>
        <v>0</v>
      </c>
      <c r="K348" s="442">
        <f t="shared" si="26"/>
        <v>0</v>
      </c>
      <c r="L348" s="442">
        <f t="shared" si="27"/>
        <v>0</v>
      </c>
      <c r="M348" s="442" t="s">
        <v>6083</v>
      </c>
      <c r="N348" s="442" t="s">
        <v>6083</v>
      </c>
      <c r="O348" s="442" t="s">
        <v>6083</v>
      </c>
      <c r="P348" s="442"/>
      <c r="Q348" s="437"/>
      <c r="R348" s="437"/>
      <c r="S348" s="437"/>
      <c r="T348" s="437"/>
      <c r="U348" s="437"/>
      <c r="V348" s="437"/>
      <c r="W348" s="437"/>
      <c r="X348" s="854"/>
      <c r="Y348" s="745"/>
      <c r="Z348" s="437"/>
      <c r="AA348" s="437"/>
      <c r="AB348" s="437"/>
      <c r="AC348" s="437">
        <v>0</v>
      </c>
      <c r="AD348" s="437"/>
      <c r="AE348" s="437"/>
      <c r="AF348" s="437"/>
      <c r="AG348" s="437"/>
      <c r="AH348" s="437"/>
      <c r="AI348" s="437"/>
      <c r="AJ348" s="437"/>
      <c r="AK348" s="437"/>
      <c r="AL348" s="437"/>
      <c r="AM348" s="437"/>
      <c r="AN348" s="437"/>
      <c r="AO348" s="437"/>
    </row>
    <row r="349" spans="2:41" s="58" customFormat="1">
      <c r="B349" s="87"/>
      <c r="C349" s="88">
        <f t="shared" si="25"/>
        <v>-345</v>
      </c>
      <c r="D349" s="61">
        <f t="shared" si="28"/>
        <v>345</v>
      </c>
      <c r="E349" s="442">
        <v>3880</v>
      </c>
      <c r="F349" s="64" t="str">
        <f>IFERROR(VLOOKUP(Table4[[#This Row],[Player No]],Table10[[No]:[Province]],2,0),"")</f>
        <v>JACOBS Umar</v>
      </c>
      <c r="G349" s="65" t="str">
        <f>IFERROR(VLOOKUP(Table4[[#This Row],[Player No]],Table10[[No]:[Province]],3,0),"")</f>
        <v>CW</v>
      </c>
      <c r="H349" s="660">
        <v>0</v>
      </c>
      <c r="I349" s="124">
        <v>0</v>
      </c>
      <c r="J349" s="661">
        <f>(Table4[[#This Row],[Points 2025]]/2)+SUM(Table4[[#This Row],[O1  ADMIN 2026]:[P2         WC    Open 2026]])</f>
        <v>0</v>
      </c>
      <c r="K349" s="442">
        <f t="shared" si="26"/>
        <v>0</v>
      </c>
      <c r="L349" s="442">
        <f t="shared" si="27"/>
        <v>0</v>
      </c>
      <c r="M349" s="442" t="s">
        <v>6083</v>
      </c>
      <c r="N349" s="442" t="s">
        <v>6083</v>
      </c>
      <c r="O349" s="442" t="s">
        <v>6083</v>
      </c>
      <c r="P349" s="442"/>
      <c r="Q349" s="442"/>
      <c r="R349" s="442"/>
      <c r="S349" s="442"/>
      <c r="T349" s="442"/>
      <c r="U349" s="442"/>
      <c r="V349" s="442"/>
      <c r="W349" s="442"/>
      <c r="X349" s="853"/>
      <c r="Y349" s="85"/>
      <c r="Z349" s="442"/>
      <c r="AA349" s="442"/>
      <c r="AB349" s="442"/>
      <c r="AC349" s="442"/>
      <c r="AD349" s="442"/>
      <c r="AE349" s="442"/>
      <c r="AF349" s="442"/>
      <c r="AG349" s="442"/>
      <c r="AH349" s="442"/>
      <c r="AI349" s="442"/>
      <c r="AJ349" s="442"/>
      <c r="AK349" s="442"/>
      <c r="AL349" s="442"/>
      <c r="AM349" s="442"/>
      <c r="AN349" s="442"/>
      <c r="AO349" s="442"/>
    </row>
    <row r="350" spans="2:41" s="58" customFormat="1">
      <c r="B350" s="87"/>
      <c r="C350" s="88">
        <f t="shared" si="25"/>
        <v>-346</v>
      </c>
      <c r="D350" s="61">
        <f t="shared" si="28"/>
        <v>346</v>
      </c>
      <c r="E350" s="437">
        <v>4406</v>
      </c>
      <c r="F350" s="64" t="str">
        <f>IFERROR(VLOOKUP(Table4[[#This Row],[Player No]],Table10[[No]:[Province]],2,0),"")</f>
        <v>MASUMOTHE Retshepile</v>
      </c>
      <c r="G350" s="65" t="str">
        <f>IFERROR(VLOOKUP(Table4[[#This Row],[Player No]],Table10[[No]:[Province]],3,0),"")</f>
        <v>OTHER</v>
      </c>
      <c r="H350" s="438">
        <v>0</v>
      </c>
      <c r="I350" s="124">
        <v>0</v>
      </c>
      <c r="J350" s="661">
        <f>(Table4[[#This Row],[Points 2025]]/2)+SUM(Table4[[#This Row],[O1  ADMIN 2026]:[P2         WC    Open 2026]])</f>
        <v>0</v>
      </c>
      <c r="K350" s="442">
        <f t="shared" si="26"/>
        <v>0</v>
      </c>
      <c r="L350" s="442">
        <f t="shared" si="27"/>
        <v>0</v>
      </c>
      <c r="M350" s="442" t="s">
        <v>6083</v>
      </c>
      <c r="N350" s="442" t="s">
        <v>6083</v>
      </c>
      <c r="O350" s="442" t="s">
        <v>6083</v>
      </c>
      <c r="P350" s="442"/>
      <c r="Q350" s="437"/>
      <c r="R350" s="437"/>
      <c r="S350" s="437"/>
      <c r="T350" s="437"/>
      <c r="U350" s="437"/>
      <c r="V350" s="437"/>
      <c r="W350" s="437"/>
      <c r="X350" s="854"/>
      <c r="Y350" s="745"/>
      <c r="Z350" s="437"/>
      <c r="AA350" s="437"/>
      <c r="AB350" s="437"/>
      <c r="AC350" s="437">
        <v>0</v>
      </c>
      <c r="AD350" s="437"/>
      <c r="AE350" s="437"/>
      <c r="AF350" s="437"/>
      <c r="AG350" s="437"/>
      <c r="AH350" s="437"/>
      <c r="AI350" s="437"/>
      <c r="AJ350" s="437"/>
      <c r="AK350" s="437"/>
      <c r="AL350" s="437"/>
      <c r="AM350" s="437"/>
      <c r="AN350" s="437"/>
      <c r="AO350" s="437"/>
    </row>
    <row r="351" spans="2:41" s="58" customFormat="1">
      <c r="B351" s="87"/>
      <c r="C351" s="88">
        <f t="shared" si="25"/>
        <v>-347</v>
      </c>
      <c r="D351" s="61">
        <f t="shared" si="28"/>
        <v>347</v>
      </c>
      <c r="E351" s="442">
        <v>4413</v>
      </c>
      <c r="F351" s="64" t="str">
        <f>IFERROR(VLOOKUP(Table4[[#This Row],[Player No]],Table10[[No]:[Province]],2,0),"")</f>
        <v xml:space="preserve">PETOVSKY Pavol Usman </v>
      </c>
      <c r="G351" s="65" t="str">
        <f>IFERROR(VLOOKUP(Table4[[#This Row],[Player No]],Table10[[No]:[Province]],3,0),"")</f>
        <v>JTTA</v>
      </c>
      <c r="H351" s="660">
        <v>0</v>
      </c>
      <c r="I351" s="124">
        <v>0</v>
      </c>
      <c r="J351" s="661">
        <f>(Table4[[#This Row],[Points 2025]]/2)+SUM(Table4[[#This Row],[O1  ADMIN 2026]:[P2         WC    Open 2026]])</f>
        <v>0</v>
      </c>
      <c r="K351" s="442">
        <f t="shared" si="26"/>
        <v>0</v>
      </c>
      <c r="L351" s="442">
        <f t="shared" si="27"/>
        <v>0</v>
      </c>
      <c r="M351" s="442" t="s">
        <v>6083</v>
      </c>
      <c r="N351" s="442" t="s">
        <v>6083</v>
      </c>
      <c r="O351" s="442" t="s">
        <v>6083</v>
      </c>
      <c r="P351" s="442"/>
      <c r="Q351" s="442"/>
      <c r="R351" s="442"/>
      <c r="S351" s="442"/>
      <c r="T351" s="442"/>
      <c r="U351" s="442"/>
      <c r="V351" s="442"/>
      <c r="W351" s="442"/>
      <c r="X351" s="853"/>
      <c r="Y351" s="85"/>
      <c r="Z351" s="442"/>
      <c r="AA351" s="442"/>
      <c r="AB351" s="442"/>
      <c r="AC351" s="442"/>
      <c r="AD351" s="442"/>
      <c r="AE351" s="442"/>
      <c r="AF351" s="442"/>
      <c r="AG351" s="442"/>
      <c r="AH351" s="442"/>
      <c r="AI351" s="442"/>
      <c r="AJ351" s="442"/>
      <c r="AK351" s="442"/>
      <c r="AL351" s="442"/>
      <c r="AM351" s="442"/>
      <c r="AN351" s="442"/>
      <c r="AO351" s="442"/>
    </row>
    <row r="352" spans="2:41" s="58" customFormat="1">
      <c r="B352" s="397"/>
      <c r="C352" s="397">
        <f t="shared" si="25"/>
        <v>-348</v>
      </c>
      <c r="D352" s="61">
        <f t="shared" si="28"/>
        <v>348</v>
      </c>
      <c r="E352" s="426">
        <v>4498</v>
      </c>
      <c r="F352" s="64" t="str">
        <f>IFERROR(VLOOKUP(Table4[[#This Row],[Player No]],Table10[[No]:[Province]],2,0),"")</f>
        <v>Prince MABENA</v>
      </c>
      <c r="G352" s="65" t="str">
        <f>IFERROR(VLOOKUP(Table4[[#This Row],[Player No]],Table10[[No]:[Province]],3,0),"")</f>
        <v>GN</v>
      </c>
      <c r="H352" s="427">
        <v>0</v>
      </c>
      <c r="I352" s="416">
        <v>0</v>
      </c>
      <c r="J352" s="661">
        <f>(Table4[[#This Row],[Points 2025]]/2)+SUM(Table4[[#This Row],[O1  ADMIN 2026]:[P2         WC    Open 2026]])</f>
        <v>0</v>
      </c>
      <c r="K352" s="442">
        <f t="shared" si="26"/>
        <v>0</v>
      </c>
      <c r="L352" s="442">
        <f t="shared" si="27"/>
        <v>0</v>
      </c>
      <c r="M352" s="442" t="s">
        <v>6083</v>
      </c>
      <c r="N352" s="426" t="s">
        <v>6083</v>
      </c>
      <c r="O352" s="426" t="str">
        <f>IFERROR(VALUE(IF(Table4[[#This Row],[Player No]]="","",IFERROR(VLOOKUP(Table4[[#This Row],[Player No]],'[2]U19 Boys'!$Z$14:$AB$63,2,FALSE)&amp;"",""))),"")</f>
        <v/>
      </c>
      <c r="P352" s="426"/>
      <c r="Q352" s="426"/>
      <c r="R352" s="426"/>
      <c r="S352" s="426"/>
      <c r="T352" s="426"/>
      <c r="U352" s="426"/>
      <c r="V352" s="426"/>
      <c r="W352" s="426"/>
      <c r="X352" s="855"/>
      <c r="Y352" s="744"/>
      <c r="Z352" s="426"/>
      <c r="AA352" s="426"/>
      <c r="AB352" s="426">
        <v>0</v>
      </c>
      <c r="AC352" s="426"/>
      <c r="AD352" s="426"/>
      <c r="AE352" s="426"/>
      <c r="AF352" s="426"/>
      <c r="AG352" s="426"/>
      <c r="AH352" s="426"/>
      <c r="AI352" s="426"/>
      <c r="AJ352" s="426"/>
      <c r="AK352" s="426"/>
      <c r="AL352" s="426"/>
      <c r="AM352" s="426"/>
      <c r="AN352" s="426"/>
      <c r="AO352" s="426"/>
    </row>
    <row r="353" spans="2:41" s="58" customFormat="1">
      <c r="B353" s="287"/>
      <c r="C353" s="287"/>
      <c r="D353" s="287"/>
      <c r="G353" s="288"/>
      <c r="H353" s="87"/>
      <c r="I353" s="87"/>
      <c r="J353" s="87"/>
      <c r="K353" s="288"/>
      <c r="L353" s="288"/>
      <c r="M353" s="288"/>
      <c r="N353" s="288"/>
      <c r="O353" s="288"/>
      <c r="P353" s="288"/>
      <c r="Q353" s="288"/>
      <c r="R353" s="288"/>
      <c r="S353" s="288"/>
      <c r="T353" s="288"/>
      <c r="U353" s="288"/>
      <c r="V353" s="288"/>
      <c r="W353" s="288"/>
      <c r="X353" s="858"/>
      <c r="Y353" s="288"/>
      <c r="Z353" s="288"/>
      <c r="AA353" s="288"/>
      <c r="AB353" s="288"/>
      <c r="AC353" s="288"/>
      <c r="AD353" s="288"/>
      <c r="AE353" s="288"/>
      <c r="AF353" s="288"/>
      <c r="AG353" s="288"/>
      <c r="AH353" s="288"/>
      <c r="AI353" s="288"/>
      <c r="AJ353" s="288"/>
      <c r="AK353" s="288"/>
      <c r="AL353" s="288"/>
      <c r="AM353" s="288"/>
      <c r="AN353" s="288"/>
      <c r="AO353" s="288"/>
    </row>
    <row r="354" spans="2:41" s="58" customFormat="1">
      <c r="B354" s="287"/>
      <c r="C354" s="287"/>
      <c r="D354" s="287"/>
      <c r="G354" s="288"/>
      <c r="H354" s="87"/>
      <c r="I354" s="87"/>
      <c r="J354" s="87"/>
      <c r="K354" s="288"/>
      <c r="L354" s="288"/>
      <c r="M354" s="288"/>
      <c r="N354" s="288"/>
      <c r="O354" s="288"/>
      <c r="P354" s="288"/>
      <c r="Q354" s="288"/>
      <c r="R354" s="288"/>
      <c r="S354" s="288"/>
      <c r="T354" s="288"/>
      <c r="U354" s="288"/>
      <c r="V354" s="288"/>
      <c r="W354" s="288"/>
      <c r="X354" s="858"/>
      <c r="Y354" s="288"/>
      <c r="Z354" s="288"/>
      <c r="AA354" s="288"/>
      <c r="AB354" s="288"/>
      <c r="AC354" s="288"/>
      <c r="AD354" s="288"/>
      <c r="AE354" s="288"/>
      <c r="AF354" s="288"/>
      <c r="AG354" s="288"/>
      <c r="AH354" s="288"/>
      <c r="AI354" s="288"/>
      <c r="AJ354" s="288"/>
      <c r="AK354" s="288"/>
      <c r="AL354" s="288"/>
      <c r="AM354" s="288"/>
      <c r="AN354" s="288"/>
      <c r="AO354" s="288"/>
    </row>
    <row r="355" spans="2:41" s="58" customFormat="1">
      <c r="B355" s="287"/>
      <c r="C355" s="287"/>
      <c r="D355" s="287"/>
      <c r="G355" s="288"/>
      <c r="H355" s="87"/>
      <c r="I355" s="87"/>
      <c r="J355" s="87"/>
      <c r="K355" s="288"/>
      <c r="L355" s="288"/>
      <c r="M355" s="288"/>
      <c r="N355" s="288"/>
      <c r="O355" s="288"/>
      <c r="P355" s="288"/>
      <c r="Q355" s="288"/>
      <c r="R355" s="288"/>
      <c r="S355" s="288"/>
      <c r="T355" s="288"/>
      <c r="U355" s="288"/>
      <c r="V355" s="288"/>
      <c r="W355" s="288"/>
      <c r="X355" s="858"/>
      <c r="Y355" s="288"/>
      <c r="Z355" s="288"/>
      <c r="AA355" s="288"/>
      <c r="AB355" s="288"/>
      <c r="AC355" s="288"/>
      <c r="AD355" s="288"/>
      <c r="AE355" s="288"/>
      <c r="AF355" s="288"/>
      <c r="AG355" s="288"/>
      <c r="AH355" s="288"/>
      <c r="AI355" s="288"/>
      <c r="AJ355" s="288"/>
      <c r="AK355" s="288"/>
      <c r="AL355" s="288"/>
      <c r="AM355" s="288"/>
      <c r="AN355" s="288"/>
      <c r="AO355" s="288"/>
    </row>
    <row r="356" spans="2:41" s="58" customFormat="1">
      <c r="B356" s="287"/>
      <c r="C356" s="287"/>
      <c r="D356" s="287"/>
      <c r="G356" s="288"/>
      <c r="H356" s="87"/>
      <c r="I356" s="87"/>
      <c r="J356" s="87"/>
      <c r="K356" s="288"/>
      <c r="L356" s="288"/>
      <c r="M356" s="288"/>
      <c r="N356" s="288"/>
      <c r="O356" s="288"/>
      <c r="P356" s="288"/>
      <c r="Q356" s="288"/>
      <c r="R356" s="288"/>
      <c r="S356" s="288"/>
      <c r="T356" s="288"/>
      <c r="U356" s="288"/>
      <c r="V356" s="288"/>
      <c r="W356" s="288"/>
      <c r="X356" s="858"/>
      <c r="Y356" s="288"/>
      <c r="Z356" s="288"/>
      <c r="AA356" s="288"/>
      <c r="AB356" s="288"/>
      <c r="AC356" s="288"/>
      <c r="AD356" s="288"/>
      <c r="AE356" s="288"/>
      <c r="AF356" s="288"/>
      <c r="AG356" s="288"/>
      <c r="AH356" s="288"/>
      <c r="AI356" s="288"/>
      <c r="AJ356" s="288"/>
      <c r="AK356" s="288"/>
      <c r="AL356" s="288"/>
      <c r="AM356" s="288"/>
      <c r="AN356" s="288"/>
      <c r="AO356" s="288"/>
    </row>
    <row r="357" spans="2:41" s="58" customFormat="1">
      <c r="B357" s="287"/>
      <c r="C357" s="287"/>
      <c r="D357" s="287"/>
      <c r="G357" s="288"/>
      <c r="H357" s="87"/>
      <c r="I357" s="87"/>
      <c r="J357" s="87"/>
      <c r="K357" s="288"/>
      <c r="L357" s="288"/>
      <c r="M357" s="288"/>
      <c r="N357" s="288"/>
      <c r="O357" s="288"/>
      <c r="P357" s="288"/>
      <c r="Q357" s="288"/>
      <c r="R357" s="288"/>
      <c r="S357" s="288"/>
      <c r="T357" s="288"/>
      <c r="U357" s="288"/>
      <c r="V357" s="288"/>
      <c r="W357" s="288"/>
      <c r="X357" s="858"/>
      <c r="Y357" s="288"/>
      <c r="Z357" s="288"/>
      <c r="AA357" s="288"/>
      <c r="AB357" s="288"/>
      <c r="AC357" s="288"/>
      <c r="AD357" s="288"/>
      <c r="AE357" s="288"/>
      <c r="AF357" s="288"/>
      <c r="AG357" s="288"/>
      <c r="AH357" s="288"/>
      <c r="AI357" s="288"/>
      <c r="AJ357" s="288"/>
      <c r="AK357" s="288"/>
      <c r="AL357" s="288"/>
      <c r="AM357" s="288"/>
      <c r="AN357" s="288"/>
      <c r="AO357" s="288"/>
    </row>
    <row r="358" spans="2:41" s="58" customFormat="1">
      <c r="B358" s="287"/>
      <c r="C358" s="287"/>
      <c r="D358" s="287"/>
      <c r="G358" s="288"/>
      <c r="H358" s="87"/>
      <c r="I358" s="87"/>
      <c r="J358" s="87"/>
      <c r="K358" s="288"/>
      <c r="L358" s="288"/>
      <c r="M358" s="288"/>
      <c r="N358" s="288"/>
      <c r="O358" s="288"/>
      <c r="P358" s="288"/>
      <c r="Q358" s="288"/>
      <c r="R358" s="288"/>
      <c r="S358" s="288"/>
      <c r="T358" s="288"/>
      <c r="U358" s="288"/>
      <c r="V358" s="288"/>
      <c r="W358" s="288"/>
      <c r="X358" s="858"/>
      <c r="Y358" s="288"/>
      <c r="Z358" s="288"/>
      <c r="AA358" s="288"/>
      <c r="AB358" s="288"/>
      <c r="AC358" s="288"/>
      <c r="AD358" s="288"/>
      <c r="AE358" s="288"/>
      <c r="AF358" s="288"/>
      <c r="AG358" s="288"/>
      <c r="AH358" s="288"/>
      <c r="AI358" s="288"/>
      <c r="AJ358" s="288"/>
      <c r="AK358" s="288"/>
      <c r="AL358" s="288"/>
      <c r="AM358" s="288"/>
      <c r="AN358" s="288"/>
      <c r="AO358" s="288"/>
    </row>
    <row r="359" spans="2:41" s="58" customFormat="1">
      <c r="B359" s="287"/>
      <c r="C359" s="287"/>
      <c r="D359" s="287"/>
      <c r="G359" s="288"/>
      <c r="H359" s="87"/>
      <c r="I359" s="87"/>
      <c r="J359" s="87"/>
      <c r="K359" s="288"/>
      <c r="L359" s="288"/>
      <c r="M359" s="288"/>
      <c r="N359" s="288"/>
      <c r="O359" s="288"/>
      <c r="P359" s="288"/>
      <c r="Q359" s="288"/>
      <c r="R359" s="288"/>
      <c r="S359" s="288"/>
      <c r="T359" s="288"/>
      <c r="U359" s="288"/>
      <c r="V359" s="288"/>
      <c r="W359" s="288"/>
      <c r="X359" s="858"/>
      <c r="Y359" s="288"/>
      <c r="Z359" s="288"/>
      <c r="AA359" s="288"/>
      <c r="AB359" s="288"/>
      <c r="AC359" s="288"/>
      <c r="AD359" s="288"/>
      <c r="AE359" s="288"/>
      <c r="AF359" s="288"/>
      <c r="AG359" s="288"/>
      <c r="AH359" s="288"/>
      <c r="AI359" s="288"/>
      <c r="AJ359" s="288"/>
      <c r="AK359" s="288"/>
      <c r="AL359" s="288"/>
      <c r="AM359" s="288"/>
      <c r="AN359" s="288"/>
      <c r="AO359" s="288"/>
    </row>
    <row r="360" spans="2:41" s="58" customFormat="1">
      <c r="B360" s="287"/>
      <c r="C360" s="287"/>
      <c r="D360" s="287"/>
      <c r="G360" s="288"/>
      <c r="H360" s="87"/>
      <c r="I360" s="87"/>
      <c r="J360" s="87"/>
      <c r="K360" s="288"/>
      <c r="L360" s="288"/>
      <c r="M360" s="288"/>
      <c r="N360" s="288"/>
      <c r="O360" s="288"/>
      <c r="P360" s="288"/>
      <c r="Q360" s="288"/>
      <c r="R360" s="288"/>
      <c r="S360" s="288"/>
      <c r="T360" s="288"/>
      <c r="U360" s="288"/>
      <c r="V360" s="288"/>
      <c r="W360" s="288"/>
      <c r="X360" s="858"/>
      <c r="Y360" s="288"/>
      <c r="Z360" s="288"/>
      <c r="AA360" s="288"/>
      <c r="AB360" s="288"/>
      <c r="AC360" s="288"/>
      <c r="AD360" s="288"/>
      <c r="AE360" s="288"/>
      <c r="AF360" s="288"/>
      <c r="AG360" s="288"/>
      <c r="AH360" s="288"/>
      <c r="AI360" s="288"/>
      <c r="AJ360" s="288"/>
      <c r="AK360" s="288"/>
      <c r="AL360" s="288"/>
      <c r="AM360" s="288"/>
      <c r="AN360" s="288"/>
      <c r="AO360" s="288"/>
    </row>
    <row r="361" spans="2:41" s="58" customFormat="1">
      <c r="B361" s="287"/>
      <c r="C361" s="287"/>
      <c r="D361" s="287"/>
      <c r="G361" s="288"/>
      <c r="H361" s="87"/>
      <c r="I361" s="87"/>
      <c r="J361" s="87"/>
      <c r="K361" s="288"/>
      <c r="L361" s="288"/>
      <c r="M361" s="288"/>
      <c r="N361" s="288"/>
      <c r="O361" s="288"/>
      <c r="P361" s="288"/>
      <c r="Q361" s="288"/>
      <c r="R361" s="288"/>
      <c r="S361" s="288"/>
      <c r="T361" s="288"/>
      <c r="U361" s="288"/>
      <c r="V361" s="288"/>
      <c r="W361" s="288"/>
      <c r="X361" s="858"/>
      <c r="Y361" s="288"/>
      <c r="Z361" s="288"/>
      <c r="AA361" s="288"/>
      <c r="AB361" s="288"/>
      <c r="AC361" s="288"/>
      <c r="AD361" s="288"/>
      <c r="AE361" s="288"/>
      <c r="AF361" s="288"/>
      <c r="AG361" s="288"/>
      <c r="AH361" s="288"/>
      <c r="AI361" s="288"/>
      <c r="AJ361" s="288"/>
      <c r="AK361" s="288"/>
      <c r="AL361" s="288"/>
      <c r="AM361" s="288"/>
      <c r="AN361" s="288"/>
      <c r="AO361" s="288"/>
    </row>
    <row r="362" spans="2:41" s="58" customFormat="1">
      <c r="B362" s="287"/>
      <c r="C362" s="287"/>
      <c r="D362" s="287"/>
      <c r="G362" s="288"/>
      <c r="H362" s="87"/>
      <c r="I362" s="87"/>
      <c r="J362" s="87"/>
      <c r="K362" s="288"/>
      <c r="L362" s="288"/>
      <c r="M362" s="288"/>
      <c r="N362" s="288"/>
      <c r="O362" s="288"/>
      <c r="P362" s="288"/>
      <c r="Q362" s="288"/>
      <c r="R362" s="288"/>
      <c r="S362" s="288"/>
      <c r="T362" s="288"/>
      <c r="U362" s="288"/>
      <c r="V362" s="288"/>
      <c r="W362" s="288"/>
      <c r="X362" s="858"/>
      <c r="Y362" s="288"/>
      <c r="Z362" s="288"/>
      <c r="AA362" s="288"/>
      <c r="AB362" s="288"/>
      <c r="AC362" s="288"/>
      <c r="AD362" s="288"/>
      <c r="AE362" s="288"/>
      <c r="AF362" s="288"/>
      <c r="AG362" s="288"/>
      <c r="AH362" s="288"/>
      <c r="AI362" s="288"/>
      <c r="AJ362" s="288"/>
      <c r="AK362" s="288"/>
      <c r="AL362" s="288"/>
      <c r="AM362" s="288"/>
      <c r="AN362" s="288"/>
      <c r="AO362" s="288"/>
    </row>
    <row r="363" spans="2:41" s="58" customFormat="1">
      <c r="B363" s="287"/>
      <c r="C363" s="287"/>
      <c r="D363" s="287"/>
      <c r="G363" s="288"/>
      <c r="H363" s="87"/>
      <c r="I363" s="87"/>
      <c r="J363" s="87"/>
      <c r="K363" s="288"/>
      <c r="L363" s="288"/>
      <c r="M363" s="288"/>
      <c r="N363" s="288"/>
      <c r="O363" s="288"/>
      <c r="P363" s="288"/>
      <c r="Q363" s="288"/>
      <c r="R363" s="288"/>
      <c r="S363" s="288"/>
      <c r="T363" s="288"/>
      <c r="U363" s="288"/>
      <c r="V363" s="288"/>
      <c r="W363" s="288"/>
      <c r="X363" s="858"/>
      <c r="Y363" s="288"/>
      <c r="Z363" s="288"/>
      <c r="AA363" s="288"/>
      <c r="AB363" s="288"/>
      <c r="AC363" s="288"/>
      <c r="AD363" s="288"/>
      <c r="AE363" s="288"/>
      <c r="AF363" s="288"/>
      <c r="AG363" s="288"/>
      <c r="AH363" s="288"/>
      <c r="AI363" s="288"/>
      <c r="AJ363" s="288"/>
      <c r="AK363" s="288"/>
      <c r="AL363" s="288"/>
      <c r="AM363" s="288"/>
      <c r="AN363" s="288"/>
      <c r="AO363" s="288"/>
    </row>
    <row r="364" spans="2:41" s="58" customFormat="1">
      <c r="B364" s="287"/>
      <c r="C364" s="287"/>
      <c r="D364" s="287"/>
      <c r="G364" s="288"/>
      <c r="H364" s="87"/>
      <c r="I364" s="87"/>
      <c r="J364" s="87"/>
      <c r="K364" s="288"/>
      <c r="L364" s="288"/>
      <c r="M364" s="288"/>
      <c r="N364" s="288"/>
      <c r="O364" s="288"/>
      <c r="P364" s="288"/>
      <c r="Q364" s="288"/>
      <c r="R364" s="288"/>
      <c r="S364" s="288"/>
      <c r="T364" s="288"/>
      <c r="U364" s="288"/>
      <c r="V364" s="288"/>
      <c r="W364" s="288"/>
      <c r="X364" s="85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</row>
    <row r="365" spans="2:41" s="58" customFormat="1">
      <c r="B365" s="287"/>
      <c r="C365" s="287"/>
      <c r="D365" s="287"/>
      <c r="G365" s="288"/>
      <c r="H365" s="87"/>
      <c r="I365" s="87"/>
      <c r="J365" s="87"/>
      <c r="K365" s="288"/>
      <c r="L365" s="288"/>
      <c r="M365" s="288"/>
      <c r="N365" s="288"/>
      <c r="O365" s="288"/>
      <c r="P365" s="288"/>
      <c r="Q365" s="288"/>
      <c r="R365" s="288"/>
      <c r="S365" s="288"/>
      <c r="T365" s="288"/>
      <c r="U365" s="288"/>
      <c r="V365" s="288"/>
      <c r="W365" s="288"/>
      <c r="X365" s="858"/>
      <c r="Y365" s="288"/>
      <c r="Z365" s="288"/>
      <c r="AA365" s="288"/>
      <c r="AB365" s="288"/>
      <c r="AC365" s="288"/>
      <c r="AD365" s="288"/>
      <c r="AE365" s="288"/>
      <c r="AF365" s="288"/>
      <c r="AG365" s="288"/>
      <c r="AH365" s="288"/>
      <c r="AI365" s="288"/>
      <c r="AJ365" s="288"/>
      <c r="AK365" s="288"/>
      <c r="AL365" s="288"/>
      <c r="AM365" s="288"/>
      <c r="AN365" s="288"/>
      <c r="AO365" s="288"/>
    </row>
    <row r="366" spans="2:41" s="58" customFormat="1">
      <c r="B366" s="287"/>
      <c r="C366" s="287"/>
      <c r="D366" s="287"/>
      <c r="G366" s="288"/>
      <c r="H366" s="87"/>
      <c r="I366" s="87"/>
      <c r="J366" s="87"/>
      <c r="K366" s="288"/>
      <c r="L366" s="288"/>
      <c r="M366" s="288"/>
      <c r="N366" s="288"/>
      <c r="O366" s="288"/>
      <c r="P366" s="288"/>
      <c r="Q366" s="288"/>
      <c r="R366" s="288"/>
      <c r="S366" s="288"/>
      <c r="T366" s="288"/>
      <c r="U366" s="288"/>
      <c r="V366" s="288"/>
      <c r="W366" s="288"/>
      <c r="X366" s="858"/>
      <c r="Y366" s="288"/>
      <c r="Z366" s="288"/>
      <c r="AA366" s="288"/>
      <c r="AB366" s="288"/>
      <c r="AC366" s="288"/>
      <c r="AD366" s="288"/>
      <c r="AE366" s="288"/>
      <c r="AF366" s="288"/>
      <c r="AG366" s="288"/>
      <c r="AH366" s="288"/>
      <c r="AI366" s="288"/>
      <c r="AJ366" s="288"/>
      <c r="AK366" s="288"/>
      <c r="AL366" s="288"/>
      <c r="AM366" s="288"/>
      <c r="AN366" s="288"/>
      <c r="AO366" s="288"/>
    </row>
    <row r="367" spans="2:41" s="58" customFormat="1">
      <c r="B367" s="287"/>
      <c r="C367" s="287"/>
      <c r="D367" s="287"/>
      <c r="G367" s="288"/>
      <c r="H367" s="87"/>
      <c r="I367" s="87"/>
      <c r="J367" s="87"/>
      <c r="K367" s="288"/>
      <c r="L367" s="288"/>
      <c r="M367" s="288"/>
      <c r="N367" s="288"/>
      <c r="O367" s="288"/>
      <c r="P367" s="288"/>
      <c r="Q367" s="288"/>
      <c r="R367" s="288"/>
      <c r="S367" s="288"/>
      <c r="T367" s="288"/>
      <c r="U367" s="288"/>
      <c r="V367" s="288"/>
      <c r="W367" s="288"/>
      <c r="X367" s="858"/>
      <c r="Y367" s="288"/>
      <c r="Z367" s="288"/>
      <c r="AA367" s="288"/>
      <c r="AB367" s="288"/>
      <c r="AC367" s="288"/>
      <c r="AD367" s="288"/>
      <c r="AE367" s="288"/>
      <c r="AF367" s="288"/>
      <c r="AG367" s="288"/>
      <c r="AH367" s="288"/>
      <c r="AI367" s="288"/>
      <c r="AJ367" s="288"/>
      <c r="AK367" s="288"/>
      <c r="AL367" s="288"/>
      <c r="AM367" s="288"/>
      <c r="AN367" s="288"/>
      <c r="AO367" s="288"/>
    </row>
    <row r="368" spans="2:41" s="58" customFormat="1">
      <c r="B368" s="287"/>
      <c r="C368" s="287"/>
      <c r="D368" s="287"/>
      <c r="G368" s="288"/>
      <c r="H368" s="87"/>
      <c r="I368" s="87"/>
      <c r="J368" s="87"/>
      <c r="K368" s="288"/>
      <c r="L368" s="288"/>
      <c r="M368" s="288"/>
      <c r="N368" s="288"/>
      <c r="O368" s="288"/>
      <c r="P368" s="288"/>
      <c r="Q368" s="288"/>
      <c r="R368" s="288"/>
      <c r="S368" s="288"/>
      <c r="T368" s="288"/>
      <c r="U368" s="288"/>
      <c r="V368" s="288"/>
      <c r="W368" s="288"/>
      <c r="X368" s="858"/>
      <c r="Y368" s="288"/>
      <c r="Z368" s="288"/>
      <c r="AA368" s="288"/>
      <c r="AB368" s="288"/>
      <c r="AC368" s="288"/>
      <c r="AD368" s="288"/>
      <c r="AE368" s="288"/>
      <c r="AF368" s="288"/>
      <c r="AG368" s="288"/>
      <c r="AH368" s="288"/>
      <c r="AI368" s="288"/>
      <c r="AJ368" s="288"/>
      <c r="AK368" s="288"/>
      <c r="AL368" s="288"/>
      <c r="AM368" s="288"/>
      <c r="AN368" s="288"/>
      <c r="AO368" s="288"/>
    </row>
    <row r="369" spans="2:41" s="58" customFormat="1">
      <c r="B369" s="287"/>
      <c r="C369" s="287"/>
      <c r="D369" s="287"/>
      <c r="G369" s="288"/>
      <c r="H369" s="87"/>
      <c r="I369" s="87"/>
      <c r="J369" s="87"/>
      <c r="K369" s="288"/>
      <c r="L369" s="288"/>
      <c r="M369" s="288"/>
      <c r="N369" s="288"/>
      <c r="O369" s="288"/>
      <c r="P369" s="288"/>
      <c r="Q369" s="288"/>
      <c r="R369" s="288"/>
      <c r="S369" s="288"/>
      <c r="T369" s="288"/>
      <c r="U369" s="288"/>
      <c r="V369" s="288"/>
      <c r="W369" s="288"/>
      <c r="X369" s="858"/>
      <c r="Y369" s="288"/>
      <c r="Z369" s="288"/>
      <c r="AA369" s="288"/>
      <c r="AB369" s="288"/>
      <c r="AC369" s="288"/>
      <c r="AD369" s="288"/>
      <c r="AE369" s="288"/>
      <c r="AF369" s="288"/>
      <c r="AG369" s="288"/>
      <c r="AH369" s="288"/>
      <c r="AI369" s="288"/>
      <c r="AJ369" s="288"/>
      <c r="AK369" s="288"/>
      <c r="AL369" s="288"/>
      <c r="AM369" s="288"/>
      <c r="AN369" s="288"/>
      <c r="AO369" s="288"/>
    </row>
    <row r="370" spans="2:41" s="58" customFormat="1">
      <c r="B370" s="287"/>
      <c r="C370" s="287"/>
      <c r="D370" s="287"/>
      <c r="G370" s="288"/>
      <c r="H370" s="87"/>
      <c r="I370" s="87"/>
      <c r="J370" s="87"/>
      <c r="K370" s="288"/>
      <c r="L370" s="288"/>
      <c r="M370" s="288"/>
      <c r="N370" s="288"/>
      <c r="O370" s="288"/>
      <c r="P370" s="288"/>
      <c r="Q370" s="288"/>
      <c r="R370" s="288"/>
      <c r="S370" s="288"/>
      <c r="T370" s="288"/>
      <c r="U370" s="288"/>
      <c r="V370" s="288"/>
      <c r="W370" s="288"/>
      <c r="X370" s="858"/>
      <c r="Y370" s="288"/>
      <c r="Z370" s="288"/>
      <c r="AA370" s="288"/>
      <c r="AB370" s="288"/>
      <c r="AC370" s="288"/>
      <c r="AD370" s="288"/>
      <c r="AE370" s="288"/>
      <c r="AF370" s="288"/>
      <c r="AG370" s="288"/>
      <c r="AH370" s="288"/>
      <c r="AI370" s="288"/>
      <c r="AJ370" s="288"/>
      <c r="AK370" s="288"/>
      <c r="AL370" s="288"/>
      <c r="AM370" s="288"/>
      <c r="AN370" s="288"/>
      <c r="AO370" s="288"/>
    </row>
    <row r="371" spans="2:41" s="58" customFormat="1">
      <c r="B371" s="287"/>
      <c r="C371" s="287"/>
      <c r="D371" s="287"/>
      <c r="G371" s="288"/>
      <c r="H371" s="87"/>
      <c r="I371" s="87"/>
      <c r="J371" s="87"/>
      <c r="K371" s="288"/>
      <c r="L371" s="288"/>
      <c r="M371" s="288"/>
      <c r="N371" s="288"/>
      <c r="O371" s="288"/>
      <c r="P371" s="288"/>
      <c r="Q371" s="288"/>
      <c r="R371" s="288"/>
      <c r="S371" s="288"/>
      <c r="T371" s="288"/>
      <c r="U371" s="288"/>
      <c r="V371" s="288"/>
      <c r="W371" s="288"/>
      <c r="X371" s="858"/>
      <c r="Y371" s="288"/>
      <c r="Z371" s="288"/>
      <c r="AA371" s="288"/>
      <c r="AB371" s="288"/>
      <c r="AC371" s="288"/>
      <c r="AD371" s="288"/>
      <c r="AE371" s="288"/>
      <c r="AF371" s="288"/>
      <c r="AG371" s="288"/>
      <c r="AH371" s="288"/>
      <c r="AI371" s="288"/>
      <c r="AJ371" s="288"/>
      <c r="AK371" s="288"/>
      <c r="AL371" s="288"/>
      <c r="AM371" s="288"/>
      <c r="AN371" s="288"/>
      <c r="AO371" s="288"/>
    </row>
    <row r="372" spans="2:41" s="58" customFormat="1">
      <c r="B372" s="287"/>
      <c r="C372" s="287"/>
      <c r="D372" s="287"/>
      <c r="G372" s="288"/>
      <c r="H372" s="87"/>
      <c r="I372" s="87"/>
      <c r="J372" s="87"/>
      <c r="K372" s="288"/>
      <c r="L372" s="288"/>
      <c r="M372" s="288"/>
      <c r="N372" s="288"/>
      <c r="O372" s="288"/>
      <c r="P372" s="288"/>
      <c r="Q372" s="288"/>
      <c r="R372" s="288"/>
      <c r="S372" s="288"/>
      <c r="T372" s="288"/>
      <c r="U372" s="288"/>
      <c r="V372" s="288"/>
      <c r="W372" s="288"/>
      <c r="X372" s="858"/>
      <c r="Y372" s="288"/>
      <c r="Z372" s="288"/>
      <c r="AA372" s="288"/>
      <c r="AB372" s="288"/>
      <c r="AC372" s="288"/>
      <c r="AD372" s="288"/>
      <c r="AE372" s="288"/>
      <c r="AF372" s="288"/>
      <c r="AG372" s="288"/>
      <c r="AH372" s="288"/>
      <c r="AI372" s="288"/>
      <c r="AJ372" s="288"/>
      <c r="AK372" s="288"/>
      <c r="AL372" s="288"/>
      <c r="AM372" s="288"/>
      <c r="AN372" s="288"/>
      <c r="AO372" s="288"/>
    </row>
    <row r="373" spans="2:41" s="58" customFormat="1">
      <c r="B373" s="287"/>
      <c r="C373" s="287"/>
      <c r="D373" s="287"/>
      <c r="G373" s="288"/>
      <c r="H373" s="87"/>
      <c r="I373" s="87"/>
      <c r="J373" s="87"/>
      <c r="K373" s="288"/>
      <c r="L373" s="288"/>
      <c r="M373" s="288"/>
      <c r="N373" s="288"/>
      <c r="O373" s="288"/>
      <c r="P373" s="288"/>
      <c r="Q373" s="288"/>
      <c r="R373" s="288"/>
      <c r="S373" s="288"/>
      <c r="T373" s="288"/>
      <c r="U373" s="288"/>
      <c r="V373" s="288"/>
      <c r="W373" s="288"/>
      <c r="X373" s="858"/>
      <c r="Y373" s="288"/>
      <c r="Z373" s="288"/>
      <c r="AA373" s="288"/>
      <c r="AB373" s="288"/>
      <c r="AC373" s="288"/>
      <c r="AD373" s="288"/>
      <c r="AE373" s="288"/>
      <c r="AF373" s="288"/>
      <c r="AG373" s="288"/>
      <c r="AH373" s="288"/>
      <c r="AI373" s="288"/>
      <c r="AJ373" s="288"/>
      <c r="AK373" s="288"/>
      <c r="AL373" s="288"/>
      <c r="AM373" s="288"/>
      <c r="AN373" s="288"/>
      <c r="AO373" s="288"/>
    </row>
    <row r="374" spans="2:41" s="58" customFormat="1">
      <c r="B374" s="287"/>
      <c r="C374" s="287"/>
      <c r="D374" s="287"/>
      <c r="G374" s="288"/>
      <c r="H374" s="87"/>
      <c r="I374" s="87"/>
      <c r="J374" s="87"/>
      <c r="K374" s="288"/>
      <c r="L374" s="288"/>
      <c r="M374" s="288"/>
      <c r="N374" s="288"/>
      <c r="O374" s="288"/>
      <c r="P374" s="288"/>
      <c r="Q374" s="288"/>
      <c r="R374" s="288"/>
      <c r="S374" s="288"/>
      <c r="T374" s="288"/>
      <c r="U374" s="288"/>
      <c r="V374" s="288"/>
      <c r="W374" s="288"/>
      <c r="X374" s="858"/>
      <c r="Y374" s="288"/>
      <c r="Z374" s="288"/>
      <c r="AA374" s="288"/>
      <c r="AB374" s="288"/>
      <c r="AC374" s="288"/>
      <c r="AD374" s="288"/>
      <c r="AE374" s="288"/>
      <c r="AF374" s="288"/>
      <c r="AG374" s="288"/>
      <c r="AH374" s="288"/>
      <c r="AI374" s="288"/>
      <c r="AJ374" s="288"/>
      <c r="AK374" s="288"/>
      <c r="AL374" s="288"/>
      <c r="AM374" s="288"/>
      <c r="AN374" s="288"/>
      <c r="AO374" s="288"/>
    </row>
    <row r="375" spans="2:41" s="58" customFormat="1">
      <c r="B375" s="287"/>
      <c r="C375" s="287"/>
      <c r="D375" s="287"/>
      <c r="G375" s="288"/>
      <c r="H375" s="87"/>
      <c r="I375" s="87"/>
      <c r="J375" s="87"/>
      <c r="K375" s="288"/>
      <c r="L375" s="288"/>
      <c r="M375" s="288"/>
      <c r="N375" s="288"/>
      <c r="O375" s="288"/>
      <c r="P375" s="288"/>
      <c r="Q375" s="288"/>
      <c r="R375" s="288"/>
      <c r="S375" s="288"/>
      <c r="T375" s="288"/>
      <c r="U375" s="288"/>
      <c r="V375" s="288"/>
      <c r="W375" s="288"/>
      <c r="X375" s="858"/>
      <c r="Y375" s="288"/>
      <c r="Z375" s="288"/>
      <c r="AA375" s="288"/>
      <c r="AB375" s="288"/>
      <c r="AC375" s="288"/>
      <c r="AD375" s="288"/>
      <c r="AE375" s="288"/>
      <c r="AF375" s="288"/>
      <c r="AG375" s="288"/>
      <c r="AH375" s="288"/>
      <c r="AI375" s="288"/>
      <c r="AJ375" s="288"/>
      <c r="AK375" s="288"/>
      <c r="AL375" s="288"/>
      <c r="AM375" s="288"/>
      <c r="AN375" s="288"/>
      <c r="AO375" s="288"/>
    </row>
    <row r="376" spans="2:41" s="58" customFormat="1">
      <c r="B376" s="287"/>
      <c r="C376" s="287"/>
      <c r="D376" s="287"/>
      <c r="G376" s="288"/>
      <c r="H376" s="87"/>
      <c r="I376" s="87"/>
      <c r="J376" s="87"/>
      <c r="K376" s="288"/>
      <c r="L376" s="288"/>
      <c r="M376" s="288"/>
      <c r="N376" s="288"/>
      <c r="O376" s="288"/>
      <c r="P376" s="288"/>
      <c r="Q376" s="288"/>
      <c r="R376" s="288"/>
      <c r="S376" s="288"/>
      <c r="T376" s="288"/>
      <c r="U376" s="288"/>
      <c r="V376" s="288"/>
      <c r="W376" s="288"/>
      <c r="X376" s="858"/>
      <c r="Y376" s="288"/>
      <c r="Z376" s="288"/>
      <c r="AA376" s="288"/>
      <c r="AB376" s="288"/>
      <c r="AC376" s="288"/>
      <c r="AD376" s="288"/>
      <c r="AE376" s="288"/>
      <c r="AF376" s="288"/>
      <c r="AG376" s="288"/>
      <c r="AH376" s="288"/>
      <c r="AI376" s="288"/>
      <c r="AJ376" s="288"/>
      <c r="AK376" s="288"/>
      <c r="AL376" s="288"/>
      <c r="AM376" s="288"/>
      <c r="AN376" s="288"/>
      <c r="AO376" s="288"/>
    </row>
    <row r="377" spans="2:41" s="58" customFormat="1">
      <c r="B377" s="287"/>
      <c r="C377" s="287"/>
      <c r="D377" s="287"/>
      <c r="G377" s="288"/>
      <c r="H377" s="87"/>
      <c r="I377" s="87"/>
      <c r="J377" s="87"/>
      <c r="K377" s="288"/>
      <c r="L377" s="288"/>
      <c r="M377" s="288"/>
      <c r="N377" s="288"/>
      <c r="O377" s="288"/>
      <c r="P377" s="288"/>
      <c r="Q377" s="288"/>
      <c r="R377" s="288"/>
      <c r="S377" s="288"/>
      <c r="T377" s="288"/>
      <c r="U377" s="288"/>
      <c r="V377" s="288"/>
      <c r="W377" s="288"/>
      <c r="X377" s="858"/>
      <c r="Y377" s="288"/>
      <c r="Z377" s="288"/>
      <c r="AA377" s="288"/>
      <c r="AB377" s="288"/>
      <c r="AC377" s="288"/>
      <c r="AD377" s="288"/>
      <c r="AE377" s="288"/>
      <c r="AF377" s="288"/>
      <c r="AG377" s="288"/>
      <c r="AH377" s="288"/>
      <c r="AI377" s="288"/>
      <c r="AJ377" s="288"/>
      <c r="AK377" s="288"/>
      <c r="AL377" s="288"/>
      <c r="AM377" s="288"/>
      <c r="AN377" s="288"/>
      <c r="AO377" s="288"/>
    </row>
    <row r="378" spans="2:41" s="58" customFormat="1">
      <c r="B378" s="287"/>
      <c r="C378" s="287"/>
      <c r="D378" s="287"/>
      <c r="G378" s="288"/>
      <c r="H378" s="87"/>
      <c r="I378" s="87"/>
      <c r="J378" s="87"/>
      <c r="K378" s="288"/>
      <c r="L378" s="288"/>
      <c r="M378" s="288"/>
      <c r="N378" s="288"/>
      <c r="O378" s="288"/>
      <c r="P378" s="288"/>
      <c r="Q378" s="288"/>
      <c r="R378" s="288"/>
      <c r="S378" s="288"/>
      <c r="T378" s="288"/>
      <c r="U378" s="288"/>
      <c r="V378" s="288"/>
      <c r="W378" s="288"/>
      <c r="X378" s="858"/>
      <c r="Y378" s="288"/>
      <c r="Z378" s="288"/>
      <c r="AA378" s="288"/>
      <c r="AB378" s="288"/>
      <c r="AC378" s="288"/>
      <c r="AD378" s="288"/>
      <c r="AE378" s="288"/>
      <c r="AF378" s="288"/>
      <c r="AG378" s="288"/>
      <c r="AH378" s="288"/>
      <c r="AI378" s="288"/>
      <c r="AJ378" s="288"/>
      <c r="AK378" s="288"/>
      <c r="AL378" s="288"/>
      <c r="AM378" s="288"/>
      <c r="AN378" s="288"/>
      <c r="AO378" s="288"/>
    </row>
    <row r="379" spans="2:41" s="58" customFormat="1">
      <c r="B379" s="287"/>
      <c r="C379" s="287"/>
      <c r="D379" s="287"/>
      <c r="G379" s="288"/>
      <c r="H379" s="87"/>
      <c r="I379" s="87"/>
      <c r="J379" s="87"/>
      <c r="K379" s="288"/>
      <c r="L379" s="288"/>
      <c r="M379" s="288"/>
      <c r="N379" s="288"/>
      <c r="O379" s="288"/>
      <c r="P379" s="288"/>
      <c r="Q379" s="288"/>
      <c r="R379" s="288"/>
      <c r="S379" s="288"/>
      <c r="T379" s="288"/>
      <c r="U379" s="288"/>
      <c r="V379" s="288"/>
      <c r="W379" s="288"/>
      <c r="X379" s="858"/>
      <c r="Y379" s="288"/>
      <c r="Z379" s="288"/>
      <c r="AA379" s="288"/>
      <c r="AB379" s="288"/>
      <c r="AC379" s="288"/>
      <c r="AD379" s="288"/>
      <c r="AE379" s="288"/>
      <c r="AF379" s="288"/>
      <c r="AG379" s="288"/>
      <c r="AH379" s="288"/>
      <c r="AI379" s="288"/>
      <c r="AJ379" s="288"/>
      <c r="AK379" s="288"/>
      <c r="AL379" s="288"/>
      <c r="AM379" s="288"/>
      <c r="AN379" s="288"/>
      <c r="AO379" s="288"/>
    </row>
    <row r="380" spans="2:41" s="58" customFormat="1">
      <c r="B380" s="287"/>
      <c r="C380" s="287"/>
      <c r="D380" s="287"/>
      <c r="G380" s="288"/>
      <c r="H380" s="87"/>
      <c r="I380" s="87"/>
      <c r="J380" s="87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858"/>
      <c r="Y380" s="288"/>
      <c r="Z380" s="288"/>
      <c r="AA380" s="288"/>
      <c r="AB380" s="288"/>
      <c r="AC380" s="288"/>
      <c r="AD380" s="288"/>
      <c r="AE380" s="288"/>
      <c r="AF380" s="288"/>
      <c r="AG380" s="288"/>
      <c r="AH380" s="288"/>
      <c r="AI380" s="288"/>
      <c r="AJ380" s="288"/>
      <c r="AK380" s="288"/>
      <c r="AL380" s="288"/>
      <c r="AM380" s="288"/>
      <c r="AN380" s="288"/>
      <c r="AO380" s="288"/>
    </row>
    <row r="381" spans="2:41" s="58" customFormat="1">
      <c r="B381" s="287"/>
      <c r="C381" s="287"/>
      <c r="D381" s="287"/>
      <c r="G381" s="288"/>
      <c r="H381" s="87"/>
      <c r="I381" s="87"/>
      <c r="J381" s="87"/>
      <c r="K381" s="288"/>
      <c r="L381" s="288"/>
      <c r="M381" s="288"/>
      <c r="N381" s="288"/>
      <c r="O381" s="288"/>
      <c r="P381" s="288"/>
      <c r="Q381" s="288"/>
      <c r="R381" s="288"/>
      <c r="S381" s="288"/>
      <c r="T381" s="288"/>
      <c r="U381" s="288"/>
      <c r="V381" s="288"/>
      <c r="W381" s="288"/>
      <c r="X381" s="858"/>
      <c r="Y381" s="288"/>
      <c r="Z381" s="288"/>
      <c r="AA381" s="288"/>
      <c r="AB381" s="288"/>
      <c r="AC381" s="288"/>
      <c r="AD381" s="288"/>
      <c r="AE381" s="288"/>
      <c r="AF381" s="288"/>
      <c r="AG381" s="288"/>
      <c r="AH381" s="288"/>
      <c r="AI381" s="288"/>
      <c r="AJ381" s="288"/>
      <c r="AK381" s="288"/>
      <c r="AL381" s="288"/>
      <c r="AM381" s="288"/>
      <c r="AN381" s="288"/>
      <c r="AO381" s="288"/>
    </row>
    <row r="382" spans="2:41" s="58" customFormat="1">
      <c r="B382" s="287"/>
      <c r="C382" s="287"/>
      <c r="D382" s="287"/>
      <c r="G382" s="288"/>
      <c r="H382" s="87"/>
      <c r="I382" s="87"/>
      <c r="J382" s="87"/>
      <c r="K382" s="288"/>
      <c r="L382" s="288"/>
      <c r="M382" s="288"/>
      <c r="N382" s="288"/>
      <c r="O382" s="288"/>
      <c r="P382" s="288"/>
      <c r="Q382" s="288"/>
      <c r="R382" s="288"/>
      <c r="S382" s="288"/>
      <c r="T382" s="288"/>
      <c r="U382" s="288"/>
      <c r="V382" s="288"/>
      <c r="W382" s="288"/>
      <c r="X382" s="858"/>
      <c r="Y382" s="288"/>
      <c r="Z382" s="288"/>
      <c r="AA382" s="288"/>
      <c r="AB382" s="288"/>
      <c r="AC382" s="288"/>
      <c r="AD382" s="288"/>
      <c r="AE382" s="288"/>
      <c r="AF382" s="288"/>
      <c r="AG382" s="288"/>
      <c r="AH382" s="288"/>
      <c r="AI382" s="288"/>
      <c r="AJ382" s="288"/>
      <c r="AK382" s="288"/>
      <c r="AL382" s="288"/>
      <c r="AM382" s="288"/>
      <c r="AN382" s="288"/>
      <c r="AO382" s="288"/>
    </row>
    <row r="383" spans="2:41" s="58" customFormat="1">
      <c r="B383" s="287"/>
      <c r="C383" s="287"/>
      <c r="D383" s="287"/>
      <c r="G383" s="288"/>
      <c r="H383" s="87"/>
      <c r="I383" s="87"/>
      <c r="J383" s="87"/>
      <c r="K383" s="288"/>
      <c r="L383" s="288"/>
      <c r="M383" s="288"/>
      <c r="N383" s="288"/>
      <c r="O383" s="288"/>
      <c r="P383" s="288"/>
      <c r="Q383" s="288"/>
      <c r="R383" s="288"/>
      <c r="S383" s="288"/>
      <c r="T383" s="288"/>
      <c r="U383" s="288"/>
      <c r="V383" s="288"/>
      <c r="W383" s="288"/>
      <c r="X383" s="858"/>
      <c r="Y383" s="288"/>
      <c r="Z383" s="288"/>
      <c r="AA383" s="288"/>
      <c r="AB383" s="288"/>
      <c r="AC383" s="288"/>
      <c r="AD383" s="288"/>
      <c r="AE383" s="288"/>
      <c r="AF383" s="288"/>
      <c r="AG383" s="288"/>
      <c r="AH383" s="288"/>
      <c r="AI383" s="288"/>
      <c r="AJ383" s="288"/>
      <c r="AK383" s="288"/>
      <c r="AL383" s="288"/>
      <c r="AM383" s="288"/>
      <c r="AN383" s="288"/>
      <c r="AO383" s="288"/>
    </row>
    <row r="384" spans="2:41" s="58" customFormat="1">
      <c r="B384" s="287"/>
      <c r="C384" s="287"/>
      <c r="D384" s="287"/>
      <c r="G384" s="288"/>
      <c r="H384" s="87"/>
      <c r="I384" s="87"/>
      <c r="J384" s="87"/>
      <c r="K384" s="288"/>
      <c r="L384" s="288"/>
      <c r="M384" s="288"/>
      <c r="N384" s="288"/>
      <c r="O384" s="288"/>
      <c r="P384" s="288"/>
      <c r="Q384" s="288"/>
      <c r="R384" s="288"/>
      <c r="S384" s="288"/>
      <c r="T384" s="288"/>
      <c r="U384" s="288"/>
      <c r="V384" s="288"/>
      <c r="W384" s="288"/>
      <c r="X384" s="858"/>
      <c r="Y384" s="288"/>
      <c r="Z384" s="288"/>
      <c r="AA384" s="288"/>
      <c r="AB384" s="288"/>
      <c r="AC384" s="288"/>
      <c r="AD384" s="288"/>
      <c r="AE384" s="288"/>
      <c r="AF384" s="288"/>
      <c r="AG384" s="288"/>
      <c r="AH384" s="288"/>
      <c r="AI384" s="288"/>
      <c r="AJ384" s="288"/>
      <c r="AK384" s="288"/>
      <c r="AL384" s="288"/>
      <c r="AM384" s="288"/>
      <c r="AN384" s="288"/>
      <c r="AO384" s="288"/>
    </row>
    <row r="385" spans="2:41" s="58" customFormat="1">
      <c r="B385" s="287"/>
      <c r="C385" s="287"/>
      <c r="D385" s="287"/>
      <c r="G385" s="288"/>
      <c r="H385" s="87"/>
      <c r="I385" s="87"/>
      <c r="J385" s="87"/>
      <c r="K385" s="288"/>
      <c r="L385" s="288"/>
      <c r="M385" s="288"/>
      <c r="N385" s="288"/>
      <c r="O385" s="288"/>
      <c r="P385" s="288"/>
      <c r="Q385" s="288"/>
      <c r="R385" s="288"/>
      <c r="S385" s="288"/>
      <c r="T385" s="288"/>
      <c r="U385" s="288"/>
      <c r="V385" s="288"/>
      <c r="W385" s="288"/>
      <c r="X385" s="858"/>
      <c r="Y385" s="288"/>
      <c r="Z385" s="288"/>
      <c r="AA385" s="288"/>
      <c r="AB385" s="288"/>
      <c r="AC385" s="288"/>
      <c r="AD385" s="288"/>
      <c r="AE385" s="288"/>
      <c r="AF385" s="288"/>
      <c r="AG385" s="288"/>
      <c r="AH385" s="288"/>
      <c r="AI385" s="288"/>
      <c r="AJ385" s="288"/>
      <c r="AK385" s="288"/>
      <c r="AL385" s="288"/>
      <c r="AM385" s="288"/>
      <c r="AN385" s="288"/>
      <c r="AO385" s="288"/>
    </row>
    <row r="386" spans="2:41" s="58" customFormat="1">
      <c r="B386" s="287"/>
      <c r="C386" s="287"/>
      <c r="D386" s="287"/>
      <c r="G386" s="288"/>
      <c r="H386" s="87"/>
      <c r="I386" s="87"/>
      <c r="J386" s="87"/>
      <c r="K386" s="288"/>
      <c r="L386" s="288"/>
      <c r="M386" s="288"/>
      <c r="N386" s="288"/>
      <c r="O386" s="288"/>
      <c r="P386" s="288"/>
      <c r="Q386" s="288"/>
      <c r="R386" s="288"/>
      <c r="S386" s="288"/>
      <c r="T386" s="288"/>
      <c r="U386" s="288"/>
      <c r="V386" s="288"/>
      <c r="W386" s="288"/>
      <c r="X386" s="858"/>
      <c r="Y386" s="288"/>
      <c r="Z386" s="288"/>
      <c r="AA386" s="288"/>
      <c r="AB386" s="288"/>
      <c r="AC386" s="288"/>
      <c r="AD386" s="288"/>
      <c r="AE386" s="288"/>
      <c r="AF386" s="288"/>
      <c r="AG386" s="288"/>
      <c r="AH386" s="288"/>
      <c r="AI386" s="288"/>
      <c r="AJ386" s="288"/>
      <c r="AK386" s="288"/>
      <c r="AL386" s="288"/>
      <c r="AM386" s="288"/>
      <c r="AN386" s="288"/>
      <c r="AO386" s="288"/>
    </row>
    <row r="387" spans="2:41" s="58" customFormat="1">
      <c r="B387" s="287"/>
      <c r="C387" s="287"/>
      <c r="D387" s="287"/>
      <c r="G387" s="288"/>
      <c r="H387" s="87"/>
      <c r="I387" s="87"/>
      <c r="J387" s="87"/>
      <c r="K387" s="288"/>
      <c r="L387" s="288"/>
      <c r="M387" s="288"/>
      <c r="N387" s="288"/>
      <c r="O387" s="288"/>
      <c r="P387" s="288"/>
      <c r="Q387" s="288"/>
      <c r="R387" s="288"/>
      <c r="S387" s="288"/>
      <c r="T387" s="288"/>
      <c r="U387" s="288"/>
      <c r="V387" s="288"/>
      <c r="W387" s="288"/>
      <c r="X387" s="858"/>
      <c r="Y387" s="288"/>
      <c r="Z387" s="288"/>
      <c r="AA387" s="288"/>
      <c r="AB387" s="288"/>
      <c r="AC387" s="288"/>
      <c r="AD387" s="288"/>
      <c r="AE387" s="288"/>
      <c r="AF387" s="288"/>
      <c r="AG387" s="288"/>
      <c r="AH387" s="288"/>
      <c r="AI387" s="288"/>
      <c r="AJ387" s="288"/>
      <c r="AK387" s="288"/>
      <c r="AL387" s="288"/>
      <c r="AM387" s="288"/>
      <c r="AN387" s="288"/>
      <c r="AO387" s="288"/>
    </row>
    <row r="388" spans="2:41" s="58" customFormat="1">
      <c r="B388" s="287"/>
      <c r="C388" s="287"/>
      <c r="D388" s="287"/>
      <c r="G388" s="288"/>
      <c r="H388" s="87"/>
      <c r="I388" s="87"/>
      <c r="J388" s="87"/>
      <c r="K388" s="288"/>
      <c r="L388" s="288"/>
      <c r="M388" s="288"/>
      <c r="N388" s="288"/>
      <c r="O388" s="288"/>
      <c r="P388" s="288"/>
      <c r="Q388" s="288"/>
      <c r="R388" s="288"/>
      <c r="S388" s="288"/>
      <c r="T388" s="288"/>
      <c r="U388" s="288"/>
      <c r="V388" s="288"/>
      <c r="W388" s="288"/>
      <c r="X388" s="858"/>
      <c r="Y388" s="288"/>
      <c r="Z388" s="288"/>
      <c r="AA388" s="288"/>
      <c r="AB388" s="288"/>
      <c r="AC388" s="288"/>
      <c r="AD388" s="288"/>
      <c r="AE388" s="288"/>
      <c r="AF388" s="288"/>
      <c r="AG388" s="288"/>
      <c r="AH388" s="288"/>
      <c r="AI388" s="288"/>
      <c r="AJ388" s="288"/>
      <c r="AK388" s="288"/>
      <c r="AL388" s="288"/>
      <c r="AM388" s="288"/>
      <c r="AN388" s="288"/>
      <c r="AO388" s="288"/>
    </row>
    <row r="389" spans="2:41" s="58" customFormat="1">
      <c r="B389" s="287"/>
      <c r="C389" s="287"/>
      <c r="D389" s="287"/>
      <c r="G389" s="288"/>
      <c r="H389" s="87"/>
      <c r="I389" s="87"/>
      <c r="J389" s="87"/>
      <c r="K389" s="288"/>
      <c r="L389" s="288"/>
      <c r="M389" s="288"/>
      <c r="N389" s="288"/>
      <c r="O389" s="288"/>
      <c r="P389" s="288"/>
      <c r="Q389" s="288"/>
      <c r="R389" s="288"/>
      <c r="S389" s="288"/>
      <c r="T389" s="288"/>
      <c r="U389" s="288"/>
      <c r="V389" s="288"/>
      <c r="W389" s="288"/>
      <c r="X389" s="858"/>
      <c r="Y389" s="288"/>
      <c r="Z389" s="288"/>
      <c r="AA389" s="288"/>
      <c r="AB389" s="288"/>
      <c r="AC389" s="288"/>
      <c r="AD389" s="288"/>
      <c r="AE389" s="288"/>
      <c r="AF389" s="288"/>
      <c r="AG389" s="288"/>
      <c r="AH389" s="288"/>
      <c r="AI389" s="288"/>
      <c r="AJ389" s="288"/>
      <c r="AK389" s="288"/>
      <c r="AL389" s="288"/>
      <c r="AM389" s="288"/>
      <c r="AN389" s="288"/>
      <c r="AO389" s="288"/>
    </row>
    <row r="390" spans="2:41" s="58" customFormat="1">
      <c r="B390" s="287"/>
      <c r="C390" s="287"/>
      <c r="D390" s="287"/>
      <c r="G390" s="288"/>
      <c r="H390" s="87"/>
      <c r="I390" s="87"/>
      <c r="J390" s="87"/>
      <c r="K390" s="288"/>
      <c r="L390" s="288"/>
      <c r="M390" s="288"/>
      <c r="N390" s="288"/>
      <c r="O390" s="288"/>
      <c r="P390" s="288"/>
      <c r="Q390" s="288"/>
      <c r="R390" s="288"/>
      <c r="S390" s="288"/>
      <c r="T390" s="288"/>
      <c r="U390" s="288"/>
      <c r="V390" s="288"/>
      <c r="W390" s="288"/>
      <c r="X390" s="858"/>
      <c r="Y390" s="288"/>
      <c r="Z390" s="288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  <c r="AM390" s="288"/>
      <c r="AN390" s="288"/>
      <c r="AO390" s="288"/>
    </row>
    <row r="391" spans="2:41" s="58" customFormat="1">
      <c r="B391" s="287"/>
      <c r="C391" s="287"/>
      <c r="D391" s="287"/>
      <c r="G391" s="288"/>
      <c r="H391" s="87"/>
      <c r="I391" s="87"/>
      <c r="J391" s="87"/>
      <c r="K391" s="288"/>
      <c r="L391" s="288"/>
      <c r="M391" s="288"/>
      <c r="N391" s="288"/>
      <c r="O391" s="288"/>
      <c r="P391" s="288"/>
      <c r="Q391" s="288"/>
      <c r="R391" s="288"/>
      <c r="S391" s="288"/>
      <c r="T391" s="288"/>
      <c r="U391" s="288"/>
      <c r="V391" s="288"/>
      <c r="W391" s="288"/>
      <c r="X391" s="858"/>
      <c r="Y391" s="288"/>
      <c r="Z391" s="288"/>
      <c r="AA391" s="288"/>
      <c r="AB391" s="288"/>
      <c r="AC391" s="288"/>
      <c r="AD391" s="288"/>
      <c r="AE391" s="288"/>
      <c r="AF391" s="288"/>
      <c r="AG391" s="288"/>
      <c r="AH391" s="288"/>
      <c r="AI391" s="288"/>
      <c r="AJ391" s="288"/>
      <c r="AK391" s="288"/>
      <c r="AL391" s="288"/>
      <c r="AM391" s="288"/>
      <c r="AN391" s="288"/>
      <c r="AO391" s="288"/>
    </row>
    <row r="392" spans="2:41" s="58" customFormat="1">
      <c r="B392" s="287"/>
      <c r="C392" s="287"/>
      <c r="D392" s="287"/>
      <c r="G392" s="288"/>
      <c r="H392" s="87"/>
      <c r="I392" s="87"/>
      <c r="J392" s="87"/>
      <c r="K392" s="288"/>
      <c r="L392" s="288"/>
      <c r="M392" s="288"/>
      <c r="N392" s="288"/>
      <c r="O392" s="288"/>
      <c r="P392" s="288"/>
      <c r="Q392" s="288"/>
      <c r="R392" s="288"/>
      <c r="S392" s="288"/>
      <c r="T392" s="288"/>
      <c r="U392" s="288"/>
      <c r="V392" s="288"/>
      <c r="W392" s="288"/>
      <c r="X392" s="858"/>
      <c r="Y392" s="288"/>
      <c r="Z392" s="288"/>
      <c r="AA392" s="288"/>
      <c r="AB392" s="288"/>
      <c r="AC392" s="288"/>
      <c r="AD392" s="288"/>
      <c r="AE392" s="288"/>
      <c r="AF392" s="288"/>
      <c r="AG392" s="288"/>
      <c r="AH392" s="288"/>
      <c r="AI392" s="288"/>
      <c r="AJ392" s="288"/>
      <c r="AK392" s="288"/>
      <c r="AL392" s="288"/>
      <c r="AM392" s="288"/>
      <c r="AN392" s="288"/>
      <c r="AO392" s="288"/>
    </row>
    <row r="393" spans="2:41" s="58" customFormat="1">
      <c r="B393" s="287"/>
      <c r="C393" s="287"/>
      <c r="D393" s="287"/>
      <c r="G393" s="288"/>
      <c r="H393" s="87"/>
      <c r="I393" s="87"/>
      <c r="J393" s="87"/>
      <c r="K393" s="288"/>
      <c r="L393" s="288"/>
      <c r="M393" s="288"/>
      <c r="N393" s="288"/>
      <c r="O393" s="288"/>
      <c r="P393" s="288"/>
      <c r="Q393" s="288"/>
      <c r="R393" s="288"/>
      <c r="S393" s="288"/>
      <c r="T393" s="288"/>
      <c r="U393" s="288"/>
      <c r="V393" s="288"/>
      <c r="W393" s="288"/>
      <c r="X393" s="858"/>
      <c r="Y393" s="288"/>
      <c r="Z393" s="288"/>
      <c r="AA393" s="288"/>
      <c r="AB393" s="288"/>
      <c r="AC393" s="288"/>
      <c r="AD393" s="288"/>
      <c r="AE393" s="288"/>
      <c r="AF393" s="288"/>
      <c r="AG393" s="288"/>
      <c r="AH393" s="288"/>
      <c r="AI393" s="288"/>
      <c r="AJ393" s="288"/>
      <c r="AK393" s="288"/>
      <c r="AL393" s="288"/>
      <c r="AM393" s="288"/>
      <c r="AN393" s="288"/>
      <c r="AO393" s="288"/>
    </row>
    <row r="394" spans="2:41" s="58" customFormat="1">
      <c r="B394" s="287"/>
      <c r="C394" s="287"/>
      <c r="D394" s="287"/>
      <c r="G394" s="288"/>
      <c r="H394" s="87"/>
      <c r="I394" s="87"/>
      <c r="J394" s="87"/>
      <c r="K394" s="288"/>
      <c r="L394" s="288"/>
      <c r="M394" s="288"/>
      <c r="N394" s="288"/>
      <c r="O394" s="288"/>
      <c r="P394" s="288"/>
      <c r="Q394" s="288"/>
      <c r="R394" s="288"/>
      <c r="S394" s="288"/>
      <c r="T394" s="288"/>
      <c r="U394" s="288"/>
      <c r="V394" s="288"/>
      <c r="W394" s="288"/>
      <c r="X394" s="858"/>
      <c r="Y394" s="288"/>
      <c r="Z394" s="288"/>
      <c r="AA394" s="288"/>
      <c r="AB394" s="288"/>
      <c r="AC394" s="288"/>
      <c r="AD394" s="288"/>
      <c r="AE394" s="288"/>
      <c r="AF394" s="288"/>
      <c r="AG394" s="288"/>
      <c r="AH394" s="288"/>
      <c r="AI394" s="288"/>
      <c r="AJ394" s="288"/>
      <c r="AK394" s="288"/>
      <c r="AL394" s="288"/>
      <c r="AM394" s="288"/>
      <c r="AN394" s="288"/>
      <c r="AO394" s="288"/>
    </row>
    <row r="395" spans="2:41" s="58" customFormat="1">
      <c r="B395" s="287"/>
      <c r="C395" s="287"/>
      <c r="D395" s="287"/>
      <c r="G395" s="288"/>
      <c r="H395" s="87"/>
      <c r="I395" s="87"/>
      <c r="J395" s="87"/>
      <c r="K395" s="288"/>
      <c r="L395" s="288"/>
      <c r="M395" s="288"/>
      <c r="N395" s="288"/>
      <c r="O395" s="288"/>
      <c r="P395" s="288"/>
      <c r="Q395" s="288"/>
      <c r="R395" s="288"/>
      <c r="S395" s="288"/>
      <c r="T395" s="288"/>
      <c r="U395" s="288"/>
      <c r="V395" s="288"/>
      <c r="W395" s="288"/>
      <c r="X395" s="858"/>
      <c r="Y395" s="288"/>
      <c r="Z395" s="288"/>
      <c r="AA395" s="288"/>
      <c r="AB395" s="288"/>
      <c r="AC395" s="288"/>
      <c r="AD395" s="288"/>
      <c r="AE395" s="288"/>
      <c r="AF395" s="288"/>
      <c r="AG395" s="288"/>
      <c r="AH395" s="288"/>
      <c r="AI395" s="288"/>
      <c r="AJ395" s="288"/>
      <c r="AK395" s="288"/>
      <c r="AL395" s="288"/>
      <c r="AM395" s="288"/>
      <c r="AN395" s="288"/>
      <c r="AO395" s="288"/>
    </row>
    <row r="396" spans="2:41" s="58" customFormat="1">
      <c r="B396" s="287"/>
      <c r="C396" s="287"/>
      <c r="D396" s="287"/>
      <c r="G396" s="288"/>
      <c r="H396" s="87"/>
      <c r="I396" s="87"/>
      <c r="J396" s="87"/>
      <c r="K396" s="288"/>
      <c r="L396" s="288"/>
      <c r="M396" s="288"/>
      <c r="N396" s="288"/>
      <c r="O396" s="288"/>
      <c r="P396" s="288"/>
      <c r="Q396" s="288"/>
      <c r="R396" s="288"/>
      <c r="S396" s="288"/>
      <c r="T396" s="288"/>
      <c r="U396" s="288"/>
      <c r="V396" s="288"/>
      <c r="W396" s="288"/>
      <c r="X396" s="858"/>
      <c r="Y396" s="288"/>
      <c r="Z396" s="288"/>
      <c r="AA396" s="288"/>
      <c r="AB396" s="288"/>
      <c r="AC396" s="288"/>
      <c r="AD396" s="288"/>
      <c r="AE396" s="288"/>
      <c r="AF396" s="288"/>
      <c r="AG396" s="288"/>
      <c r="AH396" s="288"/>
      <c r="AI396" s="288"/>
      <c r="AJ396" s="288"/>
      <c r="AK396" s="288"/>
      <c r="AL396" s="288"/>
      <c r="AM396" s="288"/>
      <c r="AN396" s="288"/>
      <c r="AO396" s="288"/>
    </row>
    <row r="397" spans="2:41" s="58" customFormat="1">
      <c r="B397" s="287"/>
      <c r="C397" s="287"/>
      <c r="D397" s="287"/>
      <c r="G397" s="288"/>
      <c r="H397" s="87"/>
      <c r="I397" s="87"/>
      <c r="J397" s="87"/>
      <c r="K397" s="288"/>
      <c r="L397" s="288"/>
      <c r="M397" s="288"/>
      <c r="N397" s="288"/>
      <c r="O397" s="288"/>
      <c r="P397" s="288"/>
      <c r="Q397" s="288"/>
      <c r="R397" s="288"/>
      <c r="S397" s="288"/>
      <c r="T397" s="288"/>
      <c r="U397" s="288"/>
      <c r="V397" s="288"/>
      <c r="W397" s="288"/>
      <c r="X397" s="858"/>
      <c r="Y397" s="288"/>
      <c r="Z397" s="288"/>
      <c r="AA397" s="288"/>
      <c r="AB397" s="288"/>
      <c r="AC397" s="288"/>
      <c r="AD397" s="288"/>
      <c r="AE397" s="288"/>
      <c r="AF397" s="288"/>
      <c r="AG397" s="288"/>
      <c r="AH397" s="288"/>
      <c r="AI397" s="288"/>
      <c r="AJ397" s="288"/>
      <c r="AK397" s="288"/>
      <c r="AL397" s="288"/>
      <c r="AM397" s="288"/>
      <c r="AN397" s="288"/>
      <c r="AO397" s="288"/>
    </row>
    <row r="398" spans="2:41" s="58" customFormat="1">
      <c r="B398" s="287"/>
      <c r="C398" s="287"/>
      <c r="D398" s="287"/>
      <c r="G398" s="288"/>
      <c r="H398" s="87"/>
      <c r="I398" s="87"/>
      <c r="J398" s="87"/>
      <c r="K398" s="288"/>
      <c r="L398" s="288"/>
      <c r="M398" s="288"/>
      <c r="N398" s="288"/>
      <c r="O398" s="288"/>
      <c r="P398" s="288"/>
      <c r="Q398" s="288"/>
      <c r="R398" s="288"/>
      <c r="S398" s="288"/>
      <c r="T398" s="288"/>
      <c r="U398" s="288"/>
      <c r="V398" s="288"/>
      <c r="W398" s="288"/>
      <c r="X398" s="858"/>
      <c r="Y398" s="288"/>
      <c r="Z398" s="288"/>
      <c r="AA398" s="288"/>
      <c r="AB398" s="288"/>
      <c r="AC398" s="288"/>
      <c r="AD398" s="288"/>
      <c r="AE398" s="288"/>
      <c r="AF398" s="288"/>
      <c r="AG398" s="288"/>
      <c r="AH398" s="288"/>
      <c r="AI398" s="288"/>
      <c r="AJ398" s="288"/>
      <c r="AK398" s="288"/>
      <c r="AL398" s="288"/>
      <c r="AM398" s="288"/>
      <c r="AN398" s="288"/>
      <c r="AO398" s="288"/>
    </row>
    <row r="399" spans="2:41" s="58" customFormat="1">
      <c r="B399" s="287"/>
      <c r="C399" s="287"/>
      <c r="D399" s="287"/>
      <c r="G399" s="288"/>
      <c r="H399" s="87"/>
      <c r="I399" s="87"/>
      <c r="J399" s="87"/>
      <c r="K399" s="288"/>
      <c r="L399" s="288"/>
      <c r="M399" s="288"/>
      <c r="N399" s="288"/>
      <c r="O399" s="288"/>
      <c r="P399" s="288"/>
      <c r="Q399" s="288"/>
      <c r="R399" s="288"/>
      <c r="S399" s="288"/>
      <c r="T399" s="288"/>
      <c r="U399" s="288"/>
      <c r="V399" s="288"/>
      <c r="W399" s="288"/>
      <c r="X399" s="858"/>
      <c r="Y399" s="288"/>
      <c r="Z399" s="288"/>
      <c r="AA399" s="288"/>
      <c r="AB399" s="288"/>
      <c r="AC399" s="288"/>
      <c r="AD399" s="288"/>
      <c r="AE399" s="288"/>
      <c r="AF399" s="288"/>
      <c r="AG399" s="288"/>
      <c r="AH399" s="288"/>
      <c r="AI399" s="288"/>
      <c r="AJ399" s="288"/>
      <c r="AK399" s="288"/>
      <c r="AL399" s="288"/>
      <c r="AM399" s="288"/>
      <c r="AN399" s="288"/>
      <c r="AO399" s="288"/>
    </row>
    <row r="400" spans="2:41" s="58" customFormat="1">
      <c r="B400" s="287"/>
      <c r="C400" s="287"/>
      <c r="D400" s="287"/>
      <c r="G400" s="288"/>
      <c r="H400" s="87"/>
      <c r="I400" s="87"/>
      <c r="J400" s="87"/>
      <c r="K400" s="288"/>
      <c r="L400" s="288"/>
      <c r="M400" s="288"/>
      <c r="N400" s="288"/>
      <c r="O400" s="288"/>
      <c r="P400" s="288"/>
      <c r="Q400" s="288"/>
      <c r="R400" s="288"/>
      <c r="S400" s="288"/>
      <c r="T400" s="288"/>
      <c r="U400" s="288"/>
      <c r="V400" s="288"/>
      <c r="W400" s="288"/>
      <c r="X400" s="858"/>
      <c r="Y400" s="288"/>
      <c r="Z400" s="288"/>
      <c r="AA400" s="288"/>
      <c r="AB400" s="288"/>
      <c r="AC400" s="288"/>
      <c r="AD400" s="288"/>
      <c r="AE400" s="288"/>
      <c r="AF400" s="288"/>
      <c r="AG400" s="288"/>
      <c r="AH400" s="288"/>
      <c r="AI400" s="288"/>
      <c r="AJ400" s="288"/>
      <c r="AK400" s="288"/>
      <c r="AL400" s="288"/>
      <c r="AM400" s="288"/>
      <c r="AN400" s="288"/>
      <c r="AO400" s="288"/>
    </row>
    <row r="401" spans="2:41" s="58" customFormat="1">
      <c r="B401" s="287"/>
      <c r="C401" s="287"/>
      <c r="D401" s="287"/>
      <c r="G401" s="288"/>
      <c r="H401" s="87"/>
      <c r="I401" s="87"/>
      <c r="J401" s="87"/>
      <c r="K401" s="288"/>
      <c r="L401" s="288"/>
      <c r="M401" s="288"/>
      <c r="N401" s="288"/>
      <c r="O401" s="288"/>
      <c r="P401" s="288"/>
      <c r="Q401" s="288"/>
      <c r="R401" s="288"/>
      <c r="S401" s="288"/>
      <c r="T401" s="288"/>
      <c r="U401" s="288"/>
      <c r="V401" s="288"/>
      <c r="W401" s="288"/>
      <c r="X401" s="858"/>
      <c r="Y401" s="288"/>
      <c r="Z401" s="288"/>
      <c r="AA401" s="288"/>
      <c r="AB401" s="288"/>
      <c r="AC401" s="288"/>
      <c r="AD401" s="288"/>
      <c r="AE401" s="288"/>
      <c r="AF401" s="288"/>
      <c r="AG401" s="288"/>
      <c r="AH401" s="288"/>
      <c r="AI401" s="288"/>
      <c r="AJ401" s="288"/>
      <c r="AK401" s="288"/>
      <c r="AL401" s="288"/>
      <c r="AM401" s="288"/>
      <c r="AN401" s="288"/>
      <c r="AO401" s="288"/>
    </row>
    <row r="402" spans="2:41">
      <c r="B402" s="287"/>
      <c r="C402" s="287"/>
      <c r="D402" s="287"/>
      <c r="E402" s="58"/>
      <c r="F402" s="58"/>
      <c r="G402" s="288"/>
      <c r="H402" s="87"/>
      <c r="I402" s="87"/>
      <c r="J402" s="87"/>
      <c r="K402" s="288"/>
      <c r="L402" s="288"/>
      <c r="M402" s="288"/>
      <c r="N402" s="288"/>
      <c r="O402" s="288"/>
      <c r="P402" s="288"/>
      <c r="Q402" s="288"/>
      <c r="R402" s="288"/>
      <c r="S402" s="288"/>
      <c r="T402" s="288"/>
      <c r="U402" s="288"/>
      <c r="V402" s="288"/>
      <c r="W402" s="288"/>
      <c r="X402" s="858"/>
      <c r="Y402" s="288"/>
      <c r="Z402" s="288"/>
      <c r="AA402" s="288"/>
      <c r="AB402" s="288"/>
      <c r="AC402" s="288"/>
      <c r="AD402" s="288"/>
      <c r="AE402" s="288"/>
      <c r="AF402" s="288"/>
      <c r="AG402" s="288"/>
      <c r="AH402" s="288"/>
      <c r="AI402" s="288"/>
      <c r="AJ402" s="288"/>
      <c r="AK402" s="288"/>
      <c r="AL402" s="288"/>
      <c r="AM402" s="288"/>
      <c r="AN402" s="288"/>
      <c r="AO402" s="288"/>
    </row>
    <row r="403" spans="2:41">
      <c r="B403" s="287"/>
      <c r="C403" s="287"/>
      <c r="D403" s="287"/>
      <c r="E403" s="58"/>
      <c r="F403" s="58"/>
      <c r="G403" s="288"/>
      <c r="H403" s="87"/>
      <c r="I403" s="87"/>
      <c r="J403" s="87"/>
      <c r="K403" s="288"/>
      <c r="L403" s="288"/>
      <c r="M403" s="288"/>
      <c r="N403" s="288"/>
      <c r="O403" s="288"/>
      <c r="P403" s="288"/>
      <c r="Q403" s="288"/>
      <c r="R403" s="288"/>
      <c r="S403" s="288"/>
      <c r="T403" s="288"/>
      <c r="U403" s="288"/>
      <c r="V403" s="288"/>
      <c r="W403" s="288"/>
      <c r="X403" s="858"/>
      <c r="Y403" s="288"/>
      <c r="Z403" s="288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  <c r="AM403" s="288"/>
      <c r="AN403" s="288"/>
      <c r="AO403" s="288"/>
    </row>
    <row r="404" spans="2:41">
      <c r="B404" s="287"/>
      <c r="C404" s="287"/>
      <c r="D404" s="287"/>
      <c r="E404" s="58"/>
      <c r="F404" s="58"/>
      <c r="G404" s="288"/>
      <c r="H404" s="87"/>
      <c r="I404" s="87"/>
      <c r="J404" s="87"/>
      <c r="K404" s="288"/>
      <c r="L404" s="288"/>
      <c r="M404" s="288"/>
      <c r="N404" s="288"/>
      <c r="O404" s="288"/>
      <c r="P404" s="288"/>
      <c r="Q404" s="288"/>
      <c r="R404" s="288"/>
      <c r="S404" s="288"/>
      <c r="T404" s="288"/>
      <c r="U404" s="288"/>
      <c r="V404" s="288"/>
      <c r="W404" s="288"/>
      <c r="X404" s="858"/>
      <c r="Y404" s="288"/>
      <c r="Z404" s="288"/>
      <c r="AA404" s="288"/>
      <c r="AB404" s="288"/>
      <c r="AC404" s="288"/>
      <c r="AD404" s="288"/>
      <c r="AE404" s="288"/>
      <c r="AF404" s="288"/>
      <c r="AG404" s="288"/>
      <c r="AH404" s="288"/>
      <c r="AI404" s="288"/>
      <c r="AJ404" s="288"/>
      <c r="AK404" s="288"/>
      <c r="AL404" s="288"/>
      <c r="AM404" s="288"/>
      <c r="AN404" s="288"/>
      <c r="AO404" s="288"/>
    </row>
    <row r="405" spans="2:41">
      <c r="B405" s="287"/>
      <c r="C405" s="287"/>
      <c r="D405" s="287"/>
      <c r="E405" s="58"/>
      <c r="F405" s="58"/>
      <c r="G405" s="288"/>
      <c r="H405" s="87"/>
      <c r="I405" s="87"/>
      <c r="J405" s="87"/>
      <c r="K405" s="288"/>
      <c r="L405" s="288"/>
      <c r="M405" s="288"/>
      <c r="N405" s="288"/>
      <c r="O405" s="288"/>
      <c r="P405" s="288"/>
      <c r="Q405" s="288"/>
      <c r="R405" s="288"/>
      <c r="S405" s="288"/>
      <c r="T405" s="288"/>
      <c r="U405" s="288"/>
      <c r="V405" s="288"/>
      <c r="W405" s="288"/>
      <c r="X405" s="858"/>
      <c r="Y405" s="288"/>
      <c r="Z405" s="288"/>
      <c r="AA405" s="288"/>
      <c r="AB405" s="288"/>
      <c r="AC405" s="288"/>
      <c r="AD405" s="288"/>
      <c r="AE405" s="288"/>
      <c r="AF405" s="288"/>
      <c r="AG405" s="288"/>
      <c r="AH405" s="288"/>
      <c r="AI405" s="288"/>
      <c r="AJ405" s="288"/>
      <c r="AK405" s="288"/>
      <c r="AL405" s="288"/>
      <c r="AM405" s="288"/>
      <c r="AN405" s="288"/>
      <c r="AO405" s="288"/>
    </row>
    <row r="406" spans="2:41">
      <c r="B406" s="287"/>
      <c r="C406" s="287"/>
      <c r="D406" s="287"/>
      <c r="E406" s="58"/>
      <c r="F406" s="58"/>
      <c r="G406" s="288"/>
      <c r="H406" s="87"/>
      <c r="I406" s="87"/>
      <c r="J406" s="87"/>
      <c r="K406" s="288"/>
      <c r="L406" s="288"/>
      <c r="M406" s="288"/>
      <c r="N406" s="288"/>
      <c r="O406" s="288"/>
      <c r="P406" s="288"/>
      <c r="Q406" s="288"/>
      <c r="R406" s="288"/>
      <c r="S406" s="288"/>
      <c r="T406" s="288"/>
      <c r="U406" s="288"/>
      <c r="V406" s="288"/>
      <c r="W406" s="288"/>
      <c r="X406" s="858"/>
      <c r="Y406" s="288"/>
      <c r="Z406" s="288"/>
      <c r="AA406" s="288"/>
      <c r="AB406" s="288"/>
      <c r="AC406" s="288"/>
      <c r="AD406" s="288"/>
      <c r="AE406" s="288"/>
      <c r="AF406" s="288"/>
      <c r="AG406" s="288"/>
      <c r="AH406" s="288"/>
      <c r="AI406" s="288"/>
      <c r="AJ406" s="288"/>
      <c r="AK406" s="288"/>
      <c r="AL406" s="288"/>
      <c r="AM406" s="288"/>
      <c r="AN406" s="288"/>
      <c r="AO406" s="288"/>
    </row>
    <row r="407" spans="2:41">
      <c r="B407" s="287"/>
      <c r="C407" s="287"/>
      <c r="D407" s="287"/>
      <c r="E407" s="58"/>
      <c r="F407" s="58"/>
      <c r="G407" s="288"/>
      <c r="H407" s="87"/>
      <c r="I407" s="87"/>
      <c r="J407" s="87"/>
      <c r="K407" s="288"/>
      <c r="L407" s="288"/>
      <c r="M407" s="288"/>
      <c r="N407" s="288"/>
      <c r="O407" s="288"/>
      <c r="P407" s="288"/>
      <c r="Q407" s="288"/>
      <c r="R407" s="288"/>
      <c r="S407" s="288"/>
      <c r="T407" s="288"/>
      <c r="U407" s="288"/>
      <c r="V407" s="288"/>
      <c r="W407" s="288"/>
      <c r="X407" s="858"/>
      <c r="Y407" s="288"/>
      <c r="Z407" s="288"/>
      <c r="AA407" s="288"/>
      <c r="AB407" s="288"/>
      <c r="AC407" s="288"/>
      <c r="AD407" s="288"/>
      <c r="AE407" s="288"/>
      <c r="AF407" s="288"/>
      <c r="AG407" s="288"/>
      <c r="AH407" s="288"/>
      <c r="AI407" s="288"/>
      <c r="AJ407" s="288"/>
      <c r="AK407" s="288"/>
      <c r="AL407" s="288"/>
      <c r="AM407" s="288"/>
      <c r="AN407" s="288"/>
      <c r="AO407" s="288"/>
    </row>
    <row r="408" spans="2:41">
      <c r="B408" s="287"/>
      <c r="C408" s="287"/>
      <c r="D408" s="287"/>
      <c r="E408" s="58"/>
      <c r="F408" s="58"/>
      <c r="G408" s="288"/>
      <c r="H408" s="87"/>
      <c r="I408" s="87"/>
      <c r="J408" s="87"/>
      <c r="K408" s="288"/>
      <c r="L408" s="288"/>
      <c r="M408" s="288"/>
      <c r="N408" s="288"/>
      <c r="O408" s="288"/>
      <c r="P408" s="288"/>
      <c r="Q408" s="288"/>
      <c r="R408" s="288"/>
      <c r="S408" s="288"/>
      <c r="T408" s="288"/>
      <c r="U408" s="288"/>
      <c r="V408" s="288"/>
      <c r="W408" s="288"/>
      <c r="X408" s="858"/>
      <c r="Y408" s="288"/>
      <c r="Z408" s="288"/>
      <c r="AA408" s="288"/>
      <c r="AB408" s="288"/>
      <c r="AC408" s="288"/>
      <c r="AD408" s="288"/>
      <c r="AE408" s="288"/>
      <c r="AF408" s="288"/>
      <c r="AG408" s="288"/>
      <c r="AH408" s="288"/>
      <c r="AI408" s="288"/>
      <c r="AJ408" s="288"/>
      <c r="AK408" s="288"/>
      <c r="AL408" s="288"/>
      <c r="AM408" s="288"/>
      <c r="AN408" s="288"/>
      <c r="AO408" s="288"/>
    </row>
    <row r="409" spans="2:41">
      <c r="B409" s="287"/>
      <c r="C409" s="287"/>
      <c r="D409" s="287"/>
      <c r="E409" s="58"/>
      <c r="F409" s="58"/>
      <c r="G409" s="288"/>
      <c r="H409" s="87"/>
      <c r="I409" s="87"/>
      <c r="J409" s="87"/>
      <c r="K409" s="288"/>
      <c r="L409" s="288"/>
      <c r="M409" s="288"/>
      <c r="N409" s="288"/>
      <c r="O409" s="288"/>
      <c r="P409" s="288"/>
      <c r="Q409" s="288"/>
      <c r="R409" s="288"/>
      <c r="S409" s="288"/>
      <c r="T409" s="288"/>
      <c r="U409" s="288"/>
      <c r="V409" s="288"/>
      <c r="W409" s="288"/>
      <c r="X409" s="858"/>
      <c r="Y409" s="288"/>
      <c r="Z409" s="288"/>
      <c r="AA409" s="288"/>
      <c r="AB409" s="288"/>
      <c r="AC409" s="288"/>
      <c r="AD409" s="288"/>
      <c r="AE409" s="288"/>
      <c r="AF409" s="288"/>
      <c r="AG409" s="288"/>
      <c r="AH409" s="288"/>
      <c r="AI409" s="288"/>
      <c r="AJ409" s="288"/>
      <c r="AK409" s="288"/>
      <c r="AL409" s="288"/>
      <c r="AM409" s="288"/>
      <c r="AN409" s="288"/>
      <c r="AO409" s="288"/>
    </row>
  </sheetData>
  <sheetProtection algorithmName="SHA-512" hashValue="QkBgj/GCVogeVSiKOLXTYAaCYKlj84LeGJc4FG2Gap4AwudzmjBr/0I0u8e5CR4U2LLX+Om090oSJjCZko/RRg==" saltValue="eWY7NVBulmvavM2bDytUCw==" spinCount="100000" sheet="1" selectLockedCells="1" sort="0" autoFilter="0" selectUnlockedCells="1"/>
  <autoFilter ref="A4:A221" xr:uid="{00000000-0009-0000-0000-000005000000}"/>
  <sortState xmlns:xlrd2="http://schemas.microsoft.com/office/spreadsheetml/2017/richdata2" ref="E5:BQ90">
    <sortCondition ref="F5:F90"/>
  </sortState>
  <mergeCells count="13">
    <mergeCell ref="C2:G2"/>
    <mergeCell ref="C3:G3"/>
    <mergeCell ref="Q2:AE2"/>
    <mergeCell ref="AF2:AO2"/>
    <mergeCell ref="AF3:AG3"/>
    <mergeCell ref="AH3:AI3"/>
    <mergeCell ref="AK3:AO3"/>
    <mergeCell ref="Q3:U3"/>
    <mergeCell ref="AA3:AC3"/>
    <mergeCell ref="AD3:AE3"/>
    <mergeCell ref="V3:W3"/>
    <mergeCell ref="N3:O3"/>
    <mergeCell ref="M2:P2"/>
  </mergeCells>
  <phoneticPr fontId="33" type="noConversion"/>
  <conditionalFormatting sqref="F4:F244 F246:F298 F300:F1048576">
    <cfRule type="duplicateValues" dxfId="424" priority="1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29" fitToHeight="0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N187"/>
  <sheetViews>
    <sheetView workbookViewId="0">
      <pane ySplit="4" topLeftCell="A155" activePane="bottomLeft" state="frozen"/>
      <selection activeCell="D4" sqref="D4"/>
      <selection pane="bottomLeft" sqref="A1:B1048576"/>
    </sheetView>
  </sheetViews>
  <sheetFormatPr defaultColWidth="8.81640625" defaultRowHeight="14.5" outlineLevelRow="1" outlineLevelCol="1"/>
  <cols>
    <col min="1" max="1" width="10.453125" style="81" hidden="1" customWidth="1" outlineLevel="1"/>
    <col min="2" max="2" width="12.26953125" style="81" hidden="1" customWidth="1" outlineLevel="1"/>
    <col min="3" max="3" width="17.26953125" style="81" hidden="1" customWidth="1"/>
    <col min="4" max="4" width="5.7265625" style="81" customWidth="1"/>
    <col min="5" max="5" width="9" style="73" customWidth="1"/>
    <col min="6" max="6" width="31.81640625" style="81" customWidth="1"/>
    <col min="7" max="7" width="7.7265625" style="73" customWidth="1"/>
    <col min="8" max="8" width="10.453125" style="81" hidden="1" customWidth="1"/>
    <col min="9" max="10" width="10" style="81" customWidth="1"/>
    <col min="11" max="11" width="12.7265625" style="81" customWidth="1" outlineLevel="1"/>
    <col min="12" max="40" width="8.7265625" style="81" customWidth="1" outlineLevel="1"/>
    <col min="41" max="16384" width="8.81640625" style="81"/>
  </cols>
  <sheetData>
    <row r="1" spans="1:40" ht="126" customHeight="1" thickBot="1">
      <c r="A1" s="262"/>
      <c r="B1" s="263"/>
      <c r="C1" s="238"/>
      <c r="D1" s="238"/>
      <c r="E1" s="238"/>
      <c r="F1" s="238"/>
      <c r="G1" s="238"/>
      <c r="H1" s="238"/>
      <c r="I1" s="238"/>
      <c r="J1" s="238"/>
      <c r="K1" s="238"/>
    </row>
    <row r="2" spans="1:40" ht="25" thickBot="1">
      <c r="A2" s="82" t="s">
        <v>4722</v>
      </c>
      <c r="B2" s="82"/>
      <c r="C2" s="1157">
        <f>Tournaments!F3</f>
        <v>46113</v>
      </c>
      <c r="D2" s="1158"/>
      <c r="E2" s="1158"/>
      <c r="F2" s="1158"/>
      <c r="G2" s="1159"/>
      <c r="H2" s="260"/>
      <c r="I2" s="929"/>
      <c r="J2" s="930"/>
      <c r="K2" s="926"/>
      <c r="L2" s="925"/>
      <c r="M2" s="1182">
        <v>2026</v>
      </c>
      <c r="N2" s="1183"/>
      <c r="O2" s="1183"/>
      <c r="P2" s="1184"/>
      <c r="Q2" s="1182">
        <v>2025</v>
      </c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3"/>
      <c r="AD2" s="1184"/>
      <c r="AE2" s="1182">
        <v>2024</v>
      </c>
      <c r="AF2" s="1183"/>
      <c r="AG2" s="1183"/>
      <c r="AH2" s="1183"/>
      <c r="AI2" s="1183"/>
      <c r="AJ2" s="1183"/>
      <c r="AK2" s="1183"/>
      <c r="AL2" s="1183"/>
      <c r="AM2" s="1183"/>
      <c r="AN2" s="1184"/>
    </row>
    <row r="3" spans="1:40" ht="25" thickBot="1">
      <c r="A3" s="70" t="s">
        <v>4722</v>
      </c>
      <c r="B3" s="70"/>
      <c r="C3" s="1175" t="s">
        <v>4939</v>
      </c>
      <c r="D3" s="1176"/>
      <c r="E3" s="1176"/>
      <c r="F3" s="1176"/>
      <c r="G3" s="1177"/>
      <c r="H3" s="227"/>
      <c r="I3" s="933"/>
      <c r="J3" s="934"/>
      <c r="K3" s="927"/>
      <c r="L3" s="928"/>
      <c r="M3" s="980" t="s">
        <v>3453</v>
      </c>
      <c r="N3" s="1197" t="s">
        <v>2406</v>
      </c>
      <c r="O3" s="1198"/>
      <c r="P3" s="984" t="s">
        <v>1914</v>
      </c>
      <c r="Q3" s="1182" t="s">
        <v>2406</v>
      </c>
      <c r="R3" s="1183"/>
      <c r="S3" s="1183"/>
      <c r="T3" s="1183"/>
      <c r="U3" s="1184"/>
      <c r="V3" s="1182" t="s">
        <v>3453</v>
      </c>
      <c r="W3" s="1183"/>
      <c r="X3" s="1184"/>
      <c r="Y3" s="788" t="s">
        <v>248</v>
      </c>
      <c r="Z3" s="602" t="s">
        <v>3452</v>
      </c>
      <c r="AA3" s="1182" t="s">
        <v>251</v>
      </c>
      <c r="AB3" s="1184"/>
      <c r="AC3" s="1182" t="s">
        <v>1914</v>
      </c>
      <c r="AD3" s="1184"/>
      <c r="AE3" s="244" t="s">
        <v>2406</v>
      </c>
      <c r="AF3" s="245"/>
      <c r="AG3" s="1185" t="s">
        <v>1914</v>
      </c>
      <c r="AH3" s="1186"/>
      <c r="AI3" s="228" t="s">
        <v>3452</v>
      </c>
      <c r="AJ3" s="1185" t="s">
        <v>3453</v>
      </c>
      <c r="AK3" s="1187"/>
      <c r="AL3" s="1187"/>
      <c r="AM3" s="1187"/>
      <c r="AN3" s="1186"/>
    </row>
    <row r="4" spans="1:40" ht="87.5" outlineLevel="1" thickBot="1">
      <c r="A4" s="235" t="s">
        <v>3279</v>
      </c>
      <c r="B4" s="283" t="s">
        <v>3751</v>
      </c>
      <c r="C4" s="235" t="s">
        <v>3874</v>
      </c>
      <c r="D4" s="235" t="s">
        <v>80</v>
      </c>
      <c r="E4" s="235" t="s">
        <v>113</v>
      </c>
      <c r="F4" s="236" t="s">
        <v>3076</v>
      </c>
      <c r="G4" s="237" t="s">
        <v>3455</v>
      </c>
      <c r="H4" s="119" t="s">
        <v>4238</v>
      </c>
      <c r="I4" s="983" t="s">
        <v>4930</v>
      </c>
      <c r="J4" s="983" t="s">
        <v>6139</v>
      </c>
      <c r="K4" s="983" t="s">
        <v>219</v>
      </c>
      <c r="L4" s="983" t="s">
        <v>220</v>
      </c>
      <c r="M4" s="1008" t="s">
        <v>6209</v>
      </c>
      <c r="N4" s="179" t="s">
        <v>6155</v>
      </c>
      <c r="O4" s="179" t="s">
        <v>6157</v>
      </c>
      <c r="P4" s="179" t="s">
        <v>6145</v>
      </c>
      <c r="Q4" s="179" t="s">
        <v>6143</v>
      </c>
      <c r="R4" s="179" t="s">
        <v>5252</v>
      </c>
      <c r="S4" s="179" t="s">
        <v>5655</v>
      </c>
      <c r="T4" s="179" t="s">
        <v>5697</v>
      </c>
      <c r="U4" s="179" t="s">
        <v>5015</v>
      </c>
      <c r="V4" s="179" t="s">
        <v>5788</v>
      </c>
      <c r="W4" s="179" t="s">
        <v>5787</v>
      </c>
      <c r="X4" s="179" t="s">
        <v>5425</v>
      </c>
      <c r="Y4" s="179" t="s">
        <v>6127</v>
      </c>
      <c r="Z4" s="179" t="s">
        <v>6057</v>
      </c>
      <c r="AA4" s="179" t="s">
        <v>5643</v>
      </c>
      <c r="AB4" s="179" t="s">
        <v>5395</v>
      </c>
      <c r="AC4" s="179" t="s">
        <v>5614</v>
      </c>
      <c r="AD4" s="179" t="s">
        <v>6144</v>
      </c>
      <c r="AE4" s="179" t="s">
        <v>4935</v>
      </c>
      <c r="AF4" s="179" t="s">
        <v>4397</v>
      </c>
      <c r="AG4" s="179" t="s">
        <v>4327</v>
      </c>
      <c r="AH4" s="179" t="s">
        <v>4329</v>
      </c>
      <c r="AI4" s="235" t="s">
        <v>4845</v>
      </c>
      <c r="AJ4" s="179" t="s">
        <v>4509</v>
      </c>
      <c r="AK4" s="179" t="s">
        <v>4842</v>
      </c>
      <c r="AL4" s="179" t="s">
        <v>4721</v>
      </c>
      <c r="AM4" s="179" t="s">
        <v>4326</v>
      </c>
      <c r="AN4" s="179" t="s">
        <v>4328</v>
      </c>
    </row>
    <row r="5" spans="1:40" s="83" customFormat="1" ht="15.5">
      <c r="A5" s="63">
        <f>IFERROR(VLOOKUP(Table5[[#This Row],[Player No]],Table11[[#All],[No]:[Age Group]],4,0),"")</f>
        <v>0</v>
      </c>
      <c r="B5" s="61">
        <v>1</v>
      </c>
      <c r="C5" s="77">
        <f t="shared" ref="C5:C14" si="0">+B5-D5</f>
        <v>0</v>
      </c>
      <c r="D5" s="63">
        <v>1</v>
      </c>
      <c r="E5" s="63">
        <v>7459</v>
      </c>
      <c r="F5" s="64" t="str">
        <f>IFERROR(VLOOKUP(Table5[[#This Row],[Player No]],Table11[[#All],[No]:[Province]],2,0),"")</f>
        <v>PILLAY Karen</v>
      </c>
      <c r="G5" s="65" t="str">
        <f>IFERROR(VLOOKUP(Table5[[#This Row],[Player No]],Table11[[#All],[No]:[Province]],3,0),"")</f>
        <v>UMG</v>
      </c>
      <c r="H5" s="66">
        <v>596.375</v>
      </c>
      <c r="I5" s="96">
        <v>798.1875</v>
      </c>
      <c r="J5" s="789">
        <f>Table5[[#This Row],[Points 2025]]/2+SUM(Table5[[#This Row],[O1  ADMIN 2026]:[P2           WC         CT Open 2026]])</f>
        <v>509.09375</v>
      </c>
      <c r="K5" s="63">
        <f t="shared" ref="K5:K36" si="1">COUNTIF(M5:P5,"&gt;0")</f>
        <v>3</v>
      </c>
      <c r="L5" s="63">
        <f t="shared" ref="L5:L36" si="2">COUNTIF(N5:AN5,"&lt;0")</f>
        <v>0</v>
      </c>
      <c r="M5" s="708">
        <v>50</v>
      </c>
      <c r="N5" s="708">
        <v>25</v>
      </c>
      <c r="O5" s="708">
        <v>35</v>
      </c>
      <c r="P5" s="708"/>
      <c r="Q5" s="63">
        <v>100</v>
      </c>
      <c r="R5" s="63">
        <v>50</v>
      </c>
      <c r="S5" s="114">
        <v>25</v>
      </c>
      <c r="T5" s="114"/>
      <c r="U5" s="63">
        <v>50</v>
      </c>
      <c r="V5" s="63">
        <v>100</v>
      </c>
      <c r="W5" s="114">
        <v>50</v>
      </c>
      <c r="X5" s="63"/>
      <c r="Y5" s="708"/>
      <c r="Z5" s="114">
        <v>125</v>
      </c>
      <c r="AA5" s="114"/>
      <c r="AB5" s="63"/>
      <c r="AC5" s="114"/>
      <c r="AD5" s="63"/>
      <c r="AE5" s="63">
        <v>150</v>
      </c>
      <c r="AF5" s="63">
        <v>25</v>
      </c>
      <c r="AG5" s="63"/>
      <c r="AH5" s="63"/>
      <c r="AI5" s="63">
        <v>175</v>
      </c>
      <c r="AJ5" s="63"/>
      <c r="AK5" s="63"/>
      <c r="AL5" s="63">
        <f>75-75</f>
        <v>0</v>
      </c>
      <c r="AM5" s="63">
        <v>50</v>
      </c>
      <c r="AN5" s="63"/>
    </row>
    <row r="6" spans="1:40" s="83" customFormat="1" ht="15.5">
      <c r="A6" s="63" t="str">
        <f>IFERROR(VLOOKUP(Table5[[#This Row],[Player No]],Table11[[#All],[No]:[Age Group]],4,0),"")</f>
        <v>U19</v>
      </c>
      <c r="B6" s="61">
        <v>4</v>
      </c>
      <c r="C6" s="77">
        <f t="shared" si="0"/>
        <v>2</v>
      </c>
      <c r="D6" s="63">
        <f>+D5+1</f>
        <v>2</v>
      </c>
      <c r="E6" s="63">
        <v>7781</v>
      </c>
      <c r="F6" s="64" t="str">
        <f>IFERROR(VLOOKUP(Table5[[#This Row],[Player No]],Table11[[#All],[No]:[Province]],2,0),"")</f>
        <v>SCHOLTZ Juane</v>
      </c>
      <c r="G6" s="65" t="str">
        <f>IFERROR(VLOOKUP(Table5[[#This Row],[Player No]],Table11[[#All],[No]:[Province]],3,0),"")</f>
        <v>GN</v>
      </c>
      <c r="H6" s="66">
        <v>356.390625</v>
      </c>
      <c r="I6" s="96">
        <v>663.1953125</v>
      </c>
      <c r="J6" s="789">
        <f>Table5[[#This Row],[Points 2025]]/2+SUM(Table5[[#This Row],[O1  ADMIN 2026]:[P2           WC         CT Open 2026]])</f>
        <v>356.59765625</v>
      </c>
      <c r="K6" s="63">
        <f t="shared" si="1"/>
        <v>1</v>
      </c>
      <c r="L6" s="63">
        <f t="shared" si="2"/>
        <v>0</v>
      </c>
      <c r="M6" s="708">
        <v>25</v>
      </c>
      <c r="N6" s="708" t="s">
        <v>6083</v>
      </c>
      <c r="O6" s="708" t="s">
        <v>6083</v>
      </c>
      <c r="P6" s="708"/>
      <c r="Q6" s="63">
        <v>50</v>
      </c>
      <c r="R6" s="63"/>
      <c r="S6" s="114"/>
      <c r="T6" s="114"/>
      <c r="U6" s="63"/>
      <c r="V6" s="63">
        <v>50</v>
      </c>
      <c r="W6" s="114">
        <v>35</v>
      </c>
      <c r="X6" s="63">
        <v>50</v>
      </c>
      <c r="Y6" s="708">
        <v>75</v>
      </c>
      <c r="Z6" s="114">
        <v>75</v>
      </c>
      <c r="AA6" s="114">
        <v>50</v>
      </c>
      <c r="AB6" s="63"/>
      <c r="AC6" s="114"/>
      <c r="AD6" s="63">
        <v>100</v>
      </c>
      <c r="AE6" s="63">
        <v>75</v>
      </c>
      <c r="AF6" s="63">
        <v>50</v>
      </c>
      <c r="AG6" s="63"/>
      <c r="AH6" s="63"/>
      <c r="AI6" s="63">
        <v>50</v>
      </c>
      <c r="AJ6" s="63"/>
      <c r="AK6" s="63">
        <v>50</v>
      </c>
      <c r="AL6" s="63">
        <f>25-25</f>
        <v>0</v>
      </c>
      <c r="AM6" s="63">
        <v>25</v>
      </c>
      <c r="AN6" s="63"/>
    </row>
    <row r="7" spans="1:40" s="83" customFormat="1" ht="15.5">
      <c r="A7" s="63">
        <f>IFERROR(VLOOKUP(Table5[[#This Row],[Player No]],Table11[[#All],[No]:[Age Group]],4,0),"")</f>
        <v>0</v>
      </c>
      <c r="B7" s="61">
        <v>18</v>
      </c>
      <c r="C7" s="77">
        <f t="shared" si="0"/>
        <v>15</v>
      </c>
      <c r="D7" s="63">
        <f t="shared" ref="D7:D70" si="3">+D6+1</f>
        <v>3</v>
      </c>
      <c r="E7" s="63">
        <v>8063</v>
      </c>
      <c r="F7" s="64" t="str">
        <f>IFERROR(VLOOKUP(Table5[[#This Row],[Player No]],Table11[[#All],[No]:[Province]],2,0),"")</f>
        <v>TOTARAM Kritika</v>
      </c>
      <c r="G7" s="65" t="str">
        <f>IFERROR(VLOOKUP(Table5[[#This Row],[Player No]],Table11[[#All],[No]:[Province]],3,0),"")</f>
        <v>UMG</v>
      </c>
      <c r="H7" s="66">
        <v>115</v>
      </c>
      <c r="I7" s="96">
        <v>422.5</v>
      </c>
      <c r="J7" s="789">
        <f>Table5[[#This Row],[Points 2025]]/2+SUM(Table5[[#This Row],[O1  ADMIN 2026]:[P2           WC         CT Open 2026]])</f>
        <v>311.25</v>
      </c>
      <c r="K7" s="63">
        <f t="shared" si="1"/>
        <v>2</v>
      </c>
      <c r="L7" s="63">
        <f t="shared" si="2"/>
        <v>0</v>
      </c>
      <c r="M7" s="708" t="s">
        <v>6083</v>
      </c>
      <c r="N7" s="708">
        <v>50</v>
      </c>
      <c r="O7" s="708">
        <v>50</v>
      </c>
      <c r="P7" s="708"/>
      <c r="Q7" s="63">
        <v>150</v>
      </c>
      <c r="R7" s="63">
        <v>15</v>
      </c>
      <c r="S7" s="114">
        <v>35</v>
      </c>
      <c r="T7" s="114"/>
      <c r="U7" s="63">
        <v>15</v>
      </c>
      <c r="V7" s="63">
        <v>75</v>
      </c>
      <c r="W7" s="114"/>
      <c r="X7" s="63"/>
      <c r="Y7" s="708"/>
      <c r="Z7" s="114">
        <v>75</v>
      </c>
      <c r="AA7" s="114"/>
      <c r="AB7" s="63"/>
      <c r="AC7" s="114"/>
      <c r="AD7" s="63"/>
      <c r="AE7" s="63">
        <v>50</v>
      </c>
      <c r="AF7" s="63">
        <v>15</v>
      </c>
      <c r="AG7" s="63"/>
      <c r="AH7" s="63"/>
      <c r="AI7" s="63">
        <v>50</v>
      </c>
      <c r="AJ7" s="63"/>
      <c r="AK7" s="63"/>
      <c r="AL7" s="63"/>
      <c r="AM7" s="63"/>
      <c r="AN7" s="63"/>
    </row>
    <row r="8" spans="1:40" s="83" customFormat="1" ht="15.5">
      <c r="A8" s="63" t="str">
        <f>IFERROR(VLOOKUP(Table5[[#This Row],[Player No]],Table11[[#All],[No]:[Age Group]],4,0),"")</f>
        <v>U19</v>
      </c>
      <c r="B8" s="61">
        <v>3</v>
      </c>
      <c r="C8" s="77">
        <f t="shared" si="0"/>
        <v>-1</v>
      </c>
      <c r="D8" s="63">
        <f t="shared" si="3"/>
        <v>4</v>
      </c>
      <c r="E8" s="63">
        <v>7741</v>
      </c>
      <c r="F8" s="64" t="str">
        <f>IFERROR(VLOOKUP(Table5[[#This Row],[Player No]],Table11[[#All],[No]:[Province]],2,0),"")</f>
        <v>SONDAY Rochica</v>
      </c>
      <c r="G8" s="65" t="str">
        <f>IFERROR(VLOOKUP(Table5[[#This Row],[Player No]],Table11[[#All],[No]:[Province]],3,0),"")</f>
        <v>CT</v>
      </c>
      <c r="H8" s="66">
        <v>671</v>
      </c>
      <c r="I8" s="96">
        <v>585.5</v>
      </c>
      <c r="J8" s="789">
        <f>Table5[[#This Row],[Points 2025]]/2+SUM(Table5[[#This Row],[O1  ADMIN 2026]:[P2           WC         CT Open 2026]])</f>
        <v>292.75</v>
      </c>
      <c r="K8" s="63">
        <f t="shared" si="1"/>
        <v>0</v>
      </c>
      <c r="L8" s="63">
        <f t="shared" si="2"/>
        <v>0</v>
      </c>
      <c r="M8" s="708" t="s">
        <v>6083</v>
      </c>
      <c r="N8" s="708" t="s">
        <v>6083</v>
      </c>
      <c r="O8" s="708" t="s">
        <v>6083</v>
      </c>
      <c r="P8" s="708"/>
      <c r="Q8" s="63"/>
      <c r="R8" s="63"/>
      <c r="S8" s="114"/>
      <c r="T8" s="114"/>
      <c r="U8" s="63"/>
      <c r="V8" s="63"/>
      <c r="W8" s="114"/>
      <c r="X8" s="63"/>
      <c r="Y8" s="708"/>
      <c r="Z8" s="114">
        <v>250</v>
      </c>
      <c r="AA8" s="114"/>
      <c r="AB8" s="63"/>
      <c r="AC8" s="114"/>
      <c r="AD8" s="63"/>
      <c r="AE8" s="63"/>
      <c r="AF8" s="63"/>
      <c r="AG8" s="63"/>
      <c r="AH8" s="63"/>
      <c r="AI8" s="63">
        <v>250</v>
      </c>
      <c r="AJ8" s="63"/>
      <c r="AK8" s="63"/>
      <c r="AL8" s="63">
        <v>150</v>
      </c>
      <c r="AM8" s="63"/>
      <c r="AN8" s="63"/>
    </row>
    <row r="9" spans="1:40" s="83" customFormat="1" ht="15.5">
      <c r="A9" s="63" t="str">
        <f>IFERROR(VLOOKUP(Table5[[#This Row],[Player No]],Table11[[#All],[No]:[Age Group]],4,0),"")</f>
        <v>U19</v>
      </c>
      <c r="B9" s="61">
        <v>2</v>
      </c>
      <c r="C9" s="77">
        <f t="shared" si="0"/>
        <v>-3</v>
      </c>
      <c r="D9" s="63">
        <f t="shared" si="3"/>
        <v>5</v>
      </c>
      <c r="E9" s="63">
        <v>7278</v>
      </c>
      <c r="F9" s="64" t="str">
        <f>IFERROR(VLOOKUP(Table5[[#This Row],[Player No]],Table11[[#All],[No]:[Province]],2,0),"")</f>
        <v xml:space="preserve">HEERALALL Bharvna </v>
      </c>
      <c r="G9" s="65" t="str">
        <f>IFERROR(VLOOKUP(Table5[[#This Row],[Player No]],Table11[[#All],[No]:[Province]],3,0),"")</f>
        <v>ETK</v>
      </c>
      <c r="H9" s="66">
        <v>480.15625</v>
      </c>
      <c r="I9" s="96">
        <v>450.078125</v>
      </c>
      <c r="J9" s="789">
        <f>Table5[[#This Row],[Points 2025]]/2+SUM(Table5[[#This Row],[O1  ADMIN 2026]:[P2           WC         CT Open 2026]])</f>
        <v>240.0390625</v>
      </c>
      <c r="K9" s="63">
        <f t="shared" si="1"/>
        <v>1</v>
      </c>
      <c r="L9" s="63">
        <f t="shared" si="2"/>
        <v>0</v>
      </c>
      <c r="M9" s="708" t="s">
        <v>6083</v>
      </c>
      <c r="N9" s="708">
        <v>15</v>
      </c>
      <c r="O9" s="708" t="s">
        <v>6083</v>
      </c>
      <c r="P9" s="708"/>
      <c r="Q9" s="63">
        <v>50</v>
      </c>
      <c r="R9" s="63">
        <v>35</v>
      </c>
      <c r="S9" s="114">
        <v>50</v>
      </c>
      <c r="T9" s="114"/>
      <c r="U9" s="63"/>
      <c r="V9" s="63"/>
      <c r="W9" s="114"/>
      <c r="X9" s="63"/>
      <c r="Y9" s="708"/>
      <c r="Z9" s="114">
        <v>75</v>
      </c>
      <c r="AA9" s="114"/>
      <c r="AB9" s="63"/>
      <c r="AC9" s="114"/>
      <c r="AD9" s="63"/>
      <c r="AE9" s="63">
        <v>100</v>
      </c>
      <c r="AF9" s="63"/>
      <c r="AG9" s="63"/>
      <c r="AH9" s="63"/>
      <c r="AI9" s="63">
        <v>75</v>
      </c>
      <c r="AJ9" s="63"/>
      <c r="AK9" s="63"/>
      <c r="AL9" s="63">
        <f>100-100</f>
        <v>0</v>
      </c>
      <c r="AM9" s="63">
        <v>100</v>
      </c>
      <c r="AN9" s="63"/>
    </row>
    <row r="10" spans="1:40" s="83" customFormat="1" ht="15.5">
      <c r="A10" s="63">
        <f>IFERROR(VLOOKUP(Table5[[#This Row],[Player No]],Table11[[#All],[No]:[Age Group]],4,0),"")</f>
        <v>0</v>
      </c>
      <c r="B10" s="61">
        <v>6</v>
      </c>
      <c r="C10" s="77">
        <f t="shared" si="0"/>
        <v>0</v>
      </c>
      <c r="D10" s="63">
        <f t="shared" si="3"/>
        <v>6</v>
      </c>
      <c r="E10" s="63">
        <v>7626</v>
      </c>
      <c r="F10" s="64" t="str">
        <f>IFERROR(VLOOKUP(Table5[[#This Row],[Player No]],Table11[[#All],[No]:[Province]],2,0),"")</f>
        <v>TOTARAM Nitara</v>
      </c>
      <c r="G10" s="65" t="str">
        <f>IFERROR(VLOOKUP(Table5[[#This Row],[Player No]],Table11[[#All],[No]:[Province]],3,0),"")</f>
        <v>UMG</v>
      </c>
      <c r="H10" s="66">
        <v>235.625</v>
      </c>
      <c r="I10" s="96">
        <v>392.8125</v>
      </c>
      <c r="J10" s="789">
        <f>Table5[[#This Row],[Points 2025]]/2+SUM(Table5[[#This Row],[O1  ADMIN 2026]:[P2           WC         CT Open 2026]])</f>
        <v>236.40625</v>
      </c>
      <c r="K10" s="63">
        <f t="shared" si="1"/>
        <v>2</v>
      </c>
      <c r="L10" s="63">
        <f t="shared" si="2"/>
        <v>0</v>
      </c>
      <c r="M10" s="708" t="s">
        <v>6083</v>
      </c>
      <c r="N10" s="708">
        <v>15</v>
      </c>
      <c r="O10" s="708">
        <v>25</v>
      </c>
      <c r="P10" s="708"/>
      <c r="Q10" s="63">
        <v>75</v>
      </c>
      <c r="R10" s="63">
        <v>25</v>
      </c>
      <c r="S10" s="114">
        <v>25</v>
      </c>
      <c r="T10" s="114">
        <v>25</v>
      </c>
      <c r="U10" s="63">
        <v>25</v>
      </c>
      <c r="V10" s="63">
        <v>25</v>
      </c>
      <c r="W10" s="114"/>
      <c r="X10" s="63"/>
      <c r="Y10" s="708"/>
      <c r="Z10" s="114">
        <v>75</v>
      </c>
      <c r="AA10" s="114"/>
      <c r="AB10" s="63"/>
      <c r="AC10" s="114"/>
      <c r="AD10" s="63"/>
      <c r="AE10" s="63">
        <v>50</v>
      </c>
      <c r="AF10" s="63">
        <v>35</v>
      </c>
      <c r="AG10" s="63"/>
      <c r="AH10" s="63"/>
      <c r="AI10" s="63">
        <v>75</v>
      </c>
      <c r="AJ10" s="63"/>
      <c r="AK10" s="63"/>
      <c r="AL10" s="63"/>
      <c r="AM10" s="63">
        <v>25</v>
      </c>
      <c r="AN10" s="63"/>
    </row>
    <row r="11" spans="1:40" s="83" customFormat="1" ht="15.5">
      <c r="A11" s="63" t="str">
        <f>IFERROR(VLOOKUP(Table5[[#This Row],[Player No]],Table11[[#All],[No]:[Age Group]],4,0),"")</f>
        <v>U13</v>
      </c>
      <c r="B11" s="61">
        <v>31</v>
      </c>
      <c r="C11" s="77">
        <f t="shared" si="0"/>
        <v>24</v>
      </c>
      <c r="D11" s="63">
        <f t="shared" si="3"/>
        <v>7</v>
      </c>
      <c r="E11" s="63">
        <v>8025</v>
      </c>
      <c r="F11" s="64" t="str">
        <f>IFERROR(VLOOKUP(Table5[[#This Row],[Player No]],Table11[[#All],[No]:[Province]],2,0),"")</f>
        <v>VAN AS Tamika</v>
      </c>
      <c r="G11" s="65" t="str">
        <f>IFERROR(VLOOKUP(Table5[[#This Row],[Player No]],Table11[[#All],[No]:[Province]],3,0),"")</f>
        <v>CT</v>
      </c>
      <c r="H11" s="66">
        <v>175</v>
      </c>
      <c r="I11" s="96">
        <v>412.5</v>
      </c>
      <c r="J11" s="789">
        <f>Table5[[#This Row],[Points 2025]]/2+SUM(Table5[[#This Row],[O1  ADMIN 2026]:[P2           WC         CT Open 2026]])</f>
        <v>206.25</v>
      </c>
      <c r="K11" s="63">
        <f t="shared" si="1"/>
        <v>0</v>
      </c>
      <c r="L11" s="63">
        <f t="shared" si="2"/>
        <v>0</v>
      </c>
      <c r="M11" s="708" t="s">
        <v>6083</v>
      </c>
      <c r="N11" s="708" t="s">
        <v>6083</v>
      </c>
      <c r="O11" s="708" t="s">
        <v>6083</v>
      </c>
      <c r="P11" s="708"/>
      <c r="Q11" s="63">
        <v>50</v>
      </c>
      <c r="R11" s="63"/>
      <c r="S11" s="114"/>
      <c r="T11" s="114"/>
      <c r="U11" s="63"/>
      <c r="V11" s="63"/>
      <c r="W11" s="114"/>
      <c r="X11" s="63"/>
      <c r="Y11" s="708"/>
      <c r="Z11" s="114"/>
      <c r="AA11" s="114">
        <v>100</v>
      </c>
      <c r="AB11" s="63"/>
      <c r="AC11" s="114">
        <v>25</v>
      </c>
      <c r="AD11" s="63">
        <v>150</v>
      </c>
      <c r="AE11" s="63"/>
      <c r="AF11" s="63"/>
      <c r="AG11" s="63">
        <v>100</v>
      </c>
      <c r="AH11" s="63"/>
      <c r="AI11" s="63"/>
      <c r="AJ11" s="63"/>
      <c r="AK11" s="63"/>
      <c r="AL11" s="63">
        <v>50</v>
      </c>
      <c r="AM11" s="63"/>
      <c r="AN11" s="63"/>
    </row>
    <row r="12" spans="1:40" s="83" customFormat="1" ht="15.5">
      <c r="A12" s="63" t="str">
        <f>IFERROR(VLOOKUP(Table5[[#This Row],[Player No]],Table11[[#All],[No]:[Age Group]],4,0),"")</f>
        <v>U19</v>
      </c>
      <c r="B12" s="61">
        <v>5</v>
      </c>
      <c r="C12" s="77">
        <f t="shared" si="0"/>
        <v>-3</v>
      </c>
      <c r="D12" s="63">
        <f t="shared" si="3"/>
        <v>8</v>
      </c>
      <c r="E12" s="63">
        <v>7470</v>
      </c>
      <c r="F12" s="64" t="str">
        <f>IFERROR(VLOOKUP(Table5[[#This Row],[Player No]],Table11[[#All],[No]:[Province]],2,0),"")</f>
        <v>RAMALINGAM Shavishka</v>
      </c>
      <c r="G12" s="65" t="str">
        <f>IFERROR(VLOOKUP(Table5[[#This Row],[Player No]],Table11[[#All],[No]:[Province]],3,0),"")</f>
        <v>UMG</v>
      </c>
      <c r="H12" s="66">
        <v>259.375</v>
      </c>
      <c r="I12" s="96">
        <v>349.6875</v>
      </c>
      <c r="J12" s="789">
        <f>Table5[[#This Row],[Points 2025]]/2+SUM(Table5[[#This Row],[O1  ADMIN 2026]:[P2           WC         CT Open 2026]])</f>
        <v>204.84375</v>
      </c>
      <c r="K12" s="63">
        <f t="shared" si="1"/>
        <v>2</v>
      </c>
      <c r="L12" s="63">
        <f t="shared" si="2"/>
        <v>0</v>
      </c>
      <c r="M12" s="708" t="s">
        <v>6083</v>
      </c>
      <c r="N12" s="708">
        <v>15</v>
      </c>
      <c r="O12" s="708">
        <v>15</v>
      </c>
      <c r="P12" s="708"/>
      <c r="Q12" s="63">
        <v>50</v>
      </c>
      <c r="R12" s="63">
        <v>25</v>
      </c>
      <c r="S12" s="114">
        <v>10</v>
      </c>
      <c r="T12" s="114">
        <v>50</v>
      </c>
      <c r="U12" s="63">
        <v>35</v>
      </c>
      <c r="V12" s="63"/>
      <c r="W12" s="114"/>
      <c r="X12" s="63"/>
      <c r="Y12" s="708"/>
      <c r="Z12" s="114">
        <v>50</v>
      </c>
      <c r="AA12" s="114"/>
      <c r="AB12" s="63"/>
      <c r="AC12" s="114"/>
      <c r="AD12" s="63"/>
      <c r="AE12" s="63">
        <v>75</v>
      </c>
      <c r="AF12" s="63">
        <v>25</v>
      </c>
      <c r="AG12" s="63"/>
      <c r="AH12" s="63"/>
      <c r="AI12" s="63">
        <v>25</v>
      </c>
      <c r="AJ12" s="63"/>
      <c r="AK12" s="63"/>
      <c r="AL12" s="63"/>
      <c r="AM12" s="63">
        <v>50</v>
      </c>
      <c r="AN12" s="63"/>
    </row>
    <row r="13" spans="1:40" s="83" customFormat="1" ht="15.5">
      <c r="A13" s="63">
        <f>IFERROR(VLOOKUP(Table5[[#This Row],[Player No]],Table11[[#All],[No]:[Age Group]],4,0),"")</f>
        <v>0</v>
      </c>
      <c r="B13" s="61">
        <v>11</v>
      </c>
      <c r="C13" s="77">
        <f t="shared" si="0"/>
        <v>2</v>
      </c>
      <c r="D13" s="63">
        <f t="shared" si="3"/>
        <v>9</v>
      </c>
      <c r="E13" s="63">
        <v>7611</v>
      </c>
      <c r="F13" s="64" t="str">
        <f>IFERROR(VLOOKUP(Table5[[#This Row],[Player No]],Table11[[#All],[No]:[Province]],2,0),"")</f>
        <v>MTSHAWULANA Banam</v>
      </c>
      <c r="G13" s="65" t="str">
        <f>IFERROR(VLOOKUP(Table5[[#This Row],[Player No]],Table11[[#All],[No]:[Province]],3,0),"")</f>
        <v>EC</v>
      </c>
      <c r="H13" s="66">
        <v>262.5</v>
      </c>
      <c r="I13" s="96">
        <v>381.25</v>
      </c>
      <c r="J13" s="789">
        <f>Table5[[#This Row],[Points 2025]]/2+SUM(Table5[[#This Row],[O1  ADMIN 2026]:[P2           WC         CT Open 2026]])</f>
        <v>190.625</v>
      </c>
      <c r="K13" s="63">
        <f t="shared" si="1"/>
        <v>0</v>
      </c>
      <c r="L13" s="63">
        <f t="shared" si="2"/>
        <v>0</v>
      </c>
      <c r="M13" s="708" t="s">
        <v>6083</v>
      </c>
      <c r="N13" s="708" t="s">
        <v>6083</v>
      </c>
      <c r="O13" s="708" t="s">
        <v>6083</v>
      </c>
      <c r="P13" s="708"/>
      <c r="Q13" s="63"/>
      <c r="R13" s="63"/>
      <c r="S13" s="114"/>
      <c r="T13" s="114"/>
      <c r="U13" s="63"/>
      <c r="V13" s="63"/>
      <c r="W13" s="114">
        <v>75</v>
      </c>
      <c r="X13" s="63"/>
      <c r="Y13" s="708"/>
      <c r="Z13" s="114">
        <v>175</v>
      </c>
      <c r="AA13" s="114"/>
      <c r="AB13" s="63"/>
      <c r="AC13" s="114"/>
      <c r="AD13" s="63"/>
      <c r="AE13" s="63"/>
      <c r="AF13" s="63"/>
      <c r="AG13" s="63"/>
      <c r="AH13" s="63"/>
      <c r="AI13" s="63">
        <v>75</v>
      </c>
      <c r="AJ13" s="63"/>
      <c r="AK13" s="63"/>
      <c r="AL13" s="63">
        <v>75</v>
      </c>
      <c r="AM13" s="63">
        <v>75</v>
      </c>
      <c r="AN13" s="63"/>
    </row>
    <row r="14" spans="1:40" s="83" customFormat="1" ht="15.5">
      <c r="A14" s="63" t="str">
        <f>IFERROR(VLOOKUP(Table5[[#This Row],[Player No]],Table11[[#All],[No]:[Age Group]],4,0),"")</f>
        <v>U19</v>
      </c>
      <c r="B14" s="61">
        <v>9</v>
      </c>
      <c r="C14" s="77">
        <f t="shared" si="0"/>
        <v>-1</v>
      </c>
      <c r="D14" s="63">
        <f t="shared" si="3"/>
        <v>10</v>
      </c>
      <c r="E14" s="63">
        <v>7224</v>
      </c>
      <c r="F14" s="64" t="str">
        <f>IFERROR(VLOOKUP(Table5[[#This Row],[Player No]],Table11[[#All],[No]:[Province]],2,0),"")</f>
        <v xml:space="preserve">TOTARAM Mikayla </v>
      </c>
      <c r="G14" s="65" t="str">
        <f>IFERROR(VLOOKUP(Table5[[#This Row],[Player No]],Table11[[#All],[No]:[Province]],3,0),"")</f>
        <v>UMG</v>
      </c>
      <c r="H14" s="66">
        <v>179.375</v>
      </c>
      <c r="I14" s="96">
        <v>344.6875</v>
      </c>
      <c r="J14" s="789">
        <f>Table5[[#This Row],[Points 2025]]/2+SUM(Table5[[#This Row],[O1  ADMIN 2026]:[P2           WC         CT Open 2026]])</f>
        <v>172.34375</v>
      </c>
      <c r="K14" s="63">
        <f t="shared" si="1"/>
        <v>0</v>
      </c>
      <c r="L14" s="63">
        <f t="shared" si="2"/>
        <v>0</v>
      </c>
      <c r="M14" s="708" t="s">
        <v>6083</v>
      </c>
      <c r="N14" s="708" t="s">
        <v>6083</v>
      </c>
      <c r="O14" s="708" t="s">
        <v>6083</v>
      </c>
      <c r="P14" s="708"/>
      <c r="Q14" s="63">
        <v>75</v>
      </c>
      <c r="R14" s="63">
        <v>15</v>
      </c>
      <c r="S14" s="114">
        <v>15</v>
      </c>
      <c r="T14" s="114">
        <v>50</v>
      </c>
      <c r="U14" s="63">
        <v>25</v>
      </c>
      <c r="V14" s="63">
        <v>50</v>
      </c>
      <c r="W14" s="114"/>
      <c r="X14" s="63"/>
      <c r="Y14" s="708"/>
      <c r="Z14" s="114">
        <v>25</v>
      </c>
      <c r="AA14" s="114"/>
      <c r="AB14" s="63" t="s">
        <v>4722</v>
      </c>
      <c r="AC14" s="114"/>
      <c r="AD14" s="63"/>
      <c r="AE14" s="63">
        <v>50</v>
      </c>
      <c r="AF14" s="63">
        <v>15</v>
      </c>
      <c r="AG14" s="63"/>
      <c r="AH14" s="63"/>
      <c r="AI14" s="63">
        <v>50</v>
      </c>
      <c r="AJ14" s="63"/>
      <c r="AK14" s="63"/>
      <c r="AL14" s="63"/>
      <c r="AM14" s="63">
        <v>15</v>
      </c>
      <c r="AN14" s="63"/>
    </row>
    <row r="15" spans="1:40" s="83" customFormat="1" ht="15.5">
      <c r="A15" s="63">
        <f>IFERROR(VLOOKUP(Table5[[#This Row],[Player No]],Table11[[#All],[No]:[Age Group]],4,0),"")</f>
        <v>0</v>
      </c>
      <c r="B15" s="61"/>
      <c r="C15" s="77"/>
      <c r="D15" s="63">
        <f t="shared" si="3"/>
        <v>11</v>
      </c>
      <c r="E15" s="226">
        <v>8085</v>
      </c>
      <c r="F15" s="64" t="str">
        <f>IFERROR(VLOOKUP(Table5[[#This Row],[Player No]],Table11[[#All],[No]:[Province]],2,0),"")</f>
        <v>PILLAY Veya</v>
      </c>
      <c r="G15" s="65" t="str">
        <f>IFERROR(VLOOKUP(Table5[[#This Row],[Player No]],Table11[[#All],[No]:[Province]],3,0),"")</f>
        <v>UMG</v>
      </c>
      <c r="H15" s="66">
        <v>0</v>
      </c>
      <c r="I15" s="96">
        <v>210</v>
      </c>
      <c r="J15" s="789">
        <f>Table5[[#This Row],[Points 2025]]/2+SUM(Table5[[#This Row],[O1  ADMIN 2026]:[P2           WC         CT Open 2026]])</f>
        <v>155</v>
      </c>
      <c r="K15" s="63">
        <f t="shared" si="1"/>
        <v>2</v>
      </c>
      <c r="L15" s="63">
        <f t="shared" si="2"/>
        <v>0</v>
      </c>
      <c r="M15" s="708" t="s">
        <v>6083</v>
      </c>
      <c r="N15" s="708">
        <v>35</v>
      </c>
      <c r="O15" s="708">
        <v>15</v>
      </c>
      <c r="P15" s="708"/>
      <c r="Q15" s="63">
        <v>25</v>
      </c>
      <c r="R15" s="63">
        <v>10</v>
      </c>
      <c r="S15" s="114">
        <v>15</v>
      </c>
      <c r="T15" s="114">
        <v>100</v>
      </c>
      <c r="U15" s="63">
        <v>10</v>
      </c>
      <c r="V15" s="63"/>
      <c r="W15" s="114"/>
      <c r="X15" s="63"/>
      <c r="Y15" s="708"/>
      <c r="Z15" s="114">
        <v>50</v>
      </c>
      <c r="AA15" s="114"/>
      <c r="AB15" s="63"/>
      <c r="AC15" s="114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</row>
    <row r="16" spans="1:40" s="83" customFormat="1" ht="15.5">
      <c r="A16" s="63">
        <f>IFERROR(VLOOKUP(Table5[[#This Row],[Player No]],Table11[[#All],[No]:[Age Group]],4,0),"")</f>
        <v>0</v>
      </c>
      <c r="B16" s="61">
        <v>19</v>
      </c>
      <c r="C16" s="77">
        <f t="shared" ref="C16:C47" si="4">+B16-D16</f>
        <v>7</v>
      </c>
      <c r="D16" s="63">
        <f t="shared" si="3"/>
        <v>12</v>
      </c>
      <c r="E16" s="63">
        <v>7580</v>
      </c>
      <c r="F16" s="64" t="str">
        <f>IFERROR(VLOOKUP(Table5[[#This Row],[Player No]],Table11[[#All],[No]:[Province]],2,0),"")</f>
        <v>MOATI Confidence</v>
      </c>
      <c r="G16" s="65" t="str">
        <f>IFERROR(VLOOKUP(Table5[[#This Row],[Player No]],Table11[[#All],[No]:[Province]],3,0),"")</f>
        <v>LIM</v>
      </c>
      <c r="H16" s="66">
        <v>187.5</v>
      </c>
      <c r="I16" s="96">
        <v>218.75</v>
      </c>
      <c r="J16" s="789">
        <f>Table5[[#This Row],[Points 2025]]/2+SUM(Table5[[#This Row],[O1  ADMIN 2026]:[P2           WC         CT Open 2026]])</f>
        <v>144.375</v>
      </c>
      <c r="K16" s="63">
        <f t="shared" si="1"/>
        <v>1</v>
      </c>
      <c r="L16" s="63">
        <f t="shared" si="2"/>
        <v>0</v>
      </c>
      <c r="M16" s="708">
        <v>35</v>
      </c>
      <c r="N16" s="708">
        <v>0</v>
      </c>
      <c r="O16" s="708" t="s">
        <v>6083</v>
      </c>
      <c r="P16" s="708"/>
      <c r="Q16" s="63"/>
      <c r="R16" s="63"/>
      <c r="S16" s="114"/>
      <c r="T16" s="114"/>
      <c r="U16" s="63"/>
      <c r="V16" s="63"/>
      <c r="W16" s="114"/>
      <c r="X16" s="63"/>
      <c r="Y16" s="708"/>
      <c r="Z16" s="114">
        <v>125</v>
      </c>
      <c r="AA16" s="114"/>
      <c r="AB16" s="63"/>
      <c r="AC16" s="114"/>
      <c r="AD16" s="63"/>
      <c r="AE16" s="63"/>
      <c r="AF16" s="63"/>
      <c r="AG16" s="63"/>
      <c r="AH16" s="63"/>
      <c r="AI16" s="63">
        <v>125</v>
      </c>
      <c r="AJ16" s="63"/>
      <c r="AK16" s="63"/>
      <c r="AL16" s="63"/>
      <c r="AM16" s="63"/>
      <c r="AN16" s="63"/>
    </row>
    <row r="17" spans="1:40" s="83" customFormat="1" ht="15.5">
      <c r="A17" s="63" t="str">
        <f>IFERROR(VLOOKUP(Table5[[#This Row],[Player No]],Table11[[#All],[No]:[Age Group]],4,0),"")</f>
        <v>U19</v>
      </c>
      <c r="B17" s="61">
        <v>16</v>
      </c>
      <c r="C17" s="77">
        <f t="shared" si="4"/>
        <v>3</v>
      </c>
      <c r="D17" s="63">
        <f t="shared" si="3"/>
        <v>13</v>
      </c>
      <c r="E17" s="63">
        <v>8086</v>
      </c>
      <c r="F17" s="64" t="str">
        <f>IFERROR(VLOOKUP(Table5[[#This Row],[Player No]],Table11[[#All],[No]:[Province]],2,0),"")</f>
        <v>MORSNER Sarah</v>
      </c>
      <c r="G17" s="65" t="str">
        <f>IFERROR(VLOOKUP(Table5[[#This Row],[Player No]],Table11[[#All],[No]:[Province]],3,0),"")</f>
        <v>JTTA</v>
      </c>
      <c r="H17" s="66">
        <v>156</v>
      </c>
      <c r="I17" s="96">
        <v>254</v>
      </c>
      <c r="J17" s="789">
        <f>Table5[[#This Row],[Points 2025]]/2+SUM(Table5[[#This Row],[O1  ADMIN 2026]:[P2           WC         CT Open 2026]])</f>
        <v>128</v>
      </c>
      <c r="K17" s="63">
        <f t="shared" si="1"/>
        <v>1</v>
      </c>
      <c r="L17" s="63">
        <f t="shared" si="2"/>
        <v>0</v>
      </c>
      <c r="M17" s="708">
        <v>1</v>
      </c>
      <c r="N17" s="708" t="s">
        <v>6083</v>
      </c>
      <c r="O17" s="708" t="s">
        <v>6083</v>
      </c>
      <c r="P17" s="708"/>
      <c r="Q17" s="63"/>
      <c r="R17" s="63"/>
      <c r="S17" s="114"/>
      <c r="T17" s="114"/>
      <c r="U17" s="63"/>
      <c r="V17" s="63">
        <v>25</v>
      </c>
      <c r="W17" s="114">
        <v>1</v>
      </c>
      <c r="X17" s="63">
        <v>25</v>
      </c>
      <c r="Y17" s="708"/>
      <c r="Z17" s="114">
        <v>50</v>
      </c>
      <c r="AA17" s="114">
        <v>75</v>
      </c>
      <c r="AB17" s="63"/>
      <c r="AC17" s="114"/>
      <c r="AD17" s="63"/>
      <c r="AE17" s="63"/>
      <c r="AF17" s="63"/>
      <c r="AG17" s="63"/>
      <c r="AH17" s="63"/>
      <c r="AI17" s="63">
        <v>25</v>
      </c>
      <c r="AJ17" s="63">
        <v>35</v>
      </c>
      <c r="AK17" s="63"/>
      <c r="AL17" s="63">
        <v>50</v>
      </c>
      <c r="AM17" s="63">
        <v>25</v>
      </c>
      <c r="AN17" s="63">
        <v>15</v>
      </c>
    </row>
    <row r="18" spans="1:40" s="83" customFormat="1" ht="15.5">
      <c r="A18" s="63" t="str">
        <f>IFERROR(VLOOKUP(Table5[[#This Row],[Player No]],Table11[[#All],[No]:[Age Group]],4,0),"")</f>
        <v>U19</v>
      </c>
      <c r="B18" s="61">
        <v>63</v>
      </c>
      <c r="C18" s="77">
        <f t="shared" si="4"/>
        <v>49</v>
      </c>
      <c r="D18" s="63">
        <f t="shared" si="3"/>
        <v>14</v>
      </c>
      <c r="E18" s="63">
        <v>8336</v>
      </c>
      <c r="F18" s="64" t="str">
        <f>IFERROR(VLOOKUP(Table5[[#This Row],[Player No]],Table11[[#All],[No]:[Province]],2,0),"")</f>
        <v>PILLAY Keona</v>
      </c>
      <c r="G18" s="65" t="str">
        <f>IFERROR(VLOOKUP(Table5[[#This Row],[Player No]],Table11[[#All],[No]:[Province]],3,0),"")</f>
        <v>UMG</v>
      </c>
      <c r="H18" s="66">
        <v>29</v>
      </c>
      <c r="I18" s="96">
        <v>194.5</v>
      </c>
      <c r="J18" s="789">
        <f>Table5[[#This Row],[Points 2025]]/2+SUM(Table5[[#This Row],[O1  ADMIN 2026]:[P2           WC         CT Open 2026]])</f>
        <v>122.25</v>
      </c>
      <c r="K18" s="63">
        <f t="shared" si="1"/>
        <v>2</v>
      </c>
      <c r="L18" s="63">
        <f t="shared" si="2"/>
        <v>0</v>
      </c>
      <c r="M18" s="708" t="s">
        <v>6083</v>
      </c>
      <c r="N18" s="708">
        <v>10</v>
      </c>
      <c r="O18" s="708">
        <v>15</v>
      </c>
      <c r="P18" s="708"/>
      <c r="Q18" s="63">
        <v>15</v>
      </c>
      <c r="R18" s="63">
        <v>15</v>
      </c>
      <c r="S18" s="114">
        <v>15</v>
      </c>
      <c r="T18" s="114">
        <v>75</v>
      </c>
      <c r="U18" s="63">
        <v>10</v>
      </c>
      <c r="V18" s="63"/>
      <c r="W18" s="114"/>
      <c r="X18" s="63"/>
      <c r="Y18" s="708"/>
      <c r="Z18" s="114">
        <v>50</v>
      </c>
      <c r="AA18" s="114"/>
      <c r="AB18" s="63"/>
      <c r="AC18" s="114"/>
      <c r="AD18" s="63"/>
      <c r="AE18" s="63">
        <v>2</v>
      </c>
      <c r="AF18" s="63">
        <v>1</v>
      </c>
      <c r="AG18" s="63"/>
      <c r="AH18" s="63"/>
      <c r="AI18" s="63">
        <v>25</v>
      </c>
      <c r="AJ18" s="63"/>
      <c r="AK18" s="63"/>
      <c r="AL18" s="63"/>
      <c r="AM18" s="63">
        <v>1</v>
      </c>
      <c r="AN18" s="63"/>
    </row>
    <row r="19" spans="1:40" s="83" customFormat="1" ht="15.5">
      <c r="A19" s="63" t="str">
        <f>IFERROR(VLOOKUP(Table5[[#This Row],[Player No]],Table11[[#All],[No]:[Age Group]],4,0),"")</f>
        <v>U19</v>
      </c>
      <c r="B19" s="61">
        <v>13</v>
      </c>
      <c r="C19" s="77">
        <f t="shared" si="4"/>
        <v>-2</v>
      </c>
      <c r="D19" s="63">
        <f t="shared" si="3"/>
        <v>15</v>
      </c>
      <c r="E19" s="63">
        <v>7609</v>
      </c>
      <c r="F19" s="64" t="str">
        <f>IFERROR(VLOOKUP(Table5[[#This Row],[Player No]],Table11[[#All],[No]:[Province]],2,0),"")</f>
        <v>HARRIS Tazmin</v>
      </c>
      <c r="G19" s="65" t="str">
        <f>IFERROR(VLOOKUP(Table5[[#This Row],[Player No]],Table11[[#All],[No]:[Province]],3,0),"")</f>
        <v>CT</v>
      </c>
      <c r="H19" s="66">
        <v>253.375</v>
      </c>
      <c r="I19" s="96">
        <v>244.1875</v>
      </c>
      <c r="J19" s="789">
        <f>Table5[[#This Row],[Points 2025]]/2+SUM(Table5[[#This Row],[O1  ADMIN 2026]:[P2           WC         CT Open 2026]])</f>
        <v>122.09375</v>
      </c>
      <c r="K19" s="63">
        <f t="shared" si="1"/>
        <v>0</v>
      </c>
      <c r="L19" s="63">
        <f t="shared" si="2"/>
        <v>0</v>
      </c>
      <c r="M19" s="708" t="s">
        <v>6083</v>
      </c>
      <c r="N19" s="708" t="s">
        <v>6083</v>
      </c>
      <c r="O19" s="708" t="s">
        <v>6083</v>
      </c>
      <c r="P19" s="708"/>
      <c r="Q19" s="63"/>
      <c r="R19" s="63"/>
      <c r="S19" s="114"/>
      <c r="T19" s="114"/>
      <c r="U19" s="63"/>
      <c r="V19" s="63"/>
      <c r="W19" s="114"/>
      <c r="X19" s="63"/>
      <c r="Y19" s="708"/>
      <c r="Z19" s="114">
        <v>25</v>
      </c>
      <c r="AA19" s="114"/>
      <c r="AB19" s="63"/>
      <c r="AC19" s="114">
        <v>17.5</v>
      </c>
      <c r="AD19" s="63">
        <v>75</v>
      </c>
      <c r="AE19" s="63"/>
      <c r="AF19" s="63"/>
      <c r="AG19" s="63">
        <v>75</v>
      </c>
      <c r="AH19" s="63"/>
      <c r="AI19" s="63">
        <v>75</v>
      </c>
      <c r="AJ19" s="63"/>
      <c r="AK19" s="63"/>
      <c r="AL19" s="63"/>
      <c r="AM19" s="63"/>
      <c r="AN19" s="63"/>
    </row>
    <row r="20" spans="1:40" s="83" customFormat="1" ht="15.5">
      <c r="A20" s="63">
        <f>IFERROR(VLOOKUP(Table5[[#This Row],[Player No]],Table11[[#All],[No]:[Age Group]],4,0),"")</f>
        <v>0</v>
      </c>
      <c r="B20" s="61">
        <v>15</v>
      </c>
      <c r="C20" s="77">
        <f t="shared" si="4"/>
        <v>-1</v>
      </c>
      <c r="D20" s="63">
        <f t="shared" si="3"/>
        <v>16</v>
      </c>
      <c r="E20" s="63">
        <v>7789</v>
      </c>
      <c r="F20" s="64" t="str">
        <f>IFERROR(VLOOKUP(Table5[[#This Row],[Player No]],Table11[[#All],[No]:[Province]],2,0),"")</f>
        <v>SALIE Tamara</v>
      </c>
      <c r="G20" s="65" t="str">
        <f>IFERROR(VLOOKUP(Table5[[#This Row],[Player No]],Table11[[#All],[No]:[Province]],3,0),"")</f>
        <v>GN</v>
      </c>
      <c r="H20" s="66">
        <v>166</v>
      </c>
      <c r="I20" s="96">
        <v>169</v>
      </c>
      <c r="J20" s="789">
        <f>Table5[[#This Row],[Points 2025]]/2+SUM(Table5[[#This Row],[O1  ADMIN 2026]:[P2           WC         CT Open 2026]])</f>
        <v>109.5</v>
      </c>
      <c r="K20" s="63">
        <f t="shared" si="1"/>
        <v>1</v>
      </c>
      <c r="L20" s="63">
        <f t="shared" si="2"/>
        <v>0</v>
      </c>
      <c r="M20" s="708">
        <v>25</v>
      </c>
      <c r="N20" s="708" t="s">
        <v>6083</v>
      </c>
      <c r="O20" s="708" t="s">
        <v>6083</v>
      </c>
      <c r="P20" s="708"/>
      <c r="Q20" s="63"/>
      <c r="R20" s="63"/>
      <c r="S20" s="114"/>
      <c r="T20" s="114"/>
      <c r="U20" s="63"/>
      <c r="V20" s="63">
        <v>25</v>
      </c>
      <c r="W20" s="114">
        <v>1</v>
      </c>
      <c r="X20" s="63">
        <v>35</v>
      </c>
      <c r="Y20" s="708"/>
      <c r="Z20" s="114">
        <v>25</v>
      </c>
      <c r="AA20" s="114"/>
      <c r="AB20" s="63"/>
      <c r="AC20" s="114"/>
      <c r="AD20" s="63"/>
      <c r="AE20" s="63"/>
      <c r="AF20" s="63"/>
      <c r="AG20" s="63"/>
      <c r="AH20" s="63"/>
      <c r="AI20" s="63">
        <v>25</v>
      </c>
      <c r="AJ20" s="63">
        <v>25</v>
      </c>
      <c r="AK20" s="63">
        <v>25</v>
      </c>
      <c r="AL20" s="63">
        <v>25</v>
      </c>
      <c r="AM20" s="63">
        <v>15</v>
      </c>
      <c r="AN20" s="63">
        <v>25</v>
      </c>
    </row>
    <row r="21" spans="1:40" s="83" customFormat="1" ht="15.5">
      <c r="A21" s="63" t="str">
        <f>IFERROR(VLOOKUP(Table5[[#This Row],[Player No]],Table11[[#All],[No]:[Age Group]],4,0),"")</f>
        <v>U15</v>
      </c>
      <c r="B21" s="61">
        <v>102</v>
      </c>
      <c r="C21" s="77">
        <f t="shared" si="4"/>
        <v>85</v>
      </c>
      <c r="D21" s="63">
        <f t="shared" si="3"/>
        <v>17</v>
      </c>
      <c r="E21" s="63">
        <v>8074</v>
      </c>
      <c r="F21" s="64" t="str">
        <f>IFERROR(VLOOKUP(Table5[[#This Row],[Player No]],Table11[[#All],[No]:[Province]],2,0),"")</f>
        <v>MOUTON Andrea</v>
      </c>
      <c r="G21" s="65" t="str">
        <f>IFERROR(VLOOKUP(Table5[[#This Row],[Player No]],Table11[[#All],[No]:[Province]],3,0),"")</f>
        <v>Eden</v>
      </c>
      <c r="H21" s="66">
        <v>65</v>
      </c>
      <c r="I21" s="96">
        <v>207.5</v>
      </c>
      <c r="J21" s="789">
        <f>Table5[[#This Row],[Points 2025]]/2+SUM(Table5[[#This Row],[O1  ADMIN 2026]:[P2           WC         CT Open 2026]])</f>
        <v>103.75</v>
      </c>
      <c r="K21" s="63">
        <f t="shared" si="1"/>
        <v>0</v>
      </c>
      <c r="L21" s="63">
        <f t="shared" si="2"/>
        <v>0</v>
      </c>
      <c r="M21" s="708" t="s">
        <v>6083</v>
      </c>
      <c r="N21" s="708" t="s">
        <v>6083</v>
      </c>
      <c r="O21" s="708" t="s">
        <v>6083</v>
      </c>
      <c r="P21" s="708"/>
      <c r="Q21" s="63"/>
      <c r="R21" s="63"/>
      <c r="S21" s="114"/>
      <c r="T21" s="114"/>
      <c r="U21" s="63"/>
      <c r="V21" s="63"/>
      <c r="W21" s="114"/>
      <c r="X21" s="63"/>
      <c r="Y21" s="708">
        <v>50</v>
      </c>
      <c r="Z21" s="114">
        <v>50</v>
      </c>
      <c r="AA21" s="114"/>
      <c r="AB21" s="63"/>
      <c r="AC21" s="114"/>
      <c r="AD21" s="63">
        <v>75</v>
      </c>
      <c r="AE21" s="63"/>
      <c r="AF21" s="63"/>
      <c r="AG21" s="63">
        <v>15</v>
      </c>
      <c r="AH21" s="63">
        <f>100/2</f>
        <v>50</v>
      </c>
      <c r="AI21" s="63"/>
      <c r="AJ21" s="63"/>
      <c r="AK21" s="63"/>
      <c r="AL21" s="63"/>
      <c r="AM21" s="63"/>
      <c r="AN21" s="63"/>
    </row>
    <row r="22" spans="1:40" s="83" customFormat="1" ht="15.5">
      <c r="A22" s="63">
        <f>IFERROR(VLOOKUP(Table5[[#This Row],[Player No]],Table11[[#All],[No]:[Age Group]],4,0),"")</f>
        <v>0</v>
      </c>
      <c r="B22" s="61">
        <v>29</v>
      </c>
      <c r="C22" s="77">
        <f t="shared" si="4"/>
        <v>11</v>
      </c>
      <c r="D22" s="63">
        <f t="shared" si="3"/>
        <v>18</v>
      </c>
      <c r="E22" s="63">
        <v>8338</v>
      </c>
      <c r="F22" s="64" t="str">
        <f>IFERROR(VLOOKUP(Table5[[#This Row],[Player No]],Table11[[#All],[No]:[Province]],2,0),"")</f>
        <v>SIVNANNAN Sivarna</v>
      </c>
      <c r="G22" s="65" t="str">
        <f>IFERROR(VLOOKUP(Table5[[#This Row],[Player No]],Table11[[#All],[No]:[Province]],3,0),"")</f>
        <v>UMG</v>
      </c>
      <c r="H22" s="66">
        <v>27</v>
      </c>
      <c r="I22" s="96">
        <v>103.5</v>
      </c>
      <c r="J22" s="789">
        <f>Table5[[#This Row],[Points 2025]]/2+SUM(Table5[[#This Row],[O1  ADMIN 2026]:[P2           WC         CT Open 2026]])</f>
        <v>101.75</v>
      </c>
      <c r="K22" s="63">
        <f t="shared" si="1"/>
        <v>2</v>
      </c>
      <c r="L22" s="63">
        <f t="shared" si="2"/>
        <v>0</v>
      </c>
      <c r="M22" s="708" t="s">
        <v>6083</v>
      </c>
      <c r="N22" s="708">
        <v>25</v>
      </c>
      <c r="O22" s="708">
        <v>25</v>
      </c>
      <c r="P22" s="708"/>
      <c r="Q22" s="63">
        <v>2</v>
      </c>
      <c r="R22" s="63"/>
      <c r="S22" s="114">
        <v>1</v>
      </c>
      <c r="T22" s="114">
        <v>25</v>
      </c>
      <c r="U22" s="63">
        <v>1</v>
      </c>
      <c r="V22" s="63">
        <v>1</v>
      </c>
      <c r="W22" s="114">
        <v>35</v>
      </c>
      <c r="X22" s="63"/>
      <c r="Y22" s="708"/>
      <c r="Z22" s="114">
        <v>25</v>
      </c>
      <c r="AA22" s="114"/>
      <c r="AB22" s="63"/>
      <c r="AC22" s="114"/>
      <c r="AD22" s="63"/>
      <c r="AE22" s="63">
        <v>25</v>
      </c>
      <c r="AF22" s="63">
        <v>1</v>
      </c>
      <c r="AG22" s="63"/>
      <c r="AH22" s="63"/>
      <c r="AI22" s="63"/>
      <c r="AJ22" s="63"/>
      <c r="AK22" s="63"/>
      <c r="AL22" s="63"/>
      <c r="AM22" s="63">
        <v>1</v>
      </c>
      <c r="AN22" s="63"/>
    </row>
    <row r="23" spans="1:40" s="83" customFormat="1" ht="15.5">
      <c r="A23" s="63" t="str">
        <f>IFERROR(VLOOKUP(Table5[[#This Row],[Player No]],Table11[[#All],[No]:[Age Group]],4,0),"")</f>
        <v>U19</v>
      </c>
      <c r="B23" s="61">
        <v>12</v>
      </c>
      <c r="C23" s="77">
        <f t="shared" si="4"/>
        <v>-7</v>
      </c>
      <c r="D23" s="63">
        <f t="shared" si="3"/>
        <v>19</v>
      </c>
      <c r="E23" s="63">
        <v>7613</v>
      </c>
      <c r="F23" s="64" t="str">
        <f>IFERROR(VLOOKUP(Table5[[#This Row],[Player No]],Table11[[#All],[No]:[Province]],2,0),"")</f>
        <v>NTSULUNGO Caelyn</v>
      </c>
      <c r="G23" s="65" t="str">
        <f>IFERROR(VLOOKUP(Table5[[#This Row],[Player No]],Table11[[#All],[No]:[Province]],3,0),"")</f>
        <v>CT</v>
      </c>
      <c r="H23" s="66">
        <v>355</v>
      </c>
      <c r="I23" s="96">
        <v>177.5</v>
      </c>
      <c r="J23" s="789">
        <f>Table5[[#This Row],[Points 2025]]/2+SUM(Table5[[#This Row],[O1  ADMIN 2026]:[P2           WC         CT Open 2026]])</f>
        <v>88.75</v>
      </c>
      <c r="K23" s="63">
        <f t="shared" si="1"/>
        <v>0</v>
      </c>
      <c r="L23" s="63">
        <f t="shared" si="2"/>
        <v>0</v>
      </c>
      <c r="M23" s="708" t="s">
        <v>6083</v>
      </c>
      <c r="N23" s="708" t="s">
        <v>6083</v>
      </c>
      <c r="O23" s="708" t="s">
        <v>6083</v>
      </c>
      <c r="P23" s="708"/>
      <c r="Q23" s="63"/>
      <c r="R23" s="63"/>
      <c r="S23" s="114"/>
      <c r="T23" s="114"/>
      <c r="U23" s="63"/>
      <c r="V23" s="63"/>
      <c r="W23" s="114"/>
      <c r="X23" s="63"/>
      <c r="Y23" s="708"/>
      <c r="Z23" s="114"/>
      <c r="AA23" s="114"/>
      <c r="AB23" s="63"/>
      <c r="AC23" s="114"/>
      <c r="AD23" s="63"/>
      <c r="AE23" s="63"/>
      <c r="AF23" s="63"/>
      <c r="AG23" s="63">
        <v>50</v>
      </c>
      <c r="AH23" s="63">
        <f>150/2</f>
        <v>75</v>
      </c>
      <c r="AI23" s="63">
        <v>125</v>
      </c>
      <c r="AJ23" s="63"/>
      <c r="AK23" s="63"/>
      <c r="AL23" s="63"/>
      <c r="AM23" s="63"/>
      <c r="AN23" s="63"/>
    </row>
    <row r="24" spans="1:40" s="83" customFormat="1" ht="15.5">
      <c r="A24" s="63">
        <f>IFERROR(VLOOKUP(Table5[[#This Row],[Player No]],Table11[[#All],[No]:[Age Group]],4,0),"")</f>
        <v>0</v>
      </c>
      <c r="B24" s="61">
        <v>32</v>
      </c>
      <c r="C24" s="77">
        <f t="shared" si="4"/>
        <v>12</v>
      </c>
      <c r="D24" s="63">
        <f t="shared" si="3"/>
        <v>20</v>
      </c>
      <c r="E24" s="63">
        <v>8104</v>
      </c>
      <c r="F24" s="64" t="str">
        <f>IFERROR(VLOOKUP(Table5[[#This Row],[Player No]],Table11[[#All],[No]:[Province]],2,0),"")</f>
        <v>BATYO Yonela</v>
      </c>
      <c r="G24" s="65" t="str">
        <f>IFERROR(VLOOKUP(Table5[[#This Row],[Player No]],Table11[[#All],[No]:[Province]],3,0),"")</f>
        <v>ETK</v>
      </c>
      <c r="H24" s="66">
        <v>25</v>
      </c>
      <c r="I24" s="96">
        <v>122.5</v>
      </c>
      <c r="J24" s="789">
        <f>Table5[[#This Row],[Points 2025]]/2+SUM(Table5[[#This Row],[O1  ADMIN 2026]:[P2           WC         CT Open 2026]])</f>
        <v>81.25</v>
      </c>
      <c r="K24" s="63">
        <f t="shared" si="1"/>
        <v>2</v>
      </c>
      <c r="L24" s="63">
        <f t="shared" si="2"/>
        <v>0</v>
      </c>
      <c r="M24" s="708" t="s">
        <v>6083</v>
      </c>
      <c r="N24" s="708">
        <v>10</v>
      </c>
      <c r="O24" s="708">
        <v>10</v>
      </c>
      <c r="P24" s="708"/>
      <c r="Q24" s="63">
        <v>25</v>
      </c>
      <c r="R24" s="63"/>
      <c r="S24" s="114">
        <v>10</v>
      </c>
      <c r="T24" s="114">
        <v>15</v>
      </c>
      <c r="U24" s="63">
        <v>10</v>
      </c>
      <c r="V24" s="63"/>
      <c r="W24" s="114"/>
      <c r="X24" s="63"/>
      <c r="Y24" s="708"/>
      <c r="Z24" s="114">
        <v>50</v>
      </c>
      <c r="AA24" s="114"/>
      <c r="AB24" s="63"/>
      <c r="AC24" s="114"/>
      <c r="AD24" s="63"/>
      <c r="AE24" s="63">
        <v>25</v>
      </c>
      <c r="AF24" s="63"/>
      <c r="AG24" s="63"/>
      <c r="AH24" s="63"/>
      <c r="AI24" s="63"/>
      <c r="AJ24" s="63"/>
      <c r="AK24" s="63"/>
      <c r="AL24" s="63"/>
      <c r="AM24" s="63"/>
      <c r="AN24" s="63"/>
    </row>
    <row r="25" spans="1:40" s="83" customFormat="1" ht="15.5">
      <c r="A25" s="63" t="str">
        <f>IFERROR(VLOOKUP(Table5[[#This Row],[Player No]],Table11[[#All],[No]:[Age Group]],4,0),"")</f>
        <v>U15</v>
      </c>
      <c r="B25" s="61">
        <v>40</v>
      </c>
      <c r="C25" s="77">
        <f t="shared" si="4"/>
        <v>19</v>
      </c>
      <c r="D25" s="63">
        <f t="shared" si="3"/>
        <v>21</v>
      </c>
      <c r="E25" s="63">
        <v>7290</v>
      </c>
      <c r="F25" s="64" t="str">
        <f>IFERROR(VLOOKUP(Table5[[#This Row],[Player No]],Table11[[#All],[No]:[Province]],2,0),"")</f>
        <v xml:space="preserve">MAHLAMVU Simone </v>
      </c>
      <c r="G25" s="65" t="str">
        <f>IFERROR(VLOOKUP(Table5[[#This Row],[Player No]],Table11[[#All],[No]:[Province]],3,0),"")</f>
        <v>FS</v>
      </c>
      <c r="H25" s="66">
        <v>41.25</v>
      </c>
      <c r="I25" s="96">
        <v>114.125</v>
      </c>
      <c r="J25" s="789">
        <f>Table5[[#This Row],[Points 2025]]/2+SUM(Table5[[#This Row],[O1  ADMIN 2026]:[P2           WC         CT Open 2026]])</f>
        <v>77.0625</v>
      </c>
      <c r="K25" s="63">
        <f t="shared" si="1"/>
        <v>2</v>
      </c>
      <c r="L25" s="63">
        <f t="shared" si="2"/>
        <v>0</v>
      </c>
      <c r="M25" s="708" t="s">
        <v>6083</v>
      </c>
      <c r="N25" s="708">
        <v>10</v>
      </c>
      <c r="O25" s="708">
        <v>10</v>
      </c>
      <c r="P25" s="708"/>
      <c r="Q25" s="63">
        <v>25</v>
      </c>
      <c r="R25" s="63"/>
      <c r="S25" s="114"/>
      <c r="T25" s="114"/>
      <c r="U25" s="63"/>
      <c r="V25" s="63">
        <v>1</v>
      </c>
      <c r="W25" s="114"/>
      <c r="X25" s="63"/>
      <c r="Y25" s="708"/>
      <c r="Z25" s="114">
        <v>25</v>
      </c>
      <c r="AA25" s="114">
        <v>25</v>
      </c>
      <c r="AB25" s="63">
        <v>17.5</v>
      </c>
      <c r="AC25" s="114"/>
      <c r="AD25" s="63"/>
      <c r="AE25" s="63"/>
      <c r="AF25" s="63">
        <v>15</v>
      </c>
      <c r="AG25" s="63"/>
      <c r="AH25" s="63"/>
      <c r="AI25" s="63">
        <v>25</v>
      </c>
      <c r="AJ25" s="63"/>
      <c r="AK25" s="63"/>
      <c r="AL25" s="63"/>
      <c r="AM25" s="63">
        <v>1</v>
      </c>
      <c r="AN25" s="63"/>
    </row>
    <row r="26" spans="1:40" s="83" customFormat="1" ht="15.5">
      <c r="A26" s="63" t="str">
        <f>IFERROR(VLOOKUP(Table5[[#This Row],[Player No]],Table11[[#All],[No]:[Age Group]],4,0),"")</f>
        <v>U15</v>
      </c>
      <c r="B26" s="61"/>
      <c r="C26" s="77">
        <f t="shared" si="4"/>
        <v>-22</v>
      </c>
      <c r="D26" s="63">
        <f t="shared" si="3"/>
        <v>22</v>
      </c>
      <c r="E26" s="63">
        <v>8176</v>
      </c>
      <c r="F26" s="64" t="str">
        <f>IFERROR(VLOOKUP(Table5[[#This Row],[Player No]],Table11[[#All],[No]:[Province]],2,0),"")</f>
        <v>Phoofolo Refilwe</v>
      </c>
      <c r="G26" s="65" t="str">
        <f>IFERROR(VLOOKUP(Table5[[#This Row],[Player No]],Table11[[#All],[No]:[Province]],3,0),"")</f>
        <v>FS</v>
      </c>
      <c r="H26" s="66">
        <v>0</v>
      </c>
      <c r="I26" s="96">
        <v>115</v>
      </c>
      <c r="J26" s="789">
        <f>Table5[[#This Row],[Points 2025]]/2+SUM(Table5[[#This Row],[O1  ADMIN 2026]:[P2           WC         CT Open 2026]])</f>
        <v>72.5</v>
      </c>
      <c r="K26" s="63">
        <f t="shared" si="1"/>
        <v>1</v>
      </c>
      <c r="L26" s="63">
        <f t="shared" si="2"/>
        <v>0</v>
      </c>
      <c r="M26" s="708">
        <v>15</v>
      </c>
      <c r="N26" s="708" t="s">
        <v>6083</v>
      </c>
      <c r="O26" s="708" t="s">
        <v>6083</v>
      </c>
      <c r="P26" s="708"/>
      <c r="Q26" s="63"/>
      <c r="R26" s="63"/>
      <c r="S26" s="114"/>
      <c r="T26" s="114"/>
      <c r="U26" s="63"/>
      <c r="V26" s="63">
        <v>15</v>
      </c>
      <c r="W26" s="114"/>
      <c r="X26" s="63"/>
      <c r="Y26" s="708"/>
      <c r="Z26" s="114">
        <v>25</v>
      </c>
      <c r="AA26" s="114">
        <v>50</v>
      </c>
      <c r="AB26" s="63">
        <v>25</v>
      </c>
      <c r="AC26" s="114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</row>
    <row r="27" spans="1:40" s="83" customFormat="1" ht="15.5">
      <c r="A27" s="63">
        <f>IFERROR(VLOOKUP(Table5[[#This Row],[Player No]],Table11[[#All],[No]:[Age Group]],4,0),"")</f>
        <v>0</v>
      </c>
      <c r="B27" s="61"/>
      <c r="C27" s="77">
        <f t="shared" si="4"/>
        <v>-23</v>
      </c>
      <c r="D27" s="63">
        <f t="shared" si="3"/>
        <v>23</v>
      </c>
      <c r="E27" s="63">
        <v>8105</v>
      </c>
      <c r="F27" s="64" t="str">
        <f>IFERROR(VLOOKUP(Table5[[#This Row],[Player No]],Table11[[#All],[No]:[Province]],2,0),"")</f>
        <v>CHINANC Nompilenhle</v>
      </c>
      <c r="G27" s="65" t="str">
        <f>IFERROR(VLOOKUP(Table5[[#This Row],[Player No]],Table11[[#All],[No]:[Province]],3,0),"")</f>
        <v>ETK</v>
      </c>
      <c r="H27" s="66">
        <v>0</v>
      </c>
      <c r="I27" s="96">
        <v>100</v>
      </c>
      <c r="J27" s="789">
        <f>Table5[[#This Row],[Points 2025]]/2+SUM(Table5[[#This Row],[O1  ADMIN 2026]:[P2           WC         CT Open 2026]])</f>
        <v>70</v>
      </c>
      <c r="K27" s="63">
        <f t="shared" si="1"/>
        <v>2</v>
      </c>
      <c r="L27" s="63">
        <f t="shared" si="2"/>
        <v>0</v>
      </c>
      <c r="M27" s="708" t="s">
        <v>6083</v>
      </c>
      <c r="N27" s="708">
        <v>10</v>
      </c>
      <c r="O27" s="708">
        <v>10</v>
      </c>
      <c r="P27" s="708"/>
      <c r="Q27" s="63">
        <v>25</v>
      </c>
      <c r="R27" s="63"/>
      <c r="S27" s="114">
        <v>10</v>
      </c>
      <c r="T27" s="114">
        <v>25</v>
      </c>
      <c r="U27" s="63">
        <v>15</v>
      </c>
      <c r="V27" s="63"/>
      <c r="W27" s="114"/>
      <c r="X27" s="63"/>
      <c r="Y27" s="708"/>
      <c r="Z27" s="114">
        <v>25</v>
      </c>
      <c r="AA27" s="114"/>
      <c r="AB27" s="63"/>
      <c r="AC27" s="114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</row>
    <row r="28" spans="1:40" s="83" customFormat="1" ht="15.5">
      <c r="A28" s="63" t="str">
        <f>IFERROR(VLOOKUP(Table5[[#This Row],[Player No]],Table11[[#All],[No]:[Age Group]],4,0),"")</f>
        <v>U15</v>
      </c>
      <c r="B28" s="61">
        <v>38</v>
      </c>
      <c r="C28" s="77">
        <f t="shared" si="4"/>
        <v>14</v>
      </c>
      <c r="D28" s="63">
        <f t="shared" si="3"/>
        <v>24</v>
      </c>
      <c r="E28" s="63">
        <v>8260</v>
      </c>
      <c r="F28" s="64" t="str">
        <f>IFERROR(VLOOKUP(Table5[[#This Row],[Player No]],Table11[[#All],[No]:[Province]],2,0),"")</f>
        <v>HUNKIN Sarah</v>
      </c>
      <c r="G28" s="65" t="str">
        <f>IFERROR(VLOOKUP(Table5[[#This Row],[Player No]],Table11[[#All],[No]:[Province]],3,0),"")</f>
        <v>JTTA</v>
      </c>
      <c r="H28" s="66">
        <v>69</v>
      </c>
      <c r="I28" s="96">
        <v>104.5</v>
      </c>
      <c r="J28" s="789">
        <f>Table5[[#This Row],[Points 2025]]/2+SUM(Table5[[#This Row],[O1  ADMIN 2026]:[P2           WC         CT Open 2026]])</f>
        <v>67.25</v>
      </c>
      <c r="K28" s="63">
        <f t="shared" si="1"/>
        <v>1</v>
      </c>
      <c r="L28" s="63">
        <f t="shared" si="2"/>
        <v>0</v>
      </c>
      <c r="M28" s="708">
        <v>15</v>
      </c>
      <c r="N28" s="708" t="s">
        <v>6083</v>
      </c>
      <c r="O28" s="708" t="s">
        <v>6083</v>
      </c>
      <c r="P28" s="708"/>
      <c r="Q28" s="63"/>
      <c r="R28" s="63"/>
      <c r="S28" s="114"/>
      <c r="T28" s="114"/>
      <c r="U28" s="63"/>
      <c r="V28" s="63">
        <v>15</v>
      </c>
      <c r="W28" s="114">
        <v>20</v>
      </c>
      <c r="X28" s="63">
        <v>25</v>
      </c>
      <c r="Y28" s="708"/>
      <c r="Z28" s="114">
        <v>10</v>
      </c>
      <c r="AA28" s="114"/>
      <c r="AB28" s="63"/>
      <c r="AC28" s="114"/>
      <c r="AD28" s="63"/>
      <c r="AE28" s="63"/>
      <c r="AF28" s="63"/>
      <c r="AG28" s="63"/>
      <c r="AH28" s="63"/>
      <c r="AI28" s="63">
        <v>25</v>
      </c>
      <c r="AJ28" s="63">
        <v>15</v>
      </c>
      <c r="AK28" s="63">
        <v>25</v>
      </c>
      <c r="AL28" s="63">
        <v>2</v>
      </c>
      <c r="AM28" s="63">
        <v>1</v>
      </c>
      <c r="AN28" s="63">
        <v>1</v>
      </c>
    </row>
    <row r="29" spans="1:40" s="83" customFormat="1" ht="15.5">
      <c r="A29" s="63">
        <f>IFERROR(VLOOKUP(Table5[[#This Row],[Player No]],Table11[[#All],[No]:[Age Group]],4,0),"")</f>
        <v>0</v>
      </c>
      <c r="B29" s="61">
        <v>102</v>
      </c>
      <c r="C29" s="77">
        <f t="shared" si="4"/>
        <v>77</v>
      </c>
      <c r="D29" s="63">
        <f t="shared" si="3"/>
        <v>25</v>
      </c>
      <c r="E29" s="63">
        <v>8205</v>
      </c>
      <c r="F29" s="64" t="str">
        <f>IFERROR(VLOOKUP(Table5[[#This Row],[Player No]],Table11[[#All],[No]:[Province]],2,0),"")</f>
        <v>WILLIAMS Xoey</v>
      </c>
      <c r="G29" s="65" t="str">
        <f>IFERROR(VLOOKUP(Table5[[#This Row],[Player No]],Table11[[#All],[No]:[Province]],3,0),"")</f>
        <v>CT</v>
      </c>
      <c r="H29" s="66">
        <v>43.5</v>
      </c>
      <c r="I29" s="96">
        <v>110.25</v>
      </c>
      <c r="J29" s="789">
        <f>Table5[[#This Row],[Points 2025]]/2+SUM(Table5[[#This Row],[O1  ADMIN 2026]:[P2           WC         CT Open 2026]])</f>
        <v>55.125</v>
      </c>
      <c r="K29" s="63">
        <f t="shared" si="1"/>
        <v>0</v>
      </c>
      <c r="L29" s="63">
        <f t="shared" si="2"/>
        <v>0</v>
      </c>
      <c r="M29" s="708" t="s">
        <v>6083</v>
      </c>
      <c r="N29" s="708" t="s">
        <v>6083</v>
      </c>
      <c r="O29" s="708" t="s">
        <v>6083</v>
      </c>
      <c r="P29" s="708"/>
      <c r="Q29" s="63"/>
      <c r="R29" s="63"/>
      <c r="S29" s="114"/>
      <c r="T29" s="114"/>
      <c r="U29" s="63"/>
      <c r="V29" s="63"/>
      <c r="W29" s="114"/>
      <c r="X29" s="63"/>
      <c r="Y29" s="708"/>
      <c r="Z29" s="114">
        <v>25</v>
      </c>
      <c r="AA29" s="114">
        <v>1</v>
      </c>
      <c r="AB29" s="63"/>
      <c r="AC29" s="114">
        <v>12.5</v>
      </c>
      <c r="AD29" s="63">
        <v>50</v>
      </c>
      <c r="AE29" s="63"/>
      <c r="AF29" s="63"/>
      <c r="AG29" s="63">
        <v>1</v>
      </c>
      <c r="AH29" s="63">
        <f>75/2</f>
        <v>37.5</v>
      </c>
      <c r="AI29" s="63">
        <v>5</v>
      </c>
      <c r="AJ29" s="63"/>
      <c r="AK29" s="63"/>
      <c r="AL29" s="63"/>
      <c r="AM29" s="63"/>
      <c r="AN29" s="63"/>
    </row>
    <row r="30" spans="1:40" s="83" customFormat="1" ht="15.5">
      <c r="A30" s="63" t="str">
        <f>IFERROR(VLOOKUP(Table5[[#This Row],[Player No]],Table11[[#All],[No]:[Age Group]],4,0),"")</f>
        <v>U19</v>
      </c>
      <c r="B30" s="61">
        <v>8</v>
      </c>
      <c r="C30" s="77">
        <f t="shared" si="4"/>
        <v>-18</v>
      </c>
      <c r="D30" s="63">
        <f t="shared" si="3"/>
        <v>26</v>
      </c>
      <c r="E30" s="63">
        <v>7944</v>
      </c>
      <c r="F30" s="64" t="str">
        <f>IFERROR(VLOOKUP(Table5[[#This Row],[Player No]],Table11[[#All],[No]:[Province]],2,0),"")</f>
        <v>SOROUR Keira</v>
      </c>
      <c r="G30" s="65" t="str">
        <f>IFERROR(VLOOKUP(Table5[[#This Row],[Player No]],Table11[[#All],[No]:[Province]],3,0),"")</f>
        <v>JTTA</v>
      </c>
      <c r="H30" s="66">
        <v>217.5</v>
      </c>
      <c r="I30" s="96">
        <v>108.75</v>
      </c>
      <c r="J30" s="789">
        <f>Table5[[#This Row],[Points 2025]]/2+SUM(Table5[[#This Row],[O1  ADMIN 2026]:[P2           WC         CT Open 2026]])</f>
        <v>54.375</v>
      </c>
      <c r="K30" s="63">
        <f t="shared" si="1"/>
        <v>0</v>
      </c>
      <c r="L30" s="63">
        <f t="shared" si="2"/>
        <v>0</v>
      </c>
      <c r="M30" s="708" t="s">
        <v>6083</v>
      </c>
      <c r="N30" s="708" t="s">
        <v>6083</v>
      </c>
      <c r="O30" s="708" t="s">
        <v>6083</v>
      </c>
      <c r="P30" s="708"/>
      <c r="Q30" s="63"/>
      <c r="R30" s="63"/>
      <c r="S30" s="114"/>
      <c r="T30" s="114"/>
      <c r="U30" s="63"/>
      <c r="V30" s="63"/>
      <c r="W30" s="114"/>
      <c r="X30" s="63"/>
      <c r="Y30" s="708"/>
      <c r="Z30" s="114"/>
      <c r="AA30" s="114"/>
      <c r="AB30" s="63"/>
      <c r="AC30" s="114"/>
      <c r="AD30" s="63"/>
      <c r="AE30" s="63"/>
      <c r="AF30" s="63"/>
      <c r="AG30" s="63"/>
      <c r="AH30" s="63"/>
      <c r="AI30" s="63">
        <v>25</v>
      </c>
      <c r="AJ30" s="63">
        <v>50</v>
      </c>
      <c r="AK30" s="63">
        <v>35</v>
      </c>
      <c r="AL30" s="63">
        <v>25</v>
      </c>
      <c r="AM30" s="63">
        <v>1</v>
      </c>
      <c r="AN30" s="63">
        <v>50</v>
      </c>
    </row>
    <row r="31" spans="1:40" s="83" customFormat="1" ht="15.5">
      <c r="A31" s="63">
        <f>IFERROR(VLOOKUP(Table5[[#This Row],[Player No]],Table11[[#All],[No]:[Age Group]],4,0),"")</f>
        <v>0</v>
      </c>
      <c r="B31" s="61">
        <v>48</v>
      </c>
      <c r="C31" s="77">
        <f t="shared" si="4"/>
        <v>21</v>
      </c>
      <c r="D31" s="63">
        <f t="shared" si="3"/>
        <v>27</v>
      </c>
      <c r="E31" s="63">
        <v>8067</v>
      </c>
      <c r="F31" s="64" t="str">
        <f>IFERROR(VLOOKUP(Table5[[#This Row],[Player No]],Table11[[#All],[No]:[Province]],2,0),"")</f>
        <v>BHUNDOO Ashriya</v>
      </c>
      <c r="G31" s="65" t="str">
        <f>IFERROR(VLOOKUP(Table5[[#This Row],[Player No]],Table11[[#All],[No]:[Province]],3,0),"")</f>
        <v>UMG</v>
      </c>
      <c r="H31" s="66">
        <v>14.5</v>
      </c>
      <c r="I31" s="96">
        <v>41.25</v>
      </c>
      <c r="J31" s="789">
        <f>Table5[[#This Row],[Points 2025]]/2+SUM(Table5[[#This Row],[O1  ADMIN 2026]:[P2           WC         CT Open 2026]])</f>
        <v>50.625</v>
      </c>
      <c r="K31" s="63">
        <f t="shared" si="1"/>
        <v>2</v>
      </c>
      <c r="L31" s="63">
        <f t="shared" si="2"/>
        <v>0</v>
      </c>
      <c r="M31" s="708" t="s">
        <v>6083</v>
      </c>
      <c r="N31" s="708">
        <v>15</v>
      </c>
      <c r="O31" s="708">
        <v>15</v>
      </c>
      <c r="P31" s="708"/>
      <c r="Q31" s="63">
        <v>2</v>
      </c>
      <c r="R31" s="63">
        <v>15</v>
      </c>
      <c r="S31" s="114">
        <v>1</v>
      </c>
      <c r="T31" s="114">
        <v>1</v>
      </c>
      <c r="U31" s="63">
        <v>15</v>
      </c>
      <c r="V31" s="63"/>
      <c r="W31" s="114"/>
      <c r="X31" s="63"/>
      <c r="Y31" s="708"/>
      <c r="Z31" s="114"/>
      <c r="AA31" s="114"/>
      <c r="AB31" s="63"/>
      <c r="AC31" s="114"/>
      <c r="AD31" s="63"/>
      <c r="AE31" s="63"/>
      <c r="AF31" s="63">
        <v>1</v>
      </c>
      <c r="AG31" s="63"/>
      <c r="AH31" s="63"/>
      <c r="AI31" s="63"/>
      <c r="AJ31" s="63"/>
      <c r="AK31" s="63"/>
      <c r="AL31" s="63"/>
      <c r="AM31" s="63">
        <v>1</v>
      </c>
      <c r="AN31" s="63"/>
    </row>
    <row r="32" spans="1:40" s="83" customFormat="1" ht="15.5">
      <c r="A32" s="63">
        <f>IFERROR(VLOOKUP(Table5[[#This Row],[Player No]],Table11[[#All],[No]:[Age Group]],4,0),"")</f>
        <v>0</v>
      </c>
      <c r="B32" s="61"/>
      <c r="C32" s="77">
        <f t="shared" si="4"/>
        <v>-28</v>
      </c>
      <c r="D32" s="63">
        <f t="shared" si="3"/>
        <v>28</v>
      </c>
      <c r="E32" s="63">
        <v>8297</v>
      </c>
      <c r="F32" s="64" t="str">
        <f>IFERROR(VLOOKUP(Table5[[#This Row],[Player No]],Table11[[#All],[No]:[Province]],2,0),"")</f>
        <v>Mofokeng Topollo</v>
      </c>
      <c r="G32" s="65" t="str">
        <f>IFERROR(VLOOKUP(Table5[[#This Row],[Player No]],Table11[[#All],[No]:[Province]],3,0),"")</f>
        <v>ETK</v>
      </c>
      <c r="H32" s="66">
        <v>0</v>
      </c>
      <c r="I32" s="96">
        <v>80</v>
      </c>
      <c r="J32" s="789">
        <f>Table5[[#This Row],[Points 2025]]/2+SUM(Table5[[#This Row],[O1  ADMIN 2026]:[P2           WC         CT Open 2026]])</f>
        <v>50</v>
      </c>
      <c r="K32" s="63">
        <f t="shared" si="1"/>
        <v>1</v>
      </c>
      <c r="L32" s="63">
        <f t="shared" si="2"/>
        <v>0</v>
      </c>
      <c r="M32" s="708" t="s">
        <v>6083</v>
      </c>
      <c r="N32" s="708" t="s">
        <v>6083</v>
      </c>
      <c r="O32" s="708">
        <v>10</v>
      </c>
      <c r="P32" s="708"/>
      <c r="Q32" s="63">
        <v>25</v>
      </c>
      <c r="R32" s="63"/>
      <c r="S32" s="114"/>
      <c r="T32" s="114">
        <v>15</v>
      </c>
      <c r="U32" s="63">
        <v>15</v>
      </c>
      <c r="V32" s="63"/>
      <c r="W32" s="114"/>
      <c r="X32" s="63"/>
      <c r="Y32" s="708"/>
      <c r="Z32" s="114">
        <v>25</v>
      </c>
      <c r="AA32" s="114"/>
      <c r="AB32" s="63"/>
      <c r="AC32" s="114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</row>
    <row r="33" spans="1:40" s="83" customFormat="1" ht="15.5">
      <c r="A33" s="63">
        <f>IFERROR(VLOOKUP(Table5[[#This Row],[Player No]],Table11[[#All],[No]:[Age Group]],4,0),"")</f>
        <v>0</v>
      </c>
      <c r="B33" s="61"/>
      <c r="C33" s="77">
        <f t="shared" si="4"/>
        <v>-29</v>
      </c>
      <c r="D33" s="63">
        <f t="shared" si="3"/>
        <v>29</v>
      </c>
      <c r="E33" s="63">
        <v>8041</v>
      </c>
      <c r="F33" s="64" t="str">
        <f>IFERROR(VLOOKUP(Table5[[#This Row],[Player No]],Table11[[#All],[No]:[Province]],2,0),"")</f>
        <v>SMITH Shiloh</v>
      </c>
      <c r="G33" s="65" t="str">
        <f>IFERROR(VLOOKUP(Table5[[#This Row],[Player No]],Table11[[#All],[No]:[Province]],3,0),"")</f>
        <v>CT</v>
      </c>
      <c r="H33" s="66">
        <v>20</v>
      </c>
      <c r="I33" s="96">
        <v>93.5</v>
      </c>
      <c r="J33" s="789">
        <f>Table5[[#This Row],[Points 2025]]/2+SUM(Table5[[#This Row],[O1  ADMIN 2026]:[P2           WC         CT Open 2026]])</f>
        <v>46.75</v>
      </c>
      <c r="K33" s="63">
        <f t="shared" si="1"/>
        <v>0</v>
      </c>
      <c r="L33" s="63">
        <f t="shared" si="2"/>
        <v>0</v>
      </c>
      <c r="M33" s="708" t="s">
        <v>6083</v>
      </c>
      <c r="N33" s="708" t="s">
        <v>6083</v>
      </c>
      <c r="O33" s="708" t="s">
        <v>6083</v>
      </c>
      <c r="P33" s="708"/>
      <c r="Q33" s="63"/>
      <c r="R33" s="63"/>
      <c r="S33" s="114"/>
      <c r="T33" s="114"/>
      <c r="U33" s="63"/>
      <c r="V33" s="63"/>
      <c r="W33" s="114"/>
      <c r="X33" s="63"/>
      <c r="Y33" s="708"/>
      <c r="Z33" s="114">
        <v>50</v>
      </c>
      <c r="AA33" s="114">
        <v>1</v>
      </c>
      <c r="AB33" s="63"/>
      <c r="AC33" s="114">
        <v>7.5</v>
      </c>
      <c r="AD33" s="63">
        <v>25</v>
      </c>
      <c r="AE33" s="63"/>
      <c r="AF33" s="63"/>
      <c r="AG33" s="63">
        <v>15</v>
      </c>
      <c r="AH33" s="63"/>
      <c r="AI33" s="63">
        <v>5</v>
      </c>
      <c r="AJ33" s="63"/>
      <c r="AK33" s="63"/>
      <c r="AL33" s="63"/>
      <c r="AM33" s="63"/>
      <c r="AN33" s="63"/>
    </row>
    <row r="34" spans="1:40" s="83" customFormat="1" ht="15.5">
      <c r="A34" s="63">
        <f>IFERROR(VLOOKUP(Table5[[#This Row],[Player No]],Table11[[#All],[No]:[Age Group]],4,0),"")</f>
        <v>0</v>
      </c>
      <c r="B34" s="61">
        <v>39</v>
      </c>
      <c r="C34" s="77">
        <f t="shared" si="4"/>
        <v>9</v>
      </c>
      <c r="D34" s="63">
        <f t="shared" si="3"/>
        <v>30</v>
      </c>
      <c r="E34" s="63">
        <v>7458</v>
      </c>
      <c r="F34" s="64" t="str">
        <f>IFERROR(VLOOKUP(Table5[[#This Row],[Player No]],Table11[[#All],[No]:[Province]],2,0),"")</f>
        <v>ANANDHPURI Khiara</v>
      </c>
      <c r="G34" s="65" t="str">
        <f>IFERROR(VLOOKUP(Table5[[#This Row],[Player No]],Table11[[#All],[No]:[Province]],3,0),"")</f>
        <v>UMG</v>
      </c>
      <c r="H34" s="66">
        <v>16.75</v>
      </c>
      <c r="I34" s="96">
        <v>88.375</v>
      </c>
      <c r="J34" s="789">
        <f>Table5[[#This Row],[Points 2025]]/2+SUM(Table5[[#This Row],[O1  ADMIN 2026]:[P2           WC         CT Open 2026]])</f>
        <v>44.1875</v>
      </c>
      <c r="K34" s="63">
        <f t="shared" si="1"/>
        <v>0</v>
      </c>
      <c r="L34" s="63">
        <f t="shared" si="2"/>
        <v>0</v>
      </c>
      <c r="M34" s="708" t="s">
        <v>6083</v>
      </c>
      <c r="N34" s="708" t="s">
        <v>6083</v>
      </c>
      <c r="O34" s="708" t="s">
        <v>6083</v>
      </c>
      <c r="P34" s="708"/>
      <c r="Q34" s="63">
        <v>25</v>
      </c>
      <c r="R34" s="63">
        <v>10</v>
      </c>
      <c r="S34" s="114"/>
      <c r="T34" s="114">
        <v>25</v>
      </c>
      <c r="U34" s="63">
        <v>10</v>
      </c>
      <c r="V34" s="63"/>
      <c r="W34" s="114"/>
      <c r="X34" s="63"/>
      <c r="Y34" s="708"/>
      <c r="Z34" s="114">
        <v>10</v>
      </c>
      <c r="AA34" s="114"/>
      <c r="AB34" s="63"/>
      <c r="AC34" s="114"/>
      <c r="AD34" s="63"/>
      <c r="AE34" s="63">
        <v>2</v>
      </c>
      <c r="AF34" s="63">
        <v>1</v>
      </c>
      <c r="AG34" s="63"/>
      <c r="AH34" s="63"/>
      <c r="AI34" s="63"/>
      <c r="AJ34" s="63"/>
      <c r="AK34" s="63"/>
      <c r="AL34" s="63"/>
      <c r="AM34" s="63"/>
      <c r="AN34" s="63"/>
    </row>
    <row r="35" spans="1:40" s="83" customFormat="1" ht="15.5">
      <c r="A35" s="63">
        <f>IFERROR(VLOOKUP(Table5[[#This Row],[Player No]],Table11[[#All],[No]:[Age Group]],4,0),"")</f>
        <v>0</v>
      </c>
      <c r="B35" s="61">
        <v>10</v>
      </c>
      <c r="C35" s="77">
        <f t="shared" si="4"/>
        <v>-21</v>
      </c>
      <c r="D35" s="63">
        <f t="shared" si="3"/>
        <v>31</v>
      </c>
      <c r="E35" s="63">
        <v>7453</v>
      </c>
      <c r="F35" s="64" t="str">
        <f>IFERROR(VLOOKUP(Table5[[#This Row],[Player No]],Table11[[#All],[No]:[Province]],2,0),"")</f>
        <v xml:space="preserve">BHARATH Shivadhna </v>
      </c>
      <c r="G35" s="65" t="str">
        <f>IFERROR(VLOOKUP(Table5[[#This Row],[Player No]],Table11[[#All],[No]:[Province]],3,0),"")</f>
        <v>GN</v>
      </c>
      <c r="H35" s="66">
        <v>167.5</v>
      </c>
      <c r="I35" s="96">
        <v>83.75</v>
      </c>
      <c r="J35" s="789">
        <f>Table5[[#This Row],[Points 2025]]/2+SUM(Table5[[#This Row],[O1  ADMIN 2026]:[P2           WC         CT Open 2026]])</f>
        <v>41.875</v>
      </c>
      <c r="K35" s="63">
        <f t="shared" si="1"/>
        <v>0</v>
      </c>
      <c r="L35" s="63">
        <f t="shared" si="2"/>
        <v>0</v>
      </c>
      <c r="M35" s="708" t="s">
        <v>6083</v>
      </c>
      <c r="N35" s="708" t="s">
        <v>6083</v>
      </c>
      <c r="O35" s="708" t="s">
        <v>6083</v>
      </c>
      <c r="P35" s="708"/>
      <c r="Q35" s="63"/>
      <c r="R35" s="63"/>
      <c r="S35" s="114"/>
      <c r="T35" s="114"/>
      <c r="U35" s="63"/>
      <c r="V35" s="63"/>
      <c r="W35" s="114"/>
      <c r="X35" s="63"/>
      <c r="Y35" s="708"/>
      <c r="Z35" s="114"/>
      <c r="AA35" s="114"/>
      <c r="AB35" s="63"/>
      <c r="AC35" s="114"/>
      <c r="AD35" s="63"/>
      <c r="AE35" s="63"/>
      <c r="AF35" s="63"/>
      <c r="AG35" s="63"/>
      <c r="AH35" s="63"/>
      <c r="AI35" s="63">
        <v>50</v>
      </c>
      <c r="AJ35" s="63">
        <v>25</v>
      </c>
      <c r="AK35" s="63"/>
      <c r="AL35" s="63"/>
      <c r="AM35" s="63"/>
      <c r="AN35" s="63"/>
    </row>
    <row r="36" spans="1:40" s="83" customFormat="1" ht="15.5">
      <c r="A36" s="63">
        <f>IFERROR(VLOOKUP(Table5[[#This Row],[Player No]],Table11[[#All],[No]:[Age Group]],4,0),"")</f>
        <v>0</v>
      </c>
      <c r="B36" s="61">
        <v>50</v>
      </c>
      <c r="C36" s="77">
        <f t="shared" si="4"/>
        <v>18</v>
      </c>
      <c r="D36" s="63">
        <f t="shared" si="3"/>
        <v>32</v>
      </c>
      <c r="E36" s="63">
        <v>7993</v>
      </c>
      <c r="F36" s="64" t="str">
        <f>IFERROR(VLOOKUP(Table5[[#This Row],[Player No]],Table11[[#All],[No]:[Province]],2,0),"")</f>
        <v>MOCHABELA Refilwe</v>
      </c>
      <c r="G36" s="65" t="str">
        <f>IFERROR(VLOOKUP(Table5[[#This Row],[Player No]],Table11[[#All],[No]:[Province]],3,0),"")</f>
        <v>LIM</v>
      </c>
      <c r="H36" s="66">
        <v>62.5</v>
      </c>
      <c r="I36" s="96">
        <v>81.25</v>
      </c>
      <c r="J36" s="789">
        <f>Table5[[#This Row],[Points 2025]]/2+SUM(Table5[[#This Row],[O1  ADMIN 2026]:[P2           WC         CT Open 2026]])</f>
        <v>40.625</v>
      </c>
      <c r="K36" s="63">
        <f t="shared" si="1"/>
        <v>0</v>
      </c>
      <c r="L36" s="63">
        <f t="shared" si="2"/>
        <v>0</v>
      </c>
      <c r="M36" s="708" t="s">
        <v>6083</v>
      </c>
      <c r="N36" s="708" t="s">
        <v>6083</v>
      </c>
      <c r="O36" s="708" t="s">
        <v>6083</v>
      </c>
      <c r="P36" s="708"/>
      <c r="Q36" s="63"/>
      <c r="R36" s="63"/>
      <c r="S36" s="114"/>
      <c r="T36" s="114"/>
      <c r="U36" s="63"/>
      <c r="V36" s="63"/>
      <c r="W36" s="114"/>
      <c r="X36" s="63"/>
      <c r="Y36" s="708"/>
      <c r="Z36" s="114">
        <v>50</v>
      </c>
      <c r="AA36" s="114"/>
      <c r="AB36" s="63"/>
      <c r="AC36" s="114"/>
      <c r="AD36" s="63"/>
      <c r="AE36" s="63"/>
      <c r="AF36" s="63"/>
      <c r="AG36" s="63"/>
      <c r="AH36" s="63"/>
      <c r="AI36" s="63">
        <v>50</v>
      </c>
      <c r="AJ36" s="63"/>
      <c r="AK36" s="63"/>
      <c r="AL36" s="63"/>
      <c r="AM36" s="63"/>
      <c r="AN36" s="63"/>
    </row>
    <row r="37" spans="1:40" s="83" customFormat="1" ht="15.5">
      <c r="A37" s="202"/>
      <c r="B37" s="202"/>
      <c r="C37" s="203">
        <f t="shared" si="4"/>
        <v>-33</v>
      </c>
      <c r="D37" s="63">
        <f t="shared" si="3"/>
        <v>33</v>
      </c>
      <c r="E37" s="208">
        <v>8113</v>
      </c>
      <c r="F37" s="64" t="str">
        <f>IFERROR(VLOOKUP(Table5[[#This Row],[Player No]],Table11[[#All],[No]:[Province]],2,0),"")</f>
        <v>NJEMLA MBATHA Olwethu</v>
      </c>
      <c r="G37" s="65" t="str">
        <f>IFERROR(VLOOKUP(Table5[[#This Row],[Player No]],Table11[[#All],[No]:[Province]],3,0),"")</f>
        <v>ETK</v>
      </c>
      <c r="H37" s="66">
        <v>0</v>
      </c>
      <c r="I37" s="207">
        <v>57</v>
      </c>
      <c r="J37" s="818">
        <f>Table5[[#This Row],[Points 2025]]/2+SUM(Table5[[#This Row],[O1  ADMIN 2026]:[P2           WC         CT Open 2026]])</f>
        <v>39.5</v>
      </c>
      <c r="K37" s="63">
        <f t="shared" ref="K37:K68" si="5">COUNTIF(M37:P37,"&gt;0")</f>
        <v>2</v>
      </c>
      <c r="L37" s="63">
        <f t="shared" ref="L37:L68" si="6">COUNTIF(N37:AN37,"&lt;0")</f>
        <v>0</v>
      </c>
      <c r="M37" s="708" t="s">
        <v>6083</v>
      </c>
      <c r="N37" s="708">
        <v>10</v>
      </c>
      <c r="O37" s="708">
        <v>1</v>
      </c>
      <c r="P37" s="708"/>
      <c r="Q37" s="208">
        <v>2</v>
      </c>
      <c r="R37" s="208"/>
      <c r="S37" s="320">
        <v>15</v>
      </c>
      <c r="T37" s="320">
        <v>15</v>
      </c>
      <c r="U37" s="208"/>
      <c r="V37" s="208"/>
      <c r="W37" s="320"/>
      <c r="X37" s="208"/>
      <c r="Y37" s="710"/>
      <c r="Z37" s="320">
        <v>25</v>
      </c>
      <c r="AA37" s="320"/>
      <c r="AB37" s="208"/>
      <c r="AC37" s="320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</row>
    <row r="38" spans="1:40" s="83" customFormat="1" ht="15.5">
      <c r="A38" s="63">
        <f>IFERROR(VLOOKUP(Table5[[#This Row],[Player No]],Table11[[#All],[No]:[Age Group]],4,0),"")</f>
        <v>0</v>
      </c>
      <c r="B38" s="61">
        <v>34</v>
      </c>
      <c r="C38" s="77">
        <f t="shared" si="4"/>
        <v>0</v>
      </c>
      <c r="D38" s="63">
        <f t="shared" si="3"/>
        <v>34</v>
      </c>
      <c r="E38" s="63">
        <v>8107</v>
      </c>
      <c r="F38" s="64" t="str">
        <f>IFERROR(VLOOKUP(Table5[[#This Row],[Player No]],Table11[[#All],[No]:[Province]],2,0),"")</f>
        <v>MACHI Azile</v>
      </c>
      <c r="G38" s="65" t="str">
        <f>IFERROR(VLOOKUP(Table5[[#This Row],[Player No]],Table11[[#All],[No]:[Province]],3,0),"")</f>
        <v>ETK</v>
      </c>
      <c r="H38" s="66">
        <v>45</v>
      </c>
      <c r="I38" s="96">
        <v>72.5</v>
      </c>
      <c r="J38" s="789">
        <f>Table5[[#This Row],[Points 2025]]/2+SUM(Table5[[#This Row],[O1  ADMIN 2026]:[P2           WC         CT Open 2026]])</f>
        <v>36.25</v>
      </c>
      <c r="K38" s="63">
        <f t="shared" si="5"/>
        <v>0</v>
      </c>
      <c r="L38" s="63">
        <f t="shared" si="6"/>
        <v>0</v>
      </c>
      <c r="M38" s="708" t="s">
        <v>6083</v>
      </c>
      <c r="N38" s="708" t="s">
        <v>6083</v>
      </c>
      <c r="O38" s="708" t="s">
        <v>6083</v>
      </c>
      <c r="P38" s="708"/>
      <c r="Q38" s="63"/>
      <c r="R38" s="63"/>
      <c r="S38" s="114"/>
      <c r="T38" s="114"/>
      <c r="U38" s="63"/>
      <c r="V38" s="63"/>
      <c r="W38" s="114"/>
      <c r="X38" s="63"/>
      <c r="Y38" s="708"/>
      <c r="Z38" s="114">
        <v>25</v>
      </c>
      <c r="AA38" s="114">
        <v>25</v>
      </c>
      <c r="AB38" s="63"/>
      <c r="AC38" s="114"/>
      <c r="AD38" s="63"/>
      <c r="AE38" s="63"/>
      <c r="AF38" s="63"/>
      <c r="AG38" s="63"/>
      <c r="AH38" s="63"/>
      <c r="AI38" s="63">
        <v>25</v>
      </c>
      <c r="AJ38" s="63"/>
      <c r="AK38" s="63"/>
      <c r="AL38" s="63"/>
      <c r="AM38" s="63"/>
      <c r="AN38" s="63"/>
    </row>
    <row r="39" spans="1:40" s="83" customFormat="1" ht="15.5">
      <c r="A39" s="61"/>
      <c r="B39" s="61"/>
      <c r="C39" s="77">
        <f t="shared" si="4"/>
        <v>-35</v>
      </c>
      <c r="D39" s="63">
        <f t="shared" si="3"/>
        <v>35</v>
      </c>
      <c r="E39" s="63">
        <v>8632</v>
      </c>
      <c r="F39" s="64" t="str">
        <f>IFERROR(VLOOKUP(Table5[[#This Row],[Player No]],Table11[[#All],[No]:[Province]],2,0),"")</f>
        <v>GOVENDER  Teme' Aureliah</v>
      </c>
      <c r="G39" s="65" t="str">
        <f>IFERROR(VLOOKUP(Table5[[#This Row],[Player No]],Table11[[#All],[No]:[Province]],3,0),"")</f>
        <v>ETTA</v>
      </c>
      <c r="H39" s="66">
        <v>0</v>
      </c>
      <c r="I39" s="96">
        <v>29</v>
      </c>
      <c r="J39" s="789">
        <f>Table5[[#This Row],[Points 2025]]/2+SUM(Table5[[#This Row],[O1  ADMIN 2026]:[P2           WC         CT Open 2026]])</f>
        <v>34.5</v>
      </c>
      <c r="K39" s="63">
        <f t="shared" si="5"/>
        <v>2</v>
      </c>
      <c r="L39" s="63">
        <f t="shared" si="6"/>
        <v>0</v>
      </c>
      <c r="M39" s="708" t="s">
        <v>6083</v>
      </c>
      <c r="N39" s="708">
        <v>10</v>
      </c>
      <c r="O39" s="708">
        <v>10</v>
      </c>
      <c r="P39" s="708"/>
      <c r="Q39" s="63">
        <v>15</v>
      </c>
      <c r="R39" s="63">
        <v>1</v>
      </c>
      <c r="S39" s="114">
        <v>1</v>
      </c>
      <c r="T39" s="114">
        <v>1</v>
      </c>
      <c r="U39" s="63">
        <v>1</v>
      </c>
      <c r="V39" s="63"/>
      <c r="W39" s="114"/>
      <c r="X39" s="63"/>
      <c r="Y39" s="708"/>
      <c r="Z39" s="114">
        <v>10</v>
      </c>
      <c r="AA39" s="114"/>
      <c r="AB39" s="63"/>
      <c r="AC39" s="114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</row>
    <row r="40" spans="1:40" s="83" customFormat="1" ht="15.5">
      <c r="A40" s="61"/>
      <c r="B40" s="61"/>
      <c r="C40" s="77">
        <f t="shared" si="4"/>
        <v>-36</v>
      </c>
      <c r="D40" s="63">
        <f t="shared" si="3"/>
        <v>36</v>
      </c>
      <c r="E40" s="63">
        <v>8568</v>
      </c>
      <c r="F40" s="64" t="str">
        <f>IFERROR(VLOOKUP(Table5[[#This Row],[Player No]],Table11[[#All],[No]:[Province]],2,0),"")</f>
        <v>Nevadya Rampersad</v>
      </c>
      <c r="G40" s="65" t="str">
        <f>IFERROR(VLOOKUP(Table5[[#This Row],[Player No]],Table11[[#All],[No]:[Province]],3,0),"")</f>
        <v>UMG</v>
      </c>
      <c r="H40" s="66">
        <v>0</v>
      </c>
      <c r="I40" s="96">
        <v>16</v>
      </c>
      <c r="J40" s="789">
        <f>Table5[[#This Row],[Points 2025]]/2+SUM(Table5[[#This Row],[O1  ADMIN 2026]:[P2           WC         CT Open 2026]])</f>
        <v>34</v>
      </c>
      <c r="K40" s="63">
        <f t="shared" si="5"/>
        <v>3</v>
      </c>
      <c r="L40" s="63">
        <f t="shared" si="6"/>
        <v>0</v>
      </c>
      <c r="M40" s="708">
        <v>15</v>
      </c>
      <c r="N40" s="708">
        <v>10</v>
      </c>
      <c r="O40" s="708">
        <v>1</v>
      </c>
      <c r="P40" s="708"/>
      <c r="Q40" s="63">
        <v>2</v>
      </c>
      <c r="R40" s="63">
        <v>1</v>
      </c>
      <c r="S40" s="114">
        <v>10</v>
      </c>
      <c r="T40" s="114"/>
      <c r="U40" s="63">
        <v>1</v>
      </c>
      <c r="V40" s="63">
        <v>1</v>
      </c>
      <c r="W40" s="114">
        <v>1</v>
      </c>
      <c r="X40" s="63"/>
      <c r="Y40" s="708"/>
      <c r="Z40" s="114"/>
      <c r="AA40" s="114"/>
      <c r="AB40" s="63"/>
      <c r="AC40" s="114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</row>
    <row r="41" spans="1:40" s="83" customFormat="1" ht="15.5">
      <c r="A41" s="63" t="str">
        <f>IFERROR(VLOOKUP(Table5[[#This Row],[Player No]],Table11[[#All],[No]:[Age Group]],4,0),"")</f>
        <v>U19</v>
      </c>
      <c r="B41" s="61">
        <v>44</v>
      </c>
      <c r="C41" s="77">
        <f t="shared" si="4"/>
        <v>7</v>
      </c>
      <c r="D41" s="63">
        <f t="shared" si="3"/>
        <v>37</v>
      </c>
      <c r="E41" s="63">
        <v>7457</v>
      </c>
      <c r="F41" s="64" t="str">
        <f>IFERROR(VLOOKUP(Table5[[#This Row],[Player No]],Table11[[#All],[No]:[Province]],2,0),"")</f>
        <v>MOODLEY Suvaria</v>
      </c>
      <c r="G41" s="65" t="str">
        <f>IFERROR(VLOOKUP(Table5[[#This Row],[Player No]],Table11[[#All],[No]:[Province]],3,0),"")</f>
        <v>UMG</v>
      </c>
      <c r="H41" s="66">
        <v>17.75</v>
      </c>
      <c r="I41" s="96">
        <v>64.875</v>
      </c>
      <c r="J41" s="789">
        <f>Table5[[#This Row],[Points 2025]]/2+SUM(Table5[[#This Row],[O1  ADMIN 2026]:[P2           WC         CT Open 2026]])</f>
        <v>32.4375</v>
      </c>
      <c r="K41" s="63">
        <f t="shared" si="5"/>
        <v>0</v>
      </c>
      <c r="L41" s="63">
        <f t="shared" si="6"/>
        <v>0</v>
      </c>
      <c r="M41" s="708" t="s">
        <v>6083</v>
      </c>
      <c r="N41" s="708" t="s">
        <v>6083</v>
      </c>
      <c r="O41" s="708" t="s">
        <v>6083</v>
      </c>
      <c r="P41" s="708"/>
      <c r="Q41" s="63">
        <v>25</v>
      </c>
      <c r="R41" s="63">
        <v>10</v>
      </c>
      <c r="S41" s="114">
        <v>10</v>
      </c>
      <c r="T41" s="114">
        <v>1</v>
      </c>
      <c r="U41" s="63"/>
      <c r="V41" s="63"/>
      <c r="W41" s="114"/>
      <c r="X41" s="63"/>
      <c r="Y41" s="708"/>
      <c r="Z41" s="114">
        <v>10</v>
      </c>
      <c r="AA41" s="114"/>
      <c r="AB41" s="63"/>
      <c r="AC41" s="114"/>
      <c r="AD41" s="63"/>
      <c r="AE41" s="63"/>
      <c r="AF41" s="63"/>
      <c r="AG41" s="63"/>
      <c r="AH41" s="63"/>
      <c r="AI41" s="63"/>
      <c r="AJ41" s="63"/>
      <c r="AK41" s="63"/>
      <c r="AL41" s="63">
        <v>2</v>
      </c>
      <c r="AM41" s="63"/>
      <c r="AN41" s="63"/>
    </row>
    <row r="42" spans="1:40" s="83" customFormat="1" ht="15.5">
      <c r="A42" s="61"/>
      <c r="B42" s="61"/>
      <c r="C42" s="77">
        <f t="shared" si="4"/>
        <v>-38</v>
      </c>
      <c r="D42" s="63">
        <f t="shared" si="3"/>
        <v>38</v>
      </c>
      <c r="E42" s="63">
        <v>8317</v>
      </c>
      <c r="F42" s="64" t="str">
        <f>IFERROR(VLOOKUP(Table5[[#This Row],[Player No]],Table11[[#All],[No]:[Province]],2,0),"")</f>
        <v xml:space="preserve">KHOZA Simangele </v>
      </c>
      <c r="G42" s="65" t="str">
        <f>IFERROR(VLOOKUP(Table5[[#This Row],[Player No]],Table11[[#All],[No]:[Province]],3,0),"")</f>
        <v>ETK</v>
      </c>
      <c r="H42" s="66">
        <v>0</v>
      </c>
      <c r="I42" s="96">
        <v>61</v>
      </c>
      <c r="J42" s="789">
        <f>Table5[[#This Row],[Points 2025]]/2+SUM(Table5[[#This Row],[O1  ADMIN 2026]:[P2           WC         CT Open 2026]])</f>
        <v>31.5</v>
      </c>
      <c r="K42" s="63">
        <f t="shared" si="5"/>
        <v>1</v>
      </c>
      <c r="L42" s="63">
        <f t="shared" si="6"/>
        <v>0</v>
      </c>
      <c r="M42" s="708" t="s">
        <v>6083</v>
      </c>
      <c r="N42" s="708" t="s">
        <v>6083</v>
      </c>
      <c r="O42" s="708">
        <v>1</v>
      </c>
      <c r="P42" s="708"/>
      <c r="Q42" s="63"/>
      <c r="R42" s="63">
        <v>10</v>
      </c>
      <c r="S42" s="114">
        <v>1</v>
      </c>
      <c r="T42" s="114">
        <v>15</v>
      </c>
      <c r="U42" s="63">
        <v>10</v>
      </c>
      <c r="V42" s="63"/>
      <c r="W42" s="114"/>
      <c r="X42" s="63"/>
      <c r="Y42" s="708"/>
      <c r="Z42" s="114">
        <v>25</v>
      </c>
      <c r="AA42" s="114"/>
      <c r="AB42" s="63"/>
      <c r="AC42" s="114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</row>
    <row r="43" spans="1:40" s="83" customFormat="1" ht="15.5">
      <c r="A43" s="63" t="str">
        <f>IFERROR(VLOOKUP(Table5[[#This Row],[Player No]],Table11[[#All],[No]:[Age Group]],4,0),"")</f>
        <v>U15</v>
      </c>
      <c r="B43" s="61"/>
      <c r="C43" s="77">
        <f t="shared" si="4"/>
        <v>-39</v>
      </c>
      <c r="D43" s="63">
        <f t="shared" si="3"/>
        <v>39</v>
      </c>
      <c r="E43" s="63">
        <v>8042</v>
      </c>
      <c r="F43" s="64" t="str">
        <f>IFERROR(VLOOKUP(Table5[[#This Row],[Player No]],Table11[[#All],[No]:[Province]],2,0),"")</f>
        <v>DE VILLIER Adrunecia</v>
      </c>
      <c r="G43" s="65" t="str">
        <f>IFERROR(VLOOKUP(Table5[[#This Row],[Player No]],Table11[[#All],[No]:[Province]],3,0),"")</f>
        <v>WC</v>
      </c>
      <c r="H43" s="66">
        <v>25</v>
      </c>
      <c r="I43" s="96">
        <v>62.5</v>
      </c>
      <c r="J43" s="789">
        <f>Table5[[#This Row],[Points 2025]]/2+SUM(Table5[[#This Row],[O1  ADMIN 2026]:[P2           WC         CT Open 2026]])</f>
        <v>31.25</v>
      </c>
      <c r="K43" s="63">
        <f t="shared" si="5"/>
        <v>0</v>
      </c>
      <c r="L43" s="63">
        <f t="shared" si="6"/>
        <v>0</v>
      </c>
      <c r="M43" s="708" t="s">
        <v>6083</v>
      </c>
      <c r="N43" s="708" t="s">
        <v>6083</v>
      </c>
      <c r="O43" s="708" t="s">
        <v>6083</v>
      </c>
      <c r="P43" s="708"/>
      <c r="Q43" s="63"/>
      <c r="R43" s="63"/>
      <c r="S43" s="114"/>
      <c r="T43" s="114"/>
      <c r="U43" s="63"/>
      <c r="V43" s="63"/>
      <c r="W43" s="114"/>
      <c r="X43" s="63"/>
      <c r="Y43" s="708"/>
      <c r="Z43" s="114"/>
      <c r="AA43" s="114"/>
      <c r="AB43" s="63"/>
      <c r="AC43" s="114"/>
      <c r="AD43" s="63">
        <v>50</v>
      </c>
      <c r="AE43" s="63"/>
      <c r="AF43" s="63"/>
      <c r="AG43" s="63">
        <v>25</v>
      </c>
      <c r="AH43" s="63"/>
      <c r="AI43" s="63"/>
      <c r="AJ43" s="63"/>
      <c r="AK43" s="63"/>
      <c r="AL43" s="63"/>
      <c r="AM43" s="63"/>
      <c r="AN43" s="63"/>
    </row>
    <row r="44" spans="1:40" s="83" customFormat="1" ht="15.5">
      <c r="A44" s="63">
        <f>IFERROR(VLOOKUP(Table5[[#This Row],[Player No]],Table11[[#All],[No]:[Age Group]],4,0),"")</f>
        <v>0</v>
      </c>
      <c r="B44" s="61"/>
      <c r="C44" s="77">
        <f t="shared" si="4"/>
        <v>-40</v>
      </c>
      <c r="D44" s="63">
        <f t="shared" si="3"/>
        <v>40</v>
      </c>
      <c r="E44" s="63">
        <v>8044</v>
      </c>
      <c r="F44" s="64" t="str">
        <f>IFERROR(VLOOKUP(Table5[[#This Row],[Player No]],Table11[[#All],[No]:[Province]],2,0),"")</f>
        <v>SWARTZ Zainick</v>
      </c>
      <c r="G44" s="65" t="str">
        <f>IFERROR(VLOOKUP(Table5[[#This Row],[Player No]],Table11[[#All],[No]:[Province]],3,0),"")</f>
        <v>WC</v>
      </c>
      <c r="H44" s="66">
        <v>25</v>
      </c>
      <c r="I44" s="96">
        <v>62.5</v>
      </c>
      <c r="J44" s="789">
        <f>Table5[[#This Row],[Points 2025]]/2+SUM(Table5[[#This Row],[O1  ADMIN 2026]:[P2           WC         CT Open 2026]])</f>
        <v>31.25</v>
      </c>
      <c r="K44" s="63">
        <f t="shared" si="5"/>
        <v>0</v>
      </c>
      <c r="L44" s="63">
        <f t="shared" si="6"/>
        <v>0</v>
      </c>
      <c r="M44" s="708" t="s">
        <v>6083</v>
      </c>
      <c r="N44" s="708" t="s">
        <v>6083</v>
      </c>
      <c r="O44" s="708" t="s">
        <v>6083</v>
      </c>
      <c r="P44" s="708"/>
      <c r="Q44" s="63"/>
      <c r="R44" s="63"/>
      <c r="S44" s="114"/>
      <c r="T44" s="114"/>
      <c r="U44" s="63"/>
      <c r="V44" s="63"/>
      <c r="W44" s="114"/>
      <c r="X44" s="63"/>
      <c r="Y44" s="708"/>
      <c r="Z44" s="114">
        <v>0</v>
      </c>
      <c r="AA44" s="114"/>
      <c r="AB44" s="63"/>
      <c r="AC44" s="114"/>
      <c r="AD44" s="63">
        <v>50</v>
      </c>
      <c r="AE44" s="63"/>
      <c r="AF44" s="63"/>
      <c r="AG44" s="63">
        <v>25</v>
      </c>
      <c r="AH44" s="63"/>
      <c r="AI44" s="63"/>
      <c r="AJ44" s="63"/>
      <c r="AK44" s="63"/>
      <c r="AL44" s="63"/>
      <c r="AM44" s="63"/>
      <c r="AN44" s="63"/>
    </row>
    <row r="45" spans="1:40" s="83" customFormat="1" ht="15.5">
      <c r="A45" s="63" t="str">
        <f>IFERROR(VLOOKUP(Table5[[#This Row],[Player No]],Table11[[#All],[No]:[Age Group]],4,0),"")</f>
        <v>U19</v>
      </c>
      <c r="B45" s="61">
        <v>36</v>
      </c>
      <c r="C45" s="77">
        <f t="shared" si="4"/>
        <v>-5</v>
      </c>
      <c r="D45" s="63">
        <f t="shared" si="3"/>
        <v>41</v>
      </c>
      <c r="E45" s="63">
        <v>7297</v>
      </c>
      <c r="F45" s="64" t="str">
        <f>IFERROR(VLOOKUP(Table5[[#This Row],[Player No]],Table11[[#All],[No]:[Province]],2,0),"")</f>
        <v xml:space="preserve">ISMAIL Taahira </v>
      </c>
      <c r="G45" s="65" t="str">
        <f>IFERROR(VLOOKUP(Table5[[#This Row],[Player No]],Table11[[#All],[No]:[Province]],3,0),"")</f>
        <v>Ilembe</v>
      </c>
      <c r="H45" s="66">
        <v>18.75</v>
      </c>
      <c r="I45" s="96">
        <v>60.375</v>
      </c>
      <c r="J45" s="789">
        <f>Table5[[#This Row],[Points 2025]]/2+SUM(Table5[[#This Row],[O1  ADMIN 2026]:[P2           WC         CT Open 2026]])</f>
        <v>30.1875</v>
      </c>
      <c r="K45" s="63">
        <f t="shared" si="5"/>
        <v>0</v>
      </c>
      <c r="L45" s="63">
        <f t="shared" si="6"/>
        <v>0</v>
      </c>
      <c r="M45" s="708" t="s">
        <v>6083</v>
      </c>
      <c r="N45" s="708" t="s">
        <v>6083</v>
      </c>
      <c r="O45" s="708" t="s">
        <v>6083</v>
      </c>
      <c r="P45" s="708"/>
      <c r="Q45" s="63">
        <v>25</v>
      </c>
      <c r="R45" s="63"/>
      <c r="S45" s="114"/>
      <c r="T45" s="114">
        <v>1</v>
      </c>
      <c r="U45" s="63"/>
      <c r="V45" s="63"/>
      <c r="W45" s="114"/>
      <c r="X45" s="63"/>
      <c r="Y45" s="708"/>
      <c r="Z45" s="114">
        <v>25</v>
      </c>
      <c r="AA45" s="114"/>
      <c r="AB45" s="63"/>
      <c r="AC45" s="114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</row>
    <row r="46" spans="1:40" s="83" customFormat="1" ht="15.5">
      <c r="A46" s="61"/>
      <c r="B46" s="61"/>
      <c r="C46" s="77">
        <f t="shared" si="4"/>
        <v>-42</v>
      </c>
      <c r="D46" s="63">
        <f t="shared" si="3"/>
        <v>42</v>
      </c>
      <c r="E46" s="63">
        <v>8446</v>
      </c>
      <c r="F46" s="64" t="str">
        <f>IFERROR(VLOOKUP(Table5[[#This Row],[Player No]],Table11[[#All],[No]:[Province]],2,0),"")</f>
        <v>RAMCHURRAN Leora</v>
      </c>
      <c r="G46" s="65" t="str">
        <f>IFERROR(VLOOKUP(Table5[[#This Row],[Player No]],Table11[[#All],[No]:[Province]],3,0),"")</f>
        <v>UMG</v>
      </c>
      <c r="H46" s="66">
        <v>0</v>
      </c>
      <c r="I46" s="96">
        <v>35</v>
      </c>
      <c r="J46" s="789">
        <f>Table5[[#This Row],[Points 2025]]/2+SUM(Table5[[#This Row],[O1  ADMIN 2026]:[P2           WC         CT Open 2026]])</f>
        <v>29.5</v>
      </c>
      <c r="K46" s="63">
        <f t="shared" si="5"/>
        <v>2</v>
      </c>
      <c r="L46" s="63">
        <f t="shared" si="6"/>
        <v>0</v>
      </c>
      <c r="M46" s="708" t="s">
        <v>6083</v>
      </c>
      <c r="N46" s="708">
        <v>2</v>
      </c>
      <c r="O46" s="708">
        <v>10</v>
      </c>
      <c r="P46" s="708"/>
      <c r="Q46" s="63">
        <v>2</v>
      </c>
      <c r="R46" s="63">
        <v>10</v>
      </c>
      <c r="S46" s="114">
        <v>1</v>
      </c>
      <c r="T46" s="114"/>
      <c r="U46" s="63">
        <v>1</v>
      </c>
      <c r="V46" s="63">
        <v>1</v>
      </c>
      <c r="W46" s="114">
        <v>20</v>
      </c>
      <c r="X46" s="63"/>
      <c r="Y46" s="708"/>
      <c r="Z46" s="114"/>
      <c r="AA46" s="114"/>
      <c r="AB46" s="63"/>
      <c r="AC46" s="114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</row>
    <row r="47" spans="1:40" s="83" customFormat="1" ht="15.5">
      <c r="A47" s="155"/>
      <c r="B47" s="155"/>
      <c r="C47" s="160">
        <f t="shared" si="4"/>
        <v>-43</v>
      </c>
      <c r="D47" s="63">
        <f t="shared" si="3"/>
        <v>43</v>
      </c>
      <c r="E47" s="157">
        <v>8175</v>
      </c>
      <c r="F47" s="64" t="str">
        <f>IFERROR(VLOOKUP(Table5[[#This Row],[Player No]],Table11[[#All],[No]:[Province]],2,0),"")</f>
        <v>PILLAY Tarini</v>
      </c>
      <c r="G47" s="65" t="str">
        <f>IFERROR(VLOOKUP(Table5[[#This Row],[Player No]],Table11[[#All],[No]:[Province]],3,0),"")</f>
        <v>UMG</v>
      </c>
      <c r="H47" s="66">
        <v>0</v>
      </c>
      <c r="I47" s="159">
        <v>19</v>
      </c>
      <c r="J47" s="820">
        <f>Table5[[#This Row],[Points 2025]]/2+SUM(Table5[[#This Row],[O1  ADMIN 2026]:[P2           WC         CT Open 2026]])</f>
        <v>29.5</v>
      </c>
      <c r="K47" s="63">
        <f t="shared" si="5"/>
        <v>2</v>
      </c>
      <c r="L47" s="63">
        <f t="shared" si="6"/>
        <v>0</v>
      </c>
      <c r="M47" s="708" t="s">
        <v>6083</v>
      </c>
      <c r="N47" s="708">
        <v>10</v>
      </c>
      <c r="O47" s="708">
        <v>10</v>
      </c>
      <c r="P47" s="708"/>
      <c r="Q47" s="157">
        <v>2</v>
      </c>
      <c r="R47" s="157">
        <v>1</v>
      </c>
      <c r="S47" s="165">
        <v>1</v>
      </c>
      <c r="T47" s="165">
        <v>15</v>
      </c>
      <c r="U47" s="157"/>
      <c r="V47" s="157"/>
      <c r="W47" s="165"/>
      <c r="X47" s="157"/>
      <c r="Y47" s="712"/>
      <c r="Z47" s="165"/>
      <c r="AA47" s="165"/>
      <c r="AB47" s="157"/>
      <c r="AC47" s="165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spans="1:40" s="83" customFormat="1" ht="15.5">
      <c r="A48" s="339"/>
      <c r="B48" s="339"/>
      <c r="C48" s="324">
        <f t="shared" ref="C48:C79" si="7">+B48-D48</f>
        <v>-44</v>
      </c>
      <c r="D48" s="63">
        <f t="shared" si="3"/>
        <v>44</v>
      </c>
      <c r="E48" s="327">
        <v>8038</v>
      </c>
      <c r="F48" s="64" t="str">
        <f>IFERROR(VLOOKUP(Table5[[#This Row],[Player No]],Table11[[#All],[No]:[Province]],2,0),"")</f>
        <v>SCHOEMAN Jude</v>
      </c>
      <c r="G48" s="341" t="str">
        <f>IFERROR(VLOOKUP(Table5[[#This Row],[Player No]],Table11[[#All],[No]:[Province]],3,0),"")</f>
        <v>CT</v>
      </c>
      <c r="H48" s="335">
        <v>0</v>
      </c>
      <c r="I48" s="331">
        <v>57.5</v>
      </c>
      <c r="J48" s="817">
        <f>Table5[[#This Row],[Points 2025]]/2+SUM(Table5[[#This Row],[O1  ADMIN 2026]:[P2           WC         CT Open 2026]])</f>
        <v>28.75</v>
      </c>
      <c r="K48" s="327">
        <f t="shared" si="5"/>
        <v>0</v>
      </c>
      <c r="L48" s="63">
        <f t="shared" si="6"/>
        <v>0</v>
      </c>
      <c r="M48" s="708" t="s">
        <v>6083</v>
      </c>
      <c r="N48" s="711" t="s">
        <v>6083</v>
      </c>
      <c r="O48" s="711" t="s">
        <v>6083</v>
      </c>
      <c r="P48" s="711"/>
      <c r="Q48" s="327"/>
      <c r="R48" s="327"/>
      <c r="S48" s="321"/>
      <c r="T48" s="321"/>
      <c r="U48" s="327"/>
      <c r="V48" s="327"/>
      <c r="W48" s="321"/>
      <c r="X48" s="327"/>
      <c r="Y48" s="711"/>
      <c r="Z48" s="321"/>
      <c r="AA48" s="321"/>
      <c r="AB48" s="327"/>
      <c r="AC48" s="321">
        <v>7.5</v>
      </c>
      <c r="AD48" s="327">
        <v>50</v>
      </c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</row>
    <row r="49" spans="1:40" s="83" customFormat="1" ht="15.5">
      <c r="A49" s="63" t="str">
        <f>IFERROR(VLOOKUP(Table5[[#This Row],[Player No]],Table11[[#All],[No]:[Age Group]],4,0),"")</f>
        <v>U19</v>
      </c>
      <c r="B49" s="61">
        <v>43</v>
      </c>
      <c r="C49" s="77">
        <f t="shared" si="7"/>
        <v>-2</v>
      </c>
      <c r="D49" s="63">
        <f t="shared" si="3"/>
        <v>45</v>
      </c>
      <c r="E49" s="63">
        <v>8256</v>
      </c>
      <c r="F49" s="64" t="str">
        <f>IFERROR(VLOOKUP(Table5[[#This Row],[Player No]],Table11[[#All],[No]:[Province]],2,0),"")</f>
        <v>BENSON Precious</v>
      </c>
      <c r="G49" s="65" t="str">
        <f>IFERROR(VLOOKUP(Table5[[#This Row],[Player No]],Table11[[#All],[No]:[Province]],3,0),"")</f>
        <v>JTTA</v>
      </c>
      <c r="H49" s="66">
        <v>21</v>
      </c>
      <c r="I49" s="96">
        <v>45.5</v>
      </c>
      <c r="J49" s="789">
        <f>Table5[[#This Row],[Points 2025]]/2+SUM(Table5[[#This Row],[O1  ADMIN 2026]:[P2           WC         CT Open 2026]])</f>
        <v>22.75</v>
      </c>
      <c r="K49" s="63">
        <f t="shared" si="5"/>
        <v>0</v>
      </c>
      <c r="L49" s="63">
        <f t="shared" si="6"/>
        <v>0</v>
      </c>
      <c r="M49" s="708" t="s">
        <v>6083</v>
      </c>
      <c r="N49" s="708" t="s">
        <v>6083</v>
      </c>
      <c r="O49" s="708" t="s">
        <v>6083</v>
      </c>
      <c r="P49" s="708"/>
      <c r="Q49" s="63"/>
      <c r="R49" s="63"/>
      <c r="S49" s="114"/>
      <c r="T49" s="114"/>
      <c r="U49" s="63"/>
      <c r="V49" s="63">
        <v>25</v>
      </c>
      <c r="W49" s="114"/>
      <c r="X49" s="63"/>
      <c r="Y49" s="708"/>
      <c r="Z49" s="114">
        <v>10</v>
      </c>
      <c r="AA49" s="114"/>
      <c r="AB49" s="63"/>
      <c r="AC49" s="114"/>
      <c r="AD49" s="63"/>
      <c r="AE49" s="63"/>
      <c r="AF49" s="63"/>
      <c r="AG49" s="63"/>
      <c r="AH49" s="63"/>
      <c r="AI49" s="63">
        <v>5</v>
      </c>
      <c r="AJ49" s="63">
        <v>15</v>
      </c>
      <c r="AK49" s="63"/>
      <c r="AL49" s="63"/>
      <c r="AM49" s="63"/>
      <c r="AN49" s="63">
        <v>1</v>
      </c>
    </row>
    <row r="50" spans="1:40" s="83" customFormat="1" ht="15.5">
      <c r="A50" s="63">
        <f>IFERROR(VLOOKUP(Table5[[#This Row],[Player No]],Table11[[#All],[No]:[Age Group]],4,0),"")</f>
        <v>0</v>
      </c>
      <c r="B50" s="61">
        <v>20</v>
      </c>
      <c r="C50" s="77">
        <f t="shared" si="7"/>
        <v>-26</v>
      </c>
      <c r="D50" s="63">
        <f t="shared" si="3"/>
        <v>46</v>
      </c>
      <c r="E50" s="63">
        <v>8134</v>
      </c>
      <c r="F50" s="64" t="str">
        <f>IFERROR(VLOOKUP(Table5[[#This Row],[Player No]],Table11[[#All],[No]:[Province]],2,0),"")</f>
        <v>LE ROUX Madelize</v>
      </c>
      <c r="G50" s="65" t="str">
        <f>IFERROR(VLOOKUP(Table5[[#This Row],[Player No]],Table11[[#All],[No]:[Province]],3,0),"")</f>
        <v>GN</v>
      </c>
      <c r="H50" s="66">
        <v>89.25</v>
      </c>
      <c r="I50" s="96">
        <v>44.625</v>
      </c>
      <c r="J50" s="789">
        <f>Table5[[#This Row],[Points 2025]]/2+SUM(Table5[[#This Row],[O1  ADMIN 2026]:[P2           WC         CT Open 2026]])</f>
        <v>22.3125</v>
      </c>
      <c r="K50" s="63">
        <f t="shared" si="5"/>
        <v>0</v>
      </c>
      <c r="L50" s="63">
        <f t="shared" si="6"/>
        <v>0</v>
      </c>
      <c r="M50" s="708" t="s">
        <v>6083</v>
      </c>
      <c r="N50" s="708" t="s">
        <v>6083</v>
      </c>
      <c r="O50" s="708" t="s">
        <v>6083</v>
      </c>
      <c r="P50" s="708"/>
      <c r="Q50" s="63"/>
      <c r="R50" s="63"/>
      <c r="S50" s="114"/>
      <c r="T50" s="114"/>
      <c r="U50" s="63"/>
      <c r="V50" s="63"/>
      <c r="W50" s="114"/>
      <c r="X50" s="63"/>
      <c r="Y50" s="708"/>
      <c r="Z50" s="114"/>
      <c r="AA50" s="114"/>
      <c r="AB50" s="63"/>
      <c r="AC50" s="114"/>
      <c r="AD50" s="63"/>
      <c r="AE50" s="63"/>
      <c r="AF50" s="63"/>
      <c r="AG50" s="63"/>
      <c r="AH50" s="63"/>
      <c r="AI50" s="63">
        <v>5</v>
      </c>
      <c r="AJ50" s="63"/>
      <c r="AK50" s="63"/>
      <c r="AL50" s="63">
        <v>25</v>
      </c>
      <c r="AM50" s="63">
        <v>15</v>
      </c>
      <c r="AN50" s="63">
        <v>25</v>
      </c>
    </row>
    <row r="51" spans="1:40" s="83" customFormat="1" ht="15.5">
      <c r="A51" s="63">
        <f>IFERROR(VLOOKUP(Table5[[#This Row],[Player No]],Table11[[#All],[No]:[Age Group]],4,0),"")</f>
        <v>0</v>
      </c>
      <c r="B51" s="61">
        <v>27</v>
      </c>
      <c r="C51" s="77">
        <f t="shared" si="7"/>
        <v>-20</v>
      </c>
      <c r="D51" s="63">
        <f t="shared" si="3"/>
        <v>47</v>
      </c>
      <c r="E51" s="63">
        <v>8098</v>
      </c>
      <c r="F51" s="64" t="str">
        <f>IFERROR(VLOOKUP(Table5[[#This Row],[Player No]],Table11[[#All],[No]:[Province]],2,0),"")</f>
        <v>BHUGWANDEEN Prajna</v>
      </c>
      <c r="G51" s="65" t="str">
        <f>IFERROR(VLOOKUP(Table5[[#This Row],[Player No]],Table11[[#All],[No]:[Province]],3,0),"")</f>
        <v>UMG</v>
      </c>
      <c r="H51" s="66">
        <v>29.5</v>
      </c>
      <c r="I51" s="96">
        <v>43.75</v>
      </c>
      <c r="J51" s="789">
        <f>Table5[[#This Row],[Points 2025]]/2+SUM(Table5[[#This Row],[O1  ADMIN 2026]:[P2           WC         CT Open 2026]])</f>
        <v>21.875</v>
      </c>
      <c r="K51" s="63">
        <f t="shared" si="5"/>
        <v>0</v>
      </c>
      <c r="L51" s="63">
        <f t="shared" si="6"/>
        <v>0</v>
      </c>
      <c r="M51" s="708" t="s">
        <v>6083</v>
      </c>
      <c r="N51" s="708" t="s">
        <v>6083</v>
      </c>
      <c r="O51" s="708" t="s">
        <v>6083</v>
      </c>
      <c r="P51" s="708"/>
      <c r="Q51" s="63">
        <v>2</v>
      </c>
      <c r="R51" s="63">
        <v>1</v>
      </c>
      <c r="S51" s="114">
        <v>10</v>
      </c>
      <c r="T51" s="114">
        <v>15</v>
      </c>
      <c r="U51" s="63">
        <v>1</v>
      </c>
      <c r="V51" s="63"/>
      <c r="W51" s="114"/>
      <c r="X51" s="63"/>
      <c r="Y51" s="708"/>
      <c r="Z51" s="114"/>
      <c r="AA51" s="114"/>
      <c r="AB51" s="63"/>
      <c r="AC51" s="114"/>
      <c r="AD51" s="63"/>
      <c r="AE51" s="63">
        <v>2</v>
      </c>
      <c r="AF51" s="63">
        <v>15</v>
      </c>
      <c r="AG51" s="63"/>
      <c r="AH51" s="63"/>
      <c r="AI51" s="63"/>
      <c r="AJ51" s="63"/>
      <c r="AK51" s="63"/>
      <c r="AL51" s="63"/>
      <c r="AM51" s="63"/>
      <c r="AN51" s="63"/>
    </row>
    <row r="52" spans="1:40" s="83" customFormat="1" ht="15.5">
      <c r="A52" s="615"/>
      <c r="B52" s="615"/>
      <c r="C52" s="618">
        <f t="shared" si="7"/>
        <v>-48</v>
      </c>
      <c r="D52" s="63">
        <f t="shared" si="3"/>
        <v>48</v>
      </c>
      <c r="E52" s="624">
        <v>8816</v>
      </c>
      <c r="F52" s="64" t="str">
        <f>IFERROR(VLOOKUP(Table5[[#This Row],[Player No]],Table11[[#All],[No]:[Province]],2,0),"")</f>
        <v>GOVINDER Saranon</v>
      </c>
      <c r="G52" s="65" t="str">
        <f>IFERROR(VLOOKUP(Table5[[#This Row],[Player No]],Table11[[#All],[No]:[Province]],3,0),"")</f>
        <v>NMB</v>
      </c>
      <c r="H52" s="66">
        <v>0</v>
      </c>
      <c r="I52" s="644">
        <v>42.5</v>
      </c>
      <c r="J52" s="819">
        <f>Table5[[#This Row],[Points 2025]]/2+SUM(Table5[[#This Row],[O1  ADMIN 2026]:[P2           WC         CT Open 2026]])</f>
        <v>21.25</v>
      </c>
      <c r="K52" s="624">
        <f t="shared" si="5"/>
        <v>0</v>
      </c>
      <c r="L52" s="63">
        <f t="shared" si="6"/>
        <v>0</v>
      </c>
      <c r="M52" s="708" t="s">
        <v>6083</v>
      </c>
      <c r="N52" s="709" t="s">
        <v>6083</v>
      </c>
      <c r="O52" s="709" t="s">
        <v>6083</v>
      </c>
      <c r="P52" s="709"/>
      <c r="Q52" s="624"/>
      <c r="R52" s="624"/>
      <c r="S52" s="625"/>
      <c r="T52" s="625"/>
      <c r="U52" s="624"/>
      <c r="V52" s="624"/>
      <c r="W52" s="625"/>
      <c r="X52" s="624"/>
      <c r="Y52" s="709">
        <v>37.5</v>
      </c>
      <c r="Z52" s="625">
        <v>5</v>
      </c>
      <c r="AA52" s="625"/>
      <c r="AB52" s="624"/>
      <c r="AC52" s="625"/>
      <c r="AD52" s="624"/>
      <c r="AE52" s="624"/>
      <c r="AF52" s="624"/>
      <c r="AG52" s="624"/>
      <c r="AH52" s="624"/>
      <c r="AI52" s="624"/>
      <c r="AJ52" s="624"/>
      <c r="AK52" s="624"/>
      <c r="AL52" s="624"/>
      <c r="AM52" s="624"/>
      <c r="AN52" s="624"/>
    </row>
    <row r="53" spans="1:40" s="83" customFormat="1" ht="15.5">
      <c r="A53" s="615"/>
      <c r="B53" s="615"/>
      <c r="C53" s="618">
        <f t="shared" si="7"/>
        <v>-49</v>
      </c>
      <c r="D53" s="63">
        <f t="shared" si="3"/>
        <v>49</v>
      </c>
      <c r="E53" s="624">
        <v>8842</v>
      </c>
      <c r="F53" s="64" t="str">
        <f>IFERROR(VLOOKUP(Table5[[#This Row],[Player No]],Table11[[#All],[No]:[Province]],2,0),"")</f>
        <v>Carlynne KROUTZ</v>
      </c>
      <c r="G53" s="65" t="str">
        <f>IFERROR(VLOOKUP(Table5[[#This Row],[Player No]],Table11[[#All],[No]:[Province]],3,0),"")</f>
        <v>NMB</v>
      </c>
      <c r="H53" s="66">
        <v>0</v>
      </c>
      <c r="I53" s="644">
        <v>42.5</v>
      </c>
      <c r="J53" s="819">
        <f>Table5[[#This Row],[Points 2025]]/2+SUM(Table5[[#This Row],[O1  ADMIN 2026]:[P2           WC         CT Open 2026]])</f>
        <v>21.25</v>
      </c>
      <c r="K53" s="624">
        <f t="shared" si="5"/>
        <v>0</v>
      </c>
      <c r="L53" s="63">
        <f t="shared" si="6"/>
        <v>0</v>
      </c>
      <c r="M53" s="708" t="s">
        <v>6083</v>
      </c>
      <c r="N53" s="709" t="s">
        <v>6083</v>
      </c>
      <c r="O53" s="709" t="s">
        <v>6083</v>
      </c>
      <c r="P53" s="709"/>
      <c r="Q53" s="624"/>
      <c r="R53" s="624"/>
      <c r="S53" s="625"/>
      <c r="T53" s="625"/>
      <c r="U53" s="624"/>
      <c r="V53" s="624"/>
      <c r="W53" s="625"/>
      <c r="X53" s="624"/>
      <c r="Y53" s="709">
        <v>37.5</v>
      </c>
      <c r="Z53" s="625">
        <v>5</v>
      </c>
      <c r="AA53" s="625"/>
      <c r="AB53" s="624"/>
      <c r="AC53" s="625"/>
      <c r="AD53" s="624"/>
      <c r="AE53" s="624"/>
      <c r="AF53" s="624"/>
      <c r="AG53" s="624"/>
      <c r="AH53" s="624"/>
      <c r="AI53" s="624"/>
      <c r="AJ53" s="624"/>
      <c r="AK53" s="624"/>
      <c r="AL53" s="624"/>
      <c r="AM53" s="624"/>
      <c r="AN53" s="624"/>
    </row>
    <row r="54" spans="1:40" s="83" customFormat="1" ht="15.5">
      <c r="A54" s="63">
        <f>IFERROR(VLOOKUP(Table5[[#This Row],[Player No]],Table11[[#All],[No]:[Age Group]],4,0),"")</f>
        <v>0</v>
      </c>
      <c r="B54" s="61"/>
      <c r="C54" s="77">
        <f t="shared" si="7"/>
        <v>-50</v>
      </c>
      <c r="D54" s="63">
        <f t="shared" si="3"/>
        <v>50</v>
      </c>
      <c r="E54" s="63">
        <v>7992</v>
      </c>
      <c r="F54" s="64" t="str">
        <f>IFERROR(VLOOKUP(Table5[[#This Row],[Player No]],Table11[[#All],[No]:[Province]],2,0),"")</f>
        <v>MOHATLI Mpho</v>
      </c>
      <c r="G54" s="65" t="str">
        <f>IFERROR(VLOOKUP(Table5[[#This Row],[Player No]],Table11[[#All],[No]:[Province]],3,0),"")</f>
        <v>LIM</v>
      </c>
      <c r="H54" s="66">
        <v>81</v>
      </c>
      <c r="I54" s="96">
        <v>40.5</v>
      </c>
      <c r="J54" s="789">
        <f>Table5[[#This Row],[Points 2025]]/2+SUM(Table5[[#This Row],[O1  ADMIN 2026]:[P2           WC         CT Open 2026]])</f>
        <v>20.25</v>
      </c>
      <c r="K54" s="63">
        <f t="shared" si="5"/>
        <v>0</v>
      </c>
      <c r="L54" s="63">
        <f t="shared" si="6"/>
        <v>0</v>
      </c>
      <c r="M54" s="708" t="s">
        <v>6083</v>
      </c>
      <c r="N54" s="708" t="s">
        <v>6083</v>
      </c>
      <c r="O54" s="708" t="s">
        <v>6083</v>
      </c>
      <c r="P54" s="708"/>
      <c r="Q54" s="63"/>
      <c r="R54" s="63"/>
      <c r="S54" s="114"/>
      <c r="T54" s="114"/>
      <c r="U54" s="63"/>
      <c r="V54" s="63"/>
      <c r="W54" s="114"/>
      <c r="X54" s="63"/>
      <c r="Y54" s="708"/>
      <c r="Z54" s="114"/>
      <c r="AA54" s="114"/>
      <c r="AB54" s="63"/>
      <c r="AC54" s="114"/>
      <c r="AD54" s="63"/>
      <c r="AE54" s="63"/>
      <c r="AF54" s="63"/>
      <c r="AG54" s="63"/>
      <c r="AH54" s="63"/>
      <c r="AI54" s="63">
        <v>50</v>
      </c>
      <c r="AJ54" s="63"/>
      <c r="AK54" s="63"/>
      <c r="AL54" s="63"/>
      <c r="AM54" s="63"/>
      <c r="AN54" s="63"/>
    </row>
    <row r="55" spans="1:40" s="83" customFormat="1" ht="15.5">
      <c r="A55" s="63">
        <f>IFERROR(VLOOKUP(Table5[[#This Row],[Player No]],Table11[[#All],[No]:[Age Group]],4,0),"")</f>
        <v>0</v>
      </c>
      <c r="B55" s="61">
        <v>102</v>
      </c>
      <c r="C55" s="77">
        <f t="shared" si="7"/>
        <v>51</v>
      </c>
      <c r="D55" s="63">
        <f t="shared" si="3"/>
        <v>51</v>
      </c>
      <c r="E55" s="63">
        <v>8392</v>
      </c>
      <c r="F55" s="64" t="str">
        <f>IFERROR(VLOOKUP(Table5[[#This Row],[Player No]],Table11[[#All],[No]:[Province]],2,0),"")</f>
        <v>THEUNESSIN Jody</v>
      </c>
      <c r="G55" s="65" t="str">
        <f>IFERROR(VLOOKUP(Table5[[#This Row],[Player No]],Table11[[#All],[No]:[Province]],3,0),"")</f>
        <v>CT</v>
      </c>
      <c r="H55" s="66">
        <v>17</v>
      </c>
      <c r="I55" s="96">
        <v>39</v>
      </c>
      <c r="J55" s="789">
        <f>Table5[[#This Row],[Points 2025]]/2+SUM(Table5[[#This Row],[O1  ADMIN 2026]:[P2           WC         CT Open 2026]])</f>
        <v>19.5</v>
      </c>
      <c r="K55" s="63">
        <f t="shared" si="5"/>
        <v>0</v>
      </c>
      <c r="L55" s="63">
        <f t="shared" si="6"/>
        <v>0</v>
      </c>
      <c r="M55" s="708" t="s">
        <v>6083</v>
      </c>
      <c r="N55" s="708" t="s">
        <v>6083</v>
      </c>
      <c r="O55" s="708" t="s">
        <v>6083</v>
      </c>
      <c r="P55" s="708"/>
      <c r="Q55" s="63"/>
      <c r="R55" s="63"/>
      <c r="S55" s="114"/>
      <c r="T55" s="114"/>
      <c r="U55" s="63"/>
      <c r="V55" s="63"/>
      <c r="W55" s="114"/>
      <c r="X55" s="63"/>
      <c r="Y55" s="708"/>
      <c r="Z55" s="114">
        <v>5</v>
      </c>
      <c r="AA55" s="114"/>
      <c r="AB55" s="63"/>
      <c r="AC55" s="114">
        <v>0.5</v>
      </c>
      <c r="AD55" s="63">
        <v>25</v>
      </c>
      <c r="AE55" s="63"/>
      <c r="AF55" s="63"/>
      <c r="AG55" s="63">
        <v>15</v>
      </c>
      <c r="AH55" s="63">
        <v>2</v>
      </c>
      <c r="AI55" s="63"/>
      <c r="AJ55" s="63"/>
      <c r="AK55" s="63"/>
      <c r="AL55" s="63"/>
      <c r="AM55" s="63"/>
      <c r="AN55" s="63"/>
    </row>
    <row r="56" spans="1:40" s="83" customFormat="1" ht="15.5">
      <c r="A56" s="63" t="str">
        <f>IFERROR(VLOOKUP(Table5[[#This Row],[Player No]],Table11[[#All],[No]:[Age Group]],4,0),"")</f>
        <v>U19</v>
      </c>
      <c r="B56" s="61">
        <v>28</v>
      </c>
      <c r="C56" s="77">
        <f t="shared" si="7"/>
        <v>-24</v>
      </c>
      <c r="D56" s="63">
        <f t="shared" si="3"/>
        <v>52</v>
      </c>
      <c r="E56" s="63">
        <v>7763</v>
      </c>
      <c r="F56" s="64" t="str">
        <f>IFERROR(VLOOKUP(Table5[[#This Row],[Player No]],Table11[[#All],[No]:[Province]],2,0),"")</f>
        <v>ALEXANDER Jada</v>
      </c>
      <c r="G56" s="65" t="str">
        <f>IFERROR(VLOOKUP(Table5[[#This Row],[Player No]],Table11[[#All],[No]:[Province]],3,0),"")</f>
        <v>CT</v>
      </c>
      <c r="H56" s="66">
        <v>77.5</v>
      </c>
      <c r="I56" s="96">
        <v>38.75</v>
      </c>
      <c r="J56" s="789">
        <f>Table5[[#This Row],[Points 2025]]/2+SUM(Table5[[#This Row],[O1  ADMIN 2026]:[P2           WC         CT Open 2026]])</f>
        <v>19.375</v>
      </c>
      <c r="K56" s="63">
        <f t="shared" si="5"/>
        <v>0</v>
      </c>
      <c r="L56" s="63">
        <f t="shared" si="6"/>
        <v>0</v>
      </c>
      <c r="M56" s="708" t="s">
        <v>6083</v>
      </c>
      <c r="N56" s="708" t="s">
        <v>6083</v>
      </c>
      <c r="O56" s="708" t="s">
        <v>6083</v>
      </c>
      <c r="P56" s="708"/>
      <c r="Q56" s="63"/>
      <c r="R56" s="63"/>
      <c r="S56" s="114"/>
      <c r="T56" s="114"/>
      <c r="U56" s="63"/>
      <c r="V56" s="63"/>
      <c r="W56" s="114"/>
      <c r="X56" s="63"/>
      <c r="Y56" s="708"/>
      <c r="Z56" s="114"/>
      <c r="AA56" s="114"/>
      <c r="AB56" s="63"/>
      <c r="AC56" s="114"/>
      <c r="AD56" s="63"/>
      <c r="AE56" s="63"/>
      <c r="AF56" s="63"/>
      <c r="AG56" s="63">
        <v>25</v>
      </c>
      <c r="AH56" s="63"/>
      <c r="AI56" s="63">
        <v>25</v>
      </c>
      <c r="AJ56" s="63"/>
      <c r="AK56" s="63"/>
      <c r="AL56" s="63"/>
      <c r="AM56" s="63"/>
      <c r="AN56" s="63"/>
    </row>
    <row r="57" spans="1:40" s="83" customFormat="1" ht="15.5">
      <c r="A57" s="63">
        <f>IFERROR(VLOOKUP(Table5[[#This Row],[Player No]],Table11[[#All],[No]:[Age Group]],4,0),"")</f>
        <v>0</v>
      </c>
      <c r="B57" s="61">
        <v>17</v>
      </c>
      <c r="C57" s="77">
        <f t="shared" si="7"/>
        <v>-36</v>
      </c>
      <c r="D57" s="63">
        <f t="shared" si="3"/>
        <v>53</v>
      </c>
      <c r="E57" s="63">
        <v>7518</v>
      </c>
      <c r="F57" s="64" t="s">
        <v>869</v>
      </c>
      <c r="G57" s="65" t="str">
        <f>IFERROR(VLOOKUP(Table5[[#This Row],[Player No]],Table11[[#All],[No]:[Province]],3,0),"")</f>
        <v>UMG</v>
      </c>
      <c r="H57" s="66">
        <v>73.046875</v>
      </c>
      <c r="I57" s="96">
        <v>36.5234375</v>
      </c>
      <c r="J57" s="789">
        <f>Table5[[#This Row],[Points 2025]]/2+SUM(Table5[[#This Row],[O1  ADMIN 2026]:[P2           WC         CT Open 2026]])</f>
        <v>18.26171875</v>
      </c>
      <c r="K57" s="63">
        <f t="shared" si="5"/>
        <v>0</v>
      </c>
      <c r="L57" s="63">
        <f t="shared" si="6"/>
        <v>0</v>
      </c>
      <c r="M57" s="708" t="s">
        <v>6083</v>
      </c>
      <c r="N57" s="708" t="s">
        <v>6083</v>
      </c>
      <c r="O57" s="708" t="s">
        <v>6083</v>
      </c>
      <c r="P57" s="708"/>
      <c r="Q57" s="63"/>
      <c r="R57" s="63"/>
      <c r="S57" s="114"/>
      <c r="T57" s="114"/>
      <c r="U57" s="63"/>
      <c r="V57" s="63"/>
      <c r="W57" s="114"/>
      <c r="X57" s="63"/>
      <c r="Y57" s="708"/>
      <c r="Z57" s="114"/>
      <c r="AA57" s="114"/>
      <c r="AB57" s="63"/>
      <c r="AC57" s="114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</row>
    <row r="58" spans="1:40" s="83" customFormat="1" ht="15.5">
      <c r="A58" s="63" t="str">
        <f>IFERROR(VLOOKUP(Table5[[#This Row],[Player No]],Table11[[#All],[No]:[Age Group]],4,0),"")</f>
        <v>U19</v>
      </c>
      <c r="B58" s="61">
        <v>46</v>
      </c>
      <c r="C58" s="77">
        <f t="shared" si="7"/>
        <v>-8</v>
      </c>
      <c r="D58" s="63">
        <f t="shared" si="3"/>
        <v>54</v>
      </c>
      <c r="E58" s="63">
        <v>7496</v>
      </c>
      <c r="F58" s="64" t="str">
        <f>IFERROR(VLOOKUP(Table5[[#This Row],[Player No]],Table11[[#All],[No]:[Province]],2,0),"")</f>
        <v>MATSIE Halaletsang</v>
      </c>
      <c r="G58" s="65" t="str">
        <f>IFERROR(VLOOKUP(Table5[[#This Row],[Player No]],Table11[[#All],[No]:[Province]],3,0),"")</f>
        <v>FS</v>
      </c>
      <c r="H58" s="66">
        <v>15.46875</v>
      </c>
      <c r="I58" s="96">
        <v>33.734375</v>
      </c>
      <c r="J58" s="789">
        <f>Table5[[#This Row],[Points 2025]]/2+SUM(Table5[[#This Row],[O1  ADMIN 2026]:[P2           WC         CT Open 2026]])</f>
        <v>16.8671875</v>
      </c>
      <c r="K58" s="63">
        <f t="shared" si="5"/>
        <v>0</v>
      </c>
      <c r="L58" s="63">
        <f t="shared" si="6"/>
        <v>0</v>
      </c>
      <c r="M58" s="708" t="s">
        <v>6083</v>
      </c>
      <c r="N58" s="708" t="s">
        <v>6083</v>
      </c>
      <c r="O58" s="708" t="s">
        <v>6083</v>
      </c>
      <c r="P58" s="708"/>
      <c r="Q58" s="63"/>
      <c r="R58" s="63"/>
      <c r="S58" s="114"/>
      <c r="T58" s="114"/>
      <c r="U58" s="63"/>
      <c r="V58" s="63"/>
      <c r="W58" s="114"/>
      <c r="X58" s="63"/>
      <c r="Y58" s="708"/>
      <c r="Z58" s="114">
        <v>25</v>
      </c>
      <c r="AA58" s="114">
        <v>1</v>
      </c>
      <c r="AB58" s="63"/>
      <c r="AC58" s="114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</row>
    <row r="59" spans="1:40" s="83" customFormat="1" ht="15.5">
      <c r="A59" s="61"/>
      <c r="B59" s="61"/>
      <c r="C59" s="77">
        <f t="shared" si="7"/>
        <v>-55</v>
      </c>
      <c r="D59" s="63">
        <f t="shared" si="3"/>
        <v>55</v>
      </c>
      <c r="E59" s="63">
        <v>8954</v>
      </c>
      <c r="F59" s="64" t="str">
        <f>IFERROR(VLOOKUP(Table5[[#This Row],[Player No]],Table11[[#All],[No]:[Province]],2,0),"")</f>
        <v>MFUNDISI Naledi</v>
      </c>
      <c r="G59" s="65" t="str">
        <f>IFERROR(VLOOKUP(Table5[[#This Row],[Player No]],Table11[[#All],[No]:[Province]],3,0),"")</f>
        <v>FS</v>
      </c>
      <c r="H59" s="66" t="e">
        <f>+#REF!/2+SUM(Table5[[#This Row],[P1         KZN  Open   2024]:[O1        GAU
MTTC Open  2024]])</f>
        <v>#REF!</v>
      </c>
      <c r="I59" s="96">
        <v>0</v>
      </c>
      <c r="J59" s="789">
        <f>Table5[[#This Row],[Points 2025]]/2+SUM(Table5[[#This Row],[O1  ADMIN 2026]:[P2           WC         CT Open 2026]])</f>
        <v>15</v>
      </c>
      <c r="K59" s="63">
        <f t="shared" si="5"/>
        <v>1</v>
      </c>
      <c r="L59" s="63">
        <f t="shared" si="6"/>
        <v>0</v>
      </c>
      <c r="M59" s="708">
        <v>15</v>
      </c>
      <c r="N59" s="708" t="s">
        <v>6083</v>
      </c>
      <c r="O59" s="708"/>
      <c r="P59" s="708"/>
      <c r="Q59" s="63"/>
      <c r="R59" s="63"/>
      <c r="S59" s="114"/>
      <c r="T59" s="114"/>
      <c r="U59" s="63"/>
      <c r="V59" s="63"/>
      <c r="W59" s="114"/>
      <c r="X59" s="63"/>
      <c r="Y59" s="708"/>
      <c r="Z59" s="114"/>
      <c r="AA59" s="114"/>
      <c r="AB59" s="63"/>
      <c r="AC59" s="114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</row>
    <row r="60" spans="1:40" s="83" customFormat="1" ht="15.5">
      <c r="A60" s="63">
        <f>IFERROR(VLOOKUP(Table5[[#This Row],[Player No]],Table11[[#All],[No]:[Age Group]],4,0),"")</f>
        <v>0</v>
      </c>
      <c r="B60" s="61"/>
      <c r="C60" s="77">
        <f t="shared" si="7"/>
        <v>-56</v>
      </c>
      <c r="D60" s="63">
        <f t="shared" si="3"/>
        <v>56</v>
      </c>
      <c r="E60" s="63">
        <v>8131</v>
      </c>
      <c r="F60" s="64" t="str">
        <f>IFERROR(VLOOKUP(Table5[[#This Row],[Player No]],Table11[[#All],[No]:[Province]],2,0),"")</f>
        <v>FAKEY Imaan</v>
      </c>
      <c r="G60" s="65" t="str">
        <f>IFERROR(VLOOKUP(Table5[[#This Row],[Player No]],Table11[[#All],[No]:[Province]],3,0),"")</f>
        <v>GN</v>
      </c>
      <c r="H60" s="66">
        <v>5</v>
      </c>
      <c r="I60" s="96">
        <v>28.5</v>
      </c>
      <c r="J60" s="789">
        <f>Table5[[#This Row],[Points 2025]]/2+SUM(Table5[[#This Row],[O1  ADMIN 2026]:[P2           WC         CT Open 2026]])</f>
        <v>14.25</v>
      </c>
      <c r="K60" s="63">
        <f t="shared" si="5"/>
        <v>0</v>
      </c>
      <c r="L60" s="63">
        <f t="shared" si="6"/>
        <v>0</v>
      </c>
      <c r="M60" s="708" t="s">
        <v>6083</v>
      </c>
      <c r="N60" s="708" t="s">
        <v>6083</v>
      </c>
      <c r="O60" s="708" t="s">
        <v>6083</v>
      </c>
      <c r="P60" s="708"/>
      <c r="Q60" s="63"/>
      <c r="R60" s="63"/>
      <c r="S60" s="114"/>
      <c r="T60" s="114"/>
      <c r="U60" s="63"/>
      <c r="V60" s="63"/>
      <c r="W60" s="114">
        <v>1</v>
      </c>
      <c r="X60" s="63"/>
      <c r="Y60" s="708"/>
      <c r="Z60" s="114">
        <v>25</v>
      </c>
      <c r="AA60" s="114"/>
      <c r="AB60" s="63"/>
      <c r="AC60" s="114"/>
      <c r="AD60" s="63"/>
      <c r="AE60" s="63"/>
      <c r="AF60" s="63"/>
      <c r="AG60" s="63"/>
      <c r="AH60" s="63"/>
      <c r="AI60" s="63">
        <v>5</v>
      </c>
      <c r="AJ60" s="63"/>
      <c r="AK60" s="63"/>
      <c r="AL60" s="63"/>
      <c r="AM60" s="63"/>
      <c r="AN60" s="63"/>
    </row>
    <row r="61" spans="1:40" s="83" customFormat="1" ht="15.5">
      <c r="A61" s="63">
        <f>IFERROR(VLOOKUP(Table5[[#This Row],[Player No]],Table11[[#All],[No]:[Age Group]],4,0),"")</f>
        <v>0</v>
      </c>
      <c r="B61" s="61">
        <v>26</v>
      </c>
      <c r="C61" s="77">
        <f t="shared" si="7"/>
        <v>-31</v>
      </c>
      <c r="D61" s="63">
        <f t="shared" si="3"/>
        <v>57</v>
      </c>
      <c r="E61" s="63">
        <v>7827</v>
      </c>
      <c r="F61" s="64" t="str">
        <f>IFERROR(VLOOKUP(Table5[[#This Row],[Player No]],Table11[[#All],[No]:[Province]],2,0),"")</f>
        <v>Letshego PHEKONYANE</v>
      </c>
      <c r="G61" s="65" t="str">
        <f>IFERROR(VLOOKUP(Table5[[#This Row],[Player No]],Table11[[#All],[No]:[Province]],3,0),"")</f>
        <v>FS</v>
      </c>
      <c r="H61" s="66">
        <v>31.25</v>
      </c>
      <c r="I61" s="96">
        <v>28.125</v>
      </c>
      <c r="J61" s="789">
        <f>Table5[[#This Row],[Points 2025]]/2+SUM(Table5[[#This Row],[O1  ADMIN 2026]:[P2           WC         CT Open 2026]])</f>
        <v>14.0625</v>
      </c>
      <c r="K61" s="63">
        <f t="shared" si="5"/>
        <v>0</v>
      </c>
      <c r="L61" s="63">
        <f t="shared" si="6"/>
        <v>0</v>
      </c>
      <c r="M61" s="708" t="s">
        <v>6083</v>
      </c>
      <c r="N61" s="708" t="s">
        <v>6083</v>
      </c>
      <c r="O61" s="708" t="s">
        <v>6083</v>
      </c>
      <c r="P61" s="708"/>
      <c r="Q61" s="63"/>
      <c r="R61" s="63"/>
      <c r="S61" s="114"/>
      <c r="T61" s="114"/>
      <c r="U61" s="63"/>
      <c r="V61" s="63"/>
      <c r="W61" s="114"/>
      <c r="X61" s="63"/>
      <c r="Y61" s="708"/>
      <c r="Z61" s="114"/>
      <c r="AA61" s="114"/>
      <c r="AB61" s="63"/>
      <c r="AC61" s="114">
        <v>12.5</v>
      </c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</row>
    <row r="62" spans="1:40" s="83" customFormat="1" ht="15.5">
      <c r="A62" s="615"/>
      <c r="B62" s="615"/>
      <c r="C62" s="618">
        <f t="shared" si="7"/>
        <v>-58</v>
      </c>
      <c r="D62" s="63">
        <f t="shared" si="3"/>
        <v>58</v>
      </c>
      <c r="E62" s="624">
        <v>7743</v>
      </c>
      <c r="F62" s="64" t="str">
        <f>IFERROR(VLOOKUP(Table5[[#This Row],[Player No]],Table11[[#All],[No]:[Province]],2,0),"")</f>
        <v>MOGALADI Briana</v>
      </c>
      <c r="G62" s="65" t="str">
        <f>IFERROR(VLOOKUP(Table5[[#This Row],[Player No]],Table11[[#All],[No]:[Province]],3,0),"")</f>
        <v>BOT</v>
      </c>
      <c r="H62" s="66">
        <v>0</v>
      </c>
      <c r="I62" s="644">
        <v>25</v>
      </c>
      <c r="J62" s="819">
        <f>Table5[[#This Row],[Points 2025]]/2+SUM(Table5[[#This Row],[O1  ADMIN 2026]:[P2           WC         CT Open 2026]])</f>
        <v>12.5</v>
      </c>
      <c r="K62" s="624">
        <f t="shared" si="5"/>
        <v>0</v>
      </c>
      <c r="L62" s="63">
        <f t="shared" si="6"/>
        <v>0</v>
      </c>
      <c r="M62" s="708" t="s">
        <v>6083</v>
      </c>
      <c r="N62" s="709" t="s">
        <v>6083</v>
      </c>
      <c r="O62" s="709" t="s">
        <v>6083</v>
      </c>
      <c r="P62" s="709"/>
      <c r="Q62" s="624"/>
      <c r="R62" s="624"/>
      <c r="S62" s="625"/>
      <c r="T62" s="625"/>
      <c r="U62" s="624"/>
      <c r="V62" s="624"/>
      <c r="W62" s="625"/>
      <c r="X62" s="624"/>
      <c r="Y62" s="709"/>
      <c r="Z62" s="625">
        <v>25</v>
      </c>
      <c r="AA62" s="625"/>
      <c r="AB62" s="624"/>
      <c r="AC62" s="625"/>
      <c r="AD62" s="624"/>
      <c r="AE62" s="624"/>
      <c r="AF62" s="624"/>
      <c r="AG62" s="624"/>
      <c r="AH62" s="624"/>
      <c r="AI62" s="624"/>
      <c r="AJ62" s="624"/>
      <c r="AK62" s="624"/>
      <c r="AL62" s="624"/>
      <c r="AM62" s="624"/>
      <c r="AN62" s="624"/>
    </row>
    <row r="63" spans="1:40" s="83" customFormat="1" ht="15.5">
      <c r="A63" s="61"/>
      <c r="B63" s="61"/>
      <c r="C63" s="77">
        <f t="shared" si="7"/>
        <v>-59</v>
      </c>
      <c r="D63" s="63">
        <f t="shared" si="3"/>
        <v>59</v>
      </c>
      <c r="E63" s="63">
        <v>8519</v>
      </c>
      <c r="F63" s="64" t="str">
        <f>IFERROR(VLOOKUP(Table5[[#This Row],[Player No]],Table11[[#All],[No]:[Province]],2,0),"")</f>
        <v>Jyante Jacobs</v>
      </c>
      <c r="G63" s="65" t="str">
        <f>IFERROR(VLOOKUP(Table5[[#This Row],[Player No]],Table11[[#All],[No]:[Province]],3,0),"")</f>
        <v>CT</v>
      </c>
      <c r="H63" s="335">
        <v>0</v>
      </c>
      <c r="I63" s="96">
        <v>25</v>
      </c>
      <c r="J63" s="789">
        <f>Table5[[#This Row],[Points 2025]]/2+SUM(Table5[[#This Row],[O1  ADMIN 2026]:[P2           WC         CT Open 2026]])</f>
        <v>12.5</v>
      </c>
      <c r="K63" s="63">
        <f t="shared" si="5"/>
        <v>0</v>
      </c>
      <c r="L63" s="63">
        <f t="shared" si="6"/>
        <v>0</v>
      </c>
      <c r="M63" s="708" t="s">
        <v>6083</v>
      </c>
      <c r="N63" s="708" t="s">
        <v>6083</v>
      </c>
      <c r="O63" s="708" t="s">
        <v>6083</v>
      </c>
      <c r="P63" s="708"/>
      <c r="Q63" s="63"/>
      <c r="R63" s="63"/>
      <c r="S63" s="114"/>
      <c r="T63" s="114"/>
      <c r="U63" s="63"/>
      <c r="V63" s="63"/>
      <c r="W63" s="114"/>
      <c r="X63" s="63"/>
      <c r="Y63" s="708"/>
      <c r="Z63" s="114"/>
      <c r="AA63" s="114"/>
      <c r="AB63" s="63"/>
      <c r="AC63" s="114"/>
      <c r="AD63" s="63">
        <v>25</v>
      </c>
      <c r="AE63" s="63"/>
      <c r="AF63" s="63"/>
      <c r="AG63" s="63"/>
      <c r="AH63" s="63"/>
      <c r="AI63" s="63"/>
      <c r="AJ63" s="63"/>
      <c r="AK63" s="63"/>
      <c r="AL63" s="63"/>
      <c r="AM63" s="63"/>
      <c r="AN63" s="63"/>
    </row>
    <row r="64" spans="1:40" s="83" customFormat="1" ht="15.5">
      <c r="A64" s="61"/>
      <c r="B64" s="61"/>
      <c r="C64" s="77">
        <f t="shared" si="7"/>
        <v>-60</v>
      </c>
      <c r="D64" s="63">
        <f t="shared" si="3"/>
        <v>60</v>
      </c>
      <c r="E64" s="63">
        <v>8765</v>
      </c>
      <c r="F64" s="64" t="str">
        <f>IFERROR(VLOOKUP(Table5[[#This Row],[Player No]],Table11[[#All],[No]:[Province]],2,0),"")</f>
        <v xml:space="preserve">MARAIS Taylor </v>
      </c>
      <c r="G64" s="65" t="str">
        <f>IFERROR(VLOOKUP(Table5[[#This Row],[Player No]],Table11[[#All],[No]:[Province]],3,0),"")</f>
        <v>CT</v>
      </c>
      <c r="H64" s="335">
        <v>0</v>
      </c>
      <c r="I64" s="96">
        <v>25</v>
      </c>
      <c r="J64" s="789">
        <f>Table5[[#This Row],[Points 2025]]/2+SUM(Table5[[#This Row],[O1  ADMIN 2026]:[P2           WC         CT Open 2026]])</f>
        <v>12.5</v>
      </c>
      <c r="K64" s="63">
        <f t="shared" si="5"/>
        <v>0</v>
      </c>
      <c r="L64" s="63">
        <f t="shared" si="6"/>
        <v>0</v>
      </c>
      <c r="M64" s="708" t="s">
        <v>6083</v>
      </c>
      <c r="N64" s="708" t="s">
        <v>6083</v>
      </c>
      <c r="O64" s="708" t="s">
        <v>6083</v>
      </c>
      <c r="P64" s="708"/>
      <c r="Q64" s="63"/>
      <c r="R64" s="63"/>
      <c r="S64" s="114"/>
      <c r="T64" s="114"/>
      <c r="U64" s="63"/>
      <c r="V64" s="63"/>
      <c r="W64" s="114"/>
      <c r="X64" s="63"/>
      <c r="Y64" s="708"/>
      <c r="Z64" s="114"/>
      <c r="AA64" s="114"/>
      <c r="AB64" s="63"/>
      <c r="AC64" s="114"/>
      <c r="AD64" s="63">
        <v>25</v>
      </c>
      <c r="AE64" s="63"/>
      <c r="AF64" s="63"/>
      <c r="AG64" s="63"/>
      <c r="AH64" s="63"/>
      <c r="AI64" s="63"/>
      <c r="AJ64" s="63"/>
      <c r="AK64" s="63"/>
      <c r="AL64" s="63"/>
      <c r="AM64" s="63"/>
      <c r="AN64" s="63"/>
    </row>
    <row r="65" spans="1:40" s="83" customFormat="1" ht="15.5">
      <c r="A65" s="61"/>
      <c r="B65" s="61"/>
      <c r="C65" s="77">
        <f t="shared" si="7"/>
        <v>-61</v>
      </c>
      <c r="D65" s="63">
        <f t="shared" si="3"/>
        <v>61</v>
      </c>
      <c r="E65" s="63">
        <v>8351</v>
      </c>
      <c r="F65" s="64" t="str">
        <f>IFERROR(VLOOKUP(Table5[[#This Row],[Player No]],Table11[[#All],[No]:[Province]],2,0),"")</f>
        <v>KANNIE Jazmine</v>
      </c>
      <c r="G65" s="65" t="str">
        <f>IFERROR(VLOOKUP(Table5[[#This Row],[Player No]],Table11[[#All],[No]:[Province]],3,0),"")</f>
        <v>UMG</v>
      </c>
      <c r="H65" s="66" t="e">
        <f>+#REF!/2+SUM(Table5[[#This Row],[P1         KZN  Open   2024]:[O1        GAU
MTTC Open  2024]])</f>
        <v>#REF!</v>
      </c>
      <c r="I65" s="96">
        <v>0</v>
      </c>
      <c r="J65" s="789">
        <f>Table5[[#This Row],[Points 2025]]/2+SUM(Table5[[#This Row],[O1  ADMIN 2026]:[P2           WC         CT Open 2026]])</f>
        <v>11</v>
      </c>
      <c r="K65" s="63">
        <f t="shared" si="5"/>
        <v>2</v>
      </c>
      <c r="L65" s="63">
        <f t="shared" si="6"/>
        <v>0</v>
      </c>
      <c r="M65" s="708" t="s">
        <v>6083</v>
      </c>
      <c r="N65" s="708">
        <v>1</v>
      </c>
      <c r="O65" s="708">
        <v>10</v>
      </c>
      <c r="P65" s="708"/>
      <c r="Q65" s="63"/>
      <c r="R65" s="63"/>
      <c r="S65" s="114"/>
      <c r="T65" s="114"/>
      <c r="U65" s="63"/>
      <c r="V65" s="63"/>
      <c r="W65" s="114"/>
      <c r="X65" s="63"/>
      <c r="Y65" s="708"/>
      <c r="Z65" s="114"/>
      <c r="AA65" s="114"/>
      <c r="AB65" s="63"/>
      <c r="AC65" s="114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</row>
    <row r="66" spans="1:40" s="83" customFormat="1" ht="15.5">
      <c r="A66" s="61"/>
      <c r="B66" s="61"/>
      <c r="C66" s="77">
        <f t="shared" si="7"/>
        <v>-62</v>
      </c>
      <c r="D66" s="63">
        <f t="shared" si="3"/>
        <v>62</v>
      </c>
      <c r="E66" s="63">
        <v>8629</v>
      </c>
      <c r="F66" s="64" t="str">
        <f>IFERROR(VLOOKUP(Table5[[#This Row],[Player No]],Table11[[#All],[No]:[Province]],2,0),"")</f>
        <v xml:space="preserve">CINGO  Anele </v>
      </c>
      <c r="G66" s="65" t="str">
        <f>IFERROR(VLOOKUP(Table5[[#This Row],[Player No]],Table11[[#All],[No]:[Province]],3,0),"")</f>
        <v>ETTA</v>
      </c>
      <c r="H66" s="66">
        <v>0</v>
      </c>
      <c r="I66" s="96">
        <v>20</v>
      </c>
      <c r="J66" s="789">
        <f>Table5[[#This Row],[Points 2025]]/2+SUM(Table5[[#This Row],[O1  ADMIN 2026]:[P2           WC         CT Open 2026]])</f>
        <v>10</v>
      </c>
      <c r="K66" s="63">
        <f t="shared" si="5"/>
        <v>0</v>
      </c>
      <c r="L66" s="63">
        <f t="shared" si="6"/>
        <v>0</v>
      </c>
      <c r="M66" s="708" t="s">
        <v>6083</v>
      </c>
      <c r="N66" s="708" t="s">
        <v>6083</v>
      </c>
      <c r="O66" s="708" t="s">
        <v>6083</v>
      </c>
      <c r="P66" s="708"/>
      <c r="Q66" s="63"/>
      <c r="R66" s="63">
        <v>10</v>
      </c>
      <c r="S66" s="114"/>
      <c r="T66" s="114"/>
      <c r="U66" s="63">
        <v>10</v>
      </c>
      <c r="V66" s="63"/>
      <c r="W66" s="114"/>
      <c r="X66" s="63"/>
      <c r="Y66" s="708"/>
      <c r="Z66" s="114"/>
      <c r="AA66" s="114"/>
      <c r="AB66" s="63"/>
      <c r="AC66" s="114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</row>
    <row r="67" spans="1:40" s="83" customFormat="1" ht="15.5">
      <c r="A67" s="63" t="str">
        <f>IFERROR(VLOOKUP(Table5[[#This Row],[Player No]],Table11[[#All],[No]:[Age Group]],4,0),"")</f>
        <v>U19</v>
      </c>
      <c r="B67" s="61">
        <v>102</v>
      </c>
      <c r="C67" s="77">
        <f t="shared" si="7"/>
        <v>39</v>
      </c>
      <c r="D67" s="63">
        <f t="shared" si="3"/>
        <v>63</v>
      </c>
      <c r="E67" s="63">
        <v>7877</v>
      </c>
      <c r="F67" s="64" t="str">
        <f>IFERROR(VLOOKUP(Table5[[#This Row],[Player No]],Table11[[#All],[No]:[Province]],2,0),"")</f>
        <v>NACKERDIEN Zahra</v>
      </c>
      <c r="G67" s="65" t="str">
        <f>IFERROR(VLOOKUP(Table5[[#This Row],[Player No]],Table11[[#All],[No]:[Province]],3,0),"")</f>
        <v>CW</v>
      </c>
      <c r="H67" s="66">
        <v>38.5</v>
      </c>
      <c r="I67" s="96">
        <v>19.25</v>
      </c>
      <c r="J67" s="789">
        <f>Table5[[#This Row],[Points 2025]]/2+SUM(Table5[[#This Row],[O1  ADMIN 2026]:[P2           WC         CT Open 2026]])</f>
        <v>9.625</v>
      </c>
      <c r="K67" s="63">
        <f t="shared" si="5"/>
        <v>0</v>
      </c>
      <c r="L67" s="63">
        <f t="shared" si="6"/>
        <v>0</v>
      </c>
      <c r="M67" s="708" t="s">
        <v>6083</v>
      </c>
      <c r="N67" s="708" t="s">
        <v>6083</v>
      </c>
      <c r="O67" s="708" t="s">
        <v>6083</v>
      </c>
      <c r="P67" s="708"/>
      <c r="Q67" s="63"/>
      <c r="R67" s="63"/>
      <c r="S67" s="114"/>
      <c r="T67" s="114"/>
      <c r="U67" s="63"/>
      <c r="V67" s="63"/>
      <c r="W67" s="114"/>
      <c r="X67" s="63"/>
      <c r="Y67" s="708"/>
      <c r="Z67" s="114"/>
      <c r="AA67" s="114"/>
      <c r="AB67" s="63"/>
      <c r="AC67" s="114"/>
      <c r="AD67" s="63"/>
      <c r="AE67" s="63"/>
      <c r="AF67" s="63"/>
      <c r="AG67" s="63">
        <v>1</v>
      </c>
      <c r="AH67" s="63">
        <f>75/2</f>
        <v>37.5</v>
      </c>
      <c r="AI67" s="63"/>
      <c r="AJ67" s="63"/>
      <c r="AK67" s="63"/>
      <c r="AL67" s="63"/>
      <c r="AM67" s="63"/>
      <c r="AN67" s="63"/>
    </row>
    <row r="68" spans="1:40" s="83" customFormat="1" ht="15.5">
      <c r="A68" s="63">
        <f>IFERROR(VLOOKUP(Table5[[#This Row],[Player No]],Table11[[#All],[No]:[Age Group]],4,0),"")</f>
        <v>0</v>
      </c>
      <c r="B68" s="61">
        <v>51</v>
      </c>
      <c r="C68" s="77">
        <f t="shared" si="7"/>
        <v>-13</v>
      </c>
      <c r="D68" s="63">
        <f t="shared" si="3"/>
        <v>64</v>
      </c>
      <c r="E68" s="63">
        <v>7856</v>
      </c>
      <c r="F68" s="64" t="str">
        <f>IFERROR(VLOOKUP(Table5[[#This Row],[Player No]],Table11[[#All],[No]:[Province]],2,0),"")</f>
        <v>VUKUVUKU Sinesipho</v>
      </c>
      <c r="G68" s="65" t="str">
        <f>IFERROR(VLOOKUP(Table5[[#This Row],[Player No]],Table11[[#All],[No]:[Province]],3,0),"")</f>
        <v>EC</v>
      </c>
      <c r="H68" s="66">
        <v>37.5</v>
      </c>
      <c r="I68" s="96">
        <v>18.75</v>
      </c>
      <c r="J68" s="789">
        <f>Table5[[#This Row],[Points 2025]]/2+SUM(Table5[[#This Row],[O1  ADMIN 2026]:[P2           WC         CT Open 2026]])</f>
        <v>9.375</v>
      </c>
      <c r="K68" s="63">
        <f t="shared" si="5"/>
        <v>0</v>
      </c>
      <c r="L68" s="63">
        <f t="shared" si="6"/>
        <v>0</v>
      </c>
      <c r="M68" s="708" t="s">
        <v>6083</v>
      </c>
      <c r="N68" s="708" t="s">
        <v>6083</v>
      </c>
      <c r="O68" s="708" t="s">
        <v>6083</v>
      </c>
      <c r="P68" s="708"/>
      <c r="Q68" s="63"/>
      <c r="R68" s="63"/>
      <c r="S68" s="114"/>
      <c r="T68" s="114"/>
      <c r="U68" s="63"/>
      <c r="V68" s="63"/>
      <c r="W68" s="114"/>
      <c r="X68" s="63"/>
      <c r="Y68" s="708"/>
      <c r="Z68" s="114"/>
      <c r="AA68" s="114"/>
      <c r="AB68" s="63"/>
      <c r="AC68" s="114"/>
      <c r="AD68" s="63"/>
      <c r="AE68" s="63"/>
      <c r="AF68" s="63"/>
      <c r="AG68" s="63"/>
      <c r="AH68" s="63"/>
      <c r="AI68" s="63">
        <v>25</v>
      </c>
      <c r="AJ68" s="63"/>
      <c r="AK68" s="63"/>
      <c r="AL68" s="63"/>
      <c r="AM68" s="63"/>
      <c r="AN68" s="63"/>
    </row>
    <row r="69" spans="1:40" s="83" customFormat="1" ht="15.5">
      <c r="A69" s="63" t="str">
        <f>IFERROR(VLOOKUP(Table5[[#This Row],[Player No]],Table11[[#All],[No]:[Age Group]],4,0),"")</f>
        <v>U11</v>
      </c>
      <c r="B69" s="61">
        <v>23</v>
      </c>
      <c r="C69" s="77">
        <f t="shared" si="7"/>
        <v>-42</v>
      </c>
      <c r="D69" s="63">
        <f t="shared" si="3"/>
        <v>65</v>
      </c>
      <c r="E69" s="63">
        <v>8279</v>
      </c>
      <c r="F69" s="64" t="str">
        <f>IFERROR(VLOOKUP(Table5[[#This Row],[Player No]],Table11[[#All],[No]:[Province]],2,0),"")</f>
        <v>MARSHALL Lael</v>
      </c>
      <c r="G69" s="65" t="str">
        <f>IFERROR(VLOOKUP(Table5[[#This Row],[Player No]],Table11[[#All],[No]:[Province]],3,0),"")</f>
        <v xml:space="preserve">JTTA </v>
      </c>
      <c r="H69" s="66">
        <v>35</v>
      </c>
      <c r="I69" s="96">
        <v>18.5</v>
      </c>
      <c r="J69" s="789">
        <f>Table5[[#This Row],[Points 2025]]/2+SUM(Table5[[#This Row],[O1  ADMIN 2026]:[P2           WC         CT Open 2026]])</f>
        <v>9.25</v>
      </c>
      <c r="K69" s="63">
        <f t="shared" ref="K69:K100" si="8">COUNTIF(M69:P69,"&gt;0")</f>
        <v>0</v>
      </c>
      <c r="L69" s="63">
        <f t="shared" ref="L69:L100" si="9">COUNTIF(N69:AN69,"&lt;0")</f>
        <v>0</v>
      </c>
      <c r="M69" s="708" t="s">
        <v>6083</v>
      </c>
      <c r="N69" s="708" t="s">
        <v>6083</v>
      </c>
      <c r="O69" s="708" t="s">
        <v>6083</v>
      </c>
      <c r="P69" s="708"/>
      <c r="Q69" s="63"/>
      <c r="R69" s="63"/>
      <c r="S69" s="114"/>
      <c r="T69" s="114"/>
      <c r="U69" s="63"/>
      <c r="V69" s="63"/>
      <c r="W69" s="114"/>
      <c r="X69" s="63">
        <v>1</v>
      </c>
      <c r="Y69" s="708"/>
      <c r="Z69" s="114"/>
      <c r="AA69" s="114"/>
      <c r="AB69" s="63"/>
      <c r="AC69" s="114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>
        <v>35</v>
      </c>
    </row>
    <row r="70" spans="1:40" s="83" customFormat="1" ht="15.5">
      <c r="A70" s="63" t="str">
        <f>IFERROR(VLOOKUP(Table5[[#This Row],[Player No]],Table11[[#All],[No]:[Age Group]],4,0),"")</f>
        <v>U11</v>
      </c>
      <c r="B70" s="61">
        <v>82</v>
      </c>
      <c r="C70" s="77">
        <f t="shared" si="7"/>
        <v>16</v>
      </c>
      <c r="D70" s="63">
        <f t="shared" si="3"/>
        <v>66</v>
      </c>
      <c r="E70" s="63">
        <v>8343</v>
      </c>
      <c r="F70" s="64" t="str">
        <f>IFERROR(VLOOKUP(Table5[[#This Row],[Player No]],Table11[[#All],[No]:[Province]],2,0),"")</f>
        <v>HUSVU Anotidaishe</v>
      </c>
      <c r="G70" s="65" t="str">
        <f>IFERROR(VLOOKUP(Table5[[#This Row],[Player No]],Table11[[#All],[No]:[Province]],3,0),"")</f>
        <v>GN</v>
      </c>
      <c r="H70" s="66">
        <v>1</v>
      </c>
      <c r="I70" s="96">
        <v>15.5</v>
      </c>
      <c r="J70" s="789">
        <f>Table5[[#This Row],[Points 2025]]/2+SUM(Table5[[#This Row],[O1  ADMIN 2026]:[P2           WC         CT Open 2026]])</f>
        <v>8.75</v>
      </c>
      <c r="K70" s="63">
        <f t="shared" si="8"/>
        <v>1</v>
      </c>
      <c r="L70" s="63">
        <f t="shared" si="9"/>
        <v>0</v>
      </c>
      <c r="M70" s="708">
        <v>1</v>
      </c>
      <c r="N70" s="708" t="s">
        <v>6083</v>
      </c>
      <c r="O70" s="708" t="s">
        <v>6083</v>
      </c>
      <c r="P70" s="708"/>
      <c r="Q70" s="63"/>
      <c r="R70" s="63"/>
      <c r="S70" s="114"/>
      <c r="T70" s="114"/>
      <c r="U70" s="63"/>
      <c r="V70" s="63"/>
      <c r="W70" s="114"/>
      <c r="X70" s="63">
        <v>15</v>
      </c>
      <c r="Y70" s="708"/>
      <c r="Z70" s="114"/>
      <c r="AA70" s="114"/>
      <c r="AB70" s="63"/>
      <c r="AC70" s="114"/>
      <c r="AD70" s="63"/>
      <c r="AE70" s="63"/>
      <c r="AF70" s="63"/>
      <c r="AG70" s="63"/>
      <c r="AH70" s="63"/>
      <c r="AI70" s="63"/>
      <c r="AJ70" s="63">
        <v>1</v>
      </c>
      <c r="AK70" s="63"/>
      <c r="AL70" s="63"/>
      <c r="AM70" s="63"/>
      <c r="AN70" s="63"/>
    </row>
    <row r="71" spans="1:40" s="83" customFormat="1" ht="15.5">
      <c r="A71" s="63" t="str">
        <f>IFERROR(VLOOKUP(Table5[[#This Row],[Player No]],Table11[[#All],[No]:[Age Group]],4,0),"")</f>
        <v>U11</v>
      </c>
      <c r="B71" s="61">
        <v>83</v>
      </c>
      <c r="C71" s="77">
        <f t="shared" si="7"/>
        <v>16</v>
      </c>
      <c r="D71" s="63">
        <f t="shared" ref="D71:D134" si="10">+D70+1</f>
        <v>67</v>
      </c>
      <c r="E71" s="63">
        <v>8344</v>
      </c>
      <c r="F71" s="64" t="str">
        <f>IFERROR(VLOOKUP(Table5[[#This Row],[Player No]],Table11[[#All],[No]:[Province]],2,0),"")</f>
        <v>HUSVU Tadiwanashi</v>
      </c>
      <c r="G71" s="65" t="str">
        <f>IFERROR(VLOOKUP(Table5[[#This Row],[Player No]],Table11[[#All],[No]:[Province]],3,0),"")</f>
        <v>GN</v>
      </c>
      <c r="H71" s="66">
        <v>1</v>
      </c>
      <c r="I71" s="96">
        <v>15.5</v>
      </c>
      <c r="J71" s="789">
        <f>Table5[[#This Row],[Points 2025]]/2+SUM(Table5[[#This Row],[O1  ADMIN 2026]:[P2           WC         CT Open 2026]])</f>
        <v>8.75</v>
      </c>
      <c r="K71" s="63">
        <f t="shared" si="8"/>
        <v>1</v>
      </c>
      <c r="L71" s="63">
        <f t="shared" si="9"/>
        <v>0</v>
      </c>
      <c r="M71" s="708">
        <v>1</v>
      </c>
      <c r="N71" s="708" t="s">
        <v>6083</v>
      </c>
      <c r="O71" s="708" t="s">
        <v>6083</v>
      </c>
      <c r="P71" s="708"/>
      <c r="Q71" s="63"/>
      <c r="R71" s="63"/>
      <c r="S71" s="114"/>
      <c r="T71" s="114"/>
      <c r="U71" s="63"/>
      <c r="V71" s="63"/>
      <c r="W71" s="114"/>
      <c r="X71" s="63">
        <v>15</v>
      </c>
      <c r="Y71" s="708"/>
      <c r="Z71" s="114"/>
      <c r="AA71" s="114"/>
      <c r="AB71" s="63"/>
      <c r="AC71" s="114"/>
      <c r="AD71" s="63"/>
      <c r="AE71" s="63"/>
      <c r="AF71" s="63"/>
      <c r="AG71" s="63"/>
      <c r="AH71" s="63"/>
      <c r="AI71" s="63"/>
      <c r="AJ71" s="63">
        <v>1</v>
      </c>
      <c r="AK71" s="63"/>
      <c r="AL71" s="63"/>
      <c r="AM71" s="63"/>
      <c r="AN71" s="63"/>
    </row>
    <row r="72" spans="1:40" s="83" customFormat="1" ht="15.5">
      <c r="A72" s="63" t="str">
        <f>IFERROR(VLOOKUP(Table5[[#This Row],[Player No]],Table11[[#All],[No]:[Age Group]],4,0),"")</f>
        <v>U19</v>
      </c>
      <c r="B72" s="61">
        <v>65</v>
      </c>
      <c r="C72" s="77">
        <f t="shared" si="7"/>
        <v>-3</v>
      </c>
      <c r="D72" s="63">
        <f t="shared" si="10"/>
        <v>68</v>
      </c>
      <c r="E72" s="63">
        <v>7943</v>
      </c>
      <c r="F72" s="64" t="str">
        <f>IFERROR(VLOOKUP(Table5[[#This Row],[Player No]],Table11[[#All],[No]:[Province]],2,0),"")</f>
        <v>SALIE Zahra</v>
      </c>
      <c r="G72" s="65" t="str">
        <f>IFERROR(VLOOKUP(Table5[[#This Row],[Player No]],Table11[[#All],[No]:[Province]],3,0),"")</f>
        <v>JTTA</v>
      </c>
      <c r="H72" s="66">
        <v>30</v>
      </c>
      <c r="I72" s="96">
        <v>15</v>
      </c>
      <c r="J72" s="789">
        <f>Table5[[#This Row],[Points 2025]]/2+SUM(Table5[[#This Row],[O1  ADMIN 2026]:[P2           WC         CT Open 2026]])</f>
        <v>7.5</v>
      </c>
      <c r="K72" s="63">
        <f t="shared" si="8"/>
        <v>0</v>
      </c>
      <c r="L72" s="63">
        <f t="shared" si="9"/>
        <v>0</v>
      </c>
      <c r="M72" s="708" t="s">
        <v>6083</v>
      </c>
      <c r="N72" s="708" t="s">
        <v>6083</v>
      </c>
      <c r="O72" s="708" t="s">
        <v>6083</v>
      </c>
      <c r="P72" s="708"/>
      <c r="Q72" s="63"/>
      <c r="R72" s="63"/>
      <c r="S72" s="114"/>
      <c r="T72" s="114"/>
      <c r="U72" s="63"/>
      <c r="V72" s="63"/>
      <c r="W72" s="114"/>
      <c r="X72" s="63"/>
      <c r="Y72" s="708"/>
      <c r="Z72" s="114"/>
      <c r="AA72" s="114"/>
      <c r="AB72" s="63"/>
      <c r="AC72" s="114"/>
      <c r="AD72" s="63"/>
      <c r="AE72" s="63"/>
      <c r="AF72" s="63"/>
      <c r="AG72" s="63"/>
      <c r="AH72" s="63"/>
      <c r="AI72" s="63">
        <v>25</v>
      </c>
      <c r="AJ72" s="63">
        <v>1</v>
      </c>
      <c r="AK72" s="63"/>
      <c r="AL72" s="63">
        <v>2</v>
      </c>
      <c r="AM72" s="63">
        <v>1</v>
      </c>
      <c r="AN72" s="63">
        <v>1</v>
      </c>
    </row>
    <row r="73" spans="1:40" s="83" customFormat="1" ht="15.5">
      <c r="A73" s="61"/>
      <c r="B73" s="61"/>
      <c r="C73" s="77">
        <f t="shared" si="7"/>
        <v>-69</v>
      </c>
      <c r="D73" s="63">
        <f t="shared" si="10"/>
        <v>69</v>
      </c>
      <c r="E73" s="63">
        <v>8348</v>
      </c>
      <c r="F73" s="64" t="str">
        <f>IFERROR(VLOOKUP(Table5[[#This Row],[Player No]],Table11[[#All],[No]:[Province]],2,0),"")</f>
        <v>ABRAHAMS Zuri</v>
      </c>
      <c r="G73" s="65" t="str">
        <f>IFERROR(VLOOKUP(Table5[[#This Row],[Player No]],Table11[[#All],[No]:[Province]],3,0),"")</f>
        <v>JTTA</v>
      </c>
      <c r="H73" s="66">
        <v>0</v>
      </c>
      <c r="I73" s="96">
        <v>15</v>
      </c>
      <c r="J73" s="789">
        <f>Table5[[#This Row],[Points 2025]]/2+SUM(Table5[[#This Row],[O1  ADMIN 2026]:[P2           WC         CT Open 2026]])</f>
        <v>7.5</v>
      </c>
      <c r="K73" s="63">
        <f t="shared" si="8"/>
        <v>0</v>
      </c>
      <c r="L73" s="63">
        <f t="shared" si="9"/>
        <v>0</v>
      </c>
      <c r="M73" s="708" t="s">
        <v>6083</v>
      </c>
      <c r="N73" s="708" t="s">
        <v>6083</v>
      </c>
      <c r="O73" s="708" t="s">
        <v>6083</v>
      </c>
      <c r="P73" s="708"/>
      <c r="Q73" s="63"/>
      <c r="R73" s="63"/>
      <c r="S73" s="114"/>
      <c r="T73" s="114"/>
      <c r="U73" s="63"/>
      <c r="V73" s="63"/>
      <c r="W73" s="114"/>
      <c r="X73" s="63">
        <v>15</v>
      </c>
      <c r="Y73" s="708"/>
      <c r="Z73" s="114"/>
      <c r="AA73" s="114"/>
      <c r="AB73" s="63"/>
      <c r="AC73" s="114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</row>
    <row r="74" spans="1:40" s="83" customFormat="1" ht="15.5">
      <c r="A74" s="63">
        <f>IFERROR(VLOOKUP(Table5[[#This Row],[Player No]],Table11[[#All],[No]:[Age Group]],4,0),"")</f>
        <v>0</v>
      </c>
      <c r="B74" s="61">
        <v>102</v>
      </c>
      <c r="C74" s="77">
        <f t="shared" si="7"/>
        <v>32</v>
      </c>
      <c r="D74" s="63">
        <f t="shared" si="10"/>
        <v>70</v>
      </c>
      <c r="E74" s="63">
        <v>8397</v>
      </c>
      <c r="F74" s="64" t="str">
        <f>IFERROR(VLOOKUP(Table5[[#This Row],[Player No]],Table11[[#All],[No]:[Province]],2,0),"")</f>
        <v>Emerenthia Williams</v>
      </c>
      <c r="G74" s="65" t="str">
        <f>IFERROR(VLOOKUP(Table5[[#This Row],[Player No]],Table11[[#All],[No]:[Province]],3,0),"")</f>
        <v>Eden</v>
      </c>
      <c r="H74" s="66">
        <v>30</v>
      </c>
      <c r="I74" s="96">
        <v>15</v>
      </c>
      <c r="J74" s="789">
        <f>Table5[[#This Row],[Points 2025]]/2+SUM(Table5[[#This Row],[O1  ADMIN 2026]:[P2           WC         CT Open 2026]])</f>
        <v>7.5</v>
      </c>
      <c r="K74" s="63">
        <f t="shared" si="8"/>
        <v>0</v>
      </c>
      <c r="L74" s="63">
        <f t="shared" si="9"/>
        <v>0</v>
      </c>
      <c r="M74" s="708" t="s">
        <v>6083</v>
      </c>
      <c r="N74" s="708" t="s">
        <v>6083</v>
      </c>
      <c r="O74" s="708" t="s">
        <v>6083</v>
      </c>
      <c r="P74" s="708"/>
      <c r="Q74" s="63"/>
      <c r="R74" s="63"/>
      <c r="S74" s="114"/>
      <c r="T74" s="114"/>
      <c r="U74" s="63"/>
      <c r="V74" s="63"/>
      <c r="W74" s="114"/>
      <c r="X74" s="63"/>
      <c r="Y74" s="708"/>
      <c r="Z74" s="114">
        <v>0</v>
      </c>
      <c r="AA74" s="114"/>
      <c r="AB74" s="63"/>
      <c r="AC74" s="114"/>
      <c r="AD74" s="63"/>
      <c r="AE74" s="63"/>
      <c r="AF74" s="63"/>
      <c r="AG74" s="63"/>
      <c r="AH74" s="63">
        <f>50/2</f>
        <v>25</v>
      </c>
      <c r="AI74" s="63">
        <v>5</v>
      </c>
      <c r="AJ74" s="63"/>
      <c r="AK74" s="63"/>
      <c r="AL74" s="63"/>
      <c r="AM74" s="63"/>
      <c r="AN74" s="63"/>
    </row>
    <row r="75" spans="1:40" s="83" customFormat="1" ht="15.5">
      <c r="A75" s="63" t="str">
        <f>IFERROR(VLOOKUP(Table5[[#This Row],[Player No]],Table11[[#All],[No]:[Age Group]],4,0),"")</f>
        <v>U19</v>
      </c>
      <c r="B75" s="61">
        <v>41</v>
      </c>
      <c r="C75" s="77">
        <f t="shared" si="7"/>
        <v>-30</v>
      </c>
      <c r="D75" s="63">
        <f t="shared" si="10"/>
        <v>71</v>
      </c>
      <c r="E75" s="63">
        <v>8179</v>
      </c>
      <c r="F75" s="64" t="str">
        <f>IFERROR(VLOOKUP(Table5[[#This Row],[Player No]],Table11[[#All],[No]:[Province]],2,0),"")</f>
        <v>PILLAY Saihurie</v>
      </c>
      <c r="G75" s="65" t="str">
        <f>IFERROR(VLOOKUP(Table5[[#This Row],[Player No]],Table11[[#All],[No]:[Province]],3,0),"")</f>
        <v>UMG</v>
      </c>
      <c r="H75" s="66">
        <v>16</v>
      </c>
      <c r="I75" s="96">
        <v>14</v>
      </c>
      <c r="J75" s="789">
        <f>Table5[[#This Row],[Points 2025]]/2+SUM(Table5[[#This Row],[O1  ADMIN 2026]:[P2           WC         CT Open 2026]])</f>
        <v>7</v>
      </c>
      <c r="K75" s="63">
        <f t="shared" si="8"/>
        <v>0</v>
      </c>
      <c r="L75" s="63">
        <f t="shared" si="9"/>
        <v>0</v>
      </c>
      <c r="M75" s="708" t="s">
        <v>6083</v>
      </c>
      <c r="N75" s="708" t="s">
        <v>6083</v>
      </c>
      <c r="O75" s="708" t="s">
        <v>6083</v>
      </c>
      <c r="P75" s="708"/>
      <c r="Q75" s="63">
        <v>2</v>
      </c>
      <c r="R75" s="63">
        <v>1</v>
      </c>
      <c r="S75" s="114">
        <v>1</v>
      </c>
      <c r="T75" s="114">
        <v>1</v>
      </c>
      <c r="U75" s="63">
        <v>1</v>
      </c>
      <c r="V75" s="63"/>
      <c r="W75" s="114"/>
      <c r="X75" s="63"/>
      <c r="Y75" s="708"/>
      <c r="Z75" s="114"/>
      <c r="AA75" s="114"/>
      <c r="AB75" s="63"/>
      <c r="AC75" s="114"/>
      <c r="AD75" s="63"/>
      <c r="AE75" s="63"/>
      <c r="AF75" s="63">
        <v>1</v>
      </c>
      <c r="AG75" s="63"/>
      <c r="AH75" s="63"/>
      <c r="AI75" s="63"/>
      <c r="AJ75" s="63"/>
      <c r="AK75" s="63"/>
      <c r="AL75" s="63"/>
      <c r="AM75" s="63">
        <v>15</v>
      </c>
      <c r="AN75" s="63"/>
    </row>
    <row r="76" spans="1:40" s="83" customFormat="1" ht="15.5">
      <c r="A76" s="63" t="str">
        <f>IFERROR(VLOOKUP(Table5[[#This Row],[Player No]],Table11[[#All],[No]:[Age Group]],4,0),"")</f>
        <v>U19</v>
      </c>
      <c r="B76" s="61">
        <v>30</v>
      </c>
      <c r="C76" s="77">
        <f t="shared" si="7"/>
        <v>-42</v>
      </c>
      <c r="D76" s="63">
        <f t="shared" si="10"/>
        <v>72</v>
      </c>
      <c r="E76" s="63">
        <v>7488</v>
      </c>
      <c r="F76" s="64" t="str">
        <f>IFERROR(VLOOKUP(Table5[[#This Row],[Player No]],Table11[[#All],[No]:[Province]],2,0),"")</f>
        <v>MUNSAMY Alyssa </v>
      </c>
      <c r="G76" s="65" t="str">
        <f>IFERROR(VLOOKUP(Table5[[#This Row],[Player No]],Table11[[#All],[No]:[Province]],3,0),"")</f>
        <v>ETK</v>
      </c>
      <c r="H76" s="66">
        <v>26.5</v>
      </c>
      <c r="I76" s="96">
        <v>13.25</v>
      </c>
      <c r="J76" s="789">
        <f>Table5[[#This Row],[Points 2025]]/2+SUM(Table5[[#This Row],[O1  ADMIN 2026]:[P2           WC         CT Open 2026]])</f>
        <v>6.625</v>
      </c>
      <c r="K76" s="63">
        <f t="shared" si="8"/>
        <v>0</v>
      </c>
      <c r="L76" s="63">
        <f t="shared" si="9"/>
        <v>0</v>
      </c>
      <c r="M76" s="708" t="s">
        <v>6083</v>
      </c>
      <c r="N76" s="708" t="s">
        <v>6083</v>
      </c>
      <c r="O76" s="708" t="s">
        <v>6083</v>
      </c>
      <c r="P76" s="708"/>
      <c r="Q76" s="63"/>
      <c r="R76" s="63"/>
      <c r="S76" s="114"/>
      <c r="T76" s="114"/>
      <c r="U76" s="63"/>
      <c r="V76" s="63"/>
      <c r="W76" s="114"/>
      <c r="X76" s="63"/>
      <c r="Y76" s="708"/>
      <c r="Z76" s="114"/>
      <c r="AA76" s="114"/>
      <c r="AB76" s="63"/>
      <c r="AC76" s="114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</row>
    <row r="77" spans="1:40" s="83" customFormat="1" ht="15.5">
      <c r="A77" s="63">
        <f>IFERROR(VLOOKUP(Table5[[#This Row],[Player No]],Table11[[#All],[No]:[Age Group]],4,0),"")</f>
        <v>0</v>
      </c>
      <c r="B77" s="61"/>
      <c r="C77" s="77">
        <f t="shared" si="7"/>
        <v>-73</v>
      </c>
      <c r="D77" s="63">
        <f t="shared" si="10"/>
        <v>73</v>
      </c>
      <c r="E77" s="63">
        <v>7339</v>
      </c>
      <c r="F77" s="64" t="str">
        <f>IFERROR(VLOOKUP(Table5[[#This Row],[Player No]],Table11[[#All],[No]:[Province]],2,0),"")</f>
        <v>MOATI Nthabiseng</v>
      </c>
      <c r="G77" s="65" t="str">
        <f>IFERROR(VLOOKUP(Table5[[#This Row],[Player No]],Table11[[#All],[No]:[Province]],3,0),"")</f>
        <v>LIM</v>
      </c>
      <c r="H77" s="66">
        <v>25</v>
      </c>
      <c r="I77" s="96">
        <v>12.5</v>
      </c>
      <c r="J77" s="789">
        <f>Table5[[#This Row],[Points 2025]]/2+SUM(Table5[[#This Row],[O1  ADMIN 2026]:[P2           WC         CT Open 2026]])</f>
        <v>6.25</v>
      </c>
      <c r="K77" s="63">
        <f t="shared" si="8"/>
        <v>0</v>
      </c>
      <c r="L77" s="63">
        <f t="shared" si="9"/>
        <v>0</v>
      </c>
      <c r="M77" s="708" t="s">
        <v>6083</v>
      </c>
      <c r="N77" s="708" t="s">
        <v>6083</v>
      </c>
      <c r="O77" s="708" t="s">
        <v>6083</v>
      </c>
      <c r="P77" s="708"/>
      <c r="Q77" s="63"/>
      <c r="R77" s="63"/>
      <c r="S77" s="114"/>
      <c r="T77" s="114"/>
      <c r="U77" s="63"/>
      <c r="V77" s="63"/>
      <c r="W77" s="114"/>
      <c r="X77" s="63"/>
      <c r="Y77" s="708"/>
      <c r="Z77" s="114"/>
      <c r="AA77" s="114"/>
      <c r="AB77" s="63"/>
      <c r="AC77" s="114"/>
      <c r="AD77" s="63"/>
      <c r="AE77" s="63"/>
      <c r="AF77" s="63"/>
      <c r="AG77" s="63"/>
      <c r="AH77" s="63"/>
      <c r="AI77" s="63">
        <v>25</v>
      </c>
      <c r="AJ77" s="63"/>
      <c r="AK77" s="63"/>
      <c r="AL77" s="63"/>
      <c r="AM77" s="63"/>
      <c r="AN77" s="63"/>
    </row>
    <row r="78" spans="1:40" s="83" customFormat="1" ht="15.5">
      <c r="A78" s="63" t="str">
        <f>IFERROR(VLOOKUP(Table5[[#This Row],[Player No]],Table11[[#All],[No]:[Age Group]],4,0),"")</f>
        <v>U19</v>
      </c>
      <c r="B78" s="61">
        <v>102</v>
      </c>
      <c r="C78" s="77">
        <f t="shared" si="7"/>
        <v>28</v>
      </c>
      <c r="D78" s="63">
        <f t="shared" si="10"/>
        <v>74</v>
      </c>
      <c r="E78" s="63">
        <v>7397</v>
      </c>
      <c r="F78" s="64" t="str">
        <f>IFERROR(VLOOKUP(Table5[[#This Row],[Player No]],Table11[[#All],[No]:[Province]],2,0),"")</f>
        <v>Titus Faithlin</v>
      </c>
      <c r="G78" s="65" t="str">
        <f>IFERROR(VLOOKUP(Table5[[#This Row],[Player No]],Table11[[#All],[No]:[Province]],3,0),"")</f>
        <v>EDEN</v>
      </c>
      <c r="H78" s="66">
        <v>25</v>
      </c>
      <c r="I78" s="96">
        <v>12.5</v>
      </c>
      <c r="J78" s="789">
        <f>Table5[[#This Row],[Points 2025]]/2+SUM(Table5[[#This Row],[O1  ADMIN 2026]:[P2           WC         CT Open 2026]])</f>
        <v>6.25</v>
      </c>
      <c r="K78" s="63">
        <f t="shared" si="8"/>
        <v>0</v>
      </c>
      <c r="L78" s="63">
        <f t="shared" si="9"/>
        <v>0</v>
      </c>
      <c r="M78" s="708" t="s">
        <v>6083</v>
      </c>
      <c r="N78" s="708" t="s">
        <v>6083</v>
      </c>
      <c r="O78" s="708" t="s">
        <v>6083</v>
      </c>
      <c r="P78" s="708"/>
      <c r="Q78" s="63"/>
      <c r="R78" s="63"/>
      <c r="S78" s="114"/>
      <c r="T78" s="114"/>
      <c r="U78" s="63"/>
      <c r="V78" s="63"/>
      <c r="W78" s="114"/>
      <c r="X78" s="63"/>
      <c r="Y78" s="708"/>
      <c r="Z78" s="114"/>
      <c r="AA78" s="114"/>
      <c r="AB78" s="63"/>
      <c r="AC78" s="114"/>
      <c r="AD78" s="63"/>
      <c r="AE78" s="63"/>
      <c r="AF78" s="63"/>
      <c r="AG78" s="63"/>
      <c r="AH78" s="63">
        <f>50/2</f>
        <v>25</v>
      </c>
      <c r="AI78" s="63"/>
      <c r="AJ78" s="63"/>
      <c r="AK78" s="63"/>
      <c r="AL78" s="63"/>
      <c r="AM78" s="63"/>
      <c r="AN78" s="63"/>
    </row>
    <row r="79" spans="1:40" s="83" customFormat="1" ht="15.5">
      <c r="A79" s="63" t="str">
        <f>IFERROR(VLOOKUP(Table5[[#This Row],[Player No]],Table11[[#All],[No]:[Age Group]],4,0),"")</f>
        <v>U19</v>
      </c>
      <c r="B79" s="61"/>
      <c r="C79" s="77">
        <f t="shared" si="7"/>
        <v>-75</v>
      </c>
      <c r="D79" s="63">
        <f t="shared" si="10"/>
        <v>75</v>
      </c>
      <c r="E79" s="63">
        <v>7737</v>
      </c>
      <c r="F79" s="64" t="str">
        <f>IFERROR(VLOOKUP(Table5[[#This Row],[Player No]],Table11[[#All],[No]:[Province]],2,0),"")</f>
        <v>MATROOS Zoey</v>
      </c>
      <c r="G79" s="65" t="str">
        <f>IFERROR(VLOOKUP(Table5[[#This Row],[Player No]],Table11[[#All],[No]:[Province]],3,0),"")</f>
        <v>WC</v>
      </c>
      <c r="H79" s="66">
        <v>25</v>
      </c>
      <c r="I79" s="96">
        <v>12.5</v>
      </c>
      <c r="J79" s="789">
        <f>Table5[[#This Row],[Points 2025]]/2+SUM(Table5[[#This Row],[O1  ADMIN 2026]:[P2           WC         CT Open 2026]])</f>
        <v>6.25</v>
      </c>
      <c r="K79" s="63">
        <f t="shared" si="8"/>
        <v>0</v>
      </c>
      <c r="L79" s="63">
        <f t="shared" si="9"/>
        <v>0</v>
      </c>
      <c r="M79" s="708" t="s">
        <v>6083</v>
      </c>
      <c r="N79" s="708" t="s">
        <v>6083</v>
      </c>
      <c r="O79" s="708" t="s">
        <v>6083</v>
      </c>
      <c r="P79" s="708"/>
      <c r="Q79" s="63"/>
      <c r="R79" s="63"/>
      <c r="S79" s="114"/>
      <c r="T79" s="114"/>
      <c r="U79" s="63"/>
      <c r="V79" s="63"/>
      <c r="W79" s="114"/>
      <c r="X79" s="63"/>
      <c r="Y79" s="708"/>
      <c r="Z79" s="114">
        <v>0</v>
      </c>
      <c r="AA79" s="114"/>
      <c r="AB79" s="63"/>
      <c r="AC79" s="114"/>
      <c r="AD79" s="63"/>
      <c r="AE79" s="63"/>
      <c r="AF79" s="63"/>
      <c r="AG79" s="63">
        <v>25</v>
      </c>
      <c r="AH79" s="63"/>
      <c r="AI79" s="63"/>
      <c r="AJ79" s="63"/>
      <c r="AK79" s="63"/>
      <c r="AL79" s="63"/>
      <c r="AM79" s="63"/>
      <c r="AN79" s="63"/>
    </row>
    <row r="80" spans="1:40" s="83" customFormat="1" ht="15.5">
      <c r="A80" s="63">
        <f>IFERROR(VLOOKUP(Table5[[#This Row],[Player No]],Table11[[#All],[No]:[Age Group]],4,0),"")</f>
        <v>0</v>
      </c>
      <c r="B80" s="61">
        <v>102</v>
      </c>
      <c r="C80" s="77">
        <f t="shared" ref="C80" si="11">+B80-D80</f>
        <v>26</v>
      </c>
      <c r="D80" s="63">
        <f t="shared" si="10"/>
        <v>76</v>
      </c>
      <c r="E80" s="63">
        <v>8073</v>
      </c>
      <c r="F80" s="64" t="str">
        <f>IFERROR(VLOOKUP(Table5[[#This Row],[Player No]],Table11[[#All],[No]:[Province]],2,0),"")</f>
        <v>NTONDO Inga</v>
      </c>
      <c r="G80" s="65" t="str">
        <f>IFERROR(VLOOKUP(Table5[[#This Row],[Player No]],Table11[[#All],[No]:[Province]],3,0),"")</f>
        <v>EDEN</v>
      </c>
      <c r="H80" s="66">
        <v>25</v>
      </c>
      <c r="I80" s="96">
        <v>12.5</v>
      </c>
      <c r="J80" s="789">
        <f>Table5[[#This Row],[Points 2025]]/2+SUM(Table5[[#This Row],[O1  ADMIN 2026]:[P2           WC         CT Open 2026]])</f>
        <v>6.25</v>
      </c>
      <c r="K80" s="63">
        <f t="shared" si="8"/>
        <v>0</v>
      </c>
      <c r="L80" s="63">
        <f t="shared" si="9"/>
        <v>0</v>
      </c>
      <c r="M80" s="708" t="s">
        <v>6083</v>
      </c>
      <c r="N80" s="708" t="s">
        <v>6083</v>
      </c>
      <c r="O80" s="708" t="s">
        <v>6083</v>
      </c>
      <c r="P80" s="708"/>
      <c r="Q80" s="63"/>
      <c r="R80" s="63"/>
      <c r="S80" s="114"/>
      <c r="T80" s="114"/>
      <c r="U80" s="63"/>
      <c r="V80" s="63"/>
      <c r="W80" s="114"/>
      <c r="X80" s="63"/>
      <c r="Y80" s="708"/>
      <c r="Z80" s="114"/>
      <c r="AA80" s="114"/>
      <c r="AB80" s="63"/>
      <c r="AC80" s="114"/>
      <c r="AD80" s="63"/>
      <c r="AE80" s="63"/>
      <c r="AF80" s="63"/>
      <c r="AG80" s="63"/>
      <c r="AH80" s="63">
        <f>50/2</f>
        <v>25</v>
      </c>
      <c r="AI80" s="63"/>
      <c r="AJ80" s="63"/>
      <c r="AK80" s="63"/>
      <c r="AL80" s="63"/>
      <c r="AM80" s="63"/>
      <c r="AN80" s="63"/>
    </row>
    <row r="81" spans="1:40" s="83" customFormat="1" ht="15.5">
      <c r="A81" s="63" t="str">
        <f>IFERROR(VLOOKUP(Table5[[#This Row],[Player No]],Table11[[#All],[No]:[Age Group]],4,0),"")</f>
        <v>U15</v>
      </c>
      <c r="B81" s="61"/>
      <c r="C81" s="77"/>
      <c r="D81" s="63">
        <f t="shared" si="10"/>
        <v>77</v>
      </c>
      <c r="E81" s="63">
        <v>8444</v>
      </c>
      <c r="F81" s="64" t="str">
        <f>IFERROR(VLOOKUP(Table5[[#This Row],[Player No]],Table11[[#All],[No]:[Province]],2,0),"")</f>
        <v>WILLEMSE Kelly</v>
      </c>
      <c r="G81" s="65" t="str">
        <f>IFERROR(VLOOKUP(Table5[[#This Row],[Player No]],Table11[[#All],[No]:[Province]],3,0),"")</f>
        <v>GN</v>
      </c>
      <c r="H81" s="66">
        <v>25</v>
      </c>
      <c r="I81" s="96">
        <v>12.5</v>
      </c>
      <c r="J81" s="789">
        <f>Table5[[#This Row],[Points 2025]]/2+SUM(Table5[[#This Row],[O1  ADMIN 2026]:[P2           WC         CT Open 2026]])</f>
        <v>6.25</v>
      </c>
      <c r="K81" s="63">
        <f t="shared" si="8"/>
        <v>0</v>
      </c>
      <c r="L81" s="63">
        <f t="shared" si="9"/>
        <v>0</v>
      </c>
      <c r="M81" s="708" t="s">
        <v>6083</v>
      </c>
      <c r="N81" s="708" t="s">
        <v>6083</v>
      </c>
      <c r="O81" s="708" t="s">
        <v>6083</v>
      </c>
      <c r="P81" s="708"/>
      <c r="Q81" s="63"/>
      <c r="R81" s="63"/>
      <c r="S81" s="114"/>
      <c r="T81" s="114"/>
      <c r="U81" s="63"/>
      <c r="V81" s="63"/>
      <c r="W81" s="114"/>
      <c r="X81" s="63"/>
      <c r="Y81" s="708"/>
      <c r="Z81" s="114"/>
      <c r="AA81" s="114"/>
      <c r="AB81" s="63"/>
      <c r="AC81" s="114"/>
      <c r="AD81" s="63"/>
      <c r="AE81" s="63"/>
      <c r="AF81" s="63"/>
      <c r="AG81" s="63"/>
      <c r="AH81" s="63"/>
      <c r="AI81" s="63">
        <v>25</v>
      </c>
      <c r="AJ81" s="63"/>
      <c r="AK81" s="63"/>
      <c r="AL81" s="63"/>
      <c r="AM81" s="63"/>
      <c r="AN81" s="63"/>
    </row>
    <row r="82" spans="1:40" s="83" customFormat="1" ht="15.5">
      <c r="A82" s="63">
        <f>IFERROR(VLOOKUP(Table5[[#This Row],[Player No]],Table11[[#All],[No]:[Age Group]],4,0),"")</f>
        <v>0</v>
      </c>
      <c r="B82" s="61"/>
      <c r="C82" s="77"/>
      <c r="D82" s="63">
        <f t="shared" si="10"/>
        <v>78</v>
      </c>
      <c r="E82" s="63">
        <v>8484</v>
      </c>
      <c r="F82" s="64" t="str">
        <f>IFERROR(VLOOKUP(Table5[[#This Row],[Player No]],Table11[[#All],[No]:[Province]],2,0),"")</f>
        <v>Caylee MTSHALI</v>
      </c>
      <c r="G82" s="65" t="str">
        <f>IFERROR(VLOOKUP(Table5[[#This Row],[Player No]],Table11[[#All],[No]:[Province]],3,0),"")</f>
        <v>JTTA</v>
      </c>
      <c r="H82" s="66">
        <v>25</v>
      </c>
      <c r="I82" s="96">
        <v>12.5</v>
      </c>
      <c r="J82" s="789">
        <f>Table5[[#This Row],[Points 2025]]/2+SUM(Table5[[#This Row],[O1  ADMIN 2026]:[P2           WC         CT Open 2026]])</f>
        <v>6.25</v>
      </c>
      <c r="K82" s="63">
        <f t="shared" si="8"/>
        <v>0</v>
      </c>
      <c r="L82" s="63">
        <f t="shared" si="9"/>
        <v>0</v>
      </c>
      <c r="M82" s="708" t="s">
        <v>6083</v>
      </c>
      <c r="N82" s="708" t="s">
        <v>6083</v>
      </c>
      <c r="O82" s="708" t="s">
        <v>6083</v>
      </c>
      <c r="P82" s="708"/>
      <c r="Q82" s="63"/>
      <c r="R82" s="63"/>
      <c r="S82" s="114"/>
      <c r="T82" s="114"/>
      <c r="U82" s="63"/>
      <c r="V82" s="63"/>
      <c r="W82" s="114"/>
      <c r="X82" s="63"/>
      <c r="Y82" s="708"/>
      <c r="Z82" s="114"/>
      <c r="AA82" s="114"/>
      <c r="AB82" s="63"/>
      <c r="AC82" s="114"/>
      <c r="AD82" s="63"/>
      <c r="AE82" s="63"/>
      <c r="AF82" s="63"/>
      <c r="AG82" s="63"/>
      <c r="AH82" s="63"/>
      <c r="AI82" s="63">
        <v>25</v>
      </c>
      <c r="AJ82" s="63"/>
      <c r="AK82" s="63"/>
      <c r="AL82" s="63"/>
      <c r="AM82" s="63"/>
      <c r="AN82" s="63"/>
    </row>
    <row r="83" spans="1:40" s="83" customFormat="1" ht="15.5">
      <c r="A83" s="63">
        <f>IFERROR(VLOOKUP(Table5[[#This Row],[Player No]],Table11[[#All],[No]:[Age Group]],4,0),"")</f>
        <v>0</v>
      </c>
      <c r="B83" s="61"/>
      <c r="C83" s="77"/>
      <c r="D83" s="63">
        <f t="shared" si="10"/>
        <v>79</v>
      </c>
      <c r="E83" s="63">
        <v>8485</v>
      </c>
      <c r="F83" s="64" t="str">
        <f>IFERROR(VLOOKUP(Table5[[#This Row],[Player No]],Table11[[#All],[No]:[Province]],2,0),"")</f>
        <v>Sibabaliwe NGAMBU</v>
      </c>
      <c r="G83" s="65" t="str">
        <f>IFERROR(VLOOKUP(Table5[[#This Row],[Player No]],Table11[[#All],[No]:[Province]],3,0),"")</f>
        <v>EC</v>
      </c>
      <c r="H83" s="66">
        <v>25</v>
      </c>
      <c r="I83" s="96">
        <v>12.5</v>
      </c>
      <c r="J83" s="789">
        <f>Table5[[#This Row],[Points 2025]]/2+SUM(Table5[[#This Row],[O1  ADMIN 2026]:[P2           WC         CT Open 2026]])</f>
        <v>6.25</v>
      </c>
      <c r="K83" s="63">
        <f t="shared" si="8"/>
        <v>0</v>
      </c>
      <c r="L83" s="63">
        <f t="shared" si="9"/>
        <v>0</v>
      </c>
      <c r="M83" s="708" t="s">
        <v>6083</v>
      </c>
      <c r="N83" s="708" t="s">
        <v>6083</v>
      </c>
      <c r="O83" s="708" t="s">
        <v>6083</v>
      </c>
      <c r="P83" s="708"/>
      <c r="Q83" s="63"/>
      <c r="R83" s="63"/>
      <c r="S83" s="114"/>
      <c r="T83" s="114"/>
      <c r="U83" s="63"/>
      <c r="V83" s="63"/>
      <c r="W83" s="114"/>
      <c r="X83" s="63"/>
      <c r="Y83" s="708"/>
      <c r="Z83" s="114"/>
      <c r="AA83" s="114"/>
      <c r="AB83" s="63"/>
      <c r="AC83" s="114"/>
      <c r="AD83" s="63"/>
      <c r="AE83" s="63"/>
      <c r="AF83" s="63"/>
      <c r="AG83" s="63"/>
      <c r="AH83" s="63"/>
      <c r="AI83" s="63">
        <v>25</v>
      </c>
      <c r="AJ83" s="63"/>
      <c r="AK83" s="63"/>
      <c r="AL83" s="63"/>
      <c r="AM83" s="63"/>
      <c r="AN83" s="63"/>
    </row>
    <row r="84" spans="1:40" s="83" customFormat="1" ht="15.5">
      <c r="A84" s="63">
        <f>IFERROR(VLOOKUP(Table5[[#This Row],[Player No]],Table11[[#All],[No]:[Age Group]],4,0),"")</f>
        <v>0</v>
      </c>
      <c r="B84" s="61"/>
      <c r="C84" s="77"/>
      <c r="D84" s="63">
        <f t="shared" si="10"/>
        <v>80</v>
      </c>
      <c r="E84" s="63">
        <v>8610</v>
      </c>
      <c r="F84" s="64" t="str">
        <f>IFERROR(VLOOKUP(Table5[[#This Row],[Player No]],Table11[[#All],[No]:[Province]],2,0),"")</f>
        <v xml:space="preserve">Halaletsang Matsie (FS) </v>
      </c>
      <c r="G84" s="65" t="str">
        <f>IFERROR(VLOOKUP(Table5[[#This Row],[Player No]],Table11[[#All],[No]:[Province]],3,0),"")</f>
        <v>FS</v>
      </c>
      <c r="H84" s="66">
        <v>0</v>
      </c>
      <c r="I84" s="96">
        <v>12.5</v>
      </c>
      <c r="J84" s="789">
        <f>Table5[[#This Row],[Points 2025]]/2+SUM(Table5[[#This Row],[O1  ADMIN 2026]:[P2           WC         CT Open 2026]])</f>
        <v>6.25</v>
      </c>
      <c r="K84" s="63">
        <f t="shared" si="8"/>
        <v>0</v>
      </c>
      <c r="L84" s="63">
        <f t="shared" si="9"/>
        <v>0</v>
      </c>
      <c r="M84" s="708" t="s">
        <v>6083</v>
      </c>
      <c r="N84" s="708" t="s">
        <v>6083</v>
      </c>
      <c r="O84" s="708" t="s">
        <v>6083</v>
      </c>
      <c r="P84" s="708"/>
      <c r="Q84" s="63"/>
      <c r="R84" s="63"/>
      <c r="S84" s="114"/>
      <c r="T84" s="114"/>
      <c r="U84" s="63"/>
      <c r="V84" s="63"/>
      <c r="W84" s="114"/>
      <c r="X84" s="63"/>
      <c r="Y84" s="708"/>
      <c r="Z84" s="114"/>
      <c r="AA84" s="114"/>
      <c r="AB84" s="63">
        <v>12.5</v>
      </c>
      <c r="AC84" s="114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</row>
    <row r="85" spans="1:40" s="83" customFormat="1" ht="15.5">
      <c r="A85" s="63">
        <f>IFERROR(VLOOKUP(Table5[[#This Row],[Player No]],Table11[[#All],[No]:[Age Group]],4,0),"")</f>
        <v>0</v>
      </c>
      <c r="B85" s="61"/>
      <c r="C85" s="77"/>
      <c r="D85" s="63">
        <f t="shared" si="10"/>
        <v>81</v>
      </c>
      <c r="E85" s="63">
        <v>8611</v>
      </c>
      <c r="F85" s="64" t="str">
        <f>IFERROR(VLOOKUP(Table5[[#This Row],[Player No]],Table11[[#All],[No]:[Province]],2,0),"")</f>
        <v xml:space="preserve">T Ntsolloane (FS) </v>
      </c>
      <c r="G85" s="65" t="str">
        <f>IFERROR(VLOOKUP(Table5[[#This Row],[Player No]],Table11[[#All],[No]:[Province]],3,0),"")</f>
        <v>FS</v>
      </c>
      <c r="H85" s="66">
        <v>0</v>
      </c>
      <c r="I85" s="96">
        <v>12.5</v>
      </c>
      <c r="J85" s="789">
        <f>Table5[[#This Row],[Points 2025]]/2+SUM(Table5[[#This Row],[O1  ADMIN 2026]:[P2           WC         CT Open 2026]])</f>
        <v>6.25</v>
      </c>
      <c r="K85" s="63">
        <f t="shared" si="8"/>
        <v>0</v>
      </c>
      <c r="L85" s="63">
        <f t="shared" si="9"/>
        <v>0</v>
      </c>
      <c r="M85" s="708" t="s">
        <v>6083</v>
      </c>
      <c r="N85" s="708" t="s">
        <v>6083</v>
      </c>
      <c r="O85" s="708" t="s">
        <v>6083</v>
      </c>
      <c r="P85" s="708"/>
      <c r="Q85" s="63"/>
      <c r="R85" s="63"/>
      <c r="S85" s="114"/>
      <c r="T85" s="114"/>
      <c r="U85" s="63"/>
      <c r="V85" s="63"/>
      <c r="W85" s="114"/>
      <c r="X85" s="63"/>
      <c r="Y85" s="708"/>
      <c r="Z85" s="114"/>
      <c r="AA85" s="114"/>
      <c r="AB85" s="63">
        <v>12.5</v>
      </c>
      <c r="AC85" s="114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</row>
    <row r="86" spans="1:40" s="83" customFormat="1" ht="15.5">
      <c r="A86" s="63">
        <f>IFERROR(VLOOKUP(Table5[[#This Row],[Player No]],Table11[[#All],[No]:[Age Group]],4,0),"")</f>
        <v>0</v>
      </c>
      <c r="B86" s="61">
        <v>33</v>
      </c>
      <c r="C86" s="77">
        <f t="shared" ref="C86:C93" si="12">+B86-D86</f>
        <v>-49</v>
      </c>
      <c r="D86" s="63">
        <f t="shared" si="10"/>
        <v>82</v>
      </c>
      <c r="E86" s="63">
        <v>8032</v>
      </c>
      <c r="F86" s="64" t="str">
        <f>IFERROR(VLOOKUP(Table5[[#This Row],[Player No]],Table11[[#All],[No]:[Province]],2,0),"")</f>
        <v>BYREN Kirsten</v>
      </c>
      <c r="G86" s="65" t="str">
        <f>IFERROR(VLOOKUP(Table5[[#This Row],[Player No]],Table11[[#All],[No]:[Province]],3,0),"")</f>
        <v>CT</v>
      </c>
      <c r="H86" s="66">
        <v>23.25</v>
      </c>
      <c r="I86" s="96">
        <v>11.625</v>
      </c>
      <c r="J86" s="789">
        <f>Table5[[#This Row],[Points 2025]]/2+SUM(Table5[[#This Row],[O1  ADMIN 2026]:[P2           WC         CT Open 2026]])</f>
        <v>5.8125</v>
      </c>
      <c r="K86" s="63">
        <f t="shared" si="8"/>
        <v>0</v>
      </c>
      <c r="L86" s="63">
        <f t="shared" si="9"/>
        <v>0</v>
      </c>
      <c r="M86" s="708" t="s">
        <v>6083</v>
      </c>
      <c r="N86" s="708" t="s">
        <v>6083</v>
      </c>
      <c r="O86" s="708" t="s">
        <v>6083</v>
      </c>
      <c r="P86" s="708"/>
      <c r="Q86" s="63"/>
      <c r="R86" s="63"/>
      <c r="S86" s="114"/>
      <c r="T86" s="114"/>
      <c r="U86" s="63"/>
      <c r="V86" s="63"/>
      <c r="W86" s="114"/>
      <c r="X86" s="63"/>
      <c r="Y86" s="708"/>
      <c r="Z86" s="114"/>
      <c r="AA86" s="114"/>
      <c r="AB86" s="63"/>
      <c r="AC86" s="114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</row>
    <row r="87" spans="1:40" s="83" customFormat="1" ht="15.5">
      <c r="A87" s="63">
        <f>IFERROR(VLOOKUP(Table5[[#This Row],[Player No]],Table11[[#All],[No]:[Age Group]],4,0),"")</f>
        <v>0</v>
      </c>
      <c r="B87" s="61">
        <v>70</v>
      </c>
      <c r="C87" s="77">
        <f t="shared" si="12"/>
        <v>-13</v>
      </c>
      <c r="D87" s="63">
        <f t="shared" si="10"/>
        <v>83</v>
      </c>
      <c r="E87" s="63">
        <v>8283</v>
      </c>
      <c r="F87" s="64" t="str">
        <f>IFERROR(VLOOKUP(Table5[[#This Row],[Player No]],Table11[[#All],[No]:[Province]],2,0),"")</f>
        <v>MC CLEOD Michelle</v>
      </c>
      <c r="G87" s="65" t="str">
        <f>IFERROR(VLOOKUP(Table5[[#This Row],[Player No]],Table11[[#All],[No]:[Province]],3,0),"")</f>
        <v>GN</v>
      </c>
      <c r="H87" s="66">
        <v>2.5</v>
      </c>
      <c r="I87" s="96">
        <v>11.25</v>
      </c>
      <c r="J87" s="789">
        <f>Table5[[#This Row],[Points 2025]]/2+SUM(Table5[[#This Row],[O1  ADMIN 2026]:[P2           WC         CT Open 2026]])</f>
        <v>5.625</v>
      </c>
      <c r="K87" s="63">
        <f t="shared" si="8"/>
        <v>0</v>
      </c>
      <c r="L87" s="63">
        <f t="shared" si="9"/>
        <v>0</v>
      </c>
      <c r="M87" s="708" t="s">
        <v>6083</v>
      </c>
      <c r="N87" s="708" t="s">
        <v>6083</v>
      </c>
      <c r="O87" s="708" t="s">
        <v>6083</v>
      </c>
      <c r="P87" s="708"/>
      <c r="Q87" s="63"/>
      <c r="R87" s="63"/>
      <c r="S87" s="114"/>
      <c r="T87" s="114"/>
      <c r="U87" s="63"/>
      <c r="V87" s="63"/>
      <c r="W87" s="114"/>
      <c r="X87" s="63"/>
      <c r="Y87" s="708"/>
      <c r="Z87" s="114">
        <v>10</v>
      </c>
      <c r="AA87" s="114"/>
      <c r="AB87" s="63"/>
      <c r="AC87" s="114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</row>
    <row r="88" spans="1:40" s="83" customFormat="1" ht="15.5">
      <c r="A88" s="155"/>
      <c r="B88" s="155"/>
      <c r="C88" s="160">
        <f t="shared" si="12"/>
        <v>-84</v>
      </c>
      <c r="D88" s="63">
        <f t="shared" si="10"/>
        <v>84</v>
      </c>
      <c r="E88" s="157">
        <v>8410</v>
      </c>
      <c r="F88" s="64" t="str">
        <f>IFERROR(VLOOKUP(Table5[[#This Row],[Player No]],Table11[[#All],[No]:[Province]],2,0),"")</f>
        <v>THABETHE Amogelang</v>
      </c>
      <c r="G88" s="65" t="str">
        <f>IFERROR(VLOOKUP(Table5[[#This Row],[Player No]],Table11[[#All],[No]:[Province]],3,0),"")</f>
        <v>EKU</v>
      </c>
      <c r="H88" s="66">
        <v>0</v>
      </c>
      <c r="I88" s="159">
        <v>11</v>
      </c>
      <c r="J88" s="820">
        <f>Table5[[#This Row],[Points 2025]]/2+SUM(Table5[[#This Row],[O1  ADMIN 2026]:[P2           WC         CT Open 2026]])</f>
        <v>5.5</v>
      </c>
      <c r="K88" s="63">
        <f t="shared" si="8"/>
        <v>0</v>
      </c>
      <c r="L88" s="63">
        <f t="shared" si="9"/>
        <v>0</v>
      </c>
      <c r="M88" s="708" t="s">
        <v>6083</v>
      </c>
      <c r="N88" s="708" t="s">
        <v>6083</v>
      </c>
      <c r="O88" s="708" t="s">
        <v>6083</v>
      </c>
      <c r="P88" s="708"/>
      <c r="Q88" s="157"/>
      <c r="R88" s="157"/>
      <c r="S88" s="165"/>
      <c r="T88" s="165"/>
      <c r="U88" s="157"/>
      <c r="V88" s="157">
        <v>1</v>
      </c>
      <c r="W88" s="165"/>
      <c r="X88" s="157"/>
      <c r="Y88" s="712"/>
      <c r="Z88" s="165">
        <v>10</v>
      </c>
      <c r="AA88" s="165"/>
      <c r="AB88" s="157"/>
      <c r="AC88" s="165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spans="1:40" s="83" customFormat="1" ht="15.5">
      <c r="A89" s="339"/>
      <c r="B89" s="339"/>
      <c r="C89" s="324">
        <f t="shared" si="12"/>
        <v>-85</v>
      </c>
      <c r="D89" s="63">
        <f t="shared" si="10"/>
        <v>85</v>
      </c>
      <c r="E89" s="327">
        <v>8650</v>
      </c>
      <c r="F89" s="64" t="str">
        <f>IFERROR(VLOOKUP(Table5[[#This Row],[Player No]],Table11[[#All],[No]:[Province]],2,0),"")</f>
        <v>NHLAPO Lwazi</v>
      </c>
      <c r="G89" s="65" t="str">
        <f>IFERROR(VLOOKUP(Table5[[#This Row],[Player No]],Table11[[#All],[No]:[Province]],3,0),"")</f>
        <v>ETTA</v>
      </c>
      <c r="H89" s="335">
        <v>0</v>
      </c>
      <c r="I89" s="331">
        <v>11</v>
      </c>
      <c r="J89" s="817">
        <f>Table5[[#This Row],[Points 2025]]/2+SUM(Table5[[#This Row],[O1  ADMIN 2026]:[P2           WC         CT Open 2026]])</f>
        <v>5.5</v>
      </c>
      <c r="K89" s="327">
        <f t="shared" si="8"/>
        <v>0</v>
      </c>
      <c r="L89" s="63">
        <f t="shared" si="9"/>
        <v>0</v>
      </c>
      <c r="M89" s="708" t="s">
        <v>6083</v>
      </c>
      <c r="N89" s="711" t="s">
        <v>6083</v>
      </c>
      <c r="O89" s="711" t="s">
        <v>6083</v>
      </c>
      <c r="P89" s="711"/>
      <c r="Q89" s="327"/>
      <c r="R89" s="327"/>
      <c r="S89" s="321"/>
      <c r="T89" s="321">
        <v>1</v>
      </c>
      <c r="U89" s="327"/>
      <c r="V89" s="327"/>
      <c r="W89" s="321"/>
      <c r="X89" s="327"/>
      <c r="Y89" s="711"/>
      <c r="Z89" s="321">
        <v>10</v>
      </c>
      <c r="AA89" s="321"/>
      <c r="AB89" s="327"/>
      <c r="AC89" s="321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</row>
    <row r="90" spans="1:40" s="83" customFormat="1" ht="15.5">
      <c r="A90" s="172"/>
      <c r="B90" s="172"/>
      <c r="C90" s="168">
        <f t="shared" si="12"/>
        <v>-86</v>
      </c>
      <c r="D90" s="63">
        <f t="shared" si="10"/>
        <v>86</v>
      </c>
      <c r="E90" s="169">
        <v>8672</v>
      </c>
      <c r="F90" s="64" t="str">
        <f>IFERROR(VLOOKUP(Table5[[#This Row],[Player No]],Table11[[#All],[No]:[Province]],2,0),"")</f>
        <v>RANGATA Terriwoki</v>
      </c>
      <c r="G90" s="65" t="str">
        <f>IFERROR(VLOOKUP(Table5[[#This Row],[Player No]],Table11[[#All],[No]:[Province]],3,0),"")</f>
        <v>JTTA</v>
      </c>
      <c r="H90" s="170">
        <v>0</v>
      </c>
      <c r="I90" s="194">
        <v>11</v>
      </c>
      <c r="J90" s="821">
        <f>Table5[[#This Row],[Points 2025]]/2+SUM(Table5[[#This Row],[O1  ADMIN 2026]:[P2           WC         CT Open 2026]])</f>
        <v>5.5</v>
      </c>
      <c r="K90" s="63">
        <f t="shared" si="8"/>
        <v>0</v>
      </c>
      <c r="L90" s="63">
        <f t="shared" si="9"/>
        <v>0</v>
      </c>
      <c r="M90" s="708" t="s">
        <v>6083</v>
      </c>
      <c r="N90" s="708" t="s">
        <v>6083</v>
      </c>
      <c r="O90" s="708" t="s">
        <v>6083</v>
      </c>
      <c r="P90" s="708"/>
      <c r="Q90" s="169"/>
      <c r="R90" s="169"/>
      <c r="S90" s="318"/>
      <c r="T90" s="318"/>
      <c r="U90" s="169"/>
      <c r="V90" s="169">
        <v>1</v>
      </c>
      <c r="W90" s="318"/>
      <c r="X90" s="169"/>
      <c r="Y90" s="713"/>
      <c r="Z90" s="318">
        <v>10</v>
      </c>
      <c r="AA90" s="318"/>
      <c r="AB90" s="169"/>
      <c r="AC90" s="318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</row>
    <row r="91" spans="1:40" s="83" customFormat="1" ht="15.5">
      <c r="A91" s="615"/>
      <c r="B91" s="615"/>
      <c r="C91" s="618">
        <f t="shared" si="12"/>
        <v>-87</v>
      </c>
      <c r="D91" s="63">
        <f t="shared" si="10"/>
        <v>87</v>
      </c>
      <c r="E91" s="624">
        <v>8152</v>
      </c>
      <c r="F91" s="64" t="str">
        <f>IFERROR(VLOOKUP(Table5[[#This Row],[Player No]],Table11[[#All],[No]:[Province]],2,0),"")</f>
        <v>ZIDE Iminam</v>
      </c>
      <c r="G91" s="65" t="str">
        <f>IFERROR(VLOOKUP(Table5[[#This Row],[Player No]],Table11[[#All],[No]:[Province]],3,0),"")</f>
        <v>EC</v>
      </c>
      <c r="H91" s="66">
        <v>0</v>
      </c>
      <c r="I91" s="644">
        <v>10</v>
      </c>
      <c r="J91" s="819">
        <f>Table5[[#This Row],[Points 2025]]/2+SUM(Table5[[#This Row],[O1  ADMIN 2026]:[P2           WC         CT Open 2026]])</f>
        <v>5</v>
      </c>
      <c r="K91" s="624">
        <f t="shared" si="8"/>
        <v>0</v>
      </c>
      <c r="L91" s="63">
        <f t="shared" si="9"/>
        <v>0</v>
      </c>
      <c r="M91" s="708" t="s">
        <v>6083</v>
      </c>
      <c r="N91" s="709" t="s">
        <v>6083</v>
      </c>
      <c r="O91" s="709" t="s">
        <v>6083</v>
      </c>
      <c r="P91" s="709"/>
      <c r="Q91" s="624"/>
      <c r="R91" s="624"/>
      <c r="S91" s="625"/>
      <c r="T91" s="625"/>
      <c r="U91" s="624"/>
      <c r="V91" s="624"/>
      <c r="W91" s="625"/>
      <c r="X91" s="624"/>
      <c r="Y91" s="709"/>
      <c r="Z91" s="625">
        <v>10</v>
      </c>
      <c r="AA91" s="625"/>
      <c r="AB91" s="624"/>
      <c r="AC91" s="625"/>
      <c r="AD91" s="624"/>
      <c r="AE91" s="624"/>
      <c r="AF91" s="624"/>
      <c r="AG91" s="624"/>
      <c r="AH91" s="624"/>
      <c r="AI91" s="624"/>
      <c r="AJ91" s="624"/>
      <c r="AK91" s="624"/>
      <c r="AL91" s="624"/>
      <c r="AM91" s="624"/>
      <c r="AN91" s="624"/>
    </row>
    <row r="92" spans="1:40" s="83" customFormat="1" ht="15.5">
      <c r="A92" s="615"/>
      <c r="B92" s="615"/>
      <c r="C92" s="618">
        <f t="shared" si="12"/>
        <v>-88</v>
      </c>
      <c r="D92" s="63">
        <f t="shared" si="10"/>
        <v>88</v>
      </c>
      <c r="E92" s="624">
        <v>8163</v>
      </c>
      <c r="F92" s="64" t="str">
        <f>IFERROR(VLOOKUP(Table5[[#This Row],[Player No]],Table11[[#All],[No]:[Province]],2,0),"")</f>
        <v xml:space="preserve">GAOTLOPE Dimakatso </v>
      </c>
      <c r="G92" s="65" t="str">
        <f>IFERROR(VLOOKUP(Table5[[#This Row],[Player No]],Table11[[#All],[No]:[Province]],3,0),"")</f>
        <v>LIM</v>
      </c>
      <c r="H92" s="66">
        <v>0</v>
      </c>
      <c r="I92" s="644">
        <v>10</v>
      </c>
      <c r="J92" s="819">
        <f>Table5[[#This Row],[Points 2025]]/2+SUM(Table5[[#This Row],[O1  ADMIN 2026]:[P2           WC         CT Open 2026]])</f>
        <v>5</v>
      </c>
      <c r="K92" s="624">
        <f t="shared" si="8"/>
        <v>0</v>
      </c>
      <c r="L92" s="63">
        <f t="shared" si="9"/>
        <v>0</v>
      </c>
      <c r="M92" s="708" t="s">
        <v>6083</v>
      </c>
      <c r="N92" s="709" t="s">
        <v>6083</v>
      </c>
      <c r="O92" s="709" t="s">
        <v>6083</v>
      </c>
      <c r="P92" s="709"/>
      <c r="Q92" s="624"/>
      <c r="R92" s="624"/>
      <c r="S92" s="625"/>
      <c r="T92" s="625"/>
      <c r="U92" s="624"/>
      <c r="V92" s="624"/>
      <c r="W92" s="625"/>
      <c r="X92" s="624"/>
      <c r="Y92" s="709"/>
      <c r="Z92" s="625">
        <v>10</v>
      </c>
      <c r="AA92" s="625"/>
      <c r="AB92" s="624"/>
      <c r="AC92" s="625"/>
      <c r="AD92" s="624"/>
      <c r="AE92" s="624"/>
      <c r="AF92" s="624"/>
      <c r="AG92" s="624"/>
      <c r="AH92" s="624"/>
      <c r="AI92" s="624"/>
      <c r="AJ92" s="624"/>
      <c r="AK92" s="624"/>
      <c r="AL92" s="624"/>
      <c r="AM92" s="624"/>
      <c r="AN92" s="624"/>
    </row>
    <row r="93" spans="1:40" s="83" customFormat="1" ht="15.5">
      <c r="A93" s="615"/>
      <c r="B93" s="615"/>
      <c r="C93" s="618">
        <f t="shared" si="12"/>
        <v>-89</v>
      </c>
      <c r="D93" s="63">
        <f t="shared" si="10"/>
        <v>89</v>
      </c>
      <c r="E93" s="624">
        <v>8339</v>
      </c>
      <c r="F93" s="64" t="str">
        <f>IFERROR(VLOOKUP(Table5[[#This Row],[Player No]],Table11[[#All],[No]:[Province]],2,0),"")</f>
        <v>HECHTER Natalie</v>
      </c>
      <c r="G93" s="65" t="str">
        <f>IFERROR(VLOOKUP(Table5[[#This Row],[Player No]],Table11[[#All],[No]:[Province]],3,0),"")</f>
        <v>JTTA</v>
      </c>
      <c r="H93" s="66">
        <v>0</v>
      </c>
      <c r="I93" s="644">
        <v>10</v>
      </c>
      <c r="J93" s="819">
        <f>Table5[[#This Row],[Points 2025]]/2+SUM(Table5[[#This Row],[O1  ADMIN 2026]:[P2           WC         CT Open 2026]])</f>
        <v>5</v>
      </c>
      <c r="K93" s="624">
        <f t="shared" si="8"/>
        <v>0</v>
      </c>
      <c r="L93" s="63">
        <f t="shared" si="9"/>
        <v>0</v>
      </c>
      <c r="M93" s="708" t="s">
        <v>6083</v>
      </c>
      <c r="N93" s="709" t="s">
        <v>6083</v>
      </c>
      <c r="O93" s="709" t="s">
        <v>6083</v>
      </c>
      <c r="P93" s="709"/>
      <c r="Q93" s="624"/>
      <c r="R93" s="624"/>
      <c r="S93" s="625"/>
      <c r="T93" s="625"/>
      <c r="U93" s="624"/>
      <c r="V93" s="624"/>
      <c r="W93" s="625"/>
      <c r="X93" s="624"/>
      <c r="Y93" s="709"/>
      <c r="Z93" s="625">
        <v>10</v>
      </c>
      <c r="AA93" s="625"/>
      <c r="AB93" s="624"/>
      <c r="AC93" s="625"/>
      <c r="AD93" s="624"/>
      <c r="AE93" s="624"/>
      <c r="AF93" s="624"/>
      <c r="AG93" s="624"/>
      <c r="AH93" s="624"/>
      <c r="AI93" s="624"/>
      <c r="AJ93" s="624"/>
      <c r="AK93" s="624"/>
      <c r="AL93" s="624"/>
      <c r="AM93" s="624"/>
      <c r="AN93" s="624"/>
    </row>
    <row r="94" spans="1:40" s="83" customFormat="1" ht="15.5">
      <c r="A94" s="63">
        <f>IFERROR(VLOOKUP(Table5[[#This Row],[Player No]],Table11[[#All],[No]:[Age Group]],4,0),"")</f>
        <v>0</v>
      </c>
      <c r="B94" s="61"/>
      <c r="C94" s="77"/>
      <c r="D94" s="63">
        <f t="shared" si="10"/>
        <v>90</v>
      </c>
      <c r="E94" s="173">
        <v>8510</v>
      </c>
      <c r="F94" s="64" t="str">
        <f>IFERROR(VLOOKUP(Table5[[#This Row],[Player No]],Table11[[#All],[No]:[Province]],2,0),"")</f>
        <v>WILLIAMS Miyah</v>
      </c>
      <c r="G94" s="65" t="str">
        <f>IFERROR(VLOOKUP(Table5[[#This Row],[Player No]],Table11[[#All],[No]:[Province]],3,0),"")</f>
        <v>CT</v>
      </c>
      <c r="H94" s="66">
        <v>1</v>
      </c>
      <c r="I94" s="96">
        <v>10</v>
      </c>
      <c r="J94" s="789">
        <f>Table5[[#This Row],[Points 2025]]/2+SUM(Table5[[#This Row],[O1  ADMIN 2026]:[P2           WC         CT Open 2026]])</f>
        <v>5</v>
      </c>
      <c r="K94" s="63">
        <f t="shared" si="8"/>
        <v>0</v>
      </c>
      <c r="L94" s="63">
        <f t="shared" si="9"/>
        <v>0</v>
      </c>
      <c r="M94" s="708" t="s">
        <v>6083</v>
      </c>
      <c r="N94" s="708" t="s">
        <v>6083</v>
      </c>
      <c r="O94" s="708" t="s">
        <v>6083</v>
      </c>
      <c r="P94" s="708"/>
      <c r="Q94" s="63"/>
      <c r="R94" s="63"/>
      <c r="S94" s="114"/>
      <c r="T94" s="114"/>
      <c r="U94" s="63"/>
      <c r="V94" s="63"/>
      <c r="W94" s="114"/>
      <c r="X94" s="63"/>
      <c r="Y94" s="708"/>
      <c r="Z94" s="114"/>
      <c r="AA94" s="114"/>
      <c r="AB94" s="63"/>
      <c r="AC94" s="114">
        <v>7.5</v>
      </c>
      <c r="AD94" s="63">
        <v>2</v>
      </c>
      <c r="AE94" s="63"/>
      <c r="AF94" s="63"/>
      <c r="AG94" s="63">
        <v>1</v>
      </c>
      <c r="AH94" s="63"/>
      <c r="AI94" s="63"/>
      <c r="AJ94" s="63"/>
      <c r="AK94" s="63"/>
      <c r="AL94" s="63"/>
      <c r="AM94" s="63"/>
      <c r="AN94" s="63"/>
    </row>
    <row r="95" spans="1:40" s="83" customFormat="1" ht="15.5">
      <c r="A95" s="63">
        <f>IFERROR(VLOOKUP(Table5[[#This Row],[Player No]],Table11[[#All],[No]:[Age Group]],4,0),"")</f>
        <v>0</v>
      </c>
      <c r="B95" s="61"/>
      <c r="C95" s="77"/>
      <c r="D95" s="63">
        <f t="shared" si="10"/>
        <v>91</v>
      </c>
      <c r="E95" s="63">
        <v>8517</v>
      </c>
      <c r="F95" s="64" t="str">
        <f>IFERROR(VLOOKUP(Table5[[#This Row],[Player No]],Table11[[#All],[No]:[Province]],2,0),"")</f>
        <v>Smangele Khoza</v>
      </c>
      <c r="G95" s="65" t="str">
        <f>IFERROR(VLOOKUP(Table5[[#This Row],[Player No]],Table11[[#All],[No]:[Province]],3,0),"")</f>
        <v>ETK</v>
      </c>
      <c r="H95" s="66">
        <v>0</v>
      </c>
      <c r="I95" s="96">
        <v>10</v>
      </c>
      <c r="J95" s="789">
        <f>Table5[[#This Row],[Points 2025]]/2+SUM(Table5[[#This Row],[O1  ADMIN 2026]:[P2           WC         CT Open 2026]])</f>
        <v>5</v>
      </c>
      <c r="K95" s="63">
        <f t="shared" si="8"/>
        <v>0</v>
      </c>
      <c r="L95" s="63">
        <f t="shared" si="9"/>
        <v>0</v>
      </c>
      <c r="M95" s="708" t="s">
        <v>6083</v>
      </c>
      <c r="N95" s="708" t="s">
        <v>6083</v>
      </c>
      <c r="O95" s="708" t="s">
        <v>6083</v>
      </c>
      <c r="P95" s="708"/>
      <c r="Q95" s="63"/>
      <c r="R95" s="63"/>
      <c r="S95" s="114"/>
      <c r="T95" s="114"/>
      <c r="U95" s="63">
        <v>10</v>
      </c>
      <c r="V95" s="63"/>
      <c r="W95" s="114"/>
      <c r="X95" s="63"/>
      <c r="Y95" s="708"/>
      <c r="Z95" s="114"/>
      <c r="AA95" s="114"/>
      <c r="AB95" s="63"/>
      <c r="AC95" s="114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</row>
    <row r="96" spans="1:40" s="83" customFormat="1" ht="15.5">
      <c r="A96" s="615"/>
      <c r="B96" s="615"/>
      <c r="C96" s="618">
        <f>+B96-D96</f>
        <v>-92</v>
      </c>
      <c r="D96" s="63">
        <f t="shared" si="10"/>
        <v>92</v>
      </c>
      <c r="E96" s="624">
        <v>8814</v>
      </c>
      <c r="F96" s="64" t="str">
        <f>IFERROR(VLOOKUP(Table5[[#This Row],[Player No]],Table11[[#All],[No]:[Province]],2,0),"")</f>
        <v>WILLEMSE Logan</v>
      </c>
      <c r="G96" s="65" t="str">
        <f>IFERROR(VLOOKUP(Table5[[#This Row],[Player No]],Table11[[#All],[No]:[Province]],3,0),"")</f>
        <v>WC</v>
      </c>
      <c r="H96" s="66">
        <v>0</v>
      </c>
      <c r="I96" s="644">
        <v>10</v>
      </c>
      <c r="J96" s="819">
        <f>Table5[[#This Row],[Points 2025]]/2+SUM(Table5[[#This Row],[O1  ADMIN 2026]:[P2           WC         CT Open 2026]])</f>
        <v>5</v>
      </c>
      <c r="K96" s="624">
        <f t="shared" si="8"/>
        <v>0</v>
      </c>
      <c r="L96" s="63">
        <f t="shared" si="9"/>
        <v>0</v>
      </c>
      <c r="M96" s="708" t="s">
        <v>6083</v>
      </c>
      <c r="N96" s="709" t="s">
        <v>6083</v>
      </c>
      <c r="O96" s="709" t="s">
        <v>6083</v>
      </c>
      <c r="P96" s="709"/>
      <c r="Q96" s="624"/>
      <c r="R96" s="624"/>
      <c r="S96" s="625"/>
      <c r="T96" s="625"/>
      <c r="U96" s="624"/>
      <c r="V96" s="624"/>
      <c r="W96" s="625"/>
      <c r="X96" s="624"/>
      <c r="Y96" s="709"/>
      <c r="Z96" s="625">
        <v>10</v>
      </c>
      <c r="AA96" s="625"/>
      <c r="AB96" s="624"/>
      <c r="AC96" s="625"/>
      <c r="AD96" s="624"/>
      <c r="AE96" s="624"/>
      <c r="AF96" s="624"/>
      <c r="AG96" s="624"/>
      <c r="AH96" s="624"/>
      <c r="AI96" s="624"/>
      <c r="AJ96" s="624"/>
      <c r="AK96" s="624"/>
      <c r="AL96" s="624"/>
      <c r="AM96" s="624"/>
      <c r="AN96" s="624"/>
    </row>
    <row r="97" spans="1:40" s="83" customFormat="1" ht="15.5">
      <c r="A97" s="615"/>
      <c r="B97" s="615"/>
      <c r="C97" s="618">
        <f>+B97-D97</f>
        <v>-93</v>
      </c>
      <c r="D97" s="63">
        <f t="shared" si="10"/>
        <v>93</v>
      </c>
      <c r="E97" s="624">
        <v>8831</v>
      </c>
      <c r="F97" s="64" t="str">
        <f>IFERROR(VLOOKUP(Table5[[#This Row],[Player No]],Table11[[#All],[No]:[Province]],2,0),"")</f>
        <v>MASENTILE Imange</v>
      </c>
      <c r="G97" s="65" t="str">
        <f>IFERROR(VLOOKUP(Table5[[#This Row],[Player No]],Table11[[#All],[No]:[Province]],3,0),"")</f>
        <v xml:space="preserve">EC </v>
      </c>
      <c r="H97" s="66">
        <v>0</v>
      </c>
      <c r="I97" s="644">
        <v>10</v>
      </c>
      <c r="J97" s="819">
        <f>Table5[[#This Row],[Points 2025]]/2+SUM(Table5[[#This Row],[O1  ADMIN 2026]:[P2           WC         CT Open 2026]])</f>
        <v>5</v>
      </c>
      <c r="K97" s="624">
        <f t="shared" si="8"/>
        <v>0</v>
      </c>
      <c r="L97" s="63">
        <f t="shared" si="9"/>
        <v>0</v>
      </c>
      <c r="M97" s="708" t="s">
        <v>6083</v>
      </c>
      <c r="N97" s="709" t="s">
        <v>6083</v>
      </c>
      <c r="O97" s="709" t="s">
        <v>6083</v>
      </c>
      <c r="P97" s="709"/>
      <c r="Q97" s="624"/>
      <c r="R97" s="624"/>
      <c r="S97" s="625"/>
      <c r="T97" s="625"/>
      <c r="U97" s="624"/>
      <c r="V97" s="624"/>
      <c r="W97" s="625"/>
      <c r="X97" s="624"/>
      <c r="Y97" s="709"/>
      <c r="Z97" s="625">
        <v>10</v>
      </c>
      <c r="AA97" s="625"/>
      <c r="AB97" s="624"/>
      <c r="AC97" s="625"/>
      <c r="AD97" s="624"/>
      <c r="AE97" s="624"/>
      <c r="AF97" s="624"/>
      <c r="AG97" s="624"/>
      <c r="AH97" s="624"/>
      <c r="AI97" s="624"/>
      <c r="AJ97" s="624"/>
      <c r="AK97" s="624"/>
      <c r="AL97" s="624"/>
      <c r="AM97" s="624"/>
      <c r="AN97" s="624"/>
    </row>
    <row r="98" spans="1:40" s="83" customFormat="1" ht="15.5">
      <c r="A98" s="61"/>
      <c r="B98" s="61"/>
      <c r="C98" s="77">
        <f>+B98-D98</f>
        <v>-94</v>
      </c>
      <c r="D98" s="63">
        <f t="shared" si="10"/>
        <v>94</v>
      </c>
      <c r="E98" s="63">
        <v>8569</v>
      </c>
      <c r="F98" s="64" t="str">
        <f>IFERROR(VLOOKUP(Table5[[#This Row],[Player No]],Table11[[#All],[No]:[Province]],2,0),"")</f>
        <v xml:space="preserve">NAIDOO Shreya </v>
      </c>
      <c r="G98" s="65" t="str">
        <f>IFERROR(VLOOKUP(Table5[[#This Row],[Player No]],Table11[[#All],[No]:[Province]],3,0),"")</f>
        <v>UMG</v>
      </c>
      <c r="H98" s="66">
        <v>0</v>
      </c>
      <c r="I98" s="96">
        <v>4</v>
      </c>
      <c r="J98" s="789">
        <f>Table5[[#This Row],[Points 2025]]/2+SUM(Table5[[#This Row],[O1  ADMIN 2026]:[P2           WC         CT Open 2026]])</f>
        <v>5</v>
      </c>
      <c r="K98" s="63">
        <f t="shared" si="8"/>
        <v>2</v>
      </c>
      <c r="L98" s="63">
        <f t="shared" si="9"/>
        <v>0</v>
      </c>
      <c r="M98" s="708" t="s">
        <v>6083</v>
      </c>
      <c r="N98" s="708">
        <v>2</v>
      </c>
      <c r="O98" s="708">
        <v>1</v>
      </c>
      <c r="P98" s="708"/>
      <c r="Q98" s="63">
        <v>1</v>
      </c>
      <c r="R98" s="63">
        <v>1</v>
      </c>
      <c r="S98" s="114"/>
      <c r="T98" s="114">
        <v>1</v>
      </c>
      <c r="U98" s="63">
        <v>1</v>
      </c>
      <c r="V98" s="63"/>
      <c r="W98" s="114"/>
      <c r="X98" s="63"/>
      <c r="Y98" s="708"/>
      <c r="Z98" s="114"/>
      <c r="AA98" s="114"/>
      <c r="AB98" s="63"/>
      <c r="AC98" s="114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</row>
    <row r="99" spans="1:40" s="83" customFormat="1" ht="15.5">
      <c r="A99" s="63">
        <f>IFERROR(VLOOKUP(Table5[[#This Row],[Player No]],Table11[[#All],[No]:[Age Group]],4,0),"")</f>
        <v>0</v>
      </c>
      <c r="B99" s="61">
        <v>35</v>
      </c>
      <c r="C99" s="77">
        <f>+B99-D99</f>
        <v>-60</v>
      </c>
      <c r="D99" s="63">
        <f t="shared" si="10"/>
        <v>95</v>
      </c>
      <c r="E99" s="63">
        <v>8035</v>
      </c>
      <c r="F99" s="64" t="str">
        <f>IFERROR(VLOOKUP(Table5[[#This Row],[Player No]],Table11[[#All],[No]:[Province]],2,0),"")</f>
        <v>JONES Michan</v>
      </c>
      <c r="G99" s="65" t="str">
        <f>IFERROR(VLOOKUP(Table5[[#This Row],[Player No]],Table11[[#All],[No]:[Province]],3,0),"")</f>
        <v>CT</v>
      </c>
      <c r="H99" s="66">
        <v>19.25</v>
      </c>
      <c r="I99" s="96">
        <v>9.625</v>
      </c>
      <c r="J99" s="789">
        <f>Table5[[#This Row],[Points 2025]]/2+SUM(Table5[[#This Row],[O1  ADMIN 2026]:[P2           WC         CT Open 2026]])</f>
        <v>4.8125</v>
      </c>
      <c r="K99" s="63">
        <f t="shared" si="8"/>
        <v>0</v>
      </c>
      <c r="L99" s="63">
        <f t="shared" si="9"/>
        <v>0</v>
      </c>
      <c r="M99" s="708" t="s">
        <v>6083</v>
      </c>
      <c r="N99" s="708" t="s">
        <v>6083</v>
      </c>
      <c r="O99" s="708" t="s">
        <v>6083</v>
      </c>
      <c r="P99" s="708"/>
      <c r="Q99" s="63"/>
      <c r="R99" s="63"/>
      <c r="S99" s="114"/>
      <c r="T99" s="114"/>
      <c r="U99" s="63"/>
      <c r="V99" s="63"/>
      <c r="W99" s="114"/>
      <c r="X99" s="63"/>
      <c r="Y99" s="708"/>
      <c r="Z99" s="114"/>
      <c r="AA99" s="114"/>
      <c r="AB99" s="63"/>
      <c r="AC99" s="114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</row>
    <row r="100" spans="1:40" s="83" customFormat="1" ht="15.5">
      <c r="A100" s="63">
        <f>IFERROR(VLOOKUP(Table5[[#This Row],[Player No]],Table11[[#All],[No]:[Age Group]],4,0),"")</f>
        <v>0</v>
      </c>
      <c r="B100" s="61"/>
      <c r="C100" s="77"/>
      <c r="D100" s="63">
        <f t="shared" si="10"/>
        <v>96</v>
      </c>
      <c r="E100" s="226">
        <v>8538</v>
      </c>
      <c r="F100" s="64" t="str">
        <f>IFERROR(VLOOKUP(Table5[[#This Row],[Player No]],Table11[[#All],[No]:[Province]],2,0),"")</f>
        <v>Serante Naipal</v>
      </c>
      <c r="G100" s="65" t="str">
        <f>IFERROR(VLOOKUP(Table5[[#This Row],[Player No]],Table11[[#All],[No]:[Province]],3,0),"")</f>
        <v>UMG</v>
      </c>
      <c r="H100" s="66">
        <v>0</v>
      </c>
      <c r="I100" s="96">
        <v>5</v>
      </c>
      <c r="J100" s="789">
        <f>Table5[[#This Row],[Points 2025]]/2+SUM(Table5[[#This Row],[O1  ADMIN 2026]:[P2           WC         CT Open 2026]])</f>
        <v>4.5</v>
      </c>
      <c r="K100" s="63">
        <f t="shared" si="8"/>
        <v>2</v>
      </c>
      <c r="L100" s="63">
        <f t="shared" si="9"/>
        <v>0</v>
      </c>
      <c r="M100" s="708" t="s">
        <v>6083</v>
      </c>
      <c r="N100" s="708">
        <v>1</v>
      </c>
      <c r="O100" s="708">
        <v>1</v>
      </c>
      <c r="P100" s="708"/>
      <c r="Q100" s="63">
        <v>2</v>
      </c>
      <c r="R100" s="63">
        <v>1</v>
      </c>
      <c r="S100" s="114">
        <v>1</v>
      </c>
      <c r="T100" s="114"/>
      <c r="U100" s="63">
        <v>1</v>
      </c>
      <c r="V100" s="63"/>
      <c r="W100" s="114"/>
      <c r="X100" s="63"/>
      <c r="Y100" s="708"/>
      <c r="Z100" s="114"/>
      <c r="AA100" s="114"/>
      <c r="AB100" s="63"/>
      <c r="AC100" s="114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</row>
    <row r="101" spans="1:40" s="83" customFormat="1" ht="15.5">
      <c r="A101" s="63">
        <f>IFERROR(VLOOKUP(Table5[[#This Row],[Player No]],Table11[[#All],[No]:[Age Group]],4,0),"")</f>
        <v>0</v>
      </c>
      <c r="B101" s="61">
        <v>37</v>
      </c>
      <c r="C101" s="77">
        <f>+B101-D101</f>
        <v>-60</v>
      </c>
      <c r="D101" s="63">
        <f t="shared" si="10"/>
        <v>97</v>
      </c>
      <c r="E101" s="63">
        <v>7782</v>
      </c>
      <c r="F101" s="64" t="str">
        <f>IFERROR(VLOOKUP(Table5[[#This Row],[Player No]],Table11[[#All],[No]:[Province]],2,0),"")</f>
        <v>MODISENYANI Rhetabile</v>
      </c>
      <c r="G101" s="65" t="str">
        <f>IFERROR(VLOOKUP(Table5[[#This Row],[Player No]],Table11[[#All],[No]:[Province]],3,0),"")</f>
        <v>FS</v>
      </c>
      <c r="H101" s="66">
        <v>17.5</v>
      </c>
      <c r="I101" s="96">
        <v>8.75</v>
      </c>
      <c r="J101" s="789">
        <f>Table5[[#This Row],[Points 2025]]/2+SUM(Table5[[#This Row],[O1  ADMIN 2026]:[P2           WC         CT Open 2026]])</f>
        <v>4.375</v>
      </c>
      <c r="K101" s="63">
        <f t="shared" ref="K101:K132" si="13">COUNTIF(M101:P101,"&gt;0")</f>
        <v>0</v>
      </c>
      <c r="L101" s="63">
        <f t="shared" ref="L101:L132" si="14">COUNTIF(N101:AN101,"&lt;0")</f>
        <v>0</v>
      </c>
      <c r="M101" s="708" t="s">
        <v>6083</v>
      </c>
      <c r="N101" s="708" t="s">
        <v>6083</v>
      </c>
      <c r="O101" s="708" t="s">
        <v>6083</v>
      </c>
      <c r="P101" s="708"/>
      <c r="Q101" s="63"/>
      <c r="R101" s="63"/>
      <c r="S101" s="114"/>
      <c r="T101" s="114"/>
      <c r="U101" s="63"/>
      <c r="V101" s="63"/>
      <c r="W101" s="114"/>
      <c r="X101" s="63"/>
      <c r="Y101" s="708"/>
      <c r="Z101" s="114"/>
      <c r="AA101" s="114"/>
      <c r="AB101" s="63"/>
      <c r="AC101" s="114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</row>
    <row r="102" spans="1:40" s="83" customFormat="1" ht="15.5">
      <c r="A102" s="63">
        <f>IFERROR(VLOOKUP(Table5[[#This Row],[Player No]],Table11[[#All],[No]:[Age Group]],4,0),"")</f>
        <v>0</v>
      </c>
      <c r="B102" s="61">
        <v>42</v>
      </c>
      <c r="C102" s="77">
        <f>+B102-D102</f>
        <v>-56</v>
      </c>
      <c r="D102" s="63">
        <f t="shared" si="10"/>
        <v>98</v>
      </c>
      <c r="E102" s="63">
        <v>8257</v>
      </c>
      <c r="F102" s="64" t="str">
        <f>IFERROR(VLOOKUP(Table5[[#This Row],[Player No]],Table11[[#All],[No]:[Province]],2,0),"")</f>
        <v>MADVIRAKARE Lerato</v>
      </c>
      <c r="G102" s="65" t="str">
        <f>IFERROR(VLOOKUP(Table5[[#This Row],[Player No]],Table11[[#All],[No]:[Province]],3,0),"")</f>
        <v>JTTA</v>
      </c>
      <c r="H102" s="66">
        <v>16</v>
      </c>
      <c r="I102" s="96">
        <v>8</v>
      </c>
      <c r="J102" s="789">
        <f>Table5[[#This Row],[Points 2025]]/2+SUM(Table5[[#This Row],[O1  ADMIN 2026]:[P2           WC         CT Open 2026]])</f>
        <v>4</v>
      </c>
      <c r="K102" s="63">
        <f t="shared" si="13"/>
        <v>0</v>
      </c>
      <c r="L102" s="63">
        <f t="shared" si="14"/>
        <v>0</v>
      </c>
      <c r="M102" s="708" t="s">
        <v>6083</v>
      </c>
      <c r="N102" s="708" t="s">
        <v>6083</v>
      </c>
      <c r="O102" s="708" t="s">
        <v>6083</v>
      </c>
      <c r="P102" s="708"/>
      <c r="Q102" s="63"/>
      <c r="R102" s="63"/>
      <c r="S102" s="114"/>
      <c r="T102" s="114"/>
      <c r="U102" s="63"/>
      <c r="V102" s="63"/>
      <c r="W102" s="114"/>
      <c r="X102" s="63"/>
      <c r="Y102" s="708"/>
      <c r="Z102" s="114"/>
      <c r="AA102" s="114"/>
      <c r="AB102" s="63"/>
      <c r="AC102" s="114"/>
      <c r="AD102" s="63"/>
      <c r="AE102" s="63"/>
      <c r="AF102" s="63"/>
      <c r="AG102" s="63"/>
      <c r="AH102" s="63"/>
      <c r="AI102" s="63"/>
      <c r="AJ102" s="63">
        <v>1</v>
      </c>
      <c r="AK102" s="63"/>
      <c r="AL102" s="63"/>
      <c r="AM102" s="63"/>
      <c r="AN102" s="63">
        <v>15</v>
      </c>
    </row>
    <row r="103" spans="1:40" s="83" customFormat="1" ht="15.5">
      <c r="A103" s="63">
        <f>IFERROR(VLOOKUP(Table5[[#This Row],[Player No]],Table11[[#All],[No]:[Age Group]],4,0),"")</f>
        <v>0</v>
      </c>
      <c r="B103" s="61"/>
      <c r="C103" s="77"/>
      <c r="D103" s="63">
        <f t="shared" si="10"/>
        <v>99</v>
      </c>
      <c r="E103" s="173">
        <v>8509</v>
      </c>
      <c r="F103" s="64" t="str">
        <f>IFERROR(VLOOKUP(Table5[[#This Row],[Player No]],Table11[[#All],[No]:[Province]],2,0),"")</f>
        <v xml:space="preserve">BARON Jody </v>
      </c>
      <c r="G103" s="65" t="str">
        <f>IFERROR(VLOOKUP(Table5[[#This Row],[Player No]],Table11[[#All],[No]:[Province]],3,0),"")</f>
        <v>CT</v>
      </c>
      <c r="H103" s="66">
        <v>1</v>
      </c>
      <c r="I103" s="96">
        <v>8</v>
      </c>
      <c r="J103" s="789">
        <f>Table5[[#This Row],[Points 2025]]/2+SUM(Table5[[#This Row],[O1  ADMIN 2026]:[P2           WC         CT Open 2026]])</f>
        <v>4</v>
      </c>
      <c r="K103" s="63">
        <f t="shared" si="13"/>
        <v>0</v>
      </c>
      <c r="L103" s="63">
        <f t="shared" si="14"/>
        <v>0</v>
      </c>
      <c r="M103" s="708" t="s">
        <v>6083</v>
      </c>
      <c r="N103" s="708" t="s">
        <v>6083</v>
      </c>
      <c r="O103" s="708" t="s">
        <v>6083</v>
      </c>
      <c r="P103" s="708"/>
      <c r="Q103" s="63"/>
      <c r="R103" s="63"/>
      <c r="S103" s="114"/>
      <c r="T103" s="114"/>
      <c r="U103" s="63"/>
      <c r="V103" s="63"/>
      <c r="W103" s="114"/>
      <c r="X103" s="63"/>
      <c r="Y103" s="708"/>
      <c r="Z103" s="114"/>
      <c r="AA103" s="114"/>
      <c r="AB103" s="63"/>
      <c r="AC103" s="114">
        <v>7.5</v>
      </c>
      <c r="AD103" s="63"/>
      <c r="AE103" s="63"/>
      <c r="AF103" s="63"/>
      <c r="AG103" s="63">
        <v>1</v>
      </c>
      <c r="AH103" s="63"/>
      <c r="AI103" s="63"/>
      <c r="AJ103" s="63"/>
      <c r="AK103" s="63"/>
      <c r="AL103" s="63"/>
      <c r="AM103" s="63"/>
      <c r="AN103" s="63"/>
    </row>
    <row r="104" spans="1:40" s="83" customFormat="1" ht="15.5">
      <c r="A104" s="63" t="str">
        <f>IFERROR(VLOOKUP(Table5[[#This Row],[Player No]],Table11[[#All],[No]:[Age Group]],4,0),"")</f>
        <v>U19</v>
      </c>
      <c r="B104" s="61">
        <v>47</v>
      </c>
      <c r="C104" s="77">
        <f>+B104-D104</f>
        <v>-53</v>
      </c>
      <c r="D104" s="63">
        <f t="shared" si="10"/>
        <v>100</v>
      </c>
      <c r="E104" s="63">
        <v>7244</v>
      </c>
      <c r="F104" s="64" t="str">
        <f>IFERROR(VLOOKUP(Table5[[#This Row],[Player No]],Table11[[#All],[No]:[Province]],2,0),"")</f>
        <v xml:space="preserve">KARIM Nasiha </v>
      </c>
      <c r="G104" s="65" t="str">
        <f>IFERROR(VLOOKUP(Table5[[#This Row],[Player No]],Table11[[#All],[No]:[Province]],3,0),"")</f>
        <v>GN</v>
      </c>
      <c r="H104" s="66">
        <v>15</v>
      </c>
      <c r="I104" s="96">
        <v>7.5</v>
      </c>
      <c r="J104" s="789">
        <f>Table5[[#This Row],[Points 2025]]/2+SUM(Table5[[#This Row],[O1  ADMIN 2026]:[P2           WC         CT Open 2026]])</f>
        <v>3.75</v>
      </c>
      <c r="K104" s="63">
        <f t="shared" si="13"/>
        <v>0</v>
      </c>
      <c r="L104" s="63">
        <f t="shared" si="14"/>
        <v>0</v>
      </c>
      <c r="M104" s="708" t="s">
        <v>6083</v>
      </c>
      <c r="N104" s="708" t="s">
        <v>6083</v>
      </c>
      <c r="O104" s="708" t="s">
        <v>6083</v>
      </c>
      <c r="P104" s="708"/>
      <c r="Q104" s="63"/>
      <c r="R104" s="63"/>
      <c r="S104" s="114"/>
      <c r="T104" s="114"/>
      <c r="U104" s="63"/>
      <c r="V104" s="63"/>
      <c r="W104" s="114"/>
      <c r="X104" s="63"/>
      <c r="Y104" s="708"/>
      <c r="Z104" s="114"/>
      <c r="AA104" s="114"/>
      <c r="AB104" s="63"/>
      <c r="AC104" s="114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</row>
    <row r="105" spans="1:40" s="83" customFormat="1" ht="15.5">
      <c r="A105" s="63">
        <f>IFERROR(VLOOKUP(Table5[[#This Row],[Player No]],Table11[[#All],[No]:[Age Group]],4,0),"")</f>
        <v>0</v>
      </c>
      <c r="B105" s="61"/>
      <c r="C105" s="77">
        <f>+B105-D105</f>
        <v>-101</v>
      </c>
      <c r="D105" s="63">
        <f t="shared" si="10"/>
        <v>101</v>
      </c>
      <c r="E105" s="63">
        <v>8477</v>
      </c>
      <c r="F105" s="64" t="str">
        <f>IFERROR(VLOOKUP(Table5[[#This Row],[Player No]],Table11[[#All],[No]:[Province]],2,0),"")</f>
        <v>Tessa Johnstone</v>
      </c>
      <c r="G105" s="65" t="str">
        <f>IFERROR(VLOOKUP(Table5[[#This Row],[Player No]],Table11[[#All],[No]:[Province]],3,0),"")</f>
        <v>JTTA</v>
      </c>
      <c r="H105" s="66">
        <v>15</v>
      </c>
      <c r="I105" s="96">
        <v>7.5</v>
      </c>
      <c r="J105" s="789">
        <f>Table5[[#This Row],[Points 2025]]/2+SUM(Table5[[#This Row],[O1  ADMIN 2026]:[P2           WC         CT Open 2026]])</f>
        <v>3.75</v>
      </c>
      <c r="K105" s="63">
        <f t="shared" si="13"/>
        <v>0</v>
      </c>
      <c r="L105" s="63">
        <f t="shared" si="14"/>
        <v>0</v>
      </c>
      <c r="M105" s="708" t="s">
        <v>6083</v>
      </c>
      <c r="N105" s="708" t="s">
        <v>6083</v>
      </c>
      <c r="O105" s="708" t="s">
        <v>6083</v>
      </c>
      <c r="P105" s="708"/>
      <c r="Q105" s="63"/>
      <c r="R105" s="63"/>
      <c r="S105" s="114"/>
      <c r="T105" s="114"/>
      <c r="U105" s="63"/>
      <c r="V105" s="63"/>
      <c r="W105" s="114"/>
      <c r="X105" s="63"/>
      <c r="Y105" s="708"/>
      <c r="Z105" s="114"/>
      <c r="AA105" s="114"/>
      <c r="AB105" s="63"/>
      <c r="AC105" s="114"/>
      <c r="AD105" s="63"/>
      <c r="AE105" s="63"/>
      <c r="AF105" s="63"/>
      <c r="AG105" s="63"/>
      <c r="AH105" s="63"/>
      <c r="AI105" s="63"/>
      <c r="AJ105" s="63"/>
      <c r="AK105" s="63">
        <v>15</v>
      </c>
      <c r="AL105" s="63"/>
      <c r="AM105" s="63"/>
      <c r="AN105" s="63"/>
    </row>
    <row r="106" spans="1:40" s="83" customFormat="1" ht="15.5">
      <c r="A106" s="63">
        <f>IFERROR(VLOOKUP(Table5[[#This Row],[Player No]],Table11[[#All],[No]:[Age Group]],4,0),"")</f>
        <v>0</v>
      </c>
      <c r="B106" s="61"/>
      <c r="C106" s="77"/>
      <c r="D106" s="63">
        <f t="shared" si="10"/>
        <v>102</v>
      </c>
      <c r="E106" s="173">
        <v>8508</v>
      </c>
      <c r="F106" s="64" t="str">
        <f>IFERROR(VLOOKUP(Table5[[#This Row],[Player No]],Table11[[#All],[No]:[Province]],2,0),"")</f>
        <v xml:space="preserve">DAVIDS Daylin </v>
      </c>
      <c r="G106" s="65" t="str">
        <f>IFERROR(VLOOKUP(Table5[[#This Row],[Player No]],Table11[[#All],[No]:[Province]],3,0),"")</f>
        <v>CT</v>
      </c>
      <c r="H106" s="66">
        <v>15</v>
      </c>
      <c r="I106" s="96">
        <v>7.5</v>
      </c>
      <c r="J106" s="789">
        <f>Table5[[#This Row],[Points 2025]]/2+SUM(Table5[[#This Row],[O1  ADMIN 2026]:[P2           WC         CT Open 2026]])</f>
        <v>3.75</v>
      </c>
      <c r="K106" s="63">
        <f t="shared" si="13"/>
        <v>0</v>
      </c>
      <c r="L106" s="63">
        <f t="shared" si="14"/>
        <v>0</v>
      </c>
      <c r="M106" s="708" t="s">
        <v>6083</v>
      </c>
      <c r="N106" s="708" t="s">
        <v>6083</v>
      </c>
      <c r="O106" s="708" t="s">
        <v>6083</v>
      </c>
      <c r="P106" s="708"/>
      <c r="Q106" s="63"/>
      <c r="R106" s="63"/>
      <c r="S106" s="114"/>
      <c r="T106" s="114"/>
      <c r="U106" s="63"/>
      <c r="V106" s="63"/>
      <c r="W106" s="114"/>
      <c r="X106" s="63"/>
      <c r="Y106" s="708"/>
      <c r="Z106" s="114"/>
      <c r="AA106" s="114"/>
      <c r="AB106" s="63"/>
      <c r="AC106" s="114"/>
      <c r="AD106" s="63"/>
      <c r="AE106" s="63"/>
      <c r="AF106" s="63"/>
      <c r="AG106" s="63">
        <v>15</v>
      </c>
      <c r="AH106" s="63"/>
      <c r="AI106" s="63"/>
      <c r="AJ106" s="63"/>
      <c r="AK106" s="63"/>
      <c r="AL106" s="63"/>
      <c r="AM106" s="63"/>
      <c r="AN106" s="63"/>
    </row>
    <row r="107" spans="1:40" s="83" customFormat="1" ht="15.5">
      <c r="A107" s="63">
        <f>IFERROR(VLOOKUP(Table5[[#This Row],[Player No]],Table11[[#All],[No]:[Age Group]],4,0),"")</f>
        <v>0</v>
      </c>
      <c r="B107" s="61">
        <v>49</v>
      </c>
      <c r="C107" s="77">
        <f t="shared" ref="C107:C138" si="15">+B107-D107</f>
        <v>-54</v>
      </c>
      <c r="D107" s="63">
        <f t="shared" si="10"/>
        <v>103</v>
      </c>
      <c r="E107" s="63">
        <v>8156</v>
      </c>
      <c r="F107" s="64" t="str">
        <f>IFERROR(VLOOKUP(Table5[[#This Row],[Player No]],Table11[[#All],[No]:[Province]],2,0),"")</f>
        <v>NGAMBU Sibabaliwe</v>
      </c>
      <c r="G107" s="65" t="str">
        <f>IFERROR(VLOOKUP(Table5[[#This Row],[Player No]],Table11[[#All],[No]:[Province]],3,0),"")</f>
        <v>EC</v>
      </c>
      <c r="H107" s="66">
        <v>12.5</v>
      </c>
      <c r="I107" s="96">
        <v>6.25</v>
      </c>
      <c r="J107" s="789">
        <f>Table5[[#This Row],[Points 2025]]/2+SUM(Table5[[#This Row],[O1  ADMIN 2026]:[P2           WC         CT Open 2026]])</f>
        <v>3.125</v>
      </c>
      <c r="K107" s="63">
        <f t="shared" si="13"/>
        <v>0</v>
      </c>
      <c r="L107" s="63">
        <f t="shared" si="14"/>
        <v>0</v>
      </c>
      <c r="M107" s="708" t="s">
        <v>6083</v>
      </c>
      <c r="N107" s="708" t="s">
        <v>6083</v>
      </c>
      <c r="O107" s="708" t="s">
        <v>6083</v>
      </c>
      <c r="P107" s="708"/>
      <c r="Q107" s="63"/>
      <c r="R107" s="63"/>
      <c r="S107" s="114"/>
      <c r="T107" s="114"/>
      <c r="U107" s="63"/>
      <c r="V107" s="63"/>
      <c r="W107" s="114"/>
      <c r="X107" s="63"/>
      <c r="Y107" s="708"/>
      <c r="Z107" s="114"/>
      <c r="AA107" s="114"/>
      <c r="AB107" s="63"/>
      <c r="AC107" s="114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</row>
    <row r="108" spans="1:40" s="83" customFormat="1" ht="15.5">
      <c r="A108" s="63">
        <f>IFERROR(VLOOKUP(Table5[[#This Row],[Player No]],Table11[[#All],[No]:[Age Group]],4,0),"")</f>
        <v>0</v>
      </c>
      <c r="B108" s="61">
        <v>58</v>
      </c>
      <c r="C108" s="77">
        <f t="shared" si="15"/>
        <v>-46</v>
      </c>
      <c r="D108" s="63">
        <f t="shared" si="10"/>
        <v>104</v>
      </c>
      <c r="E108" s="63">
        <v>8133</v>
      </c>
      <c r="F108" s="64" t="str">
        <f>IFERROR(VLOOKUP(Table5[[#This Row],[Player No]],Table11[[#All],[No]:[Province]],2,0),"")</f>
        <v>ERASMUS Nické</v>
      </c>
      <c r="G108" s="65" t="str">
        <f>IFERROR(VLOOKUP(Table5[[#This Row],[Player No]],Table11[[#All],[No]:[Province]],3,0),"")</f>
        <v>GN</v>
      </c>
      <c r="H108" s="66">
        <v>12</v>
      </c>
      <c r="I108" s="96">
        <v>6</v>
      </c>
      <c r="J108" s="789">
        <f>Table5[[#This Row],[Points 2025]]/2+SUM(Table5[[#This Row],[O1  ADMIN 2026]:[P2           WC         CT Open 2026]])</f>
        <v>3</v>
      </c>
      <c r="K108" s="63">
        <f t="shared" si="13"/>
        <v>0</v>
      </c>
      <c r="L108" s="63">
        <f t="shared" si="14"/>
        <v>0</v>
      </c>
      <c r="M108" s="708" t="s">
        <v>6083</v>
      </c>
      <c r="N108" s="708" t="s">
        <v>6083</v>
      </c>
      <c r="O108" s="708" t="s">
        <v>6083</v>
      </c>
      <c r="P108" s="708"/>
      <c r="Q108" s="63"/>
      <c r="R108" s="63"/>
      <c r="S108" s="114"/>
      <c r="T108" s="114"/>
      <c r="U108" s="63"/>
      <c r="V108" s="63"/>
      <c r="W108" s="114"/>
      <c r="X108" s="63"/>
      <c r="Y108" s="708"/>
      <c r="Z108" s="114"/>
      <c r="AA108" s="114"/>
      <c r="AB108" s="63"/>
      <c r="AC108" s="114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</row>
    <row r="109" spans="1:40" s="83" customFormat="1" ht="15.5">
      <c r="A109" s="63">
        <f>IFERROR(VLOOKUP(Table5[[#This Row],[Player No]],Table11[[#All],[No]:[Age Group]],4,0),"")</f>
        <v>0</v>
      </c>
      <c r="B109" s="61">
        <v>102</v>
      </c>
      <c r="C109" s="77">
        <f t="shared" si="15"/>
        <v>-3</v>
      </c>
      <c r="D109" s="63">
        <f t="shared" si="10"/>
        <v>105</v>
      </c>
      <c r="E109" s="63">
        <v>8396</v>
      </c>
      <c r="F109" s="64" t="str">
        <f>IFERROR(VLOOKUP(Table5[[#This Row],[Player No]],Table11[[#All],[No]:[Province]],2,0),"")</f>
        <v>Cassie Stevens</v>
      </c>
      <c r="G109" s="65" t="str">
        <f>IFERROR(VLOOKUP(Table5[[#This Row],[Player No]],Table11[[#All],[No]:[Province]],3,0),"")</f>
        <v>Eden</v>
      </c>
      <c r="H109" s="66">
        <v>2</v>
      </c>
      <c r="I109" s="96">
        <v>6</v>
      </c>
      <c r="J109" s="789">
        <f>Table5[[#This Row],[Points 2025]]/2+SUM(Table5[[#This Row],[O1  ADMIN 2026]:[P2           WC         CT Open 2026]])</f>
        <v>3</v>
      </c>
      <c r="K109" s="63">
        <f t="shared" si="13"/>
        <v>0</v>
      </c>
      <c r="L109" s="63">
        <f t="shared" si="14"/>
        <v>0</v>
      </c>
      <c r="M109" s="708" t="s">
        <v>6083</v>
      </c>
      <c r="N109" s="708" t="s">
        <v>6083</v>
      </c>
      <c r="O109" s="708" t="s">
        <v>6083</v>
      </c>
      <c r="P109" s="708"/>
      <c r="Q109" s="63"/>
      <c r="R109" s="63"/>
      <c r="S109" s="114"/>
      <c r="T109" s="114"/>
      <c r="U109" s="63"/>
      <c r="V109" s="63"/>
      <c r="W109" s="114"/>
      <c r="X109" s="63"/>
      <c r="Y109" s="708"/>
      <c r="Z109" s="114">
        <v>5</v>
      </c>
      <c r="AA109" s="114"/>
      <c r="AB109" s="63"/>
      <c r="AC109" s="114"/>
      <c r="AD109" s="63"/>
      <c r="AE109" s="63"/>
      <c r="AF109" s="63"/>
      <c r="AG109" s="63"/>
      <c r="AH109" s="63">
        <v>2</v>
      </c>
      <c r="AI109" s="63"/>
      <c r="AJ109" s="63"/>
      <c r="AK109" s="63"/>
      <c r="AL109" s="63"/>
      <c r="AM109" s="63"/>
      <c r="AN109" s="63"/>
    </row>
    <row r="110" spans="1:40" s="83" customFormat="1" ht="15.5">
      <c r="A110" s="63">
        <f>IFERROR(VLOOKUP(Table5[[#This Row],[Player No]],Table11[[#All],[No]:[Age Group]],4,0),"")</f>
        <v>0</v>
      </c>
      <c r="B110" s="61">
        <v>60</v>
      </c>
      <c r="C110" s="77">
        <f t="shared" si="15"/>
        <v>-46</v>
      </c>
      <c r="D110" s="63">
        <f t="shared" si="10"/>
        <v>106</v>
      </c>
      <c r="E110" s="63">
        <v>8061</v>
      </c>
      <c r="F110" s="64" t="str">
        <f>IFERROR(VLOOKUP(Table5[[#This Row],[Player No]],Table11[[#All],[No]:[Province]],2,0),"")</f>
        <v>DAVIS SMITH Zoe</v>
      </c>
      <c r="G110" s="65" t="str">
        <f>IFERROR(VLOOKUP(Table5[[#This Row],[Player No]],Table11[[#All],[No]:[Province]],3,0),"")</f>
        <v>JTTA</v>
      </c>
      <c r="H110" s="66">
        <v>11.25</v>
      </c>
      <c r="I110" s="96">
        <v>5.625</v>
      </c>
      <c r="J110" s="789">
        <f>Table5[[#This Row],[Points 2025]]/2+SUM(Table5[[#This Row],[O1  ADMIN 2026]:[P2           WC         CT Open 2026]])</f>
        <v>2.8125</v>
      </c>
      <c r="K110" s="63">
        <f t="shared" si="13"/>
        <v>0</v>
      </c>
      <c r="L110" s="63">
        <f t="shared" si="14"/>
        <v>0</v>
      </c>
      <c r="M110" s="708" t="s">
        <v>6083</v>
      </c>
      <c r="N110" s="708" t="s">
        <v>6083</v>
      </c>
      <c r="O110" s="708" t="s">
        <v>6083</v>
      </c>
      <c r="P110" s="708"/>
      <c r="Q110" s="63"/>
      <c r="R110" s="63"/>
      <c r="S110" s="114"/>
      <c r="T110" s="114"/>
      <c r="U110" s="63"/>
      <c r="V110" s="63"/>
      <c r="W110" s="114"/>
      <c r="X110" s="63"/>
      <c r="Y110" s="708"/>
      <c r="Z110" s="114"/>
      <c r="AA110" s="114"/>
      <c r="AB110" s="63"/>
      <c r="AC110" s="114"/>
      <c r="AD110" s="63"/>
      <c r="AE110" s="63"/>
      <c r="AF110" s="63"/>
      <c r="AG110" s="63"/>
      <c r="AH110" s="63"/>
      <c r="AI110" s="63">
        <v>5</v>
      </c>
      <c r="AJ110" s="63"/>
      <c r="AK110" s="63"/>
      <c r="AL110" s="63"/>
      <c r="AM110" s="63">
        <v>1</v>
      </c>
      <c r="AN110" s="63"/>
    </row>
    <row r="111" spans="1:40" s="83" customFormat="1" ht="15.5">
      <c r="A111" s="615"/>
      <c r="B111" s="615"/>
      <c r="C111" s="618">
        <f t="shared" si="15"/>
        <v>-107</v>
      </c>
      <c r="D111" s="63">
        <f t="shared" si="10"/>
        <v>107</v>
      </c>
      <c r="E111" s="624">
        <v>7337</v>
      </c>
      <c r="F111" s="64" t="str">
        <f>IFERROR(VLOOKUP(Table5[[#This Row],[Player No]],Table11[[#All],[No]:[Province]],2,0),"")</f>
        <v xml:space="preserve">MOLOINYANA Paballo </v>
      </c>
      <c r="G111" s="65" t="str">
        <f>IFERROR(VLOOKUP(Table5[[#This Row],[Player No]],Table11[[#All],[No]:[Province]],3,0),"")</f>
        <v>NW</v>
      </c>
      <c r="H111" s="66">
        <v>0</v>
      </c>
      <c r="I111" s="644">
        <v>5</v>
      </c>
      <c r="J111" s="819">
        <f>Table5[[#This Row],[Points 2025]]/2+SUM(Table5[[#This Row],[O1  ADMIN 2026]:[P2           WC         CT Open 2026]])</f>
        <v>2.5</v>
      </c>
      <c r="K111" s="624">
        <f t="shared" si="13"/>
        <v>0</v>
      </c>
      <c r="L111" s="63">
        <f t="shared" si="14"/>
        <v>0</v>
      </c>
      <c r="M111" s="708" t="s">
        <v>6083</v>
      </c>
      <c r="N111" s="709" t="s">
        <v>6083</v>
      </c>
      <c r="O111" s="709" t="s">
        <v>6083</v>
      </c>
      <c r="P111" s="709"/>
      <c r="Q111" s="624"/>
      <c r="R111" s="624"/>
      <c r="S111" s="625"/>
      <c r="T111" s="625"/>
      <c r="U111" s="624"/>
      <c r="V111" s="624"/>
      <c r="W111" s="625"/>
      <c r="X111" s="624"/>
      <c r="Y111" s="709"/>
      <c r="Z111" s="625">
        <v>5</v>
      </c>
      <c r="AA111" s="625"/>
      <c r="AB111" s="624"/>
      <c r="AC111" s="625"/>
      <c r="AD111" s="624"/>
      <c r="AE111" s="624"/>
      <c r="AF111" s="624"/>
      <c r="AG111" s="624"/>
      <c r="AH111" s="624"/>
      <c r="AI111" s="624"/>
      <c r="AJ111" s="624"/>
      <c r="AK111" s="624"/>
      <c r="AL111" s="624"/>
      <c r="AM111" s="624"/>
      <c r="AN111" s="624"/>
    </row>
    <row r="112" spans="1:40" s="83" customFormat="1" ht="15.5">
      <c r="A112" s="615"/>
      <c r="B112" s="615"/>
      <c r="C112" s="618">
        <f t="shared" si="15"/>
        <v>-108</v>
      </c>
      <c r="D112" s="63">
        <f t="shared" si="10"/>
        <v>108</v>
      </c>
      <c r="E112" s="624">
        <v>7338</v>
      </c>
      <c r="F112" s="64" t="str">
        <f>IFERROR(VLOOKUP(Table5[[#This Row],[Player No]],Table11[[#All],[No]:[Province]],2,0),"")</f>
        <v xml:space="preserve">MOLOINYANA Lebogang </v>
      </c>
      <c r="G112" s="65" t="str">
        <f>IFERROR(VLOOKUP(Table5[[#This Row],[Player No]],Table11[[#All],[No]:[Province]],3,0),"")</f>
        <v>NW</v>
      </c>
      <c r="H112" s="66">
        <v>0</v>
      </c>
      <c r="I112" s="644">
        <v>5</v>
      </c>
      <c r="J112" s="819">
        <f>Table5[[#This Row],[Points 2025]]/2+SUM(Table5[[#This Row],[O1  ADMIN 2026]:[P2           WC         CT Open 2026]])</f>
        <v>2.5</v>
      </c>
      <c r="K112" s="624">
        <f t="shared" si="13"/>
        <v>0</v>
      </c>
      <c r="L112" s="63">
        <f t="shared" si="14"/>
        <v>0</v>
      </c>
      <c r="M112" s="708" t="s">
        <v>6083</v>
      </c>
      <c r="N112" s="709" t="s">
        <v>6083</v>
      </c>
      <c r="O112" s="709" t="s">
        <v>6083</v>
      </c>
      <c r="P112" s="709"/>
      <c r="Q112" s="624"/>
      <c r="R112" s="624"/>
      <c r="S112" s="625"/>
      <c r="T112" s="625"/>
      <c r="U112" s="624"/>
      <c r="V112" s="624"/>
      <c r="W112" s="625"/>
      <c r="X112" s="624"/>
      <c r="Y112" s="709"/>
      <c r="Z112" s="625">
        <v>5</v>
      </c>
      <c r="AA112" s="625"/>
      <c r="AB112" s="624"/>
      <c r="AC112" s="625"/>
      <c r="AD112" s="624"/>
      <c r="AE112" s="624"/>
      <c r="AF112" s="624"/>
      <c r="AG112" s="624"/>
      <c r="AH112" s="624"/>
      <c r="AI112" s="624"/>
      <c r="AJ112" s="624"/>
      <c r="AK112" s="624"/>
      <c r="AL112" s="624"/>
      <c r="AM112" s="624"/>
      <c r="AN112" s="624"/>
    </row>
    <row r="113" spans="1:40" s="83" customFormat="1" ht="15.5">
      <c r="A113" s="615"/>
      <c r="B113" s="615"/>
      <c r="C113" s="618">
        <f t="shared" si="15"/>
        <v>-109</v>
      </c>
      <c r="D113" s="63">
        <f t="shared" si="10"/>
        <v>109</v>
      </c>
      <c r="E113" s="624">
        <v>8178</v>
      </c>
      <c r="F113" s="64" t="str">
        <f>IFERROR(VLOOKUP(Table5[[#This Row],[Player No]],Table11[[#All],[No]:[Province]],2,0),"")</f>
        <v>Motshabi Bopelo</v>
      </c>
      <c r="G113" s="65" t="str">
        <f>IFERROR(VLOOKUP(Table5[[#This Row],[Player No]],Table11[[#All],[No]:[Province]],3,0),"")</f>
        <v>FS</v>
      </c>
      <c r="H113" s="66">
        <v>0</v>
      </c>
      <c r="I113" s="644">
        <v>5</v>
      </c>
      <c r="J113" s="819">
        <f>Table5[[#This Row],[Points 2025]]/2+SUM(Table5[[#This Row],[O1  ADMIN 2026]:[P2           WC         CT Open 2026]])</f>
        <v>2.5</v>
      </c>
      <c r="K113" s="624">
        <f t="shared" si="13"/>
        <v>0</v>
      </c>
      <c r="L113" s="63">
        <f t="shared" si="14"/>
        <v>0</v>
      </c>
      <c r="M113" s="708" t="s">
        <v>6083</v>
      </c>
      <c r="N113" s="709" t="s">
        <v>6083</v>
      </c>
      <c r="O113" s="709" t="s">
        <v>6083</v>
      </c>
      <c r="P113" s="709"/>
      <c r="Q113" s="624"/>
      <c r="R113" s="624"/>
      <c r="S113" s="625"/>
      <c r="T113" s="625"/>
      <c r="U113" s="624"/>
      <c r="V113" s="624"/>
      <c r="W113" s="625"/>
      <c r="X113" s="624"/>
      <c r="Y113" s="709"/>
      <c r="Z113" s="625">
        <v>5</v>
      </c>
      <c r="AA113" s="625"/>
      <c r="AB113" s="624"/>
      <c r="AC113" s="625"/>
      <c r="AD113" s="624"/>
      <c r="AE113" s="624"/>
      <c r="AF113" s="624"/>
      <c r="AG113" s="624"/>
      <c r="AH113" s="624"/>
      <c r="AI113" s="624"/>
      <c r="AJ113" s="624"/>
      <c r="AK113" s="624"/>
      <c r="AL113" s="624"/>
      <c r="AM113" s="624"/>
      <c r="AN113" s="624"/>
    </row>
    <row r="114" spans="1:40" s="83" customFormat="1" ht="15.5">
      <c r="A114" s="615"/>
      <c r="B114" s="615"/>
      <c r="C114" s="618">
        <f t="shared" si="15"/>
        <v>-110</v>
      </c>
      <c r="D114" s="63">
        <f t="shared" si="10"/>
        <v>110</v>
      </c>
      <c r="E114" s="624">
        <v>8227</v>
      </c>
      <c r="F114" s="64" t="str">
        <f>IFERROR(VLOOKUP(Table5[[#This Row],[Player No]],Table11[[#All],[No]:[Province]],2,0),"")</f>
        <v>KGALANYANE Patricia</v>
      </c>
      <c r="G114" s="65" t="str">
        <f>IFERROR(VLOOKUP(Table5[[#This Row],[Player No]],Table11[[#All],[No]:[Province]],3,0),"")</f>
        <v>NW</v>
      </c>
      <c r="H114" s="66">
        <v>0</v>
      </c>
      <c r="I114" s="644">
        <v>5</v>
      </c>
      <c r="J114" s="819">
        <f>Table5[[#This Row],[Points 2025]]/2+SUM(Table5[[#This Row],[O1  ADMIN 2026]:[P2           WC         CT Open 2026]])</f>
        <v>2.5</v>
      </c>
      <c r="K114" s="624">
        <f t="shared" si="13"/>
        <v>0</v>
      </c>
      <c r="L114" s="63">
        <f t="shared" si="14"/>
        <v>0</v>
      </c>
      <c r="M114" s="708" t="s">
        <v>6083</v>
      </c>
      <c r="N114" s="709" t="s">
        <v>6083</v>
      </c>
      <c r="O114" s="709" t="s">
        <v>6083</v>
      </c>
      <c r="P114" s="709"/>
      <c r="Q114" s="624"/>
      <c r="R114" s="624"/>
      <c r="S114" s="625"/>
      <c r="T114" s="625"/>
      <c r="U114" s="624"/>
      <c r="V114" s="624"/>
      <c r="W114" s="625"/>
      <c r="X114" s="624"/>
      <c r="Y114" s="709"/>
      <c r="Z114" s="625">
        <v>5</v>
      </c>
      <c r="AA114" s="625"/>
      <c r="AB114" s="624"/>
      <c r="AC114" s="625"/>
      <c r="AD114" s="624"/>
      <c r="AE114" s="624"/>
      <c r="AF114" s="624"/>
      <c r="AG114" s="624"/>
      <c r="AH114" s="624"/>
      <c r="AI114" s="624"/>
      <c r="AJ114" s="624"/>
      <c r="AK114" s="624"/>
      <c r="AL114" s="624"/>
      <c r="AM114" s="624"/>
      <c r="AN114" s="624"/>
    </row>
    <row r="115" spans="1:40" s="83" customFormat="1" ht="15.5">
      <c r="A115" s="615"/>
      <c r="B115" s="615"/>
      <c r="C115" s="618">
        <f t="shared" si="15"/>
        <v>-111</v>
      </c>
      <c r="D115" s="63">
        <f t="shared" si="10"/>
        <v>111</v>
      </c>
      <c r="E115" s="624">
        <v>8237</v>
      </c>
      <c r="F115" s="64" t="str">
        <f>IFERROR(VLOOKUP(Table5[[#This Row],[Player No]],Table11[[#All],[No]:[Province]],2,0),"")</f>
        <v>HOFFMAN Jae-Leigh</v>
      </c>
      <c r="G115" s="65" t="str">
        <f>IFERROR(VLOOKUP(Table5[[#This Row],[Player No]],Table11[[#All],[No]:[Province]],3,0),"")</f>
        <v>Eden</v>
      </c>
      <c r="H115" s="66">
        <v>0</v>
      </c>
      <c r="I115" s="644">
        <v>5</v>
      </c>
      <c r="J115" s="819">
        <f>Table5[[#This Row],[Points 2025]]/2+SUM(Table5[[#This Row],[O1  ADMIN 2026]:[P2           WC         CT Open 2026]])</f>
        <v>2.5</v>
      </c>
      <c r="K115" s="624">
        <f t="shared" si="13"/>
        <v>0</v>
      </c>
      <c r="L115" s="63">
        <f t="shared" si="14"/>
        <v>0</v>
      </c>
      <c r="M115" s="708" t="s">
        <v>6083</v>
      </c>
      <c r="N115" s="709" t="s">
        <v>6083</v>
      </c>
      <c r="O115" s="709" t="s">
        <v>6083</v>
      </c>
      <c r="P115" s="709"/>
      <c r="Q115" s="624"/>
      <c r="R115" s="624"/>
      <c r="S115" s="625"/>
      <c r="T115" s="625"/>
      <c r="U115" s="624"/>
      <c r="V115" s="624"/>
      <c r="W115" s="625"/>
      <c r="X115" s="624"/>
      <c r="Y115" s="709"/>
      <c r="Z115" s="625">
        <v>5</v>
      </c>
      <c r="AA115" s="625"/>
      <c r="AB115" s="624"/>
      <c r="AC115" s="625"/>
      <c r="AD115" s="624"/>
      <c r="AE115" s="624"/>
      <c r="AF115" s="624"/>
      <c r="AG115" s="624"/>
      <c r="AH115" s="624"/>
      <c r="AI115" s="624"/>
      <c r="AJ115" s="624"/>
      <c r="AK115" s="624"/>
      <c r="AL115" s="624"/>
      <c r="AM115" s="624"/>
      <c r="AN115" s="624"/>
    </row>
    <row r="116" spans="1:40" s="83" customFormat="1" ht="15.5">
      <c r="A116" s="615"/>
      <c r="B116" s="615"/>
      <c r="C116" s="618">
        <f t="shared" si="15"/>
        <v>-112</v>
      </c>
      <c r="D116" s="63">
        <f t="shared" si="10"/>
        <v>112</v>
      </c>
      <c r="E116" s="624">
        <v>8239</v>
      </c>
      <c r="F116" s="64" t="str">
        <f>IFERROR(VLOOKUP(Table5[[#This Row],[Player No]],Table11[[#All],[No]:[Province]],2,0),"")</f>
        <v>PEDRO Irisha</v>
      </c>
      <c r="G116" s="65" t="str">
        <f>IFERROR(VLOOKUP(Table5[[#This Row],[Player No]],Table11[[#All],[No]:[Province]],3,0),"")</f>
        <v>Eden</v>
      </c>
      <c r="H116" s="66">
        <v>0</v>
      </c>
      <c r="I116" s="644">
        <v>5</v>
      </c>
      <c r="J116" s="819">
        <f>Table5[[#This Row],[Points 2025]]/2+SUM(Table5[[#This Row],[O1  ADMIN 2026]:[P2           WC         CT Open 2026]])</f>
        <v>2.5</v>
      </c>
      <c r="K116" s="624">
        <f t="shared" si="13"/>
        <v>0</v>
      </c>
      <c r="L116" s="63">
        <f t="shared" si="14"/>
        <v>0</v>
      </c>
      <c r="M116" s="708" t="s">
        <v>6083</v>
      </c>
      <c r="N116" s="709" t="s">
        <v>6083</v>
      </c>
      <c r="O116" s="709" t="s">
        <v>6083</v>
      </c>
      <c r="P116" s="709"/>
      <c r="Q116" s="624"/>
      <c r="R116" s="624"/>
      <c r="S116" s="625"/>
      <c r="T116" s="625"/>
      <c r="U116" s="624"/>
      <c r="V116" s="624"/>
      <c r="W116" s="625"/>
      <c r="X116" s="624"/>
      <c r="Y116" s="709"/>
      <c r="Z116" s="625">
        <v>5</v>
      </c>
      <c r="AA116" s="625"/>
      <c r="AB116" s="624"/>
      <c r="AC116" s="625"/>
      <c r="AD116" s="624"/>
      <c r="AE116" s="624"/>
      <c r="AF116" s="624"/>
      <c r="AG116" s="624"/>
      <c r="AH116" s="624"/>
      <c r="AI116" s="624"/>
      <c r="AJ116" s="624"/>
      <c r="AK116" s="624"/>
      <c r="AL116" s="624"/>
      <c r="AM116" s="624"/>
      <c r="AN116" s="624"/>
    </row>
    <row r="117" spans="1:40" s="83" customFormat="1" ht="15.5">
      <c r="A117" s="615"/>
      <c r="B117" s="615"/>
      <c r="C117" s="618">
        <f t="shared" si="15"/>
        <v>-113</v>
      </c>
      <c r="D117" s="63">
        <f t="shared" si="10"/>
        <v>113</v>
      </c>
      <c r="E117" s="624">
        <v>8311</v>
      </c>
      <c r="F117" s="64" t="str">
        <f>IFERROR(VLOOKUP(Table5[[#This Row],[Player No]],Table11[[#All],[No]:[Province]],2,0),"")</f>
        <v xml:space="preserve">MKHIZE Elihleithemba </v>
      </c>
      <c r="G117" s="65" t="str">
        <f>IFERROR(VLOOKUP(Table5[[#This Row],[Player No]],Table11[[#All],[No]:[Province]],3,0),"")</f>
        <v>ETK</v>
      </c>
      <c r="H117" s="66">
        <v>0</v>
      </c>
      <c r="I117" s="644">
        <v>5</v>
      </c>
      <c r="J117" s="819">
        <f>Table5[[#This Row],[Points 2025]]/2+SUM(Table5[[#This Row],[O1  ADMIN 2026]:[P2           WC         CT Open 2026]])</f>
        <v>2.5</v>
      </c>
      <c r="K117" s="624">
        <f t="shared" si="13"/>
        <v>0</v>
      </c>
      <c r="L117" s="63">
        <f t="shared" si="14"/>
        <v>0</v>
      </c>
      <c r="M117" s="708" t="s">
        <v>6083</v>
      </c>
      <c r="N117" s="709" t="s">
        <v>6083</v>
      </c>
      <c r="O117" s="709" t="s">
        <v>6083</v>
      </c>
      <c r="P117" s="709"/>
      <c r="Q117" s="624"/>
      <c r="R117" s="624"/>
      <c r="S117" s="625"/>
      <c r="T117" s="625"/>
      <c r="U117" s="624"/>
      <c r="V117" s="624"/>
      <c r="W117" s="625"/>
      <c r="X117" s="624"/>
      <c r="Y117" s="709"/>
      <c r="Z117" s="625">
        <v>5</v>
      </c>
      <c r="AA117" s="625"/>
      <c r="AB117" s="624"/>
      <c r="AC117" s="625"/>
      <c r="AD117" s="624"/>
      <c r="AE117" s="624"/>
      <c r="AF117" s="624"/>
      <c r="AG117" s="624"/>
      <c r="AH117" s="624"/>
      <c r="AI117" s="624"/>
      <c r="AJ117" s="624"/>
      <c r="AK117" s="624"/>
      <c r="AL117" s="624"/>
      <c r="AM117" s="624"/>
      <c r="AN117" s="624"/>
    </row>
    <row r="118" spans="1:40" s="83" customFormat="1" ht="15.5">
      <c r="A118" s="615"/>
      <c r="B118" s="615"/>
      <c r="C118" s="618">
        <f t="shared" si="15"/>
        <v>-114</v>
      </c>
      <c r="D118" s="63">
        <f t="shared" si="10"/>
        <v>114</v>
      </c>
      <c r="E118" s="624">
        <v>8434</v>
      </c>
      <c r="F118" s="64" t="str">
        <f>IFERROR(VLOOKUP(Table5[[#This Row],[Player No]],Table11[[#All],[No]:[Province]],2,0),"")</f>
        <v xml:space="preserve">MANYAMA  Nthabiseng </v>
      </c>
      <c r="G118" s="65" t="str">
        <f>IFERROR(VLOOKUP(Table5[[#This Row],[Player No]],Table11[[#All],[No]:[Province]],3,0),"")</f>
        <v>LIM</v>
      </c>
      <c r="H118" s="66">
        <v>0</v>
      </c>
      <c r="I118" s="644">
        <v>5</v>
      </c>
      <c r="J118" s="819">
        <f>Table5[[#This Row],[Points 2025]]/2+SUM(Table5[[#This Row],[O1  ADMIN 2026]:[P2           WC         CT Open 2026]])</f>
        <v>2.5</v>
      </c>
      <c r="K118" s="624">
        <f t="shared" si="13"/>
        <v>0</v>
      </c>
      <c r="L118" s="63">
        <f t="shared" si="14"/>
        <v>0</v>
      </c>
      <c r="M118" s="708" t="s">
        <v>6083</v>
      </c>
      <c r="N118" s="709" t="s">
        <v>6083</v>
      </c>
      <c r="O118" s="709" t="s">
        <v>6083</v>
      </c>
      <c r="P118" s="709"/>
      <c r="Q118" s="624"/>
      <c r="R118" s="624"/>
      <c r="S118" s="625"/>
      <c r="T118" s="625"/>
      <c r="U118" s="624"/>
      <c r="V118" s="624"/>
      <c r="W118" s="625"/>
      <c r="X118" s="624"/>
      <c r="Y118" s="709"/>
      <c r="Z118" s="625">
        <v>5</v>
      </c>
      <c r="AA118" s="625"/>
      <c r="AB118" s="624"/>
      <c r="AC118" s="625"/>
      <c r="AD118" s="624"/>
      <c r="AE118" s="624"/>
      <c r="AF118" s="624"/>
      <c r="AG118" s="624"/>
      <c r="AH118" s="624"/>
      <c r="AI118" s="624"/>
      <c r="AJ118" s="624"/>
      <c r="AK118" s="624"/>
      <c r="AL118" s="624"/>
      <c r="AM118" s="624"/>
      <c r="AN118" s="624"/>
    </row>
    <row r="119" spans="1:40" s="83" customFormat="1" ht="15.5">
      <c r="A119" s="615"/>
      <c r="B119" s="615"/>
      <c r="C119" s="618">
        <f t="shared" si="15"/>
        <v>-115</v>
      </c>
      <c r="D119" s="63">
        <f t="shared" si="10"/>
        <v>115</v>
      </c>
      <c r="E119" s="624">
        <v>8487</v>
      </c>
      <c r="F119" s="64" t="str">
        <f>IFERROR(VLOOKUP(Table5[[#This Row],[Player No]],Table11[[#All],[No]:[Province]],2,0),"")</f>
        <v>Nomcebo SIKHOKHANE</v>
      </c>
      <c r="G119" s="65" t="str">
        <f>IFERROR(VLOOKUP(Table5[[#This Row],[Player No]],Table11[[#All],[No]:[Province]],3,0),"")</f>
        <v>UMZ</v>
      </c>
      <c r="H119" s="66">
        <v>0</v>
      </c>
      <c r="I119" s="644">
        <v>5</v>
      </c>
      <c r="J119" s="819">
        <f>Table5[[#This Row],[Points 2025]]/2+SUM(Table5[[#This Row],[O1  ADMIN 2026]:[P2           WC         CT Open 2026]])</f>
        <v>2.5</v>
      </c>
      <c r="K119" s="624">
        <f t="shared" si="13"/>
        <v>0</v>
      </c>
      <c r="L119" s="63">
        <f t="shared" si="14"/>
        <v>0</v>
      </c>
      <c r="M119" s="708" t="s">
        <v>6083</v>
      </c>
      <c r="N119" s="709" t="s">
        <v>6083</v>
      </c>
      <c r="O119" s="709" t="s">
        <v>6083</v>
      </c>
      <c r="P119" s="709"/>
      <c r="Q119" s="624"/>
      <c r="R119" s="624"/>
      <c r="S119" s="625"/>
      <c r="T119" s="625"/>
      <c r="U119" s="624"/>
      <c r="V119" s="624"/>
      <c r="W119" s="625"/>
      <c r="X119" s="624"/>
      <c r="Y119" s="709"/>
      <c r="Z119" s="625">
        <v>5</v>
      </c>
      <c r="AA119" s="625"/>
      <c r="AB119" s="624"/>
      <c r="AC119" s="625"/>
      <c r="AD119" s="624"/>
      <c r="AE119" s="624"/>
      <c r="AF119" s="624"/>
      <c r="AG119" s="624"/>
      <c r="AH119" s="624"/>
      <c r="AI119" s="624"/>
      <c r="AJ119" s="624"/>
      <c r="AK119" s="624"/>
      <c r="AL119" s="624"/>
      <c r="AM119" s="624"/>
      <c r="AN119" s="624"/>
    </row>
    <row r="120" spans="1:40" s="83" customFormat="1" ht="15.5">
      <c r="A120" s="615"/>
      <c r="B120" s="615"/>
      <c r="C120" s="618">
        <f t="shared" si="15"/>
        <v>-116</v>
      </c>
      <c r="D120" s="63">
        <f t="shared" si="10"/>
        <v>116</v>
      </c>
      <c r="E120" s="624">
        <v>8804</v>
      </c>
      <c r="F120" s="64" t="str">
        <f>IFERROR(VLOOKUP(Table5[[#This Row],[Player No]],Table11[[#All],[No]:[Province]],2,0),"")</f>
        <v>PAKO  Modjadji</v>
      </c>
      <c r="G120" s="65" t="str">
        <f>IFERROR(VLOOKUP(Table5[[#This Row],[Player No]],Table11[[#All],[No]:[Province]],3,0),"")</f>
        <v>LIM</v>
      </c>
      <c r="H120" s="66">
        <v>0</v>
      </c>
      <c r="I120" s="644">
        <v>5</v>
      </c>
      <c r="J120" s="819">
        <f>Table5[[#This Row],[Points 2025]]/2+SUM(Table5[[#This Row],[O1  ADMIN 2026]:[P2           WC         CT Open 2026]])</f>
        <v>2.5</v>
      </c>
      <c r="K120" s="624">
        <f t="shared" si="13"/>
        <v>0</v>
      </c>
      <c r="L120" s="63">
        <f t="shared" si="14"/>
        <v>0</v>
      </c>
      <c r="M120" s="708" t="s">
        <v>6083</v>
      </c>
      <c r="N120" s="709" t="s">
        <v>6083</v>
      </c>
      <c r="O120" s="709" t="s">
        <v>6083</v>
      </c>
      <c r="P120" s="709"/>
      <c r="Q120" s="624"/>
      <c r="R120" s="624"/>
      <c r="S120" s="625"/>
      <c r="T120" s="625"/>
      <c r="U120" s="624"/>
      <c r="V120" s="624"/>
      <c r="W120" s="625"/>
      <c r="X120" s="624"/>
      <c r="Y120" s="709"/>
      <c r="Z120" s="625">
        <v>5</v>
      </c>
      <c r="AA120" s="625"/>
      <c r="AB120" s="624"/>
      <c r="AC120" s="625"/>
      <c r="AD120" s="624"/>
      <c r="AE120" s="624"/>
      <c r="AF120" s="624"/>
      <c r="AG120" s="624"/>
      <c r="AH120" s="624"/>
      <c r="AI120" s="624"/>
      <c r="AJ120" s="624"/>
      <c r="AK120" s="624"/>
      <c r="AL120" s="624"/>
      <c r="AM120" s="624"/>
      <c r="AN120" s="624"/>
    </row>
    <row r="121" spans="1:40" s="83" customFormat="1" ht="15.5">
      <c r="A121" s="63">
        <f>IFERROR(VLOOKUP(Table5[[#This Row],[Player No]],Table11[[#All],[No]:[Age Group]],4,0),"")</f>
        <v>0</v>
      </c>
      <c r="B121" s="61"/>
      <c r="C121" s="77">
        <f t="shared" si="15"/>
        <v>-117</v>
      </c>
      <c r="D121" s="63">
        <f t="shared" si="10"/>
        <v>117</v>
      </c>
      <c r="E121" s="63">
        <v>8106</v>
      </c>
      <c r="F121" s="64" t="str">
        <f>IFERROR(VLOOKUP(Table5[[#This Row],[Player No]],Table11[[#All],[No]:[Province]],2,0),"")</f>
        <v>PARBHOODEEN Akshara Gemma</v>
      </c>
      <c r="G121" s="65" t="str">
        <f>IFERROR(VLOOKUP(Table5[[#This Row],[Player No]],Table11[[#All],[No]:[Province]],3,0),"")</f>
        <v>UMG</v>
      </c>
      <c r="H121" s="66">
        <v>2</v>
      </c>
      <c r="I121" s="96">
        <v>1</v>
      </c>
      <c r="J121" s="789">
        <f>Table5[[#This Row],[Points 2025]]/2+SUM(Table5[[#This Row],[O1  ADMIN 2026]:[P2           WC         CT Open 2026]])</f>
        <v>2.5</v>
      </c>
      <c r="K121" s="63">
        <f t="shared" si="13"/>
        <v>2</v>
      </c>
      <c r="L121" s="63">
        <f t="shared" si="14"/>
        <v>0</v>
      </c>
      <c r="M121" s="708" t="s">
        <v>6083</v>
      </c>
      <c r="N121" s="708">
        <v>1</v>
      </c>
      <c r="O121" s="708">
        <v>1</v>
      </c>
      <c r="P121" s="708"/>
      <c r="Q121" s="63"/>
      <c r="R121" s="63"/>
      <c r="S121" s="114"/>
      <c r="T121" s="114"/>
      <c r="U121" s="63"/>
      <c r="V121" s="63"/>
      <c r="W121" s="114"/>
      <c r="X121" s="63"/>
      <c r="Y121" s="708"/>
      <c r="Z121" s="114"/>
      <c r="AA121" s="114"/>
      <c r="AB121" s="63"/>
      <c r="AC121" s="114"/>
      <c r="AD121" s="63"/>
      <c r="AE121" s="63"/>
      <c r="AF121" s="63"/>
      <c r="AG121" s="63"/>
      <c r="AH121" s="63"/>
      <c r="AI121" s="63"/>
      <c r="AJ121" s="63"/>
      <c r="AK121" s="63"/>
      <c r="AL121" s="63">
        <v>2</v>
      </c>
      <c r="AM121" s="63"/>
      <c r="AN121" s="63"/>
    </row>
    <row r="122" spans="1:40" s="83" customFormat="1" ht="15.5">
      <c r="A122" s="61"/>
      <c r="B122" s="61"/>
      <c r="C122" s="77">
        <f t="shared" si="15"/>
        <v>-118</v>
      </c>
      <c r="D122" s="63">
        <f t="shared" si="10"/>
        <v>118</v>
      </c>
      <c r="E122" s="63">
        <v>8125</v>
      </c>
      <c r="F122" s="64" t="str">
        <f>IFERROR(VLOOKUP(Table5[[#This Row],[Player No]],Table11[[#All],[No]:[Province]],2,0),"")</f>
        <v>GOLOGOLO Latita</v>
      </c>
      <c r="G122" s="65" t="str">
        <f>IFERROR(VLOOKUP(Table5[[#This Row],[Player No]],Table11[[#All],[No]:[Province]],3,0),"")</f>
        <v>FS</v>
      </c>
      <c r="H122" s="66" t="e">
        <f>+#REF!/2+SUM(Table5[[#This Row],[P1         KZN  Open   2024]:[O1        GAU
MTTC Open  2024]])</f>
        <v>#REF!</v>
      </c>
      <c r="I122" s="96">
        <v>0</v>
      </c>
      <c r="J122" s="789">
        <f>Table5[[#This Row],[Points 2025]]/2+SUM(Table5[[#This Row],[O1  ADMIN 2026]:[P2           WC         CT Open 2026]])</f>
        <v>2</v>
      </c>
      <c r="K122" s="63">
        <f t="shared" si="13"/>
        <v>2</v>
      </c>
      <c r="L122" s="63">
        <f t="shared" si="14"/>
        <v>0</v>
      </c>
      <c r="M122" s="708" t="s">
        <v>6083</v>
      </c>
      <c r="N122" s="708">
        <v>1</v>
      </c>
      <c r="O122" s="708">
        <v>1</v>
      </c>
      <c r="P122" s="708"/>
      <c r="Q122" s="63"/>
      <c r="R122" s="63"/>
      <c r="S122" s="114"/>
      <c r="T122" s="114"/>
      <c r="U122" s="63"/>
      <c r="V122" s="63"/>
      <c r="W122" s="114"/>
      <c r="X122" s="63"/>
      <c r="Y122" s="708"/>
      <c r="Z122" s="114"/>
      <c r="AA122" s="114"/>
      <c r="AB122" s="63"/>
      <c r="AC122" s="114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</row>
    <row r="123" spans="1:40" s="83" customFormat="1" ht="15.5">
      <c r="A123" s="61"/>
      <c r="B123" s="61"/>
      <c r="C123" s="77">
        <f t="shared" si="15"/>
        <v>-119</v>
      </c>
      <c r="D123" s="63">
        <f t="shared" si="10"/>
        <v>119</v>
      </c>
      <c r="E123" s="63">
        <v>8663</v>
      </c>
      <c r="F123" s="64" t="str">
        <f>IFERROR(VLOOKUP(Table5[[#This Row],[Player No]],Table11[[#All],[No]:[Province]],2,0),"")</f>
        <v>BAIJNATH Preeti</v>
      </c>
      <c r="G123" s="65" t="str">
        <f>IFERROR(VLOOKUP(Table5[[#This Row],[Player No]],Table11[[#All],[No]:[Province]],3,0),"")</f>
        <v>UMG</v>
      </c>
      <c r="H123" s="66" t="e">
        <f>+#REF!/2+SUM(Table5[[#This Row],[P1         KZN  Open   2024]:[O1        GAU
MTTC Open  2024]])</f>
        <v>#REF!</v>
      </c>
      <c r="I123" s="96">
        <v>0</v>
      </c>
      <c r="J123" s="789">
        <f>Table5[[#This Row],[Points 2025]]/2+SUM(Table5[[#This Row],[O1  ADMIN 2026]:[P2           WC         CT Open 2026]])</f>
        <v>2</v>
      </c>
      <c r="K123" s="63">
        <f t="shared" si="13"/>
        <v>2</v>
      </c>
      <c r="L123" s="63">
        <f t="shared" si="14"/>
        <v>0</v>
      </c>
      <c r="M123" s="708" t="s">
        <v>6083</v>
      </c>
      <c r="N123" s="708">
        <v>1</v>
      </c>
      <c r="O123" s="708">
        <v>1</v>
      </c>
      <c r="P123" s="708"/>
      <c r="Q123" s="63"/>
      <c r="R123" s="63"/>
      <c r="S123" s="114"/>
      <c r="T123" s="114"/>
      <c r="U123" s="63"/>
      <c r="V123" s="63"/>
      <c r="W123" s="114"/>
      <c r="X123" s="63"/>
      <c r="Y123" s="708"/>
      <c r="Z123" s="114"/>
      <c r="AA123" s="114"/>
      <c r="AB123" s="63"/>
      <c r="AC123" s="114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</row>
    <row r="124" spans="1:40" s="83" customFormat="1" ht="15.5">
      <c r="A124" s="61"/>
      <c r="B124" s="61"/>
      <c r="C124" s="77">
        <f t="shared" si="15"/>
        <v>-120</v>
      </c>
      <c r="D124" s="63">
        <f t="shared" si="10"/>
        <v>120</v>
      </c>
      <c r="E124" s="63">
        <v>8662</v>
      </c>
      <c r="F124" s="64" t="str">
        <f>IFERROR(VLOOKUP(Table5[[#This Row],[Player No]],Table11[[#All],[No]:[Province]],2,0),"")</f>
        <v>BAIJNATH Aditi</v>
      </c>
      <c r="G124" s="65" t="str">
        <f>IFERROR(VLOOKUP(Table5[[#This Row],[Player No]],Table11[[#All],[No]:[Province]],3,0),"")</f>
        <v>UMG</v>
      </c>
      <c r="H124" s="66" t="e">
        <f>+#REF!/2+SUM(Table5[[#This Row],[P1         KZN  Open   2024]:[O1        GAU
MTTC Open  2024]])</f>
        <v>#REF!</v>
      </c>
      <c r="I124" s="96">
        <v>0</v>
      </c>
      <c r="J124" s="789">
        <f>Table5[[#This Row],[Points 2025]]/2+SUM(Table5[[#This Row],[O1  ADMIN 2026]:[P2           WC         CT Open 2026]])</f>
        <v>2</v>
      </c>
      <c r="K124" s="63">
        <f t="shared" si="13"/>
        <v>2</v>
      </c>
      <c r="L124" s="63">
        <f t="shared" si="14"/>
        <v>0</v>
      </c>
      <c r="M124" s="708" t="s">
        <v>6083</v>
      </c>
      <c r="N124" s="708">
        <v>1</v>
      </c>
      <c r="O124" s="708">
        <v>1</v>
      </c>
      <c r="P124" s="708"/>
      <c r="Q124" s="63"/>
      <c r="R124" s="63"/>
      <c r="S124" s="114"/>
      <c r="T124" s="114"/>
      <c r="U124" s="63"/>
      <c r="V124" s="63"/>
      <c r="W124" s="114"/>
      <c r="X124" s="63"/>
      <c r="Y124" s="708"/>
      <c r="Z124" s="114"/>
      <c r="AA124" s="114"/>
      <c r="AB124" s="63"/>
      <c r="AC124" s="114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</row>
    <row r="125" spans="1:40" s="83" customFormat="1" ht="15.5">
      <c r="A125" s="63">
        <f>IFERROR(VLOOKUP(Table5[[#This Row],[Player No]],Table11[[#All],[No]:[Age Group]],4,0),"")</f>
        <v>0</v>
      </c>
      <c r="B125" s="61"/>
      <c r="C125" s="77">
        <f t="shared" si="15"/>
        <v>-121</v>
      </c>
      <c r="D125" s="63">
        <f t="shared" si="10"/>
        <v>121</v>
      </c>
      <c r="E125" s="63">
        <v>7801</v>
      </c>
      <c r="F125" s="64" t="str">
        <f>IFERROR(VLOOKUP(Table5[[#This Row],[Player No]],Table11[[#All],[No]:[Province]],2,0),"")</f>
        <v>FOURIE Riana</v>
      </c>
      <c r="G125" s="65" t="str">
        <f>IFERROR(VLOOKUP(Table5[[#This Row],[Player No]],Table11[[#All],[No]:[Province]],3,0),"")</f>
        <v>FS</v>
      </c>
      <c r="H125" s="66">
        <v>5</v>
      </c>
      <c r="I125" s="96">
        <v>3.5</v>
      </c>
      <c r="J125" s="789">
        <f>Table5[[#This Row],[Points 2025]]/2+SUM(Table5[[#This Row],[O1  ADMIN 2026]:[P2           WC         CT Open 2026]])</f>
        <v>1.75</v>
      </c>
      <c r="K125" s="63">
        <f t="shared" si="13"/>
        <v>0</v>
      </c>
      <c r="L125" s="63">
        <f t="shared" si="14"/>
        <v>0</v>
      </c>
      <c r="M125" s="708" t="s">
        <v>6083</v>
      </c>
      <c r="N125" s="708" t="s">
        <v>6083</v>
      </c>
      <c r="O125" s="708" t="s">
        <v>6083</v>
      </c>
      <c r="P125" s="708"/>
      <c r="Q125" s="63"/>
      <c r="R125" s="63"/>
      <c r="S125" s="114"/>
      <c r="T125" s="114"/>
      <c r="U125" s="63"/>
      <c r="V125" s="63"/>
      <c r="W125" s="114"/>
      <c r="X125" s="63"/>
      <c r="Y125" s="708"/>
      <c r="Z125" s="114"/>
      <c r="AA125" s="114">
        <v>1</v>
      </c>
      <c r="AB125" s="63"/>
      <c r="AC125" s="114"/>
      <c r="AD125" s="63"/>
      <c r="AE125" s="63"/>
      <c r="AF125" s="63"/>
      <c r="AG125" s="63"/>
      <c r="AH125" s="63"/>
      <c r="AI125" s="63">
        <v>5</v>
      </c>
      <c r="AJ125" s="63"/>
      <c r="AK125" s="63"/>
      <c r="AL125" s="63"/>
      <c r="AM125" s="63"/>
      <c r="AN125" s="63"/>
    </row>
    <row r="126" spans="1:40" s="83" customFormat="1" ht="15.5">
      <c r="A126" s="63">
        <f>IFERROR(VLOOKUP(Table5[[#This Row],[Player No]],Table11[[#All],[No]:[Age Group]],4,0),"")</f>
        <v>0</v>
      </c>
      <c r="B126" s="61">
        <v>59</v>
      </c>
      <c r="C126" s="77">
        <f t="shared" si="15"/>
        <v>-63</v>
      </c>
      <c r="D126" s="63">
        <f t="shared" si="10"/>
        <v>122</v>
      </c>
      <c r="E126" s="63">
        <v>7281</v>
      </c>
      <c r="F126" s="64" t="str">
        <f>IFERROR(VLOOKUP(Table5[[#This Row],[Player No]],Table11[[#All],[No]:[Province]],2,0),"")</f>
        <v xml:space="preserve">MADONDO Amahle </v>
      </c>
      <c r="G126" s="65" t="str">
        <f>IFERROR(VLOOKUP(Table5[[#This Row],[Player No]],Table11[[#All],[No]:[Province]],3,0),"")</f>
        <v>UTH</v>
      </c>
      <c r="H126" s="66">
        <v>6.25</v>
      </c>
      <c r="I126" s="96">
        <v>3.125</v>
      </c>
      <c r="J126" s="789">
        <f>Table5[[#This Row],[Points 2025]]/2+SUM(Table5[[#This Row],[O1  ADMIN 2026]:[P2           WC         CT Open 2026]])</f>
        <v>1.5625</v>
      </c>
      <c r="K126" s="63">
        <f t="shared" si="13"/>
        <v>0</v>
      </c>
      <c r="L126" s="63">
        <f t="shared" si="14"/>
        <v>0</v>
      </c>
      <c r="M126" s="708" t="s">
        <v>6083</v>
      </c>
      <c r="N126" s="708" t="s">
        <v>6083</v>
      </c>
      <c r="O126" s="708" t="s">
        <v>6083</v>
      </c>
      <c r="P126" s="708"/>
      <c r="Q126" s="63"/>
      <c r="R126" s="63"/>
      <c r="S126" s="114"/>
      <c r="T126" s="114"/>
      <c r="U126" s="63"/>
      <c r="V126" s="63"/>
      <c r="W126" s="114"/>
      <c r="X126" s="63"/>
      <c r="Y126" s="708"/>
      <c r="Z126" s="114"/>
      <c r="AA126" s="114"/>
      <c r="AB126" s="63"/>
      <c r="AC126" s="114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</row>
    <row r="127" spans="1:40" s="83" customFormat="1" ht="15.5">
      <c r="A127" s="63">
        <f>IFERROR(VLOOKUP(Table5[[#This Row],[Player No]],Table11[[#All],[No]:[Age Group]],4,0),"")</f>
        <v>0</v>
      </c>
      <c r="B127" s="61">
        <v>57</v>
      </c>
      <c r="C127" s="77">
        <f t="shared" si="15"/>
        <v>-66</v>
      </c>
      <c r="D127" s="63">
        <f t="shared" si="10"/>
        <v>123</v>
      </c>
      <c r="E127" s="63">
        <v>7608</v>
      </c>
      <c r="F127" s="64" t="str">
        <f>IFERROR(VLOOKUP(Table5[[#This Row],[Player No]],Table11[[#All],[No]:[Province]],2,0),"")</f>
        <v>SANDOVANA Sinamandla</v>
      </c>
      <c r="G127" s="65" t="str">
        <f>IFERROR(VLOOKUP(Table5[[#This Row],[Player No]],Table11[[#All],[No]:[Province]],3,0),"")</f>
        <v>EC</v>
      </c>
      <c r="H127" s="66">
        <v>6.25</v>
      </c>
      <c r="I127" s="96">
        <v>3.125</v>
      </c>
      <c r="J127" s="789">
        <f>Table5[[#This Row],[Points 2025]]/2+SUM(Table5[[#This Row],[O1  ADMIN 2026]:[P2           WC         CT Open 2026]])</f>
        <v>1.5625</v>
      </c>
      <c r="K127" s="63">
        <f t="shared" si="13"/>
        <v>0</v>
      </c>
      <c r="L127" s="63">
        <f t="shared" si="14"/>
        <v>0</v>
      </c>
      <c r="M127" s="708" t="s">
        <v>6083</v>
      </c>
      <c r="N127" s="708" t="s">
        <v>6083</v>
      </c>
      <c r="O127" s="708" t="s">
        <v>6083</v>
      </c>
      <c r="P127" s="708"/>
      <c r="Q127" s="63"/>
      <c r="R127" s="63"/>
      <c r="S127" s="114"/>
      <c r="T127" s="114"/>
      <c r="U127" s="63"/>
      <c r="V127" s="63"/>
      <c r="W127" s="114"/>
      <c r="X127" s="63"/>
      <c r="Y127" s="708"/>
      <c r="Z127" s="114"/>
      <c r="AA127" s="114"/>
      <c r="AB127" s="63"/>
      <c r="AC127" s="114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</row>
    <row r="128" spans="1:40" s="83" customFormat="1" ht="15.5">
      <c r="A128" s="63">
        <f>IFERROR(VLOOKUP(Table5[[#This Row],[Player No]],Table11[[#All],[No]:[Age Group]],4,0),"")</f>
        <v>0</v>
      </c>
      <c r="B128" s="61">
        <v>93</v>
      </c>
      <c r="C128" s="77">
        <f t="shared" si="15"/>
        <v>-31</v>
      </c>
      <c r="D128" s="63">
        <f t="shared" si="10"/>
        <v>124</v>
      </c>
      <c r="E128" s="63">
        <v>8118</v>
      </c>
      <c r="F128" s="64" t="str">
        <f>IFERROR(VLOOKUP(Table5[[#This Row],[Player No]],Table11[[#All],[No]:[Province]],2,0),"")</f>
        <v>NYOKONG Keabetswe</v>
      </c>
      <c r="G128" s="65" t="str">
        <f>IFERROR(VLOOKUP(Table5[[#This Row],[Player No]],Table11[[#All],[No]:[Province]],3,0),"")</f>
        <v>FS</v>
      </c>
      <c r="H128" s="66">
        <v>5.5</v>
      </c>
      <c r="I128" s="96">
        <v>2.75</v>
      </c>
      <c r="J128" s="789">
        <f>Table5[[#This Row],[Points 2025]]/2+SUM(Table5[[#This Row],[O1  ADMIN 2026]:[P2           WC         CT Open 2026]])</f>
        <v>1.375</v>
      </c>
      <c r="K128" s="63">
        <f t="shared" si="13"/>
        <v>0</v>
      </c>
      <c r="L128" s="63">
        <f t="shared" si="14"/>
        <v>0</v>
      </c>
      <c r="M128" s="708" t="s">
        <v>6083</v>
      </c>
      <c r="N128" s="708" t="s">
        <v>6083</v>
      </c>
      <c r="O128" s="708" t="s">
        <v>6083</v>
      </c>
      <c r="P128" s="708"/>
      <c r="Q128" s="63"/>
      <c r="R128" s="63"/>
      <c r="S128" s="114"/>
      <c r="T128" s="114"/>
      <c r="U128" s="63"/>
      <c r="V128" s="63"/>
      <c r="W128" s="114"/>
      <c r="X128" s="63"/>
      <c r="Y128" s="708"/>
      <c r="Z128" s="114">
        <v>0</v>
      </c>
      <c r="AA128" s="114"/>
      <c r="AB128" s="63"/>
      <c r="AC128" s="114"/>
      <c r="AD128" s="63"/>
      <c r="AE128" s="63"/>
      <c r="AF128" s="63"/>
      <c r="AG128" s="63"/>
      <c r="AH128" s="63"/>
      <c r="AI128" s="63">
        <v>5</v>
      </c>
      <c r="AJ128" s="63"/>
      <c r="AK128" s="63"/>
      <c r="AL128" s="63"/>
      <c r="AM128" s="63"/>
      <c r="AN128" s="63"/>
    </row>
    <row r="129" spans="1:40" s="83" customFormat="1" ht="15.5">
      <c r="A129" s="63">
        <f>IFERROR(VLOOKUP(Table5[[#This Row],[Player No]],Table11[[#All],[No]:[Age Group]],4,0),"")</f>
        <v>0</v>
      </c>
      <c r="B129" s="61"/>
      <c r="C129" s="77">
        <f t="shared" si="15"/>
        <v>-125</v>
      </c>
      <c r="D129" s="63">
        <f t="shared" si="10"/>
        <v>125</v>
      </c>
      <c r="E129" s="63">
        <v>7984</v>
      </c>
      <c r="F129" s="64" t="str">
        <f>IFERROR(VLOOKUP(Table5[[#This Row],[Player No]],Table11[[#All],[No]:[Province]],2,0),"")</f>
        <v>THEBE KEARABETSWE</v>
      </c>
      <c r="G129" s="65" t="str">
        <f>IFERROR(VLOOKUP(Table5[[#This Row],[Player No]],Table11[[#All],[No]:[Province]],3,0),"")</f>
        <v>NW</v>
      </c>
      <c r="H129" s="66">
        <v>5</v>
      </c>
      <c r="I129" s="96">
        <v>2.5</v>
      </c>
      <c r="J129" s="789">
        <f>Table5[[#This Row],[Points 2025]]/2+SUM(Table5[[#This Row],[O1  ADMIN 2026]:[P2           WC         CT Open 2026]])</f>
        <v>1.25</v>
      </c>
      <c r="K129" s="63">
        <f t="shared" si="13"/>
        <v>0</v>
      </c>
      <c r="L129" s="63">
        <f t="shared" si="14"/>
        <v>0</v>
      </c>
      <c r="M129" s="708" t="s">
        <v>6083</v>
      </c>
      <c r="N129" s="708" t="s">
        <v>6083</v>
      </c>
      <c r="O129" s="708" t="s">
        <v>6083</v>
      </c>
      <c r="P129" s="708"/>
      <c r="Q129" s="63"/>
      <c r="R129" s="63"/>
      <c r="S129" s="114"/>
      <c r="T129" s="114"/>
      <c r="U129" s="63"/>
      <c r="V129" s="63"/>
      <c r="W129" s="114"/>
      <c r="X129" s="63"/>
      <c r="Y129" s="708"/>
      <c r="Z129" s="114"/>
      <c r="AA129" s="114"/>
      <c r="AB129" s="63"/>
      <c r="AC129" s="114"/>
      <c r="AD129" s="63"/>
      <c r="AE129" s="63"/>
      <c r="AF129" s="63"/>
      <c r="AG129" s="63"/>
      <c r="AH129" s="63"/>
      <c r="AI129" s="63">
        <v>5</v>
      </c>
      <c r="AJ129" s="63"/>
      <c r="AK129" s="63"/>
      <c r="AL129" s="63"/>
      <c r="AM129" s="63"/>
      <c r="AN129" s="63"/>
    </row>
    <row r="130" spans="1:40" s="83" customFormat="1" ht="15.5">
      <c r="A130" s="63" t="str">
        <f>IFERROR(VLOOKUP(Table5[[#This Row],[Player No]],Table11[[#All],[No]:[Age Group]],4,0),"")</f>
        <v>U19</v>
      </c>
      <c r="B130" s="61">
        <v>69</v>
      </c>
      <c r="C130" s="77">
        <f t="shared" si="15"/>
        <v>-57</v>
      </c>
      <c r="D130" s="63">
        <f t="shared" si="10"/>
        <v>126</v>
      </c>
      <c r="E130" s="63">
        <v>8193</v>
      </c>
      <c r="F130" s="64" t="str">
        <f>IFERROR(VLOOKUP(Table5[[#This Row],[Player No]],Table11[[#All],[No]:[Province]],2,0),"")</f>
        <v>PEKEUR Shaninque</v>
      </c>
      <c r="G130" s="65" t="str">
        <f>IFERROR(VLOOKUP(Table5[[#This Row],[Player No]],Table11[[#All],[No]:[Province]],3,0),"")</f>
        <v>CW</v>
      </c>
      <c r="H130" s="66">
        <v>5</v>
      </c>
      <c r="I130" s="96">
        <v>2.5</v>
      </c>
      <c r="J130" s="789">
        <f>Table5[[#This Row],[Points 2025]]/2+SUM(Table5[[#This Row],[O1  ADMIN 2026]:[P2           WC         CT Open 2026]])</f>
        <v>1.25</v>
      </c>
      <c r="K130" s="63">
        <f t="shared" si="13"/>
        <v>0</v>
      </c>
      <c r="L130" s="63">
        <f t="shared" si="14"/>
        <v>0</v>
      </c>
      <c r="M130" s="708" t="s">
        <v>6083</v>
      </c>
      <c r="N130" s="708" t="s">
        <v>6083</v>
      </c>
      <c r="O130" s="708" t="s">
        <v>6083</v>
      </c>
      <c r="P130" s="708"/>
      <c r="Q130" s="63"/>
      <c r="R130" s="63"/>
      <c r="S130" s="114"/>
      <c r="T130" s="114"/>
      <c r="U130" s="63"/>
      <c r="V130" s="63"/>
      <c r="W130" s="114"/>
      <c r="X130" s="63"/>
      <c r="Y130" s="708"/>
      <c r="Z130" s="114"/>
      <c r="AA130" s="114"/>
      <c r="AB130" s="63"/>
      <c r="AC130" s="114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</row>
    <row r="131" spans="1:40" s="83" customFormat="1" ht="15.5">
      <c r="A131" s="63" t="str">
        <f>IFERROR(VLOOKUP(Table5[[#This Row],[Player No]],Table11[[#All],[No]:[Age Group]],4,0),"")</f>
        <v>U19</v>
      </c>
      <c r="B131" s="61"/>
      <c r="C131" s="77">
        <f t="shared" si="15"/>
        <v>-127</v>
      </c>
      <c r="D131" s="63">
        <f t="shared" si="10"/>
        <v>127</v>
      </c>
      <c r="E131" s="63">
        <v>8280</v>
      </c>
      <c r="F131" s="64" t="str">
        <f>IFERROR(VLOOKUP(Table5[[#This Row],[Player No]],Table11[[#All],[No]:[Province]],2,0),"")</f>
        <v>WILDEBEES Bontle</v>
      </c>
      <c r="G131" s="65" t="str">
        <f>IFERROR(VLOOKUP(Table5[[#This Row],[Player No]],Table11[[#All],[No]:[Province]],3,0),"")</f>
        <v>FS</v>
      </c>
      <c r="H131" s="66">
        <v>5</v>
      </c>
      <c r="I131" s="96">
        <v>2.5</v>
      </c>
      <c r="J131" s="789">
        <f>Table5[[#This Row],[Points 2025]]/2+SUM(Table5[[#This Row],[O1  ADMIN 2026]:[P2           WC         CT Open 2026]])</f>
        <v>1.25</v>
      </c>
      <c r="K131" s="63">
        <f t="shared" si="13"/>
        <v>0</v>
      </c>
      <c r="L131" s="63">
        <f t="shared" si="14"/>
        <v>0</v>
      </c>
      <c r="M131" s="708" t="s">
        <v>6083</v>
      </c>
      <c r="N131" s="708" t="s">
        <v>6083</v>
      </c>
      <c r="O131" s="708" t="s">
        <v>6083</v>
      </c>
      <c r="P131" s="708"/>
      <c r="Q131" s="63"/>
      <c r="R131" s="63"/>
      <c r="S131" s="114"/>
      <c r="T131" s="114"/>
      <c r="U131" s="63"/>
      <c r="V131" s="63"/>
      <c r="W131" s="114"/>
      <c r="X131" s="63"/>
      <c r="Y131" s="708"/>
      <c r="Z131" s="114">
        <v>0</v>
      </c>
      <c r="AA131" s="114"/>
      <c r="AB131" s="63"/>
      <c r="AC131" s="114"/>
      <c r="AD131" s="63"/>
      <c r="AE131" s="63"/>
      <c r="AF131" s="63"/>
      <c r="AG131" s="63"/>
      <c r="AH131" s="63"/>
      <c r="AI131" s="63">
        <v>5</v>
      </c>
      <c r="AJ131" s="63"/>
      <c r="AK131" s="63"/>
      <c r="AL131" s="63"/>
      <c r="AM131" s="63"/>
      <c r="AN131" s="63"/>
    </row>
    <row r="132" spans="1:40" s="83" customFormat="1" ht="15.5">
      <c r="A132" s="63">
        <f>IFERROR(VLOOKUP(Table5[[#This Row],[Player No]],Table11[[#All],[No]:[Age Group]],4,0),"")</f>
        <v>0</v>
      </c>
      <c r="B132" s="61"/>
      <c r="C132" s="77">
        <f t="shared" si="15"/>
        <v>-128</v>
      </c>
      <c r="D132" s="63">
        <f t="shared" si="10"/>
        <v>128</v>
      </c>
      <c r="E132" s="63">
        <v>8370</v>
      </c>
      <c r="F132" s="64" t="str">
        <f>IFERROR(VLOOKUP(Table5[[#This Row],[Player No]],Table11[[#All],[No]:[Province]],2,0),"")</f>
        <v>MONNANA Tshepiso</v>
      </c>
      <c r="G132" s="65" t="str">
        <f>IFERROR(VLOOKUP(Table5[[#This Row],[Player No]],Table11[[#All],[No]:[Province]],3,0),"")</f>
        <v>NW</v>
      </c>
      <c r="H132" s="66">
        <v>5</v>
      </c>
      <c r="I132" s="96">
        <v>2.5</v>
      </c>
      <c r="J132" s="789">
        <f>Table5[[#This Row],[Points 2025]]/2+SUM(Table5[[#This Row],[O1  ADMIN 2026]:[P2           WC         CT Open 2026]])</f>
        <v>1.25</v>
      </c>
      <c r="K132" s="63">
        <f t="shared" si="13"/>
        <v>0</v>
      </c>
      <c r="L132" s="63">
        <f t="shared" si="14"/>
        <v>0</v>
      </c>
      <c r="M132" s="708" t="s">
        <v>6083</v>
      </c>
      <c r="N132" s="708" t="s">
        <v>6083</v>
      </c>
      <c r="O132" s="708" t="s">
        <v>6083</v>
      </c>
      <c r="P132" s="708"/>
      <c r="Q132" s="63"/>
      <c r="R132" s="63"/>
      <c r="S132" s="114"/>
      <c r="T132" s="114"/>
      <c r="U132" s="63"/>
      <c r="V132" s="63"/>
      <c r="W132" s="114"/>
      <c r="X132" s="63"/>
      <c r="Y132" s="708"/>
      <c r="Z132" s="114"/>
      <c r="AA132" s="114"/>
      <c r="AB132" s="63"/>
      <c r="AC132" s="114"/>
      <c r="AD132" s="63"/>
      <c r="AE132" s="63"/>
      <c r="AF132" s="63"/>
      <c r="AG132" s="63"/>
      <c r="AH132" s="63"/>
      <c r="AI132" s="63">
        <v>5</v>
      </c>
      <c r="AJ132" s="63"/>
      <c r="AK132" s="63"/>
      <c r="AL132" s="63"/>
      <c r="AM132" s="63"/>
      <c r="AN132" s="63"/>
    </row>
    <row r="133" spans="1:40" s="83" customFormat="1" ht="15.5">
      <c r="A133" s="63">
        <f>IFERROR(VLOOKUP(Table5[[#This Row],[Player No]],Table11[[#All],[No]:[Age Group]],4,0),"")</f>
        <v>0</v>
      </c>
      <c r="B133" s="61"/>
      <c r="C133" s="77">
        <f t="shared" si="15"/>
        <v>-129</v>
      </c>
      <c r="D133" s="63">
        <f t="shared" si="10"/>
        <v>129</v>
      </c>
      <c r="E133" s="63">
        <v>8371</v>
      </c>
      <c r="F133" s="64" t="str">
        <f>IFERROR(VLOOKUP(Table5[[#This Row],[Player No]],Table11[[#All],[No]:[Province]],2,0),"")</f>
        <v>BEFU Nomthandazo</v>
      </c>
      <c r="G133" s="65" t="str">
        <f>IFERROR(VLOOKUP(Table5[[#This Row],[Player No]],Table11[[#All],[No]:[Province]],3,0),"")</f>
        <v>NW</v>
      </c>
      <c r="H133" s="66">
        <v>5</v>
      </c>
      <c r="I133" s="96">
        <v>2.5</v>
      </c>
      <c r="J133" s="789">
        <f>Table5[[#This Row],[Points 2025]]/2+SUM(Table5[[#This Row],[O1  ADMIN 2026]:[P2           WC         CT Open 2026]])</f>
        <v>1.25</v>
      </c>
      <c r="K133" s="63">
        <f t="shared" ref="K133:K164" si="16">COUNTIF(M133:P133,"&gt;0")</f>
        <v>0</v>
      </c>
      <c r="L133" s="63">
        <f t="shared" ref="L133:L164" si="17">COUNTIF(N133:AN133,"&lt;0")</f>
        <v>0</v>
      </c>
      <c r="M133" s="708" t="s">
        <v>6083</v>
      </c>
      <c r="N133" s="708" t="s">
        <v>6083</v>
      </c>
      <c r="O133" s="708" t="s">
        <v>6083</v>
      </c>
      <c r="P133" s="708"/>
      <c r="Q133" s="63"/>
      <c r="R133" s="63"/>
      <c r="S133" s="114"/>
      <c r="T133" s="114"/>
      <c r="U133" s="63"/>
      <c r="V133" s="63"/>
      <c r="W133" s="114"/>
      <c r="X133" s="63"/>
      <c r="Y133" s="708"/>
      <c r="Z133" s="114"/>
      <c r="AA133" s="114"/>
      <c r="AB133" s="63"/>
      <c r="AC133" s="114"/>
      <c r="AD133" s="63"/>
      <c r="AE133" s="63"/>
      <c r="AF133" s="63"/>
      <c r="AG133" s="63"/>
      <c r="AH133" s="63"/>
      <c r="AI133" s="63">
        <v>5</v>
      </c>
      <c r="AJ133" s="63"/>
      <c r="AK133" s="63"/>
      <c r="AL133" s="63"/>
      <c r="AM133" s="63"/>
      <c r="AN133" s="63"/>
    </row>
    <row r="134" spans="1:40" s="83" customFormat="1" ht="15.5">
      <c r="A134" s="63">
        <f>IFERROR(VLOOKUP(Table5[[#This Row],[Player No]],Table11[[#All],[No]:[Age Group]],4,0),"")</f>
        <v>0</v>
      </c>
      <c r="B134" s="61"/>
      <c r="C134" s="77">
        <f t="shared" si="15"/>
        <v>-130</v>
      </c>
      <c r="D134" s="63">
        <f t="shared" si="10"/>
        <v>130</v>
      </c>
      <c r="E134" s="63">
        <v>8372</v>
      </c>
      <c r="F134" s="64" t="str">
        <f>IFERROR(VLOOKUP(Table5[[#This Row],[Player No]],Table11[[#All],[No]:[Province]],2,0),"")</f>
        <v>BEFU Luyanda</v>
      </c>
      <c r="G134" s="65" t="str">
        <f>IFERROR(VLOOKUP(Table5[[#This Row],[Player No]],Table11[[#All],[No]:[Province]],3,0),"")</f>
        <v>NW</v>
      </c>
      <c r="H134" s="66">
        <v>5</v>
      </c>
      <c r="I134" s="96">
        <v>2.5</v>
      </c>
      <c r="J134" s="789">
        <f>Table5[[#This Row],[Points 2025]]/2+SUM(Table5[[#This Row],[O1  ADMIN 2026]:[P2           WC         CT Open 2026]])</f>
        <v>1.25</v>
      </c>
      <c r="K134" s="63">
        <f t="shared" si="16"/>
        <v>0</v>
      </c>
      <c r="L134" s="63">
        <f t="shared" si="17"/>
        <v>0</v>
      </c>
      <c r="M134" s="708" t="s">
        <v>6083</v>
      </c>
      <c r="N134" s="708" t="s">
        <v>6083</v>
      </c>
      <c r="O134" s="708" t="s">
        <v>6083</v>
      </c>
      <c r="P134" s="708"/>
      <c r="Q134" s="63"/>
      <c r="R134" s="63"/>
      <c r="S134" s="114"/>
      <c r="T134" s="114"/>
      <c r="U134" s="63"/>
      <c r="V134" s="63"/>
      <c r="W134" s="114"/>
      <c r="X134" s="63"/>
      <c r="Y134" s="708"/>
      <c r="Z134" s="114"/>
      <c r="AA134" s="114"/>
      <c r="AB134" s="63"/>
      <c r="AC134" s="114"/>
      <c r="AD134" s="63"/>
      <c r="AE134" s="63"/>
      <c r="AF134" s="63"/>
      <c r="AG134" s="63"/>
      <c r="AH134" s="63"/>
      <c r="AI134" s="63">
        <v>5</v>
      </c>
      <c r="AJ134" s="63"/>
      <c r="AK134" s="63"/>
      <c r="AL134" s="63"/>
      <c r="AM134" s="63"/>
      <c r="AN134" s="63"/>
    </row>
    <row r="135" spans="1:40" s="83" customFormat="1" ht="15.5">
      <c r="A135" s="63">
        <f>IFERROR(VLOOKUP(Table5[[#This Row],[Player No]],Table11[[#All],[No]:[Age Group]],4,0),"")</f>
        <v>0</v>
      </c>
      <c r="B135" s="61"/>
      <c r="C135" s="77">
        <f t="shared" si="15"/>
        <v>-131</v>
      </c>
      <c r="D135" s="63">
        <f t="shared" ref="D135:D187" si="18">+D134+1</f>
        <v>131</v>
      </c>
      <c r="E135" s="63">
        <v>8373</v>
      </c>
      <c r="F135" s="64" t="str">
        <f>IFERROR(VLOOKUP(Table5[[#This Row],[Player No]],Table11[[#All],[No]:[Province]],2,0),"")</f>
        <v>THOMAS Bontle</v>
      </c>
      <c r="G135" s="65" t="str">
        <f>IFERROR(VLOOKUP(Table5[[#This Row],[Player No]],Table11[[#All],[No]:[Province]],3,0),"")</f>
        <v>NW</v>
      </c>
      <c r="H135" s="66">
        <v>5</v>
      </c>
      <c r="I135" s="96">
        <v>2.5</v>
      </c>
      <c r="J135" s="789">
        <f>Table5[[#This Row],[Points 2025]]/2+SUM(Table5[[#This Row],[O1  ADMIN 2026]:[P2           WC         CT Open 2026]])</f>
        <v>1.25</v>
      </c>
      <c r="K135" s="63">
        <f t="shared" si="16"/>
        <v>0</v>
      </c>
      <c r="L135" s="63">
        <f t="shared" si="17"/>
        <v>0</v>
      </c>
      <c r="M135" s="708" t="s">
        <v>6083</v>
      </c>
      <c r="N135" s="708" t="s">
        <v>6083</v>
      </c>
      <c r="O135" s="708" t="s">
        <v>6083</v>
      </c>
      <c r="P135" s="708"/>
      <c r="Q135" s="63"/>
      <c r="R135" s="63"/>
      <c r="S135" s="114"/>
      <c r="T135" s="114"/>
      <c r="U135" s="63"/>
      <c r="V135" s="63"/>
      <c r="W135" s="114"/>
      <c r="X135" s="63"/>
      <c r="Y135" s="708"/>
      <c r="Z135" s="114"/>
      <c r="AA135" s="114"/>
      <c r="AB135" s="63"/>
      <c r="AC135" s="114"/>
      <c r="AD135" s="63"/>
      <c r="AE135" s="63"/>
      <c r="AF135" s="63"/>
      <c r="AG135" s="63"/>
      <c r="AH135" s="63"/>
      <c r="AI135" s="63">
        <v>5</v>
      </c>
      <c r="AJ135" s="63"/>
      <c r="AK135" s="63"/>
      <c r="AL135" s="63"/>
      <c r="AM135" s="63"/>
      <c r="AN135" s="63"/>
    </row>
    <row r="136" spans="1:40" s="83" customFormat="1" ht="15.5">
      <c r="A136" s="63" t="str">
        <f>IFERROR(VLOOKUP(Table5[[#This Row],[Player No]],Table11[[#All],[No]:[Age Group]],4,0),"")</f>
        <v>U19</v>
      </c>
      <c r="B136" s="61"/>
      <c r="C136" s="77">
        <f t="shared" si="15"/>
        <v>-132</v>
      </c>
      <c r="D136" s="63">
        <f t="shared" si="18"/>
        <v>132</v>
      </c>
      <c r="E136" s="63">
        <v>8412</v>
      </c>
      <c r="F136" s="64" t="str">
        <f>IFERROR(VLOOKUP(Table5[[#This Row],[Player No]],Table11[[#All],[No]:[Province]],2,0),"")</f>
        <v>MUSEVE Tricia</v>
      </c>
      <c r="G136" s="65" t="str">
        <f>IFERROR(VLOOKUP(Table5[[#This Row],[Player No]],Table11[[#All],[No]:[Province]],3,0),"")</f>
        <v>EKU</v>
      </c>
      <c r="H136" s="66">
        <v>5</v>
      </c>
      <c r="I136" s="96">
        <v>2.5</v>
      </c>
      <c r="J136" s="789">
        <f>Table5[[#This Row],[Points 2025]]/2+SUM(Table5[[#This Row],[O1  ADMIN 2026]:[P2           WC         CT Open 2026]])</f>
        <v>1.25</v>
      </c>
      <c r="K136" s="63">
        <f t="shared" si="16"/>
        <v>0</v>
      </c>
      <c r="L136" s="63">
        <f t="shared" si="17"/>
        <v>0</v>
      </c>
      <c r="M136" s="708" t="s">
        <v>6083</v>
      </c>
      <c r="N136" s="708" t="s">
        <v>6083</v>
      </c>
      <c r="O136" s="708" t="s">
        <v>6083</v>
      </c>
      <c r="P136" s="708"/>
      <c r="Q136" s="63"/>
      <c r="R136" s="63"/>
      <c r="S136" s="114"/>
      <c r="T136" s="114"/>
      <c r="U136" s="63"/>
      <c r="V136" s="63"/>
      <c r="W136" s="114"/>
      <c r="X136" s="63"/>
      <c r="Y136" s="708"/>
      <c r="Z136" s="114">
        <v>0</v>
      </c>
      <c r="AA136" s="114"/>
      <c r="AB136" s="63"/>
      <c r="AC136" s="114"/>
      <c r="AD136" s="63"/>
      <c r="AE136" s="63"/>
      <c r="AF136" s="63"/>
      <c r="AG136" s="63"/>
      <c r="AH136" s="63"/>
      <c r="AI136" s="63">
        <v>5</v>
      </c>
      <c r="AJ136" s="63"/>
      <c r="AK136" s="63"/>
      <c r="AL136" s="63"/>
      <c r="AM136" s="63"/>
      <c r="AN136" s="63"/>
    </row>
    <row r="137" spans="1:40" s="83" customFormat="1" ht="15.5">
      <c r="A137" s="63" t="str">
        <f>IFERROR(VLOOKUP(Table5[[#This Row],[Player No]],Table11[[#All],[No]:[Age Group]],4,0),"")</f>
        <v>U19</v>
      </c>
      <c r="B137" s="61"/>
      <c r="C137" s="77">
        <f t="shared" si="15"/>
        <v>-133</v>
      </c>
      <c r="D137" s="63">
        <f t="shared" si="18"/>
        <v>133</v>
      </c>
      <c r="E137" s="63">
        <v>8413</v>
      </c>
      <c r="F137" s="64" t="str">
        <f>IFERROR(VLOOKUP(Table5[[#This Row],[Player No]],Table11[[#All],[No]:[Province]],2,0),"")</f>
        <v>MORATSHETLA Nonhlanhla</v>
      </c>
      <c r="G137" s="65" t="str">
        <f>IFERROR(VLOOKUP(Table5[[#This Row],[Player No]],Table11[[#All],[No]:[Province]],3,0),"")</f>
        <v>EKU</v>
      </c>
      <c r="H137" s="66">
        <v>5</v>
      </c>
      <c r="I137" s="96">
        <v>2.5</v>
      </c>
      <c r="J137" s="789">
        <f>Table5[[#This Row],[Points 2025]]/2+SUM(Table5[[#This Row],[O1  ADMIN 2026]:[P2           WC         CT Open 2026]])</f>
        <v>1.25</v>
      </c>
      <c r="K137" s="63">
        <f t="shared" si="16"/>
        <v>0</v>
      </c>
      <c r="L137" s="63">
        <f t="shared" si="17"/>
        <v>0</v>
      </c>
      <c r="M137" s="708" t="s">
        <v>6083</v>
      </c>
      <c r="N137" s="708" t="s">
        <v>6083</v>
      </c>
      <c r="O137" s="708" t="s">
        <v>6083</v>
      </c>
      <c r="P137" s="708"/>
      <c r="Q137" s="63"/>
      <c r="R137" s="63"/>
      <c r="S137" s="114"/>
      <c r="T137" s="114"/>
      <c r="U137" s="63"/>
      <c r="V137" s="63"/>
      <c r="W137" s="114"/>
      <c r="X137" s="63"/>
      <c r="Y137" s="708"/>
      <c r="Z137" s="114"/>
      <c r="AA137" s="114"/>
      <c r="AB137" s="63"/>
      <c r="AC137" s="114"/>
      <c r="AD137" s="63"/>
      <c r="AE137" s="63"/>
      <c r="AF137" s="63"/>
      <c r="AG137" s="63"/>
      <c r="AH137" s="63"/>
      <c r="AI137" s="63">
        <v>5</v>
      </c>
      <c r="AJ137" s="63"/>
      <c r="AK137" s="63"/>
      <c r="AL137" s="63"/>
      <c r="AM137" s="63"/>
      <c r="AN137" s="63"/>
    </row>
    <row r="138" spans="1:40" s="83" customFormat="1" ht="15.5">
      <c r="A138" s="63" t="str">
        <f>IFERROR(VLOOKUP(Table5[[#This Row],[Player No]],Table11[[#All],[No]:[Age Group]],4,0),"")</f>
        <v>U19</v>
      </c>
      <c r="B138" s="61"/>
      <c r="C138" s="77">
        <f t="shared" si="15"/>
        <v>-134</v>
      </c>
      <c r="D138" s="63">
        <f t="shared" si="18"/>
        <v>134</v>
      </c>
      <c r="E138" s="63">
        <v>8415</v>
      </c>
      <c r="F138" s="64" t="str">
        <f>IFERROR(VLOOKUP(Table5[[#This Row],[Player No]],Table11[[#All],[No]:[Province]],2,0),"")</f>
        <v>MASHININI Khanyisile</v>
      </c>
      <c r="G138" s="65" t="str">
        <f>IFERROR(VLOOKUP(Table5[[#This Row],[Player No]],Table11[[#All],[No]:[Province]],3,0),"")</f>
        <v>EKU</v>
      </c>
      <c r="H138" s="66">
        <v>5</v>
      </c>
      <c r="I138" s="96">
        <v>2.5</v>
      </c>
      <c r="J138" s="789">
        <f>Table5[[#This Row],[Points 2025]]/2+SUM(Table5[[#This Row],[O1  ADMIN 2026]:[P2           WC         CT Open 2026]])</f>
        <v>1.25</v>
      </c>
      <c r="K138" s="63">
        <f t="shared" si="16"/>
        <v>0</v>
      </c>
      <c r="L138" s="63">
        <f t="shared" si="17"/>
        <v>0</v>
      </c>
      <c r="M138" s="708" t="s">
        <v>6083</v>
      </c>
      <c r="N138" s="708" t="s">
        <v>6083</v>
      </c>
      <c r="O138" s="708" t="s">
        <v>6083</v>
      </c>
      <c r="P138" s="708"/>
      <c r="Q138" s="63"/>
      <c r="R138" s="63"/>
      <c r="S138" s="114"/>
      <c r="T138" s="114"/>
      <c r="U138" s="63"/>
      <c r="V138" s="63"/>
      <c r="W138" s="114"/>
      <c r="X138" s="63"/>
      <c r="Y138" s="708"/>
      <c r="Z138" s="114"/>
      <c r="AA138" s="114"/>
      <c r="AB138" s="63"/>
      <c r="AC138" s="114"/>
      <c r="AD138" s="63"/>
      <c r="AE138" s="63"/>
      <c r="AF138" s="63"/>
      <c r="AG138" s="63"/>
      <c r="AH138" s="63"/>
      <c r="AI138" s="63">
        <v>5</v>
      </c>
      <c r="AJ138" s="63"/>
      <c r="AK138" s="63"/>
      <c r="AL138" s="63"/>
      <c r="AM138" s="63"/>
      <c r="AN138" s="63"/>
    </row>
    <row r="139" spans="1:40" s="83" customFormat="1" ht="15.5">
      <c r="A139" s="63">
        <f>IFERROR(VLOOKUP(Table5[[#This Row],[Player No]],Table11[[#All],[No]:[Age Group]],4,0),"")</f>
        <v>0</v>
      </c>
      <c r="B139" s="61"/>
      <c r="C139" s="77">
        <f t="shared" ref="C139:C164" si="19">+B139-D139</f>
        <v>-135</v>
      </c>
      <c r="D139" s="63">
        <f t="shared" si="18"/>
        <v>135</v>
      </c>
      <c r="E139" s="63">
        <v>8486</v>
      </c>
      <c r="F139" s="64" t="str">
        <f>IFERROR(VLOOKUP(Table5[[#This Row],[Player No]],Table11[[#All],[No]:[Province]],2,0),"")</f>
        <v>Katlego KHABELA</v>
      </c>
      <c r="G139" s="65" t="str">
        <f>IFERROR(VLOOKUP(Table5[[#This Row],[Player No]],Table11[[#All],[No]:[Province]],3,0),"")</f>
        <v xml:space="preserve">NW </v>
      </c>
      <c r="H139" s="66">
        <v>5</v>
      </c>
      <c r="I139" s="96">
        <v>2.5</v>
      </c>
      <c r="J139" s="789">
        <f>Table5[[#This Row],[Points 2025]]/2+SUM(Table5[[#This Row],[O1  ADMIN 2026]:[P2           WC         CT Open 2026]])</f>
        <v>1.25</v>
      </c>
      <c r="K139" s="63">
        <f t="shared" si="16"/>
        <v>0</v>
      </c>
      <c r="L139" s="63">
        <f t="shared" si="17"/>
        <v>0</v>
      </c>
      <c r="M139" s="708" t="s">
        <v>6083</v>
      </c>
      <c r="N139" s="708" t="s">
        <v>6083</v>
      </c>
      <c r="O139" s="708" t="s">
        <v>6083</v>
      </c>
      <c r="P139" s="708"/>
      <c r="Q139" s="63"/>
      <c r="R139" s="63"/>
      <c r="S139" s="114"/>
      <c r="T139" s="114"/>
      <c r="U139" s="63"/>
      <c r="V139" s="63"/>
      <c r="W139" s="114"/>
      <c r="X139" s="63"/>
      <c r="Y139" s="708"/>
      <c r="Z139" s="114"/>
      <c r="AA139" s="114"/>
      <c r="AB139" s="63"/>
      <c r="AC139" s="114"/>
      <c r="AD139" s="63"/>
      <c r="AE139" s="63"/>
      <c r="AF139" s="63"/>
      <c r="AG139" s="63"/>
      <c r="AH139" s="63"/>
      <c r="AI139" s="63">
        <v>5</v>
      </c>
      <c r="AJ139" s="63"/>
      <c r="AK139" s="63"/>
      <c r="AL139" s="63"/>
      <c r="AM139" s="63"/>
      <c r="AN139" s="63"/>
    </row>
    <row r="140" spans="1:40" s="83" customFormat="1" ht="15.5">
      <c r="A140" s="339"/>
      <c r="B140" s="339"/>
      <c r="C140" s="324">
        <f t="shared" si="19"/>
        <v>-136</v>
      </c>
      <c r="D140" s="63">
        <f t="shared" si="18"/>
        <v>136</v>
      </c>
      <c r="E140" s="327">
        <v>8507</v>
      </c>
      <c r="F140" s="340" t="str">
        <f>IFERROR(VLOOKUP(Table5[[#This Row],[Player No]],Table11[[#All],[No]:[Province]],2,0),"")</f>
        <v xml:space="preserve">LEIGH Jamie </v>
      </c>
      <c r="G140" s="341" t="str">
        <f>IFERROR(VLOOKUP(Table5[[#This Row],[Player No]],Table11[[#All],[No]:[Province]],3,0),"")</f>
        <v>CW</v>
      </c>
      <c r="H140" s="335">
        <v>0</v>
      </c>
      <c r="I140" s="331">
        <v>2.5</v>
      </c>
      <c r="J140" s="817">
        <f>Table5[[#This Row],[Points 2025]]/2+SUM(Table5[[#This Row],[O1  ADMIN 2026]:[P2           WC         CT Open 2026]])</f>
        <v>1.25</v>
      </c>
      <c r="K140" s="327">
        <f t="shared" si="16"/>
        <v>0</v>
      </c>
      <c r="L140" s="63">
        <f t="shared" si="17"/>
        <v>0</v>
      </c>
      <c r="M140" s="708" t="s">
        <v>6083</v>
      </c>
      <c r="N140" s="711" t="s">
        <v>6083</v>
      </c>
      <c r="O140" s="711" t="s">
        <v>6083</v>
      </c>
      <c r="P140" s="711"/>
      <c r="Q140" s="327"/>
      <c r="R140" s="327"/>
      <c r="S140" s="321"/>
      <c r="T140" s="321"/>
      <c r="U140" s="327"/>
      <c r="V140" s="327"/>
      <c r="W140" s="321"/>
      <c r="X140" s="327"/>
      <c r="Y140" s="711"/>
      <c r="Z140" s="321"/>
      <c r="AA140" s="321"/>
      <c r="AB140" s="327"/>
      <c r="AC140" s="321">
        <v>0.5</v>
      </c>
      <c r="AD140" s="327">
        <v>2</v>
      </c>
      <c r="AE140" s="327"/>
      <c r="AF140" s="327"/>
      <c r="AG140" s="327"/>
      <c r="AH140" s="327"/>
      <c r="AI140" s="327"/>
      <c r="AJ140" s="327"/>
      <c r="AK140" s="327"/>
      <c r="AL140" s="327"/>
      <c r="AM140" s="327"/>
      <c r="AN140" s="327"/>
    </row>
    <row r="141" spans="1:40" s="83" customFormat="1" ht="15.5">
      <c r="A141" s="61"/>
      <c r="B141" s="61"/>
      <c r="C141" s="77">
        <f t="shared" si="19"/>
        <v>-137</v>
      </c>
      <c r="D141" s="63">
        <f t="shared" si="18"/>
        <v>137</v>
      </c>
      <c r="E141" s="63">
        <v>8767</v>
      </c>
      <c r="F141" s="64" t="str">
        <f>IFERROR(VLOOKUP(Table5[[#This Row],[Player No]],Table11[[#All],[No]:[Province]],2,0),"")</f>
        <v xml:space="preserve">VAN DER SCHYFF Layla </v>
      </c>
      <c r="G141" s="65" t="str">
        <f>IFERROR(VLOOKUP(Table5[[#This Row],[Player No]],Table11[[#All],[No]:[Province]],3,0),"")</f>
        <v>CT</v>
      </c>
      <c r="H141" s="335">
        <v>0</v>
      </c>
      <c r="I141" s="96">
        <v>2.5</v>
      </c>
      <c r="J141" s="789">
        <f>Table5[[#This Row],[Points 2025]]/2+SUM(Table5[[#This Row],[O1  ADMIN 2026]:[P2           WC         CT Open 2026]])</f>
        <v>1.25</v>
      </c>
      <c r="K141" s="63">
        <f t="shared" si="16"/>
        <v>0</v>
      </c>
      <c r="L141" s="63">
        <f t="shared" si="17"/>
        <v>0</v>
      </c>
      <c r="M141" s="708" t="s">
        <v>6083</v>
      </c>
      <c r="N141" s="708" t="s">
        <v>6083</v>
      </c>
      <c r="O141" s="708" t="s">
        <v>6083</v>
      </c>
      <c r="P141" s="708"/>
      <c r="Q141" s="63"/>
      <c r="R141" s="63"/>
      <c r="S141" s="114"/>
      <c r="T141" s="114"/>
      <c r="U141" s="63"/>
      <c r="V141" s="63"/>
      <c r="W141" s="114"/>
      <c r="X141" s="63"/>
      <c r="Y141" s="708"/>
      <c r="Z141" s="114"/>
      <c r="AA141" s="114"/>
      <c r="AB141" s="63"/>
      <c r="AC141" s="114">
        <v>0.5</v>
      </c>
      <c r="AD141" s="63">
        <v>2</v>
      </c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</row>
    <row r="142" spans="1:40" s="83" customFormat="1" ht="15.5">
      <c r="A142" s="189" t="str">
        <f>IFERROR(VLOOKUP(Table5[[#This Row],[Player No]],Table11[[#All],[No]:[Age Group]],4,0),"")</f>
        <v>U19</v>
      </c>
      <c r="B142" s="190">
        <v>86</v>
      </c>
      <c r="C142" s="195">
        <f t="shared" si="19"/>
        <v>-52</v>
      </c>
      <c r="D142" s="63">
        <f t="shared" si="18"/>
        <v>138</v>
      </c>
      <c r="E142" s="189">
        <v>7787</v>
      </c>
      <c r="F142" s="64" t="str">
        <f>IFERROR(VLOOKUP(Table5[[#This Row],[Player No]],Table11[[#All],[No]:[Province]],2,0),"")</f>
        <v>PIETERSEN Tazlin</v>
      </c>
      <c r="G142" s="342" t="str">
        <f>IFERROR(VLOOKUP(Table5[[#This Row],[Player No]],Table11[[#All],[No]:[Province]],3,0),"")</f>
        <v>CT</v>
      </c>
      <c r="H142" s="192">
        <v>0.5</v>
      </c>
      <c r="I142" s="193">
        <v>2.25</v>
      </c>
      <c r="J142" s="661">
        <f>Table5[[#This Row],[Points 2025]]/2+SUM(Table5[[#This Row],[O1  ADMIN 2026]:[P2           WC         CT Open 2026]])</f>
        <v>1.125</v>
      </c>
      <c r="K142" s="189">
        <f t="shared" si="16"/>
        <v>0</v>
      </c>
      <c r="L142" s="63">
        <f t="shared" si="17"/>
        <v>0</v>
      </c>
      <c r="M142" s="442" t="s">
        <v>6083</v>
      </c>
      <c r="N142" s="442" t="s">
        <v>6083</v>
      </c>
      <c r="O142" s="442" t="s">
        <v>6083</v>
      </c>
      <c r="P142" s="442"/>
      <c r="Q142" s="189"/>
      <c r="R142" s="189"/>
      <c r="S142" s="189"/>
      <c r="T142" s="189"/>
      <c r="U142" s="189"/>
      <c r="V142" s="189"/>
      <c r="W142" s="401"/>
      <c r="X142" s="189"/>
      <c r="Y142" s="442"/>
      <c r="Z142" s="189"/>
      <c r="AA142" s="189"/>
      <c r="AB142" s="189"/>
      <c r="AC142" s="189"/>
      <c r="AD142" s="189">
        <v>2</v>
      </c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</row>
    <row r="143" spans="1:40" s="83" customFormat="1" ht="15.5">
      <c r="A143" s="337"/>
      <c r="B143" s="337"/>
      <c r="C143" s="338">
        <f t="shared" si="19"/>
        <v>-139</v>
      </c>
      <c r="D143" s="63">
        <f t="shared" si="18"/>
        <v>139</v>
      </c>
      <c r="E143" s="321">
        <v>8354</v>
      </c>
      <c r="F143" s="151" t="str">
        <f>IFERROR(VLOOKUP(Table5[[#This Row],[Player No]],Table11[[#All],[No]:[Province]],2,0),"")</f>
        <v>REURINK Noa-Marie</v>
      </c>
      <c r="G143" s="316" t="str">
        <f>IFERROR(VLOOKUP(Table5[[#This Row],[Player No]],Table11[[#All],[No]:[Province]],3,0),"")</f>
        <v>CW</v>
      </c>
      <c r="H143" s="328">
        <v>0</v>
      </c>
      <c r="I143" s="383">
        <v>2</v>
      </c>
      <c r="J143" s="817">
        <f>Table5[[#This Row],[Points 2025]]/2+SUM(Table5[[#This Row],[O1  ADMIN 2026]:[P2           WC         CT Open 2026]])</f>
        <v>1</v>
      </c>
      <c r="K143" s="321">
        <f t="shared" si="16"/>
        <v>0</v>
      </c>
      <c r="L143" s="63">
        <f t="shared" si="17"/>
        <v>0</v>
      </c>
      <c r="M143" s="708" t="s">
        <v>6083</v>
      </c>
      <c r="N143" s="711" t="s">
        <v>6083</v>
      </c>
      <c r="O143" s="711" t="s">
        <v>6083</v>
      </c>
      <c r="P143" s="711"/>
      <c r="Q143" s="321"/>
      <c r="R143" s="321"/>
      <c r="S143" s="321"/>
      <c r="T143" s="321"/>
      <c r="U143" s="321"/>
      <c r="V143" s="321"/>
      <c r="W143" s="321"/>
      <c r="X143" s="321"/>
      <c r="Y143" s="711"/>
      <c r="Z143" s="321"/>
      <c r="AA143" s="321"/>
      <c r="AB143" s="321"/>
      <c r="AC143" s="321"/>
      <c r="AD143" s="321">
        <v>2</v>
      </c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</row>
    <row r="144" spans="1:40" s="83" customFormat="1" ht="15.5">
      <c r="A144" s="113"/>
      <c r="B144" s="113"/>
      <c r="C144" s="115">
        <f t="shared" si="19"/>
        <v>-140</v>
      </c>
      <c r="D144" s="63">
        <f t="shared" si="18"/>
        <v>140</v>
      </c>
      <c r="E144" s="114">
        <v>8766</v>
      </c>
      <c r="F144" s="151" t="str">
        <f>IFERROR(VLOOKUP(Table5[[#This Row],[Player No]],Table11[[#All],[No]:[Province]],2,0),"")</f>
        <v xml:space="preserve">TABA Siphesihle </v>
      </c>
      <c r="G144" s="316" t="str">
        <f>IFERROR(VLOOKUP(Table5[[#This Row],[Player No]],Table11[[#All],[No]:[Province]],3,0),"")</f>
        <v>WC</v>
      </c>
      <c r="H144" s="328">
        <v>0</v>
      </c>
      <c r="I144" s="124">
        <v>2</v>
      </c>
      <c r="J144" s="789">
        <f>Table5[[#This Row],[Points 2025]]/2+SUM(Table5[[#This Row],[O1  ADMIN 2026]:[P2           WC         CT Open 2026]])</f>
        <v>1</v>
      </c>
      <c r="K144" s="114">
        <f t="shared" si="16"/>
        <v>0</v>
      </c>
      <c r="L144" s="63">
        <f t="shared" si="17"/>
        <v>0</v>
      </c>
      <c r="M144" s="708" t="s">
        <v>6083</v>
      </c>
      <c r="N144" s="708" t="s">
        <v>6083</v>
      </c>
      <c r="O144" s="708" t="s">
        <v>6083</v>
      </c>
      <c r="P144" s="708"/>
      <c r="Q144" s="114"/>
      <c r="R144" s="114"/>
      <c r="S144" s="114"/>
      <c r="T144" s="114"/>
      <c r="U144" s="114"/>
      <c r="V144" s="114"/>
      <c r="W144" s="114"/>
      <c r="X144" s="114"/>
      <c r="Y144" s="708"/>
      <c r="Z144" s="114"/>
      <c r="AA144" s="114"/>
      <c r="AB144" s="114"/>
      <c r="AC144" s="114"/>
      <c r="AD144" s="114">
        <v>2</v>
      </c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</row>
    <row r="145" spans="1:40" s="83" customFormat="1" ht="15.5">
      <c r="A145" s="113"/>
      <c r="B145" s="113"/>
      <c r="C145" s="115">
        <f t="shared" si="19"/>
        <v>-141</v>
      </c>
      <c r="D145" s="63">
        <f t="shared" si="18"/>
        <v>141</v>
      </c>
      <c r="E145" s="114">
        <v>8099</v>
      </c>
      <c r="F145" s="151" t="str">
        <f>IFERROR(VLOOKUP(Table5[[#This Row],[Player No]],Table11[[#All],[No]:[Province]],2,0),"")</f>
        <v>NAIDOO Deanne</v>
      </c>
      <c r="G145" s="316" t="str">
        <f>IFERROR(VLOOKUP(Table5[[#This Row],[Player No]],Table11[[#All],[No]:[Province]],3,0),"")</f>
        <v>ETTA</v>
      </c>
      <c r="H145" s="192" t="e">
        <f>+#REF!/2+SUM(Table5[[#This Row],[P1         KZN  Open   2024]:[O1        GAU
MTTC Open  2024]])</f>
        <v>#REF!</v>
      </c>
      <c r="I145" s="124">
        <v>0</v>
      </c>
      <c r="J145" s="789">
        <f>Table5[[#This Row],[Points 2025]]/2+SUM(Table5[[#This Row],[O1  ADMIN 2026]:[P2           WC         CT Open 2026]])</f>
        <v>1</v>
      </c>
      <c r="K145" s="114">
        <f t="shared" si="16"/>
        <v>1</v>
      </c>
      <c r="L145" s="63">
        <f t="shared" si="17"/>
        <v>0</v>
      </c>
      <c r="M145" s="708" t="s">
        <v>6083</v>
      </c>
      <c r="N145" s="708" t="s">
        <v>6083</v>
      </c>
      <c r="O145" s="708">
        <v>1</v>
      </c>
      <c r="P145" s="708"/>
      <c r="Q145" s="114"/>
      <c r="R145" s="114"/>
      <c r="S145" s="114"/>
      <c r="T145" s="114"/>
      <c r="U145" s="114"/>
      <c r="V145" s="114"/>
      <c r="W145" s="114"/>
      <c r="X145" s="114"/>
      <c r="Y145" s="708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</row>
    <row r="146" spans="1:40" s="83" customFormat="1" ht="15.5">
      <c r="A146" s="1053"/>
      <c r="B146" s="1053"/>
      <c r="C146" s="972">
        <f t="shared" si="19"/>
        <v>-142</v>
      </c>
      <c r="D146" s="63">
        <f t="shared" si="18"/>
        <v>142</v>
      </c>
      <c r="E146" s="974">
        <v>8661</v>
      </c>
      <c r="F146" s="151" t="str">
        <f>IFERROR(VLOOKUP(Table5[[#This Row],[Player No]],Table11[[#All],[No]:[Province]],2,0),"")</f>
        <v>HEERALAL Arya</v>
      </c>
      <c r="G146" s="316" t="str">
        <f>IFERROR(VLOOKUP(Table5[[#This Row],[Player No]],Table11[[#All],[No]:[Province]],3,0),"")</f>
        <v>ETTA</v>
      </c>
      <c r="H146" s="1070" t="e">
        <f>+#REF!/2+SUM(Table5[[#This Row],[P1         KZN  Open   2024]:[O1        GAU
MTTC Open  2024]])</f>
        <v>#REF!</v>
      </c>
      <c r="I146" s="124">
        <v>0</v>
      </c>
      <c r="J146" s="1071">
        <f>Table5[[#This Row],[Points 2025]]/2+SUM(Table5[[#This Row],[O1  ADMIN 2026]:[P2           WC         CT Open 2026]])</f>
        <v>1</v>
      </c>
      <c r="K146" s="974">
        <f t="shared" si="16"/>
        <v>1</v>
      </c>
      <c r="L146" s="1045">
        <f t="shared" si="17"/>
        <v>0</v>
      </c>
      <c r="M146" s="1052" t="s">
        <v>6083</v>
      </c>
      <c r="N146" s="1052">
        <v>1</v>
      </c>
      <c r="O146" s="1052"/>
      <c r="P146" s="1052"/>
      <c r="Q146" s="974"/>
      <c r="R146" s="974"/>
      <c r="S146" s="974"/>
      <c r="T146" s="974"/>
      <c r="U146" s="974"/>
      <c r="V146" s="974"/>
      <c r="W146" s="974"/>
      <c r="X146" s="974"/>
      <c r="Y146" s="1052"/>
      <c r="Z146" s="974"/>
      <c r="AA146" s="974"/>
      <c r="AB146" s="974"/>
      <c r="AC146" s="974"/>
      <c r="AD146" s="974"/>
      <c r="AE146" s="974"/>
      <c r="AF146" s="974"/>
      <c r="AG146" s="974"/>
      <c r="AH146" s="974"/>
      <c r="AI146" s="974"/>
      <c r="AJ146" s="974"/>
      <c r="AK146" s="974"/>
      <c r="AL146" s="974"/>
      <c r="AM146" s="974"/>
      <c r="AN146" s="974"/>
    </row>
    <row r="147" spans="1:40" s="83" customFormat="1" ht="15.5">
      <c r="A147" s="1067"/>
      <c r="B147" s="1067"/>
      <c r="C147" s="1068">
        <f t="shared" si="19"/>
        <v>-143</v>
      </c>
      <c r="D147" s="63">
        <f t="shared" si="18"/>
        <v>143</v>
      </c>
      <c r="E147" s="1069">
        <v>8571</v>
      </c>
      <c r="F147" s="151" t="str">
        <f>IFERROR(VLOOKUP(Table5[[#This Row],[Player No]],Table11[[#All],[No]:[Province]],2,0),"")</f>
        <v>Leranya Govender</v>
      </c>
      <c r="G147" s="316" t="str">
        <f>IFERROR(VLOOKUP(Table5[[#This Row],[Player No]],Table11[[#All],[No]:[Province]],3,0),"")</f>
        <v>UMG</v>
      </c>
      <c r="H147" s="1070" t="e">
        <f>+#REF!/2+SUM(Table5[[#This Row],[P1         KZN  Open   2024]:[O1        GAU
MTTC Open  2024]])</f>
        <v>#REF!</v>
      </c>
      <c r="I147" s="193">
        <v>0</v>
      </c>
      <c r="J147" s="970">
        <f>Table5[[#This Row],[Points 2025]]/2+SUM(Table5[[#This Row],[O1  ADMIN 2026]:[P2           WC         CT Open 2026]])</f>
        <v>1</v>
      </c>
      <c r="K147" s="1069">
        <f t="shared" si="16"/>
        <v>1</v>
      </c>
      <c r="L147" s="1045">
        <f t="shared" si="17"/>
        <v>0</v>
      </c>
      <c r="M147" s="969" t="s">
        <v>6083</v>
      </c>
      <c r="N147" s="969">
        <v>1</v>
      </c>
      <c r="O147" s="969"/>
      <c r="P147" s="969"/>
      <c r="Q147" s="1069"/>
      <c r="R147" s="1069"/>
      <c r="S147" s="1069"/>
      <c r="T147" s="1069"/>
      <c r="U147" s="1069"/>
      <c r="V147" s="1069"/>
      <c r="W147" s="1072"/>
      <c r="X147" s="1069"/>
      <c r="Y147" s="969"/>
      <c r="Z147" s="1069"/>
      <c r="AA147" s="1069"/>
      <c r="AB147" s="1069"/>
      <c r="AC147" s="1069"/>
      <c r="AD147" s="1069"/>
      <c r="AE147" s="1069"/>
      <c r="AF147" s="1069"/>
      <c r="AG147" s="1069"/>
      <c r="AH147" s="1069"/>
      <c r="AI147" s="1069"/>
      <c r="AJ147" s="1069"/>
      <c r="AK147" s="1069"/>
      <c r="AL147" s="1069"/>
      <c r="AM147" s="1069"/>
      <c r="AN147" s="1069"/>
    </row>
    <row r="148" spans="1:40" s="83" customFormat="1" ht="15.5">
      <c r="A148" s="190"/>
      <c r="B148" s="190"/>
      <c r="C148" s="195">
        <f t="shared" si="19"/>
        <v>-144</v>
      </c>
      <c r="D148" s="63">
        <f t="shared" si="18"/>
        <v>144</v>
      </c>
      <c r="E148" s="189">
        <v>8130</v>
      </c>
      <c r="F148" s="151" t="str">
        <f>IFERROR(VLOOKUP(Table5[[#This Row],[Player No]],Table11[[#All],[No]:[Province]],2,0),"")</f>
        <v>VERHEIJEN Danyelle</v>
      </c>
      <c r="G148" s="316" t="str">
        <f>IFERROR(VLOOKUP(Table5[[#This Row],[Player No]],Table11[[#All],[No]:[Province]],3,0),"")</f>
        <v>GN</v>
      </c>
      <c r="H148" s="192" t="e">
        <f>+#REF!/2+SUM(Table5[[#This Row],[P1         KZN  Open   2024]:[O1        GAU
MTTC Open  2024]])</f>
        <v>#REF!</v>
      </c>
      <c r="I148" s="193">
        <v>0</v>
      </c>
      <c r="J148" s="661">
        <f>Table5[[#This Row],[Points 2025]]/2+SUM(Table5[[#This Row],[O1  ADMIN 2026]:[P2           WC         CT Open 2026]])</f>
        <v>1</v>
      </c>
      <c r="K148" s="189">
        <f t="shared" si="16"/>
        <v>1</v>
      </c>
      <c r="L148" s="63">
        <f t="shared" si="17"/>
        <v>0</v>
      </c>
      <c r="M148" s="442">
        <v>1</v>
      </c>
      <c r="N148" s="442" t="s">
        <v>6083</v>
      </c>
      <c r="O148" s="442"/>
      <c r="P148" s="442"/>
      <c r="Q148" s="189"/>
      <c r="R148" s="189"/>
      <c r="S148" s="189"/>
      <c r="T148" s="189"/>
      <c r="U148" s="189"/>
      <c r="V148" s="189"/>
      <c r="W148" s="401"/>
      <c r="X148" s="189"/>
      <c r="Y148" s="442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</row>
    <row r="149" spans="1:40" s="83" customFormat="1" ht="15.5">
      <c r="A149" s="113"/>
      <c r="B149" s="113"/>
      <c r="C149" s="115">
        <f t="shared" si="19"/>
        <v>-145</v>
      </c>
      <c r="D149" s="63">
        <f t="shared" si="18"/>
        <v>145</v>
      </c>
      <c r="E149" s="114">
        <v>8715</v>
      </c>
      <c r="F149" s="151" t="str">
        <f>IFERROR(VLOOKUP(Table5[[#This Row],[Player No]],Table11[[#All],[No]:[Province]],2,0),"")</f>
        <v>KHAN Diyanah Bibi</v>
      </c>
      <c r="G149" s="316" t="str">
        <f>IFERROR(VLOOKUP(Table5[[#This Row],[Player No]],Table11[[#All],[No]:[Province]],3,0),"")</f>
        <v>JTTA</v>
      </c>
      <c r="H149" s="192" t="e">
        <f>+#REF!/2+SUM(Table5[[#This Row],[P1         KZN  Open   2024]:[O1        GAU
MTTC Open  2024]])</f>
        <v>#REF!</v>
      </c>
      <c r="I149" s="124">
        <v>0</v>
      </c>
      <c r="J149" s="789">
        <f>Table5[[#This Row],[Points 2025]]/2+SUM(Table5[[#This Row],[O1  ADMIN 2026]:[P2           WC         CT Open 2026]])</f>
        <v>1</v>
      </c>
      <c r="K149" s="114">
        <f t="shared" si="16"/>
        <v>1</v>
      </c>
      <c r="L149" s="63">
        <f t="shared" si="17"/>
        <v>0</v>
      </c>
      <c r="M149" s="708">
        <v>1</v>
      </c>
      <c r="N149" s="708" t="s">
        <v>6083</v>
      </c>
      <c r="O149" s="708"/>
      <c r="P149" s="708"/>
      <c r="Q149" s="114"/>
      <c r="R149" s="114"/>
      <c r="S149" s="114"/>
      <c r="T149" s="114"/>
      <c r="U149" s="114"/>
      <c r="V149" s="114"/>
      <c r="W149" s="114"/>
      <c r="X149" s="114"/>
      <c r="Y149" s="708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</row>
    <row r="150" spans="1:40" s="83" customFormat="1" ht="15.5">
      <c r="A150" s="113"/>
      <c r="B150" s="113"/>
      <c r="C150" s="115">
        <f t="shared" si="19"/>
        <v>-146</v>
      </c>
      <c r="D150" s="63">
        <f t="shared" si="18"/>
        <v>146</v>
      </c>
      <c r="E150" s="114">
        <v>8400</v>
      </c>
      <c r="F150" s="151" t="str">
        <f>IFERROR(VLOOKUP(Table5[[#This Row],[Player No]],Table11[[#All],[No]:[Province]],2,0),"")</f>
        <v>LETELE Katlego</v>
      </c>
      <c r="G150" s="316" t="str">
        <f>IFERROR(VLOOKUP(Table5[[#This Row],[Player No]],Table11[[#All],[No]:[Province]],3,0),"")</f>
        <v>EKU</v>
      </c>
      <c r="H150" s="192" t="e">
        <f>+#REF!/2+SUM(Table5[[#This Row],[P1         KZN  Open   2024]:[O1        GAU
MTTC Open  2024]])</f>
        <v>#REF!</v>
      </c>
      <c r="I150" s="124">
        <v>0</v>
      </c>
      <c r="J150" s="789">
        <f>Table5[[#This Row],[Points 2025]]/2+SUM(Table5[[#This Row],[O1  ADMIN 2026]:[P2           WC         CT Open 2026]])</f>
        <v>1</v>
      </c>
      <c r="K150" s="114">
        <f t="shared" si="16"/>
        <v>1</v>
      </c>
      <c r="L150" s="63">
        <f t="shared" si="17"/>
        <v>0</v>
      </c>
      <c r="M150" s="708">
        <v>1</v>
      </c>
      <c r="N150" s="708" t="s">
        <v>6083</v>
      </c>
      <c r="O150" s="708"/>
      <c r="P150" s="708"/>
      <c r="Q150" s="114"/>
      <c r="R150" s="114"/>
      <c r="S150" s="114"/>
      <c r="T150" s="114"/>
      <c r="U150" s="114"/>
      <c r="V150" s="114"/>
      <c r="W150" s="114"/>
      <c r="X150" s="114"/>
      <c r="Y150" s="708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</row>
    <row r="151" spans="1:40" s="83" customFormat="1" ht="15.5">
      <c r="A151" s="189" t="str">
        <f>IFERROR(VLOOKUP(Table5[[#This Row],[Player No]],Table11[[#All],[No]:[Age Group]],4,0),"")</f>
        <v>U19</v>
      </c>
      <c r="B151" s="190">
        <v>64</v>
      </c>
      <c r="C151" s="195">
        <f t="shared" si="19"/>
        <v>-83</v>
      </c>
      <c r="D151" s="63">
        <f t="shared" si="18"/>
        <v>147</v>
      </c>
      <c r="E151" s="189">
        <v>8037</v>
      </c>
      <c r="F151" s="151" t="str">
        <f>IFERROR(VLOOKUP(Table5[[#This Row],[Player No]],Table11[[#All],[No]:[Province]],2,0),"")</f>
        <v>SCHOEMAN Zion</v>
      </c>
      <c r="G151" s="316" t="str">
        <f>IFERROR(VLOOKUP(Table5[[#This Row],[Player No]],Table11[[#All],[No]:[Province]],3,0),"")</f>
        <v>CT</v>
      </c>
      <c r="H151" s="192">
        <v>3</v>
      </c>
      <c r="I151" s="193">
        <v>1.5</v>
      </c>
      <c r="J151" s="661">
        <f>Table5[[#This Row],[Points 2025]]/2+SUM(Table5[[#This Row],[O1  ADMIN 2026]:[P2           WC         CT Open 2026]])</f>
        <v>0.75</v>
      </c>
      <c r="K151" s="189">
        <f t="shared" si="16"/>
        <v>0</v>
      </c>
      <c r="L151" s="63">
        <f t="shared" si="17"/>
        <v>0</v>
      </c>
      <c r="M151" s="442" t="s">
        <v>6083</v>
      </c>
      <c r="N151" s="442" t="s">
        <v>6083</v>
      </c>
      <c r="O151" s="442" t="s">
        <v>6083</v>
      </c>
      <c r="P151" s="442"/>
      <c r="Q151" s="189"/>
      <c r="R151" s="189"/>
      <c r="S151" s="189"/>
      <c r="T151" s="189"/>
      <c r="U151" s="189"/>
      <c r="V151" s="189"/>
      <c r="W151" s="401"/>
      <c r="X151" s="189"/>
      <c r="Y151" s="442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</row>
    <row r="152" spans="1:40" s="83" customFormat="1" ht="15.5">
      <c r="A152" s="401">
        <f>IFERROR(VLOOKUP(Table5[[#This Row],[Player No]],Table11[[#All],[No]:[Age Group]],4,0),"")</f>
        <v>0</v>
      </c>
      <c r="B152" s="735">
        <v>102</v>
      </c>
      <c r="C152" s="399">
        <f t="shared" si="19"/>
        <v>-46</v>
      </c>
      <c r="D152" s="63">
        <f t="shared" si="18"/>
        <v>148</v>
      </c>
      <c r="E152" s="401">
        <v>8356</v>
      </c>
      <c r="F152" s="151" t="str">
        <f>IFERROR(VLOOKUP(Table5[[#This Row],[Player No]],Table11[[#All],[No]:[Province]],2,0),"")</f>
        <v>VERMAAK Marcelle</v>
      </c>
      <c r="G152" s="316" t="str">
        <f>IFERROR(VLOOKUP(Table5[[#This Row],[Player No]],Table11[[#All],[No]:[Province]],3,0),"")</f>
        <v>CW</v>
      </c>
      <c r="H152" s="192">
        <v>3</v>
      </c>
      <c r="I152" s="404">
        <v>1.5</v>
      </c>
      <c r="J152" s="661">
        <f>Table5[[#This Row],[Points 2025]]/2+SUM(Table5[[#This Row],[O1  ADMIN 2026]:[P2           WC         CT Open 2026]])</f>
        <v>0.75</v>
      </c>
      <c r="K152" s="401">
        <f t="shared" si="16"/>
        <v>0</v>
      </c>
      <c r="L152" s="63">
        <f t="shared" si="17"/>
        <v>0</v>
      </c>
      <c r="M152" s="442" t="s">
        <v>6083</v>
      </c>
      <c r="N152" s="442" t="s">
        <v>6083</v>
      </c>
      <c r="O152" s="442" t="s">
        <v>6083</v>
      </c>
      <c r="P152" s="442"/>
      <c r="Q152" s="401"/>
      <c r="R152" s="401"/>
      <c r="S152" s="401"/>
      <c r="T152" s="401"/>
      <c r="U152" s="401"/>
      <c r="V152" s="401"/>
      <c r="W152" s="401"/>
      <c r="X152" s="401"/>
      <c r="Y152" s="442"/>
      <c r="Z152" s="189"/>
      <c r="AA152" s="401"/>
      <c r="AB152" s="401"/>
      <c r="AC152" s="401"/>
      <c r="AD152" s="401"/>
      <c r="AE152" s="401"/>
      <c r="AF152" s="401"/>
      <c r="AG152" s="401">
        <v>1</v>
      </c>
      <c r="AH152" s="401">
        <v>2</v>
      </c>
      <c r="AI152" s="401"/>
      <c r="AJ152" s="401"/>
      <c r="AK152" s="401"/>
      <c r="AL152" s="401"/>
      <c r="AM152" s="401"/>
      <c r="AN152" s="401"/>
    </row>
    <row r="153" spans="1:40" s="83" customFormat="1" ht="15.5">
      <c r="A153" s="113"/>
      <c r="B153" s="113"/>
      <c r="C153" s="115">
        <f t="shared" si="19"/>
        <v>-149</v>
      </c>
      <c r="D153" s="63">
        <f t="shared" si="18"/>
        <v>149</v>
      </c>
      <c r="E153" s="114">
        <v>8853</v>
      </c>
      <c r="F153" s="151" t="str">
        <f>IFERROR(VLOOKUP(Table5[[#This Row],[Player No]],Table11[[#All],[No]:[Province]],2,0),"")</f>
        <v>MASCHAKA Geneve</v>
      </c>
      <c r="G153" s="316" t="str">
        <f>IFERROR(VLOOKUP(Table5[[#This Row],[Player No]],Table11[[#All],[No]:[Province]],3,0),"")</f>
        <v>NMB</v>
      </c>
      <c r="H153" s="192">
        <v>1</v>
      </c>
      <c r="I153" s="124">
        <v>1.5</v>
      </c>
      <c r="J153" s="789">
        <f>Table5[[#This Row],[Points 2025]]/2+SUM(Table5[[#This Row],[O1  ADMIN 2026]:[P2           WC         CT Open 2026]])</f>
        <v>0.75</v>
      </c>
      <c r="K153" s="114">
        <f t="shared" si="16"/>
        <v>0</v>
      </c>
      <c r="L153" s="63">
        <f t="shared" si="17"/>
        <v>0</v>
      </c>
      <c r="M153" s="708" t="s">
        <v>6083</v>
      </c>
      <c r="N153" s="708" t="s">
        <v>6083</v>
      </c>
      <c r="O153" s="708" t="s">
        <v>6083</v>
      </c>
      <c r="P153" s="708"/>
      <c r="Q153" s="114"/>
      <c r="R153" s="114"/>
      <c r="S153" s="114"/>
      <c r="T153" s="114"/>
      <c r="U153" s="114"/>
      <c r="V153" s="114"/>
      <c r="W153" s="114"/>
      <c r="X153" s="114"/>
      <c r="Y153" s="442">
        <v>1</v>
      </c>
      <c r="Z153" s="189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</row>
    <row r="154" spans="1:40" s="83" customFormat="1" ht="15.5">
      <c r="A154" s="114">
        <f>IFERROR(VLOOKUP(Table5[[#This Row],[Player No]],Table11[[#All],[No]:[Age Group]],4,0),"")</f>
        <v>0</v>
      </c>
      <c r="B154" s="113">
        <v>67</v>
      </c>
      <c r="C154" s="115">
        <f t="shared" si="19"/>
        <v>-83</v>
      </c>
      <c r="D154" s="63">
        <f t="shared" si="18"/>
        <v>150</v>
      </c>
      <c r="E154" s="114">
        <v>7592</v>
      </c>
      <c r="F154" s="151" t="str">
        <f>IFERROR(VLOOKUP(Table5[[#This Row],[Player No]],Table11[[#All],[No]:[Province]],2,0),"")</f>
        <v>MCHUNU Zesuliwe</v>
      </c>
      <c r="G154" s="316" t="str">
        <f>IFERROR(VLOOKUP(Table5[[#This Row],[Player No]],Table11[[#All],[No]:[Province]],3,0),"")</f>
        <v>UTH</v>
      </c>
      <c r="H154" s="192">
        <v>2.5</v>
      </c>
      <c r="I154" s="124">
        <v>1.25</v>
      </c>
      <c r="J154" s="789">
        <f>Table5[[#This Row],[Points 2025]]/2+SUM(Table5[[#This Row],[O1  ADMIN 2026]:[P2           WC         CT Open 2026]])</f>
        <v>0.625</v>
      </c>
      <c r="K154" s="114">
        <f t="shared" si="16"/>
        <v>0</v>
      </c>
      <c r="L154" s="63">
        <f t="shared" si="17"/>
        <v>0</v>
      </c>
      <c r="M154" s="708" t="s">
        <v>6083</v>
      </c>
      <c r="N154" s="708" t="s">
        <v>6083</v>
      </c>
      <c r="O154" s="708" t="s">
        <v>6083</v>
      </c>
      <c r="P154" s="708"/>
      <c r="Q154" s="114"/>
      <c r="R154" s="114"/>
      <c r="S154" s="114"/>
      <c r="T154" s="114"/>
      <c r="U154" s="114"/>
      <c r="V154" s="114"/>
      <c r="W154" s="114"/>
      <c r="X154" s="114"/>
      <c r="Y154" s="442"/>
      <c r="Z154" s="189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</row>
    <row r="155" spans="1:40" s="83" customFormat="1" ht="15.5">
      <c r="A155" s="114" t="str">
        <f>IFERROR(VLOOKUP(Table5[[#This Row],[Player No]],Table11[[#All],[No]:[Age Group]],4,0),"")</f>
        <v>U19</v>
      </c>
      <c r="B155" s="113">
        <v>73</v>
      </c>
      <c r="C155" s="115">
        <f t="shared" si="19"/>
        <v>-78</v>
      </c>
      <c r="D155" s="63">
        <f t="shared" si="18"/>
        <v>151</v>
      </c>
      <c r="E155" s="114">
        <v>7723</v>
      </c>
      <c r="F155" s="151" t="str">
        <f>IFERROR(VLOOKUP(Table5[[#This Row],[Player No]],Table11[[#All],[No]:[Province]],2,0),"")</f>
        <v>FORTUIN Jovermia</v>
      </c>
      <c r="G155" s="316" t="str">
        <f>IFERROR(VLOOKUP(Table5[[#This Row],[Player No]],Table11[[#All],[No]:[Province]],3,0),"")</f>
        <v>CW</v>
      </c>
      <c r="H155" s="192">
        <v>2.5</v>
      </c>
      <c r="I155" s="124">
        <v>1.25</v>
      </c>
      <c r="J155" s="789">
        <f>Table5[[#This Row],[Points 2025]]/2+SUM(Table5[[#This Row],[O1  ADMIN 2026]:[P2           WC         CT Open 2026]])</f>
        <v>0.625</v>
      </c>
      <c r="K155" s="114">
        <f t="shared" si="16"/>
        <v>0</v>
      </c>
      <c r="L155" s="63">
        <f t="shared" si="17"/>
        <v>0</v>
      </c>
      <c r="M155" s="708" t="s">
        <v>6083</v>
      </c>
      <c r="N155" s="708" t="s">
        <v>6083</v>
      </c>
      <c r="O155" s="708" t="s">
        <v>6083</v>
      </c>
      <c r="P155" s="708"/>
      <c r="Q155" s="114"/>
      <c r="R155" s="114"/>
      <c r="S155" s="114"/>
      <c r="T155" s="114"/>
      <c r="U155" s="114"/>
      <c r="V155" s="114"/>
      <c r="W155" s="114"/>
      <c r="X155" s="114"/>
      <c r="Y155" s="442"/>
      <c r="Z155" s="189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</row>
    <row r="156" spans="1:40" s="83" customFormat="1" ht="15.5">
      <c r="A156" s="114" t="str">
        <f>IFERROR(VLOOKUP(Table5[[#This Row],[Player No]],Table11[[#All],[No]:[Age Group]],4,0),"")</f>
        <v>U19</v>
      </c>
      <c r="B156" s="113">
        <v>68</v>
      </c>
      <c r="C156" s="115">
        <f t="shared" si="19"/>
        <v>-84</v>
      </c>
      <c r="D156" s="63">
        <f t="shared" si="18"/>
        <v>152</v>
      </c>
      <c r="E156" s="114">
        <v>7736</v>
      </c>
      <c r="F156" s="151" t="str">
        <f>IFERROR(VLOOKUP(Table5[[#This Row],[Player No]],Table11[[#All],[No]:[Province]],2,0),"")</f>
        <v>BEUKES Beyonce</v>
      </c>
      <c r="G156" s="316" t="str">
        <f>IFERROR(VLOOKUP(Table5[[#This Row],[Player No]],Table11[[#All],[No]:[Province]],3,0),"")</f>
        <v>WC</v>
      </c>
      <c r="H156" s="192">
        <v>2.5</v>
      </c>
      <c r="I156" s="124">
        <v>1.25</v>
      </c>
      <c r="J156" s="789">
        <f>Table5[[#This Row],[Points 2025]]/2+SUM(Table5[[#This Row],[O1  ADMIN 2026]:[P2           WC         CT Open 2026]])</f>
        <v>0.625</v>
      </c>
      <c r="K156" s="114">
        <f t="shared" si="16"/>
        <v>0</v>
      </c>
      <c r="L156" s="63">
        <f t="shared" si="17"/>
        <v>0</v>
      </c>
      <c r="M156" s="708" t="s">
        <v>6083</v>
      </c>
      <c r="N156" s="708" t="s">
        <v>6083</v>
      </c>
      <c r="O156" s="708" t="s">
        <v>6083</v>
      </c>
      <c r="P156" s="708"/>
      <c r="Q156" s="114"/>
      <c r="R156" s="114"/>
      <c r="S156" s="114"/>
      <c r="T156" s="114"/>
      <c r="U156" s="114"/>
      <c r="V156" s="114"/>
      <c r="W156" s="114"/>
      <c r="X156" s="114"/>
      <c r="Y156" s="442"/>
      <c r="Z156" s="189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</row>
    <row r="157" spans="1:40" ht="15.5">
      <c r="A157" s="114">
        <f>IFERROR(VLOOKUP(Table5[[#This Row],[Player No]],Table11[[#All],[No]:[Age Group]],4,0),"")</f>
        <v>0</v>
      </c>
      <c r="B157" s="113">
        <v>66</v>
      </c>
      <c r="C157" s="115">
        <f t="shared" si="19"/>
        <v>-87</v>
      </c>
      <c r="D157" s="63">
        <f t="shared" si="18"/>
        <v>153</v>
      </c>
      <c r="E157" s="114">
        <v>8199</v>
      </c>
      <c r="F157" s="151" t="str">
        <f>IFERROR(VLOOKUP(Table5[[#This Row],[Player No]],Table11[[#All],[No]:[Province]],2,0),"")</f>
        <v>YANGA Mkholwana</v>
      </c>
      <c r="G157" s="316" t="str">
        <f>IFERROR(VLOOKUP(Table5[[#This Row],[Player No]],Table11[[#All],[No]:[Province]],3,0),"")</f>
        <v>EC</v>
      </c>
      <c r="H157" s="192">
        <v>2.5</v>
      </c>
      <c r="I157" s="124">
        <v>1.25</v>
      </c>
      <c r="J157" s="789">
        <f>Table5[[#This Row],[Points 2025]]/2+SUM(Table5[[#This Row],[O1  ADMIN 2026]:[P2           WC         CT Open 2026]])</f>
        <v>0.625</v>
      </c>
      <c r="K157" s="114">
        <f t="shared" si="16"/>
        <v>0</v>
      </c>
      <c r="L157" s="63">
        <f t="shared" si="17"/>
        <v>0</v>
      </c>
      <c r="M157" s="708" t="s">
        <v>6083</v>
      </c>
      <c r="N157" s="708" t="s">
        <v>6083</v>
      </c>
      <c r="O157" s="708" t="s">
        <v>6083</v>
      </c>
      <c r="P157" s="708"/>
      <c r="Q157" s="114"/>
      <c r="R157" s="114"/>
      <c r="S157" s="114"/>
      <c r="T157" s="114"/>
      <c r="U157" s="114"/>
      <c r="V157" s="114"/>
      <c r="W157" s="114"/>
      <c r="X157" s="114"/>
      <c r="Y157" s="442"/>
      <c r="Z157" s="189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</row>
    <row r="158" spans="1:40" ht="15.5">
      <c r="A158" s="114" t="str">
        <f>IFERROR(VLOOKUP(Table5[[#This Row],[Player No]],Table11[[#All],[No]:[Age Group]],4,0),"")</f>
        <v>U19</v>
      </c>
      <c r="B158" s="113">
        <v>74</v>
      </c>
      <c r="C158" s="115">
        <f t="shared" si="19"/>
        <v>-80</v>
      </c>
      <c r="D158" s="63">
        <f t="shared" si="18"/>
        <v>154</v>
      </c>
      <c r="E158" s="114">
        <v>8253</v>
      </c>
      <c r="F158" s="151" t="str">
        <f>IFERROR(VLOOKUP(Table5[[#This Row],[Player No]],Table11[[#All],[No]:[Province]],2,0),"")</f>
        <v>FAVAGER Chloe</v>
      </c>
      <c r="G158" s="316" t="str">
        <f>IFERROR(VLOOKUP(Table5[[#This Row],[Player No]],Table11[[#All],[No]:[Province]],3,0),"")</f>
        <v>JTTA</v>
      </c>
      <c r="H158" s="192">
        <v>2.5</v>
      </c>
      <c r="I158" s="124">
        <v>1.25</v>
      </c>
      <c r="J158" s="789">
        <f>Table5[[#This Row],[Points 2025]]/2+SUM(Table5[[#This Row],[O1  ADMIN 2026]:[P2           WC         CT Open 2026]])</f>
        <v>0.625</v>
      </c>
      <c r="K158" s="114">
        <f t="shared" si="16"/>
        <v>0</v>
      </c>
      <c r="L158" s="63">
        <f t="shared" si="17"/>
        <v>0</v>
      </c>
      <c r="M158" s="708" t="s">
        <v>6083</v>
      </c>
      <c r="N158" s="708" t="s">
        <v>6083</v>
      </c>
      <c r="O158" s="708" t="s">
        <v>6083</v>
      </c>
      <c r="P158" s="708"/>
      <c r="Q158" s="114"/>
      <c r="R158" s="114"/>
      <c r="S158" s="114"/>
      <c r="T158" s="114"/>
      <c r="U158" s="114"/>
      <c r="V158" s="114"/>
      <c r="W158" s="114"/>
      <c r="X158" s="114"/>
      <c r="Y158" s="442"/>
      <c r="Z158" s="189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</row>
    <row r="159" spans="1:40" ht="15.5">
      <c r="A159" s="114">
        <f>IFERROR(VLOOKUP(Table5[[#This Row],[Player No]],Table11[[#All],[No]:[Age Group]],4,0),"")</f>
        <v>0</v>
      </c>
      <c r="B159" s="113">
        <v>71</v>
      </c>
      <c r="C159" s="115">
        <f t="shared" si="19"/>
        <v>-84</v>
      </c>
      <c r="D159" s="63">
        <f t="shared" si="18"/>
        <v>155</v>
      </c>
      <c r="E159" s="114">
        <v>8276</v>
      </c>
      <c r="F159" s="151" t="str">
        <f>IFERROR(VLOOKUP(Table5[[#This Row],[Player No]],Table11[[#All],[No]:[Province]],2,0),"")</f>
        <v xml:space="preserve">MZOLO  Thandolwethu </v>
      </c>
      <c r="G159" s="316" t="str">
        <f>IFERROR(VLOOKUP(Table5[[#This Row],[Player No]],Table11[[#All],[No]:[Province]],3,0),"")</f>
        <v>UMZ</v>
      </c>
      <c r="H159" s="192">
        <v>2.5</v>
      </c>
      <c r="I159" s="124">
        <v>1.25</v>
      </c>
      <c r="J159" s="789">
        <f>Table5[[#This Row],[Points 2025]]/2+SUM(Table5[[#This Row],[O1  ADMIN 2026]:[P2           WC         CT Open 2026]])</f>
        <v>0.625</v>
      </c>
      <c r="K159" s="114">
        <f t="shared" si="16"/>
        <v>0</v>
      </c>
      <c r="L159" s="63">
        <f t="shared" si="17"/>
        <v>0</v>
      </c>
      <c r="M159" s="708" t="s">
        <v>6083</v>
      </c>
      <c r="N159" s="708" t="s">
        <v>6083</v>
      </c>
      <c r="O159" s="708" t="s">
        <v>6083</v>
      </c>
      <c r="P159" s="708"/>
      <c r="Q159" s="114"/>
      <c r="R159" s="114"/>
      <c r="S159" s="114"/>
      <c r="T159" s="114"/>
      <c r="U159" s="114"/>
      <c r="V159" s="114"/>
      <c r="W159" s="114"/>
      <c r="X159" s="114"/>
      <c r="Y159" s="442"/>
      <c r="Z159" s="189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</row>
    <row r="160" spans="1:40" ht="15.5">
      <c r="A160" s="114">
        <f>IFERROR(VLOOKUP(Table5[[#This Row],[Player No]],Table11[[#All],[No]:[Age Group]],4,0),"")</f>
        <v>0</v>
      </c>
      <c r="B160" s="113">
        <v>75</v>
      </c>
      <c r="C160" s="115">
        <f t="shared" si="19"/>
        <v>-81</v>
      </c>
      <c r="D160" s="63">
        <f t="shared" si="18"/>
        <v>156</v>
      </c>
      <c r="E160" s="114">
        <v>8277</v>
      </c>
      <c r="F160" s="151" t="str">
        <f>IFERROR(VLOOKUP(Table5[[#This Row],[Player No]],Table11[[#All],[No]:[Province]],2,0),"")</f>
        <v xml:space="preserve">SHABALALA  Andiswa   </v>
      </c>
      <c r="G160" s="316" t="str">
        <f>IFERROR(VLOOKUP(Table5[[#This Row],[Player No]],Table11[[#All],[No]:[Province]],3,0),"")</f>
        <v>UMZ</v>
      </c>
      <c r="H160" s="192">
        <v>2.5</v>
      </c>
      <c r="I160" s="124">
        <v>1.25</v>
      </c>
      <c r="J160" s="789">
        <f>Table5[[#This Row],[Points 2025]]/2+SUM(Table5[[#This Row],[O1  ADMIN 2026]:[P2           WC         CT Open 2026]])</f>
        <v>0.625</v>
      </c>
      <c r="K160" s="114">
        <f t="shared" si="16"/>
        <v>0</v>
      </c>
      <c r="L160" s="63">
        <f t="shared" si="17"/>
        <v>0</v>
      </c>
      <c r="M160" s="708" t="s">
        <v>6083</v>
      </c>
      <c r="N160" s="708" t="s">
        <v>6083</v>
      </c>
      <c r="O160" s="708" t="s">
        <v>6083</v>
      </c>
      <c r="P160" s="708"/>
      <c r="Q160" s="114"/>
      <c r="R160" s="114"/>
      <c r="S160" s="114"/>
      <c r="T160" s="114"/>
      <c r="U160" s="114"/>
      <c r="V160" s="114"/>
      <c r="W160" s="114"/>
      <c r="X160" s="114"/>
      <c r="Y160" s="442"/>
      <c r="Z160" s="189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</row>
    <row r="161" spans="1:40" ht="15.5">
      <c r="A161" s="114">
        <f>IFERROR(VLOOKUP(Table5[[#This Row],[Player No]],Table11[[#All],[No]:[Age Group]],4,0),"")</f>
        <v>0</v>
      </c>
      <c r="B161" s="113">
        <v>77</v>
      </c>
      <c r="C161" s="115">
        <f t="shared" si="19"/>
        <v>-80</v>
      </c>
      <c r="D161" s="63">
        <f t="shared" si="18"/>
        <v>157</v>
      </c>
      <c r="E161" s="114">
        <v>7490</v>
      </c>
      <c r="F161" s="151" t="str">
        <f>IFERROR(VLOOKUP(Table5[[#This Row],[Player No]],Table11[[#All],[No]:[Province]],2,0),"")</f>
        <v>GOVENDER Shivasthi </v>
      </c>
      <c r="G161" s="316" t="str">
        <f>IFERROR(VLOOKUP(Table5[[#This Row],[Player No]],Table11[[#All],[No]:[Province]],3,0),"")</f>
        <v>ETK</v>
      </c>
      <c r="H161" s="192">
        <v>2</v>
      </c>
      <c r="I161" s="124">
        <v>1</v>
      </c>
      <c r="J161" s="789">
        <f>Table5[[#This Row],[Points 2025]]/2+SUM(Table5[[#This Row],[O1  ADMIN 2026]:[P2           WC         CT Open 2026]])</f>
        <v>0.5</v>
      </c>
      <c r="K161" s="114">
        <f t="shared" si="16"/>
        <v>0</v>
      </c>
      <c r="L161" s="63">
        <f t="shared" si="17"/>
        <v>0</v>
      </c>
      <c r="M161" s="708" t="s">
        <v>6083</v>
      </c>
      <c r="N161" s="708" t="s">
        <v>6083</v>
      </c>
      <c r="O161" s="708" t="s">
        <v>6083</v>
      </c>
      <c r="P161" s="708"/>
      <c r="Q161" s="114"/>
      <c r="R161" s="114"/>
      <c r="S161" s="114"/>
      <c r="T161" s="114"/>
      <c r="U161" s="114"/>
      <c r="V161" s="114"/>
      <c r="W161" s="114"/>
      <c r="X161" s="114"/>
      <c r="Y161" s="442"/>
      <c r="Z161" s="189"/>
      <c r="AA161" s="114"/>
      <c r="AB161" s="114"/>
      <c r="AC161" s="114"/>
      <c r="AD161" s="114"/>
      <c r="AE161" s="114">
        <v>2</v>
      </c>
      <c r="AF161" s="114"/>
      <c r="AG161" s="114"/>
      <c r="AH161" s="114"/>
      <c r="AI161" s="114"/>
      <c r="AJ161" s="114"/>
      <c r="AK161" s="114"/>
      <c r="AL161" s="114"/>
      <c r="AM161" s="114"/>
      <c r="AN161" s="114"/>
    </row>
    <row r="162" spans="1:40" ht="15.5">
      <c r="A162" s="114" t="str">
        <f>IFERROR(VLOOKUP(Table5[[#This Row],[Player No]],Table11[[#All],[No]:[Age Group]],4,0),"")</f>
        <v>U13</v>
      </c>
      <c r="B162" s="113">
        <v>78</v>
      </c>
      <c r="C162" s="115">
        <f t="shared" si="19"/>
        <v>-80</v>
      </c>
      <c r="D162" s="63">
        <f t="shared" si="18"/>
        <v>158</v>
      </c>
      <c r="E162" s="114">
        <v>8091</v>
      </c>
      <c r="F162" s="151" t="str">
        <f>IFERROR(VLOOKUP(Table5[[#This Row],[Player No]],Table11[[#All],[No]:[Province]],2,0),"")</f>
        <v>GOKAL Rakhee</v>
      </c>
      <c r="G162" s="316" t="str">
        <f>IFERROR(VLOOKUP(Table5[[#This Row],[Player No]],Table11[[#All],[No]:[Province]],3,0),"")</f>
        <v>ETK</v>
      </c>
      <c r="H162" s="192">
        <v>2</v>
      </c>
      <c r="I162" s="124">
        <v>1</v>
      </c>
      <c r="J162" s="789">
        <f>Table5[[#This Row],[Points 2025]]/2+SUM(Table5[[#This Row],[O1  ADMIN 2026]:[P2           WC         CT Open 2026]])</f>
        <v>0.5</v>
      </c>
      <c r="K162" s="114">
        <f t="shared" si="16"/>
        <v>0</v>
      </c>
      <c r="L162" s="63">
        <f t="shared" si="17"/>
        <v>0</v>
      </c>
      <c r="M162" s="708" t="s">
        <v>6083</v>
      </c>
      <c r="N162" s="708" t="s">
        <v>6083</v>
      </c>
      <c r="O162" s="708" t="s">
        <v>6083</v>
      </c>
      <c r="P162" s="708"/>
      <c r="Q162" s="114"/>
      <c r="R162" s="114"/>
      <c r="S162" s="114"/>
      <c r="T162" s="114"/>
      <c r="U162" s="114"/>
      <c r="V162" s="114"/>
      <c r="W162" s="114"/>
      <c r="X162" s="114"/>
      <c r="Y162" s="442"/>
      <c r="Z162" s="189"/>
      <c r="AA162" s="114"/>
      <c r="AB162" s="114"/>
      <c r="AC162" s="114"/>
      <c r="AD162" s="114"/>
      <c r="AE162" s="114">
        <v>2</v>
      </c>
      <c r="AF162" s="114"/>
      <c r="AG162" s="114"/>
      <c r="AH162" s="114"/>
      <c r="AI162" s="114"/>
      <c r="AJ162" s="114"/>
      <c r="AK162" s="114"/>
      <c r="AL162" s="114"/>
      <c r="AM162" s="114"/>
      <c r="AN162" s="114"/>
    </row>
    <row r="163" spans="1:40" ht="15.5">
      <c r="A163" s="113"/>
      <c r="B163" s="113"/>
      <c r="C163" s="115">
        <f t="shared" si="19"/>
        <v>-159</v>
      </c>
      <c r="D163" s="63">
        <f t="shared" si="18"/>
        <v>159</v>
      </c>
      <c r="E163" s="114">
        <v>8308</v>
      </c>
      <c r="F163" s="151" t="str">
        <f>IFERROR(VLOOKUP(Table5[[#This Row],[Player No]],Table11[[#All],[No]:[Province]],2,0),"")</f>
        <v>BULLEN Isabel</v>
      </c>
      <c r="G163" s="316" t="str">
        <f>IFERROR(VLOOKUP(Table5[[#This Row],[Player No]],Table11[[#All],[No]:[Province]],3,0),"")</f>
        <v>JTTA</v>
      </c>
      <c r="H163" s="192">
        <v>0</v>
      </c>
      <c r="I163" s="124">
        <v>1</v>
      </c>
      <c r="J163" s="789">
        <f>Table5[[#This Row],[Points 2025]]/2+SUM(Table5[[#This Row],[O1  ADMIN 2026]:[P2           WC         CT Open 2026]])</f>
        <v>0.5</v>
      </c>
      <c r="K163" s="114">
        <f t="shared" si="16"/>
        <v>0</v>
      </c>
      <c r="L163" s="63">
        <f t="shared" si="17"/>
        <v>0</v>
      </c>
      <c r="M163" s="708" t="s">
        <v>6083</v>
      </c>
      <c r="N163" s="708" t="s">
        <v>6083</v>
      </c>
      <c r="O163" s="708" t="s">
        <v>6083</v>
      </c>
      <c r="P163" s="708"/>
      <c r="Q163" s="114"/>
      <c r="R163" s="114"/>
      <c r="S163" s="114"/>
      <c r="T163" s="114"/>
      <c r="U163" s="114"/>
      <c r="V163" s="114"/>
      <c r="W163" s="114"/>
      <c r="X163" s="114">
        <v>1</v>
      </c>
      <c r="Y163" s="442"/>
      <c r="Z163" s="189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</row>
    <row r="164" spans="1:40" ht="15.5">
      <c r="A164" s="337"/>
      <c r="B164" s="337"/>
      <c r="C164" s="338">
        <f t="shared" si="19"/>
        <v>-160</v>
      </c>
      <c r="D164" s="63">
        <f t="shared" si="18"/>
        <v>160</v>
      </c>
      <c r="E164" s="321">
        <v>8334</v>
      </c>
      <c r="F164" s="151" t="str">
        <f>IFERROR(VLOOKUP(Table5[[#This Row],[Player No]],Table11[[#All],[No]:[Province]],2,0),"")</f>
        <v>ZWANE Ziyanda</v>
      </c>
      <c r="G164" s="316" t="str">
        <f>IFERROR(VLOOKUP(Table5[[#This Row],[Player No]],Table11[[#All],[No]:[Province]],3,0),"")</f>
        <v>ETK</v>
      </c>
      <c r="H164" s="328">
        <v>0</v>
      </c>
      <c r="I164" s="383">
        <v>1</v>
      </c>
      <c r="J164" s="817">
        <f>Table5[[#This Row],[Points 2025]]/2+SUM(Table5[[#This Row],[O1  ADMIN 2026]:[P2           WC         CT Open 2026]])</f>
        <v>0.5</v>
      </c>
      <c r="K164" s="321">
        <f t="shared" si="16"/>
        <v>0</v>
      </c>
      <c r="L164" s="63">
        <f t="shared" si="17"/>
        <v>0</v>
      </c>
      <c r="M164" s="708" t="s">
        <v>6083</v>
      </c>
      <c r="N164" s="711" t="s">
        <v>6083</v>
      </c>
      <c r="O164" s="711" t="s">
        <v>6083</v>
      </c>
      <c r="P164" s="711"/>
      <c r="Q164" s="321"/>
      <c r="R164" s="321"/>
      <c r="S164" s="321"/>
      <c r="T164" s="321">
        <v>1</v>
      </c>
      <c r="U164" s="321"/>
      <c r="V164" s="321"/>
      <c r="W164" s="321"/>
      <c r="X164" s="321"/>
      <c r="Y164" s="642"/>
      <c r="Z164" s="329"/>
      <c r="AA164" s="321"/>
      <c r="AB164" s="321"/>
      <c r="AC164" s="321"/>
      <c r="AD164" s="321"/>
      <c r="AE164" s="321"/>
      <c r="AF164" s="321"/>
      <c r="AG164" s="321"/>
      <c r="AH164" s="321"/>
      <c r="AI164" s="321"/>
      <c r="AJ164" s="321"/>
      <c r="AK164" s="321"/>
      <c r="AL164" s="321"/>
      <c r="AM164" s="321"/>
      <c r="AN164" s="321"/>
    </row>
    <row r="165" spans="1:40" ht="15.5">
      <c r="A165" s="114">
        <f>IFERROR(VLOOKUP(Table5[[#This Row],[Player No]],Table11[[#All],[No]:[Age Group]],4,0),"")</f>
        <v>0</v>
      </c>
      <c r="B165" s="113"/>
      <c r="C165" s="115"/>
      <c r="D165" s="63">
        <f t="shared" si="18"/>
        <v>161</v>
      </c>
      <c r="E165" s="643">
        <v>8539</v>
      </c>
      <c r="F165" s="151" t="str">
        <f>IFERROR(VLOOKUP(Table5[[#This Row],[Player No]],Table11[[#All],[No]:[Province]],2,0),"")</f>
        <v>Tarini Pillay</v>
      </c>
      <c r="G165" s="316" t="str">
        <f>IFERROR(VLOOKUP(Table5[[#This Row],[Player No]],Table11[[#All],[No]:[Province]],3,0),"")</f>
        <v>UMG</v>
      </c>
      <c r="H165" s="192">
        <v>0</v>
      </c>
      <c r="I165" s="124">
        <v>1</v>
      </c>
      <c r="J165" s="789">
        <f>Table5[[#This Row],[Points 2025]]/2+SUM(Table5[[#This Row],[O1  ADMIN 2026]:[P2           WC         CT Open 2026]])</f>
        <v>0.5</v>
      </c>
      <c r="K165" s="114">
        <f t="shared" ref="K165:K187" si="20">COUNTIF(M165:P165,"&gt;0")</f>
        <v>0</v>
      </c>
      <c r="L165" s="63">
        <f t="shared" ref="L165:L187" si="21">COUNTIF(N165:AN165,"&lt;0")</f>
        <v>0</v>
      </c>
      <c r="M165" s="708" t="s">
        <v>6083</v>
      </c>
      <c r="N165" s="708" t="s">
        <v>6083</v>
      </c>
      <c r="O165" s="708" t="s">
        <v>6083</v>
      </c>
      <c r="P165" s="708"/>
      <c r="Q165" s="114"/>
      <c r="R165" s="114"/>
      <c r="S165" s="114"/>
      <c r="T165" s="114"/>
      <c r="U165" s="114">
        <v>1</v>
      </c>
      <c r="V165" s="114"/>
      <c r="W165" s="114"/>
      <c r="X165" s="114"/>
      <c r="Y165" s="442"/>
      <c r="Z165" s="189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</row>
    <row r="166" spans="1:40" ht="15.5">
      <c r="A166" s="114">
        <f>IFERROR(VLOOKUP(Table5[[#This Row],[Player No]],Table11[[#All],[No]:[Age Group]],4,0),"")</f>
        <v>0</v>
      </c>
      <c r="B166" s="113"/>
      <c r="C166" s="115"/>
      <c r="D166" s="63">
        <f t="shared" si="18"/>
        <v>162</v>
      </c>
      <c r="E166" s="643">
        <v>8541</v>
      </c>
      <c r="F166" s="151" t="str">
        <f>IFERROR(VLOOKUP(Table5[[#This Row],[Player No]],Table11[[#All],[No]:[Province]],2,0),"")</f>
        <v>Olwethu Njemla</v>
      </c>
      <c r="G166" s="316" t="str">
        <f>IFERROR(VLOOKUP(Table5[[#This Row],[Player No]],Table11[[#All],[No]:[Province]],3,0),"")</f>
        <v>ETK</v>
      </c>
      <c r="H166" s="192">
        <v>0</v>
      </c>
      <c r="I166" s="124">
        <v>1</v>
      </c>
      <c r="J166" s="789">
        <f>Table5[[#This Row],[Points 2025]]/2+SUM(Table5[[#This Row],[O1  ADMIN 2026]:[P2           WC         CT Open 2026]])</f>
        <v>0.5</v>
      </c>
      <c r="K166" s="114">
        <f t="shared" si="20"/>
        <v>0</v>
      </c>
      <c r="L166" s="63">
        <f t="shared" si="21"/>
        <v>0</v>
      </c>
      <c r="M166" s="708" t="s">
        <v>6083</v>
      </c>
      <c r="N166" s="708" t="s">
        <v>6083</v>
      </c>
      <c r="O166" s="708" t="s">
        <v>6083</v>
      </c>
      <c r="P166" s="708"/>
      <c r="Q166" s="114"/>
      <c r="R166" s="114"/>
      <c r="S166" s="114"/>
      <c r="T166" s="114"/>
      <c r="U166" s="114">
        <v>1</v>
      </c>
      <c r="V166" s="114"/>
      <c r="W166" s="114"/>
      <c r="X166" s="114"/>
      <c r="Y166" s="442"/>
      <c r="Z166" s="189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</row>
    <row r="167" spans="1:40" ht="15.5">
      <c r="A167" s="415"/>
      <c r="B167" s="415"/>
      <c r="C167" s="384">
        <f t="shared" ref="C167:C187" si="22">+B167-D167</f>
        <v>-163</v>
      </c>
      <c r="D167" s="63">
        <f t="shared" si="18"/>
        <v>163</v>
      </c>
      <c r="E167" s="386">
        <v>8724</v>
      </c>
      <c r="F167" s="151" t="str">
        <f>IFERROR(VLOOKUP(Table5[[#This Row],[Player No]],Table11[[#All],[No]:[Province]],2,0),"")</f>
        <v>Carline RAUTENBACH</v>
      </c>
      <c r="G167" s="316" t="str">
        <f>IFERROR(VLOOKUP(Table5[[#This Row],[Player No]],Table11[[#All],[No]:[Province]],3,0),"")</f>
        <v>GN</v>
      </c>
      <c r="H167" s="192">
        <v>0</v>
      </c>
      <c r="I167" s="416">
        <v>1</v>
      </c>
      <c r="J167" s="822">
        <f>Table5[[#This Row],[Points 2025]]/2+SUM(Table5[[#This Row],[O1  ADMIN 2026]:[P2           WC         CT Open 2026]])</f>
        <v>0.5</v>
      </c>
      <c r="K167" s="386">
        <f t="shared" si="20"/>
        <v>0</v>
      </c>
      <c r="L167" s="63">
        <f t="shared" si="21"/>
        <v>0</v>
      </c>
      <c r="M167" s="708" t="s">
        <v>6083</v>
      </c>
      <c r="N167" s="714" t="s">
        <v>6083</v>
      </c>
      <c r="O167" s="714" t="s">
        <v>6083</v>
      </c>
      <c r="P167" s="714"/>
      <c r="Q167" s="386"/>
      <c r="R167" s="386"/>
      <c r="S167" s="386"/>
      <c r="T167" s="386"/>
      <c r="U167" s="386"/>
      <c r="V167" s="386"/>
      <c r="W167" s="386">
        <v>1</v>
      </c>
      <c r="X167" s="386"/>
      <c r="Y167" s="426"/>
      <c r="Z167" s="387"/>
      <c r="AA167" s="386"/>
      <c r="AB167" s="386"/>
      <c r="AC167" s="386"/>
      <c r="AD167" s="386"/>
      <c r="AE167" s="386"/>
      <c r="AF167" s="386"/>
      <c r="AG167" s="386"/>
      <c r="AH167" s="386"/>
      <c r="AI167" s="386"/>
      <c r="AJ167" s="386"/>
      <c r="AK167" s="386"/>
      <c r="AL167" s="386"/>
      <c r="AM167" s="386"/>
      <c r="AN167" s="386"/>
    </row>
    <row r="168" spans="1:40" ht="15.5">
      <c r="A168" s="114">
        <f>IFERROR(VLOOKUP(Table5[[#This Row],[Player No]],Table11[[#All],[No]:[Age Group]],4,0),"")</f>
        <v>0</v>
      </c>
      <c r="B168" s="113"/>
      <c r="C168" s="115">
        <f t="shared" si="22"/>
        <v>-164</v>
      </c>
      <c r="D168" s="63">
        <f t="shared" si="18"/>
        <v>164</v>
      </c>
      <c r="E168" s="114">
        <v>9250</v>
      </c>
      <c r="F168" s="151" t="str">
        <f>IFERROR(VLOOKUP(Table5[[#This Row],[Player No]],Table11[[#All],[No]:[Province]],2,0),"")</f>
        <v xml:space="preserve">PALESA Moeng </v>
      </c>
      <c r="G168" s="316" t="str">
        <f>IFERROR(VLOOKUP(Table5[[#This Row],[Player No]],Table11[[#All],[No]:[Province]],3,0),"")</f>
        <v>JTTA</v>
      </c>
      <c r="H168" s="192">
        <v>2</v>
      </c>
      <c r="I168" s="124">
        <v>1</v>
      </c>
      <c r="J168" s="789">
        <f>Table5[[#This Row],[Points 2025]]/2+SUM(Table5[[#This Row],[O1  ADMIN 2026]:[P2           WC         CT Open 2026]])</f>
        <v>0.5</v>
      </c>
      <c r="K168" s="114">
        <f t="shared" si="20"/>
        <v>0</v>
      </c>
      <c r="L168" s="63">
        <f t="shared" si="21"/>
        <v>0</v>
      </c>
      <c r="M168" s="708" t="s">
        <v>6083</v>
      </c>
      <c r="N168" s="708" t="s">
        <v>6083</v>
      </c>
      <c r="O168" s="708" t="s">
        <v>6083</v>
      </c>
      <c r="P168" s="708"/>
      <c r="Q168" s="114"/>
      <c r="R168" s="114"/>
      <c r="S168" s="114"/>
      <c r="T168" s="114"/>
      <c r="U168" s="114"/>
      <c r="V168" s="114"/>
      <c r="W168" s="114"/>
      <c r="X168" s="114"/>
      <c r="Y168" s="442"/>
      <c r="Z168" s="189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>
        <v>2</v>
      </c>
      <c r="AM168" s="114"/>
      <c r="AN168" s="114"/>
    </row>
    <row r="169" spans="1:40" ht="15.5">
      <c r="A169" s="114">
        <f>IFERROR(VLOOKUP(Table5[[#This Row],[Player No]],Table11[[#All],[No]:[Age Group]],4,0),"")</f>
        <v>0</v>
      </c>
      <c r="B169" s="113"/>
      <c r="C169" s="115">
        <f t="shared" si="22"/>
        <v>-165</v>
      </c>
      <c r="D169" s="63">
        <f t="shared" si="18"/>
        <v>165</v>
      </c>
      <c r="E169" s="114">
        <v>9251</v>
      </c>
      <c r="F169" s="151" t="str">
        <f>IFERROR(VLOOKUP(Table5[[#This Row],[Player No]],Table11[[#All],[No]:[Province]],2,0),"")</f>
        <v xml:space="preserve">SILOMA Nicole </v>
      </c>
      <c r="G169" s="316" t="str">
        <f>IFERROR(VLOOKUP(Table5[[#This Row],[Player No]],Table11[[#All],[No]:[Province]],3,0),"")</f>
        <v>JTTA</v>
      </c>
      <c r="H169" s="192">
        <v>2</v>
      </c>
      <c r="I169" s="124">
        <v>1</v>
      </c>
      <c r="J169" s="789">
        <f>Table5[[#This Row],[Points 2025]]/2+SUM(Table5[[#This Row],[O1  ADMIN 2026]:[P2           WC         CT Open 2026]])</f>
        <v>0.5</v>
      </c>
      <c r="K169" s="114">
        <f t="shared" si="20"/>
        <v>0</v>
      </c>
      <c r="L169" s="63">
        <f t="shared" si="21"/>
        <v>0</v>
      </c>
      <c r="M169" s="708" t="s">
        <v>6083</v>
      </c>
      <c r="N169" s="708" t="s">
        <v>6083</v>
      </c>
      <c r="O169" s="708" t="s">
        <v>6083</v>
      </c>
      <c r="P169" s="708"/>
      <c r="Q169" s="114"/>
      <c r="R169" s="114"/>
      <c r="S169" s="114"/>
      <c r="T169" s="114"/>
      <c r="U169" s="114"/>
      <c r="V169" s="114"/>
      <c r="W169" s="114"/>
      <c r="X169" s="114"/>
      <c r="Y169" s="442"/>
      <c r="Z169" s="189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>
        <v>2</v>
      </c>
      <c r="AM169" s="114"/>
      <c r="AN169" s="114"/>
    </row>
    <row r="170" spans="1:40" ht="15.5">
      <c r="A170" s="114">
        <f>IFERROR(VLOOKUP(Table5[[#This Row],[Player No]],Table11[[#All],[No]:[Age Group]],4,0),"")</f>
        <v>0</v>
      </c>
      <c r="B170" s="113"/>
      <c r="C170" s="115">
        <f t="shared" si="22"/>
        <v>-166</v>
      </c>
      <c r="D170" s="63">
        <f t="shared" si="18"/>
        <v>166</v>
      </c>
      <c r="E170" s="114">
        <v>9256</v>
      </c>
      <c r="F170" s="151" t="str">
        <f>IFERROR(VLOOKUP(Table5[[#This Row],[Player No]],Table11[[#All],[No]:[Province]],2,0),"")</f>
        <v xml:space="preserve">CASSIM Zahraa </v>
      </c>
      <c r="G170" s="316" t="str">
        <f>IFERROR(VLOOKUP(Table5[[#This Row],[Player No]],Table11[[#All],[No]:[Province]],3,0),"")</f>
        <v>JTTA</v>
      </c>
      <c r="H170" s="192">
        <v>2</v>
      </c>
      <c r="I170" s="124">
        <v>1</v>
      </c>
      <c r="J170" s="789">
        <f>Table5[[#This Row],[Points 2025]]/2+SUM(Table5[[#This Row],[O1  ADMIN 2026]:[P2           WC         CT Open 2026]])</f>
        <v>0.5</v>
      </c>
      <c r="K170" s="114">
        <f t="shared" si="20"/>
        <v>0</v>
      </c>
      <c r="L170" s="63">
        <f t="shared" si="21"/>
        <v>0</v>
      </c>
      <c r="M170" s="708" t="s">
        <v>6083</v>
      </c>
      <c r="N170" s="708" t="s">
        <v>6083</v>
      </c>
      <c r="O170" s="708" t="s">
        <v>6083</v>
      </c>
      <c r="P170" s="708"/>
      <c r="Q170" s="114"/>
      <c r="R170" s="114"/>
      <c r="S170" s="114"/>
      <c r="T170" s="114"/>
      <c r="U170" s="114"/>
      <c r="V170" s="114"/>
      <c r="W170" s="114"/>
      <c r="X170" s="114"/>
      <c r="Y170" s="442"/>
      <c r="Z170" s="189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>
        <v>2</v>
      </c>
      <c r="AM170" s="114"/>
      <c r="AN170" s="114"/>
    </row>
    <row r="171" spans="1:40" ht="15.5">
      <c r="A171" s="114">
        <f>IFERROR(VLOOKUP(Table5[[#This Row],[Player No]],Table11[[#All],[No]:[Age Group]],4,0),"")</f>
        <v>0</v>
      </c>
      <c r="B171" s="113"/>
      <c r="C171" s="115">
        <f t="shared" si="22"/>
        <v>-167</v>
      </c>
      <c r="D171" s="63">
        <f t="shared" si="18"/>
        <v>167</v>
      </c>
      <c r="E171" s="114">
        <v>9257</v>
      </c>
      <c r="F171" s="151" t="str">
        <f>IFERROR(VLOOKUP(Table5[[#This Row],[Player No]],Table11[[#All],[No]:[Province]],2,0),"")</f>
        <v xml:space="preserve">SUNDUZA Nonhlanhla </v>
      </c>
      <c r="G171" s="316" t="str">
        <f>IFERROR(VLOOKUP(Table5[[#This Row],[Player No]],Table11[[#All],[No]:[Province]],3,0),"")</f>
        <v>JTTA</v>
      </c>
      <c r="H171" s="192">
        <v>2</v>
      </c>
      <c r="I171" s="124">
        <v>1</v>
      </c>
      <c r="J171" s="789">
        <f>Table5[[#This Row],[Points 2025]]/2+SUM(Table5[[#This Row],[O1  ADMIN 2026]:[P2           WC         CT Open 2026]])</f>
        <v>0.5</v>
      </c>
      <c r="K171" s="114">
        <f t="shared" si="20"/>
        <v>0</v>
      </c>
      <c r="L171" s="63">
        <f t="shared" si="21"/>
        <v>0</v>
      </c>
      <c r="M171" s="708" t="s">
        <v>6083</v>
      </c>
      <c r="N171" s="708" t="s">
        <v>6083</v>
      </c>
      <c r="O171" s="708" t="s">
        <v>6083</v>
      </c>
      <c r="P171" s="708"/>
      <c r="Q171" s="114"/>
      <c r="R171" s="114"/>
      <c r="S171" s="114"/>
      <c r="T171" s="114"/>
      <c r="U171" s="114"/>
      <c r="V171" s="114"/>
      <c r="W171" s="114"/>
      <c r="X171" s="114"/>
      <c r="Y171" s="442"/>
      <c r="Z171" s="189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>
        <v>2</v>
      </c>
      <c r="AM171" s="114"/>
      <c r="AN171" s="114"/>
    </row>
    <row r="172" spans="1:40" ht="15.5">
      <c r="A172" s="113"/>
      <c r="B172" s="113"/>
      <c r="C172" s="115">
        <f t="shared" si="22"/>
        <v>-168</v>
      </c>
      <c r="D172" s="63">
        <f t="shared" si="18"/>
        <v>168</v>
      </c>
      <c r="E172" s="114">
        <v>8851</v>
      </c>
      <c r="F172" s="151" t="str">
        <f>IFERROR(VLOOKUP(Table5[[#This Row],[Player No]],Table11[[#All],[No]:[Province]],2,0),"")</f>
        <v>RAUBENHEIMER Mereldiah</v>
      </c>
      <c r="G172" s="316" t="str">
        <f>IFERROR(VLOOKUP(Table5[[#This Row],[Player No]],Table11[[#All],[No]:[Province]],3,0),"")</f>
        <v>NMB</v>
      </c>
      <c r="H172" s="192">
        <v>0</v>
      </c>
      <c r="I172" s="124">
        <v>1</v>
      </c>
      <c r="J172" s="789">
        <f>Table5[[#This Row],[Points 2025]]/2+SUM(Table5[[#This Row],[O1  ADMIN 2026]:[P2           WC         CT Open 2026]])</f>
        <v>0.5</v>
      </c>
      <c r="K172" s="114">
        <f t="shared" si="20"/>
        <v>0</v>
      </c>
      <c r="L172" s="63">
        <f t="shared" si="21"/>
        <v>0</v>
      </c>
      <c r="M172" s="708" t="s">
        <v>6083</v>
      </c>
      <c r="N172" s="708" t="s">
        <v>6083</v>
      </c>
      <c r="O172" s="708" t="s">
        <v>6083</v>
      </c>
      <c r="P172" s="708"/>
      <c r="Q172" s="114"/>
      <c r="R172" s="114"/>
      <c r="S172" s="114"/>
      <c r="T172" s="114"/>
      <c r="U172" s="114"/>
      <c r="V172" s="114"/>
      <c r="W172" s="114"/>
      <c r="X172" s="114"/>
      <c r="Y172" s="442">
        <v>1</v>
      </c>
      <c r="Z172" s="189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</row>
    <row r="173" spans="1:40" ht="15.5">
      <c r="A173" s="337"/>
      <c r="B173" s="337"/>
      <c r="C173" s="338">
        <f t="shared" si="22"/>
        <v>-169</v>
      </c>
      <c r="D173" s="63">
        <f t="shared" si="18"/>
        <v>169</v>
      </c>
      <c r="E173" s="321">
        <v>8395</v>
      </c>
      <c r="F173" s="764" t="str">
        <f>IFERROR(VLOOKUP(Table5[[#This Row],[Player No]],Table11[[#All],[No]:[Province]],2,0),"")</f>
        <v>Tamzin Human</v>
      </c>
      <c r="G173" s="765" t="str">
        <f>IFERROR(VLOOKUP(Table5[[#This Row],[Player No]],Table11[[#All],[No]:[Province]],3,0),"")</f>
        <v>CW</v>
      </c>
      <c r="H173" s="328">
        <v>0</v>
      </c>
      <c r="I173" s="383">
        <v>0.5</v>
      </c>
      <c r="J173" s="817">
        <f>Table5[[#This Row],[Points 2025]]/2+SUM(Table5[[#This Row],[O1  ADMIN 2026]:[P2           WC         CT Open 2026]])</f>
        <v>0.25</v>
      </c>
      <c r="K173" s="321">
        <f t="shared" si="20"/>
        <v>0</v>
      </c>
      <c r="L173" s="63">
        <f t="shared" si="21"/>
        <v>0</v>
      </c>
      <c r="M173" s="708" t="s">
        <v>6083</v>
      </c>
      <c r="N173" s="711" t="s">
        <v>6083</v>
      </c>
      <c r="O173" s="711" t="s">
        <v>6083</v>
      </c>
      <c r="P173" s="711"/>
      <c r="Q173" s="321"/>
      <c r="R173" s="321"/>
      <c r="S173" s="321"/>
      <c r="T173" s="321"/>
      <c r="U173" s="321"/>
      <c r="V173" s="321"/>
      <c r="W173" s="321"/>
      <c r="X173" s="321"/>
      <c r="Y173" s="642"/>
      <c r="Z173" s="329"/>
      <c r="AA173" s="321"/>
      <c r="AB173" s="321"/>
      <c r="AC173" s="321">
        <v>0.5</v>
      </c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</row>
    <row r="174" spans="1:40" ht="15.5">
      <c r="A174" s="189">
        <f>IFERROR(VLOOKUP(Table5[[#This Row],[Player No]],Table11[[#All],[No]:[Age Group]],4,0),"")</f>
        <v>0</v>
      </c>
      <c r="B174" s="190">
        <v>95</v>
      </c>
      <c r="C174" s="195">
        <f t="shared" si="22"/>
        <v>-75</v>
      </c>
      <c r="D174" s="63">
        <f t="shared" si="18"/>
        <v>170</v>
      </c>
      <c r="E174" s="189">
        <v>7803</v>
      </c>
      <c r="F174" s="151" t="str">
        <f>IFERROR(VLOOKUP(Table5[[#This Row],[Player No]],Table11[[#All],[No]:[Province]],2,0),"")</f>
        <v>MOLELEKOA Bokang</v>
      </c>
      <c r="G174" s="316" t="str">
        <f>IFERROR(VLOOKUP(Table5[[#This Row],[Player No]],Table11[[#All],[No]:[Province]],3,0),"")</f>
        <v>NC</v>
      </c>
      <c r="H174" s="192">
        <v>0.5</v>
      </c>
      <c r="I174" s="193">
        <v>0.25</v>
      </c>
      <c r="J174" s="661">
        <f>Table5[[#This Row],[Points 2025]]/2+SUM(Table5[[#This Row],[O1  ADMIN 2026]:[P2           WC         CT Open 2026]])</f>
        <v>0.125</v>
      </c>
      <c r="K174" s="189">
        <f t="shared" si="20"/>
        <v>0</v>
      </c>
      <c r="L174" s="63">
        <f t="shared" si="21"/>
        <v>0</v>
      </c>
      <c r="M174" s="442" t="s">
        <v>6083</v>
      </c>
      <c r="N174" s="442" t="s">
        <v>6083</v>
      </c>
      <c r="O174" s="442" t="s">
        <v>6083</v>
      </c>
      <c r="P174" s="442"/>
      <c r="Q174" s="189"/>
      <c r="R174" s="189"/>
      <c r="S174" s="189"/>
      <c r="T174" s="189"/>
      <c r="U174" s="189"/>
      <c r="V174" s="189"/>
      <c r="W174" s="189"/>
      <c r="X174" s="189"/>
      <c r="Y174" s="442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</row>
    <row r="175" spans="1:40" ht="15.5">
      <c r="A175" s="442">
        <f>IFERROR(VLOOKUP(Table5[[#This Row],[Player No]],Table11[[#All],[No]:[Age Group]],4,0),"")</f>
        <v>0</v>
      </c>
      <c r="B175" s="428">
        <v>87</v>
      </c>
      <c r="C175" s="659">
        <f t="shared" si="22"/>
        <v>-84</v>
      </c>
      <c r="D175" s="63">
        <f t="shared" si="18"/>
        <v>171</v>
      </c>
      <c r="E175" s="442">
        <v>8083</v>
      </c>
      <c r="F175" s="151" t="str">
        <f>IFERROR(VLOOKUP(Table5[[#This Row],[Player No]],Table11[[#All],[No]:[Province]],2,0),"")</f>
        <v>BARNARD Martelize</v>
      </c>
      <c r="G175" s="316">
        <f>IFERROR(VLOOKUP(Table5[[#This Row],[Player No]],Table11[[#All],[No]:[Province]],3,0),"")</f>
        <v>0</v>
      </c>
      <c r="H175" s="192">
        <v>0.5</v>
      </c>
      <c r="I175" s="661">
        <v>0.25</v>
      </c>
      <c r="J175" s="661">
        <f>Table5[[#This Row],[Points 2025]]/2+SUM(Table5[[#This Row],[O1  ADMIN 2026]:[P2           WC         CT Open 2026]])</f>
        <v>0.125</v>
      </c>
      <c r="K175" s="442">
        <f t="shared" si="20"/>
        <v>0</v>
      </c>
      <c r="L175" s="63">
        <f t="shared" si="21"/>
        <v>0</v>
      </c>
      <c r="M175" s="442" t="s">
        <v>6083</v>
      </c>
      <c r="N175" s="442" t="s">
        <v>6083</v>
      </c>
      <c r="O175" s="442" t="s">
        <v>6083</v>
      </c>
      <c r="P175" s="442"/>
      <c r="Q175" s="442"/>
      <c r="R175" s="442"/>
      <c r="S175" s="442"/>
      <c r="T175" s="442"/>
      <c r="U175" s="442"/>
      <c r="V175" s="442"/>
      <c r="W175" s="442"/>
      <c r="X175" s="442"/>
      <c r="Y175" s="442"/>
      <c r="Z175" s="442"/>
      <c r="AA175" s="442"/>
      <c r="AB175" s="442"/>
      <c r="AC175" s="442"/>
      <c r="AD175" s="442"/>
      <c r="AE175" s="442"/>
      <c r="AF175" s="442"/>
      <c r="AG175" s="442"/>
      <c r="AH175" s="442"/>
      <c r="AI175" s="442"/>
      <c r="AJ175" s="442"/>
      <c r="AK175" s="442"/>
      <c r="AL175" s="442"/>
      <c r="AM175" s="442"/>
      <c r="AN175" s="442"/>
    </row>
    <row r="176" spans="1:40" ht="15.5">
      <c r="A176" s="442">
        <f>IFERROR(VLOOKUP(Table5[[#This Row],[Player No]],Table11[[#All],[No]:[Age Group]],4,0),"")</f>
        <v>0</v>
      </c>
      <c r="B176" s="428">
        <v>88</v>
      </c>
      <c r="C176" s="659">
        <f t="shared" si="22"/>
        <v>-84</v>
      </c>
      <c r="D176" s="63">
        <f t="shared" si="18"/>
        <v>172</v>
      </c>
      <c r="E176" s="442">
        <v>8092</v>
      </c>
      <c r="F176" s="151" t="str">
        <f>IFERROR(VLOOKUP(Table5[[#This Row],[Player No]],Table11[[#All],[No]:[Province]],2,0),"")</f>
        <v>DEAIR Yasmin</v>
      </c>
      <c r="G176" s="316" t="str">
        <f>IFERROR(VLOOKUP(Table5[[#This Row],[Player No]],Table11[[#All],[No]:[Province]],3,0),"")</f>
        <v>UMG</v>
      </c>
      <c r="H176" s="192">
        <v>0.5</v>
      </c>
      <c r="I176" s="661">
        <v>0.25</v>
      </c>
      <c r="J176" s="661">
        <f>Table5[[#This Row],[Points 2025]]/2+SUM(Table5[[#This Row],[O1  ADMIN 2026]:[P2           WC         CT Open 2026]])</f>
        <v>0.125</v>
      </c>
      <c r="K176" s="442">
        <f t="shared" si="20"/>
        <v>0</v>
      </c>
      <c r="L176" s="63">
        <f t="shared" si="21"/>
        <v>0</v>
      </c>
      <c r="M176" s="442" t="s">
        <v>6083</v>
      </c>
      <c r="N176" s="442" t="s">
        <v>6083</v>
      </c>
      <c r="O176" s="442" t="s">
        <v>6083</v>
      </c>
      <c r="P176" s="442"/>
      <c r="Q176" s="442"/>
      <c r="R176" s="442"/>
      <c r="S176" s="442"/>
      <c r="T176" s="442"/>
      <c r="U176" s="442"/>
      <c r="V176" s="442"/>
      <c r="W176" s="442"/>
      <c r="X176" s="442"/>
      <c r="Y176" s="442"/>
      <c r="Z176" s="442"/>
      <c r="AA176" s="442"/>
      <c r="AB176" s="442"/>
      <c r="AC176" s="442"/>
      <c r="AD176" s="442"/>
      <c r="AE176" s="442"/>
      <c r="AF176" s="442"/>
      <c r="AG176" s="442"/>
      <c r="AH176" s="442"/>
      <c r="AI176" s="442"/>
      <c r="AJ176" s="442"/>
      <c r="AK176" s="442"/>
      <c r="AL176" s="442"/>
      <c r="AM176" s="442"/>
      <c r="AN176" s="442"/>
    </row>
    <row r="177" spans="1:40" ht="15.5">
      <c r="A177" s="442">
        <f>IFERROR(VLOOKUP(Table5[[#This Row],[Player No]],Table11[[#All],[No]:[Age Group]],4,0),"")</f>
        <v>0</v>
      </c>
      <c r="B177" s="428">
        <v>89</v>
      </c>
      <c r="C177" s="659">
        <f t="shared" si="22"/>
        <v>-84</v>
      </c>
      <c r="D177" s="63">
        <f t="shared" si="18"/>
        <v>173</v>
      </c>
      <c r="E177" s="442">
        <v>8093</v>
      </c>
      <c r="F177" s="151" t="str">
        <f>IFERROR(VLOOKUP(Table5[[#This Row],[Player No]],Table11[[#All],[No]:[Province]],2,0),"")</f>
        <v>PILLAY Caidyn</v>
      </c>
      <c r="G177" s="316" t="str">
        <f>IFERROR(VLOOKUP(Table5[[#This Row],[Player No]],Table11[[#All],[No]:[Province]],3,0),"")</f>
        <v>UMG</v>
      </c>
      <c r="H177" s="660">
        <v>0.5</v>
      </c>
      <c r="I177" s="661">
        <v>0.25</v>
      </c>
      <c r="J177" s="661">
        <f>Table5[[#This Row],[Points 2025]]/2+SUM(Table5[[#This Row],[O1  ADMIN 2026]:[P2           WC         CT Open 2026]])</f>
        <v>0.125</v>
      </c>
      <c r="K177" s="442">
        <f t="shared" si="20"/>
        <v>0</v>
      </c>
      <c r="L177" s="442">
        <f t="shared" si="21"/>
        <v>0</v>
      </c>
      <c r="M177" s="442" t="s">
        <v>6083</v>
      </c>
      <c r="N177" s="442" t="s">
        <v>6083</v>
      </c>
      <c r="O177" s="442" t="s">
        <v>6083</v>
      </c>
      <c r="P177" s="442"/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  <c r="AA177" s="442"/>
      <c r="AB177" s="442"/>
      <c r="AC177" s="442"/>
      <c r="AD177" s="442"/>
      <c r="AE177" s="442"/>
      <c r="AF177" s="442"/>
      <c r="AG177" s="442"/>
      <c r="AH177" s="442"/>
      <c r="AI177" s="442"/>
      <c r="AJ177" s="442"/>
      <c r="AK177" s="442"/>
      <c r="AL177" s="442"/>
      <c r="AM177" s="442"/>
      <c r="AN177" s="442"/>
    </row>
    <row r="178" spans="1:40" ht="15.5">
      <c r="A178" s="442">
        <f>IFERROR(VLOOKUP(Table5[[#This Row],[Player No]],Table11[[#All],[No]:[Age Group]],4,0),"")</f>
        <v>0</v>
      </c>
      <c r="B178" s="428">
        <v>90</v>
      </c>
      <c r="C178" s="659">
        <f t="shared" si="22"/>
        <v>-84</v>
      </c>
      <c r="D178" s="63">
        <f t="shared" si="18"/>
        <v>174</v>
      </c>
      <c r="E178" s="442">
        <v>8094</v>
      </c>
      <c r="F178" s="151" t="str">
        <f>IFERROR(VLOOKUP(Table5[[#This Row],[Player No]],Table11[[#All],[No]:[Province]],2,0),"")</f>
        <v>GOVENDER Chloe</v>
      </c>
      <c r="G178" s="316" t="str">
        <f>IFERROR(VLOOKUP(Table5[[#This Row],[Player No]],Table11[[#All],[No]:[Province]],3,0),"")</f>
        <v>UMG</v>
      </c>
      <c r="H178" s="660">
        <v>0.5</v>
      </c>
      <c r="I178" s="661">
        <v>0.25</v>
      </c>
      <c r="J178" s="661">
        <f>Table5[[#This Row],[Points 2025]]/2+SUM(Table5[[#This Row],[O1  ADMIN 2026]:[P2           WC         CT Open 2026]])</f>
        <v>0.125</v>
      </c>
      <c r="K178" s="442">
        <f t="shared" si="20"/>
        <v>0</v>
      </c>
      <c r="L178" s="442">
        <f t="shared" si="21"/>
        <v>0</v>
      </c>
      <c r="M178" s="442" t="s">
        <v>6083</v>
      </c>
      <c r="N178" s="442" t="s">
        <v>6083</v>
      </c>
      <c r="O178" s="442" t="s">
        <v>6083</v>
      </c>
      <c r="P178" s="442"/>
      <c r="Q178" s="442"/>
      <c r="R178" s="442"/>
      <c r="S178" s="442"/>
      <c r="T178" s="442"/>
      <c r="U178" s="442"/>
      <c r="V178" s="442"/>
      <c r="W178" s="442"/>
      <c r="X178" s="442"/>
      <c r="Y178" s="442"/>
      <c r="Z178" s="442"/>
      <c r="AA178" s="442"/>
      <c r="AB178" s="442"/>
      <c r="AC178" s="442"/>
      <c r="AD178" s="442"/>
      <c r="AE178" s="442"/>
      <c r="AF178" s="442"/>
      <c r="AG178" s="442"/>
      <c r="AH178" s="442"/>
      <c r="AI178" s="442"/>
      <c r="AJ178" s="442"/>
      <c r="AK178" s="442"/>
      <c r="AL178" s="442"/>
      <c r="AM178" s="442"/>
      <c r="AN178" s="442"/>
    </row>
    <row r="179" spans="1:40" ht="15.5">
      <c r="A179" s="442">
        <f>IFERROR(VLOOKUP(Table5[[#This Row],[Player No]],Table11[[#All],[No]:[Age Group]],4,0),"")</f>
        <v>0</v>
      </c>
      <c r="B179" s="428">
        <v>91</v>
      </c>
      <c r="C179" s="659">
        <f t="shared" si="22"/>
        <v>-84</v>
      </c>
      <c r="D179" s="63">
        <f t="shared" si="18"/>
        <v>175</v>
      </c>
      <c r="E179" s="442">
        <v>8095</v>
      </c>
      <c r="F179" s="151" t="str">
        <f>IFERROR(VLOOKUP(Table5[[#This Row],[Player No]],Table11[[#All],[No]:[Province]],2,0),"")</f>
        <v>GOVENDER Nikayla</v>
      </c>
      <c r="G179" s="316" t="str">
        <f>IFERROR(VLOOKUP(Table5[[#This Row],[Player No]],Table11[[#All],[No]:[Province]],3,0),"")</f>
        <v>UMG</v>
      </c>
      <c r="H179" s="660">
        <v>0.5</v>
      </c>
      <c r="I179" s="661">
        <v>0.25</v>
      </c>
      <c r="J179" s="661">
        <f>Table5[[#This Row],[Points 2025]]/2+SUM(Table5[[#This Row],[O1  ADMIN 2026]:[P2           WC         CT Open 2026]])</f>
        <v>0.125</v>
      </c>
      <c r="K179" s="442">
        <f t="shared" si="20"/>
        <v>0</v>
      </c>
      <c r="L179" s="442">
        <f t="shared" si="21"/>
        <v>0</v>
      </c>
      <c r="M179" s="442" t="s">
        <v>6083</v>
      </c>
      <c r="N179" s="442" t="s">
        <v>6083</v>
      </c>
      <c r="O179" s="442" t="s">
        <v>6083</v>
      </c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2"/>
      <c r="AD179" s="442"/>
      <c r="AE179" s="442"/>
      <c r="AF179" s="442"/>
      <c r="AG179" s="442"/>
      <c r="AH179" s="442"/>
      <c r="AI179" s="442"/>
      <c r="AJ179" s="442"/>
      <c r="AK179" s="442"/>
      <c r="AL179" s="442"/>
      <c r="AM179" s="442"/>
      <c r="AN179" s="442"/>
    </row>
    <row r="180" spans="1:40" ht="15.5">
      <c r="A180" s="442">
        <f>IFERROR(VLOOKUP(Table5[[#This Row],[Player No]],Table11[[#All],[No]:[Age Group]],4,0),"")</f>
        <v>0</v>
      </c>
      <c r="B180" s="428">
        <v>92</v>
      </c>
      <c r="C180" s="659">
        <f t="shared" si="22"/>
        <v>-84</v>
      </c>
      <c r="D180" s="63">
        <f t="shared" si="18"/>
        <v>176</v>
      </c>
      <c r="E180" s="442">
        <v>8116</v>
      </c>
      <c r="F180" s="151" t="str">
        <f>IFERROR(VLOOKUP(Table5[[#This Row],[Player No]],Table11[[#All],[No]:[Province]],2,0),"")</f>
        <v>KUTU Dineo</v>
      </c>
      <c r="G180" s="316" t="str">
        <f>IFERROR(VLOOKUP(Table5[[#This Row],[Player No]],Table11[[#All],[No]:[Province]],3,0),"")</f>
        <v>NC</v>
      </c>
      <c r="H180" s="660">
        <v>0.5</v>
      </c>
      <c r="I180" s="661">
        <v>0.25</v>
      </c>
      <c r="J180" s="661">
        <f>Table5[[#This Row],[Points 2025]]/2+SUM(Table5[[#This Row],[O1  ADMIN 2026]:[P2           WC         CT Open 2026]])</f>
        <v>0.125</v>
      </c>
      <c r="K180" s="442">
        <f t="shared" si="20"/>
        <v>0</v>
      </c>
      <c r="L180" s="442">
        <f t="shared" si="21"/>
        <v>0</v>
      </c>
      <c r="M180" s="442" t="s">
        <v>6083</v>
      </c>
      <c r="N180" s="442" t="s">
        <v>6083</v>
      </c>
      <c r="O180" s="442" t="s">
        <v>6083</v>
      </c>
      <c r="P180" s="442"/>
      <c r="Q180" s="442"/>
      <c r="R180" s="442"/>
      <c r="S180" s="442"/>
      <c r="T180" s="442"/>
      <c r="U180" s="442"/>
      <c r="V180" s="442"/>
      <c r="W180" s="442"/>
      <c r="X180" s="442"/>
      <c r="Y180" s="442"/>
      <c r="Z180" s="442"/>
      <c r="AA180" s="442"/>
      <c r="AB180" s="442"/>
      <c r="AC180" s="442"/>
      <c r="AD180" s="442"/>
      <c r="AE180" s="442"/>
      <c r="AF180" s="442"/>
      <c r="AG180" s="442"/>
      <c r="AH180" s="442"/>
      <c r="AI180" s="442"/>
      <c r="AJ180" s="442"/>
      <c r="AK180" s="442"/>
      <c r="AL180" s="442"/>
      <c r="AM180" s="442"/>
      <c r="AN180" s="442"/>
    </row>
    <row r="181" spans="1:40" ht="15.5">
      <c r="A181" s="442">
        <f>IFERROR(VLOOKUP(Table5[[#This Row],[Player No]],Table11[[#All],[No]:[Age Group]],4,0),"")</f>
        <v>0</v>
      </c>
      <c r="B181" s="428">
        <v>94</v>
      </c>
      <c r="C181" s="659">
        <f t="shared" si="22"/>
        <v>-83</v>
      </c>
      <c r="D181" s="63">
        <f t="shared" si="18"/>
        <v>177</v>
      </c>
      <c r="E181" s="442">
        <v>8119</v>
      </c>
      <c r="F181" s="151" t="str">
        <f>IFERROR(VLOOKUP(Table5[[#This Row],[Player No]],Table11[[#All],[No]:[Province]],2,0),"")</f>
        <v>MABATHOANA Kanenelo</v>
      </c>
      <c r="G181" s="316" t="str">
        <f>IFERROR(VLOOKUP(Table5[[#This Row],[Player No]],Table11[[#All],[No]:[Province]],3,0),"")</f>
        <v>LES</v>
      </c>
      <c r="H181" s="660">
        <v>0.5</v>
      </c>
      <c r="I181" s="661">
        <v>0.25</v>
      </c>
      <c r="J181" s="661">
        <f>Table5[[#This Row],[Points 2025]]/2+SUM(Table5[[#This Row],[O1  ADMIN 2026]:[P2           WC         CT Open 2026]])</f>
        <v>0.125</v>
      </c>
      <c r="K181" s="442">
        <f t="shared" si="20"/>
        <v>0</v>
      </c>
      <c r="L181" s="442">
        <f t="shared" si="21"/>
        <v>0</v>
      </c>
      <c r="M181" s="442" t="s">
        <v>6083</v>
      </c>
      <c r="N181" s="442" t="s">
        <v>6083</v>
      </c>
      <c r="O181" s="442" t="s">
        <v>6083</v>
      </c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  <c r="Z181" s="442"/>
      <c r="AA181" s="442"/>
      <c r="AB181" s="442"/>
      <c r="AC181" s="442"/>
      <c r="AD181" s="442"/>
      <c r="AE181" s="442"/>
      <c r="AF181" s="442"/>
      <c r="AG181" s="442"/>
      <c r="AH181" s="442"/>
      <c r="AI181" s="442"/>
      <c r="AJ181" s="442"/>
      <c r="AK181" s="442"/>
      <c r="AL181" s="442"/>
      <c r="AM181" s="442"/>
      <c r="AN181" s="442"/>
    </row>
    <row r="182" spans="1:40" ht="15.5">
      <c r="A182" s="679"/>
      <c r="B182" s="679"/>
      <c r="C182" s="753">
        <f t="shared" si="22"/>
        <v>-178</v>
      </c>
      <c r="D182" s="63">
        <f t="shared" si="18"/>
        <v>178</v>
      </c>
      <c r="E182" s="678">
        <v>7798</v>
      </c>
      <c r="F182" s="151" t="str">
        <f>IFERROR(VLOOKUP(Table5[[#This Row],[Player No]],Table11[[#All],[No]:[Province]],2,0),"")</f>
        <v xml:space="preserve">MAKOLOTE Amogelang </v>
      </c>
      <c r="G182" s="316" t="str">
        <f>IFERROR(VLOOKUP(Table5[[#This Row],[Player No]],Table11[[#All],[No]:[Province]],3,0),"")</f>
        <v>NW</v>
      </c>
      <c r="H182" s="660">
        <v>0</v>
      </c>
      <c r="I182" s="635">
        <v>0</v>
      </c>
      <c r="J182" s="766">
        <f>Table5[[#This Row],[Points 2025]]/2+SUM(Table5[[#This Row],[O1  ADMIN 2026]:[P2           WC         CT Open 2026]])</f>
        <v>0</v>
      </c>
      <c r="K182" s="678">
        <f t="shared" si="20"/>
        <v>0</v>
      </c>
      <c r="L182" s="442">
        <f t="shared" si="21"/>
        <v>0</v>
      </c>
      <c r="M182" s="442" t="s">
        <v>6083</v>
      </c>
      <c r="N182" s="678" t="s">
        <v>6083</v>
      </c>
      <c r="O182" s="678" t="s">
        <v>6083</v>
      </c>
      <c r="P182" s="678"/>
      <c r="Q182" s="678"/>
      <c r="R182" s="678"/>
      <c r="S182" s="678"/>
      <c r="T182" s="678"/>
      <c r="U182" s="678"/>
      <c r="V182" s="678"/>
      <c r="W182" s="678"/>
      <c r="X182" s="678"/>
      <c r="Y182" s="678"/>
      <c r="Z182" s="678">
        <v>0</v>
      </c>
      <c r="AA182" s="678"/>
      <c r="AB182" s="678"/>
      <c r="AC182" s="678"/>
      <c r="AD182" s="678"/>
      <c r="AE182" s="678"/>
      <c r="AF182" s="678"/>
      <c r="AG182" s="678"/>
      <c r="AH182" s="678"/>
      <c r="AI182" s="678"/>
      <c r="AJ182" s="678"/>
      <c r="AK182" s="678"/>
      <c r="AL182" s="678"/>
      <c r="AM182" s="678"/>
      <c r="AN182" s="678"/>
    </row>
    <row r="183" spans="1:40" ht="15.5">
      <c r="A183" s="679"/>
      <c r="B183" s="679"/>
      <c r="C183" s="753">
        <f t="shared" si="22"/>
        <v>-179</v>
      </c>
      <c r="D183" s="63">
        <f t="shared" si="18"/>
        <v>179</v>
      </c>
      <c r="E183" s="678">
        <v>7836</v>
      </c>
      <c r="F183" s="151" t="str">
        <f>IFERROR(VLOOKUP(Table5[[#This Row],[Player No]],Table11[[#All],[No]:[Province]],2,0),"")</f>
        <v>WENASE Lisakhanya</v>
      </c>
      <c r="G183" s="316" t="str">
        <f>IFERROR(VLOOKUP(Table5[[#This Row],[Player No]],Table11[[#All],[No]:[Province]],3,0),"")</f>
        <v>JTTA</v>
      </c>
      <c r="H183" s="660">
        <v>0</v>
      </c>
      <c r="I183" s="635">
        <v>0</v>
      </c>
      <c r="J183" s="766">
        <f>Table5[[#This Row],[Points 2025]]/2+SUM(Table5[[#This Row],[O1  ADMIN 2026]:[P2           WC         CT Open 2026]])</f>
        <v>0</v>
      </c>
      <c r="K183" s="678">
        <f t="shared" si="20"/>
        <v>0</v>
      </c>
      <c r="L183" s="442">
        <f t="shared" si="21"/>
        <v>0</v>
      </c>
      <c r="M183" s="442" t="s">
        <v>6083</v>
      </c>
      <c r="N183" s="678" t="s">
        <v>6083</v>
      </c>
      <c r="O183" s="678" t="s">
        <v>6083</v>
      </c>
      <c r="P183" s="678"/>
      <c r="Q183" s="678"/>
      <c r="R183" s="678"/>
      <c r="S183" s="678"/>
      <c r="T183" s="678"/>
      <c r="U183" s="678"/>
      <c r="V183" s="678"/>
      <c r="W183" s="678"/>
      <c r="X183" s="678"/>
      <c r="Y183" s="678"/>
      <c r="Z183" s="678">
        <v>0</v>
      </c>
      <c r="AA183" s="678"/>
      <c r="AB183" s="678"/>
      <c r="AC183" s="678"/>
      <c r="AD183" s="678"/>
      <c r="AE183" s="678"/>
      <c r="AF183" s="678"/>
      <c r="AG183" s="678"/>
      <c r="AH183" s="678"/>
      <c r="AI183" s="678"/>
      <c r="AJ183" s="678"/>
      <c r="AK183" s="678"/>
      <c r="AL183" s="678"/>
      <c r="AM183" s="678"/>
      <c r="AN183" s="678"/>
    </row>
    <row r="184" spans="1:40" ht="15.5">
      <c r="A184" s="428"/>
      <c r="B184" s="428"/>
      <c r="C184" s="659">
        <f t="shared" si="22"/>
        <v>-180</v>
      </c>
      <c r="D184" s="63">
        <f t="shared" si="18"/>
        <v>180</v>
      </c>
      <c r="E184" s="442">
        <v>8675</v>
      </c>
      <c r="F184" s="64" t="str">
        <f>IFERROR(VLOOKUP(Table5[[#This Row],[Player No]],Table11[[#All],[No]:[Province]],2,0),"")</f>
        <v>MOHANLAL Narisha</v>
      </c>
      <c r="G184" s="65" t="str">
        <f>IFERROR(VLOOKUP(Table5[[#This Row],[Player No]],Table11[[#All],[No]:[Province]],3,0),"")</f>
        <v>UMG</v>
      </c>
      <c r="H184" s="660">
        <v>0</v>
      </c>
      <c r="I184" s="96">
        <v>0</v>
      </c>
      <c r="J184" s="661">
        <f>Table5[[#This Row],[Points 2025]]/2+SUM(Table5[[#This Row],[O1  ADMIN 2026]:[P2           WC         CT Open 2026]])</f>
        <v>0</v>
      </c>
      <c r="K184" s="442">
        <f t="shared" si="20"/>
        <v>0</v>
      </c>
      <c r="L184" s="442">
        <f t="shared" si="21"/>
        <v>0</v>
      </c>
      <c r="M184" s="442" t="s">
        <v>6083</v>
      </c>
      <c r="N184" s="442" t="s">
        <v>6083</v>
      </c>
      <c r="O184" s="442" t="s">
        <v>6083</v>
      </c>
      <c r="P184" s="442"/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  <c r="AL184" s="442"/>
      <c r="AM184" s="442"/>
      <c r="AN184" s="442"/>
    </row>
    <row r="185" spans="1:40" ht="15.5">
      <c r="A185" s="679"/>
      <c r="B185" s="679"/>
      <c r="C185" s="753">
        <f t="shared" si="22"/>
        <v>-181</v>
      </c>
      <c r="D185" s="63">
        <f t="shared" si="18"/>
        <v>181</v>
      </c>
      <c r="E185" s="678">
        <v>8823</v>
      </c>
      <c r="F185" s="64" t="str">
        <f>IFERROR(VLOOKUP(Table5[[#This Row],[Player No]],Table11[[#All],[No]:[Province]],2,0),"")</f>
        <v>VENTER  Jada</v>
      </c>
      <c r="G185" s="65" t="str">
        <f>IFERROR(VLOOKUP(Table5[[#This Row],[Player No]],Table11[[#All],[No]:[Province]],3,0),"")</f>
        <v xml:space="preserve">GN </v>
      </c>
      <c r="H185" s="660">
        <v>0</v>
      </c>
      <c r="I185" s="644">
        <v>0</v>
      </c>
      <c r="J185" s="766">
        <f>Table5[[#This Row],[Points 2025]]/2+SUM(Table5[[#This Row],[O1  ADMIN 2026]:[P2           WC         CT Open 2026]])</f>
        <v>0</v>
      </c>
      <c r="K185" s="678">
        <f t="shared" si="20"/>
        <v>0</v>
      </c>
      <c r="L185" s="442">
        <f t="shared" si="21"/>
        <v>0</v>
      </c>
      <c r="M185" s="442" t="s">
        <v>6083</v>
      </c>
      <c r="N185" s="678" t="s">
        <v>6083</v>
      </c>
      <c r="O185" s="678" t="s">
        <v>6083</v>
      </c>
      <c r="P185" s="678"/>
      <c r="Q185" s="678"/>
      <c r="R185" s="678"/>
      <c r="S185" s="678"/>
      <c r="T185" s="678"/>
      <c r="U185" s="678"/>
      <c r="V185" s="678"/>
      <c r="W185" s="678"/>
      <c r="X185" s="678"/>
      <c r="Y185" s="678"/>
      <c r="Z185" s="678">
        <v>0</v>
      </c>
      <c r="AA185" s="678"/>
      <c r="AB185" s="678"/>
      <c r="AC185" s="678"/>
      <c r="AD185" s="678"/>
      <c r="AE185" s="678"/>
      <c r="AF185" s="678"/>
      <c r="AG185" s="678"/>
      <c r="AH185" s="678"/>
      <c r="AI185" s="678"/>
      <c r="AJ185" s="678"/>
      <c r="AK185" s="678"/>
      <c r="AL185" s="678"/>
      <c r="AM185" s="678"/>
      <c r="AN185" s="678"/>
    </row>
    <row r="186" spans="1:40" ht="15.5">
      <c r="A186" s="679"/>
      <c r="B186" s="679"/>
      <c r="C186" s="753">
        <f t="shared" si="22"/>
        <v>-182</v>
      </c>
      <c r="D186" s="63">
        <f t="shared" si="18"/>
        <v>182</v>
      </c>
      <c r="E186" s="678">
        <v>8841</v>
      </c>
      <c r="F186" s="64" t="str">
        <f>IFERROR(VLOOKUP(Table5[[#This Row],[Player No]],Table11[[#All],[No]:[Province]],2,0),"")</f>
        <v>Aariya MASSALLIA</v>
      </c>
      <c r="G186" s="65" t="str">
        <f>IFERROR(VLOOKUP(Table5[[#This Row],[Player No]],Table11[[#All],[No]:[Province]],3,0),"")</f>
        <v>UMZ</v>
      </c>
      <c r="H186" s="660">
        <v>0</v>
      </c>
      <c r="I186" s="644">
        <v>0</v>
      </c>
      <c r="J186" s="766">
        <f>Table5[[#This Row],[Points 2025]]/2+SUM(Table5[[#This Row],[O1  ADMIN 2026]:[P2           WC         CT Open 2026]])</f>
        <v>0</v>
      </c>
      <c r="K186" s="678">
        <f t="shared" si="20"/>
        <v>0</v>
      </c>
      <c r="L186" s="442">
        <f t="shared" si="21"/>
        <v>0</v>
      </c>
      <c r="M186" s="442" t="s">
        <v>6083</v>
      </c>
      <c r="N186" s="678" t="s">
        <v>6083</v>
      </c>
      <c r="O186" s="678" t="s">
        <v>6083</v>
      </c>
      <c r="P186" s="678"/>
      <c r="Q186" s="678"/>
      <c r="R186" s="678"/>
      <c r="S186" s="678"/>
      <c r="T186" s="678"/>
      <c r="U186" s="678"/>
      <c r="V186" s="678"/>
      <c r="W186" s="678"/>
      <c r="X186" s="678"/>
      <c r="Y186" s="678"/>
      <c r="Z186" s="678">
        <v>0</v>
      </c>
      <c r="AA186" s="678"/>
      <c r="AB186" s="678"/>
      <c r="AC186" s="678"/>
      <c r="AD186" s="678"/>
      <c r="AE186" s="678"/>
      <c r="AF186" s="678"/>
      <c r="AG186" s="678"/>
      <c r="AH186" s="678"/>
      <c r="AI186" s="678"/>
      <c r="AJ186" s="678"/>
      <c r="AK186" s="678"/>
      <c r="AL186" s="678"/>
      <c r="AM186" s="678"/>
      <c r="AN186" s="678"/>
    </row>
    <row r="187" spans="1:40" ht="15.5">
      <c r="A187" s="442">
        <f>IFERROR(VLOOKUP(Table5[[#This Row],[Player No]],Table11[[#All],[No]:[Age Group]],4,0),"")</f>
        <v>0</v>
      </c>
      <c r="B187" s="428"/>
      <c r="C187" s="659">
        <f t="shared" si="22"/>
        <v>-183</v>
      </c>
      <c r="D187" s="63">
        <f t="shared" si="18"/>
        <v>183</v>
      </c>
      <c r="E187" s="442">
        <v>9259</v>
      </c>
      <c r="F187" s="64" t="str">
        <f>IFERROR(VLOOKUP(Table5[[#This Row],[Player No]],Table11[[#All],[No]:[Province]],2,0),"")</f>
        <v>MABVIRAKARE Lerato</v>
      </c>
      <c r="G187" s="65" t="str">
        <f>IFERROR(VLOOKUP(Table5[[#This Row],[Player No]],Table11[[#All],[No]:[Province]],3,0),"")</f>
        <v>JTTA</v>
      </c>
      <c r="H187" s="660">
        <v>0</v>
      </c>
      <c r="I187" s="96">
        <v>0</v>
      </c>
      <c r="J187" s="661">
        <f>Table5[[#This Row],[Points 2025]]/2+SUM(Table5[[#This Row],[O1  ADMIN 2026]:[P2           WC         CT Open 2026]])</f>
        <v>0</v>
      </c>
      <c r="K187" s="442">
        <f t="shared" si="20"/>
        <v>0</v>
      </c>
      <c r="L187" s="442">
        <f t="shared" si="21"/>
        <v>0</v>
      </c>
      <c r="M187" s="442" t="s">
        <v>6083</v>
      </c>
      <c r="N187" s="442" t="s">
        <v>6083</v>
      </c>
      <c r="O187" s="442" t="s">
        <v>6083</v>
      </c>
      <c r="P187" s="442"/>
      <c r="Q187" s="442"/>
      <c r="R187" s="442"/>
      <c r="S187" s="442"/>
      <c r="T187" s="442"/>
      <c r="U187" s="442"/>
      <c r="V187" s="442"/>
      <c r="W187" s="442"/>
      <c r="X187" s="442"/>
      <c r="Y187" s="442"/>
      <c r="Z187" s="442"/>
      <c r="AA187" s="442"/>
      <c r="AB187" s="442"/>
      <c r="AC187" s="442"/>
      <c r="AD187" s="442"/>
      <c r="AE187" s="442"/>
      <c r="AF187" s="442"/>
      <c r="AG187" s="442"/>
      <c r="AH187" s="442"/>
      <c r="AI187" s="442"/>
      <c r="AJ187" s="442"/>
      <c r="AK187" s="442"/>
      <c r="AL187" s="442"/>
      <c r="AM187" s="442"/>
      <c r="AN187" s="442"/>
    </row>
  </sheetData>
  <sheetProtection algorithmName="SHA-512" hashValue="XIUvXFz4EFeRQVZQdBGlrQzLWpNpGr0E+aq2EL6//rJESo40Xg+CDWhO3U0LihNJRZKVfYkxjx/7oKNSOKNQ9A==" saltValue="R4QFieQQ1gG2c0Vusdhkuw==" spinCount="100000" sheet="1" selectLockedCells="1" sort="0" autoFilter="0" selectUnlockedCells="1"/>
  <sortState xmlns:xlrd2="http://schemas.microsoft.com/office/spreadsheetml/2017/richdata2" ref="E5:BO71">
    <sortCondition ref="F5:F71"/>
  </sortState>
  <mergeCells count="12">
    <mergeCell ref="C2:G2"/>
    <mergeCell ref="C3:G3"/>
    <mergeCell ref="AG3:AH3"/>
    <mergeCell ref="AJ3:AN3"/>
    <mergeCell ref="Q3:U3"/>
    <mergeCell ref="Q2:AD2"/>
    <mergeCell ref="AE2:AN2"/>
    <mergeCell ref="V3:X3"/>
    <mergeCell ref="AC3:AD3"/>
    <mergeCell ref="AA3:AB3"/>
    <mergeCell ref="N3:O3"/>
    <mergeCell ref="M2:P2"/>
  </mergeCells>
  <phoneticPr fontId="33" type="noConversion"/>
  <conditionalFormatting sqref="F1:F1048576">
    <cfRule type="duplicateValues" dxfId="381" priority="1"/>
  </conditionalFormatting>
  <conditionalFormatting sqref="F4:F1048576">
    <cfRule type="duplicateValues" dxfId="380" priority="2"/>
  </conditionalFormatting>
  <printOptions horizontalCentered="1"/>
  <pageMargins left="0.11811023622047245" right="0.11811023622047245" top="0.15748031496062992" bottom="0.15748031496062992" header="0.31496062992125984" footer="0.31496062992125984"/>
  <pageSetup scale="31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O345"/>
  <sheetViews>
    <sheetView workbookViewId="0">
      <pane ySplit="4" topLeftCell="A260" activePane="bottomLeft" state="frozen"/>
      <selection activeCell="D4" sqref="D4"/>
      <selection pane="bottomLeft" sqref="A1:B1048576"/>
    </sheetView>
  </sheetViews>
  <sheetFormatPr defaultColWidth="8.81640625" defaultRowHeight="15.5" outlineLevelRow="1" outlineLevelCol="1"/>
  <cols>
    <col min="1" max="1" width="10.453125" style="78" hidden="1" customWidth="1" outlineLevel="1"/>
    <col min="2" max="2" width="12.26953125" style="152" hidden="1" customWidth="1" outlineLevel="1"/>
    <col min="3" max="3" width="13.1796875" style="59" hidden="1" customWidth="1"/>
    <col min="4" max="4" width="9.26953125" style="59" customWidth="1"/>
    <col min="5" max="5" width="9.26953125" style="73" customWidth="1"/>
    <col min="6" max="6" width="29" style="81" customWidth="1"/>
    <col min="7" max="7" width="9.1796875" style="73" customWidth="1"/>
    <col min="8" max="8" width="10.453125" style="269" hidden="1" customWidth="1"/>
    <col min="9" max="10" width="10.453125" style="59" customWidth="1"/>
    <col min="11" max="11" width="12.26953125" style="59" customWidth="1" outlineLevel="1"/>
    <col min="12" max="12" width="6.7265625" style="59" customWidth="1" outlineLevel="1"/>
    <col min="13" max="13" width="8.26953125" style="59" customWidth="1" outlineLevel="1"/>
    <col min="14" max="14" width="7.54296875" style="59" customWidth="1" outlineLevel="1"/>
    <col min="15" max="15" width="8.54296875" style="59" customWidth="1" outlineLevel="1"/>
    <col min="16" max="16" width="6.7265625" style="59" customWidth="1" outlineLevel="1"/>
    <col min="17" max="31" width="10.54296875" style="59" customWidth="1" outlineLevel="1"/>
    <col min="32" max="32" width="10.453125" style="59" customWidth="1" outlineLevel="1"/>
    <col min="33" max="33" width="11.453125" style="59" customWidth="1" outlineLevel="1"/>
    <col min="34" max="34" width="13" style="59" customWidth="1" outlineLevel="1"/>
    <col min="35" max="36" width="10.453125" style="59" customWidth="1" outlineLevel="1"/>
    <col min="37" max="37" width="8.7265625" style="59" customWidth="1" outlineLevel="1"/>
    <col min="38" max="38" width="8.81640625" style="59" customWidth="1" outlineLevel="1"/>
    <col min="39" max="39" width="7.7265625" style="59" customWidth="1" outlineLevel="1"/>
    <col min="40" max="40" width="8" style="59" customWidth="1" outlineLevel="1"/>
    <col min="41" max="41" width="6.26953125" style="59" customWidth="1" outlineLevel="1"/>
    <col min="42" max="16384" width="8.81640625" style="81"/>
  </cols>
  <sheetData>
    <row r="1" spans="1:41" ht="128.25" customHeight="1" thickBot="1">
      <c r="A1" s="262"/>
      <c r="B1" s="263"/>
      <c r="C1" s="238"/>
      <c r="D1" s="238"/>
      <c r="E1" s="238"/>
      <c r="F1" s="238"/>
      <c r="G1" s="259"/>
      <c r="H1" s="238"/>
      <c r="I1" s="238"/>
      <c r="J1" s="238"/>
      <c r="K1" s="238"/>
      <c r="L1" s="81"/>
      <c r="M1" s="81"/>
      <c r="N1" s="81"/>
      <c r="O1" s="81"/>
      <c r="P1" s="81"/>
      <c r="Q1" s="73"/>
      <c r="R1" s="81" t="s">
        <v>4722</v>
      </c>
      <c r="S1" s="81"/>
      <c r="T1" s="81"/>
      <c r="U1" s="81"/>
      <c r="V1" s="81"/>
      <c r="W1" s="81"/>
      <c r="X1" s="81"/>
      <c r="Y1" s="81"/>
      <c r="Z1" s="81"/>
      <c r="AA1" s="81"/>
      <c r="AB1" s="81"/>
      <c r="AC1" s="73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</row>
    <row r="2" spans="1:41" ht="25" thickBot="1">
      <c r="A2" s="82" t="s">
        <v>4722</v>
      </c>
      <c r="B2" s="82"/>
      <c r="C2" s="1205">
        <f>Tournaments!F3</f>
        <v>46113</v>
      </c>
      <c r="D2" s="1205"/>
      <c r="E2" s="1205"/>
      <c r="F2" s="1205"/>
      <c r="G2" s="1205"/>
      <c r="H2" s="94"/>
      <c r="I2" s="823"/>
      <c r="J2" s="823"/>
      <c r="K2" s="91"/>
      <c r="L2" s="91"/>
      <c r="M2" s="1208">
        <v>2026</v>
      </c>
      <c r="N2" s="1210"/>
      <c r="O2" s="1210"/>
      <c r="P2" s="1211"/>
      <c r="Q2" s="1208">
        <v>2025</v>
      </c>
      <c r="R2" s="1209"/>
      <c r="S2" s="1209"/>
      <c r="T2" s="1209"/>
      <c r="U2" s="1209"/>
      <c r="V2" s="1209"/>
      <c r="W2" s="1209"/>
      <c r="X2" s="1210"/>
      <c r="Y2" s="1209"/>
      <c r="Z2" s="1209"/>
      <c r="AA2" s="1209"/>
      <c r="AB2" s="1209"/>
      <c r="AC2" s="1209"/>
      <c r="AD2" s="1209"/>
      <c r="AE2" s="1211"/>
      <c r="AF2" s="1200">
        <v>2024</v>
      </c>
      <c r="AG2" s="1200"/>
      <c r="AH2" s="1200"/>
      <c r="AI2" s="1200"/>
      <c r="AJ2" s="1200"/>
      <c r="AK2" s="1200"/>
      <c r="AL2" s="1200"/>
      <c r="AM2" s="1200"/>
      <c r="AN2" s="1200"/>
      <c r="AO2" s="1200"/>
    </row>
    <row r="3" spans="1:41" ht="20.5" customHeight="1" thickBot="1">
      <c r="A3" s="70" t="s">
        <v>4722</v>
      </c>
      <c r="B3" s="70"/>
      <c r="C3" s="1199" t="s">
        <v>4937</v>
      </c>
      <c r="D3" s="1199"/>
      <c r="E3" s="1199"/>
      <c r="F3" s="1199"/>
      <c r="G3" s="1199"/>
      <c r="H3" s="1199"/>
      <c r="I3" s="824"/>
      <c r="J3" s="824"/>
      <c r="K3" s="91"/>
      <c r="L3" s="91"/>
      <c r="M3" s="980" t="s">
        <v>3453</v>
      </c>
      <c r="N3" s="1212" t="s">
        <v>2406</v>
      </c>
      <c r="O3" s="1213"/>
      <c r="P3" s="829" t="s">
        <v>1914</v>
      </c>
      <c r="Q3" s="1202" t="s">
        <v>2406</v>
      </c>
      <c r="R3" s="1202"/>
      <c r="S3" s="1203"/>
      <c r="T3" s="1203"/>
      <c r="U3" s="1202"/>
      <c r="V3" s="1206" t="s">
        <v>251</v>
      </c>
      <c r="W3" s="1207"/>
      <c r="X3" s="783" t="s">
        <v>3750</v>
      </c>
      <c r="Y3" s="291" t="s">
        <v>4658</v>
      </c>
      <c r="Z3" s="703" t="s">
        <v>3452</v>
      </c>
      <c r="AA3" s="1202" t="s">
        <v>3453</v>
      </c>
      <c r="AB3" s="1204"/>
      <c r="AC3" s="1202"/>
      <c r="AD3" s="1206" t="s">
        <v>1914</v>
      </c>
      <c r="AE3" s="1207"/>
      <c r="AF3" s="1201" t="s">
        <v>2406</v>
      </c>
      <c r="AG3" s="1201"/>
      <c r="AH3" s="1201" t="s">
        <v>1914</v>
      </c>
      <c r="AI3" s="1201"/>
      <c r="AJ3" s="271" t="s">
        <v>3452</v>
      </c>
      <c r="AK3" s="1201" t="s">
        <v>3453</v>
      </c>
      <c r="AL3" s="1201"/>
      <c r="AM3" s="1201"/>
      <c r="AN3" s="1201"/>
      <c r="AO3" s="1201"/>
    </row>
    <row r="4" spans="1:41" ht="53.5" customHeight="1" outlineLevel="1" thickBot="1">
      <c r="A4" s="241" t="s">
        <v>3279</v>
      </c>
      <c r="B4" s="246" t="s">
        <v>3751</v>
      </c>
      <c r="C4" s="272" t="s">
        <v>3874</v>
      </c>
      <c r="D4" s="272" t="s">
        <v>80</v>
      </c>
      <c r="E4" s="272" t="s">
        <v>113</v>
      </c>
      <c r="F4" s="273" t="s">
        <v>3076</v>
      </c>
      <c r="G4" s="274" t="s">
        <v>3455</v>
      </c>
      <c r="H4" s="272" t="s">
        <v>4238</v>
      </c>
      <c r="I4" s="825" t="s">
        <v>4930</v>
      </c>
      <c r="J4" s="825" t="s">
        <v>6139</v>
      </c>
      <c r="K4" s="272" t="s">
        <v>219</v>
      </c>
      <c r="L4" s="272" t="s">
        <v>220</v>
      </c>
      <c r="M4" s="1008" t="s">
        <v>6209</v>
      </c>
      <c r="N4" s="275" t="s">
        <v>6155</v>
      </c>
      <c r="O4" s="275" t="s">
        <v>6157</v>
      </c>
      <c r="P4" s="275" t="s">
        <v>6152</v>
      </c>
      <c r="Q4" s="275" t="s">
        <v>6146</v>
      </c>
      <c r="R4" s="275" t="s">
        <v>5333</v>
      </c>
      <c r="S4" s="314" t="s">
        <v>5650</v>
      </c>
      <c r="T4" s="314" t="s">
        <v>5695</v>
      </c>
      <c r="U4" s="275" t="s">
        <v>5023</v>
      </c>
      <c r="V4" s="314" t="s">
        <v>5642</v>
      </c>
      <c r="W4" s="275" t="s">
        <v>5219</v>
      </c>
      <c r="X4" s="729" t="s">
        <v>6125</v>
      </c>
      <c r="Y4" s="275" t="s">
        <v>5504</v>
      </c>
      <c r="Z4" s="674" t="s">
        <v>6068</v>
      </c>
      <c r="AA4" s="275" t="s">
        <v>5397</v>
      </c>
      <c r="AB4" s="411" t="s">
        <v>5786</v>
      </c>
      <c r="AC4" s="275" t="s">
        <v>5396</v>
      </c>
      <c r="AD4" s="314" t="s">
        <v>5588</v>
      </c>
      <c r="AE4" s="275" t="s">
        <v>5398</v>
      </c>
      <c r="AF4" s="275" t="s">
        <v>4936</v>
      </c>
      <c r="AG4" s="275" t="s">
        <v>4863</v>
      </c>
      <c r="AH4" s="275" t="s">
        <v>4864</v>
      </c>
      <c r="AI4" s="275" t="s">
        <v>4329</v>
      </c>
      <c r="AJ4" s="272" t="s">
        <v>4845</v>
      </c>
      <c r="AK4" s="272" t="s">
        <v>4849</v>
      </c>
      <c r="AL4" s="275" t="s">
        <v>4509</v>
      </c>
      <c r="AM4" s="275" t="s">
        <v>4724</v>
      </c>
      <c r="AN4" s="275" t="s">
        <v>4326</v>
      </c>
      <c r="AO4" s="704" t="s">
        <v>4328</v>
      </c>
    </row>
    <row r="5" spans="1:41" s="83" customFormat="1">
      <c r="A5" s="106" t="str">
        <f>IFERROR(VLOOKUP(Table6[[#This Row],[Player No]],Table10[[#All],[No]:[Age Group]],4,0),"")</f>
        <v>U15</v>
      </c>
      <c r="B5" s="782">
        <v>1</v>
      </c>
      <c r="C5" s="77">
        <f t="shared" ref="C5:C10" si="0">+B5-D5</f>
        <v>0</v>
      </c>
      <c r="D5" s="63">
        <v>1</v>
      </c>
      <c r="E5" s="63">
        <v>2561</v>
      </c>
      <c r="F5" s="64" t="str">
        <f>IFERROR(VLOOKUP(Table6[[#This Row],[Player No]],Table10[[No]:[Province]],2,0),"")</f>
        <v>SCHOLTZ Ruan</v>
      </c>
      <c r="G5" s="65" t="str">
        <f>IFERROR(VLOOKUP(Table6[[#This Row],[Player No]],Table10[[No]:[Province]],3,0),"")</f>
        <v>GN</v>
      </c>
      <c r="H5" s="66">
        <v>802.5</v>
      </c>
      <c r="I5" s="644">
        <v>701.25</v>
      </c>
      <c r="J5" s="819">
        <f>Table6[[#This Row],[Points 2025]]/2+SUM(Table6[[#This Row],[O1  ADMIN 2026]:[P2                           CT Open    2026]])</f>
        <v>350.625</v>
      </c>
      <c r="K5" s="63">
        <f t="shared" ref="K5:K68" si="1">COUNTIF(M5:P5,"&gt;0")</f>
        <v>0</v>
      </c>
      <c r="L5" s="63">
        <f>COUNTIF(N5:AO5,"&lt;0")</f>
        <v>0</v>
      </c>
      <c r="M5" s="708"/>
      <c r="N5" s="708" t="s">
        <v>6083</v>
      </c>
      <c r="O5" s="708" t="s">
        <v>6083</v>
      </c>
      <c r="P5" s="708"/>
      <c r="Q5" s="63">
        <v>150</v>
      </c>
      <c r="R5" s="63"/>
      <c r="S5" s="114"/>
      <c r="T5" s="114"/>
      <c r="U5" s="63"/>
      <c r="V5" s="114"/>
      <c r="W5" s="63"/>
      <c r="X5" s="708"/>
      <c r="Y5" s="63"/>
      <c r="Z5" s="636"/>
      <c r="AA5" s="63">
        <v>50</v>
      </c>
      <c r="AB5" s="400"/>
      <c r="AC5" s="63">
        <v>100</v>
      </c>
      <c r="AD5" s="114"/>
      <c r="AE5" s="63"/>
      <c r="AF5" s="63">
        <v>150</v>
      </c>
      <c r="AG5" s="63">
        <v>50</v>
      </c>
      <c r="AH5" s="63"/>
      <c r="AI5" s="63"/>
      <c r="AJ5" s="63">
        <v>175</v>
      </c>
      <c r="AK5" s="63">
        <v>50</v>
      </c>
      <c r="AL5" s="63"/>
      <c r="AM5" s="63">
        <f>150-150</f>
        <v>0</v>
      </c>
      <c r="AN5" s="63">
        <v>100</v>
      </c>
      <c r="AO5" s="127"/>
    </row>
    <row r="6" spans="1:41" s="83" customFormat="1">
      <c r="A6" s="63" t="str">
        <f>IFERROR(VLOOKUP(Table6[[#This Row],[Player No]],Table10[[#All],[No]:[Age Group]],4,0),"")</f>
        <v>U15</v>
      </c>
      <c r="B6" s="264">
        <v>6</v>
      </c>
      <c r="C6" s="77">
        <f t="shared" si="0"/>
        <v>4</v>
      </c>
      <c r="D6" s="63">
        <f>+D5+1</f>
        <v>2</v>
      </c>
      <c r="E6" s="63">
        <v>3476</v>
      </c>
      <c r="F6" s="64" t="str">
        <f>IFERROR(VLOOKUP(Table6[[#This Row],[Player No]],Table10[[No]:[Province]],2,0),"")</f>
        <v>BESTER Rupie</v>
      </c>
      <c r="G6" s="65" t="str">
        <f>IFERROR(VLOOKUP(Table6[[#This Row],[Player No]],Table10[[No]:[Province]],3,0),"")</f>
        <v>FS</v>
      </c>
      <c r="H6" s="66">
        <v>212.5</v>
      </c>
      <c r="I6" s="644">
        <v>556.25</v>
      </c>
      <c r="J6" s="819">
        <f>Table6[[#This Row],[Points 2025]]/2+SUM(Table6[[#This Row],[O1  ADMIN 2026]:[P2                           CT Open    2026]])</f>
        <v>278.125</v>
      </c>
      <c r="K6" s="63">
        <f t="shared" si="1"/>
        <v>0</v>
      </c>
      <c r="L6" s="63">
        <f>COUNTIF(Q6:AE6,"&lt;0")</f>
        <v>0</v>
      </c>
      <c r="M6" s="708"/>
      <c r="N6" s="708" t="s">
        <v>6083</v>
      </c>
      <c r="O6" s="708" t="s">
        <v>6083</v>
      </c>
      <c r="P6" s="708"/>
      <c r="Q6" s="63">
        <v>100</v>
      </c>
      <c r="R6" s="63"/>
      <c r="S6" s="114"/>
      <c r="T6" s="114"/>
      <c r="U6" s="63"/>
      <c r="V6" s="114">
        <v>100</v>
      </c>
      <c r="W6" s="63">
        <v>25</v>
      </c>
      <c r="X6" s="708"/>
      <c r="Y6" s="63"/>
      <c r="Z6" s="636">
        <v>175</v>
      </c>
      <c r="AA6" s="63"/>
      <c r="AB6" s="400"/>
      <c r="AC6" s="63">
        <v>50</v>
      </c>
      <c r="AD6" s="114"/>
      <c r="AE6" s="63"/>
      <c r="AF6" s="63"/>
      <c r="AG6" s="63"/>
      <c r="AH6" s="63"/>
      <c r="AI6" s="63"/>
      <c r="AJ6" s="63">
        <v>75</v>
      </c>
      <c r="AK6" s="63"/>
      <c r="AL6" s="63"/>
      <c r="AM6" s="63"/>
      <c r="AN6" s="63">
        <v>50</v>
      </c>
      <c r="AO6" s="127"/>
    </row>
    <row r="7" spans="1:41" s="83" customFormat="1">
      <c r="A7" s="63" t="str">
        <f>IFERROR(VLOOKUP(Table6[[#This Row],[Player No]],Table10[[#All],[No]:[Age Group]],4,0),"")</f>
        <v>U15</v>
      </c>
      <c r="B7" s="264">
        <v>11</v>
      </c>
      <c r="C7" s="77">
        <f t="shared" si="0"/>
        <v>8</v>
      </c>
      <c r="D7" s="63">
        <f t="shared" ref="D7:D70" si="2">+D6+1</f>
        <v>3</v>
      </c>
      <c r="E7" s="63">
        <v>3044</v>
      </c>
      <c r="F7" s="64" t="str">
        <f>IFERROR(VLOOKUP(Table6[[#This Row],[Player No]],Table10[[No]:[Province]],2,0),"")</f>
        <v>BROWN Wayden</v>
      </c>
      <c r="G7" s="65" t="str">
        <f>IFERROR(VLOOKUP(Table6[[#This Row],[Player No]],Table10[[No]:[Province]],3,0),"")</f>
        <v>CT</v>
      </c>
      <c r="H7" s="66">
        <v>213.125</v>
      </c>
      <c r="I7" s="644">
        <v>531.5625</v>
      </c>
      <c r="J7" s="819">
        <f>Table6[[#This Row],[Points 2025]]/2+SUM(Table6[[#This Row],[O1  ADMIN 2026]:[P2                           CT Open    2026]])</f>
        <v>265.78125</v>
      </c>
      <c r="K7" s="63">
        <f t="shared" si="1"/>
        <v>0</v>
      </c>
      <c r="L7" s="63">
        <f t="shared" ref="L7:L38" si="3">COUNTIF(N7:AO7,"&lt;0")</f>
        <v>0</v>
      </c>
      <c r="M7" s="708"/>
      <c r="N7" s="708" t="s">
        <v>6083</v>
      </c>
      <c r="O7" s="708" t="s">
        <v>6083</v>
      </c>
      <c r="P7" s="708"/>
      <c r="Q7" s="63"/>
      <c r="R7" s="63"/>
      <c r="S7" s="114"/>
      <c r="T7" s="114"/>
      <c r="U7" s="63"/>
      <c r="V7" s="114"/>
      <c r="W7" s="63"/>
      <c r="X7" s="708"/>
      <c r="Y7" s="63"/>
      <c r="Z7" s="636">
        <v>250</v>
      </c>
      <c r="AA7" s="63"/>
      <c r="AB7" s="400"/>
      <c r="AC7" s="63"/>
      <c r="AD7" s="114">
        <v>25</v>
      </c>
      <c r="AE7" s="63">
        <v>150</v>
      </c>
      <c r="AF7" s="63"/>
      <c r="AG7" s="63"/>
      <c r="AH7" s="63">
        <v>50</v>
      </c>
      <c r="AI7" s="63"/>
      <c r="AJ7" s="63">
        <v>50</v>
      </c>
      <c r="AK7" s="63"/>
      <c r="AL7" s="63"/>
      <c r="AM7" s="63"/>
      <c r="AN7" s="63"/>
      <c r="AO7" s="127"/>
    </row>
    <row r="8" spans="1:41" s="83" customFormat="1">
      <c r="A8" s="63">
        <f>IFERROR(VLOOKUP(Table6[[#This Row],[Player No]],Table10[[#All],[No]:[Age Group]],4,0),"")</f>
        <v>0</v>
      </c>
      <c r="B8" s="264">
        <v>3</v>
      </c>
      <c r="C8" s="77">
        <f t="shared" si="0"/>
        <v>-1</v>
      </c>
      <c r="D8" s="63">
        <f t="shared" si="2"/>
        <v>4</v>
      </c>
      <c r="E8" s="63">
        <v>1578</v>
      </c>
      <c r="F8" s="64" t="str">
        <f>IFERROR(VLOOKUP(Table6[[#This Row],[Player No]],Table10[[No]:[Province]],2,0),"")</f>
        <v>SALIE Benyamin</v>
      </c>
      <c r="G8" s="65" t="str">
        <f>IFERROR(VLOOKUP(Table6[[#This Row],[Player No]],Table10[[No]:[Province]],3,0),"")</f>
        <v>GN</v>
      </c>
      <c r="H8" s="66">
        <v>347.5</v>
      </c>
      <c r="I8" s="644">
        <v>393.75</v>
      </c>
      <c r="J8" s="819">
        <f>Table6[[#This Row],[Points 2025]]/2+SUM(Table6[[#This Row],[O1  ADMIN 2026]:[P2                           CT Open    2026]])</f>
        <v>196.875</v>
      </c>
      <c r="K8" s="63">
        <f t="shared" si="1"/>
        <v>0</v>
      </c>
      <c r="L8" s="63">
        <f t="shared" si="3"/>
        <v>0</v>
      </c>
      <c r="M8" s="708"/>
      <c r="N8" s="708" t="s">
        <v>6083</v>
      </c>
      <c r="O8" s="708" t="s">
        <v>6083</v>
      </c>
      <c r="P8" s="708"/>
      <c r="Q8" s="63"/>
      <c r="R8" s="63"/>
      <c r="S8" s="114"/>
      <c r="T8" s="114"/>
      <c r="U8" s="63"/>
      <c r="V8" s="114"/>
      <c r="W8" s="63"/>
      <c r="X8" s="708"/>
      <c r="Y8" s="63"/>
      <c r="Z8" s="636">
        <v>75</v>
      </c>
      <c r="AA8" s="63">
        <v>35</v>
      </c>
      <c r="AB8" s="400">
        <v>35</v>
      </c>
      <c r="AC8" s="63">
        <v>75</v>
      </c>
      <c r="AD8" s="114"/>
      <c r="AE8" s="63"/>
      <c r="AF8" s="63"/>
      <c r="AG8" s="63"/>
      <c r="AH8" s="63"/>
      <c r="AI8" s="63"/>
      <c r="AJ8" s="63">
        <v>125</v>
      </c>
      <c r="AK8" s="63">
        <v>35</v>
      </c>
      <c r="AL8" s="63"/>
      <c r="AM8" s="63">
        <v>25</v>
      </c>
      <c r="AN8" s="63">
        <v>25</v>
      </c>
      <c r="AO8" s="127">
        <v>25</v>
      </c>
    </row>
    <row r="9" spans="1:41" s="83" customFormat="1">
      <c r="A9" s="63">
        <f>IFERROR(VLOOKUP(Table6[[#This Row],[Player No]],Table10[[#All],[No]:[Age Group]],4,0),"")</f>
        <v>0</v>
      </c>
      <c r="B9" s="264">
        <v>12</v>
      </c>
      <c r="C9" s="77">
        <f t="shared" si="0"/>
        <v>7</v>
      </c>
      <c r="D9" s="63">
        <f t="shared" si="2"/>
        <v>5</v>
      </c>
      <c r="E9" s="63">
        <v>2099</v>
      </c>
      <c r="F9" s="64" t="str">
        <f>IFERROR(VLOOKUP(Table6[[#This Row],[Player No]],Table10[[No]:[Province]],2,0),"")</f>
        <v>MOODLEY Saiyin</v>
      </c>
      <c r="G9" s="65" t="str">
        <f>IFERROR(VLOOKUP(Table6[[#This Row],[Player No]],Table10[[No]:[Province]],3,0),"")</f>
        <v>UMG</v>
      </c>
      <c r="H9" s="66">
        <v>129.0625</v>
      </c>
      <c r="I9" s="644">
        <v>389.53125</v>
      </c>
      <c r="J9" s="819">
        <f>Table6[[#This Row],[Points 2025]]/2+SUM(Table6[[#This Row],[O1  ADMIN 2026]:[P2                           CT Open    2026]])</f>
        <v>194.765625</v>
      </c>
      <c r="K9" s="63">
        <f t="shared" si="1"/>
        <v>0</v>
      </c>
      <c r="L9" s="63">
        <f t="shared" si="3"/>
        <v>0</v>
      </c>
      <c r="M9" s="708"/>
      <c r="N9" s="708" t="s">
        <v>6083</v>
      </c>
      <c r="O9" s="708" t="s">
        <v>6083</v>
      </c>
      <c r="P9" s="708"/>
      <c r="Q9" s="63">
        <v>75</v>
      </c>
      <c r="R9" s="63">
        <v>50</v>
      </c>
      <c r="S9" s="114">
        <v>50</v>
      </c>
      <c r="T9" s="114">
        <v>75</v>
      </c>
      <c r="U9" s="63">
        <v>50</v>
      </c>
      <c r="V9" s="114"/>
      <c r="W9" s="63"/>
      <c r="X9" s="708"/>
      <c r="Y9" s="63"/>
      <c r="Z9" s="636">
        <v>25</v>
      </c>
      <c r="AA9" s="63"/>
      <c r="AB9" s="400"/>
      <c r="AC9" s="63"/>
      <c r="AD9" s="114"/>
      <c r="AE9" s="63"/>
      <c r="AF9" s="63">
        <v>50</v>
      </c>
      <c r="AG9" s="63">
        <v>15</v>
      </c>
      <c r="AH9" s="63"/>
      <c r="AI9" s="63"/>
      <c r="AJ9" s="63">
        <v>25</v>
      </c>
      <c r="AK9" s="63"/>
      <c r="AL9" s="63"/>
      <c r="AM9" s="63">
        <f>50-50</f>
        <v>0</v>
      </c>
      <c r="AN9" s="63"/>
      <c r="AO9" s="127"/>
    </row>
    <row r="10" spans="1:41" s="83" customFormat="1">
      <c r="A10" s="63" t="str">
        <f>IFERROR(VLOOKUP(Table6[[#This Row],[Player No]],Table10[[#All],[No]:[Age Group]],4,0),"")</f>
        <v>U15</v>
      </c>
      <c r="B10" s="264">
        <v>26</v>
      </c>
      <c r="C10" s="77">
        <f t="shared" si="0"/>
        <v>20</v>
      </c>
      <c r="D10" s="63">
        <f t="shared" si="2"/>
        <v>6</v>
      </c>
      <c r="E10" s="63">
        <v>3216</v>
      </c>
      <c r="F10" s="64" t="str">
        <f>IFERROR(VLOOKUP(Table6[[#This Row],[Player No]],Table10[[No]:[Province]],2,0),"")</f>
        <v>ABRAHAMS Asher Eli</v>
      </c>
      <c r="G10" s="65" t="str">
        <f>IFERROR(VLOOKUP(Table6[[#This Row],[Player No]],Table10[[No]:[Province]],3,0),"")</f>
        <v>JTTA</v>
      </c>
      <c r="H10" s="66">
        <v>115</v>
      </c>
      <c r="I10" s="644">
        <v>357.5</v>
      </c>
      <c r="J10" s="819">
        <f>Table6[[#This Row],[Points 2025]]/2+SUM(Table6[[#This Row],[O1  ADMIN 2026]:[P2                           CT Open    2026]])</f>
        <v>178.75</v>
      </c>
      <c r="K10" s="63">
        <f t="shared" si="1"/>
        <v>0</v>
      </c>
      <c r="L10" s="63">
        <f t="shared" si="3"/>
        <v>0</v>
      </c>
      <c r="M10" s="708"/>
      <c r="N10" s="708" t="s">
        <v>6083</v>
      </c>
      <c r="O10" s="708" t="s">
        <v>6083</v>
      </c>
      <c r="P10" s="708"/>
      <c r="Q10" s="63">
        <v>50</v>
      </c>
      <c r="R10" s="63"/>
      <c r="S10" s="114"/>
      <c r="T10" s="114"/>
      <c r="U10" s="63"/>
      <c r="V10" s="114">
        <v>75</v>
      </c>
      <c r="W10" s="63"/>
      <c r="X10" s="708"/>
      <c r="Y10" s="63"/>
      <c r="Z10" s="636">
        <v>50</v>
      </c>
      <c r="AA10" s="63">
        <v>25</v>
      </c>
      <c r="AB10" s="400">
        <v>75</v>
      </c>
      <c r="AC10" s="63">
        <v>25</v>
      </c>
      <c r="AD10" s="114"/>
      <c r="AE10" s="63"/>
      <c r="AF10" s="63"/>
      <c r="AG10" s="63"/>
      <c r="AH10" s="63"/>
      <c r="AI10" s="63"/>
      <c r="AJ10" s="63">
        <v>50</v>
      </c>
      <c r="AK10" s="63">
        <v>25</v>
      </c>
      <c r="AL10" s="63"/>
      <c r="AM10" s="63">
        <v>15</v>
      </c>
      <c r="AN10" s="63"/>
      <c r="AO10" s="127">
        <v>25</v>
      </c>
    </row>
    <row r="11" spans="1:41" s="83" customFormat="1">
      <c r="A11" s="63">
        <f>IFERROR(VLOOKUP(Table6[[#This Row],[Player No]],Table10[[#All],[No]:[Age Group]],4,0),"")</f>
        <v>0</v>
      </c>
      <c r="B11" s="264"/>
      <c r="C11" s="77"/>
      <c r="D11" s="63">
        <f t="shared" si="2"/>
        <v>7</v>
      </c>
      <c r="E11" s="63">
        <v>3876</v>
      </c>
      <c r="F11" s="64" t="str">
        <f>IFERROR(VLOOKUP(Table6[[#This Row],[Player No]],Table10[[No]:[Province]],2,0),"")</f>
        <v>PATEL Umair</v>
      </c>
      <c r="G11" s="65" t="str">
        <f>IFERROR(VLOOKUP(Table6[[#This Row],[Player No]],Table10[[No]:[Province]],3,0),"")</f>
        <v>UMG</v>
      </c>
      <c r="H11" s="66">
        <v>10</v>
      </c>
      <c r="I11" s="644">
        <v>157</v>
      </c>
      <c r="J11" s="819">
        <f>Table6[[#This Row],[Points 2025]]/2+SUM(Table6[[#This Row],[O1  ADMIN 2026]:[P2                           CT Open    2026]])</f>
        <v>178.5</v>
      </c>
      <c r="K11" s="63">
        <f t="shared" si="1"/>
        <v>2</v>
      </c>
      <c r="L11" s="63">
        <f t="shared" si="3"/>
        <v>0</v>
      </c>
      <c r="M11" s="708"/>
      <c r="N11" s="708">
        <v>50</v>
      </c>
      <c r="O11" s="708">
        <v>50</v>
      </c>
      <c r="P11" s="708"/>
      <c r="Q11" s="63">
        <v>25</v>
      </c>
      <c r="R11" s="63">
        <v>35</v>
      </c>
      <c r="S11" s="114"/>
      <c r="T11" s="114">
        <v>15</v>
      </c>
      <c r="U11" s="63">
        <v>15</v>
      </c>
      <c r="V11" s="114"/>
      <c r="W11" s="63"/>
      <c r="X11" s="708"/>
      <c r="Y11" s="63"/>
      <c r="Z11" s="636">
        <v>25</v>
      </c>
      <c r="AA11" s="63"/>
      <c r="AB11" s="400">
        <v>12</v>
      </c>
      <c r="AC11" s="63"/>
      <c r="AD11" s="114"/>
      <c r="AE11" s="63">
        <v>25</v>
      </c>
      <c r="AF11" s="63"/>
      <c r="AG11" s="63"/>
      <c r="AH11" s="63"/>
      <c r="AI11" s="63"/>
      <c r="AJ11" s="63">
        <v>10</v>
      </c>
      <c r="AK11" s="63"/>
      <c r="AL11" s="63"/>
      <c r="AM11" s="63"/>
      <c r="AN11" s="63"/>
      <c r="AO11" s="127"/>
    </row>
    <row r="12" spans="1:41" s="83" customFormat="1" ht="16.5" customHeight="1">
      <c r="A12" s="63">
        <f>IFERROR(VLOOKUP(Table6[[#This Row],[Player No]],Table10[[#All],[No]:[Age Group]],4,0),"")</f>
        <v>0</v>
      </c>
      <c r="B12" s="264">
        <v>152</v>
      </c>
      <c r="C12" s="77">
        <f>+B12-D12</f>
        <v>144</v>
      </c>
      <c r="D12" s="63">
        <f t="shared" si="2"/>
        <v>8</v>
      </c>
      <c r="E12" s="63">
        <v>3844</v>
      </c>
      <c r="F12" s="64" t="str">
        <f>IFERROR(VLOOKUP(Table6[[#This Row],[Player No]],Table10[[No]:[Province]],2,0),"")</f>
        <v>PILLAY Keval</v>
      </c>
      <c r="G12" s="65" t="str">
        <f>IFERROR(VLOOKUP(Table6[[#This Row],[Player No]],Table10[[No]:[Province]],3,0),"")</f>
        <v>UMG</v>
      </c>
      <c r="H12" s="66">
        <v>6</v>
      </c>
      <c r="I12" s="644">
        <v>153</v>
      </c>
      <c r="J12" s="819">
        <f>Table6[[#This Row],[Points 2025]]/2+SUM(Table6[[#This Row],[O1  ADMIN 2026]:[P2                           CT Open    2026]])</f>
        <v>146.5</v>
      </c>
      <c r="K12" s="63">
        <f t="shared" si="1"/>
        <v>2</v>
      </c>
      <c r="L12" s="63">
        <f t="shared" si="3"/>
        <v>0</v>
      </c>
      <c r="M12" s="708"/>
      <c r="N12" s="708">
        <v>35</v>
      </c>
      <c r="O12" s="708">
        <v>35</v>
      </c>
      <c r="P12" s="708"/>
      <c r="Q12" s="63">
        <v>25</v>
      </c>
      <c r="R12" s="63">
        <v>25</v>
      </c>
      <c r="S12" s="114">
        <v>15</v>
      </c>
      <c r="T12" s="114">
        <v>25</v>
      </c>
      <c r="U12" s="63">
        <v>10</v>
      </c>
      <c r="V12" s="114"/>
      <c r="W12" s="63"/>
      <c r="X12" s="708"/>
      <c r="Y12" s="63"/>
      <c r="Z12" s="636">
        <v>50</v>
      </c>
      <c r="AA12" s="63"/>
      <c r="AB12" s="400"/>
      <c r="AC12" s="63"/>
      <c r="AD12" s="114"/>
      <c r="AE12" s="63"/>
      <c r="AF12" s="63"/>
      <c r="AG12" s="63"/>
      <c r="AH12" s="63"/>
      <c r="AI12" s="63"/>
      <c r="AJ12" s="63">
        <v>5</v>
      </c>
      <c r="AK12" s="63"/>
      <c r="AL12" s="63"/>
      <c r="AM12" s="63"/>
      <c r="AN12" s="63">
        <v>1</v>
      </c>
      <c r="AO12" s="127"/>
    </row>
    <row r="13" spans="1:41" s="83" customFormat="1">
      <c r="A13" s="63" t="str">
        <f>IFERROR(VLOOKUP(Table6[[#This Row],[Player No]],Table10[[#All],[No]:[Age Group]],4,0),"")</f>
        <v>U15</v>
      </c>
      <c r="B13" s="264">
        <v>18</v>
      </c>
      <c r="C13" s="77">
        <f>+B13-D13</f>
        <v>9</v>
      </c>
      <c r="D13" s="63">
        <f t="shared" si="2"/>
        <v>9</v>
      </c>
      <c r="E13" s="63">
        <v>3301</v>
      </c>
      <c r="F13" s="64" t="str">
        <f>IFERROR(VLOOKUP(Table6[[#This Row],[Player No]],Table10[[No]:[Province]],2,0),"")</f>
        <v>PADAYACHEE Larushen</v>
      </c>
      <c r="G13" s="65" t="str">
        <f>IFERROR(VLOOKUP(Table6[[#This Row],[Player No]],Table10[[No]:[Province]],3,0),"")</f>
        <v>JTTA</v>
      </c>
      <c r="H13" s="66">
        <v>124.25</v>
      </c>
      <c r="I13" s="644">
        <v>282.125</v>
      </c>
      <c r="J13" s="819">
        <f>Table6[[#This Row],[Points 2025]]/2+SUM(Table6[[#This Row],[O1  ADMIN 2026]:[P2                           CT Open    2026]])</f>
        <v>141.0625</v>
      </c>
      <c r="K13" s="63">
        <f t="shared" si="1"/>
        <v>0</v>
      </c>
      <c r="L13" s="63">
        <f t="shared" si="3"/>
        <v>0</v>
      </c>
      <c r="M13" s="708"/>
      <c r="N13" s="708" t="s">
        <v>6083</v>
      </c>
      <c r="O13" s="708" t="s">
        <v>6083</v>
      </c>
      <c r="P13" s="708"/>
      <c r="Q13" s="63">
        <v>50</v>
      </c>
      <c r="R13" s="63"/>
      <c r="S13" s="114"/>
      <c r="T13" s="114"/>
      <c r="U13" s="63"/>
      <c r="V13" s="114"/>
      <c r="W13" s="63"/>
      <c r="X13" s="708"/>
      <c r="Y13" s="63">
        <v>50</v>
      </c>
      <c r="Z13" s="636">
        <v>25</v>
      </c>
      <c r="AA13" s="63">
        <v>25</v>
      </c>
      <c r="AB13" s="400">
        <v>20</v>
      </c>
      <c r="AC13" s="63">
        <v>50</v>
      </c>
      <c r="AD13" s="114"/>
      <c r="AE13" s="63"/>
      <c r="AF13" s="63"/>
      <c r="AG13" s="63"/>
      <c r="AH13" s="63"/>
      <c r="AI13" s="63"/>
      <c r="AJ13" s="63">
        <v>25</v>
      </c>
      <c r="AK13" s="63">
        <v>10</v>
      </c>
      <c r="AL13" s="63"/>
      <c r="AM13" s="63">
        <v>25</v>
      </c>
      <c r="AN13" s="63">
        <v>15</v>
      </c>
      <c r="AO13" s="127">
        <v>15</v>
      </c>
    </row>
    <row r="14" spans="1:41" s="83" customFormat="1">
      <c r="A14" s="63" t="str">
        <f>IFERROR(VLOOKUP(Table6[[#This Row],[Player No]],Table10[[#All],[No]:[Age Group]],4,0),"")</f>
        <v>U13</v>
      </c>
      <c r="B14" s="264">
        <v>97</v>
      </c>
      <c r="C14" s="77">
        <f>+B14-D14</f>
        <v>87</v>
      </c>
      <c r="D14" s="63">
        <f t="shared" si="2"/>
        <v>10</v>
      </c>
      <c r="E14" s="63">
        <v>2288</v>
      </c>
      <c r="F14" s="64" t="str">
        <f>IFERROR(VLOOKUP(Table6[[#This Row],[Player No]],Table10[[No]:[Province]],2,0),"")</f>
        <v>DOMINGO Adam</v>
      </c>
      <c r="G14" s="65" t="str">
        <f>IFERROR(VLOOKUP(Table6[[#This Row],[Player No]],Table10[[No]:[Province]],3,0),"")</f>
        <v>CT</v>
      </c>
      <c r="H14" s="66">
        <v>206.375</v>
      </c>
      <c r="I14" s="644">
        <v>265.6875</v>
      </c>
      <c r="J14" s="819">
        <f>Table6[[#This Row],[Points 2025]]/2+SUM(Table6[[#This Row],[O1  ADMIN 2026]:[P2                           CT Open    2026]])</f>
        <v>132.84375</v>
      </c>
      <c r="K14" s="63">
        <f t="shared" si="1"/>
        <v>0</v>
      </c>
      <c r="L14" s="63">
        <f t="shared" si="3"/>
        <v>0</v>
      </c>
      <c r="M14" s="708"/>
      <c r="N14" s="708" t="s">
        <v>6083</v>
      </c>
      <c r="O14" s="708" t="s">
        <v>6083</v>
      </c>
      <c r="P14" s="708"/>
      <c r="Q14" s="63" t="s">
        <v>4722</v>
      </c>
      <c r="R14" s="63"/>
      <c r="S14" s="114"/>
      <c r="T14" s="114"/>
      <c r="U14" s="63"/>
      <c r="V14" s="114"/>
      <c r="W14" s="63"/>
      <c r="X14" s="708"/>
      <c r="Y14" s="63"/>
      <c r="Z14" s="636">
        <v>50</v>
      </c>
      <c r="AA14" s="63"/>
      <c r="AB14" s="400"/>
      <c r="AC14" s="63"/>
      <c r="AD14" s="114">
        <v>12.5</v>
      </c>
      <c r="AE14" s="63">
        <v>100</v>
      </c>
      <c r="AF14" s="63"/>
      <c r="AG14" s="63"/>
      <c r="AH14" s="63">
        <v>25</v>
      </c>
      <c r="AI14" s="63">
        <v>75</v>
      </c>
      <c r="AJ14" s="63">
        <v>50</v>
      </c>
      <c r="AK14" s="63"/>
      <c r="AL14" s="63"/>
      <c r="AM14" s="63">
        <v>50</v>
      </c>
      <c r="AN14" s="63"/>
      <c r="AO14" s="127"/>
    </row>
    <row r="15" spans="1:41" s="83" customFormat="1">
      <c r="A15" s="63">
        <f>IFERROR(VLOOKUP(Table6[[#This Row],[Player No]],Table10[[#All],[No]:[Age Group]],4,0),"")</f>
        <v>0</v>
      </c>
      <c r="B15" s="264">
        <v>19</v>
      </c>
      <c r="C15" s="77">
        <f>+B15-D15</f>
        <v>8</v>
      </c>
      <c r="D15" s="63">
        <f t="shared" si="2"/>
        <v>11</v>
      </c>
      <c r="E15" s="63">
        <v>3511</v>
      </c>
      <c r="F15" s="64" t="str">
        <f>IFERROR(VLOOKUP(Table6[[#This Row],[Player No]],Table10[[No]:[Province]],2,0),"")</f>
        <v>GUMEDE Oluhle</v>
      </c>
      <c r="G15" s="65" t="str">
        <f>IFERROR(VLOOKUP(Table6[[#This Row],[Player No]],Table10[[No]:[Province]],3,0),"")</f>
        <v>ETTA</v>
      </c>
      <c r="H15" s="66">
        <v>65</v>
      </c>
      <c r="I15" s="644">
        <v>252.5</v>
      </c>
      <c r="J15" s="819">
        <f>Table6[[#This Row],[Points 2025]]/2+SUM(Table6[[#This Row],[O1  ADMIN 2026]:[P2                           CT Open    2026]])</f>
        <v>126.25</v>
      </c>
      <c r="K15" s="63">
        <f t="shared" si="1"/>
        <v>0</v>
      </c>
      <c r="L15" s="63">
        <f t="shared" si="3"/>
        <v>0</v>
      </c>
      <c r="M15" s="708"/>
      <c r="N15" s="708" t="s">
        <v>6083</v>
      </c>
      <c r="O15" s="708" t="s">
        <v>6083</v>
      </c>
      <c r="P15" s="708"/>
      <c r="Q15" s="63">
        <v>75</v>
      </c>
      <c r="R15" s="63"/>
      <c r="S15" s="114">
        <v>35</v>
      </c>
      <c r="T15" s="114">
        <v>50</v>
      </c>
      <c r="U15" s="63">
        <v>35</v>
      </c>
      <c r="V15" s="114"/>
      <c r="W15" s="63"/>
      <c r="X15" s="708"/>
      <c r="Y15" s="63"/>
      <c r="Z15" s="636">
        <v>25</v>
      </c>
      <c r="AA15" s="63"/>
      <c r="AB15" s="400"/>
      <c r="AC15" s="63"/>
      <c r="AD15" s="114"/>
      <c r="AE15" s="63"/>
      <c r="AF15" s="63">
        <v>50</v>
      </c>
      <c r="AG15" s="63">
        <v>15</v>
      </c>
      <c r="AH15" s="63"/>
      <c r="AI15" s="63"/>
      <c r="AJ15" s="63"/>
      <c r="AK15" s="63"/>
      <c r="AL15" s="63"/>
      <c r="AM15" s="63"/>
      <c r="AN15" s="63"/>
      <c r="AO15" s="127"/>
    </row>
    <row r="16" spans="1:41" s="83" customFormat="1">
      <c r="A16" s="63">
        <f>IFERROR(VLOOKUP(Table6[[#This Row],[Player No]],Table10[[#All],[No]:[Age Group]],4,0),"")</f>
        <v>0</v>
      </c>
      <c r="B16" s="264"/>
      <c r="C16" s="77"/>
      <c r="D16" s="63">
        <f t="shared" si="2"/>
        <v>12</v>
      </c>
      <c r="E16" s="63">
        <v>3578</v>
      </c>
      <c r="F16" s="64" t="str">
        <f>IFERROR(VLOOKUP(Table6[[#This Row],[Player No]],Table10[[No]:[Province]],2,0),"")</f>
        <v>FERHELST Munier</v>
      </c>
      <c r="G16" s="65" t="str">
        <f>IFERROR(VLOOKUP(Table6[[#This Row],[Player No]],Table10[[No]:[Province]],3,0),"")</f>
        <v>CT</v>
      </c>
      <c r="H16" s="66">
        <v>15.25</v>
      </c>
      <c r="I16" s="644">
        <v>225.125</v>
      </c>
      <c r="J16" s="819">
        <f>Table6[[#This Row],[Points 2025]]/2+SUM(Table6[[#This Row],[O1  ADMIN 2026]:[P2                           CT Open    2026]])</f>
        <v>112.5625</v>
      </c>
      <c r="K16" s="63">
        <f t="shared" si="1"/>
        <v>0</v>
      </c>
      <c r="L16" s="63">
        <f t="shared" si="3"/>
        <v>0</v>
      </c>
      <c r="M16" s="708"/>
      <c r="N16" s="708" t="s">
        <v>6083</v>
      </c>
      <c r="O16" s="708" t="s">
        <v>6083</v>
      </c>
      <c r="P16" s="708"/>
      <c r="Q16" s="63"/>
      <c r="R16" s="63"/>
      <c r="S16" s="114"/>
      <c r="T16" s="114"/>
      <c r="U16" s="63"/>
      <c r="V16" s="114"/>
      <c r="W16" s="63"/>
      <c r="X16" s="708"/>
      <c r="Y16" s="63"/>
      <c r="Z16" s="636">
        <v>125</v>
      </c>
      <c r="AA16" s="63"/>
      <c r="AB16" s="400"/>
      <c r="AC16" s="63"/>
      <c r="AD16" s="114">
        <v>17.5</v>
      </c>
      <c r="AE16" s="63">
        <v>75</v>
      </c>
      <c r="AF16" s="63"/>
      <c r="AG16" s="63"/>
      <c r="AH16" s="63">
        <v>15</v>
      </c>
      <c r="AI16" s="63"/>
      <c r="AJ16" s="63"/>
      <c r="AK16" s="63"/>
      <c r="AL16" s="63"/>
      <c r="AM16" s="63"/>
      <c r="AN16" s="63"/>
      <c r="AO16" s="127"/>
    </row>
    <row r="17" spans="1:41" s="83" customFormat="1">
      <c r="A17" s="209"/>
      <c r="B17" s="266"/>
      <c r="C17" s="203">
        <f>+B17-D17</f>
        <v>-13</v>
      </c>
      <c r="D17" s="63">
        <f t="shared" si="2"/>
        <v>13</v>
      </c>
      <c r="E17" s="204">
        <v>3417</v>
      </c>
      <c r="F17" s="64" t="str">
        <f>IFERROR(VLOOKUP(Table6[[#This Row],[Player No]],Table10[[No]:[Province]],2,0),"")</f>
        <v>KATZ Milo</v>
      </c>
      <c r="G17" s="65" t="str">
        <f>IFERROR(VLOOKUP(Table6[[#This Row],[Player No]],Table10[[No]:[Province]],3,0),"")</f>
        <v>CT</v>
      </c>
      <c r="H17" s="206">
        <v>0</v>
      </c>
      <c r="I17" s="644">
        <v>184.5</v>
      </c>
      <c r="J17" s="819">
        <f>Table6[[#This Row],[Points 2025]]/2+SUM(Table6[[#This Row],[O1  ADMIN 2026]:[P2                           CT Open    2026]])</f>
        <v>92.25</v>
      </c>
      <c r="K17" s="63">
        <f t="shared" si="1"/>
        <v>0</v>
      </c>
      <c r="L17" s="63">
        <f t="shared" si="3"/>
        <v>0</v>
      </c>
      <c r="M17" s="708"/>
      <c r="N17" s="708" t="s">
        <v>6083</v>
      </c>
      <c r="O17" s="708" t="s">
        <v>6083</v>
      </c>
      <c r="P17" s="708"/>
      <c r="Q17" s="208">
        <v>25</v>
      </c>
      <c r="R17" s="208"/>
      <c r="S17" s="320"/>
      <c r="T17" s="320">
        <v>100</v>
      </c>
      <c r="U17" s="208"/>
      <c r="V17" s="320"/>
      <c r="W17" s="208"/>
      <c r="X17" s="710"/>
      <c r="Y17" s="208"/>
      <c r="Z17" s="640">
        <v>50</v>
      </c>
      <c r="AA17" s="208"/>
      <c r="AB17" s="407"/>
      <c r="AC17" s="208"/>
      <c r="AD17" s="320">
        <v>7.5</v>
      </c>
      <c r="AE17" s="208">
        <v>2</v>
      </c>
      <c r="AF17" s="208"/>
      <c r="AG17" s="208"/>
      <c r="AH17" s="208"/>
      <c r="AI17" s="208"/>
      <c r="AJ17" s="208"/>
      <c r="AK17" s="208"/>
      <c r="AL17" s="208"/>
      <c r="AM17" s="208"/>
      <c r="AN17" s="208"/>
      <c r="AO17" s="706"/>
    </row>
    <row r="18" spans="1:41" s="83" customFormat="1">
      <c r="A18" s="63" t="str">
        <f>IFERROR(VLOOKUP(Table6[[#This Row],[Player No]],Table10[[#All],[No]:[Age Group]],4,0),"")</f>
        <v>U13</v>
      </c>
      <c r="B18" s="264">
        <v>47</v>
      </c>
      <c r="C18" s="77"/>
      <c r="D18" s="63">
        <f t="shared" si="2"/>
        <v>14</v>
      </c>
      <c r="E18" s="63">
        <v>1759</v>
      </c>
      <c r="F18" s="64" t="str">
        <f>IFERROR(VLOOKUP(Table6[[#This Row],[Player No]],Table10[[No]:[Province]],2,0),"")</f>
        <v>LEKORWE Reneilwe</v>
      </c>
      <c r="G18" s="65" t="str">
        <f>IFERROR(VLOOKUP(Table6[[#This Row],[Player No]],Table10[[No]:[Province]],3,0),"")</f>
        <v>BOT</v>
      </c>
      <c r="H18" s="66">
        <v>25</v>
      </c>
      <c r="I18" s="644">
        <v>177.5</v>
      </c>
      <c r="J18" s="819">
        <f>Table6[[#This Row],[Points 2025]]/2+SUM(Table6[[#This Row],[O1  ADMIN 2026]:[P2                           CT Open    2026]])</f>
        <v>88.75</v>
      </c>
      <c r="K18" s="63">
        <f t="shared" si="1"/>
        <v>0</v>
      </c>
      <c r="L18" s="63">
        <f t="shared" si="3"/>
        <v>0</v>
      </c>
      <c r="M18" s="708"/>
      <c r="N18" s="708" t="s">
        <v>6083</v>
      </c>
      <c r="O18" s="708" t="s">
        <v>6083</v>
      </c>
      <c r="P18" s="708"/>
      <c r="Q18" s="63">
        <v>50</v>
      </c>
      <c r="R18" s="63"/>
      <c r="S18" s="114"/>
      <c r="T18" s="114"/>
      <c r="U18" s="63"/>
      <c r="V18" s="114"/>
      <c r="W18" s="63"/>
      <c r="X18" s="708"/>
      <c r="Y18" s="63"/>
      <c r="Z18" s="636">
        <v>75</v>
      </c>
      <c r="AA18" s="63">
        <v>15</v>
      </c>
      <c r="AB18" s="400"/>
      <c r="AC18" s="63">
        <v>25</v>
      </c>
      <c r="AD18" s="114"/>
      <c r="AE18" s="63"/>
      <c r="AF18" s="63"/>
      <c r="AG18" s="63"/>
      <c r="AH18" s="63"/>
      <c r="AI18" s="63"/>
      <c r="AJ18" s="63"/>
      <c r="AK18" s="63"/>
      <c r="AL18" s="63"/>
      <c r="AM18" s="63"/>
      <c r="AN18" s="63">
        <v>25</v>
      </c>
      <c r="AO18" s="127"/>
    </row>
    <row r="19" spans="1:41" s="83" customFormat="1">
      <c r="A19" s="63" t="str">
        <f>IFERROR(VLOOKUP(Table6[[#This Row],[Player No]],Table10[[#All],[No]:[Age Group]],4,0),"")</f>
        <v>U15</v>
      </c>
      <c r="B19" s="264">
        <v>10</v>
      </c>
      <c r="C19" s="77">
        <f>+B19-D19</f>
        <v>-5</v>
      </c>
      <c r="D19" s="63">
        <f t="shared" si="2"/>
        <v>15</v>
      </c>
      <c r="E19" s="63">
        <v>3325</v>
      </c>
      <c r="F19" s="591" t="str">
        <f>IFERROR(VLOOKUP(Table6[[#This Row],[Player No]],Table10[[No]:[Province]],2,0),"")</f>
        <v>DADAKER Mohammed</v>
      </c>
      <c r="G19" s="592" t="str">
        <f>IFERROR(VLOOKUP(Table6[[#This Row],[Player No]],Table10[[No]:[Province]],3,0),"")</f>
        <v>CT</v>
      </c>
      <c r="H19" s="66">
        <v>340.25</v>
      </c>
      <c r="I19" s="644">
        <v>170.125</v>
      </c>
      <c r="J19" s="819">
        <f>Table6[[#This Row],[Points 2025]]/2+SUM(Table6[[#This Row],[O1  ADMIN 2026]:[P2                           CT Open    2026]])</f>
        <v>85.0625</v>
      </c>
      <c r="K19" s="63">
        <f t="shared" si="1"/>
        <v>0</v>
      </c>
      <c r="L19" s="63">
        <f t="shared" si="3"/>
        <v>0</v>
      </c>
      <c r="M19" s="708"/>
      <c r="N19" s="708" t="s">
        <v>6083</v>
      </c>
      <c r="O19" s="708" t="s">
        <v>6083</v>
      </c>
      <c r="P19" s="708"/>
      <c r="Q19" s="63"/>
      <c r="R19" s="63"/>
      <c r="S19" s="114"/>
      <c r="T19" s="114"/>
      <c r="U19" s="63"/>
      <c r="V19" s="114"/>
      <c r="W19" s="63"/>
      <c r="X19" s="708"/>
      <c r="Y19" s="63"/>
      <c r="Z19" s="636"/>
      <c r="AA19" s="63"/>
      <c r="AB19" s="400"/>
      <c r="AC19" s="63"/>
      <c r="AD19" s="114"/>
      <c r="AE19" s="63"/>
      <c r="AF19" s="63"/>
      <c r="AG19" s="63"/>
      <c r="AH19" s="63"/>
      <c r="AI19" s="63">
        <v>150</v>
      </c>
      <c r="AJ19" s="63">
        <v>25</v>
      </c>
      <c r="AK19" s="63"/>
      <c r="AL19" s="63"/>
      <c r="AM19" s="63">
        <v>50</v>
      </c>
      <c r="AN19" s="63"/>
      <c r="AO19" s="127"/>
    </row>
    <row r="20" spans="1:41" s="83" customFormat="1">
      <c r="A20" s="63">
        <f>IFERROR(VLOOKUP(Table6[[#This Row],[Player No]],Table10[[#All],[No]:[Age Group]],4,0),"")</f>
        <v>0</v>
      </c>
      <c r="B20" s="264"/>
      <c r="C20" s="77"/>
      <c r="D20" s="63">
        <f t="shared" si="2"/>
        <v>16</v>
      </c>
      <c r="E20" s="63">
        <v>3766</v>
      </c>
      <c r="F20" s="64" t="str">
        <f>IFERROR(VLOOKUP(Table6[[#This Row],[Player No]],Table10[[No]:[Province]],2,0),"")</f>
        <v>MVULA Chumani</v>
      </c>
      <c r="G20" s="65" t="str">
        <f>IFERROR(VLOOKUP(Table6[[#This Row],[Player No]],Table10[[No]:[Province]],3,0),"")</f>
        <v>EC</v>
      </c>
      <c r="H20" s="66">
        <v>75</v>
      </c>
      <c r="I20" s="644">
        <v>162.5</v>
      </c>
      <c r="J20" s="819">
        <f>Table6[[#This Row],[Points 2025]]/2+SUM(Table6[[#This Row],[O1  ADMIN 2026]:[P2                           CT Open    2026]])</f>
        <v>81.25</v>
      </c>
      <c r="K20" s="63">
        <f t="shared" si="1"/>
        <v>0</v>
      </c>
      <c r="L20" s="63">
        <f t="shared" si="3"/>
        <v>0</v>
      </c>
      <c r="M20" s="708"/>
      <c r="N20" s="708" t="s">
        <v>6083</v>
      </c>
      <c r="O20" s="708" t="s">
        <v>6083</v>
      </c>
      <c r="P20" s="708"/>
      <c r="Q20" s="63"/>
      <c r="R20" s="63"/>
      <c r="S20" s="114"/>
      <c r="T20" s="114"/>
      <c r="U20" s="63"/>
      <c r="V20" s="114"/>
      <c r="W20" s="63"/>
      <c r="X20" s="708"/>
      <c r="Y20" s="63"/>
      <c r="Z20" s="636">
        <v>125</v>
      </c>
      <c r="AA20" s="63"/>
      <c r="AB20" s="400"/>
      <c r="AC20" s="63"/>
      <c r="AD20" s="114"/>
      <c r="AE20" s="63"/>
      <c r="AF20" s="63"/>
      <c r="AG20" s="63"/>
      <c r="AH20" s="63"/>
      <c r="AI20" s="63"/>
      <c r="AJ20" s="63">
        <v>75</v>
      </c>
      <c r="AK20" s="63"/>
      <c r="AL20" s="63"/>
      <c r="AM20" s="63"/>
      <c r="AN20" s="63"/>
      <c r="AO20" s="127"/>
    </row>
    <row r="21" spans="1:41" s="83" customFormat="1">
      <c r="A21" s="63">
        <f>IFERROR(VLOOKUP(Table6[[#This Row],[Player No]],Table10[[#All],[No]:[Age Group]],4,0),"")</f>
        <v>0</v>
      </c>
      <c r="B21" s="264"/>
      <c r="C21" s="77"/>
      <c r="D21" s="63">
        <f t="shared" si="2"/>
        <v>17</v>
      </c>
      <c r="E21" s="63">
        <v>3572</v>
      </c>
      <c r="F21" s="64" t="str">
        <f>IFERROR(VLOOKUP(Table6[[#This Row],[Player No]],Table10[[No]:[Province]],2,0),"")</f>
        <v>PATEL Ilyaas</v>
      </c>
      <c r="G21" s="65" t="str">
        <f>IFERROR(VLOOKUP(Table6[[#This Row],[Player No]],Table10[[No]:[Province]],3,0),"")</f>
        <v>CT</v>
      </c>
      <c r="H21" s="66">
        <v>5.25</v>
      </c>
      <c r="I21" s="644">
        <v>157.625</v>
      </c>
      <c r="J21" s="819">
        <f>Table6[[#This Row],[Points 2025]]/2+SUM(Table6[[#This Row],[O1  ADMIN 2026]:[P2                           CT Open    2026]])</f>
        <v>78.8125</v>
      </c>
      <c r="K21" s="63">
        <f t="shared" si="1"/>
        <v>0</v>
      </c>
      <c r="L21" s="63">
        <f t="shared" si="3"/>
        <v>0</v>
      </c>
      <c r="M21" s="708"/>
      <c r="N21" s="708" t="s">
        <v>6083</v>
      </c>
      <c r="O21" s="708" t="s">
        <v>6083</v>
      </c>
      <c r="P21" s="708"/>
      <c r="Q21" s="63"/>
      <c r="R21" s="63"/>
      <c r="S21" s="114"/>
      <c r="T21" s="114"/>
      <c r="U21" s="63"/>
      <c r="V21" s="114"/>
      <c r="W21" s="63"/>
      <c r="X21" s="708"/>
      <c r="Y21" s="63"/>
      <c r="Z21" s="636">
        <v>75</v>
      </c>
      <c r="AA21" s="63"/>
      <c r="AB21" s="400"/>
      <c r="AC21" s="63"/>
      <c r="AD21" s="114">
        <v>5</v>
      </c>
      <c r="AE21" s="63">
        <v>75</v>
      </c>
      <c r="AF21" s="63"/>
      <c r="AG21" s="63"/>
      <c r="AH21" s="63">
        <v>5</v>
      </c>
      <c r="AI21" s="63"/>
      <c r="AJ21" s="63"/>
      <c r="AK21" s="63"/>
      <c r="AL21" s="63"/>
      <c r="AM21" s="63"/>
      <c r="AN21" s="63"/>
      <c r="AO21" s="127"/>
    </row>
    <row r="22" spans="1:41" s="83" customFormat="1">
      <c r="A22" s="63">
        <f>IFERROR(VLOOKUP(Table6[[#This Row],[Player No]],Table10[[#All],[No]:[Age Group]],4,0),"")</f>
        <v>0</v>
      </c>
      <c r="B22" s="264">
        <v>58</v>
      </c>
      <c r="C22" s="77">
        <f t="shared" ref="C22:C41" si="4">+B22-D22</f>
        <v>40</v>
      </c>
      <c r="D22" s="63">
        <f t="shared" si="2"/>
        <v>18</v>
      </c>
      <c r="E22" s="63">
        <v>1587</v>
      </c>
      <c r="F22" s="64" t="str">
        <f>IFERROR(VLOOKUP(Table6[[#This Row],[Player No]],Table10[[No]:[Province]],2,0),"")</f>
        <v>ZAIN EDDIN Kareem</v>
      </c>
      <c r="G22" s="65" t="str">
        <f>IFERROR(VLOOKUP(Table6[[#This Row],[Player No]],Table10[[No]:[Province]],3,0),"")</f>
        <v>GN</v>
      </c>
      <c r="H22" s="66">
        <v>26</v>
      </c>
      <c r="I22" s="644">
        <v>149</v>
      </c>
      <c r="J22" s="819">
        <f>Table6[[#This Row],[Points 2025]]/2+SUM(Table6[[#This Row],[O1  ADMIN 2026]:[P2                           CT Open    2026]])</f>
        <v>74.5</v>
      </c>
      <c r="K22" s="63">
        <f t="shared" si="1"/>
        <v>0</v>
      </c>
      <c r="L22" s="63">
        <f t="shared" si="3"/>
        <v>0</v>
      </c>
      <c r="M22" s="708"/>
      <c r="N22" s="708" t="s">
        <v>6083</v>
      </c>
      <c r="O22" s="708" t="s">
        <v>6083</v>
      </c>
      <c r="P22" s="708"/>
      <c r="Q22" s="63"/>
      <c r="R22" s="63"/>
      <c r="S22" s="114"/>
      <c r="T22" s="114"/>
      <c r="U22" s="63"/>
      <c r="V22" s="114">
        <v>25</v>
      </c>
      <c r="W22" s="63"/>
      <c r="X22" s="708"/>
      <c r="Y22" s="63"/>
      <c r="Z22" s="636">
        <v>75</v>
      </c>
      <c r="AA22" s="63">
        <v>1</v>
      </c>
      <c r="AB22" s="400">
        <v>20</v>
      </c>
      <c r="AC22" s="63">
        <v>15</v>
      </c>
      <c r="AD22" s="114"/>
      <c r="AE22" s="63"/>
      <c r="AF22" s="63"/>
      <c r="AG22" s="63"/>
      <c r="AH22" s="63"/>
      <c r="AI22" s="63"/>
      <c r="AJ22" s="63"/>
      <c r="AK22" s="63">
        <v>10</v>
      </c>
      <c r="AL22" s="63"/>
      <c r="AM22" s="63">
        <v>15</v>
      </c>
      <c r="AN22" s="63">
        <v>1</v>
      </c>
      <c r="AO22" s="127"/>
    </row>
    <row r="23" spans="1:41" s="83" customFormat="1">
      <c r="A23" s="63" t="str">
        <f>IFERROR(VLOOKUP(Table6[[#This Row],[Player No]],Table10[[#All],[No]:[Age Group]],4,0),"")</f>
        <v>U15</v>
      </c>
      <c r="B23" s="264">
        <v>8</v>
      </c>
      <c r="C23" s="77">
        <f t="shared" si="4"/>
        <v>-11</v>
      </c>
      <c r="D23" s="63">
        <f t="shared" si="2"/>
        <v>19</v>
      </c>
      <c r="E23" s="63">
        <v>3780</v>
      </c>
      <c r="F23" s="591" t="str">
        <f>IFERROR(VLOOKUP(Table6[[#This Row],[Player No]],Table10[[No]:[Province]],2,0),"")</f>
        <v>KAVONICH Naftali</v>
      </c>
      <c r="G23" s="592" t="str">
        <f>IFERROR(VLOOKUP(Table6[[#This Row],[Player No]],Table10[[No]:[Province]],3,0),"")</f>
        <v>JTTA</v>
      </c>
      <c r="H23" s="66">
        <v>297.5</v>
      </c>
      <c r="I23" s="644">
        <v>148.75</v>
      </c>
      <c r="J23" s="819">
        <f>Table6[[#This Row],[Points 2025]]/2+SUM(Table6[[#This Row],[O1  ADMIN 2026]:[P2                           CT Open    2026]])</f>
        <v>74.375</v>
      </c>
      <c r="K23" s="63">
        <f t="shared" si="1"/>
        <v>0</v>
      </c>
      <c r="L23" s="63">
        <f t="shared" si="3"/>
        <v>0</v>
      </c>
      <c r="M23" s="708"/>
      <c r="N23" s="708" t="s">
        <v>6083</v>
      </c>
      <c r="O23" s="708" t="s">
        <v>6083</v>
      </c>
      <c r="P23" s="708"/>
      <c r="Q23" s="63"/>
      <c r="R23" s="63"/>
      <c r="S23" s="114"/>
      <c r="T23" s="114"/>
      <c r="U23" s="63"/>
      <c r="V23" s="114"/>
      <c r="W23" s="63"/>
      <c r="X23" s="708"/>
      <c r="Y23" s="63"/>
      <c r="Z23" s="636"/>
      <c r="AA23" s="63"/>
      <c r="AB23" s="400"/>
      <c r="AC23" s="63"/>
      <c r="AD23" s="114"/>
      <c r="AE23" s="63"/>
      <c r="AF23" s="63"/>
      <c r="AG23" s="63"/>
      <c r="AH23" s="63"/>
      <c r="AI23" s="63"/>
      <c r="AJ23" s="63">
        <v>125</v>
      </c>
      <c r="AK23" s="63">
        <v>25</v>
      </c>
      <c r="AL23" s="63"/>
      <c r="AM23" s="63">
        <v>75</v>
      </c>
      <c r="AN23" s="63"/>
      <c r="AO23" s="127">
        <v>35</v>
      </c>
    </row>
    <row r="24" spans="1:41" s="83" customFormat="1">
      <c r="A24" s="63">
        <f>IFERROR(VLOOKUP(Table6[[#This Row],[Player No]],Table10[[#All],[No]:[Age Group]],4,0),"")</f>
        <v>0</v>
      </c>
      <c r="B24" s="264">
        <v>119</v>
      </c>
      <c r="C24" s="77">
        <f t="shared" si="4"/>
        <v>99</v>
      </c>
      <c r="D24" s="63">
        <f t="shared" si="2"/>
        <v>20</v>
      </c>
      <c r="E24" s="63">
        <v>3873</v>
      </c>
      <c r="F24" s="64" t="str">
        <f>IFERROR(VLOOKUP(Table6[[#This Row],[Player No]],Table10[[No]:[Province]],2,0),"")</f>
        <v>FRANK Callum</v>
      </c>
      <c r="G24" s="65" t="str">
        <f>IFERROR(VLOOKUP(Table6[[#This Row],[Player No]],Table10[[No]:[Province]],3,0),"")</f>
        <v>UMG</v>
      </c>
      <c r="H24" s="66">
        <v>13</v>
      </c>
      <c r="I24" s="644">
        <v>136.5</v>
      </c>
      <c r="J24" s="819">
        <f>Table6[[#This Row],[Points 2025]]/2+SUM(Table6[[#This Row],[O1  ADMIN 2026]:[P2                           CT Open    2026]])</f>
        <v>68.25</v>
      </c>
      <c r="K24" s="63">
        <f t="shared" si="1"/>
        <v>0</v>
      </c>
      <c r="L24" s="63">
        <f t="shared" si="3"/>
        <v>0</v>
      </c>
      <c r="M24" s="708"/>
      <c r="N24" s="708" t="s">
        <v>6083</v>
      </c>
      <c r="O24" s="708" t="s">
        <v>6083</v>
      </c>
      <c r="P24" s="708"/>
      <c r="Q24" s="63">
        <v>50</v>
      </c>
      <c r="R24" s="63">
        <v>25</v>
      </c>
      <c r="S24" s="114">
        <v>25</v>
      </c>
      <c r="T24" s="114"/>
      <c r="U24" s="63">
        <v>25</v>
      </c>
      <c r="V24" s="114"/>
      <c r="W24" s="63"/>
      <c r="X24" s="708"/>
      <c r="Y24" s="63"/>
      <c r="Z24" s="636">
        <v>5</v>
      </c>
      <c r="AA24" s="63"/>
      <c r="AB24" s="400"/>
      <c r="AC24" s="63"/>
      <c r="AD24" s="114"/>
      <c r="AE24" s="63"/>
      <c r="AF24" s="63">
        <v>2</v>
      </c>
      <c r="AG24" s="63">
        <v>1</v>
      </c>
      <c r="AH24" s="63"/>
      <c r="AI24" s="63"/>
      <c r="AJ24" s="63">
        <v>10</v>
      </c>
      <c r="AK24" s="63"/>
      <c r="AL24" s="63"/>
      <c r="AM24" s="63"/>
      <c r="AN24" s="63"/>
      <c r="AO24" s="127"/>
    </row>
    <row r="25" spans="1:41" s="83" customFormat="1">
      <c r="A25" s="63">
        <f>IFERROR(VLOOKUP(Table6[[#This Row],[Player No]],Table10[[#All],[No]:[Age Group]],4,0),"")</f>
        <v>0</v>
      </c>
      <c r="B25" s="264">
        <v>5</v>
      </c>
      <c r="C25" s="77">
        <f t="shared" si="4"/>
        <v>-16</v>
      </c>
      <c r="D25" s="63">
        <f t="shared" si="2"/>
        <v>21</v>
      </c>
      <c r="E25" s="63">
        <v>3382</v>
      </c>
      <c r="F25" s="591" t="str">
        <f>IFERROR(VLOOKUP(Table6[[#This Row],[Player No]],Table10[[No]:[Province]],2,0),"")</f>
        <v>NAIDOO Daniel</v>
      </c>
      <c r="G25" s="592" t="str">
        <f>IFERROR(VLOOKUP(Table6[[#This Row],[Player No]],Table10[[No]:[Province]],3,0),"")</f>
        <v>ETTA</v>
      </c>
      <c r="H25" s="66">
        <v>262.5</v>
      </c>
      <c r="I25" s="644">
        <v>131.25</v>
      </c>
      <c r="J25" s="819">
        <f>Table6[[#This Row],[Points 2025]]/2+SUM(Table6[[#This Row],[O1  ADMIN 2026]:[P2                           CT Open    2026]])</f>
        <v>65.625</v>
      </c>
      <c r="K25" s="63">
        <f t="shared" si="1"/>
        <v>0</v>
      </c>
      <c r="L25" s="63">
        <f t="shared" si="3"/>
        <v>0</v>
      </c>
      <c r="M25" s="708"/>
      <c r="N25" s="708" t="s">
        <v>6083</v>
      </c>
      <c r="O25" s="708" t="s">
        <v>6083</v>
      </c>
      <c r="P25" s="708"/>
      <c r="Q25" s="63"/>
      <c r="R25" s="63"/>
      <c r="S25" s="114"/>
      <c r="T25" s="114"/>
      <c r="U25" s="63"/>
      <c r="V25" s="114"/>
      <c r="W25" s="63"/>
      <c r="X25" s="708"/>
      <c r="Y25" s="63"/>
      <c r="Z25" s="636"/>
      <c r="AA25" s="63"/>
      <c r="AB25" s="400"/>
      <c r="AC25" s="63"/>
      <c r="AD25" s="114"/>
      <c r="AE25" s="63"/>
      <c r="AF25" s="63"/>
      <c r="AG25" s="63">
        <v>25</v>
      </c>
      <c r="AH25" s="63"/>
      <c r="AI25" s="63"/>
      <c r="AJ25" s="63">
        <v>50</v>
      </c>
      <c r="AK25" s="63"/>
      <c r="AL25" s="63"/>
      <c r="AM25" s="63">
        <v>50</v>
      </c>
      <c r="AN25" s="63">
        <v>75</v>
      </c>
      <c r="AO25" s="127"/>
    </row>
    <row r="26" spans="1:41" s="83" customFormat="1">
      <c r="A26" s="63">
        <f>IFERROR(VLOOKUP(Table6[[#This Row],[Player No]],Table10[[#All],[No]:[Age Group]],4,0),"")</f>
        <v>0</v>
      </c>
      <c r="B26" s="264">
        <v>135</v>
      </c>
      <c r="C26" s="77">
        <f t="shared" si="4"/>
        <v>113</v>
      </c>
      <c r="D26" s="63">
        <f t="shared" si="2"/>
        <v>22</v>
      </c>
      <c r="E26" s="63">
        <v>3368</v>
      </c>
      <c r="F26" s="64" t="str">
        <f>IFERROR(VLOOKUP(Table6[[#This Row],[Player No]],Table10[[No]:[Province]],2,0),"")</f>
        <v>JACOBS Qaa-im</v>
      </c>
      <c r="G26" s="65" t="str">
        <f>IFERROR(VLOOKUP(Table6[[#This Row],[Player No]],Table10[[No]:[Province]],3,0),"")</f>
        <v>CT</v>
      </c>
      <c r="H26" s="66">
        <v>51.25</v>
      </c>
      <c r="I26" s="644">
        <v>130.625</v>
      </c>
      <c r="J26" s="819">
        <f>Table6[[#This Row],[Points 2025]]/2+SUM(Table6[[#This Row],[O1  ADMIN 2026]:[P2                           CT Open    2026]])</f>
        <v>65.3125</v>
      </c>
      <c r="K26" s="63">
        <f t="shared" si="1"/>
        <v>0</v>
      </c>
      <c r="L26" s="63">
        <f t="shared" si="3"/>
        <v>0</v>
      </c>
      <c r="M26" s="708"/>
      <c r="N26" s="708" t="s">
        <v>6083</v>
      </c>
      <c r="O26" s="708" t="s">
        <v>6083</v>
      </c>
      <c r="P26" s="708"/>
      <c r="Q26" s="63"/>
      <c r="R26" s="63"/>
      <c r="S26" s="114"/>
      <c r="T26" s="114"/>
      <c r="U26" s="63"/>
      <c r="V26" s="114"/>
      <c r="W26" s="63"/>
      <c r="X26" s="708"/>
      <c r="Y26" s="63"/>
      <c r="Z26" s="636">
        <v>50</v>
      </c>
      <c r="AA26" s="63"/>
      <c r="AB26" s="400"/>
      <c r="AC26" s="63"/>
      <c r="AD26" s="114">
        <v>5</v>
      </c>
      <c r="AE26" s="63">
        <v>50</v>
      </c>
      <c r="AF26" s="63"/>
      <c r="AG26" s="63"/>
      <c r="AH26" s="63"/>
      <c r="AI26" s="63">
        <v>50</v>
      </c>
      <c r="AJ26" s="63"/>
      <c r="AK26" s="63"/>
      <c r="AL26" s="63"/>
      <c r="AM26" s="63"/>
      <c r="AN26" s="63"/>
      <c r="AO26" s="127"/>
    </row>
    <row r="27" spans="1:41" s="83" customFormat="1">
      <c r="A27" s="63">
        <f>IFERROR(VLOOKUP(Table6[[#This Row],[Player No]],Table10[[#All],[No]:[Age Group]],4,0),"")</f>
        <v>0</v>
      </c>
      <c r="B27" s="264">
        <v>138</v>
      </c>
      <c r="C27" s="77">
        <f t="shared" si="4"/>
        <v>115</v>
      </c>
      <c r="D27" s="63">
        <f t="shared" si="2"/>
        <v>23</v>
      </c>
      <c r="E27" s="63">
        <v>3369</v>
      </c>
      <c r="F27" s="64" t="str">
        <f>IFERROR(VLOOKUP(Table6[[#This Row],[Player No]],Table10[[No]:[Province]],2,0),"")</f>
        <v>JACOBS Owais</v>
      </c>
      <c r="G27" s="65" t="str">
        <f>IFERROR(VLOOKUP(Table6[[#This Row],[Player No]],Table10[[No]:[Province]],3,0),"")</f>
        <v>CT</v>
      </c>
      <c r="H27" s="66">
        <v>101</v>
      </c>
      <c r="I27" s="644">
        <v>128</v>
      </c>
      <c r="J27" s="819">
        <f>Table6[[#This Row],[Points 2025]]/2+SUM(Table6[[#This Row],[O1  ADMIN 2026]:[P2                           CT Open    2026]])</f>
        <v>64</v>
      </c>
      <c r="K27" s="63">
        <f t="shared" si="1"/>
        <v>0</v>
      </c>
      <c r="L27" s="63">
        <f t="shared" si="3"/>
        <v>0</v>
      </c>
      <c r="M27" s="708"/>
      <c r="N27" s="708" t="s">
        <v>6083</v>
      </c>
      <c r="O27" s="708" t="s">
        <v>6083</v>
      </c>
      <c r="P27" s="708"/>
      <c r="Q27" s="63"/>
      <c r="R27" s="63"/>
      <c r="S27" s="114"/>
      <c r="T27" s="114"/>
      <c r="U27" s="63"/>
      <c r="V27" s="114"/>
      <c r="W27" s="63"/>
      <c r="X27" s="708"/>
      <c r="Y27" s="63"/>
      <c r="Z27" s="636">
        <v>50</v>
      </c>
      <c r="AA27" s="63"/>
      <c r="AB27" s="400"/>
      <c r="AC27" s="63"/>
      <c r="AD27" s="114">
        <v>12.5</v>
      </c>
      <c r="AE27" s="63">
        <v>15</v>
      </c>
      <c r="AF27" s="63"/>
      <c r="AG27" s="63"/>
      <c r="AH27" s="63"/>
      <c r="AI27" s="63">
        <v>75</v>
      </c>
      <c r="AJ27" s="63">
        <v>25</v>
      </c>
      <c r="AK27" s="63"/>
      <c r="AL27" s="63"/>
      <c r="AM27" s="63"/>
      <c r="AN27" s="63"/>
      <c r="AO27" s="127"/>
    </row>
    <row r="28" spans="1:41" s="83" customFormat="1">
      <c r="A28" s="322"/>
      <c r="B28" s="323"/>
      <c r="C28" s="324">
        <f t="shared" si="4"/>
        <v>-24</v>
      </c>
      <c r="D28" s="63">
        <f t="shared" si="2"/>
        <v>24</v>
      </c>
      <c r="E28" s="325">
        <v>3331</v>
      </c>
      <c r="F28" s="326" t="str">
        <f>IFERROR(VLOOKUP(Table6[[#This Row],[Player No]],Table10[[No]:[Province]],2,0),"")</f>
        <v>LINGEVELDT Timothy</v>
      </c>
      <c r="G28" s="65" t="str">
        <f>IFERROR(VLOOKUP(Table6[[#This Row],[Player No]],Table10[[No]:[Province]],3,0),"")</f>
        <v>CT</v>
      </c>
      <c r="H28" s="66">
        <v>0</v>
      </c>
      <c r="I28" s="644">
        <v>115</v>
      </c>
      <c r="J28" s="819">
        <f>Table6[[#This Row],[Points 2025]]/2+SUM(Table6[[#This Row],[O1  ADMIN 2026]:[P2                           CT Open    2026]])</f>
        <v>57.5</v>
      </c>
      <c r="K28" s="63">
        <f t="shared" si="1"/>
        <v>0</v>
      </c>
      <c r="L28" s="63">
        <f t="shared" si="3"/>
        <v>0</v>
      </c>
      <c r="M28" s="708"/>
      <c r="N28" s="826" t="s">
        <v>6083</v>
      </c>
      <c r="O28" s="826" t="s">
        <v>6083</v>
      </c>
      <c r="P28" s="826"/>
      <c r="Q28" s="327"/>
      <c r="R28" s="327"/>
      <c r="S28" s="321"/>
      <c r="T28" s="321"/>
      <c r="U28" s="327"/>
      <c r="V28" s="321">
        <v>50</v>
      </c>
      <c r="W28" s="327"/>
      <c r="X28" s="711"/>
      <c r="Y28" s="327"/>
      <c r="Z28" s="637">
        <v>10</v>
      </c>
      <c r="AA28" s="327"/>
      <c r="AB28" s="405"/>
      <c r="AC28" s="327"/>
      <c r="AD28" s="321">
        <v>5</v>
      </c>
      <c r="AE28" s="327">
        <v>50</v>
      </c>
      <c r="AF28" s="327"/>
      <c r="AG28" s="327"/>
      <c r="AH28" s="327"/>
      <c r="AI28" s="327"/>
      <c r="AJ28" s="327"/>
      <c r="AK28" s="327"/>
      <c r="AL28" s="327"/>
      <c r="AM28" s="327"/>
      <c r="AN28" s="327"/>
      <c r="AO28" s="705"/>
    </row>
    <row r="29" spans="1:41" s="83" customFormat="1">
      <c r="A29" s="63" t="str">
        <f>IFERROR(VLOOKUP(Table6[[#This Row],[Player No]],Table10[[#All],[No]:[Age Group]],4,0),"")</f>
        <v>U15</v>
      </c>
      <c r="B29" s="264">
        <v>190</v>
      </c>
      <c r="C29" s="77">
        <f t="shared" si="4"/>
        <v>165</v>
      </c>
      <c r="D29" s="63">
        <f t="shared" si="2"/>
        <v>25</v>
      </c>
      <c r="E29" s="63">
        <v>3394</v>
      </c>
      <c r="F29" s="64" t="str">
        <f>IFERROR(VLOOKUP(Table6[[#This Row],[Player No]],Table10[[No]:[Province]],2,0),"")</f>
        <v xml:space="preserve">PRETORIUS Tony </v>
      </c>
      <c r="G29" s="65" t="str">
        <f>IFERROR(VLOOKUP(Table6[[#This Row],[Player No]],Table10[[No]:[Province]],3,0),"")</f>
        <v>EDEN</v>
      </c>
      <c r="H29" s="66">
        <v>26</v>
      </c>
      <c r="I29" s="644">
        <v>113</v>
      </c>
      <c r="J29" s="819">
        <f>Table6[[#This Row],[Points 2025]]/2+SUM(Table6[[#This Row],[O1  ADMIN 2026]:[P2                           CT Open    2026]])</f>
        <v>56.5</v>
      </c>
      <c r="K29" s="63">
        <f t="shared" si="1"/>
        <v>0</v>
      </c>
      <c r="L29" s="63">
        <f t="shared" si="3"/>
        <v>0</v>
      </c>
      <c r="M29" s="708"/>
      <c r="N29" s="708" t="s">
        <v>6083</v>
      </c>
      <c r="O29" s="708" t="s">
        <v>6083</v>
      </c>
      <c r="P29" s="708"/>
      <c r="Q29" s="63"/>
      <c r="R29" s="63"/>
      <c r="S29" s="114"/>
      <c r="T29" s="114"/>
      <c r="U29" s="63"/>
      <c r="V29" s="114"/>
      <c r="W29" s="63"/>
      <c r="X29" s="708">
        <v>75</v>
      </c>
      <c r="Y29" s="63"/>
      <c r="Z29" s="636">
        <v>25</v>
      </c>
      <c r="AA29" s="63"/>
      <c r="AB29" s="400"/>
      <c r="AC29" s="63"/>
      <c r="AD29" s="114"/>
      <c r="AE29" s="63"/>
      <c r="AF29" s="63"/>
      <c r="AG29" s="63"/>
      <c r="AH29" s="63">
        <v>1</v>
      </c>
      <c r="AI29" s="63">
        <v>25</v>
      </c>
      <c r="AJ29" s="63"/>
      <c r="AK29" s="63"/>
      <c r="AL29" s="63"/>
      <c r="AM29" s="63"/>
      <c r="AN29" s="63"/>
      <c r="AO29" s="127"/>
    </row>
    <row r="30" spans="1:41" s="83" customFormat="1">
      <c r="A30" s="63">
        <f>IFERROR(VLOOKUP(Table6[[#This Row],[Player No]],Table10[[#All],[No]:[Age Group]],4,0),"")</f>
        <v>0</v>
      </c>
      <c r="B30" s="264">
        <v>4</v>
      </c>
      <c r="C30" s="77">
        <f t="shared" si="4"/>
        <v>-22</v>
      </c>
      <c r="D30" s="63">
        <f t="shared" si="2"/>
        <v>26</v>
      </c>
      <c r="E30" s="63">
        <v>3375</v>
      </c>
      <c r="F30" s="591" t="str">
        <f>IFERROR(VLOOKUP(Table6[[#This Row],[Player No]],Table10[[No]:[Province]],2,0),"")</f>
        <v>MAKHAYE Mlungisi</v>
      </c>
      <c r="G30" s="592" t="str">
        <f>IFERROR(VLOOKUP(Table6[[#This Row],[Player No]],Table10[[No]:[Province]],3,0),"")</f>
        <v>UMG</v>
      </c>
      <c r="H30" s="66">
        <v>223</v>
      </c>
      <c r="I30" s="644">
        <v>111.5</v>
      </c>
      <c r="J30" s="819">
        <f>Table6[[#This Row],[Points 2025]]/2+SUM(Table6[[#This Row],[O1  ADMIN 2026]:[P2                           CT Open    2026]])</f>
        <v>55.75</v>
      </c>
      <c r="K30" s="63">
        <f t="shared" si="1"/>
        <v>0</v>
      </c>
      <c r="L30" s="63">
        <f t="shared" si="3"/>
        <v>0</v>
      </c>
      <c r="M30" s="708"/>
      <c r="N30" s="708" t="s">
        <v>6083</v>
      </c>
      <c r="O30" s="708" t="s">
        <v>6083</v>
      </c>
      <c r="P30" s="708"/>
      <c r="Q30" s="63"/>
      <c r="R30" s="63"/>
      <c r="S30" s="114"/>
      <c r="T30" s="114"/>
      <c r="U30" s="63"/>
      <c r="V30" s="114"/>
      <c r="W30" s="63"/>
      <c r="X30" s="708"/>
      <c r="Y30" s="63"/>
      <c r="Z30" s="636"/>
      <c r="AA30" s="63"/>
      <c r="AB30" s="400"/>
      <c r="AC30" s="63"/>
      <c r="AD30" s="114"/>
      <c r="AE30" s="63"/>
      <c r="AF30" s="63">
        <v>100</v>
      </c>
      <c r="AG30" s="63">
        <v>35</v>
      </c>
      <c r="AH30" s="63"/>
      <c r="AI30" s="63"/>
      <c r="AJ30" s="63">
        <v>50</v>
      </c>
      <c r="AK30" s="63"/>
      <c r="AL30" s="63"/>
      <c r="AM30" s="63">
        <f>25-25</f>
        <v>0</v>
      </c>
      <c r="AN30" s="63"/>
      <c r="AO30" s="127"/>
    </row>
    <row r="31" spans="1:41" s="83" customFormat="1">
      <c r="A31" s="209"/>
      <c r="B31" s="266"/>
      <c r="C31" s="203">
        <f t="shared" si="4"/>
        <v>-27</v>
      </c>
      <c r="D31" s="63">
        <f t="shared" si="2"/>
        <v>27</v>
      </c>
      <c r="E31" s="204">
        <v>3916</v>
      </c>
      <c r="F31" s="205" t="str">
        <f>IFERROR(VLOOKUP(Table6[[#This Row],[Player No]],Table10[[No]:[Province]],2,0),"")</f>
        <v>DZANIBE Kethukuthula</v>
      </c>
      <c r="G31" s="65" t="str">
        <f>IFERROR(VLOOKUP(Table6[[#This Row],[Player No]],Table10[[No]:[Province]],3,0),"")</f>
        <v>ETTA</v>
      </c>
      <c r="H31" s="206">
        <v>0</v>
      </c>
      <c r="I31" s="644">
        <v>50</v>
      </c>
      <c r="J31" s="819">
        <f>Table6[[#This Row],[Points 2025]]/2+SUM(Table6[[#This Row],[O1  ADMIN 2026]:[P2                           CT Open    2026]])</f>
        <v>55</v>
      </c>
      <c r="K31" s="63">
        <f t="shared" si="1"/>
        <v>2</v>
      </c>
      <c r="L31" s="63">
        <f t="shared" si="3"/>
        <v>0</v>
      </c>
      <c r="M31" s="708"/>
      <c r="N31" s="708">
        <v>15</v>
      </c>
      <c r="O31" s="708">
        <v>15</v>
      </c>
      <c r="P31" s="708"/>
      <c r="Q31" s="208">
        <v>15</v>
      </c>
      <c r="R31" s="208"/>
      <c r="S31" s="320"/>
      <c r="T31" s="320">
        <v>25</v>
      </c>
      <c r="U31" s="208"/>
      <c r="V31" s="320"/>
      <c r="W31" s="208"/>
      <c r="X31" s="710"/>
      <c r="Y31" s="208"/>
      <c r="Z31" s="640">
        <v>10</v>
      </c>
      <c r="AA31" s="208"/>
      <c r="AB31" s="407"/>
      <c r="AC31" s="208"/>
      <c r="AD31" s="320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706"/>
    </row>
    <row r="32" spans="1:41" s="83" customFormat="1">
      <c r="A32" s="63">
        <f>IFERROR(VLOOKUP(Table6[[#This Row],[Player No]],Table10[[#All],[No]:[Age Group]],4,0),"")</f>
        <v>0</v>
      </c>
      <c r="B32" s="264">
        <v>7</v>
      </c>
      <c r="C32" s="77">
        <f t="shared" si="4"/>
        <v>-21</v>
      </c>
      <c r="D32" s="63">
        <f t="shared" si="2"/>
        <v>28</v>
      </c>
      <c r="E32" s="63">
        <v>3505</v>
      </c>
      <c r="F32" s="591" t="str">
        <f>IFERROR(VLOOKUP(Table6[[#This Row],[Player No]],Table10[[No]:[Province]],2,0),"")</f>
        <v>NAIDOO David</v>
      </c>
      <c r="G32" s="592" t="str">
        <f>IFERROR(VLOOKUP(Table6[[#This Row],[Player No]],Table10[[No]:[Province]],3,0),"")</f>
        <v>ETTA</v>
      </c>
      <c r="H32" s="66">
        <v>208.5</v>
      </c>
      <c r="I32" s="644">
        <v>104.25</v>
      </c>
      <c r="J32" s="819">
        <f>Table6[[#This Row],[Points 2025]]/2+SUM(Table6[[#This Row],[O1  ADMIN 2026]:[P2                           CT Open    2026]])</f>
        <v>52.125</v>
      </c>
      <c r="K32" s="63">
        <f t="shared" si="1"/>
        <v>0</v>
      </c>
      <c r="L32" s="63">
        <f t="shared" si="3"/>
        <v>0</v>
      </c>
      <c r="M32" s="708"/>
      <c r="N32" s="708" t="s">
        <v>6083</v>
      </c>
      <c r="O32" s="708" t="s">
        <v>6083</v>
      </c>
      <c r="P32" s="708"/>
      <c r="Q32" s="63" t="s">
        <v>4722</v>
      </c>
      <c r="R32" s="63"/>
      <c r="S32" s="114"/>
      <c r="T32" s="114"/>
      <c r="U32" s="63"/>
      <c r="V32" s="114"/>
      <c r="W32" s="63"/>
      <c r="X32" s="708"/>
      <c r="Y32" s="63"/>
      <c r="Z32" s="636"/>
      <c r="AA32" s="63"/>
      <c r="AB32" s="400"/>
      <c r="AC32" s="63"/>
      <c r="AD32" s="114"/>
      <c r="AE32" s="63"/>
      <c r="AF32" s="63">
        <v>75</v>
      </c>
      <c r="AG32" s="63">
        <v>1</v>
      </c>
      <c r="AH32" s="63"/>
      <c r="AI32" s="63"/>
      <c r="AJ32" s="63">
        <v>50</v>
      </c>
      <c r="AK32" s="63"/>
      <c r="AL32" s="63"/>
      <c r="AM32" s="63">
        <v>25</v>
      </c>
      <c r="AN32" s="63">
        <v>25</v>
      </c>
      <c r="AO32" s="127"/>
    </row>
    <row r="33" spans="1:41" s="83" customFormat="1">
      <c r="A33" s="61"/>
      <c r="B33" s="264"/>
      <c r="C33" s="77">
        <f t="shared" si="4"/>
        <v>-29</v>
      </c>
      <c r="D33" s="63">
        <f t="shared" si="2"/>
        <v>29</v>
      </c>
      <c r="E33" s="63">
        <v>3604</v>
      </c>
      <c r="F33" s="64" t="str">
        <f>IFERROR(VLOOKUP(Table6[[#This Row],[Player No]],Table10[[No]:[Province]],2,0),"")</f>
        <v>DHRAMPAL Cole</v>
      </c>
      <c r="G33" s="65" t="str">
        <f>IFERROR(VLOOKUP(Table6[[#This Row],[Player No]],Table10[[No]:[Province]],3,0),"")</f>
        <v>UMG</v>
      </c>
      <c r="H33" s="66">
        <v>0</v>
      </c>
      <c r="I33" s="644">
        <v>81</v>
      </c>
      <c r="J33" s="819">
        <f>Table6[[#This Row],[Points 2025]]/2+SUM(Table6[[#This Row],[O1  ADMIN 2026]:[P2                           CT Open    2026]])</f>
        <v>50.5</v>
      </c>
      <c r="K33" s="63">
        <f t="shared" si="1"/>
        <v>1</v>
      </c>
      <c r="L33" s="63">
        <f t="shared" si="3"/>
        <v>0</v>
      </c>
      <c r="M33" s="708"/>
      <c r="N33" s="708">
        <v>10</v>
      </c>
      <c r="O33" s="708" t="s">
        <v>6083</v>
      </c>
      <c r="P33" s="708"/>
      <c r="Q33" s="63">
        <v>25</v>
      </c>
      <c r="R33" s="63">
        <v>15</v>
      </c>
      <c r="S33" s="114">
        <v>25</v>
      </c>
      <c r="T33" s="114">
        <v>1</v>
      </c>
      <c r="U33" s="63">
        <v>15</v>
      </c>
      <c r="V33" s="114"/>
      <c r="W33" s="63"/>
      <c r="X33" s="708"/>
      <c r="Y33" s="63"/>
      <c r="Z33" s="636"/>
      <c r="AA33" s="63"/>
      <c r="AB33" s="400"/>
      <c r="AC33" s="63"/>
      <c r="AD33" s="114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127"/>
    </row>
    <row r="34" spans="1:41" s="83" customFormat="1">
      <c r="A34" s="63" t="str">
        <f>IFERROR(VLOOKUP(Table6[[#This Row],[Player No]],Table10[[#All],[No]:[Age Group]],4,0),"")</f>
        <v>U15</v>
      </c>
      <c r="B34" s="264">
        <v>39</v>
      </c>
      <c r="C34" s="77">
        <f t="shared" si="4"/>
        <v>9</v>
      </c>
      <c r="D34" s="63">
        <f t="shared" si="2"/>
        <v>30</v>
      </c>
      <c r="E34" s="63">
        <v>2605</v>
      </c>
      <c r="F34" s="64" t="str">
        <f>IFERROR(VLOOKUP(Table6[[#This Row],[Player No]],Table10[[No]:[Province]],2,0),"")</f>
        <v>JONES Alexander</v>
      </c>
      <c r="G34" s="65" t="str">
        <f>IFERROR(VLOOKUP(Table6[[#This Row],[Player No]],Table10[[No]:[Province]],3,0),"")</f>
        <v>CT</v>
      </c>
      <c r="H34" s="66">
        <v>32.625</v>
      </c>
      <c r="I34" s="644">
        <v>98.8125</v>
      </c>
      <c r="J34" s="819">
        <f>Table6[[#This Row],[Points 2025]]/2+SUM(Table6[[#This Row],[O1  ADMIN 2026]:[P2                           CT Open    2026]])</f>
        <v>49.40625</v>
      </c>
      <c r="K34" s="63">
        <f t="shared" si="1"/>
        <v>0</v>
      </c>
      <c r="L34" s="63">
        <f t="shared" si="3"/>
        <v>0</v>
      </c>
      <c r="M34" s="708"/>
      <c r="N34" s="708" t="s">
        <v>6083</v>
      </c>
      <c r="O34" s="708" t="s">
        <v>6083</v>
      </c>
      <c r="P34" s="708"/>
      <c r="Q34" s="63" t="s">
        <v>4722</v>
      </c>
      <c r="R34" s="63"/>
      <c r="S34" s="114"/>
      <c r="T34" s="114"/>
      <c r="U34" s="63"/>
      <c r="V34" s="114"/>
      <c r="W34" s="63"/>
      <c r="X34" s="708"/>
      <c r="Y34" s="63"/>
      <c r="Z34" s="636">
        <v>50</v>
      </c>
      <c r="AA34" s="63"/>
      <c r="AB34" s="400"/>
      <c r="AC34" s="63"/>
      <c r="AD34" s="114">
        <v>7.5</v>
      </c>
      <c r="AE34" s="63">
        <v>25</v>
      </c>
      <c r="AF34" s="63"/>
      <c r="AG34" s="63"/>
      <c r="AH34" s="63">
        <v>5</v>
      </c>
      <c r="AI34" s="63"/>
      <c r="AJ34" s="63"/>
      <c r="AK34" s="63"/>
      <c r="AL34" s="63"/>
      <c r="AM34" s="63"/>
      <c r="AN34" s="63"/>
      <c r="AO34" s="127"/>
    </row>
    <row r="35" spans="1:41" s="83" customFormat="1">
      <c r="A35" s="63">
        <f>IFERROR(VLOOKUP(Table6[[#This Row],[Player No]],Table10[[#All],[No]:[Age Group]],4,0),"")</f>
        <v>0</v>
      </c>
      <c r="B35" s="264">
        <v>190</v>
      </c>
      <c r="C35" s="77">
        <f t="shared" si="4"/>
        <v>159</v>
      </c>
      <c r="D35" s="63">
        <f t="shared" si="2"/>
        <v>31</v>
      </c>
      <c r="E35" s="63">
        <v>3940</v>
      </c>
      <c r="F35" s="64" t="str">
        <f>IFERROR(VLOOKUP(Table6[[#This Row],[Player No]],Table10[[No]:[Province]],2,0),"")</f>
        <v>DANSTER Luke</v>
      </c>
      <c r="G35" s="65" t="str">
        <f>IFERROR(VLOOKUP(Table6[[#This Row],[Player No]],Table10[[No]:[Province]],3,0),"")</f>
        <v>CT</v>
      </c>
      <c r="H35" s="66">
        <v>26</v>
      </c>
      <c r="I35" s="644">
        <v>93</v>
      </c>
      <c r="J35" s="819">
        <f>Table6[[#This Row],[Points 2025]]/2+SUM(Table6[[#This Row],[O1  ADMIN 2026]:[P2                           CT Open    2026]])</f>
        <v>46.5</v>
      </c>
      <c r="K35" s="63">
        <f t="shared" si="1"/>
        <v>0</v>
      </c>
      <c r="L35" s="63">
        <f t="shared" si="3"/>
        <v>0</v>
      </c>
      <c r="M35" s="708"/>
      <c r="N35" s="708" t="s">
        <v>6083</v>
      </c>
      <c r="O35" s="708" t="s">
        <v>6083</v>
      </c>
      <c r="P35" s="708"/>
      <c r="Q35" s="63"/>
      <c r="R35" s="63"/>
      <c r="S35" s="114"/>
      <c r="T35" s="114"/>
      <c r="U35" s="63"/>
      <c r="V35" s="114"/>
      <c r="W35" s="63"/>
      <c r="X35" s="708"/>
      <c r="Y35" s="63"/>
      <c r="Z35" s="636">
        <v>25</v>
      </c>
      <c r="AA35" s="63"/>
      <c r="AB35" s="400"/>
      <c r="AC35" s="63"/>
      <c r="AD35" s="114">
        <v>5</v>
      </c>
      <c r="AE35" s="63">
        <v>50</v>
      </c>
      <c r="AF35" s="63"/>
      <c r="AG35" s="63"/>
      <c r="AH35" s="63">
        <v>1</v>
      </c>
      <c r="AI35" s="63">
        <v>25</v>
      </c>
      <c r="AJ35" s="63"/>
      <c r="AK35" s="63"/>
      <c r="AL35" s="63"/>
      <c r="AM35" s="63"/>
      <c r="AN35" s="63"/>
      <c r="AO35" s="127"/>
    </row>
    <row r="36" spans="1:41" s="83" customFormat="1">
      <c r="A36" s="164"/>
      <c r="B36" s="265"/>
      <c r="C36" s="160">
        <f t="shared" si="4"/>
        <v>-32</v>
      </c>
      <c r="D36" s="63">
        <f t="shared" si="2"/>
        <v>32</v>
      </c>
      <c r="E36" s="161">
        <v>4376</v>
      </c>
      <c r="F36" s="64" t="str">
        <f>IFERROR(VLOOKUP(Table6[[#This Row],[Player No]],Table10[[No]:[Province]],2,0),"")</f>
        <v xml:space="preserve">SISHI Yamkela </v>
      </c>
      <c r="G36" s="65" t="str">
        <f>IFERROR(VLOOKUP(Table6[[#This Row],[Player No]],Table10[[No]:[Province]],3,0),"")</f>
        <v>ETTA</v>
      </c>
      <c r="H36" s="66">
        <v>0.25</v>
      </c>
      <c r="I36" s="644">
        <v>90.125</v>
      </c>
      <c r="J36" s="819">
        <f>Table6[[#This Row],[Points 2025]]/2+SUM(Table6[[#This Row],[O1  ADMIN 2026]:[P2                           CT Open    2026]])</f>
        <v>45.0625</v>
      </c>
      <c r="K36" s="63">
        <f t="shared" si="1"/>
        <v>0</v>
      </c>
      <c r="L36" s="63">
        <f t="shared" si="3"/>
        <v>0</v>
      </c>
      <c r="M36" s="708"/>
      <c r="N36" s="708" t="s">
        <v>6083</v>
      </c>
      <c r="O36" s="708" t="s">
        <v>6083</v>
      </c>
      <c r="P36" s="708"/>
      <c r="Q36" s="157"/>
      <c r="R36" s="157">
        <v>15</v>
      </c>
      <c r="S36" s="165">
        <v>15</v>
      </c>
      <c r="T36" s="165">
        <v>50</v>
      </c>
      <c r="U36" s="157"/>
      <c r="V36" s="165"/>
      <c r="W36" s="157"/>
      <c r="X36" s="712"/>
      <c r="Y36" s="157"/>
      <c r="Z36" s="700">
        <v>10</v>
      </c>
      <c r="AA36" s="157"/>
      <c r="AB36" s="444"/>
      <c r="AC36" s="157"/>
      <c r="AD36" s="165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610"/>
    </row>
    <row r="37" spans="1:41" s="83" customFormat="1">
      <c r="A37" s="63">
        <f>IFERROR(VLOOKUP(Table6[[#This Row],[Player No]],Table10[[#All],[No]:[Age Group]],4,0),"")</f>
        <v>0</v>
      </c>
      <c r="B37" s="264">
        <v>190</v>
      </c>
      <c r="C37" s="77">
        <f t="shared" si="4"/>
        <v>157</v>
      </c>
      <c r="D37" s="63">
        <f t="shared" si="2"/>
        <v>33</v>
      </c>
      <c r="E37" s="63">
        <v>3936</v>
      </c>
      <c r="F37" s="64" t="str">
        <f>IFERROR(VLOOKUP(Table6[[#This Row],[Player No]],Table10[[No]:[Province]],2,0),"")</f>
        <v>NQGULA Nande</v>
      </c>
      <c r="G37" s="65" t="str">
        <f>IFERROR(VLOOKUP(Table6[[#This Row],[Player No]],Table10[[No]:[Province]],3,0),"")</f>
        <v>CT</v>
      </c>
      <c r="H37" s="66">
        <v>65</v>
      </c>
      <c r="I37" s="644">
        <v>90</v>
      </c>
      <c r="J37" s="819">
        <f>Table6[[#This Row],[Points 2025]]/2+SUM(Table6[[#This Row],[O1  ADMIN 2026]:[P2                           CT Open    2026]])</f>
        <v>45</v>
      </c>
      <c r="K37" s="63">
        <f t="shared" si="1"/>
        <v>0</v>
      </c>
      <c r="L37" s="63">
        <f t="shared" si="3"/>
        <v>0</v>
      </c>
      <c r="M37" s="708"/>
      <c r="N37" s="708" t="s">
        <v>6083</v>
      </c>
      <c r="O37" s="708" t="s">
        <v>6083</v>
      </c>
      <c r="P37" s="708"/>
      <c r="Q37" s="63"/>
      <c r="R37" s="63"/>
      <c r="S37" s="114"/>
      <c r="T37" s="114"/>
      <c r="U37" s="63"/>
      <c r="V37" s="114"/>
      <c r="W37" s="63"/>
      <c r="X37" s="708"/>
      <c r="Y37" s="63"/>
      <c r="Z37" s="636">
        <v>25</v>
      </c>
      <c r="AA37" s="63"/>
      <c r="AB37" s="400"/>
      <c r="AC37" s="63"/>
      <c r="AD37" s="114">
        <v>7.5</v>
      </c>
      <c r="AE37" s="63">
        <v>25</v>
      </c>
      <c r="AF37" s="63"/>
      <c r="AG37" s="63"/>
      <c r="AH37" s="63">
        <v>15</v>
      </c>
      <c r="AI37" s="63">
        <v>50</v>
      </c>
      <c r="AJ37" s="63"/>
      <c r="AK37" s="63"/>
      <c r="AL37" s="63"/>
      <c r="AM37" s="63"/>
      <c r="AN37" s="63"/>
      <c r="AO37" s="127"/>
    </row>
    <row r="38" spans="1:41" s="83" customFormat="1">
      <c r="A38" s="63">
        <f>IFERROR(VLOOKUP(Table6[[#This Row],[Player No]],Table10[[#All],[No]:[Age Group]],4,0),"")</f>
        <v>0</v>
      </c>
      <c r="B38" s="264">
        <v>120</v>
      </c>
      <c r="C38" s="77">
        <f t="shared" si="4"/>
        <v>86</v>
      </c>
      <c r="D38" s="63">
        <f t="shared" si="2"/>
        <v>34</v>
      </c>
      <c r="E38" s="63">
        <v>3514</v>
      </c>
      <c r="F38" s="64" t="str">
        <f>IFERROR(VLOOKUP(Table6[[#This Row],[Player No]],Table10[[No]:[Province]],2,0),"")</f>
        <v>PERUMAL Kiaran</v>
      </c>
      <c r="G38" s="65" t="str">
        <f>IFERROR(VLOOKUP(Table6[[#This Row],[Player No]],Table10[[No]:[Province]],3,0),"")</f>
        <v>UMG</v>
      </c>
      <c r="H38" s="66">
        <v>5</v>
      </c>
      <c r="I38" s="644">
        <v>44.5</v>
      </c>
      <c r="J38" s="819">
        <f>Table6[[#This Row],[Points 2025]]/2+SUM(Table6[[#This Row],[O1  ADMIN 2026]:[P2                           CT Open    2026]])</f>
        <v>42.25</v>
      </c>
      <c r="K38" s="63">
        <f t="shared" si="1"/>
        <v>2</v>
      </c>
      <c r="L38" s="63">
        <f t="shared" si="3"/>
        <v>0</v>
      </c>
      <c r="M38" s="708"/>
      <c r="N38" s="708">
        <v>10</v>
      </c>
      <c r="O38" s="708">
        <v>10</v>
      </c>
      <c r="P38" s="708"/>
      <c r="Q38" s="63">
        <v>15</v>
      </c>
      <c r="R38" s="63">
        <v>1</v>
      </c>
      <c r="S38" s="114">
        <v>10</v>
      </c>
      <c r="T38" s="114">
        <v>15</v>
      </c>
      <c r="U38" s="63">
        <v>1</v>
      </c>
      <c r="V38" s="114"/>
      <c r="W38" s="63"/>
      <c r="X38" s="708"/>
      <c r="Y38" s="63"/>
      <c r="Z38" s="636"/>
      <c r="AA38" s="63"/>
      <c r="AB38" s="400"/>
      <c r="AC38" s="63"/>
      <c r="AD38" s="114"/>
      <c r="AE38" s="63"/>
      <c r="AF38" s="63">
        <v>2</v>
      </c>
      <c r="AG38" s="63">
        <v>1</v>
      </c>
      <c r="AH38" s="63"/>
      <c r="AI38" s="63"/>
      <c r="AJ38" s="63"/>
      <c r="AK38" s="63"/>
      <c r="AL38" s="63"/>
      <c r="AM38" s="63">
        <v>2</v>
      </c>
      <c r="AN38" s="63"/>
      <c r="AO38" s="127"/>
    </row>
    <row r="39" spans="1:41" s="83" customFormat="1">
      <c r="A39" s="63">
        <f>IFERROR(VLOOKUP(Table6[[#This Row],[Player No]],Table10[[#All],[No]:[Age Group]],4,0),"")</f>
        <v>0</v>
      </c>
      <c r="B39" s="264">
        <v>190</v>
      </c>
      <c r="C39" s="77">
        <f t="shared" si="4"/>
        <v>155</v>
      </c>
      <c r="D39" s="63">
        <f t="shared" si="2"/>
        <v>35</v>
      </c>
      <c r="E39" s="63">
        <v>3938</v>
      </c>
      <c r="F39" s="64" t="str">
        <f>IFERROR(VLOOKUP(Table6[[#This Row],[Player No]],Table10[[No]:[Province]],2,0),"")</f>
        <v>MUSUNGISI Marvin</v>
      </c>
      <c r="G39" s="65" t="str">
        <f>IFERROR(VLOOKUP(Table6[[#This Row],[Player No]],Table10[[No]:[Province]],3,0),"")</f>
        <v>CT</v>
      </c>
      <c r="H39" s="66">
        <v>65</v>
      </c>
      <c r="I39" s="644">
        <v>83.5</v>
      </c>
      <c r="J39" s="819">
        <f>Table6[[#This Row],[Points 2025]]/2+SUM(Table6[[#This Row],[O1  ADMIN 2026]:[P2                           CT Open    2026]])</f>
        <v>41.75</v>
      </c>
      <c r="K39" s="63">
        <f t="shared" si="1"/>
        <v>0</v>
      </c>
      <c r="L39" s="63">
        <f t="shared" ref="L39:L59" si="5">COUNTIF(N39:AO39,"&lt;0")</f>
        <v>0</v>
      </c>
      <c r="M39" s="708"/>
      <c r="N39" s="708" t="s">
        <v>6083</v>
      </c>
      <c r="O39" s="708" t="s">
        <v>6083</v>
      </c>
      <c r="P39" s="708"/>
      <c r="Q39" s="63"/>
      <c r="R39" s="63"/>
      <c r="S39" s="114"/>
      <c r="T39" s="114"/>
      <c r="U39" s="63"/>
      <c r="V39" s="114"/>
      <c r="W39" s="63"/>
      <c r="X39" s="708"/>
      <c r="Y39" s="63"/>
      <c r="Z39" s="636">
        <v>25</v>
      </c>
      <c r="AA39" s="63"/>
      <c r="AB39" s="400"/>
      <c r="AC39" s="63"/>
      <c r="AD39" s="114">
        <v>1</v>
      </c>
      <c r="AE39" s="63">
        <v>25</v>
      </c>
      <c r="AF39" s="63"/>
      <c r="AG39" s="63"/>
      <c r="AH39" s="63">
        <v>15</v>
      </c>
      <c r="AI39" s="63">
        <v>50</v>
      </c>
      <c r="AJ39" s="63"/>
      <c r="AK39" s="63"/>
      <c r="AL39" s="63"/>
      <c r="AM39" s="63"/>
      <c r="AN39" s="63"/>
      <c r="AO39" s="127"/>
    </row>
    <row r="40" spans="1:41" s="83" customFormat="1">
      <c r="A40" s="164"/>
      <c r="B40" s="265"/>
      <c r="C40" s="160">
        <f t="shared" si="4"/>
        <v>-36</v>
      </c>
      <c r="D40" s="63">
        <f t="shared" si="2"/>
        <v>36</v>
      </c>
      <c r="E40" s="161">
        <v>4233</v>
      </c>
      <c r="F40" s="64" t="str">
        <f>IFERROR(VLOOKUP(Table6[[#This Row],[Player No]],Table10[[No]:[Province]],2,0),"")</f>
        <v>ALI Shameel</v>
      </c>
      <c r="G40" s="65" t="str">
        <f>IFERROR(VLOOKUP(Table6[[#This Row],[Player No]],Table10[[No]:[Province]],3,0),"")</f>
        <v>UMG</v>
      </c>
      <c r="H40" s="66">
        <v>0.25</v>
      </c>
      <c r="I40" s="644">
        <v>1.125</v>
      </c>
      <c r="J40" s="819">
        <f>Table6[[#This Row],[Points 2025]]/2+SUM(Table6[[#This Row],[O1  ADMIN 2026]:[P2                           CT Open    2026]])</f>
        <v>40.5625</v>
      </c>
      <c r="K40" s="63">
        <f t="shared" si="1"/>
        <v>2</v>
      </c>
      <c r="L40" s="63">
        <f t="shared" si="5"/>
        <v>0</v>
      </c>
      <c r="M40" s="708"/>
      <c r="N40" s="708">
        <v>15</v>
      </c>
      <c r="O40" s="708">
        <v>25</v>
      </c>
      <c r="P40" s="708"/>
      <c r="Q40" s="157"/>
      <c r="R40" s="157">
        <v>1</v>
      </c>
      <c r="S40" s="165"/>
      <c r="T40" s="165"/>
      <c r="U40" s="157"/>
      <c r="V40" s="165"/>
      <c r="W40" s="157"/>
      <c r="X40" s="712"/>
      <c r="Y40" s="157"/>
      <c r="Z40" s="700"/>
      <c r="AA40" s="157"/>
      <c r="AB40" s="444"/>
      <c r="AC40" s="157"/>
      <c r="AD40" s="165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610"/>
    </row>
    <row r="41" spans="1:41" s="83" customFormat="1">
      <c r="A41" s="63">
        <f>IFERROR(VLOOKUP(Table6[[#This Row],[Player No]],Table10[[#All],[No]:[Age Group]],4,0),"")</f>
        <v>0</v>
      </c>
      <c r="B41" s="264">
        <v>95</v>
      </c>
      <c r="C41" s="77">
        <f t="shared" si="4"/>
        <v>58</v>
      </c>
      <c r="D41" s="63">
        <f t="shared" si="2"/>
        <v>37</v>
      </c>
      <c r="E41" s="63">
        <v>3681</v>
      </c>
      <c r="F41" s="64" t="str">
        <f>IFERROR(VLOOKUP(Table6[[#This Row],[Player No]],Table10[[No]:[Province]],2,0),"")</f>
        <v>RAGHUNAN Rysan</v>
      </c>
      <c r="G41" s="65" t="str">
        <f>IFERROR(VLOOKUP(Table6[[#This Row],[Player No]],Table10[[No]:[Province]],3,0),"")</f>
        <v>ETTA</v>
      </c>
      <c r="H41" s="66">
        <v>12</v>
      </c>
      <c r="I41" s="644">
        <v>81</v>
      </c>
      <c r="J41" s="819">
        <f>Table6[[#This Row],[Points 2025]]/2+SUM(Table6[[#This Row],[O1  ADMIN 2026]:[P2                           CT Open    2026]])</f>
        <v>40.5</v>
      </c>
      <c r="K41" s="63">
        <f t="shared" si="1"/>
        <v>0</v>
      </c>
      <c r="L41" s="63">
        <f t="shared" si="5"/>
        <v>0</v>
      </c>
      <c r="M41" s="708"/>
      <c r="N41" s="708" t="s">
        <v>6083</v>
      </c>
      <c r="O41" s="708" t="s">
        <v>6083</v>
      </c>
      <c r="P41" s="708"/>
      <c r="Q41" s="63">
        <v>25</v>
      </c>
      <c r="R41" s="63"/>
      <c r="S41" s="114"/>
      <c r="T41" s="114">
        <v>25</v>
      </c>
      <c r="U41" s="63"/>
      <c r="V41" s="114"/>
      <c r="W41" s="63"/>
      <c r="X41" s="708"/>
      <c r="Y41" s="63"/>
      <c r="Z41" s="636">
        <v>25</v>
      </c>
      <c r="AA41" s="63"/>
      <c r="AB41" s="400"/>
      <c r="AC41" s="63"/>
      <c r="AD41" s="114"/>
      <c r="AE41" s="63"/>
      <c r="AF41" s="63">
        <v>2</v>
      </c>
      <c r="AG41" s="63"/>
      <c r="AH41" s="63"/>
      <c r="AI41" s="63"/>
      <c r="AJ41" s="63">
        <v>5</v>
      </c>
      <c r="AK41" s="63"/>
      <c r="AL41" s="63"/>
      <c r="AM41" s="63"/>
      <c r="AN41" s="63"/>
      <c r="AO41" s="127"/>
    </row>
    <row r="42" spans="1:41" s="83" customFormat="1">
      <c r="A42" s="175"/>
      <c r="B42" s="267"/>
      <c r="C42" s="168" t="e">
        <v>#VALUE!</v>
      </c>
      <c r="D42" s="63">
        <f t="shared" si="2"/>
        <v>38</v>
      </c>
      <c r="E42" s="174">
        <v>4399</v>
      </c>
      <c r="F42" s="176" t="str">
        <f>IFERROR(VLOOKUP(Table6[[#This Row],[Player No]],Table10[[No]:[Province]],2,0),"")</f>
        <v>GOKHALE Ishaan</v>
      </c>
      <c r="G42" s="177" t="str">
        <f>IFERROR(VLOOKUP(Table6[[#This Row],[Player No]],Table10[[No]:[Province]],3,0),"")</f>
        <v>GN</v>
      </c>
      <c r="H42" s="86">
        <v>0</v>
      </c>
      <c r="I42" s="644">
        <v>80</v>
      </c>
      <c r="J42" s="819">
        <f>Table6[[#This Row],[Points 2025]]/2+SUM(Table6[[#This Row],[O1  ADMIN 2026]:[P2                           CT Open    2026]])</f>
        <v>40</v>
      </c>
      <c r="K42" s="63">
        <f t="shared" si="1"/>
        <v>0</v>
      </c>
      <c r="L42" s="63">
        <f t="shared" si="5"/>
        <v>0</v>
      </c>
      <c r="M42" s="708"/>
      <c r="N42" s="708" t="s">
        <v>6083</v>
      </c>
      <c r="O42" s="708" t="s">
        <v>6083</v>
      </c>
      <c r="P42" s="708"/>
      <c r="Q42" s="63"/>
      <c r="R42" s="63"/>
      <c r="S42" s="114"/>
      <c r="T42" s="114"/>
      <c r="U42" s="63"/>
      <c r="V42" s="114"/>
      <c r="W42" s="63"/>
      <c r="X42" s="708"/>
      <c r="Y42" s="63">
        <v>35</v>
      </c>
      <c r="Z42" s="636"/>
      <c r="AA42" s="63"/>
      <c r="AB42" s="400">
        <v>20</v>
      </c>
      <c r="AC42" s="63">
        <v>25</v>
      </c>
      <c r="AD42" s="114"/>
      <c r="AE42" s="63"/>
      <c r="AF42" s="63"/>
      <c r="AG42" s="63"/>
      <c r="AH42" s="63"/>
      <c r="AI42" s="92"/>
      <c r="AJ42" s="92"/>
      <c r="AK42" s="92"/>
      <c r="AL42" s="92"/>
      <c r="AM42" s="92"/>
      <c r="AN42" s="92"/>
      <c r="AO42" s="707"/>
    </row>
    <row r="43" spans="1:41" s="83" customFormat="1">
      <c r="A43" s="614"/>
      <c r="B43" s="732"/>
      <c r="C43" s="618">
        <f>+B43-D43</f>
        <v>-39</v>
      </c>
      <c r="D43" s="63">
        <f t="shared" si="2"/>
        <v>39</v>
      </c>
      <c r="E43" s="620">
        <v>4232</v>
      </c>
      <c r="F43" s="64" t="str">
        <f>IFERROR(VLOOKUP(Table6[[#This Row],[Player No]],Table10[[No]:[Province]],2,0),"")</f>
        <v>ARBEE Ahmed</v>
      </c>
      <c r="G43" s="65" t="str">
        <f>IFERROR(VLOOKUP(Table6[[#This Row],[Player No]],Table10[[No]:[Province]],3,0),"")</f>
        <v>UMG</v>
      </c>
      <c r="H43" s="626"/>
      <c r="I43" s="644">
        <v>0</v>
      </c>
      <c r="J43" s="819">
        <f>Table6[[#This Row],[Points 2025]]/2+SUM(Table6[[#This Row],[O1  ADMIN 2026]:[P2                           CT Open    2026]])</f>
        <v>40</v>
      </c>
      <c r="K43" s="63">
        <f t="shared" si="1"/>
        <v>2</v>
      </c>
      <c r="L43" s="63">
        <f t="shared" si="5"/>
        <v>0</v>
      </c>
      <c r="M43" s="708"/>
      <c r="N43" s="781">
        <v>25</v>
      </c>
      <c r="O43" s="781">
        <v>15</v>
      </c>
      <c r="P43" s="781"/>
      <c r="Q43" s="624"/>
      <c r="R43" s="624"/>
      <c r="S43" s="625"/>
      <c r="T43" s="625"/>
      <c r="U43" s="624"/>
      <c r="V43" s="625"/>
      <c r="W43" s="624"/>
      <c r="X43" s="709"/>
      <c r="Y43" s="624"/>
      <c r="Z43" s="677"/>
      <c r="AA43" s="624"/>
      <c r="AB43" s="611"/>
      <c r="AC43" s="624"/>
      <c r="AD43" s="625"/>
      <c r="AE43" s="624"/>
      <c r="AF43" s="624"/>
      <c r="AG43" s="624"/>
      <c r="AH43" s="624"/>
      <c r="AI43" s="624"/>
      <c r="AJ43" s="624"/>
      <c r="AK43" s="624"/>
      <c r="AL43" s="624"/>
      <c r="AM43" s="624"/>
      <c r="AN43" s="624"/>
      <c r="AO43" s="630"/>
    </row>
    <row r="44" spans="1:41" s="83" customFormat="1">
      <c r="A44" s="61"/>
      <c r="B44" s="264"/>
      <c r="C44" s="77">
        <f>+B44-D44</f>
        <v>-40</v>
      </c>
      <c r="D44" s="63">
        <f t="shared" si="2"/>
        <v>40</v>
      </c>
      <c r="E44" s="139">
        <v>4007</v>
      </c>
      <c r="F44" s="64" t="str">
        <f>IFERROR(VLOOKUP(Table6[[#This Row],[Player No]],Table10[[No]:[Province]],2,0),"")</f>
        <v>CHETTY Saerin</v>
      </c>
      <c r="G44" s="65" t="str">
        <f>IFERROR(VLOOKUP(Table6[[#This Row],[Player No]],Table10[[No]:[Province]],3,0),"")</f>
        <v>UMG</v>
      </c>
      <c r="H44" s="66">
        <v>0</v>
      </c>
      <c r="I44" s="644">
        <v>57</v>
      </c>
      <c r="J44" s="819">
        <f>Table6[[#This Row],[Points 2025]]/2+SUM(Table6[[#This Row],[O1  ADMIN 2026]:[P2                           CT Open    2026]])</f>
        <v>39.5</v>
      </c>
      <c r="K44" s="63">
        <f t="shared" si="1"/>
        <v>2</v>
      </c>
      <c r="L44" s="63">
        <f t="shared" si="5"/>
        <v>0</v>
      </c>
      <c r="M44" s="708"/>
      <c r="N44" s="708">
        <v>1</v>
      </c>
      <c r="O44" s="708">
        <v>10</v>
      </c>
      <c r="P44" s="708"/>
      <c r="Q44" s="63">
        <v>2</v>
      </c>
      <c r="R44" s="63">
        <v>10</v>
      </c>
      <c r="S44" s="114">
        <v>15</v>
      </c>
      <c r="T44" s="114">
        <v>15</v>
      </c>
      <c r="U44" s="63">
        <v>15</v>
      </c>
      <c r="V44" s="114"/>
      <c r="W44" s="63"/>
      <c r="X44" s="708"/>
      <c r="Y44" s="63"/>
      <c r="Z44" s="636"/>
      <c r="AA44" s="63"/>
      <c r="AB44" s="400"/>
      <c r="AC44" s="63"/>
      <c r="AD44" s="114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127"/>
    </row>
    <row r="45" spans="1:41" s="83" customFormat="1">
      <c r="A45" s="138"/>
      <c r="B45" s="264"/>
      <c r="C45" s="77">
        <f>+B45-D45</f>
        <v>-41</v>
      </c>
      <c r="D45" s="63">
        <f t="shared" si="2"/>
        <v>41</v>
      </c>
      <c r="E45" s="40">
        <v>4228</v>
      </c>
      <c r="F45" s="64" t="str">
        <f>IFERROR(VLOOKUP(Table6[[#This Row],[Player No]],Table10[[No]:[Province]],2,0),"")</f>
        <v>CHOHAN Abdullah</v>
      </c>
      <c r="G45" s="65" t="str">
        <f>IFERROR(VLOOKUP(Table6[[#This Row],[Player No]],Table10[[No]:[Province]],3,0),"")</f>
        <v>UMG</v>
      </c>
      <c r="H45" s="66">
        <v>0</v>
      </c>
      <c r="I45" s="644">
        <v>18</v>
      </c>
      <c r="J45" s="819">
        <f>Table6[[#This Row],[Points 2025]]/2+SUM(Table6[[#This Row],[O1  ADMIN 2026]:[P2                           CT Open    2026]])</f>
        <v>39</v>
      </c>
      <c r="K45" s="63">
        <f t="shared" si="1"/>
        <v>2</v>
      </c>
      <c r="L45" s="63">
        <f t="shared" si="5"/>
        <v>0</v>
      </c>
      <c r="M45" s="708"/>
      <c r="N45" s="708">
        <v>15</v>
      </c>
      <c r="O45" s="708">
        <v>15</v>
      </c>
      <c r="P45" s="708"/>
      <c r="Q45" s="63">
        <v>2</v>
      </c>
      <c r="R45" s="63"/>
      <c r="S45" s="114">
        <v>15</v>
      </c>
      <c r="T45" s="114"/>
      <c r="U45" s="63">
        <v>1</v>
      </c>
      <c r="V45" s="114"/>
      <c r="W45" s="63"/>
      <c r="X45" s="708"/>
      <c r="Y45" s="63"/>
      <c r="Z45" s="636"/>
      <c r="AA45" s="63"/>
      <c r="AB45" s="400"/>
      <c r="AC45" s="63"/>
      <c r="AD45" s="114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127"/>
    </row>
    <row r="46" spans="1:41" s="83" customFormat="1">
      <c r="A46" s="138"/>
      <c r="B46" s="264"/>
      <c r="C46" s="77">
        <f>+B46-D46</f>
        <v>-42</v>
      </c>
      <c r="D46" s="63">
        <f t="shared" si="2"/>
        <v>42</v>
      </c>
      <c r="E46" s="40">
        <v>2614</v>
      </c>
      <c r="F46" s="64" t="str">
        <f>IFERROR(VLOOKUP(Table6[[#This Row],[Player No]],Table10[[No]:[Province]],2,0),"")</f>
        <v>INCE Sloan</v>
      </c>
      <c r="G46" s="65" t="str">
        <f>IFERROR(VLOOKUP(Table6[[#This Row],[Player No]],Table10[[No]:[Province]],3,0),"")</f>
        <v>UMG</v>
      </c>
      <c r="H46" s="66">
        <v>0</v>
      </c>
      <c r="I46" s="644">
        <v>77</v>
      </c>
      <c r="J46" s="819">
        <f>Table6[[#This Row],[Points 2025]]/2+SUM(Table6[[#This Row],[O1  ADMIN 2026]:[P2                           CT Open    2026]])</f>
        <v>38.5</v>
      </c>
      <c r="K46" s="63">
        <f t="shared" si="1"/>
        <v>0</v>
      </c>
      <c r="L46" s="63">
        <f t="shared" si="5"/>
        <v>0</v>
      </c>
      <c r="M46" s="708"/>
      <c r="N46" s="708" t="s">
        <v>6083</v>
      </c>
      <c r="O46" s="708" t="s">
        <v>6083</v>
      </c>
      <c r="P46" s="708"/>
      <c r="Q46" s="63">
        <v>25</v>
      </c>
      <c r="R46" s="63">
        <v>15</v>
      </c>
      <c r="S46" s="114">
        <v>1</v>
      </c>
      <c r="T46" s="114">
        <v>1</v>
      </c>
      <c r="U46" s="63">
        <v>25</v>
      </c>
      <c r="V46" s="114"/>
      <c r="W46" s="63"/>
      <c r="X46" s="708"/>
      <c r="Y46" s="63"/>
      <c r="Z46" s="636">
        <v>10</v>
      </c>
      <c r="AA46" s="63"/>
      <c r="AB46" s="400"/>
      <c r="AC46" s="63"/>
      <c r="AD46" s="114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127"/>
    </row>
    <row r="47" spans="1:41" s="83" customFormat="1">
      <c r="A47" s="63" t="str">
        <f>IFERROR(VLOOKUP(Table6[[#This Row],[Player No]],Table10[[#All],[No]:[Age Group]],4,0),"")</f>
        <v>U15</v>
      </c>
      <c r="B47" s="264">
        <v>145</v>
      </c>
      <c r="C47" s="77">
        <f>+B47-D47</f>
        <v>102</v>
      </c>
      <c r="D47" s="63">
        <f t="shared" si="2"/>
        <v>43</v>
      </c>
      <c r="E47" s="63">
        <v>3471</v>
      </c>
      <c r="F47" s="64" t="str">
        <f>IFERROR(VLOOKUP(Table6[[#This Row],[Player No]],Table10[[No]:[Province]],2,0),"")</f>
        <v>MORYA Vedansh</v>
      </c>
      <c r="G47" s="65" t="str">
        <f>IFERROR(VLOOKUP(Table6[[#This Row],[Player No]],Table10[[No]:[Province]],3,0),"")</f>
        <v>GN</v>
      </c>
      <c r="H47" s="66">
        <v>1</v>
      </c>
      <c r="I47" s="644">
        <v>75.5</v>
      </c>
      <c r="J47" s="819">
        <f>Table6[[#This Row],[Points 2025]]/2+SUM(Table6[[#This Row],[O1  ADMIN 2026]:[P2                           CT Open    2026]])</f>
        <v>37.75</v>
      </c>
      <c r="K47" s="63">
        <f t="shared" si="1"/>
        <v>0</v>
      </c>
      <c r="L47" s="63">
        <f t="shared" si="5"/>
        <v>0</v>
      </c>
      <c r="M47" s="708"/>
      <c r="N47" s="708" t="s">
        <v>6083</v>
      </c>
      <c r="O47" s="708" t="s">
        <v>6083</v>
      </c>
      <c r="P47" s="708"/>
      <c r="Q47" s="63"/>
      <c r="R47" s="63"/>
      <c r="S47" s="114"/>
      <c r="T47" s="114"/>
      <c r="U47" s="63"/>
      <c r="V47" s="114"/>
      <c r="W47" s="63"/>
      <c r="X47" s="708"/>
      <c r="Y47" s="63"/>
      <c r="Z47" s="636">
        <v>25</v>
      </c>
      <c r="AA47" s="63"/>
      <c r="AB47" s="400">
        <v>50</v>
      </c>
      <c r="AC47" s="63"/>
      <c r="AD47" s="114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127"/>
    </row>
    <row r="48" spans="1:41" s="83" customFormat="1">
      <c r="A48" s="63">
        <f>IFERROR(VLOOKUP(Table6[[#This Row],[Player No]],Table10[[#All],[No]:[Age Group]],4,0),"")</f>
        <v>0</v>
      </c>
      <c r="B48" s="264"/>
      <c r="C48" s="77"/>
      <c r="D48" s="63">
        <f t="shared" si="2"/>
        <v>44</v>
      </c>
      <c r="E48" s="63">
        <v>3553</v>
      </c>
      <c r="F48" s="64" t="str">
        <f>IFERROR(VLOOKUP(Table6[[#This Row],[Player No]],Table10[[No]:[Province]],2,0),"")</f>
        <v>SETHUNYA Koketso</v>
      </c>
      <c r="G48" s="65" t="str">
        <f>IFERROR(VLOOKUP(Table6[[#This Row],[Player No]],Table10[[No]:[Province]],3,0),"")</f>
        <v>FS</v>
      </c>
      <c r="H48" s="66">
        <v>5</v>
      </c>
      <c r="I48" s="644">
        <v>75</v>
      </c>
      <c r="J48" s="819">
        <f>Table6[[#This Row],[Points 2025]]/2+SUM(Table6[[#This Row],[O1  ADMIN 2026]:[P2                           CT Open    2026]])</f>
        <v>37.5</v>
      </c>
      <c r="K48" s="63">
        <f t="shared" si="1"/>
        <v>0</v>
      </c>
      <c r="L48" s="63">
        <f t="shared" si="5"/>
        <v>0</v>
      </c>
      <c r="M48" s="708"/>
      <c r="N48" s="708" t="s">
        <v>6083</v>
      </c>
      <c r="O48" s="708" t="s">
        <v>6083</v>
      </c>
      <c r="P48" s="708"/>
      <c r="Q48" s="63"/>
      <c r="R48" s="63"/>
      <c r="S48" s="114"/>
      <c r="T48" s="114"/>
      <c r="U48" s="63" t="s">
        <v>4722</v>
      </c>
      <c r="V48" s="114">
        <v>50</v>
      </c>
      <c r="W48" s="63">
        <v>17.5</v>
      </c>
      <c r="X48" s="708"/>
      <c r="Y48" s="63"/>
      <c r="Z48" s="636">
        <v>5</v>
      </c>
      <c r="AA48" s="63"/>
      <c r="AB48" s="400"/>
      <c r="AC48" s="63"/>
      <c r="AD48" s="114"/>
      <c r="AE48" s="63"/>
      <c r="AF48" s="63"/>
      <c r="AG48" s="63"/>
      <c r="AH48" s="63"/>
      <c r="AI48" s="63"/>
      <c r="AJ48" s="63">
        <v>5</v>
      </c>
      <c r="AK48" s="63"/>
      <c r="AL48" s="63"/>
      <c r="AM48" s="63"/>
      <c r="AN48" s="63"/>
      <c r="AO48" s="127"/>
    </row>
    <row r="49" spans="1:41" s="83" customFormat="1">
      <c r="A49" s="164"/>
      <c r="B49" s="265"/>
      <c r="C49" s="160">
        <f>+B49-D49</f>
        <v>-45</v>
      </c>
      <c r="D49" s="63">
        <f t="shared" si="2"/>
        <v>45</v>
      </c>
      <c r="E49" s="161">
        <v>3801</v>
      </c>
      <c r="F49" s="64" t="str">
        <f>IFERROR(VLOOKUP(Table6[[#This Row],[Player No]],Table10[[No]:[Province]],2,0),"")</f>
        <v>CELE Samkelo Ayabonga</v>
      </c>
      <c r="G49" s="65" t="str">
        <f>IFERROR(VLOOKUP(Table6[[#This Row],[Player No]],Table10[[No]:[Province]],3,0),"")</f>
        <v>ETTA</v>
      </c>
      <c r="H49" s="66">
        <v>0.25</v>
      </c>
      <c r="I49" s="644">
        <v>70.125</v>
      </c>
      <c r="J49" s="819">
        <f>Table6[[#This Row],[Points 2025]]/2+SUM(Table6[[#This Row],[O1  ADMIN 2026]:[P2                           CT Open    2026]])</f>
        <v>35.0625</v>
      </c>
      <c r="K49" s="63">
        <f t="shared" si="1"/>
        <v>0</v>
      </c>
      <c r="L49" s="63">
        <f t="shared" si="5"/>
        <v>0</v>
      </c>
      <c r="M49" s="708"/>
      <c r="N49" s="708" t="s">
        <v>6083</v>
      </c>
      <c r="O49" s="708" t="s">
        <v>6083</v>
      </c>
      <c r="P49" s="708"/>
      <c r="Q49" s="157">
        <v>25</v>
      </c>
      <c r="R49" s="157">
        <v>10</v>
      </c>
      <c r="S49" s="165"/>
      <c r="T49" s="165">
        <v>25</v>
      </c>
      <c r="U49" s="157"/>
      <c r="V49" s="165"/>
      <c r="W49" s="157"/>
      <c r="X49" s="712"/>
      <c r="Y49" s="157"/>
      <c r="Z49" s="700">
        <v>10</v>
      </c>
      <c r="AA49" s="157"/>
      <c r="AB49" s="444"/>
      <c r="AC49" s="157"/>
      <c r="AD49" s="165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610"/>
    </row>
    <row r="50" spans="1:41" s="83" customFormat="1">
      <c r="A50" s="63">
        <f>IFERROR(VLOOKUP(Table6[[#This Row],[Player No]],Table10[[#All],[No]:[Age Group]],4,0),"")</f>
        <v>0</v>
      </c>
      <c r="B50" s="264">
        <v>14</v>
      </c>
      <c r="C50" s="77">
        <f>+B50-D50</f>
        <v>-32</v>
      </c>
      <c r="D50" s="63">
        <f t="shared" si="2"/>
        <v>46</v>
      </c>
      <c r="E50" s="63">
        <v>2918</v>
      </c>
      <c r="F50" s="64" t="str">
        <f>IFERROR(VLOOKUP(Table6[[#This Row],[Player No]],Table10[[No]:[Province]],2,0),"")</f>
        <v>HUSVU Makomborero</v>
      </c>
      <c r="G50" s="65" t="str">
        <f>IFERROR(VLOOKUP(Table6[[#This Row],[Player No]],Table10[[No]:[Province]],3,0),"")</f>
        <v>GN</v>
      </c>
      <c r="H50" s="66">
        <v>109.875</v>
      </c>
      <c r="I50" s="644">
        <v>69.9375</v>
      </c>
      <c r="J50" s="819">
        <f>Table6[[#This Row],[Points 2025]]/2+SUM(Table6[[#This Row],[O1  ADMIN 2026]:[P2                           CT Open    2026]])</f>
        <v>34.96875</v>
      </c>
      <c r="K50" s="63">
        <f t="shared" si="1"/>
        <v>0</v>
      </c>
      <c r="L50" s="63">
        <f t="shared" si="5"/>
        <v>0</v>
      </c>
      <c r="M50" s="708"/>
      <c r="N50" s="708" t="s">
        <v>6083</v>
      </c>
      <c r="O50" s="708" t="s">
        <v>6083</v>
      </c>
      <c r="P50" s="708"/>
      <c r="Q50" s="63"/>
      <c r="R50" s="63"/>
      <c r="S50" s="114"/>
      <c r="T50" s="114"/>
      <c r="U50" s="63"/>
      <c r="V50" s="114"/>
      <c r="W50" s="63"/>
      <c r="X50" s="708"/>
      <c r="Y50" s="63"/>
      <c r="Z50" s="636"/>
      <c r="AA50" s="63">
        <v>15</v>
      </c>
      <c r="AB50" s="400"/>
      <c r="AC50" s="63"/>
      <c r="AD50" s="114"/>
      <c r="AE50" s="63"/>
      <c r="AF50" s="63"/>
      <c r="AG50" s="63">
        <v>15</v>
      </c>
      <c r="AH50" s="63"/>
      <c r="AI50" s="63"/>
      <c r="AJ50" s="63">
        <v>25</v>
      </c>
      <c r="AK50" s="63">
        <v>15</v>
      </c>
      <c r="AL50" s="63"/>
      <c r="AM50" s="63">
        <v>2</v>
      </c>
      <c r="AN50" s="63">
        <v>15</v>
      </c>
      <c r="AO50" s="127">
        <v>1</v>
      </c>
    </row>
    <row r="51" spans="1:41" s="83" customFormat="1">
      <c r="A51" s="63">
        <f>IFERROR(VLOOKUP(Table6[[#This Row],[Player No]],Table10[[#All],[No]:[Age Group]],4,0),"")</f>
        <v>0</v>
      </c>
      <c r="B51" s="264">
        <v>46</v>
      </c>
      <c r="C51" s="77"/>
      <c r="D51" s="63">
        <f t="shared" si="2"/>
        <v>47</v>
      </c>
      <c r="E51" s="63">
        <v>3754</v>
      </c>
      <c r="F51" s="64" t="str">
        <f>IFERROR(VLOOKUP(Table6[[#This Row],[Player No]],Table10[[No]:[Province]],2,0),"")</f>
        <v>ECCLES Sazi</v>
      </c>
      <c r="G51" s="65" t="str">
        <f>IFERROR(VLOOKUP(Table6[[#This Row],[Player No]],Table10[[No]:[Province]],3,0),"")</f>
        <v>GN</v>
      </c>
      <c r="H51" s="66">
        <v>25</v>
      </c>
      <c r="I51" s="644">
        <v>67.5</v>
      </c>
      <c r="J51" s="819">
        <f>Table6[[#This Row],[Points 2025]]/2+SUM(Table6[[#This Row],[O1  ADMIN 2026]:[P2                           CT Open    2026]])</f>
        <v>33.75</v>
      </c>
      <c r="K51" s="63">
        <f t="shared" si="1"/>
        <v>0</v>
      </c>
      <c r="L51" s="63">
        <f t="shared" si="5"/>
        <v>0</v>
      </c>
      <c r="M51" s="708"/>
      <c r="N51" s="708" t="s">
        <v>6083</v>
      </c>
      <c r="O51" s="708" t="s">
        <v>6083</v>
      </c>
      <c r="P51" s="708"/>
      <c r="Q51" s="63"/>
      <c r="R51" s="63"/>
      <c r="S51" s="114"/>
      <c r="T51" s="114"/>
      <c r="U51" s="63"/>
      <c r="V51" s="114"/>
      <c r="W51" s="63"/>
      <c r="X51" s="708"/>
      <c r="Y51" s="63"/>
      <c r="Z51" s="636">
        <v>5</v>
      </c>
      <c r="AA51" s="63">
        <v>15</v>
      </c>
      <c r="AB51" s="400">
        <v>35</v>
      </c>
      <c r="AC51" s="63"/>
      <c r="AD51" s="114"/>
      <c r="AE51" s="63"/>
      <c r="AF51" s="63"/>
      <c r="AG51" s="63"/>
      <c r="AH51" s="63"/>
      <c r="AI51" s="63"/>
      <c r="AJ51" s="63"/>
      <c r="AK51" s="63"/>
      <c r="AL51" s="63"/>
      <c r="AM51" s="63"/>
      <c r="AN51" s="63">
        <v>25</v>
      </c>
      <c r="AO51" s="127"/>
    </row>
    <row r="52" spans="1:41" s="83" customFormat="1">
      <c r="A52" s="366"/>
      <c r="B52" s="365"/>
      <c r="C52" s="360">
        <f>+B52-D52</f>
        <v>-48</v>
      </c>
      <c r="D52" s="63">
        <f t="shared" si="2"/>
        <v>48</v>
      </c>
      <c r="E52" s="355">
        <v>4236</v>
      </c>
      <c r="F52" s="326" t="str">
        <f>IFERROR(VLOOKUP(Table6[[#This Row],[Player No]],Table10[[No]:[Province]],2,0),"")</f>
        <v>CAYDON Brigraj</v>
      </c>
      <c r="G52" s="65" t="str">
        <f>IFERROR(VLOOKUP(Table6[[#This Row],[Player No]],Table10[[No]:[Province]],3,0),"")</f>
        <v>UMG</v>
      </c>
      <c r="H52" s="66">
        <v>0</v>
      </c>
      <c r="I52" s="644">
        <v>15</v>
      </c>
      <c r="J52" s="819">
        <f>Table6[[#This Row],[Points 2025]]/2+SUM(Table6[[#This Row],[O1  ADMIN 2026]:[P2                           CT Open    2026]])</f>
        <v>32.5</v>
      </c>
      <c r="K52" s="63">
        <f t="shared" si="1"/>
        <v>2</v>
      </c>
      <c r="L52" s="63">
        <f t="shared" si="5"/>
        <v>0</v>
      </c>
      <c r="M52" s="708"/>
      <c r="N52" s="828">
        <v>15</v>
      </c>
      <c r="O52" s="828">
        <v>10</v>
      </c>
      <c r="P52" s="828"/>
      <c r="Q52" s="361"/>
      <c r="R52" s="361"/>
      <c r="S52" s="357"/>
      <c r="T52" s="357">
        <v>15</v>
      </c>
      <c r="U52" s="361"/>
      <c r="V52" s="357"/>
      <c r="W52" s="361"/>
      <c r="X52" s="738"/>
      <c r="Y52" s="361"/>
      <c r="Z52" s="639"/>
      <c r="AA52" s="361"/>
      <c r="AB52" s="406"/>
      <c r="AC52" s="361"/>
      <c r="AD52" s="357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95"/>
    </row>
    <row r="53" spans="1:41" s="83" customFormat="1">
      <c r="A53" s="63" t="str">
        <f>IFERROR(VLOOKUP(Table6[[#This Row],[Player No]],Table10[[#All],[No]:[Age Group]],4,0),"")</f>
        <v>U15</v>
      </c>
      <c r="B53" s="264">
        <v>132</v>
      </c>
      <c r="C53" s="77">
        <f>+B53-D53</f>
        <v>83</v>
      </c>
      <c r="D53" s="63">
        <f t="shared" si="2"/>
        <v>49</v>
      </c>
      <c r="E53" s="63">
        <v>3781</v>
      </c>
      <c r="F53" s="64" t="str">
        <f>IFERROR(VLOOKUP(Table6[[#This Row],[Player No]],Table10[[No]:[Province]],2,0),"")</f>
        <v>NAGARDAS Diyaan</v>
      </c>
      <c r="G53" s="65" t="str">
        <f>IFERROR(VLOOKUP(Table6[[#This Row],[Player No]],Table10[[No]:[Province]],3,0),"")</f>
        <v>JTTA</v>
      </c>
      <c r="H53" s="66">
        <v>66</v>
      </c>
      <c r="I53" s="644">
        <v>58</v>
      </c>
      <c r="J53" s="819">
        <f>Table6[[#This Row],[Points 2025]]/2+SUM(Table6[[#This Row],[O1  ADMIN 2026]:[P2                           CT Open    2026]])</f>
        <v>29</v>
      </c>
      <c r="K53" s="63">
        <f t="shared" si="1"/>
        <v>0</v>
      </c>
      <c r="L53" s="63">
        <f t="shared" si="5"/>
        <v>0</v>
      </c>
      <c r="M53" s="708"/>
      <c r="N53" s="708" t="s">
        <v>6083</v>
      </c>
      <c r="O53" s="708" t="s">
        <v>6083</v>
      </c>
      <c r="P53" s="708"/>
      <c r="Q53" s="63"/>
      <c r="R53" s="63"/>
      <c r="S53" s="114"/>
      <c r="T53" s="114"/>
      <c r="U53" s="63"/>
      <c r="V53" s="114"/>
      <c r="W53" s="63"/>
      <c r="X53" s="708"/>
      <c r="Y53" s="63"/>
      <c r="Z53" s="636">
        <v>10</v>
      </c>
      <c r="AA53" s="63"/>
      <c r="AB53" s="400"/>
      <c r="AC53" s="63">
        <v>15</v>
      </c>
      <c r="AD53" s="114"/>
      <c r="AE53" s="63"/>
      <c r="AF53" s="63"/>
      <c r="AG53" s="63"/>
      <c r="AH53" s="63"/>
      <c r="AI53" s="63"/>
      <c r="AJ53" s="63">
        <v>25</v>
      </c>
      <c r="AK53" s="63">
        <v>15</v>
      </c>
      <c r="AL53" s="63"/>
      <c r="AM53" s="63">
        <v>25</v>
      </c>
      <c r="AN53" s="63"/>
      <c r="AO53" s="127">
        <v>1</v>
      </c>
    </row>
    <row r="54" spans="1:41" s="83" customFormat="1">
      <c r="A54" s="63">
        <f>IFERROR(VLOOKUP(Table6[[#This Row],[Player No]],Table10[[#All],[No]:[Age Group]],4,0),"")</f>
        <v>0</v>
      </c>
      <c r="B54" s="264"/>
      <c r="C54" s="77"/>
      <c r="D54" s="63">
        <f t="shared" si="2"/>
        <v>50</v>
      </c>
      <c r="E54" s="63">
        <v>3576</v>
      </c>
      <c r="F54" s="64" t="str">
        <f>IFERROR(VLOOKUP(Table6[[#This Row],[Player No]],Table10[[No]:[Province]],2,0),"")</f>
        <v>MANUAL Yaqeen</v>
      </c>
      <c r="G54" s="65" t="str">
        <f>IFERROR(VLOOKUP(Table6[[#This Row],[Player No]],Table10[[No]:[Province]],3,0),"")</f>
        <v>CT</v>
      </c>
      <c r="H54" s="66">
        <v>1.25</v>
      </c>
      <c r="I54" s="644">
        <v>55.625</v>
      </c>
      <c r="J54" s="819">
        <f>Table6[[#This Row],[Points 2025]]/2+SUM(Table6[[#This Row],[O1  ADMIN 2026]:[P2                           CT Open    2026]])</f>
        <v>27.8125</v>
      </c>
      <c r="K54" s="63">
        <f t="shared" si="1"/>
        <v>0</v>
      </c>
      <c r="L54" s="63">
        <f t="shared" si="5"/>
        <v>0</v>
      </c>
      <c r="M54" s="708"/>
      <c r="N54" s="708" t="s">
        <v>6083</v>
      </c>
      <c r="O54" s="708" t="s">
        <v>6083</v>
      </c>
      <c r="P54" s="708"/>
      <c r="Q54" s="63"/>
      <c r="R54" s="63"/>
      <c r="S54" s="114"/>
      <c r="T54" s="114"/>
      <c r="U54" s="63"/>
      <c r="V54" s="114"/>
      <c r="W54" s="63"/>
      <c r="X54" s="708"/>
      <c r="Y54" s="63"/>
      <c r="Z54" s="636"/>
      <c r="AA54" s="63"/>
      <c r="AB54" s="400"/>
      <c r="AC54" s="63"/>
      <c r="AD54" s="114">
        <v>5</v>
      </c>
      <c r="AE54" s="63">
        <v>50</v>
      </c>
      <c r="AF54" s="63"/>
      <c r="AG54" s="63"/>
      <c r="AH54" s="63">
        <v>1</v>
      </c>
      <c r="AI54" s="63"/>
      <c r="AJ54" s="63"/>
      <c r="AK54" s="63"/>
      <c r="AL54" s="63"/>
      <c r="AM54" s="63"/>
      <c r="AN54" s="63"/>
      <c r="AO54" s="127"/>
    </row>
    <row r="55" spans="1:41" s="83" customFormat="1">
      <c r="A55" s="63">
        <f>IFERROR(VLOOKUP(Table6[[#This Row],[Player No]],Table10[[#All],[No]:[Age Group]],4,0),"")</f>
        <v>0</v>
      </c>
      <c r="B55" s="264"/>
      <c r="C55" s="77"/>
      <c r="D55" s="63">
        <f t="shared" si="2"/>
        <v>51</v>
      </c>
      <c r="E55" s="63">
        <v>3767</v>
      </c>
      <c r="F55" s="64" t="str">
        <f>IFERROR(VLOOKUP(Table6[[#This Row],[Player No]],Table10[[No]:[Province]],2,0),"")</f>
        <v>NYAMKHAZI Anethemba</v>
      </c>
      <c r="G55" s="65" t="str">
        <f>IFERROR(VLOOKUP(Table6[[#This Row],[Player No]],Table10[[No]:[Province]],3,0),"")</f>
        <v>EC</v>
      </c>
      <c r="H55" s="66">
        <v>10</v>
      </c>
      <c r="I55" s="644">
        <v>55</v>
      </c>
      <c r="J55" s="819">
        <f>Table6[[#This Row],[Points 2025]]/2+SUM(Table6[[#This Row],[O1  ADMIN 2026]:[P2                           CT Open    2026]])</f>
        <v>27.5</v>
      </c>
      <c r="K55" s="63">
        <f t="shared" si="1"/>
        <v>0</v>
      </c>
      <c r="L55" s="63">
        <f t="shared" si="5"/>
        <v>0</v>
      </c>
      <c r="M55" s="708"/>
      <c r="N55" s="708" t="s">
        <v>6083</v>
      </c>
      <c r="O55" s="708" t="s">
        <v>6083</v>
      </c>
      <c r="P55" s="708"/>
      <c r="Q55" s="63"/>
      <c r="R55" s="63"/>
      <c r="S55" s="114"/>
      <c r="T55" s="114"/>
      <c r="U55" s="63"/>
      <c r="V55" s="114"/>
      <c r="W55" s="63"/>
      <c r="X55" s="708"/>
      <c r="Y55" s="63"/>
      <c r="Z55" s="636">
        <v>50</v>
      </c>
      <c r="AA55" s="63"/>
      <c r="AB55" s="400"/>
      <c r="AC55" s="63"/>
      <c r="AD55" s="114"/>
      <c r="AE55" s="63"/>
      <c r="AF55" s="63"/>
      <c r="AG55" s="63"/>
      <c r="AH55" s="63"/>
      <c r="AI55" s="63"/>
      <c r="AJ55" s="63">
        <v>10</v>
      </c>
      <c r="AK55" s="63"/>
      <c r="AL55" s="63"/>
      <c r="AM55" s="63"/>
      <c r="AN55" s="63"/>
      <c r="AO55" s="127"/>
    </row>
    <row r="56" spans="1:41" s="83" customFormat="1">
      <c r="A56" s="63" t="str">
        <f>IFERROR(VLOOKUP(Table6[[#This Row],[Player No]],Table10[[#All],[No]:[Age Group]],4,0),"")</f>
        <v>U15</v>
      </c>
      <c r="B56" s="264">
        <v>41</v>
      </c>
      <c r="C56" s="77">
        <f>+B56-D56</f>
        <v>-11</v>
      </c>
      <c r="D56" s="63">
        <f t="shared" si="2"/>
        <v>52</v>
      </c>
      <c r="E56" s="63">
        <v>3321</v>
      </c>
      <c r="F56" s="64" t="str">
        <f>IFERROR(VLOOKUP(Table6[[#This Row],[Player No]],Table10[[No]:[Province]],2,0),"")</f>
        <v>ISAACS Yaghya</v>
      </c>
      <c r="G56" s="65" t="str">
        <f>IFERROR(VLOOKUP(Table6[[#This Row],[Player No]],Table10[[No]:[Province]],3,0),"")</f>
        <v>CT</v>
      </c>
      <c r="H56" s="66">
        <v>100.25</v>
      </c>
      <c r="I56" s="644">
        <v>50.125</v>
      </c>
      <c r="J56" s="819">
        <f>Table6[[#This Row],[Points 2025]]/2+SUM(Table6[[#This Row],[O1  ADMIN 2026]:[P2                           CT Open    2026]])</f>
        <v>25.0625</v>
      </c>
      <c r="K56" s="63">
        <f t="shared" si="1"/>
        <v>0</v>
      </c>
      <c r="L56" s="63">
        <f t="shared" si="5"/>
        <v>0</v>
      </c>
      <c r="M56" s="708"/>
      <c r="N56" s="708" t="s">
        <v>6083</v>
      </c>
      <c r="O56" s="708" t="s">
        <v>6083</v>
      </c>
      <c r="P56" s="708"/>
      <c r="Q56" s="63"/>
      <c r="R56" s="63"/>
      <c r="S56" s="114"/>
      <c r="T56" s="114"/>
      <c r="U56" s="63"/>
      <c r="V56" s="114"/>
      <c r="W56" s="63"/>
      <c r="X56" s="708"/>
      <c r="Y56" s="63"/>
      <c r="Z56" s="636"/>
      <c r="AA56" s="63"/>
      <c r="AB56" s="400"/>
      <c r="AC56" s="63"/>
      <c r="AD56" s="114"/>
      <c r="AE56" s="63"/>
      <c r="AF56" s="63"/>
      <c r="AG56" s="63"/>
      <c r="AH56" s="63">
        <v>75</v>
      </c>
      <c r="AI56" s="63"/>
      <c r="AJ56" s="63"/>
      <c r="AK56" s="63"/>
      <c r="AL56" s="63"/>
      <c r="AM56" s="63"/>
      <c r="AN56" s="63"/>
      <c r="AO56" s="127"/>
    </row>
    <row r="57" spans="1:41" s="83" customFormat="1">
      <c r="A57" s="63" t="str">
        <f>IFERROR(VLOOKUP(Table6[[#This Row],[Player No]],Table10[[#All],[No]:[Age Group]],4,0),"")</f>
        <v>U15</v>
      </c>
      <c r="B57" s="264"/>
      <c r="C57" s="77"/>
      <c r="D57" s="63">
        <f t="shared" si="2"/>
        <v>53</v>
      </c>
      <c r="E57" s="63">
        <v>3586</v>
      </c>
      <c r="F57" s="64" t="str">
        <f>IFERROR(VLOOKUP(Table6[[#This Row],[Player No]],Table10[[No]:[Province]],2,0),"")</f>
        <v>LETSOALO Kabelo</v>
      </c>
      <c r="G57" s="65" t="str">
        <f>IFERROR(VLOOKUP(Table6[[#This Row],[Player No]],Table10[[No]:[Province]],3,0),"")</f>
        <v>LIM</v>
      </c>
      <c r="H57" s="66">
        <v>50</v>
      </c>
      <c r="I57" s="644">
        <v>50</v>
      </c>
      <c r="J57" s="819">
        <f>Table6[[#This Row],[Points 2025]]/2+SUM(Table6[[#This Row],[O1  ADMIN 2026]:[P2                           CT Open    2026]])</f>
        <v>25</v>
      </c>
      <c r="K57" s="63">
        <f t="shared" si="1"/>
        <v>0</v>
      </c>
      <c r="L57" s="63">
        <f t="shared" si="5"/>
        <v>0</v>
      </c>
      <c r="M57" s="708"/>
      <c r="N57" s="708" t="s">
        <v>6083</v>
      </c>
      <c r="O57" s="708" t="s">
        <v>6083</v>
      </c>
      <c r="P57" s="708"/>
      <c r="Q57" s="63"/>
      <c r="R57" s="63"/>
      <c r="S57" s="114"/>
      <c r="T57" s="114"/>
      <c r="U57" s="63"/>
      <c r="V57" s="114"/>
      <c r="W57" s="63"/>
      <c r="X57" s="708"/>
      <c r="Y57" s="63"/>
      <c r="Z57" s="636">
        <v>25</v>
      </c>
      <c r="AA57" s="63"/>
      <c r="AB57" s="400"/>
      <c r="AC57" s="63"/>
      <c r="AD57" s="114"/>
      <c r="AE57" s="63"/>
      <c r="AF57" s="63"/>
      <c r="AG57" s="63"/>
      <c r="AH57" s="63"/>
      <c r="AI57" s="63"/>
      <c r="AJ57" s="63">
        <v>50</v>
      </c>
      <c r="AK57" s="63"/>
      <c r="AL57" s="63"/>
      <c r="AM57" s="63"/>
      <c r="AN57" s="63"/>
      <c r="AO57" s="127"/>
    </row>
    <row r="58" spans="1:41" s="83" customFormat="1">
      <c r="A58" s="322"/>
      <c r="B58" s="323"/>
      <c r="C58" s="324">
        <f t="shared" ref="C58:C63" si="6">+B58-D58</f>
        <v>-54</v>
      </c>
      <c r="D58" s="63">
        <f t="shared" si="2"/>
        <v>54</v>
      </c>
      <c r="E58" s="325">
        <v>4038</v>
      </c>
      <c r="F58" s="326" t="str">
        <f>IFERROR(VLOOKUP(Table6[[#This Row],[Player No]],Table10[[No]:[Province]],2,0),"")</f>
        <v>MOOSA  Shiraaz</v>
      </c>
      <c r="G58" s="65" t="str">
        <f>IFERROR(VLOOKUP(Table6[[#This Row],[Player No]],Table10[[No]:[Province]],3,0),"")</f>
        <v>FS</v>
      </c>
      <c r="H58" s="66">
        <v>0</v>
      </c>
      <c r="I58" s="644">
        <v>50</v>
      </c>
      <c r="J58" s="819">
        <f>Table6[[#This Row],[Points 2025]]/2+SUM(Table6[[#This Row],[O1  ADMIN 2026]:[P2                           CT Open    2026]])</f>
        <v>25</v>
      </c>
      <c r="K58" s="63">
        <f t="shared" si="1"/>
        <v>0</v>
      </c>
      <c r="L58" s="63">
        <f t="shared" si="5"/>
        <v>0</v>
      </c>
      <c r="M58" s="708"/>
      <c r="N58" s="826" t="s">
        <v>6083</v>
      </c>
      <c r="O58" s="826" t="s">
        <v>6083</v>
      </c>
      <c r="P58" s="826"/>
      <c r="Q58" s="327"/>
      <c r="R58" s="327"/>
      <c r="S58" s="321"/>
      <c r="T58" s="321"/>
      <c r="U58" s="327"/>
      <c r="V58" s="321">
        <v>25</v>
      </c>
      <c r="W58" s="327"/>
      <c r="X58" s="711"/>
      <c r="Y58" s="327"/>
      <c r="Z58" s="637">
        <v>25</v>
      </c>
      <c r="AA58" s="327"/>
      <c r="AB58" s="405"/>
      <c r="AC58" s="327"/>
      <c r="AD58" s="321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705"/>
    </row>
    <row r="59" spans="1:41" s="83" customFormat="1">
      <c r="A59" s="138"/>
      <c r="B59" s="264"/>
      <c r="C59" s="77">
        <f t="shared" si="6"/>
        <v>-55</v>
      </c>
      <c r="D59" s="63">
        <f t="shared" si="2"/>
        <v>55</v>
      </c>
      <c r="E59" s="154">
        <v>3420</v>
      </c>
      <c r="F59" s="64" t="str">
        <f>IFERROR(VLOOKUP(Table6[[#This Row],[Player No]],Table10[[No]:[Province]],2,0),"")</f>
        <v>RAMASAMY Nikhil</v>
      </c>
      <c r="G59" s="65" t="str">
        <f>IFERROR(VLOOKUP(Table6[[#This Row],[Player No]],Table10[[No]:[Province]],3,0),"")</f>
        <v>NMB</v>
      </c>
      <c r="H59" s="66">
        <v>0</v>
      </c>
      <c r="I59" s="644">
        <v>50</v>
      </c>
      <c r="J59" s="819">
        <f>Table6[[#This Row],[Points 2025]]/2+SUM(Table6[[#This Row],[O1  ADMIN 2026]:[P2                           CT Open    2026]])</f>
        <v>25</v>
      </c>
      <c r="K59" s="63">
        <f t="shared" si="1"/>
        <v>0</v>
      </c>
      <c r="L59" s="63">
        <f t="shared" si="5"/>
        <v>0</v>
      </c>
      <c r="M59" s="708"/>
      <c r="N59" s="827" t="s">
        <v>6083</v>
      </c>
      <c r="O59" s="827" t="s">
        <v>6083</v>
      </c>
      <c r="P59" s="827"/>
      <c r="Q59" s="63"/>
      <c r="R59" s="63"/>
      <c r="S59" s="114"/>
      <c r="T59" s="114"/>
      <c r="U59" s="63"/>
      <c r="V59" s="114"/>
      <c r="W59" s="63"/>
      <c r="X59" s="708">
        <v>50</v>
      </c>
      <c r="Y59" s="63"/>
      <c r="Z59" s="636"/>
      <c r="AA59" s="63"/>
      <c r="AB59" s="400"/>
      <c r="AC59" s="63"/>
      <c r="AD59" s="114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127"/>
    </row>
    <row r="60" spans="1:41" s="83" customFormat="1">
      <c r="A60" s="1073"/>
      <c r="B60" s="1076"/>
      <c r="C60" s="1044">
        <f t="shared" si="6"/>
        <v>-56</v>
      </c>
      <c r="D60" s="63">
        <f t="shared" si="2"/>
        <v>56</v>
      </c>
      <c r="E60" s="1079">
        <v>4010</v>
      </c>
      <c r="F60" s="64" t="str">
        <f>IFERROR(VLOOKUP(Table6[[#This Row],[Player No]],Table10[[No]:[Province]],2,0),"")</f>
        <v>RAMCHURRAN Diyaan</v>
      </c>
      <c r="G60" s="65" t="str">
        <f>IFERROR(VLOOKUP(Table6[[#This Row],[Player No]],Table10[[No]:[Province]],3,0),"")</f>
        <v>UMG</v>
      </c>
      <c r="H60" s="1080" t="e">
        <f>+#REF!/2+SUM(Table6[[#This Row],[P1           KZN  Open   2024]:[O1        GAU
MTTC Open  2024]])</f>
        <v>#REF!</v>
      </c>
      <c r="I60" s="644">
        <v>0</v>
      </c>
      <c r="J60" s="1071">
        <f>Table6[[#This Row],[Points 2025]]/2+SUM(Table6[[#This Row],[O1  ADMIN 2026]:[P2                           CT Open    2026]])</f>
        <v>25</v>
      </c>
      <c r="K60" s="1079">
        <f t="shared" si="1"/>
        <v>1</v>
      </c>
      <c r="L60" s="1079">
        <f>COUNTIF(Q60:AE60,"&lt;0")</f>
        <v>0</v>
      </c>
      <c r="M60" s="982"/>
      <c r="N60" s="982">
        <v>25</v>
      </c>
      <c r="O60" s="982"/>
      <c r="P60" s="982"/>
      <c r="Q60" s="1045"/>
      <c r="R60" s="1045"/>
      <c r="S60" s="974"/>
      <c r="T60" s="974"/>
      <c r="U60" s="1045"/>
      <c r="V60" s="974"/>
      <c r="W60" s="1045"/>
      <c r="X60" s="1052"/>
      <c r="Y60" s="1045"/>
      <c r="Z60" s="1081"/>
      <c r="AA60" s="1045"/>
      <c r="AB60" s="1082"/>
      <c r="AC60" s="1045"/>
      <c r="AD60" s="974"/>
      <c r="AE60" s="1045"/>
      <c r="AF60" s="1045"/>
      <c r="AG60" s="1045"/>
      <c r="AH60" s="1045"/>
      <c r="AI60" s="1045"/>
      <c r="AJ60" s="1045"/>
      <c r="AK60" s="1045"/>
      <c r="AL60" s="1045"/>
      <c r="AM60" s="1045"/>
      <c r="AN60" s="1045"/>
      <c r="AO60" s="1084"/>
    </row>
    <row r="61" spans="1:41" s="83" customFormat="1">
      <c r="A61" s="63">
        <f>IFERROR(VLOOKUP(Table6[[#This Row],[Player No]],Table10[[#All],[No]:[Age Group]],4,0),"")</f>
        <v>0</v>
      </c>
      <c r="B61" s="264">
        <v>129</v>
      </c>
      <c r="C61" s="77">
        <f t="shared" si="6"/>
        <v>72</v>
      </c>
      <c r="D61" s="63">
        <f t="shared" si="2"/>
        <v>57</v>
      </c>
      <c r="E61" s="63">
        <v>3391</v>
      </c>
      <c r="F61" s="64" t="str">
        <f>IFERROR(VLOOKUP(Table6[[#This Row],[Player No]],Table10[[No]:[Province]],2,0),"")</f>
        <v>BECHOO Elijah Raphael</v>
      </c>
      <c r="G61" s="65" t="str">
        <f>IFERROR(VLOOKUP(Table6[[#This Row],[Player No]],Table10[[No]:[Province]],3,0),"")</f>
        <v>ETTA</v>
      </c>
      <c r="H61" s="66">
        <v>7</v>
      </c>
      <c r="I61" s="644">
        <v>48.5</v>
      </c>
      <c r="J61" s="819">
        <f>Table6[[#This Row],[Points 2025]]/2+SUM(Table6[[#This Row],[O1  ADMIN 2026]:[P2                           CT Open    2026]])</f>
        <v>24.25</v>
      </c>
      <c r="K61" s="63">
        <f t="shared" si="1"/>
        <v>0</v>
      </c>
      <c r="L61" s="63">
        <f t="shared" ref="L61:L74" si="7">COUNTIF(N61:AO61,"&lt;0")</f>
        <v>0</v>
      </c>
      <c r="M61" s="708"/>
      <c r="N61" s="708" t="s">
        <v>6083</v>
      </c>
      <c r="O61" s="708" t="s">
        <v>6083</v>
      </c>
      <c r="P61" s="708"/>
      <c r="Q61" s="63">
        <v>25</v>
      </c>
      <c r="R61" s="63"/>
      <c r="S61" s="114"/>
      <c r="T61" s="114">
        <v>15</v>
      </c>
      <c r="U61" s="63"/>
      <c r="V61" s="114"/>
      <c r="W61" s="63"/>
      <c r="X61" s="708"/>
      <c r="Y61" s="63"/>
      <c r="Z61" s="636">
        <v>5</v>
      </c>
      <c r="AA61" s="63"/>
      <c r="AB61" s="400"/>
      <c r="AC61" s="63"/>
      <c r="AD61" s="114"/>
      <c r="AE61" s="63"/>
      <c r="AF61" s="63">
        <v>2</v>
      </c>
      <c r="AG61" s="63"/>
      <c r="AH61" s="63"/>
      <c r="AI61" s="63"/>
      <c r="AJ61" s="63">
        <v>5</v>
      </c>
      <c r="AK61" s="63"/>
      <c r="AL61" s="63"/>
      <c r="AM61" s="63"/>
      <c r="AN61" s="63"/>
      <c r="AO61" s="127"/>
    </row>
    <row r="62" spans="1:41" s="83" customFormat="1">
      <c r="A62" s="138"/>
      <c r="B62" s="264"/>
      <c r="C62" s="77">
        <f t="shared" si="6"/>
        <v>-58</v>
      </c>
      <c r="D62" s="63">
        <f t="shared" si="2"/>
        <v>58</v>
      </c>
      <c r="E62" s="139">
        <v>4009</v>
      </c>
      <c r="F62" s="64" t="str">
        <f>IFERROR(VLOOKUP(Table6[[#This Row],[Player No]],Table10[[No]:[Province]],2,0),"")</f>
        <v xml:space="preserve">MNGADI Sinakhokonke </v>
      </c>
      <c r="G62" s="65" t="str">
        <f>IFERROR(VLOOKUP(Table6[[#This Row],[Player No]],Table10[[No]:[Province]],3,0),"")</f>
        <v>UMG</v>
      </c>
      <c r="H62" s="66">
        <v>0</v>
      </c>
      <c r="I62" s="644">
        <v>41</v>
      </c>
      <c r="J62" s="819">
        <f>Table6[[#This Row],[Points 2025]]/2+SUM(Table6[[#This Row],[O1  ADMIN 2026]:[P2                           CT Open    2026]])</f>
        <v>20.5</v>
      </c>
      <c r="K62" s="63">
        <f t="shared" si="1"/>
        <v>0</v>
      </c>
      <c r="L62" s="63">
        <f t="shared" si="7"/>
        <v>0</v>
      </c>
      <c r="M62" s="708"/>
      <c r="N62" s="708" t="s">
        <v>6083</v>
      </c>
      <c r="O62" s="708" t="s">
        <v>6083</v>
      </c>
      <c r="P62" s="708"/>
      <c r="Q62" s="63">
        <v>15</v>
      </c>
      <c r="R62" s="63">
        <v>10</v>
      </c>
      <c r="S62" s="114">
        <v>1</v>
      </c>
      <c r="T62" s="114"/>
      <c r="U62" s="63">
        <v>15</v>
      </c>
      <c r="V62" s="114"/>
      <c r="W62" s="63"/>
      <c r="X62" s="708"/>
      <c r="Y62" s="63"/>
      <c r="Z62" s="636"/>
      <c r="AA62" s="63"/>
      <c r="AB62" s="400"/>
      <c r="AC62" s="63"/>
      <c r="AD62" s="114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127"/>
    </row>
    <row r="63" spans="1:41" s="83" customFormat="1">
      <c r="A63" s="138"/>
      <c r="B63" s="264"/>
      <c r="C63" s="77">
        <f t="shared" si="6"/>
        <v>-59</v>
      </c>
      <c r="D63" s="63">
        <f t="shared" si="2"/>
        <v>59</v>
      </c>
      <c r="E63" s="63">
        <v>4305</v>
      </c>
      <c r="F63" s="64" t="str">
        <f>IFERROR(VLOOKUP(Table6[[#This Row],[Player No]],Table10[[No]:[Province]],2,0),"")</f>
        <v xml:space="preserve">MDEBUKA Nhlanhla </v>
      </c>
      <c r="G63" s="65" t="str">
        <f>IFERROR(VLOOKUP(Table6[[#This Row],[Player No]],Table10[[No]:[Province]],3,0),"")</f>
        <v>FS</v>
      </c>
      <c r="H63" s="66">
        <v>0.25</v>
      </c>
      <c r="I63" s="644">
        <v>40.125</v>
      </c>
      <c r="J63" s="819">
        <f>Table6[[#This Row],[Points 2025]]/2+SUM(Table6[[#This Row],[O1  ADMIN 2026]:[P2                           CT Open    2026]])</f>
        <v>20.0625</v>
      </c>
      <c r="K63" s="63">
        <f t="shared" si="1"/>
        <v>0</v>
      </c>
      <c r="L63" s="63">
        <f t="shared" si="7"/>
        <v>0</v>
      </c>
      <c r="M63" s="708"/>
      <c r="N63" s="708" t="s">
        <v>6083</v>
      </c>
      <c r="O63" s="708" t="s">
        <v>6083</v>
      </c>
      <c r="P63" s="708"/>
      <c r="Q63" s="63"/>
      <c r="R63" s="63"/>
      <c r="S63" s="114"/>
      <c r="T63" s="114"/>
      <c r="U63" s="63"/>
      <c r="V63" s="114">
        <v>15</v>
      </c>
      <c r="W63" s="63"/>
      <c r="X63" s="708"/>
      <c r="Y63" s="63"/>
      <c r="Z63" s="636">
        <v>25</v>
      </c>
      <c r="AA63" s="63"/>
      <c r="AB63" s="400"/>
      <c r="AC63" s="63"/>
      <c r="AD63" s="114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127"/>
    </row>
    <row r="64" spans="1:41" s="83" customFormat="1">
      <c r="A64" s="63" t="str">
        <f>IFERROR(VLOOKUP(Table6[[#This Row],[Player No]],Table10[[#All],[No]:[Age Group]],4,0),"")</f>
        <v>U15</v>
      </c>
      <c r="B64" s="264"/>
      <c r="C64" s="77"/>
      <c r="D64" s="63">
        <f t="shared" si="2"/>
        <v>60</v>
      </c>
      <c r="E64" s="63">
        <v>3971</v>
      </c>
      <c r="F64" s="64" t="str">
        <f>IFERROR(VLOOKUP(Table6[[#This Row],[Player No]],Table10[[No]:[Province]],2,0),"")</f>
        <v>RAKAMOSO Sekele</v>
      </c>
      <c r="G64" s="65" t="str">
        <f>IFERROR(VLOOKUP(Table6[[#This Row],[Player No]],Table10[[No]:[Province]],3,0),"")</f>
        <v>EKU</v>
      </c>
      <c r="H64" s="66">
        <v>10</v>
      </c>
      <c r="I64" s="644">
        <v>40</v>
      </c>
      <c r="J64" s="819">
        <f>Table6[[#This Row],[Points 2025]]/2+SUM(Table6[[#This Row],[O1  ADMIN 2026]:[P2                           CT Open    2026]])</f>
        <v>20</v>
      </c>
      <c r="K64" s="63">
        <f t="shared" si="1"/>
        <v>0</v>
      </c>
      <c r="L64" s="63">
        <f t="shared" si="7"/>
        <v>0</v>
      </c>
      <c r="M64" s="708"/>
      <c r="N64" s="708" t="s">
        <v>6083</v>
      </c>
      <c r="O64" s="708" t="s">
        <v>6083</v>
      </c>
      <c r="P64" s="708"/>
      <c r="Q64" s="63"/>
      <c r="R64" s="63"/>
      <c r="S64" s="114"/>
      <c r="T64" s="114"/>
      <c r="U64" s="63"/>
      <c r="V64" s="114"/>
      <c r="W64" s="63"/>
      <c r="X64" s="708"/>
      <c r="Y64" s="63">
        <v>25</v>
      </c>
      <c r="Z64" s="636">
        <v>10</v>
      </c>
      <c r="AA64" s="63"/>
      <c r="AB64" s="400"/>
      <c r="AC64" s="63"/>
      <c r="AD64" s="114"/>
      <c r="AE64" s="63"/>
      <c r="AF64" s="63"/>
      <c r="AG64" s="63"/>
      <c r="AH64" s="63"/>
      <c r="AI64" s="63"/>
      <c r="AJ64" s="63">
        <v>10</v>
      </c>
      <c r="AK64" s="63"/>
      <c r="AL64" s="63"/>
      <c r="AM64" s="63"/>
      <c r="AN64" s="63"/>
      <c r="AO64" s="127"/>
    </row>
    <row r="65" spans="1:41" s="83" customFormat="1">
      <c r="A65" s="63">
        <f>IFERROR(VLOOKUP(Table6[[#This Row],[Player No]],Table10[[#All],[No]:[Age Group]],4,0),"")</f>
        <v>0</v>
      </c>
      <c r="B65" s="264">
        <v>190</v>
      </c>
      <c r="C65" s="77">
        <f t="shared" ref="C65:C80" si="8">+B65-D65</f>
        <v>129</v>
      </c>
      <c r="D65" s="63">
        <f t="shared" si="2"/>
        <v>61</v>
      </c>
      <c r="E65" s="63">
        <v>3954</v>
      </c>
      <c r="F65" s="64" t="str">
        <f>IFERROR(VLOOKUP(Table6[[#This Row],[Player No]],Table10[[No]:[Province]],2,0),"")</f>
        <v>JACOBS Ghaneef</v>
      </c>
      <c r="G65" s="65" t="str">
        <f>IFERROR(VLOOKUP(Table6[[#This Row],[Player No]],Table10[[No]:[Province]],3,0),"")</f>
        <v>CW</v>
      </c>
      <c r="H65" s="66">
        <v>26</v>
      </c>
      <c r="I65" s="644">
        <v>38.5</v>
      </c>
      <c r="J65" s="819">
        <f>Table6[[#This Row],[Points 2025]]/2+SUM(Table6[[#This Row],[O1  ADMIN 2026]:[P2                           CT Open    2026]])</f>
        <v>19.25</v>
      </c>
      <c r="K65" s="63">
        <f t="shared" si="1"/>
        <v>0</v>
      </c>
      <c r="L65" s="63">
        <f t="shared" si="7"/>
        <v>0</v>
      </c>
      <c r="M65" s="708"/>
      <c r="N65" s="708" t="s">
        <v>6083</v>
      </c>
      <c r="O65" s="708" t="s">
        <v>6083</v>
      </c>
      <c r="P65" s="708"/>
      <c r="Q65" s="63"/>
      <c r="R65" s="63"/>
      <c r="S65" s="114"/>
      <c r="T65" s="114"/>
      <c r="U65" s="63"/>
      <c r="V65" s="114"/>
      <c r="W65" s="63"/>
      <c r="X65" s="708"/>
      <c r="Y65" s="63"/>
      <c r="Z65" s="636">
        <v>10</v>
      </c>
      <c r="AA65" s="63"/>
      <c r="AB65" s="400"/>
      <c r="AC65" s="63"/>
      <c r="AD65" s="114">
        <v>0.5</v>
      </c>
      <c r="AE65" s="63">
        <v>15</v>
      </c>
      <c r="AF65" s="63"/>
      <c r="AG65" s="63"/>
      <c r="AH65" s="63">
        <v>1</v>
      </c>
      <c r="AI65" s="63">
        <v>25</v>
      </c>
      <c r="AJ65" s="63"/>
      <c r="AK65" s="63"/>
      <c r="AL65" s="63"/>
      <c r="AM65" s="63"/>
      <c r="AN65" s="63"/>
      <c r="AO65" s="127"/>
    </row>
    <row r="66" spans="1:41" s="83" customFormat="1">
      <c r="A66" s="138"/>
      <c r="B66" s="264"/>
      <c r="C66" s="77">
        <f t="shared" si="8"/>
        <v>-62</v>
      </c>
      <c r="D66" s="63">
        <f t="shared" si="2"/>
        <v>62</v>
      </c>
      <c r="E66" s="154">
        <v>3622</v>
      </c>
      <c r="F66" s="64" t="str">
        <f>IFERROR(VLOOKUP(Table6[[#This Row],[Player No]],Table10[[No]:[Province]],2,0),"")</f>
        <v>RAMASAMY Mikhael</v>
      </c>
      <c r="G66" s="65" t="str">
        <f>IFERROR(VLOOKUP(Table6[[#This Row],[Player No]],Table10[[No]:[Province]],3,0),"")</f>
        <v>NMB</v>
      </c>
      <c r="H66" s="66">
        <v>0</v>
      </c>
      <c r="I66" s="644">
        <v>37.5</v>
      </c>
      <c r="J66" s="819">
        <f>Table6[[#This Row],[Points 2025]]/2+SUM(Table6[[#This Row],[O1  ADMIN 2026]:[P2                           CT Open    2026]])</f>
        <v>18.75</v>
      </c>
      <c r="K66" s="63">
        <f t="shared" si="1"/>
        <v>0</v>
      </c>
      <c r="L66" s="63">
        <f t="shared" si="7"/>
        <v>0</v>
      </c>
      <c r="M66" s="708"/>
      <c r="N66" s="827" t="s">
        <v>6083</v>
      </c>
      <c r="O66" s="827" t="s">
        <v>6083</v>
      </c>
      <c r="P66" s="827"/>
      <c r="Q66" s="63"/>
      <c r="R66" s="63"/>
      <c r="S66" s="114"/>
      <c r="T66" s="114"/>
      <c r="U66" s="63"/>
      <c r="V66" s="114"/>
      <c r="W66" s="63"/>
      <c r="X66" s="708">
        <v>37.5</v>
      </c>
      <c r="Y66" s="63"/>
      <c r="Z66" s="636"/>
      <c r="AA66" s="63"/>
      <c r="AB66" s="400"/>
      <c r="AC66" s="63"/>
      <c r="AD66" s="114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127"/>
    </row>
    <row r="67" spans="1:41" s="83" customFormat="1">
      <c r="A67" s="138"/>
      <c r="B67" s="264"/>
      <c r="C67" s="77">
        <f t="shared" si="8"/>
        <v>-63</v>
      </c>
      <c r="D67" s="63">
        <f t="shared" si="2"/>
        <v>63</v>
      </c>
      <c r="E67" s="154">
        <v>3700</v>
      </c>
      <c r="F67" s="64" t="str">
        <f>IFERROR(VLOOKUP(Table6[[#This Row],[Player No]],Table10[[No]:[Province]],2,0),"")</f>
        <v>ROCKMAN Tiago</v>
      </c>
      <c r="G67" s="65" t="str">
        <f>IFERROR(VLOOKUP(Table6[[#This Row],[Player No]],Table10[[No]:[Province]],3,0),"")</f>
        <v>NMB</v>
      </c>
      <c r="H67" s="66">
        <v>0</v>
      </c>
      <c r="I67" s="644">
        <v>37.5</v>
      </c>
      <c r="J67" s="819">
        <f>Table6[[#This Row],[Points 2025]]/2+SUM(Table6[[#This Row],[O1  ADMIN 2026]:[P2                           CT Open    2026]])</f>
        <v>18.75</v>
      </c>
      <c r="K67" s="63">
        <f t="shared" si="1"/>
        <v>0</v>
      </c>
      <c r="L67" s="63">
        <f t="shared" si="7"/>
        <v>0</v>
      </c>
      <c r="M67" s="708"/>
      <c r="N67" s="827" t="s">
        <v>6083</v>
      </c>
      <c r="O67" s="827" t="s">
        <v>6083</v>
      </c>
      <c r="P67" s="827"/>
      <c r="Q67" s="63"/>
      <c r="R67" s="63"/>
      <c r="S67" s="114"/>
      <c r="T67" s="114"/>
      <c r="U67" s="63"/>
      <c r="V67" s="114"/>
      <c r="W67" s="63"/>
      <c r="X67" s="708">
        <v>37.5</v>
      </c>
      <c r="Y67" s="63"/>
      <c r="Z67" s="636"/>
      <c r="AA67" s="63"/>
      <c r="AB67" s="400"/>
      <c r="AC67" s="63"/>
      <c r="AD67" s="114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127"/>
    </row>
    <row r="68" spans="1:41" s="83" customFormat="1">
      <c r="A68" s="614"/>
      <c r="B68" s="732"/>
      <c r="C68" s="618">
        <f t="shared" si="8"/>
        <v>-64</v>
      </c>
      <c r="D68" s="63">
        <f t="shared" si="2"/>
        <v>64</v>
      </c>
      <c r="E68" s="620">
        <v>3912</v>
      </c>
      <c r="F68" s="64" t="str">
        <f>IFERROR(VLOOKUP(Table6[[#This Row],[Player No]],Table10[[No]:[Province]],2,0),"")</f>
        <v>NGWEU Samkelo</v>
      </c>
      <c r="G68" s="65" t="str">
        <f>IFERROR(VLOOKUP(Table6[[#This Row],[Player No]],Table10[[No]:[Province]],3,0),"")</f>
        <v>ETTA</v>
      </c>
      <c r="H68" s="626">
        <v>0</v>
      </c>
      <c r="I68" s="644">
        <v>5</v>
      </c>
      <c r="J68" s="819">
        <f>Table6[[#This Row],[Points 2025]]/2+SUM(Table6[[#This Row],[O1  ADMIN 2026]:[P2                           CT Open    2026]])</f>
        <v>17.5</v>
      </c>
      <c r="K68" s="63">
        <f t="shared" si="1"/>
        <v>1</v>
      </c>
      <c r="L68" s="63">
        <f t="shared" si="7"/>
        <v>0</v>
      </c>
      <c r="M68" s="708"/>
      <c r="N68" s="781" t="s">
        <v>6083</v>
      </c>
      <c r="O68" s="781">
        <v>15</v>
      </c>
      <c r="P68" s="781"/>
      <c r="Q68" s="624"/>
      <c r="R68" s="624"/>
      <c r="S68" s="625"/>
      <c r="T68" s="625"/>
      <c r="U68" s="624"/>
      <c r="V68" s="625"/>
      <c r="W68" s="624"/>
      <c r="X68" s="709"/>
      <c r="Y68" s="624"/>
      <c r="Z68" s="677">
        <v>5</v>
      </c>
      <c r="AA68" s="624"/>
      <c r="AB68" s="611"/>
      <c r="AC68" s="624"/>
      <c r="AD68" s="625"/>
      <c r="AE68" s="624"/>
      <c r="AF68" s="624"/>
      <c r="AG68" s="624"/>
      <c r="AH68" s="624"/>
      <c r="AI68" s="624"/>
      <c r="AJ68" s="624"/>
      <c r="AK68" s="624"/>
      <c r="AL68" s="624"/>
      <c r="AM68" s="624"/>
      <c r="AN68" s="624"/>
      <c r="AO68" s="630"/>
    </row>
    <row r="69" spans="1:41" s="83" customFormat="1">
      <c r="A69" s="63" t="str">
        <f>IFERROR(VLOOKUP(Table6[[#This Row],[Player No]],Table10[[#All],[No]:[Age Group]],4,0),"")</f>
        <v>U15</v>
      </c>
      <c r="B69" s="264">
        <v>190</v>
      </c>
      <c r="C69" s="77">
        <f t="shared" si="8"/>
        <v>125</v>
      </c>
      <c r="D69" s="63">
        <f t="shared" si="2"/>
        <v>65</v>
      </c>
      <c r="E69" s="63">
        <v>3628</v>
      </c>
      <c r="F69" s="64" t="str">
        <f>IFERROR(VLOOKUP(Table6[[#This Row],[Player No]],Table10[[No]:[Province]],2,0),"")</f>
        <v>APPOLLIS Jayrin</v>
      </c>
      <c r="G69" s="65" t="str">
        <f>IFERROR(VLOOKUP(Table6[[#This Row],[Player No]],Table10[[No]:[Province]],3,0),"")</f>
        <v>CW</v>
      </c>
      <c r="H69" s="66">
        <v>16</v>
      </c>
      <c r="I69" s="644">
        <v>33.5</v>
      </c>
      <c r="J69" s="819">
        <f>Table6[[#This Row],[Points 2025]]/2+SUM(Table6[[#This Row],[O1  ADMIN 2026]:[P2                           CT Open    2026]])</f>
        <v>16.75</v>
      </c>
      <c r="K69" s="63">
        <f t="shared" ref="K69:K132" si="9">COUNTIF(M69:P69,"&gt;0")</f>
        <v>0</v>
      </c>
      <c r="L69" s="63">
        <f t="shared" si="7"/>
        <v>0</v>
      </c>
      <c r="M69" s="708"/>
      <c r="N69" s="708" t="s">
        <v>6083</v>
      </c>
      <c r="O69" s="708" t="s">
        <v>6083</v>
      </c>
      <c r="P69" s="708"/>
      <c r="Q69" s="63"/>
      <c r="R69" s="63"/>
      <c r="S69" s="114"/>
      <c r="T69" s="114"/>
      <c r="U69" s="63"/>
      <c r="V69" s="114"/>
      <c r="W69" s="63"/>
      <c r="X69" s="708"/>
      <c r="Y69" s="63"/>
      <c r="Z69" s="636"/>
      <c r="AA69" s="63"/>
      <c r="AB69" s="400"/>
      <c r="AC69" s="63"/>
      <c r="AD69" s="114">
        <v>0.5</v>
      </c>
      <c r="AE69" s="63">
        <v>25</v>
      </c>
      <c r="AF69" s="63"/>
      <c r="AG69" s="63"/>
      <c r="AH69" s="63">
        <v>1</v>
      </c>
      <c r="AI69" s="63">
        <v>15</v>
      </c>
      <c r="AJ69" s="63"/>
      <c r="AK69" s="63"/>
      <c r="AL69" s="63"/>
      <c r="AM69" s="63"/>
      <c r="AN69" s="63"/>
      <c r="AO69" s="127"/>
    </row>
    <row r="70" spans="1:41" s="83" customFormat="1">
      <c r="A70" s="63" t="str">
        <f>IFERROR(VLOOKUP(Table6[[#This Row],[Player No]],Table10[[#All],[No]:[Age Group]],4,0),"")</f>
        <v>U15</v>
      </c>
      <c r="B70" s="264">
        <v>109</v>
      </c>
      <c r="C70" s="77">
        <f t="shared" si="8"/>
        <v>43</v>
      </c>
      <c r="D70" s="63">
        <f t="shared" si="2"/>
        <v>66</v>
      </c>
      <c r="E70" s="63">
        <v>3407</v>
      </c>
      <c r="F70" s="64" t="str">
        <f>IFERROR(VLOOKUP(Table6[[#This Row],[Player No]],Table10[[No]:[Province]],2,0),"")</f>
        <v>MAART Cughan</v>
      </c>
      <c r="G70" s="65" t="str">
        <f>IFERROR(VLOOKUP(Table6[[#This Row],[Player No]],Table10[[No]:[Province]],3,0),"")</f>
        <v>CW</v>
      </c>
      <c r="H70" s="66">
        <v>35.5</v>
      </c>
      <c r="I70" s="644">
        <v>33.25</v>
      </c>
      <c r="J70" s="819">
        <f>Table6[[#This Row],[Points 2025]]/2+SUM(Table6[[#This Row],[O1  ADMIN 2026]:[P2                           CT Open    2026]])</f>
        <v>16.625</v>
      </c>
      <c r="K70" s="63">
        <f t="shared" si="9"/>
        <v>0</v>
      </c>
      <c r="L70" s="63">
        <f t="shared" si="7"/>
        <v>0</v>
      </c>
      <c r="M70" s="708"/>
      <c r="N70" s="708" t="s">
        <v>6083</v>
      </c>
      <c r="O70" s="708" t="s">
        <v>6083</v>
      </c>
      <c r="P70" s="708"/>
      <c r="Q70" s="63"/>
      <c r="R70" s="63"/>
      <c r="S70" s="114"/>
      <c r="T70" s="114"/>
      <c r="U70" s="63"/>
      <c r="V70" s="114"/>
      <c r="W70" s="63"/>
      <c r="X70" s="708"/>
      <c r="Y70" s="63"/>
      <c r="Z70" s="636"/>
      <c r="AA70" s="63"/>
      <c r="AB70" s="400"/>
      <c r="AC70" s="63"/>
      <c r="AD70" s="114">
        <v>0.5</v>
      </c>
      <c r="AE70" s="63">
        <v>15</v>
      </c>
      <c r="AF70" s="63"/>
      <c r="AG70" s="63"/>
      <c r="AH70" s="63">
        <v>5</v>
      </c>
      <c r="AI70" s="63">
        <v>25</v>
      </c>
      <c r="AJ70" s="63"/>
      <c r="AK70" s="63"/>
      <c r="AL70" s="63"/>
      <c r="AM70" s="63"/>
      <c r="AN70" s="63"/>
      <c r="AO70" s="127"/>
    </row>
    <row r="71" spans="1:41" s="83" customFormat="1">
      <c r="A71" s="209"/>
      <c r="B71" s="266"/>
      <c r="C71" s="203">
        <f t="shared" si="8"/>
        <v>-67</v>
      </c>
      <c r="D71" s="63">
        <f t="shared" ref="D71:D134" si="10">+D70+1</f>
        <v>67</v>
      </c>
      <c r="E71" s="204">
        <v>3797</v>
      </c>
      <c r="F71" s="64" t="str">
        <f>IFERROR(VLOOKUP(Table6[[#This Row],[Player No]],Table10[[No]:[Province]],2,0),"")</f>
        <v>SIBIYA Vukile Mnqobi</v>
      </c>
      <c r="G71" s="65" t="str">
        <f>IFERROR(VLOOKUP(Table6[[#This Row],[Player No]],Table10[[No]:[Province]],3,0),"")</f>
        <v>ETTA</v>
      </c>
      <c r="H71" s="206">
        <v>0</v>
      </c>
      <c r="I71" s="644">
        <v>12.625</v>
      </c>
      <c r="J71" s="819">
        <f>Table6[[#This Row],[Points 2025]]/2+SUM(Table6[[#This Row],[O1  ADMIN 2026]:[P2                           CT Open    2026]])</f>
        <v>16.3125</v>
      </c>
      <c r="K71" s="63">
        <f t="shared" si="9"/>
        <v>1</v>
      </c>
      <c r="L71" s="63">
        <f t="shared" si="7"/>
        <v>0</v>
      </c>
      <c r="M71" s="708"/>
      <c r="N71" s="708">
        <v>10</v>
      </c>
      <c r="O71" s="708" t="s">
        <v>6083</v>
      </c>
      <c r="P71" s="708"/>
      <c r="Q71" s="208">
        <v>2</v>
      </c>
      <c r="R71" s="208"/>
      <c r="S71" s="320"/>
      <c r="T71" s="320">
        <v>1</v>
      </c>
      <c r="U71" s="208"/>
      <c r="V71" s="320"/>
      <c r="W71" s="208"/>
      <c r="X71" s="710"/>
      <c r="Y71" s="208"/>
      <c r="Z71" s="640">
        <v>10</v>
      </c>
      <c r="AA71" s="208"/>
      <c r="AB71" s="407"/>
      <c r="AC71" s="208"/>
      <c r="AD71" s="320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706"/>
    </row>
    <row r="72" spans="1:41" s="83" customFormat="1">
      <c r="A72" s="322"/>
      <c r="B72" s="323"/>
      <c r="C72" s="324">
        <f t="shared" si="8"/>
        <v>-68</v>
      </c>
      <c r="D72" s="63">
        <f t="shared" si="10"/>
        <v>68</v>
      </c>
      <c r="E72" s="325">
        <v>3937</v>
      </c>
      <c r="F72" s="326" t="str">
        <f>IFERROR(VLOOKUP(Table6[[#This Row],[Player No]],Table10[[No]:[Province]],2,0),"")</f>
        <v>NQGULA Njongo</v>
      </c>
      <c r="G72" s="65" t="str">
        <f>IFERROR(VLOOKUP(Table6[[#This Row],[Player No]],Table10[[No]:[Province]],3,0),"")</f>
        <v>CT</v>
      </c>
      <c r="H72" s="66">
        <v>0</v>
      </c>
      <c r="I72" s="644">
        <v>32.5</v>
      </c>
      <c r="J72" s="819">
        <f>Table6[[#This Row],[Points 2025]]/2+SUM(Table6[[#This Row],[O1  ADMIN 2026]:[P2                           CT Open    2026]])</f>
        <v>16.25</v>
      </c>
      <c r="K72" s="63">
        <f t="shared" si="9"/>
        <v>0</v>
      </c>
      <c r="L72" s="63">
        <f t="shared" si="7"/>
        <v>0</v>
      </c>
      <c r="M72" s="708"/>
      <c r="N72" s="826" t="s">
        <v>6083</v>
      </c>
      <c r="O72" s="826" t="s">
        <v>6083</v>
      </c>
      <c r="P72" s="826"/>
      <c r="Q72" s="327"/>
      <c r="R72" s="327"/>
      <c r="S72" s="321"/>
      <c r="T72" s="321"/>
      <c r="U72" s="327"/>
      <c r="V72" s="321"/>
      <c r="W72" s="327"/>
      <c r="X72" s="711"/>
      <c r="Y72" s="327"/>
      <c r="Z72" s="637"/>
      <c r="AA72" s="327"/>
      <c r="AB72" s="405"/>
      <c r="AC72" s="327"/>
      <c r="AD72" s="321">
        <v>7.5</v>
      </c>
      <c r="AE72" s="327">
        <v>25</v>
      </c>
      <c r="AF72" s="327"/>
      <c r="AG72" s="327"/>
      <c r="AH72" s="327"/>
      <c r="AI72" s="327"/>
      <c r="AJ72" s="327"/>
      <c r="AK72" s="327"/>
      <c r="AL72" s="327"/>
      <c r="AM72" s="327"/>
      <c r="AN72" s="327"/>
      <c r="AO72" s="705"/>
    </row>
    <row r="73" spans="1:41" s="83" customFormat="1">
      <c r="A73" s="138"/>
      <c r="B73" s="264"/>
      <c r="C73" s="77">
        <f t="shared" si="8"/>
        <v>-69</v>
      </c>
      <c r="D73" s="63">
        <f t="shared" si="10"/>
        <v>69</v>
      </c>
      <c r="E73" s="40">
        <v>4229</v>
      </c>
      <c r="F73" s="64" t="str">
        <f>IFERROR(VLOOKUP(Table6[[#This Row],[Player No]],Table10[[No]:[Province]],2,0),"")</f>
        <v>REDDY Samuel</v>
      </c>
      <c r="G73" s="65" t="str">
        <f>IFERROR(VLOOKUP(Table6[[#This Row],[Player No]],Table10[[No]:[Province]],3,0),"")</f>
        <v>UMG</v>
      </c>
      <c r="H73" s="66">
        <v>0</v>
      </c>
      <c r="I73" s="644">
        <v>10</v>
      </c>
      <c r="J73" s="819">
        <f>Table6[[#This Row],[Points 2025]]/2+SUM(Table6[[#This Row],[O1  ADMIN 2026]:[P2                           CT Open    2026]])</f>
        <v>16</v>
      </c>
      <c r="K73" s="63">
        <f t="shared" si="9"/>
        <v>2</v>
      </c>
      <c r="L73" s="63">
        <f t="shared" si="7"/>
        <v>0</v>
      </c>
      <c r="M73" s="708"/>
      <c r="N73" s="708">
        <v>10</v>
      </c>
      <c r="O73" s="708">
        <v>1</v>
      </c>
      <c r="P73" s="708"/>
      <c r="Q73" s="63"/>
      <c r="R73" s="63"/>
      <c r="S73" s="114">
        <v>10</v>
      </c>
      <c r="T73" s="114"/>
      <c r="U73" s="63">
        <v>1</v>
      </c>
      <c r="V73" s="114"/>
      <c r="W73" s="63"/>
      <c r="X73" s="708"/>
      <c r="Y73" s="63"/>
      <c r="Z73" s="636"/>
      <c r="AA73" s="63"/>
      <c r="AB73" s="400"/>
      <c r="AC73" s="63"/>
      <c r="AD73" s="114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127"/>
    </row>
    <row r="74" spans="1:41" s="83" customFormat="1">
      <c r="A74" s="322"/>
      <c r="B74" s="323"/>
      <c r="C74" s="324">
        <f t="shared" si="8"/>
        <v>-70</v>
      </c>
      <c r="D74" s="63">
        <f t="shared" si="10"/>
        <v>70</v>
      </c>
      <c r="E74" s="325">
        <v>4532</v>
      </c>
      <c r="F74" s="326" t="str">
        <f>IFERROR(VLOOKUP(Table6[[#This Row],[Player No]],Table10[[No]:[Province]],2,0),"")</f>
        <v xml:space="preserve">KLAASEN Liam </v>
      </c>
      <c r="G74" s="65" t="str">
        <f>IFERROR(VLOOKUP(Table6[[#This Row],[Player No]],Table10[[No]:[Province]],3,0),"")</f>
        <v>CT</v>
      </c>
      <c r="H74" s="66">
        <v>0</v>
      </c>
      <c r="I74" s="644">
        <v>30</v>
      </c>
      <c r="J74" s="819">
        <f>Table6[[#This Row],[Points 2025]]/2+SUM(Table6[[#This Row],[O1  ADMIN 2026]:[P2                           CT Open    2026]])</f>
        <v>15</v>
      </c>
      <c r="K74" s="63">
        <f t="shared" si="9"/>
        <v>0</v>
      </c>
      <c r="L74" s="63">
        <f t="shared" si="7"/>
        <v>0</v>
      </c>
      <c r="M74" s="708"/>
      <c r="N74" s="826" t="s">
        <v>6083</v>
      </c>
      <c r="O74" s="826" t="s">
        <v>6083</v>
      </c>
      <c r="P74" s="826"/>
      <c r="Q74" s="327"/>
      <c r="R74" s="327"/>
      <c r="S74" s="321"/>
      <c r="T74" s="321"/>
      <c r="U74" s="327"/>
      <c r="V74" s="321"/>
      <c r="W74" s="327"/>
      <c r="X74" s="711"/>
      <c r="Y74" s="327"/>
      <c r="Z74" s="637"/>
      <c r="AA74" s="327"/>
      <c r="AB74" s="405"/>
      <c r="AC74" s="327"/>
      <c r="AD74" s="321">
        <v>5</v>
      </c>
      <c r="AE74" s="327">
        <v>25</v>
      </c>
      <c r="AF74" s="327"/>
      <c r="AG74" s="327"/>
      <c r="AH74" s="327"/>
      <c r="AI74" s="327"/>
      <c r="AJ74" s="327"/>
      <c r="AK74" s="327"/>
      <c r="AL74" s="327"/>
      <c r="AM74" s="327"/>
      <c r="AN74" s="327"/>
      <c r="AO74" s="705"/>
    </row>
    <row r="75" spans="1:41" s="83" customFormat="1">
      <c r="A75" s="63">
        <f>IFERROR(VLOOKUP(Table6[[#This Row],[Player No]],Table10[[#All],[No]:[Age Group]],4,0),"")</f>
        <v>0</v>
      </c>
      <c r="B75" s="264">
        <v>182</v>
      </c>
      <c r="C75" s="77">
        <f t="shared" si="8"/>
        <v>111</v>
      </c>
      <c r="D75" s="63">
        <f t="shared" si="10"/>
        <v>71</v>
      </c>
      <c r="E75" s="63">
        <v>4802</v>
      </c>
      <c r="F75" s="64" t="str">
        <f>IFERROR(VLOOKUP(Table6[[#This Row],[Player No]],Table10[[No]:[Province]],2,0),"")</f>
        <v>SEWKISSON Tarit</v>
      </c>
      <c r="G75" s="65" t="str">
        <f>IFERROR(VLOOKUP(Table6[[#This Row],[Player No]],Table10[[No]:[Province]],3,0),"")</f>
        <v>UMG</v>
      </c>
      <c r="H75" s="66"/>
      <c r="I75" s="644">
        <v>0</v>
      </c>
      <c r="J75" s="819">
        <f>Table6[[#This Row],[Points 2025]]/2+SUM(Table6[[#This Row],[O1  ADMIN 2026]:[P2                           CT Open    2026]])</f>
        <v>15</v>
      </c>
      <c r="K75" s="63">
        <f t="shared" si="9"/>
        <v>1</v>
      </c>
      <c r="L75" s="63"/>
      <c r="M75" s="708"/>
      <c r="N75" s="708" t="s">
        <v>6083</v>
      </c>
      <c r="O75" s="708">
        <v>15</v>
      </c>
      <c r="P75" s="708"/>
      <c r="Q75" s="63"/>
      <c r="R75" s="63"/>
      <c r="S75" s="114"/>
      <c r="T75" s="114"/>
      <c r="U75" s="63"/>
      <c r="V75" s="114"/>
      <c r="W75" s="63"/>
      <c r="X75" s="708"/>
      <c r="Y75" s="63"/>
      <c r="Z75" s="636"/>
      <c r="AA75" s="63"/>
      <c r="AB75" s="400"/>
      <c r="AC75" s="63"/>
      <c r="AD75" s="114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127"/>
    </row>
    <row r="76" spans="1:41" s="83" customFormat="1">
      <c r="A76" s="63" t="str">
        <f>IFERROR(VLOOKUP(Table6[[#This Row],[Player No]],Table10[[#All],[No]:[Age Group]],4,0),"")</f>
        <v>U15</v>
      </c>
      <c r="B76" s="264">
        <v>190</v>
      </c>
      <c r="C76" s="77">
        <f t="shared" si="8"/>
        <v>118</v>
      </c>
      <c r="D76" s="63">
        <f t="shared" si="10"/>
        <v>72</v>
      </c>
      <c r="E76" s="63">
        <v>3627</v>
      </c>
      <c r="F76" s="64" t="str">
        <f>IFERROR(VLOOKUP(Table6[[#This Row],[Player No]],Table10[[No]:[Province]],2,0),"")</f>
        <v>VD WESTHUIZEN Ruhayden</v>
      </c>
      <c r="G76" s="65" t="str">
        <f>IFERROR(VLOOKUP(Table6[[#This Row],[Player No]],Table10[[No]:[Province]],3,0),"")</f>
        <v>CW</v>
      </c>
      <c r="H76" s="66">
        <v>25</v>
      </c>
      <c r="I76" s="644">
        <v>27.5</v>
      </c>
      <c r="J76" s="819">
        <f>Table6[[#This Row],[Points 2025]]/2+SUM(Table6[[#This Row],[O1  ADMIN 2026]:[P2                           CT Open    2026]])</f>
        <v>13.75</v>
      </c>
      <c r="K76" s="63">
        <f t="shared" si="9"/>
        <v>0</v>
      </c>
      <c r="L76" s="63">
        <f t="shared" ref="L76:L107" si="11">COUNTIF(N76:AO76,"&lt;0")</f>
        <v>0</v>
      </c>
      <c r="M76" s="708"/>
      <c r="N76" s="708" t="s">
        <v>6083</v>
      </c>
      <c r="O76" s="708" t="s">
        <v>6083</v>
      </c>
      <c r="P76" s="708"/>
      <c r="Q76" s="63"/>
      <c r="R76" s="63"/>
      <c r="S76" s="114"/>
      <c r="T76" s="114"/>
      <c r="U76" s="63"/>
      <c r="V76" s="114"/>
      <c r="W76" s="63"/>
      <c r="X76" s="708"/>
      <c r="Y76" s="63"/>
      <c r="Z76" s="636"/>
      <c r="AA76" s="63"/>
      <c r="AB76" s="400"/>
      <c r="AC76" s="63"/>
      <c r="AD76" s="114"/>
      <c r="AE76" s="63">
        <v>15</v>
      </c>
      <c r="AF76" s="63"/>
      <c r="AG76" s="63"/>
      <c r="AH76" s="63"/>
      <c r="AI76" s="63">
        <v>25</v>
      </c>
      <c r="AJ76" s="63"/>
      <c r="AK76" s="63"/>
      <c r="AL76" s="63"/>
      <c r="AM76" s="63"/>
      <c r="AN76" s="63"/>
      <c r="AO76" s="127"/>
    </row>
    <row r="77" spans="1:41" s="83" customFormat="1">
      <c r="A77" s="322"/>
      <c r="B77" s="323"/>
      <c r="C77" s="324">
        <f t="shared" si="8"/>
        <v>-73</v>
      </c>
      <c r="D77" s="63">
        <f t="shared" si="10"/>
        <v>73</v>
      </c>
      <c r="E77" s="325">
        <v>3625</v>
      </c>
      <c r="F77" s="326" t="str">
        <f>IFERROR(VLOOKUP(Table6[[#This Row],[Player No]],Table10[[No]:[Province]],2,0),"")</f>
        <v>MACKRILL Jordan</v>
      </c>
      <c r="G77" s="65" t="str">
        <f>IFERROR(VLOOKUP(Table6[[#This Row],[Player No]],Table10[[No]:[Province]],3,0),"")</f>
        <v>CW</v>
      </c>
      <c r="H77" s="66">
        <v>0</v>
      </c>
      <c r="I77" s="644">
        <v>27.5</v>
      </c>
      <c r="J77" s="819">
        <f>Table6[[#This Row],[Points 2025]]/2+SUM(Table6[[#This Row],[O1  ADMIN 2026]:[P2                           CT Open    2026]])</f>
        <v>13.75</v>
      </c>
      <c r="K77" s="63">
        <f t="shared" si="9"/>
        <v>0</v>
      </c>
      <c r="L77" s="63">
        <f t="shared" si="11"/>
        <v>0</v>
      </c>
      <c r="M77" s="708"/>
      <c r="N77" s="826" t="s">
        <v>6083</v>
      </c>
      <c r="O77" s="826" t="s">
        <v>6083</v>
      </c>
      <c r="P77" s="826"/>
      <c r="Q77" s="327"/>
      <c r="R77" s="327"/>
      <c r="S77" s="321"/>
      <c r="T77" s="321"/>
      <c r="U77" s="327"/>
      <c r="V77" s="321"/>
      <c r="W77" s="327"/>
      <c r="X77" s="711"/>
      <c r="Y77" s="327"/>
      <c r="Z77" s="637">
        <v>25</v>
      </c>
      <c r="AA77" s="327"/>
      <c r="AB77" s="405"/>
      <c r="AC77" s="327"/>
      <c r="AD77" s="321">
        <v>0.5</v>
      </c>
      <c r="AE77" s="327">
        <v>2</v>
      </c>
      <c r="AF77" s="327"/>
      <c r="AG77" s="327"/>
      <c r="AH77" s="327"/>
      <c r="AI77" s="327"/>
      <c r="AJ77" s="327"/>
      <c r="AK77" s="327"/>
      <c r="AL77" s="327"/>
      <c r="AM77" s="327"/>
      <c r="AN77" s="327"/>
      <c r="AO77" s="705"/>
    </row>
    <row r="78" spans="1:41" s="83" customFormat="1">
      <c r="A78" s="63" t="str">
        <f>IFERROR(VLOOKUP(Table6[[#This Row],[Player No]],Table10[[#All],[No]:[Age Group]],4,0),"")</f>
        <v>U15</v>
      </c>
      <c r="B78" s="264">
        <v>21</v>
      </c>
      <c r="C78" s="77">
        <f t="shared" si="8"/>
        <v>-53</v>
      </c>
      <c r="D78" s="63">
        <f t="shared" si="10"/>
        <v>74</v>
      </c>
      <c r="E78" s="63">
        <v>3250</v>
      </c>
      <c r="F78" s="64" t="str">
        <f>IFERROR(VLOOKUP(Table6[[#This Row],[Player No]],Table10[[No]:[Province]],2,0),"")</f>
        <v>TROUT Elijah Yasu</v>
      </c>
      <c r="G78" s="65" t="str">
        <f>IFERROR(VLOOKUP(Table6[[#This Row],[Player No]],Table10[[No]:[Province]],3,0),"")</f>
        <v>CT</v>
      </c>
      <c r="H78" s="66">
        <v>54.25</v>
      </c>
      <c r="I78" s="644">
        <v>27.125</v>
      </c>
      <c r="J78" s="819">
        <f>Table6[[#This Row],[Points 2025]]/2+SUM(Table6[[#This Row],[O1  ADMIN 2026]:[P2                           CT Open    2026]])</f>
        <v>13.5625</v>
      </c>
      <c r="K78" s="63">
        <f t="shared" si="9"/>
        <v>0</v>
      </c>
      <c r="L78" s="63">
        <f t="shared" si="11"/>
        <v>0</v>
      </c>
      <c r="M78" s="708"/>
      <c r="N78" s="708" t="s">
        <v>6083</v>
      </c>
      <c r="O78" s="708" t="s">
        <v>6083</v>
      </c>
      <c r="P78" s="708"/>
      <c r="Q78" s="63"/>
      <c r="R78" s="63"/>
      <c r="S78" s="114"/>
      <c r="T78" s="114"/>
      <c r="U78" s="63"/>
      <c r="V78" s="114"/>
      <c r="W78" s="63"/>
      <c r="X78" s="708"/>
      <c r="Y78" s="63"/>
      <c r="Z78" s="636"/>
      <c r="AA78" s="63"/>
      <c r="AB78" s="400"/>
      <c r="AC78" s="63"/>
      <c r="AD78" s="114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127"/>
    </row>
    <row r="79" spans="1:41" s="83" customFormat="1">
      <c r="A79" s="63">
        <f>IFERROR(VLOOKUP(Table6[[#This Row],[Player No]],Table10[[#All],[No]:[Age Group]],4,0),"")</f>
        <v>0</v>
      </c>
      <c r="B79" s="264">
        <v>190</v>
      </c>
      <c r="C79" s="77">
        <f t="shared" si="8"/>
        <v>115</v>
      </c>
      <c r="D79" s="63">
        <f t="shared" si="10"/>
        <v>75</v>
      </c>
      <c r="E79" s="63">
        <v>3939</v>
      </c>
      <c r="F79" s="64" t="str">
        <f>IFERROR(VLOOKUP(Table6[[#This Row],[Player No]],Table10[[No]:[Province]],2,0),"")</f>
        <v>ENGEL Liam</v>
      </c>
      <c r="G79" s="65" t="str">
        <f>IFERROR(VLOOKUP(Table6[[#This Row],[Player No]],Table10[[No]:[Province]],3,0),"")</f>
        <v>CT</v>
      </c>
      <c r="H79" s="66">
        <v>51</v>
      </c>
      <c r="I79" s="644">
        <v>25.5</v>
      </c>
      <c r="J79" s="819">
        <f>Table6[[#This Row],[Points 2025]]/2+SUM(Table6[[#This Row],[O1  ADMIN 2026]:[P2                           CT Open    2026]])</f>
        <v>12.75</v>
      </c>
      <c r="K79" s="63">
        <f t="shared" si="9"/>
        <v>0</v>
      </c>
      <c r="L79" s="63">
        <f t="shared" si="11"/>
        <v>0</v>
      </c>
      <c r="M79" s="708"/>
      <c r="N79" s="708" t="s">
        <v>6083</v>
      </c>
      <c r="O79" s="708" t="s">
        <v>6083</v>
      </c>
      <c r="P79" s="708"/>
      <c r="Q79" s="63"/>
      <c r="R79" s="63"/>
      <c r="S79" s="114"/>
      <c r="T79" s="114"/>
      <c r="U79" s="63"/>
      <c r="V79" s="114"/>
      <c r="W79" s="63"/>
      <c r="X79" s="708"/>
      <c r="Y79" s="63"/>
      <c r="Z79" s="636"/>
      <c r="AA79" s="63"/>
      <c r="AB79" s="400"/>
      <c r="AC79" s="63"/>
      <c r="AD79" s="114"/>
      <c r="AE79" s="63"/>
      <c r="AF79" s="63"/>
      <c r="AG79" s="63"/>
      <c r="AH79" s="63">
        <v>1</v>
      </c>
      <c r="AI79" s="63">
        <v>50</v>
      </c>
      <c r="AJ79" s="63"/>
      <c r="AK79" s="63"/>
      <c r="AL79" s="63"/>
      <c r="AM79" s="63"/>
      <c r="AN79" s="63"/>
      <c r="AO79" s="127"/>
    </row>
    <row r="80" spans="1:41" s="83" customFormat="1">
      <c r="A80" s="322"/>
      <c r="B80" s="323"/>
      <c r="C80" s="324">
        <f t="shared" si="8"/>
        <v>-76</v>
      </c>
      <c r="D80" s="63">
        <f t="shared" si="10"/>
        <v>76</v>
      </c>
      <c r="E80" s="325">
        <v>3626</v>
      </c>
      <c r="F80" s="326" t="str">
        <f>IFERROR(VLOOKUP(Table6[[#This Row],[Player No]],Table10[[No]:[Province]],2,0),"")</f>
        <v>KLEINTJIES Brodie</v>
      </c>
      <c r="G80" s="65" t="str">
        <f>IFERROR(VLOOKUP(Table6[[#This Row],[Player No]],Table10[[No]:[Province]],3,0),"")</f>
        <v>CW</v>
      </c>
      <c r="H80" s="66">
        <v>0</v>
      </c>
      <c r="I80" s="644">
        <v>25.5</v>
      </c>
      <c r="J80" s="819">
        <f>Table6[[#This Row],[Points 2025]]/2+SUM(Table6[[#This Row],[O1  ADMIN 2026]:[P2                           CT Open    2026]])</f>
        <v>12.75</v>
      </c>
      <c r="K80" s="63">
        <f t="shared" si="9"/>
        <v>0</v>
      </c>
      <c r="L80" s="63">
        <f t="shared" si="11"/>
        <v>0</v>
      </c>
      <c r="M80" s="708"/>
      <c r="N80" s="826" t="s">
        <v>6083</v>
      </c>
      <c r="O80" s="826" t="s">
        <v>6083</v>
      </c>
      <c r="P80" s="826"/>
      <c r="Q80" s="327"/>
      <c r="R80" s="327"/>
      <c r="S80" s="321"/>
      <c r="T80" s="321"/>
      <c r="U80" s="327"/>
      <c r="V80" s="321"/>
      <c r="W80" s="327"/>
      <c r="X80" s="711"/>
      <c r="Y80" s="327"/>
      <c r="Z80" s="637"/>
      <c r="AA80" s="327"/>
      <c r="AB80" s="405"/>
      <c r="AC80" s="327"/>
      <c r="AD80" s="321">
        <v>0.5</v>
      </c>
      <c r="AE80" s="327">
        <v>25</v>
      </c>
      <c r="AF80" s="327"/>
      <c r="AG80" s="327"/>
      <c r="AH80" s="327"/>
      <c r="AI80" s="327"/>
      <c r="AJ80" s="327"/>
      <c r="AK80" s="327"/>
      <c r="AL80" s="327"/>
      <c r="AM80" s="327"/>
      <c r="AN80" s="327"/>
      <c r="AO80" s="705"/>
    </row>
    <row r="81" spans="1:41" s="83" customFormat="1">
      <c r="A81" s="63">
        <f>IFERROR(VLOOKUP(Table6[[#This Row],[Player No]],Table10[[#All],[No]:[Age Group]],4,0),"")</f>
        <v>0</v>
      </c>
      <c r="B81" s="264">
        <v>23</v>
      </c>
      <c r="C81" s="77"/>
      <c r="D81" s="63">
        <f t="shared" si="10"/>
        <v>77</v>
      </c>
      <c r="E81" s="63">
        <v>2237</v>
      </c>
      <c r="F81" s="64" t="str">
        <f>IFERROR(VLOOKUP(Table6[[#This Row],[Player No]],Table10[[No]:[Province]],2,0),"")</f>
        <v xml:space="preserve">MADORO Trust </v>
      </c>
      <c r="G81" s="65" t="str">
        <f>IFERROR(VLOOKUP(Table6[[#This Row],[Player No]],Table10[[No]:[Province]],3,0),"")</f>
        <v>ZIM</v>
      </c>
      <c r="H81" s="66">
        <v>50</v>
      </c>
      <c r="I81" s="644">
        <v>25</v>
      </c>
      <c r="J81" s="819">
        <f>Table6[[#This Row],[Points 2025]]/2+SUM(Table6[[#This Row],[O1  ADMIN 2026]:[P2                           CT Open    2026]])</f>
        <v>12.5</v>
      </c>
      <c r="K81" s="63">
        <f t="shared" si="9"/>
        <v>0</v>
      </c>
      <c r="L81" s="63">
        <f t="shared" si="11"/>
        <v>0</v>
      </c>
      <c r="M81" s="708"/>
      <c r="N81" s="708" t="s">
        <v>6083</v>
      </c>
      <c r="O81" s="708" t="s">
        <v>6083</v>
      </c>
      <c r="P81" s="708"/>
      <c r="Q81" s="63"/>
      <c r="R81" s="63"/>
      <c r="S81" s="114"/>
      <c r="T81" s="114"/>
      <c r="U81" s="63"/>
      <c r="V81" s="114"/>
      <c r="W81" s="63"/>
      <c r="X81" s="708"/>
      <c r="Y81" s="63"/>
      <c r="Z81" s="636"/>
      <c r="AA81" s="63"/>
      <c r="AB81" s="400"/>
      <c r="AC81" s="63"/>
      <c r="AD81" s="114"/>
      <c r="AE81" s="63"/>
      <c r="AF81" s="63"/>
      <c r="AG81" s="63"/>
      <c r="AH81" s="63"/>
      <c r="AI81" s="63"/>
      <c r="AJ81" s="63"/>
      <c r="AK81" s="63"/>
      <c r="AL81" s="63"/>
      <c r="AM81" s="63"/>
      <c r="AN81" s="63">
        <v>50</v>
      </c>
      <c r="AO81" s="127"/>
    </row>
    <row r="82" spans="1:41" s="83" customFormat="1">
      <c r="A82" s="63">
        <f>IFERROR(VLOOKUP(Table6[[#This Row],[Player No]],Table10[[#All],[No]:[Age Group]],4,0),"")</f>
        <v>0</v>
      </c>
      <c r="B82" s="264">
        <v>22</v>
      </c>
      <c r="C82" s="77">
        <f>+B82-D82</f>
        <v>-56</v>
      </c>
      <c r="D82" s="63">
        <f t="shared" si="10"/>
        <v>78</v>
      </c>
      <c r="E82" s="63">
        <v>3430</v>
      </c>
      <c r="F82" s="64" t="str">
        <f>IFERROR(VLOOKUP(Table6[[#This Row],[Player No]],Table10[[No]:[Province]],2,0),"")</f>
        <v>VAN DEN BERG Marlo</v>
      </c>
      <c r="G82" s="65" t="str">
        <f>IFERROR(VLOOKUP(Table6[[#This Row],[Player No]],Table10[[No]:[Province]],3,0),"")</f>
        <v>GN</v>
      </c>
      <c r="H82" s="66">
        <v>50</v>
      </c>
      <c r="I82" s="644">
        <v>25</v>
      </c>
      <c r="J82" s="819">
        <f>Table6[[#This Row],[Points 2025]]/2+SUM(Table6[[#This Row],[O1  ADMIN 2026]:[P2                           CT Open    2026]])</f>
        <v>12.5</v>
      </c>
      <c r="K82" s="63">
        <f t="shared" si="9"/>
        <v>0</v>
      </c>
      <c r="L82" s="63">
        <f t="shared" si="11"/>
        <v>0</v>
      </c>
      <c r="M82" s="708"/>
      <c r="N82" s="708" t="s">
        <v>6083</v>
      </c>
      <c r="O82" s="708" t="s">
        <v>6083</v>
      </c>
      <c r="P82" s="708"/>
      <c r="Q82" s="63"/>
      <c r="R82" s="63"/>
      <c r="S82" s="114"/>
      <c r="T82" s="114"/>
      <c r="U82" s="63"/>
      <c r="V82" s="114"/>
      <c r="W82" s="63"/>
      <c r="X82" s="708"/>
      <c r="Y82" s="63"/>
      <c r="Z82" s="636"/>
      <c r="AA82" s="63"/>
      <c r="AB82" s="400"/>
      <c r="AC82" s="63"/>
      <c r="AD82" s="114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127"/>
    </row>
    <row r="83" spans="1:41" s="83" customFormat="1">
      <c r="A83" s="63">
        <f>IFERROR(VLOOKUP(Table6[[#This Row],[Player No]],Table10[[#All],[No]:[Age Group]],4,0),"")</f>
        <v>0</v>
      </c>
      <c r="B83" s="264">
        <v>65</v>
      </c>
      <c r="C83" s="77">
        <f>+B83-D83</f>
        <v>-14</v>
      </c>
      <c r="D83" s="63">
        <f t="shared" si="10"/>
        <v>79</v>
      </c>
      <c r="E83" s="63">
        <v>3858</v>
      </c>
      <c r="F83" s="64" t="str">
        <f>IFERROR(VLOOKUP(Table6[[#This Row],[Player No]],Table10[[No]:[Province]],2,0),"")</f>
        <v>ASULIN Amichai</v>
      </c>
      <c r="G83" s="65" t="str">
        <f>IFERROR(VLOOKUP(Table6[[#This Row],[Player No]],Table10[[No]:[Province]],3,0),"")</f>
        <v>JTTA</v>
      </c>
      <c r="H83" s="66">
        <v>20</v>
      </c>
      <c r="I83" s="644">
        <v>25</v>
      </c>
      <c r="J83" s="819">
        <f>Table6[[#This Row],[Points 2025]]/2+SUM(Table6[[#This Row],[O1  ADMIN 2026]:[P2                           CT Open    2026]])</f>
        <v>12.5</v>
      </c>
      <c r="K83" s="63">
        <f t="shared" si="9"/>
        <v>0</v>
      </c>
      <c r="L83" s="63">
        <f t="shared" si="11"/>
        <v>0</v>
      </c>
      <c r="M83" s="708"/>
      <c r="N83" s="708" t="s">
        <v>6083</v>
      </c>
      <c r="O83" s="708" t="s">
        <v>6083</v>
      </c>
      <c r="P83" s="708"/>
      <c r="Q83" s="63"/>
      <c r="R83" s="63"/>
      <c r="S83" s="114"/>
      <c r="T83" s="114"/>
      <c r="U83" s="63"/>
      <c r="V83" s="114"/>
      <c r="W83" s="63"/>
      <c r="X83" s="708"/>
      <c r="Y83" s="63"/>
      <c r="Z83" s="636"/>
      <c r="AA83" s="63"/>
      <c r="AB83" s="400"/>
      <c r="AC83" s="63">
        <v>15</v>
      </c>
      <c r="AD83" s="114"/>
      <c r="AE83" s="63"/>
      <c r="AF83" s="63"/>
      <c r="AG83" s="63"/>
      <c r="AH83" s="63"/>
      <c r="AI83" s="63"/>
      <c r="AJ83" s="63">
        <v>5</v>
      </c>
      <c r="AK83" s="63"/>
      <c r="AL83" s="63"/>
      <c r="AM83" s="63"/>
      <c r="AN83" s="63"/>
      <c r="AO83" s="127">
        <v>15</v>
      </c>
    </row>
    <row r="84" spans="1:41" s="83" customFormat="1">
      <c r="A84" s="63" t="str">
        <f>IFERROR(VLOOKUP(Table6[[#This Row],[Player No]],Table10[[#All],[No]:[Age Group]],4,0),"")</f>
        <v>U15</v>
      </c>
      <c r="B84" s="264">
        <v>84</v>
      </c>
      <c r="C84" s="77">
        <f>+B84-D84</f>
        <v>4</v>
      </c>
      <c r="D84" s="63">
        <f t="shared" si="10"/>
        <v>80</v>
      </c>
      <c r="E84" s="63">
        <v>3929</v>
      </c>
      <c r="F84" s="64" t="str">
        <f>IFERROR(VLOOKUP(Table6[[#This Row],[Player No]],Table10[[No]:[Province]],2,0),"")</f>
        <v>TAVARIA Kian</v>
      </c>
      <c r="G84" s="65" t="str">
        <f>IFERROR(VLOOKUP(Table6[[#This Row],[Player No]],Table10[[No]:[Province]],3,0),"")</f>
        <v>JTTA</v>
      </c>
      <c r="H84" s="66">
        <v>10</v>
      </c>
      <c r="I84" s="644">
        <v>25</v>
      </c>
      <c r="J84" s="819">
        <f>Table6[[#This Row],[Points 2025]]/2+SUM(Table6[[#This Row],[O1  ADMIN 2026]:[P2                           CT Open    2026]])</f>
        <v>12.5</v>
      </c>
      <c r="K84" s="63">
        <f t="shared" si="9"/>
        <v>0</v>
      </c>
      <c r="L84" s="63">
        <f t="shared" si="11"/>
        <v>0</v>
      </c>
      <c r="M84" s="708"/>
      <c r="N84" s="708" t="s">
        <v>6083</v>
      </c>
      <c r="O84" s="708" t="s">
        <v>6083</v>
      </c>
      <c r="P84" s="708"/>
      <c r="Q84" s="63"/>
      <c r="R84" s="63"/>
      <c r="S84" s="114"/>
      <c r="T84" s="114"/>
      <c r="U84" s="63"/>
      <c r="V84" s="114"/>
      <c r="W84" s="63"/>
      <c r="X84" s="708"/>
      <c r="Y84" s="63"/>
      <c r="Z84" s="636"/>
      <c r="AA84" s="63"/>
      <c r="AB84" s="400">
        <v>20</v>
      </c>
      <c r="AC84" s="63"/>
      <c r="AD84" s="114"/>
      <c r="AE84" s="63"/>
      <c r="AF84" s="63"/>
      <c r="AG84" s="63"/>
      <c r="AH84" s="63"/>
      <c r="AI84" s="63"/>
      <c r="AJ84" s="63"/>
      <c r="AK84" s="63"/>
      <c r="AL84" s="63">
        <v>10</v>
      </c>
      <c r="AM84" s="63"/>
      <c r="AN84" s="63"/>
      <c r="AO84" s="127"/>
    </row>
    <row r="85" spans="1:41" s="83" customFormat="1">
      <c r="A85" s="614"/>
      <c r="B85" s="732"/>
      <c r="C85" s="618">
        <f>+B85-D85</f>
        <v>-81</v>
      </c>
      <c r="D85" s="63">
        <f t="shared" si="10"/>
        <v>81</v>
      </c>
      <c r="E85" s="620">
        <v>4127</v>
      </c>
      <c r="F85" s="64" t="str">
        <f>IFERROR(VLOOKUP(Table6[[#This Row],[Player No]],Table10[[No]:[Province]],2,0),"")</f>
        <v>Phikolethu MBANDA</v>
      </c>
      <c r="G85" s="65" t="str">
        <f>IFERROR(VLOOKUP(Table6[[#This Row],[Player No]],Table10[[No]:[Province]],3,0),"")</f>
        <v>EC</v>
      </c>
      <c r="H85" s="626">
        <v>0</v>
      </c>
      <c r="I85" s="644">
        <v>25</v>
      </c>
      <c r="J85" s="819">
        <f>Table6[[#This Row],[Points 2025]]/2+SUM(Table6[[#This Row],[O1  ADMIN 2026]:[P2                           CT Open    2026]])</f>
        <v>12.5</v>
      </c>
      <c r="K85" s="63">
        <f t="shared" si="9"/>
        <v>0</v>
      </c>
      <c r="L85" s="63">
        <f t="shared" si="11"/>
        <v>0</v>
      </c>
      <c r="M85" s="708"/>
      <c r="N85" s="781" t="s">
        <v>6083</v>
      </c>
      <c r="O85" s="781" t="s">
        <v>6083</v>
      </c>
      <c r="P85" s="781"/>
      <c r="Q85" s="624"/>
      <c r="R85" s="624"/>
      <c r="S85" s="625"/>
      <c r="T85" s="625"/>
      <c r="U85" s="624"/>
      <c r="V85" s="625"/>
      <c r="W85" s="624"/>
      <c r="X85" s="709"/>
      <c r="Y85" s="624"/>
      <c r="Z85" s="677">
        <v>25</v>
      </c>
      <c r="AA85" s="624"/>
      <c r="AB85" s="611"/>
      <c r="AC85" s="624"/>
      <c r="AD85" s="625"/>
      <c r="AE85" s="624"/>
      <c r="AF85" s="624"/>
      <c r="AG85" s="624"/>
      <c r="AH85" s="624"/>
      <c r="AI85" s="624"/>
      <c r="AJ85" s="624"/>
      <c r="AK85" s="624"/>
      <c r="AL85" s="624"/>
      <c r="AM85" s="624"/>
      <c r="AN85" s="624"/>
      <c r="AO85" s="630"/>
    </row>
    <row r="86" spans="1:41" s="83" customFormat="1">
      <c r="A86" s="614"/>
      <c r="B86" s="732"/>
      <c r="C86" s="618">
        <f>+B86-D86</f>
        <v>-82</v>
      </c>
      <c r="D86" s="63">
        <f t="shared" si="10"/>
        <v>82</v>
      </c>
      <c r="E86" s="620">
        <v>4743</v>
      </c>
      <c r="F86" s="64" t="str">
        <f>IFERROR(VLOOKUP(Table6[[#This Row],[Player No]],Table10[[No]:[Province]],2,0),"")</f>
        <v>MOHATLI  Mapiti</v>
      </c>
      <c r="G86" s="65" t="str">
        <f>IFERROR(VLOOKUP(Table6[[#This Row],[Player No]],Table10[[No]:[Province]],3,0),"")</f>
        <v>LIM</v>
      </c>
      <c r="H86" s="626">
        <v>0</v>
      </c>
      <c r="I86" s="644">
        <v>25</v>
      </c>
      <c r="J86" s="819">
        <f>Table6[[#This Row],[Points 2025]]/2+SUM(Table6[[#This Row],[O1  ADMIN 2026]:[P2                           CT Open    2026]])</f>
        <v>12.5</v>
      </c>
      <c r="K86" s="63">
        <f t="shared" si="9"/>
        <v>0</v>
      </c>
      <c r="L86" s="63">
        <f t="shared" si="11"/>
        <v>0</v>
      </c>
      <c r="M86" s="708"/>
      <c r="N86" s="781" t="s">
        <v>6083</v>
      </c>
      <c r="O86" s="781" t="s">
        <v>6083</v>
      </c>
      <c r="P86" s="781"/>
      <c r="Q86" s="624"/>
      <c r="R86" s="624"/>
      <c r="S86" s="625"/>
      <c r="T86" s="625"/>
      <c r="U86" s="624"/>
      <c r="V86" s="625"/>
      <c r="W86" s="624"/>
      <c r="X86" s="709"/>
      <c r="Y86" s="624"/>
      <c r="Z86" s="677">
        <v>25</v>
      </c>
      <c r="AA86" s="624"/>
      <c r="AB86" s="611"/>
      <c r="AC86" s="624"/>
      <c r="AD86" s="625"/>
      <c r="AE86" s="624"/>
      <c r="AF86" s="624"/>
      <c r="AG86" s="624"/>
      <c r="AH86" s="624"/>
      <c r="AI86" s="624"/>
      <c r="AJ86" s="624"/>
      <c r="AK86" s="624"/>
      <c r="AL86" s="624"/>
      <c r="AM86" s="624"/>
      <c r="AN86" s="624"/>
      <c r="AO86" s="630"/>
    </row>
    <row r="87" spans="1:41" s="83" customFormat="1">
      <c r="A87" s="175"/>
      <c r="B87" s="267"/>
      <c r="C87" s="77" t="e">
        <v>#VALUE!</v>
      </c>
      <c r="D87" s="63">
        <f t="shared" si="10"/>
        <v>83</v>
      </c>
      <c r="E87" s="63">
        <v>4400</v>
      </c>
      <c r="F87" s="64" t="str">
        <f>IFERROR(VLOOKUP(Table6[[#This Row],[Player No]],Table10[[No]:[Province]],2,0),"")</f>
        <v>KGONGWANA Thato</v>
      </c>
      <c r="G87" s="65" t="str">
        <f>IFERROR(VLOOKUP(Table6[[#This Row],[Player No]],Table10[[No]:[Province]],3,0),"")</f>
        <v>BOT</v>
      </c>
      <c r="H87" s="86">
        <v>0</v>
      </c>
      <c r="I87" s="644">
        <v>25</v>
      </c>
      <c r="J87" s="819">
        <f>Table6[[#This Row],[Points 2025]]/2+SUM(Table6[[#This Row],[O1  ADMIN 2026]:[P2                           CT Open    2026]])</f>
        <v>12.5</v>
      </c>
      <c r="K87" s="63">
        <f t="shared" si="9"/>
        <v>0</v>
      </c>
      <c r="L87" s="63">
        <f t="shared" si="11"/>
        <v>0</v>
      </c>
      <c r="M87" s="708"/>
      <c r="N87" s="708" t="s">
        <v>6083</v>
      </c>
      <c r="O87" s="708" t="s">
        <v>6083</v>
      </c>
      <c r="P87" s="708"/>
      <c r="Q87" s="63"/>
      <c r="R87" s="63"/>
      <c r="S87" s="114"/>
      <c r="T87" s="114"/>
      <c r="U87" s="63"/>
      <c r="V87" s="114"/>
      <c r="W87" s="63"/>
      <c r="X87" s="708"/>
      <c r="Y87" s="63"/>
      <c r="Z87" s="636"/>
      <c r="AA87" s="63"/>
      <c r="AB87" s="400"/>
      <c r="AC87" s="63">
        <v>25</v>
      </c>
      <c r="AD87" s="114"/>
      <c r="AE87" s="63"/>
      <c r="AF87" s="63"/>
      <c r="AG87" s="63"/>
      <c r="AH87" s="63"/>
      <c r="AI87" s="92"/>
      <c r="AJ87" s="92"/>
      <c r="AK87" s="92"/>
      <c r="AL87" s="92"/>
      <c r="AM87" s="92"/>
      <c r="AN87" s="92"/>
      <c r="AO87" s="707"/>
    </row>
    <row r="88" spans="1:41" s="83" customFormat="1">
      <c r="A88" s="138"/>
      <c r="B88" s="264"/>
      <c r="C88" s="77">
        <f t="shared" ref="C88:C104" si="12">+B88-D88</f>
        <v>-84</v>
      </c>
      <c r="D88" s="63">
        <f t="shared" si="10"/>
        <v>84</v>
      </c>
      <c r="E88" s="154">
        <v>4437</v>
      </c>
      <c r="F88" s="64" t="str">
        <f>IFERROR(VLOOKUP(Table6[[#This Row],[Player No]],Table10[[No]:[Province]],2,0),"")</f>
        <v>MPOSULABongani</v>
      </c>
      <c r="G88" s="65" t="str">
        <f>IFERROR(VLOOKUP(Table6[[#This Row],[Player No]],Table10[[No]:[Province]],3,0),"")</f>
        <v>EKU</v>
      </c>
      <c r="H88" s="66">
        <v>0</v>
      </c>
      <c r="I88" s="644">
        <v>25</v>
      </c>
      <c r="J88" s="819">
        <f>Table6[[#This Row],[Points 2025]]/2+SUM(Table6[[#This Row],[O1  ADMIN 2026]:[P2                           CT Open    2026]])</f>
        <v>12.5</v>
      </c>
      <c r="K88" s="63">
        <f t="shared" si="9"/>
        <v>0</v>
      </c>
      <c r="L88" s="63">
        <f t="shared" si="11"/>
        <v>0</v>
      </c>
      <c r="M88" s="708"/>
      <c r="N88" s="827" t="s">
        <v>6083</v>
      </c>
      <c r="O88" s="827" t="s">
        <v>6083</v>
      </c>
      <c r="P88" s="827"/>
      <c r="Q88" s="63"/>
      <c r="R88" s="63"/>
      <c r="S88" s="114"/>
      <c r="T88" s="114"/>
      <c r="U88" s="63"/>
      <c r="V88" s="114"/>
      <c r="W88" s="63"/>
      <c r="X88" s="708"/>
      <c r="Y88" s="63">
        <v>25</v>
      </c>
      <c r="Z88" s="636"/>
      <c r="AA88" s="63"/>
      <c r="AB88" s="400"/>
      <c r="AC88" s="63"/>
      <c r="AD88" s="114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127"/>
    </row>
    <row r="89" spans="1:41" s="83" customFormat="1">
      <c r="A89" s="322"/>
      <c r="B89" s="323"/>
      <c r="C89" s="324">
        <f t="shared" si="12"/>
        <v>-85</v>
      </c>
      <c r="D89" s="63">
        <f t="shared" si="10"/>
        <v>85</v>
      </c>
      <c r="E89" s="325">
        <v>4486</v>
      </c>
      <c r="F89" s="326" t="str">
        <f>IFERROR(VLOOKUP(Table6[[#This Row],[Player No]],Table10[[No]:[Province]],2,0),"")</f>
        <v>MOKHELE Mohau</v>
      </c>
      <c r="G89" s="65" t="str">
        <f>IFERROR(VLOOKUP(Table6[[#This Row],[Player No]],Table10[[No]:[Province]],3,0),"")</f>
        <v>LES</v>
      </c>
      <c r="H89" s="66">
        <v>0</v>
      </c>
      <c r="I89" s="644">
        <v>25</v>
      </c>
      <c r="J89" s="819">
        <f>Table6[[#This Row],[Points 2025]]/2+SUM(Table6[[#This Row],[O1  ADMIN 2026]:[P2                           CT Open    2026]])</f>
        <v>12.5</v>
      </c>
      <c r="K89" s="63">
        <f t="shared" si="9"/>
        <v>0</v>
      </c>
      <c r="L89" s="63">
        <f t="shared" si="11"/>
        <v>0</v>
      </c>
      <c r="M89" s="708"/>
      <c r="N89" s="826" t="s">
        <v>6083</v>
      </c>
      <c r="O89" s="826" t="s">
        <v>6083</v>
      </c>
      <c r="P89" s="826"/>
      <c r="Q89" s="327"/>
      <c r="R89" s="327"/>
      <c r="S89" s="321"/>
      <c r="T89" s="321"/>
      <c r="U89" s="327"/>
      <c r="V89" s="321">
        <v>25</v>
      </c>
      <c r="W89" s="327"/>
      <c r="X89" s="711"/>
      <c r="Y89" s="327"/>
      <c r="Z89" s="637"/>
      <c r="AA89" s="327"/>
      <c r="AB89" s="405"/>
      <c r="AC89" s="327"/>
      <c r="AD89" s="321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705"/>
    </row>
    <row r="90" spans="1:41" s="83" customFormat="1">
      <c r="A90" s="322"/>
      <c r="B90" s="323"/>
      <c r="C90" s="324">
        <f t="shared" si="12"/>
        <v>-86</v>
      </c>
      <c r="D90" s="63">
        <f t="shared" si="10"/>
        <v>86</v>
      </c>
      <c r="E90" s="325">
        <v>4575</v>
      </c>
      <c r="F90" s="326" t="str">
        <f>IFERROR(VLOOKUP(Table6[[#This Row],[Player No]],Table10[[No]:[Province]],2,0),"")</f>
        <v xml:space="preserve">OSMAN Muhummed </v>
      </c>
      <c r="G90" s="65" t="str">
        <f>IFERROR(VLOOKUP(Table6[[#This Row],[Player No]],Table10[[No]:[Province]],3,0),"")</f>
        <v>FS</v>
      </c>
      <c r="H90" s="66">
        <v>0</v>
      </c>
      <c r="I90" s="644">
        <v>25</v>
      </c>
      <c r="J90" s="819">
        <f>Table6[[#This Row],[Points 2025]]/2+SUM(Table6[[#This Row],[O1  ADMIN 2026]:[P2                           CT Open    2026]])</f>
        <v>12.5</v>
      </c>
      <c r="K90" s="63">
        <f t="shared" si="9"/>
        <v>0</v>
      </c>
      <c r="L90" s="63">
        <f t="shared" si="11"/>
        <v>0</v>
      </c>
      <c r="M90" s="708"/>
      <c r="N90" s="826" t="s">
        <v>6083</v>
      </c>
      <c r="O90" s="826" t="s">
        <v>6083</v>
      </c>
      <c r="P90" s="826"/>
      <c r="Q90" s="327"/>
      <c r="R90" s="327"/>
      <c r="S90" s="321"/>
      <c r="T90" s="321"/>
      <c r="U90" s="327"/>
      <c r="V90" s="321">
        <v>25</v>
      </c>
      <c r="W90" s="327"/>
      <c r="X90" s="711"/>
      <c r="Y90" s="327"/>
      <c r="Z90" s="637"/>
      <c r="AA90" s="327"/>
      <c r="AB90" s="405"/>
      <c r="AC90" s="327"/>
      <c r="AD90" s="321"/>
      <c r="AE90" s="327"/>
      <c r="AF90" s="327"/>
      <c r="AG90" s="327"/>
      <c r="AH90" s="327"/>
      <c r="AI90" s="327"/>
      <c r="AJ90" s="327"/>
      <c r="AK90" s="327"/>
      <c r="AL90" s="327"/>
      <c r="AM90" s="327"/>
      <c r="AN90" s="327"/>
      <c r="AO90" s="705"/>
    </row>
    <row r="91" spans="1:41" s="83" customFormat="1">
      <c r="A91" s="175"/>
      <c r="B91" s="267"/>
      <c r="C91" s="168">
        <f t="shared" si="12"/>
        <v>-87</v>
      </c>
      <c r="D91" s="63">
        <f t="shared" si="10"/>
        <v>87</v>
      </c>
      <c r="E91" s="174">
        <v>3849</v>
      </c>
      <c r="F91" s="64" t="str">
        <f>IFERROR(VLOOKUP(Table6[[#This Row],[Player No]],Table10[[No]:[Province]],2,0),"")</f>
        <v>KRUGER Mikal</v>
      </c>
      <c r="G91" s="65" t="str">
        <f>IFERROR(VLOOKUP(Table6[[#This Row],[Player No]],Table10[[No]:[Province]],3,0),"")</f>
        <v>GN</v>
      </c>
      <c r="H91" s="170">
        <v>0</v>
      </c>
      <c r="I91" s="644">
        <v>24</v>
      </c>
      <c r="J91" s="819">
        <f>Table6[[#This Row],[Points 2025]]/2+SUM(Table6[[#This Row],[O1  ADMIN 2026]:[P2                           CT Open    2026]])</f>
        <v>12</v>
      </c>
      <c r="K91" s="63">
        <f t="shared" si="9"/>
        <v>0</v>
      </c>
      <c r="L91" s="63">
        <f t="shared" si="11"/>
        <v>0</v>
      </c>
      <c r="M91" s="708"/>
      <c r="N91" s="708" t="s">
        <v>6083</v>
      </c>
      <c r="O91" s="708" t="s">
        <v>6083</v>
      </c>
      <c r="P91" s="708"/>
      <c r="Q91" s="169"/>
      <c r="R91" s="169"/>
      <c r="S91" s="318"/>
      <c r="T91" s="318"/>
      <c r="U91" s="169"/>
      <c r="V91" s="318">
        <v>1</v>
      </c>
      <c r="W91" s="169"/>
      <c r="X91" s="713"/>
      <c r="Y91" s="169"/>
      <c r="Z91" s="638">
        <v>10</v>
      </c>
      <c r="AA91" s="169"/>
      <c r="AB91" s="402">
        <v>12</v>
      </c>
      <c r="AC91" s="169">
        <v>1</v>
      </c>
      <c r="AD91" s="318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609"/>
    </row>
    <row r="92" spans="1:41" s="83" customFormat="1">
      <c r="A92" s="138"/>
      <c r="B92" s="264"/>
      <c r="C92" s="77">
        <f t="shared" si="12"/>
        <v>-88</v>
      </c>
      <c r="D92" s="63">
        <f t="shared" si="10"/>
        <v>88</v>
      </c>
      <c r="E92" s="40">
        <v>4230</v>
      </c>
      <c r="F92" s="64" t="str">
        <f>IFERROR(VLOOKUP(Table6[[#This Row],[Player No]],Table10[[No]:[Province]],2,0),"")</f>
        <v>BRIGRAJ Tyriq</v>
      </c>
      <c r="G92" s="65" t="str">
        <f>IFERROR(VLOOKUP(Table6[[#This Row],[Player No]],Table10[[No]:[Province]],3,0),"")</f>
        <v>UMG</v>
      </c>
      <c r="H92" s="66">
        <v>0</v>
      </c>
      <c r="I92" s="644">
        <v>24</v>
      </c>
      <c r="J92" s="819">
        <f>Table6[[#This Row],[Points 2025]]/2+SUM(Table6[[#This Row],[O1  ADMIN 2026]:[P2                           CT Open    2026]])</f>
        <v>12</v>
      </c>
      <c r="K92" s="63">
        <f t="shared" si="9"/>
        <v>0</v>
      </c>
      <c r="L92" s="63">
        <f t="shared" si="11"/>
        <v>0</v>
      </c>
      <c r="M92" s="708"/>
      <c r="N92" s="708" t="s">
        <v>6083</v>
      </c>
      <c r="O92" s="708" t="s">
        <v>6083</v>
      </c>
      <c r="P92" s="708"/>
      <c r="Q92" s="63">
        <v>2</v>
      </c>
      <c r="R92" s="63">
        <v>10</v>
      </c>
      <c r="S92" s="114">
        <v>1</v>
      </c>
      <c r="T92" s="114"/>
      <c r="U92" s="63">
        <v>1</v>
      </c>
      <c r="V92" s="114"/>
      <c r="W92" s="63"/>
      <c r="X92" s="708"/>
      <c r="Y92" s="63"/>
      <c r="Z92" s="636">
        <v>10</v>
      </c>
      <c r="AA92" s="63"/>
      <c r="AB92" s="400"/>
      <c r="AC92" s="63"/>
      <c r="AD92" s="114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127"/>
    </row>
    <row r="93" spans="1:41" s="83" customFormat="1">
      <c r="A93" s="63">
        <f>IFERROR(VLOOKUP(Table6[[#This Row],[Player No]],Table10[[#All],[No]:[Age Group]],4,0),"")</f>
        <v>0</v>
      </c>
      <c r="B93" s="264">
        <v>34</v>
      </c>
      <c r="C93" s="77">
        <f t="shared" si="12"/>
        <v>-55</v>
      </c>
      <c r="D93" s="63">
        <f t="shared" si="10"/>
        <v>89</v>
      </c>
      <c r="E93" s="63">
        <v>3370</v>
      </c>
      <c r="F93" s="64" t="str">
        <f>IFERROR(VLOOKUP(Table6[[#This Row],[Player No]],Table10[[No]:[Province]],2,0),"")</f>
        <v>TITUS Skyler</v>
      </c>
      <c r="G93" s="65" t="str">
        <f>IFERROR(VLOOKUP(Table6[[#This Row],[Player No]],Table10[[No]:[Province]],3,0),"")</f>
        <v>CT</v>
      </c>
      <c r="H93" s="66">
        <v>47.5</v>
      </c>
      <c r="I93" s="644">
        <v>23.75</v>
      </c>
      <c r="J93" s="819">
        <f>Table6[[#This Row],[Points 2025]]/2+SUM(Table6[[#This Row],[O1  ADMIN 2026]:[P2                           CT Open    2026]])</f>
        <v>11.875</v>
      </c>
      <c r="K93" s="63">
        <f t="shared" si="9"/>
        <v>0</v>
      </c>
      <c r="L93" s="63">
        <f t="shared" si="11"/>
        <v>0</v>
      </c>
      <c r="M93" s="708"/>
      <c r="N93" s="708" t="s">
        <v>6083</v>
      </c>
      <c r="O93" s="708" t="s">
        <v>6083</v>
      </c>
      <c r="P93" s="708"/>
      <c r="Q93" s="63"/>
      <c r="R93" s="63"/>
      <c r="S93" s="114"/>
      <c r="T93" s="114"/>
      <c r="U93" s="63"/>
      <c r="V93" s="114"/>
      <c r="W93" s="63"/>
      <c r="X93" s="708"/>
      <c r="Y93" s="63"/>
      <c r="Z93" s="636"/>
      <c r="AA93" s="63"/>
      <c r="AB93" s="400"/>
      <c r="AC93" s="63"/>
      <c r="AD93" s="114"/>
      <c r="AE93" s="63"/>
      <c r="AF93" s="63"/>
      <c r="AG93" s="63"/>
      <c r="AH93" s="63">
        <v>15</v>
      </c>
      <c r="AI93" s="63"/>
      <c r="AJ93" s="63"/>
      <c r="AK93" s="63"/>
      <c r="AL93" s="63"/>
      <c r="AM93" s="63"/>
      <c r="AN93" s="63"/>
      <c r="AO93" s="127"/>
    </row>
    <row r="94" spans="1:41" s="83" customFormat="1">
      <c r="A94" s="63">
        <f>IFERROR(VLOOKUP(Table6[[#This Row],[Player No]],Table10[[#All],[No]:[Age Group]],4,0),"")</f>
        <v>0</v>
      </c>
      <c r="B94" s="264">
        <v>190</v>
      </c>
      <c r="C94" s="77">
        <f t="shared" si="12"/>
        <v>100</v>
      </c>
      <c r="D94" s="63">
        <f t="shared" si="10"/>
        <v>90</v>
      </c>
      <c r="E94" s="63">
        <v>3957</v>
      </c>
      <c r="F94" s="64" t="str">
        <f>IFERROR(VLOOKUP(Table6[[#This Row],[Player No]],Table10[[No]:[Province]],2,0),"")</f>
        <v>KAYSER Marquin</v>
      </c>
      <c r="G94" s="65" t="str">
        <f>IFERROR(VLOOKUP(Table6[[#This Row],[Player No]],Table10[[No]:[Province]],3,0),"")</f>
        <v>Eden</v>
      </c>
      <c r="H94" s="66">
        <v>27</v>
      </c>
      <c r="I94" s="644">
        <v>23.5</v>
      </c>
      <c r="J94" s="819">
        <f>Table6[[#This Row],[Points 2025]]/2+SUM(Table6[[#This Row],[O1  ADMIN 2026]:[P2                           CT Open    2026]])</f>
        <v>11.75</v>
      </c>
      <c r="K94" s="63">
        <f t="shared" si="9"/>
        <v>0</v>
      </c>
      <c r="L94" s="63">
        <f t="shared" si="11"/>
        <v>0</v>
      </c>
      <c r="M94" s="708"/>
      <c r="N94" s="708" t="s">
        <v>6083</v>
      </c>
      <c r="O94" s="708" t="s">
        <v>6083</v>
      </c>
      <c r="P94" s="708"/>
      <c r="Q94" s="63"/>
      <c r="R94" s="63"/>
      <c r="S94" s="114"/>
      <c r="T94" s="114"/>
      <c r="U94" s="63"/>
      <c r="V94" s="114"/>
      <c r="W94" s="63"/>
      <c r="X94" s="708"/>
      <c r="Y94" s="63"/>
      <c r="Z94" s="636">
        <v>10</v>
      </c>
      <c r="AA94" s="63"/>
      <c r="AB94" s="400"/>
      <c r="AC94" s="63"/>
      <c r="AD94" s="114"/>
      <c r="AE94" s="63"/>
      <c r="AF94" s="63"/>
      <c r="AG94" s="63"/>
      <c r="AH94" s="63"/>
      <c r="AI94" s="63">
        <v>2</v>
      </c>
      <c r="AJ94" s="63">
        <v>25</v>
      </c>
      <c r="AK94" s="63"/>
      <c r="AL94" s="63"/>
      <c r="AM94" s="63"/>
      <c r="AN94" s="63"/>
      <c r="AO94" s="127"/>
    </row>
    <row r="95" spans="1:41" s="83" customFormat="1">
      <c r="A95" s="63" t="str">
        <f>IFERROR(VLOOKUP(Table6[[#This Row],[Player No]],Table10[[#All],[No]:[Age Group]],4,0),"")</f>
        <v>U15</v>
      </c>
      <c r="B95" s="264">
        <v>27</v>
      </c>
      <c r="C95" s="77">
        <f t="shared" si="12"/>
        <v>-64</v>
      </c>
      <c r="D95" s="63">
        <f t="shared" si="10"/>
        <v>91</v>
      </c>
      <c r="E95" s="63">
        <v>3859</v>
      </c>
      <c r="F95" s="64" t="str">
        <f>IFERROR(VLOOKUP(Table6[[#This Row],[Player No]],Table10[[No]:[Province]],2,0),"")</f>
        <v>SIEFF Daniel</v>
      </c>
      <c r="G95" s="65" t="str">
        <f>IFERROR(VLOOKUP(Table6[[#This Row],[Player No]],Table10[[No]:[Province]],3,0),"")</f>
        <v>JTTA</v>
      </c>
      <c r="H95" s="66">
        <v>45</v>
      </c>
      <c r="I95" s="644">
        <v>22.5</v>
      </c>
      <c r="J95" s="819">
        <f>Table6[[#This Row],[Points 2025]]/2+SUM(Table6[[#This Row],[O1  ADMIN 2026]:[P2                           CT Open    2026]])</f>
        <v>11.25</v>
      </c>
      <c r="K95" s="63">
        <f t="shared" si="9"/>
        <v>0</v>
      </c>
      <c r="L95" s="63">
        <f t="shared" si="11"/>
        <v>0</v>
      </c>
      <c r="M95" s="708"/>
      <c r="N95" s="708" t="s">
        <v>6083</v>
      </c>
      <c r="O95" s="708" t="s">
        <v>6083</v>
      </c>
      <c r="P95" s="708"/>
      <c r="Q95" s="63"/>
      <c r="R95" s="63"/>
      <c r="S95" s="114"/>
      <c r="T95" s="114"/>
      <c r="U95" s="63"/>
      <c r="V95" s="114"/>
      <c r="W95" s="63"/>
      <c r="X95" s="708"/>
      <c r="Y95" s="63"/>
      <c r="Z95" s="636"/>
      <c r="AA95" s="63"/>
      <c r="AB95" s="400"/>
      <c r="AC95" s="63"/>
      <c r="AD95" s="114"/>
      <c r="AE95" s="63"/>
      <c r="AF95" s="63"/>
      <c r="AG95" s="63"/>
      <c r="AH95" s="63"/>
      <c r="AI95" s="63"/>
      <c r="AJ95" s="63">
        <v>5</v>
      </c>
      <c r="AK95" s="63"/>
      <c r="AL95" s="63"/>
      <c r="AM95" s="63">
        <v>25</v>
      </c>
      <c r="AN95" s="63"/>
      <c r="AO95" s="127">
        <v>15</v>
      </c>
    </row>
    <row r="96" spans="1:41" s="83" customFormat="1">
      <c r="A96" s="138"/>
      <c r="B96" s="264"/>
      <c r="C96" s="77">
        <f t="shared" si="12"/>
        <v>-92</v>
      </c>
      <c r="D96" s="63">
        <f t="shared" si="10"/>
        <v>92</v>
      </c>
      <c r="E96" s="63">
        <v>4266</v>
      </c>
      <c r="F96" s="64" t="str">
        <f>IFERROR(VLOOKUP(Table6[[#This Row],[Player No]],Table10[[No]:[Province]],2,0),"")</f>
        <v>Gilchrist Matt</v>
      </c>
      <c r="G96" s="65" t="str">
        <f>IFERROR(VLOOKUP(Table6[[#This Row],[Player No]],Table10[[No]:[Province]],3,0),"")</f>
        <v>JTTA</v>
      </c>
      <c r="H96" s="66">
        <v>0</v>
      </c>
      <c r="I96" s="644">
        <v>22</v>
      </c>
      <c r="J96" s="819">
        <f>Table6[[#This Row],[Points 2025]]/2+SUM(Table6[[#This Row],[O1  ADMIN 2026]:[P2                           CT Open    2026]])</f>
        <v>11</v>
      </c>
      <c r="K96" s="63">
        <f t="shared" si="9"/>
        <v>0</v>
      </c>
      <c r="L96" s="63">
        <f t="shared" si="11"/>
        <v>0</v>
      </c>
      <c r="M96" s="708"/>
      <c r="N96" s="827" t="s">
        <v>6083</v>
      </c>
      <c r="O96" s="827" t="s">
        <v>6083</v>
      </c>
      <c r="P96" s="827"/>
      <c r="Q96" s="63"/>
      <c r="R96" s="63"/>
      <c r="S96" s="114"/>
      <c r="T96" s="114"/>
      <c r="U96" s="63"/>
      <c r="V96" s="114"/>
      <c r="W96" s="63"/>
      <c r="X96" s="708"/>
      <c r="Y96" s="63"/>
      <c r="Z96" s="636">
        <v>10</v>
      </c>
      <c r="AA96" s="63"/>
      <c r="AB96" s="400">
        <v>12</v>
      </c>
      <c r="AC96" s="63"/>
      <c r="AD96" s="114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127"/>
    </row>
    <row r="97" spans="1:41" s="83" customFormat="1">
      <c r="A97" s="614"/>
      <c r="B97" s="732"/>
      <c r="C97" s="618">
        <f t="shared" si="12"/>
        <v>-93</v>
      </c>
      <c r="D97" s="63">
        <f t="shared" si="10"/>
        <v>93</v>
      </c>
      <c r="E97" s="620">
        <v>4803</v>
      </c>
      <c r="F97" s="64" t="str">
        <f>IFERROR(VLOOKUP(Table6[[#This Row],[Player No]],Table10[[No]:[Province]],2,0),"")</f>
        <v>ZAMA Uyabonelela</v>
      </c>
      <c r="G97" s="65" t="str">
        <f>IFERROR(VLOOKUP(Table6[[#This Row],[Player No]],Table10[[No]:[Province]],3,0),"")</f>
        <v>UMG</v>
      </c>
      <c r="H97" s="626"/>
      <c r="I97" s="644">
        <v>0</v>
      </c>
      <c r="J97" s="819">
        <f>Table6[[#This Row],[Points 2025]]/2+SUM(Table6[[#This Row],[O1  ADMIN 2026]:[P2                           CT Open    2026]])</f>
        <v>11</v>
      </c>
      <c r="K97" s="63">
        <f t="shared" si="9"/>
        <v>2</v>
      </c>
      <c r="L97" s="63">
        <f t="shared" si="11"/>
        <v>0</v>
      </c>
      <c r="M97" s="708"/>
      <c r="N97" s="781">
        <v>1</v>
      </c>
      <c r="O97" s="781">
        <v>10</v>
      </c>
      <c r="P97" s="781"/>
      <c r="Q97" s="624"/>
      <c r="R97" s="624"/>
      <c r="S97" s="625"/>
      <c r="T97" s="625"/>
      <c r="U97" s="624"/>
      <c r="V97" s="625"/>
      <c r="W97" s="624"/>
      <c r="X97" s="709"/>
      <c r="Y97" s="624"/>
      <c r="Z97" s="677"/>
      <c r="AA97" s="624"/>
      <c r="AB97" s="611"/>
      <c r="AC97" s="624"/>
      <c r="AD97" s="625"/>
      <c r="AE97" s="624"/>
      <c r="AF97" s="624"/>
      <c r="AG97" s="624"/>
      <c r="AH97" s="624"/>
      <c r="AI97" s="624"/>
      <c r="AJ97" s="624"/>
      <c r="AK97" s="624"/>
      <c r="AL97" s="624"/>
      <c r="AM97" s="624"/>
      <c r="AN97" s="624"/>
      <c r="AO97" s="630"/>
    </row>
    <row r="98" spans="1:41" s="83" customFormat="1">
      <c r="A98" s="614"/>
      <c r="B98" s="732"/>
      <c r="C98" s="618">
        <f t="shared" si="12"/>
        <v>-94</v>
      </c>
      <c r="D98" s="63">
        <f t="shared" si="10"/>
        <v>94</v>
      </c>
      <c r="E98" s="620">
        <v>4237</v>
      </c>
      <c r="F98" s="64" t="str">
        <f>IFERROR(VLOOKUP(Table6[[#This Row],[Player No]],Table10[[No]:[Province]],2,0),"")</f>
        <v>TAYLIN Naipal</v>
      </c>
      <c r="G98" s="65" t="str">
        <f>IFERROR(VLOOKUP(Table6[[#This Row],[Player No]],Table10[[No]:[Province]],3,0),"")</f>
        <v>UMG</v>
      </c>
      <c r="H98" s="626"/>
      <c r="I98" s="644">
        <v>0</v>
      </c>
      <c r="J98" s="819">
        <f>Table6[[#This Row],[Points 2025]]/2+SUM(Table6[[#This Row],[O1  ADMIN 2026]:[P2                           CT Open    2026]])</f>
        <v>11</v>
      </c>
      <c r="K98" s="63">
        <f t="shared" si="9"/>
        <v>2</v>
      </c>
      <c r="L98" s="63">
        <f t="shared" si="11"/>
        <v>0</v>
      </c>
      <c r="M98" s="708"/>
      <c r="N98" s="781">
        <v>1</v>
      </c>
      <c r="O98" s="781">
        <v>10</v>
      </c>
      <c r="P98" s="781"/>
      <c r="Q98" s="624"/>
      <c r="R98" s="624"/>
      <c r="S98" s="625"/>
      <c r="T98" s="625"/>
      <c r="U98" s="624"/>
      <c r="V98" s="625"/>
      <c r="W98" s="624"/>
      <c r="X98" s="709"/>
      <c r="Y98" s="624"/>
      <c r="Z98" s="677"/>
      <c r="AA98" s="624"/>
      <c r="AB98" s="611"/>
      <c r="AC98" s="624"/>
      <c r="AD98" s="625"/>
      <c r="AE98" s="624"/>
      <c r="AF98" s="624"/>
      <c r="AG98" s="624"/>
      <c r="AH98" s="624"/>
      <c r="AI98" s="624"/>
      <c r="AJ98" s="624"/>
      <c r="AK98" s="624"/>
      <c r="AL98" s="624"/>
      <c r="AM98" s="624"/>
      <c r="AN98" s="624"/>
      <c r="AO98" s="630"/>
    </row>
    <row r="99" spans="1:41" s="83" customFormat="1">
      <c r="A99" s="63">
        <f>IFERROR(VLOOKUP(Table6[[#This Row],[Player No]],Table10[[#All],[No]:[Age Group]],4,0),"")</f>
        <v>0</v>
      </c>
      <c r="B99" s="264">
        <v>56</v>
      </c>
      <c r="C99" s="77">
        <f t="shared" si="12"/>
        <v>-39</v>
      </c>
      <c r="D99" s="63">
        <f t="shared" si="10"/>
        <v>95</v>
      </c>
      <c r="E99" s="63">
        <v>2508</v>
      </c>
      <c r="F99" s="64" t="str">
        <f>IFERROR(VLOOKUP(Table6[[#This Row],[Player No]],Table10[[No]:[Province]],2,0),"")</f>
        <v>MORAILE Oreneile</v>
      </c>
      <c r="G99" s="65" t="str">
        <f>IFERROR(VLOOKUP(Table6[[#This Row],[Player No]],Table10[[No]:[Province]],3,0),"")</f>
        <v>FS</v>
      </c>
      <c r="H99" s="66">
        <v>42.5</v>
      </c>
      <c r="I99" s="644">
        <v>21.25</v>
      </c>
      <c r="J99" s="819">
        <f>Table6[[#This Row],[Points 2025]]/2+SUM(Table6[[#This Row],[O1  ADMIN 2026]:[P2                           CT Open    2026]])</f>
        <v>10.625</v>
      </c>
      <c r="K99" s="63">
        <f t="shared" si="9"/>
        <v>0</v>
      </c>
      <c r="L99" s="63">
        <f t="shared" si="11"/>
        <v>0</v>
      </c>
      <c r="M99" s="708"/>
      <c r="N99" s="708" t="s">
        <v>6083</v>
      </c>
      <c r="O99" s="708" t="s">
        <v>6083</v>
      </c>
      <c r="P99" s="708"/>
      <c r="Q99" s="63"/>
      <c r="R99" s="63"/>
      <c r="S99" s="114"/>
      <c r="T99" s="114"/>
      <c r="U99" s="63"/>
      <c r="V99" s="114"/>
      <c r="W99" s="63"/>
      <c r="X99" s="708"/>
      <c r="Y99" s="63"/>
      <c r="Z99" s="636"/>
      <c r="AA99" s="63"/>
      <c r="AB99" s="400"/>
      <c r="AC99" s="63"/>
      <c r="AD99" s="114"/>
      <c r="AE99" s="63"/>
      <c r="AF99" s="63"/>
      <c r="AG99" s="63"/>
      <c r="AH99" s="63"/>
      <c r="AI99" s="63"/>
      <c r="AJ99" s="63">
        <v>25</v>
      </c>
      <c r="AK99" s="63"/>
      <c r="AL99" s="63"/>
      <c r="AM99" s="63"/>
      <c r="AN99" s="63"/>
      <c r="AO99" s="127"/>
    </row>
    <row r="100" spans="1:41" s="83" customFormat="1">
      <c r="A100" s="63">
        <f>IFERROR(VLOOKUP(Table6[[#This Row],[Player No]],Table10[[#All],[No]:[Age Group]],4,0),"")</f>
        <v>0</v>
      </c>
      <c r="B100" s="264">
        <v>25</v>
      </c>
      <c r="C100" s="77">
        <f t="shared" si="12"/>
        <v>-71</v>
      </c>
      <c r="D100" s="63">
        <f t="shared" si="10"/>
        <v>96</v>
      </c>
      <c r="E100" s="63">
        <v>3448</v>
      </c>
      <c r="F100" s="64" t="str">
        <f>IFERROR(VLOOKUP(Table6[[#This Row],[Player No]],Table10[[No]:[Province]],2,0),"")</f>
        <v>ROYAPPEN Tayden</v>
      </c>
      <c r="G100" s="65" t="str">
        <f>IFERROR(VLOOKUP(Table6[[#This Row],[Player No]],Table10[[No]:[Province]],3,0),"")</f>
        <v>UMG</v>
      </c>
      <c r="H100" s="66">
        <v>42.5</v>
      </c>
      <c r="I100" s="644">
        <v>21.25</v>
      </c>
      <c r="J100" s="819">
        <f>Table6[[#This Row],[Points 2025]]/2+SUM(Table6[[#This Row],[O1  ADMIN 2026]:[P2                           CT Open    2026]])</f>
        <v>10.625</v>
      </c>
      <c r="K100" s="63">
        <f t="shared" si="9"/>
        <v>0</v>
      </c>
      <c r="L100" s="63">
        <f t="shared" si="11"/>
        <v>0</v>
      </c>
      <c r="M100" s="708"/>
      <c r="N100" s="708" t="s">
        <v>6083</v>
      </c>
      <c r="O100" s="708" t="s">
        <v>6083</v>
      </c>
      <c r="P100" s="708"/>
      <c r="Q100" s="63"/>
      <c r="R100" s="63"/>
      <c r="S100" s="114"/>
      <c r="T100" s="114"/>
      <c r="U100" s="63"/>
      <c r="V100" s="114"/>
      <c r="W100" s="63"/>
      <c r="X100" s="708"/>
      <c r="Y100" s="63"/>
      <c r="Z100" s="636"/>
      <c r="AA100" s="63"/>
      <c r="AB100" s="400"/>
      <c r="AC100" s="63"/>
      <c r="AD100" s="114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127"/>
    </row>
    <row r="101" spans="1:41" s="83" customFormat="1">
      <c r="A101" s="63">
        <f>IFERROR(VLOOKUP(Table6[[#This Row],[Player No]],Table10[[#All],[No]:[Age Group]],4,0),"")</f>
        <v>0</v>
      </c>
      <c r="B101" s="264">
        <v>40</v>
      </c>
      <c r="C101" s="77">
        <f t="shared" si="12"/>
        <v>-57</v>
      </c>
      <c r="D101" s="63">
        <f t="shared" si="10"/>
        <v>97</v>
      </c>
      <c r="E101" s="63">
        <v>3356</v>
      </c>
      <c r="F101" s="64" t="str">
        <f>IFERROR(VLOOKUP(Table6[[#This Row],[Player No]],Table10[[No]:[Province]],2,0),"")</f>
        <v>MEYER Shane</v>
      </c>
      <c r="G101" s="65" t="str">
        <f>IFERROR(VLOOKUP(Table6[[#This Row],[Player No]],Table10[[No]:[Province]],3,0),"")</f>
        <v>CT</v>
      </c>
      <c r="H101" s="66">
        <v>40.5</v>
      </c>
      <c r="I101" s="644">
        <v>20.25</v>
      </c>
      <c r="J101" s="819">
        <f>Table6[[#This Row],[Points 2025]]/2+SUM(Table6[[#This Row],[O1  ADMIN 2026]:[P2                           CT Open    2026]])</f>
        <v>10.125</v>
      </c>
      <c r="K101" s="63">
        <f t="shared" si="9"/>
        <v>0</v>
      </c>
      <c r="L101" s="63">
        <f t="shared" si="11"/>
        <v>0</v>
      </c>
      <c r="M101" s="708"/>
      <c r="N101" s="708" t="s">
        <v>6083</v>
      </c>
      <c r="O101" s="708" t="s">
        <v>6083</v>
      </c>
      <c r="P101" s="708"/>
      <c r="Q101" s="63"/>
      <c r="R101" s="63"/>
      <c r="S101" s="114"/>
      <c r="T101" s="114"/>
      <c r="U101" s="63"/>
      <c r="V101" s="114"/>
      <c r="W101" s="63"/>
      <c r="X101" s="708"/>
      <c r="Y101" s="63"/>
      <c r="Z101" s="636"/>
      <c r="AA101" s="63"/>
      <c r="AB101" s="400"/>
      <c r="AC101" s="63"/>
      <c r="AD101" s="114"/>
      <c r="AE101" s="63"/>
      <c r="AF101" s="63"/>
      <c r="AG101" s="63"/>
      <c r="AH101" s="63">
        <v>15</v>
      </c>
      <c r="AI101" s="63"/>
      <c r="AJ101" s="63"/>
      <c r="AK101" s="63"/>
      <c r="AL101" s="63"/>
      <c r="AM101" s="63"/>
      <c r="AN101" s="63"/>
      <c r="AO101" s="127"/>
    </row>
    <row r="102" spans="1:41" s="83" customFormat="1">
      <c r="A102" s="175"/>
      <c r="B102" s="267"/>
      <c r="C102" s="168">
        <f t="shared" si="12"/>
        <v>-98</v>
      </c>
      <c r="D102" s="63">
        <f t="shared" si="10"/>
        <v>98</v>
      </c>
      <c r="E102" s="174">
        <v>4112</v>
      </c>
      <c r="F102" s="64" t="str">
        <f>IFERROR(VLOOKUP(Table6[[#This Row],[Player No]],Table10[[No]:[Province]],2,0),"")</f>
        <v>Faizan HOOSEN</v>
      </c>
      <c r="G102" s="65" t="str">
        <f>IFERROR(VLOOKUP(Table6[[#This Row],[Player No]],Table10[[No]:[Province]],3,0),"")</f>
        <v>JTTA</v>
      </c>
      <c r="H102" s="170">
        <v>0</v>
      </c>
      <c r="I102" s="644">
        <v>20</v>
      </c>
      <c r="J102" s="819">
        <f>Table6[[#This Row],[Points 2025]]/2+SUM(Table6[[#This Row],[O1  ADMIN 2026]:[P2                           CT Open    2026]])</f>
        <v>10</v>
      </c>
      <c r="K102" s="63">
        <f t="shared" si="9"/>
        <v>0</v>
      </c>
      <c r="L102" s="63">
        <f t="shared" si="11"/>
        <v>0</v>
      </c>
      <c r="M102" s="708"/>
      <c r="N102" s="708" t="s">
        <v>6083</v>
      </c>
      <c r="O102" s="708" t="s">
        <v>6083</v>
      </c>
      <c r="P102" s="708"/>
      <c r="Q102" s="169"/>
      <c r="R102" s="169"/>
      <c r="S102" s="318"/>
      <c r="T102" s="318"/>
      <c r="U102" s="169"/>
      <c r="V102" s="318"/>
      <c r="W102" s="169"/>
      <c r="X102" s="713"/>
      <c r="Y102" s="169"/>
      <c r="Z102" s="638">
        <v>5</v>
      </c>
      <c r="AA102" s="169"/>
      <c r="AB102" s="402"/>
      <c r="AC102" s="169">
        <v>15</v>
      </c>
      <c r="AD102" s="318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609"/>
    </row>
    <row r="103" spans="1:41" s="83" customFormat="1">
      <c r="A103" s="138"/>
      <c r="B103" s="264"/>
      <c r="C103" s="77">
        <f t="shared" si="12"/>
        <v>-99</v>
      </c>
      <c r="D103" s="63">
        <f t="shared" si="10"/>
        <v>99</v>
      </c>
      <c r="E103" s="154">
        <v>3800</v>
      </c>
      <c r="F103" s="64" t="str">
        <f>IFERROR(VLOOKUP(Table6[[#This Row],[Player No]],Table10[[No]:[Province]],2,0),"")</f>
        <v>VILAKAZI Mhlengi Kwanele</v>
      </c>
      <c r="G103" s="65" t="str">
        <f>IFERROR(VLOOKUP(Table6[[#This Row],[Player No]],Table10[[No]:[Province]],3,0),"")</f>
        <v>ETTA</v>
      </c>
      <c r="H103" s="66"/>
      <c r="I103" s="644">
        <v>0</v>
      </c>
      <c r="J103" s="819">
        <f>Table6[[#This Row],[Points 2025]]/2+SUM(Table6[[#This Row],[O1  ADMIN 2026]:[P2                           CT Open    2026]])</f>
        <v>10</v>
      </c>
      <c r="K103" s="63">
        <f t="shared" si="9"/>
        <v>1</v>
      </c>
      <c r="L103" s="63">
        <f t="shared" si="11"/>
        <v>0</v>
      </c>
      <c r="M103" s="708"/>
      <c r="N103" s="827" t="s">
        <v>6083</v>
      </c>
      <c r="O103" s="827">
        <v>10</v>
      </c>
      <c r="P103" s="827"/>
      <c r="Q103" s="63"/>
      <c r="R103" s="63"/>
      <c r="S103" s="114"/>
      <c r="T103" s="114"/>
      <c r="U103" s="63"/>
      <c r="V103" s="114"/>
      <c r="W103" s="63"/>
      <c r="X103" s="708"/>
      <c r="Y103" s="63"/>
      <c r="Z103" s="636"/>
      <c r="AA103" s="63"/>
      <c r="AB103" s="400"/>
      <c r="AC103" s="63"/>
      <c r="AD103" s="114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127"/>
    </row>
    <row r="104" spans="1:41" s="83" customFormat="1">
      <c r="A104" s="63">
        <f>IFERROR(VLOOKUP(Table6[[#This Row],[Player No]],Table10[[#All],[No]:[Age Group]],4,0),"")</f>
        <v>0</v>
      </c>
      <c r="B104" s="264">
        <v>28</v>
      </c>
      <c r="C104" s="77">
        <f t="shared" si="12"/>
        <v>-72</v>
      </c>
      <c r="D104" s="63">
        <f t="shared" si="10"/>
        <v>100</v>
      </c>
      <c r="E104" s="63">
        <v>3314</v>
      </c>
      <c r="F104" s="64" t="str">
        <f>IFERROR(VLOOKUP(Table6[[#This Row],[Player No]],Table10[[No]:[Province]],2,0),"")</f>
        <v>DU PREEZ Liam</v>
      </c>
      <c r="G104" s="65" t="str">
        <f>IFERROR(VLOOKUP(Table6[[#This Row],[Player No]],Table10[[No]:[Province]],3,0),"")</f>
        <v>JTTA</v>
      </c>
      <c r="H104" s="66">
        <v>37.75</v>
      </c>
      <c r="I104" s="644">
        <v>18.875</v>
      </c>
      <c r="J104" s="819">
        <f>Table6[[#This Row],[Points 2025]]/2+SUM(Table6[[#This Row],[O1  ADMIN 2026]:[P2                           CT Open    2026]])</f>
        <v>9.4375</v>
      </c>
      <c r="K104" s="63">
        <f t="shared" si="9"/>
        <v>0</v>
      </c>
      <c r="L104" s="63">
        <f t="shared" si="11"/>
        <v>0</v>
      </c>
      <c r="M104" s="708"/>
      <c r="N104" s="708" t="s">
        <v>6083</v>
      </c>
      <c r="O104" s="708" t="s">
        <v>6083</v>
      </c>
      <c r="P104" s="708"/>
      <c r="Q104" s="63"/>
      <c r="R104" s="63"/>
      <c r="S104" s="114"/>
      <c r="T104" s="114"/>
      <c r="U104" s="63"/>
      <c r="V104" s="114"/>
      <c r="W104" s="63"/>
      <c r="X104" s="708"/>
      <c r="Y104" s="63"/>
      <c r="Z104" s="636"/>
      <c r="AA104" s="63"/>
      <c r="AB104" s="400"/>
      <c r="AC104" s="63"/>
      <c r="AD104" s="114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127"/>
    </row>
    <row r="105" spans="1:41" s="83" customFormat="1">
      <c r="A105" s="63">
        <f>IFERROR(VLOOKUP(Table6[[#This Row],[Player No]],Table10[[#All],[No]:[Age Group]],4,0),"")</f>
        <v>0</v>
      </c>
      <c r="B105" s="264"/>
      <c r="C105" s="77"/>
      <c r="D105" s="63">
        <f t="shared" si="10"/>
        <v>101</v>
      </c>
      <c r="E105" s="63">
        <v>3941</v>
      </c>
      <c r="F105" s="64" t="str">
        <f>IFERROR(VLOOKUP(Table6[[#This Row],[Player No]],Table10[[No]:[Province]],2,0),"")</f>
        <v>VAN HELDEN Leo</v>
      </c>
      <c r="G105" s="65" t="str">
        <f>IFERROR(VLOOKUP(Table6[[#This Row],[Player No]],Table10[[No]:[Province]],3,0),"")</f>
        <v>CT</v>
      </c>
      <c r="H105" s="66">
        <v>5.25</v>
      </c>
      <c r="I105" s="644">
        <v>18.125</v>
      </c>
      <c r="J105" s="819">
        <f>Table6[[#This Row],[Points 2025]]/2+SUM(Table6[[#This Row],[O1  ADMIN 2026]:[P2                           CT Open    2026]])</f>
        <v>9.0625</v>
      </c>
      <c r="K105" s="63">
        <f t="shared" si="9"/>
        <v>0</v>
      </c>
      <c r="L105" s="63">
        <f t="shared" si="11"/>
        <v>0</v>
      </c>
      <c r="M105" s="708"/>
      <c r="N105" s="708" t="s">
        <v>6083</v>
      </c>
      <c r="O105" s="708" t="s">
        <v>6083</v>
      </c>
      <c r="P105" s="708"/>
      <c r="Q105" s="63"/>
      <c r="R105" s="63"/>
      <c r="S105" s="114"/>
      <c r="T105" s="114"/>
      <c r="U105" s="63"/>
      <c r="V105" s="114"/>
      <c r="W105" s="63"/>
      <c r="X105" s="708"/>
      <c r="Y105" s="63"/>
      <c r="Z105" s="636"/>
      <c r="AA105" s="63"/>
      <c r="AB105" s="400"/>
      <c r="AC105" s="63"/>
      <c r="AD105" s="114">
        <v>0.5</v>
      </c>
      <c r="AE105" s="63">
        <v>15</v>
      </c>
      <c r="AF105" s="63"/>
      <c r="AG105" s="63"/>
      <c r="AH105" s="63">
        <v>5</v>
      </c>
      <c r="AI105" s="63"/>
      <c r="AJ105" s="63"/>
      <c r="AK105" s="63"/>
      <c r="AL105" s="63"/>
      <c r="AM105" s="63"/>
      <c r="AN105" s="63"/>
      <c r="AO105" s="127"/>
    </row>
    <row r="106" spans="1:41" s="83" customFormat="1">
      <c r="A106" s="61"/>
      <c r="B106" s="264"/>
      <c r="C106" s="77">
        <f>+B106-D106</f>
        <v>-102</v>
      </c>
      <c r="D106" s="63">
        <f t="shared" si="10"/>
        <v>102</v>
      </c>
      <c r="E106" s="63">
        <v>2999</v>
      </c>
      <c r="F106" s="64" t="str">
        <f>IFERROR(VLOOKUP(Table6[[#This Row],[Player No]],Table10[[No]:[Province]],2,0),"")</f>
        <v>NOMDO Joshua</v>
      </c>
      <c r="G106" s="65" t="str">
        <f>IFERROR(VLOOKUP(Table6[[#This Row],[Player No]],Table10[[No]:[Province]],3,0),"")</f>
        <v>CT</v>
      </c>
      <c r="H106" s="66">
        <v>5</v>
      </c>
      <c r="I106" s="644">
        <v>18</v>
      </c>
      <c r="J106" s="819">
        <f>Table6[[#This Row],[Points 2025]]/2+SUM(Table6[[#This Row],[O1  ADMIN 2026]:[P2                           CT Open    2026]])</f>
        <v>9</v>
      </c>
      <c r="K106" s="63">
        <f t="shared" si="9"/>
        <v>0</v>
      </c>
      <c r="L106" s="63">
        <f t="shared" si="11"/>
        <v>0</v>
      </c>
      <c r="M106" s="708"/>
      <c r="N106" s="708" t="s">
        <v>6083</v>
      </c>
      <c r="O106" s="708" t="s">
        <v>6083</v>
      </c>
      <c r="P106" s="708"/>
      <c r="Q106" s="63"/>
      <c r="R106" s="63"/>
      <c r="S106" s="114"/>
      <c r="T106" s="114"/>
      <c r="U106" s="63"/>
      <c r="V106" s="114"/>
      <c r="W106" s="63"/>
      <c r="X106" s="708"/>
      <c r="Y106" s="63"/>
      <c r="Z106" s="636"/>
      <c r="AA106" s="63"/>
      <c r="AB106" s="400"/>
      <c r="AC106" s="63"/>
      <c r="AD106" s="114">
        <v>0.5</v>
      </c>
      <c r="AE106" s="63">
        <v>15</v>
      </c>
      <c r="AF106" s="63"/>
      <c r="AG106" s="63"/>
      <c r="AH106" s="63">
        <v>5</v>
      </c>
      <c r="AI106" s="63"/>
      <c r="AJ106" s="63"/>
      <c r="AK106" s="63"/>
      <c r="AL106" s="63"/>
      <c r="AM106" s="63"/>
      <c r="AN106" s="63"/>
      <c r="AO106" s="127"/>
    </row>
    <row r="107" spans="1:41" s="83" customFormat="1">
      <c r="A107" s="63">
        <f>IFERROR(VLOOKUP(Table6[[#This Row],[Player No]],Table10[[#All],[No]:[Age Group]],4,0),"")</f>
        <v>0</v>
      </c>
      <c r="B107" s="264"/>
      <c r="C107" s="77"/>
      <c r="D107" s="63">
        <f t="shared" si="10"/>
        <v>103</v>
      </c>
      <c r="E107" s="63">
        <v>4102</v>
      </c>
      <c r="F107" s="64" t="str">
        <f>IFERROR(VLOOKUP(Table6[[#This Row],[Player No]],Table10[[No]:[Province]],2,0),"")</f>
        <v>Kamogelo METSWAMERE</v>
      </c>
      <c r="G107" s="65" t="str">
        <f>IFERROR(VLOOKUP(Table6[[#This Row],[Player No]],Table10[[No]:[Province]],3,0),"")</f>
        <v>NWP</v>
      </c>
      <c r="H107" s="66">
        <v>35</v>
      </c>
      <c r="I107" s="644">
        <v>17.5</v>
      </c>
      <c r="J107" s="819">
        <f>Table6[[#This Row],[Points 2025]]/2+SUM(Table6[[#This Row],[O1  ADMIN 2026]:[P2                           CT Open    2026]])</f>
        <v>8.75</v>
      </c>
      <c r="K107" s="63">
        <f t="shared" si="9"/>
        <v>0</v>
      </c>
      <c r="L107" s="63">
        <f t="shared" si="11"/>
        <v>0</v>
      </c>
      <c r="M107" s="708"/>
      <c r="N107" s="708" t="s">
        <v>6083</v>
      </c>
      <c r="O107" s="708" t="s">
        <v>6083</v>
      </c>
      <c r="P107" s="708"/>
      <c r="Q107" s="63"/>
      <c r="R107" s="63"/>
      <c r="S107" s="114"/>
      <c r="T107" s="114"/>
      <c r="U107" s="63"/>
      <c r="V107" s="114"/>
      <c r="W107" s="63"/>
      <c r="X107" s="708"/>
      <c r="Y107" s="63"/>
      <c r="Z107" s="636"/>
      <c r="AA107" s="63"/>
      <c r="AB107" s="400"/>
      <c r="AC107" s="63"/>
      <c r="AD107" s="114"/>
      <c r="AE107" s="63"/>
      <c r="AF107" s="63"/>
      <c r="AG107" s="63"/>
      <c r="AH107" s="63"/>
      <c r="AI107" s="63"/>
      <c r="AJ107" s="63">
        <v>25</v>
      </c>
      <c r="AK107" s="63">
        <v>10</v>
      </c>
      <c r="AL107" s="63"/>
      <c r="AM107" s="63"/>
      <c r="AN107" s="63"/>
      <c r="AO107" s="127"/>
    </row>
    <row r="108" spans="1:41" s="83" customFormat="1">
      <c r="A108" s="63" t="str">
        <f>IFERROR(VLOOKUP(Table6[[#This Row],[Player No]],Table10[[#All],[No]:[Age Group]],4,0),"")</f>
        <v>U13</v>
      </c>
      <c r="B108" s="264">
        <v>190</v>
      </c>
      <c r="C108" s="77">
        <f>+B108-D108</f>
        <v>86</v>
      </c>
      <c r="D108" s="63">
        <f t="shared" si="10"/>
        <v>104</v>
      </c>
      <c r="E108" s="63">
        <v>3693</v>
      </c>
      <c r="F108" s="64" t="str">
        <f>IFERROR(VLOOKUP(Table6[[#This Row],[Player No]],Table10[[No]:[Province]],2,0),"")</f>
        <v>KLEINBOOI Evano</v>
      </c>
      <c r="G108" s="65" t="str">
        <f>IFERROR(VLOOKUP(Table6[[#This Row],[Player No]],Table10[[No]:[Province]],3,0),"")</f>
        <v>Eden</v>
      </c>
      <c r="H108" s="66">
        <v>25</v>
      </c>
      <c r="I108" s="644">
        <v>17.5</v>
      </c>
      <c r="J108" s="819">
        <f>Table6[[#This Row],[Points 2025]]/2+SUM(Table6[[#This Row],[O1  ADMIN 2026]:[P2                           CT Open    2026]])</f>
        <v>8.75</v>
      </c>
      <c r="K108" s="63">
        <f t="shared" si="9"/>
        <v>0</v>
      </c>
      <c r="L108" s="63">
        <f t="shared" ref="L108:L125" si="13">COUNTIF(N108:AO108,"&lt;0")</f>
        <v>0</v>
      </c>
      <c r="M108" s="708"/>
      <c r="N108" s="708" t="s">
        <v>6083</v>
      </c>
      <c r="O108" s="708" t="s">
        <v>6083</v>
      </c>
      <c r="P108" s="708"/>
      <c r="Q108" s="63"/>
      <c r="R108" s="63"/>
      <c r="S108" s="114"/>
      <c r="T108" s="114"/>
      <c r="U108" s="63"/>
      <c r="V108" s="114"/>
      <c r="W108" s="63"/>
      <c r="X108" s="708"/>
      <c r="Y108" s="63"/>
      <c r="Z108" s="636">
        <v>5</v>
      </c>
      <c r="AA108" s="63"/>
      <c r="AB108" s="400"/>
      <c r="AC108" s="63"/>
      <c r="AD108" s="114"/>
      <c r="AE108" s="63"/>
      <c r="AF108" s="63"/>
      <c r="AG108" s="63"/>
      <c r="AH108" s="63"/>
      <c r="AI108" s="63">
        <v>25</v>
      </c>
      <c r="AJ108" s="63"/>
      <c r="AK108" s="63"/>
      <c r="AL108" s="63"/>
      <c r="AM108" s="63"/>
      <c r="AN108" s="63"/>
      <c r="AO108" s="127"/>
    </row>
    <row r="109" spans="1:41" s="83" customFormat="1">
      <c r="A109" s="63">
        <f>IFERROR(VLOOKUP(Table6[[#This Row],[Player No]],Table10[[#All],[No]:[Age Group]],4,0),"")</f>
        <v>0</v>
      </c>
      <c r="B109" s="264">
        <v>190</v>
      </c>
      <c r="C109" s="77">
        <f>+B109-D109</f>
        <v>85</v>
      </c>
      <c r="D109" s="63">
        <f t="shared" si="10"/>
        <v>105</v>
      </c>
      <c r="E109" s="63">
        <v>3955</v>
      </c>
      <c r="F109" s="64" t="str">
        <f>IFERROR(VLOOKUP(Table6[[#This Row],[Player No]],Table10[[No]:[Province]],2,0),"")</f>
        <v>HOFSTA Luke</v>
      </c>
      <c r="G109" s="65" t="str">
        <f>IFERROR(VLOOKUP(Table6[[#This Row],[Player No]],Table10[[No]:[Province]],3,0),"")</f>
        <v>CW</v>
      </c>
      <c r="H109" s="66">
        <v>3</v>
      </c>
      <c r="I109" s="644">
        <v>16.5</v>
      </c>
      <c r="J109" s="819">
        <f>Table6[[#This Row],[Points 2025]]/2+SUM(Table6[[#This Row],[O1  ADMIN 2026]:[P2                           CT Open    2026]])</f>
        <v>8.25</v>
      </c>
      <c r="K109" s="63">
        <f t="shared" si="9"/>
        <v>0</v>
      </c>
      <c r="L109" s="63">
        <f t="shared" si="13"/>
        <v>0</v>
      </c>
      <c r="M109" s="708"/>
      <c r="N109" s="708" t="s">
        <v>6083</v>
      </c>
      <c r="O109" s="708" t="s">
        <v>6083</v>
      </c>
      <c r="P109" s="708"/>
      <c r="Q109" s="63"/>
      <c r="R109" s="63"/>
      <c r="S109" s="114"/>
      <c r="T109" s="114"/>
      <c r="U109" s="63"/>
      <c r="V109" s="114"/>
      <c r="W109" s="63"/>
      <c r="X109" s="708"/>
      <c r="Y109" s="63"/>
      <c r="Z109" s="636"/>
      <c r="AA109" s="63"/>
      <c r="AB109" s="400"/>
      <c r="AC109" s="63"/>
      <c r="AD109" s="114"/>
      <c r="AE109" s="63">
        <v>15</v>
      </c>
      <c r="AF109" s="63"/>
      <c r="AG109" s="63"/>
      <c r="AH109" s="63">
        <v>1</v>
      </c>
      <c r="AI109" s="63">
        <v>2</v>
      </c>
      <c r="AJ109" s="63"/>
      <c r="AK109" s="63"/>
      <c r="AL109" s="63"/>
      <c r="AM109" s="63"/>
      <c r="AN109" s="63"/>
      <c r="AO109" s="127"/>
    </row>
    <row r="110" spans="1:41" s="83" customFormat="1">
      <c r="A110" s="63" t="str">
        <f>IFERROR(VLOOKUP(Table6[[#This Row],[Player No]],Table10[[#All],[No]:[Age Group]],4,0),"")</f>
        <v>U13</v>
      </c>
      <c r="B110" s="264">
        <v>35</v>
      </c>
      <c r="C110" s="77">
        <f>+B110-D110</f>
        <v>-71</v>
      </c>
      <c r="D110" s="63">
        <f t="shared" si="10"/>
        <v>106</v>
      </c>
      <c r="E110" s="63">
        <v>2136</v>
      </c>
      <c r="F110" s="64" t="str">
        <f>IFERROR(VLOOKUP(Table6[[#This Row],[Player No]],Table10[[No]:[Province]],2,0),"")</f>
        <v>FOURIE Barend</v>
      </c>
      <c r="G110" s="65" t="str">
        <f>IFERROR(VLOOKUP(Table6[[#This Row],[Player No]],Table10[[No]:[Province]],3,0),"")</f>
        <v>FS</v>
      </c>
      <c r="H110" s="66">
        <v>32.28125</v>
      </c>
      <c r="I110" s="644">
        <v>16.140625</v>
      </c>
      <c r="J110" s="819">
        <f>Table6[[#This Row],[Points 2025]]/2+SUM(Table6[[#This Row],[O1  ADMIN 2026]:[P2                           CT Open    2026]])</f>
        <v>8.0703125</v>
      </c>
      <c r="K110" s="63">
        <f t="shared" si="9"/>
        <v>0</v>
      </c>
      <c r="L110" s="63">
        <f t="shared" si="13"/>
        <v>0</v>
      </c>
      <c r="M110" s="708"/>
      <c r="N110" s="708" t="s">
        <v>6083</v>
      </c>
      <c r="O110" s="708" t="s">
        <v>6083</v>
      </c>
      <c r="P110" s="708"/>
      <c r="Q110" s="63"/>
      <c r="R110" s="63"/>
      <c r="S110" s="114"/>
      <c r="T110" s="114"/>
      <c r="U110" s="63"/>
      <c r="V110" s="114"/>
      <c r="W110" s="63"/>
      <c r="X110" s="708"/>
      <c r="Y110" s="63"/>
      <c r="Z110" s="636"/>
      <c r="AA110" s="63"/>
      <c r="AB110" s="400"/>
      <c r="AC110" s="63"/>
      <c r="AD110" s="114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127"/>
    </row>
    <row r="111" spans="1:41" s="83" customFormat="1">
      <c r="A111" s="63">
        <f>IFERROR(VLOOKUP(Table6[[#This Row],[Player No]],Table10[[#All],[No]:[Age Group]],4,0),"")</f>
        <v>0</v>
      </c>
      <c r="B111" s="264">
        <v>190</v>
      </c>
      <c r="C111" s="77">
        <f>+B111-D111</f>
        <v>83</v>
      </c>
      <c r="D111" s="63">
        <f t="shared" si="10"/>
        <v>107</v>
      </c>
      <c r="E111" s="63">
        <v>4034</v>
      </c>
      <c r="F111" s="64" t="str">
        <f>IFERROR(VLOOKUP(Table6[[#This Row],[Player No]],Table10[[No]:[Province]],2,0),"")</f>
        <v>WILLIAMS Cody</v>
      </c>
      <c r="G111" s="65" t="str">
        <f>IFERROR(VLOOKUP(Table6[[#This Row],[Player No]],Table10[[No]:[Province]],3,0),"")</f>
        <v>CT</v>
      </c>
      <c r="H111" s="66">
        <v>26</v>
      </c>
      <c r="I111" s="644">
        <v>16</v>
      </c>
      <c r="J111" s="819">
        <f>Table6[[#This Row],[Points 2025]]/2+SUM(Table6[[#This Row],[O1  ADMIN 2026]:[P2                           CT Open    2026]])</f>
        <v>8</v>
      </c>
      <c r="K111" s="63">
        <f t="shared" si="9"/>
        <v>0</v>
      </c>
      <c r="L111" s="63">
        <f t="shared" si="13"/>
        <v>0</v>
      </c>
      <c r="M111" s="708"/>
      <c r="N111" s="708" t="s">
        <v>6083</v>
      </c>
      <c r="O111" s="708" t="s">
        <v>6083</v>
      </c>
      <c r="P111" s="708"/>
      <c r="Q111" s="63"/>
      <c r="R111" s="63"/>
      <c r="S111" s="114"/>
      <c r="T111" s="114"/>
      <c r="U111" s="63"/>
      <c r="V111" s="114"/>
      <c r="W111" s="63"/>
      <c r="X111" s="708"/>
      <c r="Y111" s="63"/>
      <c r="Z111" s="636"/>
      <c r="AA111" s="63"/>
      <c r="AB111" s="400"/>
      <c r="AC111" s="63"/>
      <c r="AD111" s="114">
        <v>1</v>
      </c>
      <c r="AE111" s="63">
        <v>2</v>
      </c>
      <c r="AF111" s="63"/>
      <c r="AG111" s="63"/>
      <c r="AH111" s="63">
        <v>1</v>
      </c>
      <c r="AI111" s="63">
        <v>25</v>
      </c>
      <c r="AJ111" s="63"/>
      <c r="AK111" s="63"/>
      <c r="AL111" s="63"/>
      <c r="AM111" s="63"/>
      <c r="AN111" s="63"/>
      <c r="AO111" s="127"/>
    </row>
    <row r="112" spans="1:41" s="83" customFormat="1">
      <c r="A112" s="63">
        <f>IFERROR(VLOOKUP(Table6[[#This Row],[Player No]],Table10[[#All],[No]:[Age Group]],4,0),"")</f>
        <v>0</v>
      </c>
      <c r="B112" s="264">
        <v>36</v>
      </c>
      <c r="C112" s="77">
        <f>+B112-D112</f>
        <v>-72</v>
      </c>
      <c r="D112" s="63">
        <f t="shared" si="10"/>
        <v>108</v>
      </c>
      <c r="E112" s="63">
        <v>2634</v>
      </c>
      <c r="F112" s="64" t="str">
        <f>IFERROR(VLOOKUP(Table6[[#This Row],[Player No]],Table10[[No]:[Province]],2,0),"")</f>
        <v>PHEKONYANE Kgalalelo</v>
      </c>
      <c r="G112" s="65" t="str">
        <f>IFERROR(VLOOKUP(Table6[[#This Row],[Player No]],Table10[[No]:[Province]],3,0),"")</f>
        <v>FS</v>
      </c>
      <c r="H112" s="66">
        <v>31.875</v>
      </c>
      <c r="I112" s="644">
        <v>15.9375</v>
      </c>
      <c r="J112" s="819">
        <f>Table6[[#This Row],[Points 2025]]/2+SUM(Table6[[#This Row],[O1  ADMIN 2026]:[P2                           CT Open    2026]])</f>
        <v>7.96875</v>
      </c>
      <c r="K112" s="63">
        <f t="shared" si="9"/>
        <v>0</v>
      </c>
      <c r="L112" s="63">
        <f t="shared" si="13"/>
        <v>0</v>
      </c>
      <c r="M112" s="708"/>
      <c r="N112" s="708" t="s">
        <v>6083</v>
      </c>
      <c r="O112" s="708" t="s">
        <v>6083</v>
      </c>
      <c r="P112" s="708"/>
      <c r="Q112" s="63"/>
      <c r="R112" s="63"/>
      <c r="S112" s="114"/>
      <c r="T112" s="114"/>
      <c r="U112" s="63"/>
      <c r="V112" s="114"/>
      <c r="W112" s="63"/>
      <c r="X112" s="708"/>
      <c r="Y112" s="63"/>
      <c r="Z112" s="636"/>
      <c r="AA112" s="63"/>
      <c r="AB112" s="400"/>
      <c r="AC112" s="63"/>
      <c r="AD112" s="114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127"/>
    </row>
    <row r="113" spans="1:41" s="83" customFormat="1">
      <c r="A113" s="63" t="str">
        <f>IFERROR(VLOOKUP(Table6[[#This Row],[Player No]],Table10[[#All],[No]:[Age Group]],4,0),"")</f>
        <v>U11</v>
      </c>
      <c r="B113" s="264"/>
      <c r="C113" s="77"/>
      <c r="D113" s="63">
        <f t="shared" si="10"/>
        <v>109</v>
      </c>
      <c r="E113" s="63">
        <v>3864</v>
      </c>
      <c r="F113" s="64" t="str">
        <f>IFERROR(VLOOKUP(Table6[[#This Row],[Player No]],Table10[[No]:[Province]],2,0),"")</f>
        <v>TIFFLIN Saeed</v>
      </c>
      <c r="G113" s="65" t="str">
        <f>IFERROR(VLOOKUP(Table6[[#This Row],[Player No]],Table10[[No]:[Province]],3,0),"")</f>
        <v>JTTA</v>
      </c>
      <c r="H113" s="66">
        <v>1</v>
      </c>
      <c r="I113" s="644">
        <v>15.5</v>
      </c>
      <c r="J113" s="819">
        <f>Table6[[#This Row],[Points 2025]]/2+SUM(Table6[[#This Row],[O1  ADMIN 2026]:[P2                           CT Open    2026]])</f>
        <v>7.75</v>
      </c>
      <c r="K113" s="63">
        <f t="shared" si="9"/>
        <v>0</v>
      </c>
      <c r="L113" s="63">
        <f t="shared" si="13"/>
        <v>0</v>
      </c>
      <c r="M113" s="708"/>
      <c r="N113" s="708" t="s">
        <v>6083</v>
      </c>
      <c r="O113" s="708" t="s">
        <v>6083</v>
      </c>
      <c r="P113" s="708"/>
      <c r="Q113" s="63"/>
      <c r="R113" s="63"/>
      <c r="S113" s="114"/>
      <c r="T113" s="114"/>
      <c r="U113" s="63"/>
      <c r="V113" s="114"/>
      <c r="W113" s="63"/>
      <c r="X113" s="708"/>
      <c r="Y113" s="63"/>
      <c r="Z113" s="636"/>
      <c r="AA113" s="63">
        <v>15</v>
      </c>
      <c r="AB113" s="400"/>
      <c r="AC113" s="63"/>
      <c r="AD113" s="114"/>
      <c r="AE113" s="63"/>
      <c r="AF113" s="63"/>
      <c r="AG113" s="63"/>
      <c r="AH113" s="63"/>
      <c r="AI113" s="63"/>
      <c r="AJ113" s="63"/>
      <c r="AK113" s="63">
        <v>1</v>
      </c>
      <c r="AL113" s="63"/>
      <c r="AM113" s="63"/>
      <c r="AN113" s="63"/>
      <c r="AO113" s="127"/>
    </row>
    <row r="114" spans="1:41" s="83" customFormat="1">
      <c r="A114" s="63">
        <f>IFERROR(VLOOKUP(Table6[[#This Row],[Player No]],Table10[[#All],[No]:[Age Group]],4,0),"")</f>
        <v>0</v>
      </c>
      <c r="B114" s="264">
        <v>16</v>
      </c>
      <c r="C114" s="77">
        <f t="shared" ref="C114:C122" si="14">+B114-D114</f>
        <v>-94</v>
      </c>
      <c r="D114" s="63">
        <f t="shared" si="10"/>
        <v>110</v>
      </c>
      <c r="E114" s="63">
        <v>4545</v>
      </c>
      <c r="F114" s="64" t="str">
        <f>IFERROR(VLOOKUP(Table6[[#This Row],[Player No]],Table10[[No]:[Province]],2,0),"")</f>
        <v xml:space="preserve">EBRAHIM Niyaaz </v>
      </c>
      <c r="G114" s="65" t="str">
        <f>IFERROR(VLOOKUP(Table6[[#This Row],[Player No]],Table10[[No]:[Province]],3,0),"")</f>
        <v>CT</v>
      </c>
      <c r="H114" s="66">
        <v>1</v>
      </c>
      <c r="I114" s="644">
        <v>15.5</v>
      </c>
      <c r="J114" s="819">
        <f>Table6[[#This Row],[Points 2025]]/2+SUM(Table6[[#This Row],[O1  ADMIN 2026]:[P2                           CT Open    2026]])</f>
        <v>7.75</v>
      </c>
      <c r="K114" s="63">
        <f t="shared" si="9"/>
        <v>0</v>
      </c>
      <c r="L114" s="63">
        <f t="shared" si="13"/>
        <v>0</v>
      </c>
      <c r="M114" s="708"/>
      <c r="N114" s="708" t="s">
        <v>6083</v>
      </c>
      <c r="O114" s="708" t="s">
        <v>6083</v>
      </c>
      <c r="P114" s="708"/>
      <c r="Q114" s="63"/>
      <c r="R114" s="63"/>
      <c r="S114" s="114"/>
      <c r="T114" s="114"/>
      <c r="U114" s="63"/>
      <c r="V114" s="114"/>
      <c r="W114" s="63"/>
      <c r="X114" s="708"/>
      <c r="Y114" s="63"/>
      <c r="Z114" s="636"/>
      <c r="AA114" s="63"/>
      <c r="AB114" s="400"/>
      <c r="AC114" s="63"/>
      <c r="AD114" s="114"/>
      <c r="AE114" s="63">
        <v>15</v>
      </c>
      <c r="AF114" s="63"/>
      <c r="AG114" s="63"/>
      <c r="AH114" s="63">
        <v>1</v>
      </c>
      <c r="AI114" s="63"/>
      <c r="AJ114" s="63"/>
      <c r="AK114" s="63"/>
      <c r="AL114" s="63"/>
      <c r="AM114" s="63"/>
      <c r="AN114" s="63"/>
      <c r="AO114" s="127"/>
    </row>
    <row r="115" spans="1:41" s="83" customFormat="1">
      <c r="A115" s="63" t="str">
        <f>IFERROR(VLOOKUP(Table6[[#This Row],[Player No]],Table10[[#All],[No]:[Age Group]],4,0),"")</f>
        <v>U15</v>
      </c>
      <c r="B115" s="264">
        <v>165</v>
      </c>
      <c r="C115" s="77">
        <f t="shared" si="14"/>
        <v>54</v>
      </c>
      <c r="D115" s="63">
        <f t="shared" si="10"/>
        <v>111</v>
      </c>
      <c r="E115" s="63">
        <v>3390</v>
      </c>
      <c r="F115" s="64" t="str">
        <f>IFERROR(VLOOKUP(Table6[[#This Row],[Player No]],Table10[[No]:[Province]],2,0),"")</f>
        <v>SOLOMONS Kyle</v>
      </c>
      <c r="G115" s="65" t="str">
        <f>IFERROR(VLOOKUP(Table6[[#This Row],[Player No]],Table10[[No]:[Province]],3,0),"")</f>
        <v>CW</v>
      </c>
      <c r="H115" s="66">
        <v>30.5</v>
      </c>
      <c r="I115" s="644">
        <v>15.25</v>
      </c>
      <c r="J115" s="819">
        <f>Table6[[#This Row],[Points 2025]]/2+SUM(Table6[[#This Row],[O1  ADMIN 2026]:[P2                           CT Open    2026]])</f>
        <v>7.625</v>
      </c>
      <c r="K115" s="63">
        <f t="shared" si="9"/>
        <v>0</v>
      </c>
      <c r="L115" s="63">
        <f t="shared" si="13"/>
        <v>0</v>
      </c>
      <c r="M115" s="708"/>
      <c r="N115" s="708" t="s">
        <v>6083</v>
      </c>
      <c r="O115" s="708" t="s">
        <v>6083</v>
      </c>
      <c r="P115" s="708"/>
      <c r="Q115" s="63"/>
      <c r="R115" s="63"/>
      <c r="S115" s="114"/>
      <c r="T115" s="114"/>
      <c r="U115" s="63"/>
      <c r="V115" s="114"/>
      <c r="W115" s="63"/>
      <c r="X115" s="708"/>
      <c r="Y115" s="63"/>
      <c r="Z115" s="636"/>
      <c r="AA115" s="63"/>
      <c r="AB115" s="400"/>
      <c r="AC115" s="63"/>
      <c r="AD115" s="114"/>
      <c r="AE115" s="63"/>
      <c r="AF115" s="63"/>
      <c r="AG115" s="63"/>
      <c r="AH115" s="63">
        <v>5</v>
      </c>
      <c r="AI115" s="63">
        <v>25</v>
      </c>
      <c r="AJ115" s="63"/>
      <c r="AK115" s="63"/>
      <c r="AL115" s="63"/>
      <c r="AM115" s="63"/>
      <c r="AN115" s="63"/>
      <c r="AO115" s="127"/>
    </row>
    <row r="116" spans="1:41" s="83" customFormat="1">
      <c r="A116" s="63">
        <f>IFERROR(VLOOKUP(Table6[[#This Row],[Player No]],Table10[[#All],[No]:[Age Group]],4,0),"")</f>
        <v>0</v>
      </c>
      <c r="B116" s="264">
        <v>37</v>
      </c>
      <c r="C116" s="77">
        <f t="shared" si="14"/>
        <v>-75</v>
      </c>
      <c r="D116" s="63">
        <f t="shared" si="10"/>
        <v>112</v>
      </c>
      <c r="E116" s="63">
        <v>3355</v>
      </c>
      <c r="F116" s="64" t="str">
        <f>IFERROR(VLOOKUP(Table6[[#This Row],[Player No]],Table10[[No]:[Province]],2,0),"")</f>
        <v>DJEUDJE Keanen</v>
      </c>
      <c r="G116" s="65" t="str">
        <f>IFERROR(VLOOKUP(Table6[[#This Row],[Player No]],Table10[[No]:[Province]],3,0),"")</f>
        <v>WC</v>
      </c>
      <c r="H116" s="66">
        <v>30.25</v>
      </c>
      <c r="I116" s="644">
        <v>15.125</v>
      </c>
      <c r="J116" s="819">
        <f>Table6[[#This Row],[Points 2025]]/2+SUM(Table6[[#This Row],[O1  ADMIN 2026]:[P2                           CT Open    2026]])</f>
        <v>7.5625</v>
      </c>
      <c r="K116" s="63">
        <f t="shared" si="9"/>
        <v>0</v>
      </c>
      <c r="L116" s="63">
        <f t="shared" si="13"/>
        <v>0</v>
      </c>
      <c r="M116" s="708"/>
      <c r="N116" s="708" t="s">
        <v>6083</v>
      </c>
      <c r="O116" s="708" t="s">
        <v>6083</v>
      </c>
      <c r="P116" s="708"/>
      <c r="Q116" s="63"/>
      <c r="R116" s="63"/>
      <c r="S116" s="114"/>
      <c r="T116" s="114"/>
      <c r="U116" s="63"/>
      <c r="V116" s="114"/>
      <c r="W116" s="63"/>
      <c r="X116" s="708"/>
      <c r="Y116" s="63"/>
      <c r="Z116" s="636"/>
      <c r="AA116" s="63"/>
      <c r="AB116" s="400"/>
      <c r="AC116" s="63"/>
      <c r="AD116" s="114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127"/>
    </row>
    <row r="117" spans="1:41" s="83" customFormat="1">
      <c r="A117" s="138"/>
      <c r="B117" s="264"/>
      <c r="C117" s="77">
        <f t="shared" si="14"/>
        <v>-113</v>
      </c>
      <c r="D117" s="63">
        <f t="shared" si="10"/>
        <v>113</v>
      </c>
      <c r="E117" s="154">
        <v>3558</v>
      </c>
      <c r="F117" s="64" t="str">
        <f>IFERROR(VLOOKUP(Table6[[#This Row],[Player No]],Table10[[No]:[Province]],2,0),"")</f>
        <v>ZHANG Derick</v>
      </c>
      <c r="G117" s="65" t="str">
        <f>IFERROR(VLOOKUP(Table6[[#This Row],[Player No]],Table10[[No]:[Province]],3,0),"")</f>
        <v>FS</v>
      </c>
      <c r="H117" s="66">
        <v>0.25</v>
      </c>
      <c r="I117" s="644">
        <v>15.125</v>
      </c>
      <c r="J117" s="819">
        <f>Table6[[#This Row],[Points 2025]]/2+SUM(Table6[[#This Row],[O1  ADMIN 2026]:[P2                           CT Open    2026]])</f>
        <v>7.5625</v>
      </c>
      <c r="K117" s="63">
        <f t="shared" si="9"/>
        <v>0</v>
      </c>
      <c r="L117" s="63">
        <f t="shared" si="13"/>
        <v>0</v>
      </c>
      <c r="M117" s="708"/>
      <c r="N117" s="708" t="s">
        <v>6083</v>
      </c>
      <c r="O117" s="708" t="s">
        <v>6083</v>
      </c>
      <c r="P117" s="708"/>
      <c r="Q117" s="63"/>
      <c r="R117" s="63"/>
      <c r="S117" s="114"/>
      <c r="T117" s="114"/>
      <c r="U117" s="63"/>
      <c r="V117" s="114">
        <v>15</v>
      </c>
      <c r="W117" s="63"/>
      <c r="X117" s="708"/>
      <c r="Y117" s="63"/>
      <c r="Z117" s="636"/>
      <c r="AA117" s="63"/>
      <c r="AB117" s="400"/>
      <c r="AC117" s="63"/>
      <c r="AD117" s="114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127"/>
    </row>
    <row r="118" spans="1:41" s="83" customFormat="1">
      <c r="A118" s="138"/>
      <c r="B118" s="264"/>
      <c r="C118" s="77">
        <f t="shared" si="14"/>
        <v>-114</v>
      </c>
      <c r="D118" s="63">
        <f t="shared" si="10"/>
        <v>114</v>
      </c>
      <c r="E118" s="154">
        <v>4303</v>
      </c>
      <c r="F118" s="64" t="str">
        <f>IFERROR(VLOOKUP(Table6[[#This Row],[Player No]],Table10[[No]:[Province]],2,0),"")</f>
        <v xml:space="preserve">M Mpobole </v>
      </c>
      <c r="G118" s="65" t="str">
        <f>IFERROR(VLOOKUP(Table6[[#This Row],[Player No]],Table10[[No]:[Province]],3,0),"")</f>
        <v>FS</v>
      </c>
      <c r="H118" s="66">
        <v>0.25</v>
      </c>
      <c r="I118" s="644">
        <v>15.125</v>
      </c>
      <c r="J118" s="819">
        <f>Table6[[#This Row],[Points 2025]]/2+SUM(Table6[[#This Row],[O1  ADMIN 2026]:[P2                           CT Open    2026]])</f>
        <v>7.5625</v>
      </c>
      <c r="K118" s="63">
        <f t="shared" si="9"/>
        <v>0</v>
      </c>
      <c r="L118" s="63">
        <f t="shared" si="13"/>
        <v>0</v>
      </c>
      <c r="M118" s="708"/>
      <c r="N118" s="708" t="s">
        <v>6083</v>
      </c>
      <c r="O118" s="708" t="s">
        <v>6083</v>
      </c>
      <c r="P118" s="708"/>
      <c r="Q118" s="63"/>
      <c r="R118" s="63"/>
      <c r="S118" s="114"/>
      <c r="T118" s="114"/>
      <c r="U118" s="63"/>
      <c r="V118" s="114">
        <v>15</v>
      </c>
      <c r="W118" s="63"/>
      <c r="X118" s="708"/>
      <c r="Y118" s="63"/>
      <c r="Z118" s="636"/>
      <c r="AA118" s="63"/>
      <c r="AB118" s="400"/>
      <c r="AC118" s="63"/>
      <c r="AD118" s="114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127"/>
    </row>
    <row r="119" spans="1:41" s="83" customFormat="1">
      <c r="A119" s="164"/>
      <c r="B119" s="265"/>
      <c r="C119" s="160">
        <f t="shared" si="14"/>
        <v>-115</v>
      </c>
      <c r="D119" s="63">
        <f t="shared" si="10"/>
        <v>115</v>
      </c>
      <c r="E119" s="161">
        <v>4378</v>
      </c>
      <c r="F119" s="64" t="str">
        <f>IFERROR(VLOOKUP(Table6[[#This Row],[Player No]],Table10[[No]:[Province]],2,0),"")</f>
        <v>DZANIBE Khethukuthula</v>
      </c>
      <c r="G119" s="65" t="str">
        <f>IFERROR(VLOOKUP(Table6[[#This Row],[Player No]],Table10[[No]:[Province]],3,0),"")</f>
        <v>ETTA</v>
      </c>
      <c r="H119" s="66">
        <v>0.25</v>
      </c>
      <c r="I119" s="644">
        <v>15.125</v>
      </c>
      <c r="J119" s="819">
        <f>Table6[[#This Row],[Points 2025]]/2+SUM(Table6[[#This Row],[O1  ADMIN 2026]:[P2                           CT Open    2026]])</f>
        <v>7.5625</v>
      </c>
      <c r="K119" s="63">
        <f t="shared" si="9"/>
        <v>0</v>
      </c>
      <c r="L119" s="63">
        <f t="shared" si="13"/>
        <v>0</v>
      </c>
      <c r="M119" s="708"/>
      <c r="N119" s="708" t="s">
        <v>6083</v>
      </c>
      <c r="O119" s="708" t="s">
        <v>6083</v>
      </c>
      <c r="P119" s="708"/>
      <c r="Q119" s="157"/>
      <c r="R119" s="157">
        <v>15</v>
      </c>
      <c r="S119" s="165"/>
      <c r="T119" s="165"/>
      <c r="U119" s="157"/>
      <c r="V119" s="165"/>
      <c r="W119" s="157"/>
      <c r="X119" s="712"/>
      <c r="Y119" s="157"/>
      <c r="Z119" s="700"/>
      <c r="AA119" s="157"/>
      <c r="AB119" s="444"/>
      <c r="AC119" s="157"/>
      <c r="AD119" s="165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610"/>
    </row>
    <row r="120" spans="1:41" s="83" customFormat="1">
      <c r="A120" s="366"/>
      <c r="B120" s="365"/>
      <c r="C120" s="360">
        <f t="shared" si="14"/>
        <v>-116</v>
      </c>
      <c r="D120" s="63">
        <f t="shared" si="10"/>
        <v>116</v>
      </c>
      <c r="E120" s="355">
        <v>3789</v>
      </c>
      <c r="F120" s="326" t="str">
        <f>IFERROR(VLOOKUP(Table6[[#This Row],[Player No]],Table10[[No]:[Province]],2,0),"")</f>
        <v xml:space="preserve">KHOZA Simangaliso </v>
      </c>
      <c r="G120" s="65" t="str">
        <f>IFERROR(VLOOKUP(Table6[[#This Row],[Player No]],Table10[[No]:[Province]],3,0),"")</f>
        <v>ETTA</v>
      </c>
      <c r="H120" s="66">
        <v>0</v>
      </c>
      <c r="I120" s="644">
        <v>15</v>
      </c>
      <c r="J120" s="819">
        <f>Table6[[#This Row],[Points 2025]]/2+SUM(Table6[[#This Row],[O1  ADMIN 2026]:[P2                           CT Open    2026]])</f>
        <v>7.5</v>
      </c>
      <c r="K120" s="63">
        <f t="shared" si="9"/>
        <v>0</v>
      </c>
      <c r="L120" s="63">
        <f t="shared" si="13"/>
        <v>0</v>
      </c>
      <c r="M120" s="708"/>
      <c r="N120" s="828" t="s">
        <v>6083</v>
      </c>
      <c r="O120" s="828" t="s">
        <v>6083</v>
      </c>
      <c r="P120" s="828"/>
      <c r="Q120" s="361"/>
      <c r="R120" s="361"/>
      <c r="S120" s="357"/>
      <c r="T120" s="357">
        <v>15</v>
      </c>
      <c r="U120" s="361"/>
      <c r="V120" s="357"/>
      <c r="W120" s="361"/>
      <c r="X120" s="738"/>
      <c r="Y120" s="361"/>
      <c r="Z120" s="639"/>
      <c r="AA120" s="361"/>
      <c r="AB120" s="406"/>
      <c r="AC120" s="361"/>
      <c r="AD120" s="357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95"/>
    </row>
    <row r="121" spans="1:41" s="83" customFormat="1">
      <c r="A121" s="366"/>
      <c r="B121" s="365"/>
      <c r="C121" s="360">
        <f t="shared" si="14"/>
        <v>-117</v>
      </c>
      <c r="D121" s="63">
        <f t="shared" si="10"/>
        <v>117</v>
      </c>
      <c r="E121" s="355">
        <v>3798</v>
      </c>
      <c r="F121" s="326" t="str">
        <f>IFERROR(VLOOKUP(Table6[[#This Row],[Player No]],Table10[[No]:[Province]],2,0),"")</f>
        <v>NHLAPO Mbusowezulu</v>
      </c>
      <c r="G121" s="65" t="str">
        <f>IFERROR(VLOOKUP(Table6[[#This Row],[Player No]],Table10[[No]:[Province]],3,0),"")</f>
        <v>ETTA</v>
      </c>
      <c r="H121" s="66">
        <v>0</v>
      </c>
      <c r="I121" s="644">
        <v>15</v>
      </c>
      <c r="J121" s="819">
        <f>Table6[[#This Row],[Points 2025]]/2+SUM(Table6[[#This Row],[O1  ADMIN 2026]:[P2                           CT Open    2026]])</f>
        <v>7.5</v>
      </c>
      <c r="K121" s="63">
        <f t="shared" si="9"/>
        <v>0</v>
      </c>
      <c r="L121" s="63">
        <f t="shared" si="13"/>
        <v>0</v>
      </c>
      <c r="M121" s="708"/>
      <c r="N121" s="828" t="s">
        <v>6083</v>
      </c>
      <c r="O121" s="828" t="s">
        <v>6083</v>
      </c>
      <c r="P121" s="828"/>
      <c r="Q121" s="361"/>
      <c r="R121" s="361"/>
      <c r="S121" s="357"/>
      <c r="T121" s="357">
        <v>15</v>
      </c>
      <c r="U121" s="361"/>
      <c r="V121" s="357"/>
      <c r="W121" s="361"/>
      <c r="X121" s="738"/>
      <c r="Y121" s="361"/>
      <c r="Z121" s="639"/>
      <c r="AA121" s="361"/>
      <c r="AB121" s="406"/>
      <c r="AC121" s="361"/>
      <c r="AD121" s="357"/>
      <c r="AE121" s="361"/>
      <c r="AF121" s="361"/>
      <c r="AG121" s="361"/>
      <c r="AH121" s="361"/>
      <c r="AI121" s="361"/>
      <c r="AJ121" s="361"/>
      <c r="AK121" s="361"/>
      <c r="AL121" s="361"/>
      <c r="AM121" s="361"/>
      <c r="AN121" s="361"/>
      <c r="AO121" s="395"/>
    </row>
    <row r="122" spans="1:41" s="83" customFormat="1">
      <c r="A122" s="175"/>
      <c r="B122" s="267"/>
      <c r="C122" s="168">
        <f t="shared" si="14"/>
        <v>-118</v>
      </c>
      <c r="D122" s="63">
        <f t="shared" si="10"/>
        <v>118</v>
      </c>
      <c r="E122" s="174">
        <v>3847</v>
      </c>
      <c r="F122" s="64" t="str">
        <f>IFERROR(VLOOKUP(Table6[[#This Row],[Player No]],Table10[[No]:[Province]],2,0),"")</f>
        <v>MUYIKWA Given Moses</v>
      </c>
      <c r="G122" s="65" t="str">
        <f>IFERROR(VLOOKUP(Table6[[#This Row],[Player No]],Table10[[No]:[Province]],3,0),"")</f>
        <v>JTTA</v>
      </c>
      <c r="H122" s="170">
        <v>0</v>
      </c>
      <c r="I122" s="644">
        <v>15</v>
      </c>
      <c r="J122" s="819">
        <f>Table6[[#This Row],[Points 2025]]/2+SUM(Table6[[#This Row],[O1  ADMIN 2026]:[P2                           CT Open    2026]])</f>
        <v>7.5</v>
      </c>
      <c r="K122" s="63">
        <f t="shared" si="9"/>
        <v>0</v>
      </c>
      <c r="L122" s="63">
        <f t="shared" si="13"/>
        <v>0</v>
      </c>
      <c r="M122" s="708"/>
      <c r="N122" s="708" t="s">
        <v>6083</v>
      </c>
      <c r="O122" s="708" t="s">
        <v>6083</v>
      </c>
      <c r="P122" s="708"/>
      <c r="Q122" s="169"/>
      <c r="R122" s="169"/>
      <c r="S122" s="318"/>
      <c r="T122" s="318"/>
      <c r="U122" s="169"/>
      <c r="V122" s="318"/>
      <c r="W122" s="169"/>
      <c r="X122" s="713"/>
      <c r="Y122" s="169"/>
      <c r="Z122" s="638"/>
      <c r="AA122" s="169"/>
      <c r="AB122" s="402"/>
      <c r="AC122" s="169">
        <v>15</v>
      </c>
      <c r="AD122" s="318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609"/>
    </row>
    <row r="123" spans="1:41" s="83" customFormat="1">
      <c r="A123" s="175"/>
      <c r="B123" s="267"/>
      <c r="C123" s="77" t="e">
        <v>#VALUE!</v>
      </c>
      <c r="D123" s="63">
        <f t="shared" si="10"/>
        <v>119</v>
      </c>
      <c r="E123" s="63">
        <v>4401</v>
      </c>
      <c r="F123" s="64" t="str">
        <f>IFERROR(VLOOKUP(Table6[[#This Row],[Player No]],Table10[[No]:[Province]],2,0),"")</f>
        <v xml:space="preserve">SU Tony </v>
      </c>
      <c r="G123" s="65" t="str">
        <f>IFERROR(VLOOKUP(Table6[[#This Row],[Player No]],Table10[[No]:[Province]],3,0),"")</f>
        <v>JTTA</v>
      </c>
      <c r="H123" s="86">
        <v>0</v>
      </c>
      <c r="I123" s="644">
        <v>15</v>
      </c>
      <c r="J123" s="819">
        <f>Table6[[#This Row],[Points 2025]]/2+SUM(Table6[[#This Row],[O1  ADMIN 2026]:[P2                           CT Open    2026]])</f>
        <v>7.5</v>
      </c>
      <c r="K123" s="63">
        <f t="shared" si="9"/>
        <v>0</v>
      </c>
      <c r="L123" s="63">
        <f t="shared" si="13"/>
        <v>0</v>
      </c>
      <c r="M123" s="708"/>
      <c r="N123" s="708" t="s">
        <v>6083</v>
      </c>
      <c r="O123" s="708" t="s">
        <v>6083</v>
      </c>
      <c r="P123" s="708"/>
      <c r="Q123" s="63"/>
      <c r="R123" s="63"/>
      <c r="S123" s="114"/>
      <c r="T123" s="114"/>
      <c r="U123" s="63"/>
      <c r="V123" s="114"/>
      <c r="W123" s="63"/>
      <c r="X123" s="708"/>
      <c r="Y123" s="63"/>
      <c r="Z123" s="636"/>
      <c r="AA123" s="63"/>
      <c r="AB123" s="400"/>
      <c r="AC123" s="63">
        <v>15</v>
      </c>
      <c r="AD123" s="114"/>
      <c r="AE123" s="63"/>
      <c r="AF123" s="63"/>
      <c r="AG123" s="63"/>
      <c r="AH123" s="63"/>
      <c r="AI123" s="92"/>
      <c r="AJ123" s="92"/>
      <c r="AK123" s="92"/>
      <c r="AL123" s="92"/>
      <c r="AM123" s="92"/>
      <c r="AN123" s="92"/>
      <c r="AO123" s="707"/>
    </row>
    <row r="124" spans="1:41" s="83" customFormat="1">
      <c r="A124" s="175"/>
      <c r="B124" s="267"/>
      <c r="C124" s="77" t="e">
        <v>#VALUE!</v>
      </c>
      <c r="D124" s="63">
        <f t="shared" si="10"/>
        <v>120</v>
      </c>
      <c r="E124" s="63">
        <v>4402</v>
      </c>
      <c r="F124" s="64" t="str">
        <f>IFERROR(VLOOKUP(Table6[[#This Row],[Player No]],Table10[[No]:[Province]],2,0),"")</f>
        <v>ASULIN Shachar</v>
      </c>
      <c r="G124" s="65" t="str">
        <f>IFERROR(VLOOKUP(Table6[[#This Row],[Player No]],Table10[[No]:[Province]],3,0),"")</f>
        <v>JTTA</v>
      </c>
      <c r="H124" s="86">
        <v>0</v>
      </c>
      <c r="I124" s="644">
        <v>15</v>
      </c>
      <c r="J124" s="819">
        <f>Table6[[#This Row],[Points 2025]]/2+SUM(Table6[[#This Row],[O1  ADMIN 2026]:[P2                           CT Open    2026]])</f>
        <v>7.5</v>
      </c>
      <c r="K124" s="63">
        <f t="shared" si="9"/>
        <v>0</v>
      </c>
      <c r="L124" s="63">
        <f t="shared" si="13"/>
        <v>0</v>
      </c>
      <c r="M124" s="708"/>
      <c r="N124" s="708" t="s">
        <v>6083</v>
      </c>
      <c r="O124" s="708" t="s">
        <v>6083</v>
      </c>
      <c r="P124" s="708"/>
      <c r="Q124" s="63"/>
      <c r="R124" s="63"/>
      <c r="S124" s="114"/>
      <c r="T124" s="114"/>
      <c r="U124" s="63"/>
      <c r="V124" s="114"/>
      <c r="W124" s="63"/>
      <c r="X124" s="708"/>
      <c r="Y124" s="63"/>
      <c r="Z124" s="636"/>
      <c r="AA124" s="63"/>
      <c r="AB124" s="400"/>
      <c r="AC124" s="63">
        <v>15</v>
      </c>
      <c r="AD124" s="114"/>
      <c r="AE124" s="63"/>
      <c r="AF124" s="63"/>
      <c r="AG124" s="63"/>
      <c r="AH124" s="63"/>
      <c r="AI124" s="92"/>
      <c r="AJ124" s="92"/>
      <c r="AK124" s="92"/>
      <c r="AL124" s="92"/>
      <c r="AM124" s="92"/>
      <c r="AN124" s="92"/>
      <c r="AO124" s="707"/>
    </row>
    <row r="125" spans="1:41" s="83" customFormat="1">
      <c r="A125" s="209"/>
      <c r="B125" s="266"/>
      <c r="C125" s="203">
        <f>+B125-D125</f>
        <v>-121</v>
      </c>
      <c r="D125" s="63">
        <f t="shared" si="10"/>
        <v>121</v>
      </c>
      <c r="E125" s="204">
        <v>4445</v>
      </c>
      <c r="F125" s="205" t="str">
        <f>IFERROR(VLOOKUP(Table6[[#This Row],[Player No]],Table10[[No]:[Province]],2,0),"")</f>
        <v>SISHI Yamkela</v>
      </c>
      <c r="G125" s="65" t="str">
        <f>IFERROR(VLOOKUP(Table6[[#This Row],[Player No]],Table10[[No]:[Province]],3,0),"")</f>
        <v>ETTA</v>
      </c>
      <c r="H125" s="206">
        <v>0</v>
      </c>
      <c r="I125" s="644">
        <v>15</v>
      </c>
      <c r="J125" s="819">
        <f>Table6[[#This Row],[Points 2025]]/2+SUM(Table6[[#This Row],[O1  ADMIN 2026]:[P2                           CT Open    2026]])</f>
        <v>7.5</v>
      </c>
      <c r="K125" s="63">
        <f t="shared" si="9"/>
        <v>0</v>
      </c>
      <c r="L125" s="63">
        <f t="shared" si="13"/>
        <v>0</v>
      </c>
      <c r="M125" s="708"/>
      <c r="N125" s="708" t="s">
        <v>6083</v>
      </c>
      <c r="O125" s="708" t="s">
        <v>6083</v>
      </c>
      <c r="P125" s="708"/>
      <c r="Q125" s="208">
        <v>15</v>
      </c>
      <c r="R125" s="208"/>
      <c r="S125" s="320"/>
      <c r="T125" s="320"/>
      <c r="U125" s="208"/>
      <c r="V125" s="320"/>
      <c r="W125" s="208"/>
      <c r="X125" s="710"/>
      <c r="Y125" s="208"/>
      <c r="Z125" s="640"/>
      <c r="AA125" s="208"/>
      <c r="AB125" s="407"/>
      <c r="AC125" s="208"/>
      <c r="AD125" s="320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706"/>
    </row>
    <row r="126" spans="1:41" s="83" customFormat="1">
      <c r="A126" s="175"/>
      <c r="B126" s="267"/>
      <c r="C126" s="77" t="e">
        <v>#VALUE!</v>
      </c>
      <c r="D126" s="63">
        <f t="shared" si="10"/>
        <v>122</v>
      </c>
      <c r="E126" s="63">
        <v>4528</v>
      </c>
      <c r="F126" s="64" t="str">
        <f>IFERROR(VLOOKUP(Table6[[#This Row],[Player No]],Table10[[No]:[Province]],2,0),"")</f>
        <v xml:space="preserve">VACHIAT Eesa </v>
      </c>
      <c r="G126" s="65" t="str">
        <f>IFERROR(VLOOKUP(Table6[[#This Row],[Player No]],Table10[[No]:[Province]],3,0),"")</f>
        <v>SED</v>
      </c>
      <c r="H126" s="86">
        <v>0</v>
      </c>
      <c r="I126" s="644">
        <v>15</v>
      </c>
      <c r="J126" s="819">
        <f>Table6[[#This Row],[Points 2025]]/2+SUM(Table6[[#This Row],[O1  ADMIN 2026]:[P2                           CT Open    2026]])</f>
        <v>7.5</v>
      </c>
      <c r="K126" s="63">
        <f t="shared" si="9"/>
        <v>0</v>
      </c>
      <c r="L126" s="63">
        <f>COUNTIF(Q126:AE126,"&lt;0")</f>
        <v>0</v>
      </c>
      <c r="M126" s="708"/>
      <c r="N126" s="708" t="s">
        <v>6083</v>
      </c>
      <c r="O126" s="708" t="s">
        <v>6083</v>
      </c>
      <c r="P126" s="708"/>
      <c r="Q126" s="63"/>
      <c r="R126" s="63"/>
      <c r="S126" s="114"/>
      <c r="T126" s="114"/>
      <c r="U126" s="63"/>
      <c r="V126" s="114"/>
      <c r="W126" s="63"/>
      <c r="X126" s="708"/>
      <c r="Y126" s="63"/>
      <c r="Z126" s="636"/>
      <c r="AA126" s="63"/>
      <c r="AB126" s="400"/>
      <c r="AC126" s="63">
        <v>15</v>
      </c>
      <c r="AD126" s="114"/>
      <c r="AE126" s="63"/>
      <c r="AF126" s="63"/>
      <c r="AG126" s="63"/>
      <c r="AH126" s="63"/>
      <c r="AI126" s="92"/>
      <c r="AJ126" s="92"/>
      <c r="AK126" s="92"/>
      <c r="AL126" s="92"/>
      <c r="AM126" s="92"/>
      <c r="AN126" s="92"/>
      <c r="AO126" s="707"/>
    </row>
    <row r="127" spans="1:41" s="83" customFormat="1">
      <c r="A127" s="138"/>
      <c r="B127" s="264"/>
      <c r="C127" s="77">
        <f t="shared" ref="C127:C134" si="15">+B127-D127</f>
        <v>-123</v>
      </c>
      <c r="D127" s="63">
        <f t="shared" si="10"/>
        <v>123</v>
      </c>
      <c r="E127" s="154">
        <v>4559</v>
      </c>
      <c r="F127" s="64" t="str">
        <f>IFERROR(VLOOKUP(Table6[[#This Row],[Player No]],Table10[[No]:[Province]],2,0),"")</f>
        <v xml:space="preserve">SEEGERS Shiloh </v>
      </c>
      <c r="G127" s="65" t="str">
        <f>IFERROR(VLOOKUP(Table6[[#This Row],[Player No]],Table10[[No]:[Province]],3,0),"")</f>
        <v>CT</v>
      </c>
      <c r="H127" s="66">
        <v>0</v>
      </c>
      <c r="I127" s="644">
        <v>15</v>
      </c>
      <c r="J127" s="819">
        <f>Table6[[#This Row],[Points 2025]]/2+SUM(Table6[[#This Row],[O1  ADMIN 2026]:[P2                           CT Open    2026]])</f>
        <v>7.5</v>
      </c>
      <c r="K127" s="154">
        <f t="shared" si="9"/>
        <v>0</v>
      </c>
      <c r="L127" s="154">
        <f>COUNTIF(Q127:AE127,"&lt;0")</f>
        <v>0</v>
      </c>
      <c r="M127" s="827"/>
      <c r="N127" s="827" t="s">
        <v>6083</v>
      </c>
      <c r="O127" s="827" t="s">
        <v>6083</v>
      </c>
      <c r="P127" s="827"/>
      <c r="Q127" s="63"/>
      <c r="R127" s="63"/>
      <c r="S127" s="114"/>
      <c r="T127" s="114"/>
      <c r="U127" s="63"/>
      <c r="V127" s="114"/>
      <c r="W127" s="63"/>
      <c r="X127" s="708"/>
      <c r="Y127" s="63"/>
      <c r="Z127" s="636"/>
      <c r="AA127" s="63"/>
      <c r="AB127" s="400"/>
      <c r="AC127" s="63"/>
      <c r="AD127" s="114"/>
      <c r="AE127" s="63">
        <v>15</v>
      </c>
      <c r="AF127" s="63"/>
      <c r="AG127" s="63"/>
      <c r="AH127" s="63"/>
      <c r="AI127" s="63"/>
      <c r="AJ127" s="63"/>
      <c r="AK127" s="63"/>
      <c r="AL127" s="63"/>
      <c r="AM127" s="63"/>
      <c r="AN127" s="63"/>
      <c r="AO127" s="127"/>
    </row>
    <row r="128" spans="1:41" s="83" customFormat="1">
      <c r="A128" s="138"/>
      <c r="B128" s="264"/>
      <c r="C128" s="77">
        <f t="shared" si="15"/>
        <v>-124</v>
      </c>
      <c r="D128" s="63">
        <f t="shared" si="10"/>
        <v>124</v>
      </c>
      <c r="E128" s="154">
        <v>4562</v>
      </c>
      <c r="F128" s="64" t="str">
        <f>IFERROR(VLOOKUP(Table6[[#This Row],[Player No]],Table10[[No]:[Province]],2,0),"")</f>
        <v xml:space="preserve">PENNELS Zain </v>
      </c>
      <c r="G128" s="65" t="str">
        <f>IFERROR(VLOOKUP(Table6[[#This Row],[Player No]],Table10[[No]:[Province]],3,0),"")</f>
        <v>CT</v>
      </c>
      <c r="H128" s="66">
        <v>0</v>
      </c>
      <c r="I128" s="644">
        <v>15</v>
      </c>
      <c r="J128" s="819">
        <f>Table6[[#This Row],[Points 2025]]/2+SUM(Table6[[#This Row],[O1  ADMIN 2026]:[P2                           CT Open    2026]])</f>
        <v>7.5</v>
      </c>
      <c r="K128" s="63">
        <f t="shared" si="9"/>
        <v>0</v>
      </c>
      <c r="L128" s="63">
        <f t="shared" ref="L128:L159" si="16">COUNTIF(N128:AO128,"&lt;0")</f>
        <v>0</v>
      </c>
      <c r="M128" s="708"/>
      <c r="N128" s="827" t="s">
        <v>6083</v>
      </c>
      <c r="O128" s="827" t="s">
        <v>6083</v>
      </c>
      <c r="P128" s="827"/>
      <c r="Q128" s="63"/>
      <c r="R128" s="63"/>
      <c r="S128" s="114"/>
      <c r="T128" s="114"/>
      <c r="U128" s="63"/>
      <c r="V128" s="114"/>
      <c r="W128" s="63"/>
      <c r="X128" s="708"/>
      <c r="Y128" s="63"/>
      <c r="Z128" s="636"/>
      <c r="AA128" s="63"/>
      <c r="AB128" s="400"/>
      <c r="AC128" s="63"/>
      <c r="AD128" s="114"/>
      <c r="AE128" s="63">
        <v>15</v>
      </c>
      <c r="AF128" s="63"/>
      <c r="AG128" s="63"/>
      <c r="AH128" s="63"/>
      <c r="AI128" s="63"/>
      <c r="AJ128" s="63"/>
      <c r="AK128" s="63"/>
      <c r="AL128" s="63"/>
      <c r="AM128" s="63"/>
      <c r="AN128" s="63"/>
      <c r="AO128" s="127"/>
    </row>
    <row r="129" spans="1:41" s="83" customFormat="1">
      <c r="A129" s="366"/>
      <c r="B129" s="365"/>
      <c r="C129" s="360">
        <f t="shared" si="15"/>
        <v>-125</v>
      </c>
      <c r="D129" s="63">
        <f t="shared" si="10"/>
        <v>125</v>
      </c>
      <c r="E129" s="355">
        <v>4589</v>
      </c>
      <c r="F129" s="326" t="str">
        <f>IFERROR(VLOOKUP(Table6[[#This Row],[Player No]],Table10[[No]:[Province]],2,0),"")</f>
        <v>MADAREE Akhil</v>
      </c>
      <c r="G129" s="65" t="str">
        <f>IFERROR(VLOOKUP(Table6[[#This Row],[Player No]],Table10[[No]:[Province]],3,0),"")</f>
        <v>ETTA</v>
      </c>
      <c r="H129" s="66">
        <v>0</v>
      </c>
      <c r="I129" s="644">
        <v>15</v>
      </c>
      <c r="J129" s="819">
        <f>Table6[[#This Row],[Points 2025]]/2+SUM(Table6[[#This Row],[O1  ADMIN 2026]:[P2                           CT Open    2026]])</f>
        <v>7.5</v>
      </c>
      <c r="K129" s="63">
        <f t="shared" si="9"/>
        <v>0</v>
      </c>
      <c r="L129" s="63">
        <f t="shared" si="16"/>
        <v>0</v>
      </c>
      <c r="M129" s="708"/>
      <c r="N129" s="828" t="s">
        <v>6083</v>
      </c>
      <c r="O129" s="828" t="s">
        <v>6083</v>
      </c>
      <c r="P129" s="828"/>
      <c r="Q129" s="361"/>
      <c r="R129" s="361"/>
      <c r="S129" s="357"/>
      <c r="T129" s="357">
        <v>15</v>
      </c>
      <c r="U129" s="361"/>
      <c r="V129" s="357"/>
      <c r="W129" s="361"/>
      <c r="X129" s="738"/>
      <c r="Y129" s="361"/>
      <c r="Z129" s="639"/>
      <c r="AA129" s="361"/>
      <c r="AB129" s="406"/>
      <c r="AC129" s="361"/>
      <c r="AD129" s="357"/>
      <c r="AE129" s="361"/>
      <c r="AF129" s="361"/>
      <c r="AG129" s="361"/>
      <c r="AH129" s="361"/>
      <c r="AI129" s="361"/>
      <c r="AJ129" s="361"/>
      <c r="AK129" s="361"/>
      <c r="AL129" s="361"/>
      <c r="AM129" s="361"/>
      <c r="AN129" s="361"/>
      <c r="AO129" s="395"/>
    </row>
    <row r="130" spans="1:41" s="83" customFormat="1">
      <c r="A130" s="138"/>
      <c r="B130" s="264"/>
      <c r="C130" s="77">
        <f t="shared" si="15"/>
        <v>-126</v>
      </c>
      <c r="D130" s="63">
        <f t="shared" si="10"/>
        <v>126</v>
      </c>
      <c r="E130" s="154">
        <v>4640</v>
      </c>
      <c r="F130" s="64" t="str">
        <f>IFERROR(VLOOKUP(Table6[[#This Row],[Player No]],Table10[[No]:[Province]],2,0),"")</f>
        <v xml:space="preserve">SLIEDRECHT Kal-El </v>
      </c>
      <c r="G130" s="65" t="str">
        <f>IFERROR(VLOOKUP(Table6[[#This Row],[Player No]],Table10[[No]:[Province]],3,0),"")</f>
        <v>CT</v>
      </c>
      <c r="H130" s="66">
        <v>0</v>
      </c>
      <c r="I130" s="644">
        <v>14.5</v>
      </c>
      <c r="J130" s="819">
        <f>Table6[[#This Row],[Points 2025]]/2+SUM(Table6[[#This Row],[O1  ADMIN 2026]:[P2                           CT Open    2026]])</f>
        <v>7.25</v>
      </c>
      <c r="K130" s="63">
        <f t="shared" si="9"/>
        <v>0</v>
      </c>
      <c r="L130" s="63">
        <f t="shared" si="16"/>
        <v>0</v>
      </c>
      <c r="M130" s="708"/>
      <c r="N130" s="827" t="s">
        <v>6083</v>
      </c>
      <c r="O130" s="827" t="s">
        <v>6083</v>
      </c>
      <c r="P130" s="827"/>
      <c r="Q130" s="63"/>
      <c r="R130" s="63"/>
      <c r="S130" s="114"/>
      <c r="T130" s="114"/>
      <c r="U130" s="63"/>
      <c r="V130" s="114"/>
      <c r="W130" s="63"/>
      <c r="X130" s="708"/>
      <c r="Y130" s="63"/>
      <c r="Z130" s="636"/>
      <c r="AA130" s="63"/>
      <c r="AB130" s="400"/>
      <c r="AC130" s="63"/>
      <c r="AD130" s="114"/>
      <c r="AE130" s="63">
        <v>15</v>
      </c>
      <c r="AF130" s="63"/>
      <c r="AG130" s="63"/>
      <c r="AH130" s="63"/>
      <c r="AI130" s="63"/>
      <c r="AJ130" s="63"/>
      <c r="AK130" s="63"/>
      <c r="AL130" s="63"/>
      <c r="AM130" s="63"/>
      <c r="AN130" s="63"/>
      <c r="AO130" s="127"/>
    </row>
    <row r="131" spans="1:41" s="83" customFormat="1">
      <c r="A131" s="138"/>
      <c r="B131" s="264"/>
      <c r="C131" s="77">
        <f t="shared" si="15"/>
        <v>-127</v>
      </c>
      <c r="D131" s="63">
        <f t="shared" si="10"/>
        <v>127</v>
      </c>
      <c r="E131" s="154">
        <v>4654</v>
      </c>
      <c r="F131" s="64" t="str">
        <f>IFERROR(VLOOKUP(Table6[[#This Row],[Player No]],Table10[[No]:[Province]],2,0),"")</f>
        <v xml:space="preserve">SASMAN Abu Bakr </v>
      </c>
      <c r="G131" s="65" t="str">
        <f>IFERROR(VLOOKUP(Table6[[#This Row],[Player No]],Table10[[No]:[Province]],3,0),"")</f>
        <v>CT</v>
      </c>
      <c r="H131" s="66">
        <v>0</v>
      </c>
      <c r="I131" s="644">
        <v>14</v>
      </c>
      <c r="J131" s="819">
        <f>Table6[[#This Row],[Points 2025]]/2+SUM(Table6[[#This Row],[O1  ADMIN 2026]:[P2                           CT Open    2026]])</f>
        <v>7</v>
      </c>
      <c r="K131" s="63">
        <f t="shared" si="9"/>
        <v>0</v>
      </c>
      <c r="L131" s="63">
        <f t="shared" si="16"/>
        <v>0</v>
      </c>
      <c r="M131" s="708"/>
      <c r="N131" s="827" t="s">
        <v>6083</v>
      </c>
      <c r="O131" s="827" t="s">
        <v>6083</v>
      </c>
      <c r="P131" s="827"/>
      <c r="Q131" s="63"/>
      <c r="R131" s="63"/>
      <c r="S131" s="114"/>
      <c r="T131" s="114"/>
      <c r="U131" s="63"/>
      <c r="V131" s="114"/>
      <c r="W131" s="63"/>
      <c r="X131" s="708"/>
      <c r="Y131" s="63"/>
      <c r="Z131" s="636"/>
      <c r="AA131" s="63"/>
      <c r="AB131" s="400"/>
      <c r="AC131" s="63"/>
      <c r="AD131" s="114"/>
      <c r="AE131" s="63">
        <v>15</v>
      </c>
      <c r="AF131" s="63"/>
      <c r="AG131" s="63"/>
      <c r="AH131" s="63"/>
      <c r="AI131" s="63"/>
      <c r="AJ131" s="63"/>
      <c r="AK131" s="63"/>
      <c r="AL131" s="63"/>
      <c r="AM131" s="63"/>
      <c r="AN131" s="63"/>
      <c r="AO131" s="127"/>
    </row>
    <row r="132" spans="1:41" s="83" customFormat="1">
      <c r="A132" s="63" t="str">
        <f>IFERROR(VLOOKUP(Table6[[#This Row],[Player No]],Table10[[#All],[No]:[Age Group]],4,0),"")</f>
        <v>U15</v>
      </c>
      <c r="B132" s="264">
        <v>190</v>
      </c>
      <c r="C132" s="77">
        <f t="shared" si="15"/>
        <v>62</v>
      </c>
      <c r="D132" s="63">
        <f t="shared" si="10"/>
        <v>128</v>
      </c>
      <c r="E132" s="63">
        <v>3691</v>
      </c>
      <c r="F132" s="64" t="str">
        <f>IFERROR(VLOOKUP(Table6[[#This Row],[Player No]],Table10[[No]:[Province]],2,0),"")</f>
        <v>MOHAMMED Sajaid</v>
      </c>
      <c r="G132" s="65" t="str">
        <f>IFERROR(VLOOKUP(Table6[[#This Row],[Player No]],Table10[[No]:[Province]],3,0),"")</f>
        <v>Eden</v>
      </c>
      <c r="H132" s="66">
        <v>27</v>
      </c>
      <c r="I132" s="644">
        <v>13.125</v>
      </c>
      <c r="J132" s="819">
        <f>Table6[[#This Row],[Points 2025]]/2+SUM(Table6[[#This Row],[O1  ADMIN 2026]:[P2                           CT Open    2026]])</f>
        <v>6.5625</v>
      </c>
      <c r="K132" s="63">
        <f t="shared" si="9"/>
        <v>0</v>
      </c>
      <c r="L132" s="63">
        <f t="shared" si="16"/>
        <v>0</v>
      </c>
      <c r="M132" s="708"/>
      <c r="N132" s="708" t="s">
        <v>6083</v>
      </c>
      <c r="O132" s="708" t="s">
        <v>6083</v>
      </c>
      <c r="P132" s="708"/>
      <c r="Q132" s="63"/>
      <c r="R132" s="63"/>
      <c r="S132" s="114">
        <v>1</v>
      </c>
      <c r="T132" s="114"/>
      <c r="U132" s="63"/>
      <c r="V132" s="114"/>
      <c r="W132" s="63"/>
      <c r="X132" s="708"/>
      <c r="Y132" s="63"/>
      <c r="Z132" s="636"/>
      <c r="AA132" s="63"/>
      <c r="AB132" s="400"/>
      <c r="AC132" s="63"/>
      <c r="AD132" s="114"/>
      <c r="AE132" s="63"/>
      <c r="AF132" s="63"/>
      <c r="AG132" s="63"/>
      <c r="AH132" s="63"/>
      <c r="AI132" s="63">
        <v>2</v>
      </c>
      <c r="AJ132" s="63">
        <v>25</v>
      </c>
      <c r="AK132" s="63"/>
      <c r="AL132" s="63"/>
      <c r="AM132" s="63"/>
      <c r="AN132" s="63"/>
      <c r="AO132" s="127"/>
    </row>
    <row r="133" spans="1:41" s="83" customFormat="1">
      <c r="A133" s="138"/>
      <c r="B133" s="264"/>
      <c r="C133" s="77">
        <f t="shared" si="15"/>
        <v>-129</v>
      </c>
      <c r="D133" s="63">
        <f t="shared" si="10"/>
        <v>129</v>
      </c>
      <c r="E133" s="200">
        <v>3606</v>
      </c>
      <c r="F133" s="64" t="str">
        <f>IFERROR(VLOOKUP(Table6[[#This Row],[Player No]],Table10[[No]:[Province]],2,0),"")</f>
        <v>MNIKATHI Siyamamukela</v>
      </c>
      <c r="G133" s="65" t="str">
        <f>IFERROR(VLOOKUP(Table6[[#This Row],[Player No]],Table10[[No]:[Province]],3,0),"")</f>
        <v>UMG</v>
      </c>
      <c r="H133" s="66">
        <v>0</v>
      </c>
      <c r="I133" s="644">
        <v>13</v>
      </c>
      <c r="J133" s="819">
        <f>Table6[[#This Row],[Points 2025]]/2+SUM(Table6[[#This Row],[O1  ADMIN 2026]:[P2                           CT Open    2026]])</f>
        <v>6.5</v>
      </c>
      <c r="K133" s="63">
        <f t="shared" ref="K133:K196" si="17">COUNTIF(M133:P133,"&gt;0")</f>
        <v>0</v>
      </c>
      <c r="L133" s="63">
        <f t="shared" si="16"/>
        <v>0</v>
      </c>
      <c r="M133" s="708"/>
      <c r="N133" s="708" t="s">
        <v>6083</v>
      </c>
      <c r="O133" s="708" t="s">
        <v>6083</v>
      </c>
      <c r="P133" s="708"/>
      <c r="Q133" s="63">
        <v>2</v>
      </c>
      <c r="R133" s="63">
        <v>10</v>
      </c>
      <c r="S133" s="114">
        <v>1</v>
      </c>
      <c r="T133" s="114"/>
      <c r="U133" s="63">
        <v>1</v>
      </c>
      <c r="V133" s="114"/>
      <c r="W133" s="63"/>
      <c r="X133" s="708"/>
      <c r="Y133" s="63"/>
      <c r="Z133" s="636"/>
      <c r="AA133" s="63"/>
      <c r="AB133" s="400"/>
      <c r="AC133" s="63"/>
      <c r="AD133" s="114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127"/>
    </row>
    <row r="134" spans="1:41" s="83" customFormat="1">
      <c r="A134" s="164"/>
      <c r="B134" s="265"/>
      <c r="C134" s="160">
        <f t="shared" si="15"/>
        <v>-130</v>
      </c>
      <c r="D134" s="63">
        <f t="shared" si="10"/>
        <v>130</v>
      </c>
      <c r="E134" s="161">
        <v>4382</v>
      </c>
      <c r="F134" s="64" t="str">
        <f>IFERROR(VLOOKUP(Table6[[#This Row],[Player No]],Table10[[No]:[Province]],2,0),"")</f>
        <v>BAGIRATHI Advay</v>
      </c>
      <c r="G134" s="65" t="str">
        <f>IFERROR(VLOOKUP(Table6[[#This Row],[Player No]],Table10[[No]:[Province]],3,0),"")</f>
        <v>UMG</v>
      </c>
      <c r="H134" s="66">
        <v>0.25</v>
      </c>
      <c r="I134" s="644">
        <v>13</v>
      </c>
      <c r="J134" s="819">
        <f>Table6[[#This Row],[Points 2025]]/2+SUM(Table6[[#This Row],[O1  ADMIN 2026]:[P2                           CT Open    2026]])</f>
        <v>6.5</v>
      </c>
      <c r="K134" s="63">
        <f t="shared" si="17"/>
        <v>0</v>
      </c>
      <c r="L134" s="63">
        <f t="shared" si="16"/>
        <v>0</v>
      </c>
      <c r="M134" s="708"/>
      <c r="N134" s="708" t="s">
        <v>6083</v>
      </c>
      <c r="O134" s="708" t="s">
        <v>6083</v>
      </c>
      <c r="P134" s="708"/>
      <c r="Q134" s="157">
        <v>2</v>
      </c>
      <c r="R134" s="157">
        <v>1</v>
      </c>
      <c r="S134" s="165">
        <v>10</v>
      </c>
      <c r="T134" s="165"/>
      <c r="U134" s="157"/>
      <c r="V134" s="165"/>
      <c r="W134" s="157"/>
      <c r="X134" s="712"/>
      <c r="Y134" s="157"/>
      <c r="Z134" s="700"/>
      <c r="AA134" s="157"/>
      <c r="AB134" s="444"/>
      <c r="AC134" s="157"/>
      <c r="AD134" s="165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610"/>
    </row>
    <row r="135" spans="1:41" s="83" customFormat="1">
      <c r="A135" s="175"/>
      <c r="B135" s="267"/>
      <c r="C135" s="77" t="e">
        <v>#VALUE!</v>
      </c>
      <c r="D135" s="63">
        <f t="shared" ref="D135:D198" si="18">+D134+1</f>
        <v>131</v>
      </c>
      <c r="E135" s="63">
        <v>4403</v>
      </c>
      <c r="F135" s="64" t="str">
        <f>IFERROR(VLOOKUP(Table6[[#This Row],[Player No]],Table10[[No]:[Province]],2,0),"")</f>
        <v>JONKER Aren</v>
      </c>
      <c r="G135" s="65" t="str">
        <f>IFERROR(VLOOKUP(Table6[[#This Row],[Player No]],Table10[[No]:[Province]],3,0),"")</f>
        <v>UMG</v>
      </c>
      <c r="H135" s="86">
        <v>0</v>
      </c>
      <c r="I135" s="644">
        <v>12.625</v>
      </c>
      <c r="J135" s="819">
        <f>Table6[[#This Row],[Points 2025]]/2+SUM(Table6[[#This Row],[O1  ADMIN 2026]:[P2                           CT Open    2026]])</f>
        <v>6.3125</v>
      </c>
      <c r="K135" s="63">
        <f t="shared" si="17"/>
        <v>0</v>
      </c>
      <c r="L135" s="63">
        <f t="shared" si="16"/>
        <v>0</v>
      </c>
      <c r="M135" s="708"/>
      <c r="N135" s="708" t="s">
        <v>6083</v>
      </c>
      <c r="O135" s="708" t="s">
        <v>6083</v>
      </c>
      <c r="P135" s="708"/>
      <c r="Q135" s="63"/>
      <c r="R135" s="63"/>
      <c r="S135" s="114"/>
      <c r="T135" s="114"/>
      <c r="U135" s="63"/>
      <c r="V135" s="114"/>
      <c r="W135" s="63"/>
      <c r="X135" s="708"/>
      <c r="Y135" s="63"/>
      <c r="Z135" s="636"/>
      <c r="AA135" s="63"/>
      <c r="AB135" s="400">
        <v>12</v>
      </c>
      <c r="AC135" s="63">
        <v>1</v>
      </c>
      <c r="AD135" s="114"/>
      <c r="AE135" s="63"/>
      <c r="AF135" s="63"/>
      <c r="AG135" s="63"/>
      <c r="AH135" s="63"/>
      <c r="AI135" s="92"/>
      <c r="AJ135" s="92"/>
      <c r="AK135" s="92"/>
      <c r="AL135" s="92"/>
      <c r="AM135" s="92"/>
      <c r="AN135" s="92"/>
      <c r="AO135" s="707"/>
    </row>
    <row r="136" spans="1:41" s="83" customFormat="1">
      <c r="A136" s="63" t="str">
        <f>IFERROR(VLOOKUP(Table6[[#This Row],[Player No]],Table10[[#All],[No]:[Age Group]],4,0),"")</f>
        <v>U15</v>
      </c>
      <c r="B136" s="264"/>
      <c r="C136" s="77"/>
      <c r="D136" s="63">
        <f t="shared" si="18"/>
        <v>132</v>
      </c>
      <c r="E136" s="63">
        <v>3758</v>
      </c>
      <c r="F136" s="64" t="str">
        <f>IFERROR(VLOOKUP(Table6[[#This Row],[Player No]],Table10[[No]:[Province]],2,0),"")</f>
        <v>KOOPMAN Cadiff</v>
      </c>
      <c r="G136" s="65" t="str">
        <f>IFERROR(VLOOKUP(Table6[[#This Row],[Player No]],Table10[[No]:[Province]],3,0),"")</f>
        <v>WC</v>
      </c>
      <c r="H136" s="66">
        <v>25.25</v>
      </c>
      <c r="I136" s="644">
        <v>12.5</v>
      </c>
      <c r="J136" s="819">
        <f>Table6[[#This Row],[Points 2025]]/2+SUM(Table6[[#This Row],[O1  ADMIN 2026]:[P2                           CT Open    2026]])</f>
        <v>6.25</v>
      </c>
      <c r="K136" s="63">
        <f t="shared" si="17"/>
        <v>0</v>
      </c>
      <c r="L136" s="63">
        <f t="shared" si="16"/>
        <v>0</v>
      </c>
      <c r="M136" s="708"/>
      <c r="N136" s="708" t="s">
        <v>6083</v>
      </c>
      <c r="O136" s="708" t="s">
        <v>6083</v>
      </c>
      <c r="P136" s="708"/>
      <c r="Q136" s="63"/>
      <c r="R136" s="63"/>
      <c r="S136" s="114"/>
      <c r="T136" s="114"/>
      <c r="U136" s="63"/>
      <c r="V136" s="114"/>
      <c r="W136" s="63"/>
      <c r="X136" s="708"/>
      <c r="Y136" s="63"/>
      <c r="Z136" s="636"/>
      <c r="AA136" s="63"/>
      <c r="AB136" s="400"/>
      <c r="AC136" s="63"/>
      <c r="AD136" s="114"/>
      <c r="AE136" s="63"/>
      <c r="AF136" s="63"/>
      <c r="AG136" s="63"/>
      <c r="AH136" s="63">
        <v>25</v>
      </c>
      <c r="AI136" s="63"/>
      <c r="AJ136" s="63"/>
      <c r="AK136" s="63"/>
      <c r="AL136" s="63"/>
      <c r="AM136" s="63"/>
      <c r="AN136" s="63"/>
      <c r="AO136" s="127"/>
    </row>
    <row r="137" spans="1:41" s="83" customFormat="1">
      <c r="A137" s="138"/>
      <c r="B137" s="264"/>
      <c r="C137" s="77">
        <f t="shared" ref="C137:C146" si="19">+B137-D137</f>
        <v>-133</v>
      </c>
      <c r="D137" s="63">
        <f t="shared" si="18"/>
        <v>133</v>
      </c>
      <c r="E137" s="154">
        <v>4302</v>
      </c>
      <c r="F137" s="64" t="str">
        <f>IFERROR(VLOOKUP(Table6[[#This Row],[Player No]],Table10[[No]:[Province]],2,0),"")</f>
        <v xml:space="preserve">B Seseane </v>
      </c>
      <c r="G137" s="65" t="str">
        <f>IFERROR(VLOOKUP(Table6[[#This Row],[Player No]],Table10[[No]:[Province]],3,0),"")</f>
        <v>FS</v>
      </c>
      <c r="H137" s="66">
        <v>0.25</v>
      </c>
      <c r="I137" s="644">
        <v>12.5</v>
      </c>
      <c r="J137" s="819">
        <f>Table6[[#This Row],[Points 2025]]/2+SUM(Table6[[#This Row],[O1  ADMIN 2026]:[P2                           CT Open    2026]])</f>
        <v>6.25</v>
      </c>
      <c r="K137" s="63">
        <f t="shared" si="17"/>
        <v>0</v>
      </c>
      <c r="L137" s="63">
        <f t="shared" si="16"/>
        <v>0</v>
      </c>
      <c r="M137" s="708"/>
      <c r="N137" s="708" t="s">
        <v>6083</v>
      </c>
      <c r="O137" s="708" t="s">
        <v>6083</v>
      </c>
      <c r="P137" s="708"/>
      <c r="Q137" s="63"/>
      <c r="R137" s="63"/>
      <c r="S137" s="114"/>
      <c r="T137" s="114"/>
      <c r="U137" s="63"/>
      <c r="V137" s="114"/>
      <c r="W137" s="63">
        <v>12.5</v>
      </c>
      <c r="X137" s="708"/>
      <c r="Y137" s="63"/>
      <c r="Z137" s="636"/>
      <c r="AA137" s="63"/>
      <c r="AB137" s="400"/>
      <c r="AC137" s="63"/>
      <c r="AD137" s="114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127"/>
    </row>
    <row r="138" spans="1:41" s="83" customFormat="1">
      <c r="A138" s="63">
        <f>IFERROR(VLOOKUP(Table6[[#This Row],[Player No]],Table10[[#All],[No]:[Age Group]],4,0),"")</f>
        <v>0</v>
      </c>
      <c r="B138" s="264">
        <v>43</v>
      </c>
      <c r="C138" s="77">
        <f t="shared" si="19"/>
        <v>-91</v>
      </c>
      <c r="D138" s="63">
        <f t="shared" si="18"/>
        <v>134</v>
      </c>
      <c r="E138" s="63">
        <v>3450</v>
      </c>
      <c r="F138" s="64" t="str">
        <f>IFERROR(VLOOKUP(Table6[[#This Row],[Player No]],Table10[[No]:[Province]],2,0),"")</f>
        <v>DE KOCK Derrick</v>
      </c>
      <c r="G138" s="65" t="str">
        <f>IFERROR(VLOOKUP(Table6[[#This Row],[Player No]],Table10[[No]:[Province]],3,0),"")</f>
        <v>GN</v>
      </c>
      <c r="H138" s="66">
        <v>25</v>
      </c>
      <c r="I138" s="644">
        <v>12.5</v>
      </c>
      <c r="J138" s="819">
        <f>Table6[[#This Row],[Points 2025]]/2+SUM(Table6[[#This Row],[O1  ADMIN 2026]:[P2                           CT Open    2026]])</f>
        <v>6.25</v>
      </c>
      <c r="K138" s="63">
        <f t="shared" si="17"/>
        <v>0</v>
      </c>
      <c r="L138" s="63">
        <f t="shared" si="16"/>
        <v>0</v>
      </c>
      <c r="M138" s="708"/>
      <c r="N138" s="708" t="s">
        <v>6083</v>
      </c>
      <c r="O138" s="708" t="s">
        <v>6083</v>
      </c>
      <c r="P138" s="708"/>
      <c r="Q138" s="63"/>
      <c r="R138" s="63"/>
      <c r="S138" s="114"/>
      <c r="T138" s="114"/>
      <c r="U138" s="63"/>
      <c r="V138" s="114"/>
      <c r="W138" s="63"/>
      <c r="X138" s="708"/>
      <c r="Y138" s="63"/>
      <c r="Z138" s="636"/>
      <c r="AA138" s="63"/>
      <c r="AB138" s="400"/>
      <c r="AC138" s="63"/>
      <c r="AD138" s="114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127"/>
    </row>
    <row r="139" spans="1:41" s="83" customFormat="1">
      <c r="A139" s="63">
        <f>IFERROR(VLOOKUP(Table6[[#This Row],[Player No]],Table10[[#All],[No]:[Age Group]],4,0),"")</f>
        <v>0</v>
      </c>
      <c r="B139" s="264">
        <v>42</v>
      </c>
      <c r="C139" s="77">
        <f t="shared" si="19"/>
        <v>-93</v>
      </c>
      <c r="D139" s="63">
        <f t="shared" si="18"/>
        <v>135</v>
      </c>
      <c r="E139" s="63">
        <v>3544</v>
      </c>
      <c r="F139" s="64" t="str">
        <f>IFERROR(VLOOKUP(Table6[[#This Row],[Player No]],Table10[[No]:[Province]],2,0),"")</f>
        <v>TLHAMAMO Lecoko</v>
      </c>
      <c r="G139" s="65" t="str">
        <f>IFERROR(VLOOKUP(Table6[[#This Row],[Player No]],Table10[[No]:[Province]],3,0),"")</f>
        <v>FS</v>
      </c>
      <c r="H139" s="66">
        <v>25</v>
      </c>
      <c r="I139" s="644">
        <v>12.5</v>
      </c>
      <c r="J139" s="819">
        <f>Table6[[#This Row],[Points 2025]]/2+SUM(Table6[[#This Row],[O1  ADMIN 2026]:[P2                           CT Open    2026]])</f>
        <v>6.25</v>
      </c>
      <c r="K139" s="63">
        <f t="shared" si="17"/>
        <v>0</v>
      </c>
      <c r="L139" s="63">
        <f t="shared" si="16"/>
        <v>0</v>
      </c>
      <c r="M139" s="708"/>
      <c r="N139" s="708" t="s">
        <v>6083</v>
      </c>
      <c r="O139" s="708" t="s">
        <v>6083</v>
      </c>
      <c r="P139" s="708"/>
      <c r="Q139" s="63"/>
      <c r="R139" s="63"/>
      <c r="S139" s="114"/>
      <c r="T139" s="114"/>
      <c r="U139" s="63"/>
      <c r="V139" s="114"/>
      <c r="W139" s="63"/>
      <c r="X139" s="708"/>
      <c r="Y139" s="63"/>
      <c r="Z139" s="636"/>
      <c r="AA139" s="63"/>
      <c r="AB139" s="400"/>
      <c r="AC139" s="63"/>
      <c r="AD139" s="114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127"/>
    </row>
    <row r="140" spans="1:41" s="83" customFormat="1">
      <c r="A140" s="63">
        <f>IFERROR(VLOOKUP(Table6[[#This Row],[Player No]],Table10[[#All],[No]:[Age Group]],4,0),"")</f>
        <v>0</v>
      </c>
      <c r="B140" s="264">
        <v>45</v>
      </c>
      <c r="C140" s="77">
        <f t="shared" si="19"/>
        <v>-91</v>
      </c>
      <c r="D140" s="63">
        <f t="shared" si="18"/>
        <v>136</v>
      </c>
      <c r="E140" s="63">
        <v>3768</v>
      </c>
      <c r="F140" s="64" t="str">
        <f>IFERROR(VLOOKUP(Table6[[#This Row],[Player No]],Table10[[No]:[Province]],2,0),"")</f>
        <v>MAQONDO Alungile</v>
      </c>
      <c r="G140" s="65" t="str">
        <f>IFERROR(VLOOKUP(Table6[[#This Row],[Player No]],Table10[[No]:[Province]],3,0),"")</f>
        <v>EC</v>
      </c>
      <c r="H140" s="66">
        <v>25</v>
      </c>
      <c r="I140" s="644">
        <v>12.5</v>
      </c>
      <c r="J140" s="819">
        <f>Table6[[#This Row],[Points 2025]]/2+SUM(Table6[[#This Row],[O1  ADMIN 2026]:[P2                           CT Open    2026]])</f>
        <v>6.25</v>
      </c>
      <c r="K140" s="63">
        <f t="shared" si="17"/>
        <v>0</v>
      </c>
      <c r="L140" s="63">
        <f t="shared" si="16"/>
        <v>0</v>
      </c>
      <c r="M140" s="708"/>
      <c r="N140" s="708" t="s">
        <v>6083</v>
      </c>
      <c r="O140" s="708" t="s">
        <v>6083</v>
      </c>
      <c r="P140" s="708"/>
      <c r="Q140" s="63"/>
      <c r="R140" s="63"/>
      <c r="S140" s="114"/>
      <c r="T140" s="114"/>
      <c r="U140" s="63"/>
      <c r="V140" s="114"/>
      <c r="W140" s="63"/>
      <c r="X140" s="708"/>
      <c r="Y140" s="63"/>
      <c r="Z140" s="636"/>
      <c r="AA140" s="63"/>
      <c r="AB140" s="400"/>
      <c r="AC140" s="63"/>
      <c r="AD140" s="114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127"/>
    </row>
    <row r="141" spans="1:41" s="83" customFormat="1">
      <c r="A141" s="63">
        <f>IFERROR(VLOOKUP(Table6[[#This Row],[Player No]],Table10[[#All],[No]:[Age Group]],4,0),"")</f>
        <v>0</v>
      </c>
      <c r="B141" s="264">
        <v>44</v>
      </c>
      <c r="C141" s="77">
        <f t="shared" si="19"/>
        <v>-93</v>
      </c>
      <c r="D141" s="63">
        <f t="shared" si="18"/>
        <v>137</v>
      </c>
      <c r="E141" s="63">
        <v>3782</v>
      </c>
      <c r="F141" s="64" t="str">
        <f>IFERROR(VLOOKUP(Table6[[#This Row],[Player No]],Table10[[No]:[Province]],2,0),"")</f>
        <v>VEGODA Moshe</v>
      </c>
      <c r="G141" s="65" t="str">
        <f>IFERROR(VLOOKUP(Table6[[#This Row],[Player No]],Table10[[No]:[Province]],3,0),"")</f>
        <v>JTTA</v>
      </c>
      <c r="H141" s="66">
        <v>25</v>
      </c>
      <c r="I141" s="644">
        <v>12.5</v>
      </c>
      <c r="J141" s="819">
        <f>Table6[[#This Row],[Points 2025]]/2+SUM(Table6[[#This Row],[O1  ADMIN 2026]:[P2                           CT Open    2026]])</f>
        <v>6.25</v>
      </c>
      <c r="K141" s="63">
        <f t="shared" si="17"/>
        <v>0</v>
      </c>
      <c r="L141" s="63">
        <f t="shared" si="16"/>
        <v>0</v>
      </c>
      <c r="M141" s="708"/>
      <c r="N141" s="708" t="s">
        <v>6083</v>
      </c>
      <c r="O141" s="708" t="s">
        <v>6083</v>
      </c>
      <c r="P141" s="708"/>
      <c r="Q141" s="63"/>
      <c r="R141" s="63"/>
      <c r="S141" s="114"/>
      <c r="T141" s="114"/>
      <c r="U141" s="63"/>
      <c r="V141" s="114"/>
      <c r="W141" s="63"/>
      <c r="X141" s="708"/>
      <c r="Y141" s="63"/>
      <c r="Z141" s="636"/>
      <c r="AA141" s="63"/>
      <c r="AB141" s="400"/>
      <c r="AC141" s="63"/>
      <c r="AD141" s="114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127"/>
    </row>
    <row r="142" spans="1:41" s="83" customFormat="1">
      <c r="A142" s="63">
        <f>IFERROR(VLOOKUP(Table6[[#This Row],[Player No]],Table10[[#All],[No]:[Age Group]],4,0),"")</f>
        <v>0</v>
      </c>
      <c r="B142" s="264">
        <v>48</v>
      </c>
      <c r="C142" s="77">
        <f t="shared" si="19"/>
        <v>-90</v>
      </c>
      <c r="D142" s="63">
        <f t="shared" si="18"/>
        <v>138</v>
      </c>
      <c r="E142" s="63">
        <v>3917</v>
      </c>
      <c r="F142" s="64" t="str">
        <f>IFERROR(VLOOKUP(Table6[[#This Row],[Player No]],Table10[[No]:[Province]],2,0),"")</f>
        <v>DLAMINI Philasande</v>
      </c>
      <c r="G142" s="65" t="str">
        <f>IFERROR(VLOOKUP(Table6[[#This Row],[Player No]],Table10[[No]:[Province]],3,0),"")</f>
        <v>ETTA</v>
      </c>
      <c r="H142" s="66">
        <v>25</v>
      </c>
      <c r="I142" s="644">
        <v>12.5</v>
      </c>
      <c r="J142" s="819">
        <f>Table6[[#This Row],[Points 2025]]/2+SUM(Table6[[#This Row],[O1  ADMIN 2026]:[P2                           CT Open    2026]])</f>
        <v>6.25</v>
      </c>
      <c r="K142" s="63">
        <f t="shared" si="17"/>
        <v>0</v>
      </c>
      <c r="L142" s="63">
        <f t="shared" si="16"/>
        <v>0</v>
      </c>
      <c r="M142" s="708"/>
      <c r="N142" s="708" t="s">
        <v>6083</v>
      </c>
      <c r="O142" s="708" t="s">
        <v>6083</v>
      </c>
      <c r="P142" s="708"/>
      <c r="Q142" s="63"/>
      <c r="R142" s="63"/>
      <c r="S142" s="114"/>
      <c r="T142" s="114"/>
      <c r="U142" s="63"/>
      <c r="V142" s="114"/>
      <c r="W142" s="63"/>
      <c r="X142" s="708"/>
      <c r="Y142" s="63"/>
      <c r="Z142" s="636"/>
      <c r="AA142" s="63"/>
      <c r="AB142" s="400"/>
      <c r="AC142" s="63"/>
      <c r="AD142" s="114"/>
      <c r="AE142" s="63"/>
      <c r="AF142" s="63">
        <v>25</v>
      </c>
      <c r="AG142" s="63"/>
      <c r="AH142" s="63"/>
      <c r="AI142" s="63"/>
      <c r="AJ142" s="63"/>
      <c r="AK142" s="63"/>
      <c r="AL142" s="63"/>
      <c r="AM142" s="63"/>
      <c r="AN142" s="63"/>
      <c r="AO142" s="127"/>
    </row>
    <row r="143" spans="1:41" s="83" customFormat="1">
      <c r="A143" s="63">
        <f>IFERROR(VLOOKUP(Table6[[#This Row],[Player No]],Table10[[#All],[No]:[Age Group]],4,0),"")</f>
        <v>0</v>
      </c>
      <c r="B143" s="264">
        <v>49</v>
      </c>
      <c r="C143" s="77">
        <f t="shared" si="19"/>
        <v>-90</v>
      </c>
      <c r="D143" s="63">
        <f t="shared" si="18"/>
        <v>139</v>
      </c>
      <c r="E143" s="63">
        <v>3918</v>
      </c>
      <c r="F143" s="64" t="str">
        <f>IFERROR(VLOOKUP(Table6[[#This Row],[Player No]],Table10[[No]:[Province]],2,0),"")</f>
        <v>MKONTWANE Simphiwe</v>
      </c>
      <c r="G143" s="65" t="str">
        <f>IFERROR(VLOOKUP(Table6[[#This Row],[Player No]],Table10[[No]:[Province]],3,0),"")</f>
        <v>ETTA</v>
      </c>
      <c r="H143" s="66">
        <v>25</v>
      </c>
      <c r="I143" s="644">
        <v>12.5</v>
      </c>
      <c r="J143" s="819">
        <f>Table6[[#This Row],[Points 2025]]/2+SUM(Table6[[#This Row],[O1  ADMIN 2026]:[P2                           CT Open    2026]])</f>
        <v>6.25</v>
      </c>
      <c r="K143" s="63">
        <f t="shared" si="17"/>
        <v>0</v>
      </c>
      <c r="L143" s="63">
        <f t="shared" si="16"/>
        <v>0</v>
      </c>
      <c r="M143" s="708"/>
      <c r="N143" s="708" t="s">
        <v>6083</v>
      </c>
      <c r="O143" s="708" t="s">
        <v>6083</v>
      </c>
      <c r="P143" s="708"/>
      <c r="Q143" s="63"/>
      <c r="R143" s="63"/>
      <c r="S143" s="114"/>
      <c r="T143" s="114"/>
      <c r="U143" s="63"/>
      <c r="V143" s="114"/>
      <c r="W143" s="63"/>
      <c r="X143" s="708"/>
      <c r="Y143" s="63"/>
      <c r="Z143" s="636"/>
      <c r="AA143" s="63"/>
      <c r="AB143" s="400"/>
      <c r="AC143" s="63"/>
      <c r="AD143" s="114"/>
      <c r="AE143" s="63"/>
      <c r="AF143" s="63">
        <v>25</v>
      </c>
      <c r="AG143" s="63"/>
      <c r="AH143" s="63"/>
      <c r="AI143" s="63"/>
      <c r="AJ143" s="63"/>
      <c r="AK143" s="63"/>
      <c r="AL143" s="63"/>
      <c r="AM143" s="63"/>
      <c r="AN143" s="63"/>
      <c r="AO143" s="127"/>
    </row>
    <row r="144" spans="1:41" s="83" customFormat="1">
      <c r="A144" s="63">
        <f>IFERROR(VLOOKUP(Table6[[#This Row],[Player No]],Table10[[#All],[No]:[Age Group]],4,0),"")</f>
        <v>0</v>
      </c>
      <c r="B144" s="264">
        <v>190</v>
      </c>
      <c r="C144" s="77">
        <f t="shared" si="19"/>
        <v>50</v>
      </c>
      <c r="D144" s="63">
        <f t="shared" si="18"/>
        <v>140</v>
      </c>
      <c r="E144" s="63">
        <v>3956</v>
      </c>
      <c r="F144" s="64" t="str">
        <f>IFERROR(VLOOKUP(Table6[[#This Row],[Player No]],Table10[[No]:[Province]],2,0),"")</f>
        <v>BOOYSEN Marcus</v>
      </c>
      <c r="G144" s="65" t="str">
        <f>IFERROR(VLOOKUP(Table6[[#This Row],[Player No]],Table10[[No]:[Province]],3,0),"")</f>
        <v>CW</v>
      </c>
      <c r="H144" s="66">
        <v>25</v>
      </c>
      <c r="I144" s="644">
        <v>12.125</v>
      </c>
      <c r="J144" s="819">
        <f>Table6[[#This Row],[Points 2025]]/2+SUM(Table6[[#This Row],[O1  ADMIN 2026]:[P2                           CT Open    2026]])</f>
        <v>6.0625</v>
      </c>
      <c r="K144" s="63">
        <f t="shared" si="17"/>
        <v>0</v>
      </c>
      <c r="L144" s="63">
        <f t="shared" si="16"/>
        <v>0</v>
      </c>
      <c r="M144" s="708"/>
      <c r="N144" s="708" t="s">
        <v>6083</v>
      </c>
      <c r="O144" s="708" t="s">
        <v>6083</v>
      </c>
      <c r="P144" s="708"/>
      <c r="Q144" s="63"/>
      <c r="R144" s="63"/>
      <c r="S144" s="114"/>
      <c r="T144" s="114"/>
      <c r="U144" s="63"/>
      <c r="V144" s="114"/>
      <c r="W144" s="63"/>
      <c r="X144" s="708"/>
      <c r="Y144" s="63"/>
      <c r="Z144" s="636"/>
      <c r="AA144" s="63"/>
      <c r="AB144" s="400"/>
      <c r="AC144" s="63"/>
      <c r="AD144" s="114"/>
      <c r="AE144" s="63"/>
      <c r="AF144" s="63"/>
      <c r="AG144" s="63"/>
      <c r="AH144" s="63"/>
      <c r="AI144" s="63">
        <v>25</v>
      </c>
      <c r="AJ144" s="63"/>
      <c r="AK144" s="63"/>
      <c r="AL144" s="63"/>
      <c r="AM144" s="63"/>
      <c r="AN144" s="63"/>
      <c r="AO144" s="127"/>
    </row>
    <row r="145" spans="1:41" s="83" customFormat="1">
      <c r="A145" s="63">
        <f>IFERROR(VLOOKUP(Table6[[#This Row],[Player No]],Table10[[#All],[No]:[Age Group]],4,0),"")</f>
        <v>0</v>
      </c>
      <c r="B145" s="264">
        <v>190</v>
      </c>
      <c r="C145" s="77">
        <f t="shared" si="19"/>
        <v>49</v>
      </c>
      <c r="D145" s="63">
        <f t="shared" si="18"/>
        <v>141</v>
      </c>
      <c r="E145" s="63">
        <v>3958</v>
      </c>
      <c r="F145" s="64" t="str">
        <f>IFERROR(VLOOKUP(Table6[[#This Row],[Player No]],Table10[[No]:[Province]],2,0),"")</f>
        <v>JOUBERT Reynaldo</v>
      </c>
      <c r="G145" s="65" t="str">
        <f>IFERROR(VLOOKUP(Table6[[#This Row],[Player No]],Table10[[No]:[Province]],3,0),"")</f>
        <v>Eden</v>
      </c>
      <c r="H145" s="66">
        <v>15</v>
      </c>
      <c r="I145" s="644">
        <v>12</v>
      </c>
      <c r="J145" s="819">
        <f>Table6[[#This Row],[Points 2025]]/2+SUM(Table6[[#This Row],[O1  ADMIN 2026]:[P2                           CT Open    2026]])</f>
        <v>6</v>
      </c>
      <c r="K145" s="63">
        <f t="shared" si="17"/>
        <v>0</v>
      </c>
      <c r="L145" s="63">
        <f t="shared" si="16"/>
        <v>0</v>
      </c>
      <c r="M145" s="708"/>
      <c r="N145" s="708" t="s">
        <v>6083</v>
      </c>
      <c r="O145" s="708" t="s">
        <v>6083</v>
      </c>
      <c r="P145" s="708"/>
      <c r="Q145" s="63"/>
      <c r="R145" s="63"/>
      <c r="S145" s="114"/>
      <c r="T145" s="114"/>
      <c r="U145" s="63"/>
      <c r="V145" s="114"/>
      <c r="W145" s="63"/>
      <c r="X145" s="708"/>
      <c r="Y145" s="63"/>
      <c r="Z145" s="636">
        <v>5</v>
      </c>
      <c r="AA145" s="63"/>
      <c r="AB145" s="400"/>
      <c r="AC145" s="63"/>
      <c r="AD145" s="114"/>
      <c r="AE145" s="63"/>
      <c r="AF145" s="63"/>
      <c r="AG145" s="63"/>
      <c r="AH145" s="63"/>
      <c r="AI145" s="63">
        <v>15</v>
      </c>
      <c r="AJ145" s="63"/>
      <c r="AK145" s="63"/>
      <c r="AL145" s="63"/>
      <c r="AM145" s="63"/>
      <c r="AN145" s="63"/>
      <c r="AO145" s="127"/>
    </row>
    <row r="146" spans="1:41" s="83" customFormat="1">
      <c r="A146" s="164"/>
      <c r="B146" s="265"/>
      <c r="C146" s="160">
        <f t="shared" si="19"/>
        <v>-142</v>
      </c>
      <c r="D146" s="63">
        <f t="shared" si="18"/>
        <v>142</v>
      </c>
      <c r="E146" s="161">
        <v>4379</v>
      </c>
      <c r="F146" s="64" t="str">
        <f>IFERROR(VLOOKUP(Table6[[#This Row],[Player No]],Table10[[No]:[Province]],2,0),"")</f>
        <v>MOODLEY Yadarshan</v>
      </c>
      <c r="G146" s="65" t="str">
        <f>IFERROR(VLOOKUP(Table6[[#This Row],[Player No]],Table10[[No]:[Province]],3,0),"")</f>
        <v>UMG</v>
      </c>
      <c r="H146" s="66">
        <v>0.25</v>
      </c>
      <c r="I146" s="644">
        <v>11</v>
      </c>
      <c r="J146" s="819">
        <f>Table6[[#This Row],[Points 2025]]/2+SUM(Table6[[#This Row],[O1  ADMIN 2026]:[P2                           CT Open    2026]])</f>
        <v>5.5</v>
      </c>
      <c r="K146" s="63">
        <f t="shared" si="17"/>
        <v>0</v>
      </c>
      <c r="L146" s="63">
        <f t="shared" si="16"/>
        <v>0</v>
      </c>
      <c r="M146" s="708"/>
      <c r="N146" s="708" t="s">
        <v>6083</v>
      </c>
      <c r="O146" s="708" t="s">
        <v>6083</v>
      </c>
      <c r="P146" s="708"/>
      <c r="Q146" s="157">
        <v>2</v>
      </c>
      <c r="R146" s="157">
        <v>10</v>
      </c>
      <c r="S146" s="165"/>
      <c r="T146" s="165"/>
      <c r="U146" s="157"/>
      <c r="V146" s="165"/>
      <c r="W146" s="157"/>
      <c r="X146" s="712"/>
      <c r="Y146" s="157"/>
      <c r="Z146" s="700"/>
      <c r="AA146" s="157"/>
      <c r="AB146" s="444"/>
      <c r="AC146" s="157"/>
      <c r="AD146" s="165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610"/>
    </row>
    <row r="147" spans="1:41" s="83" customFormat="1">
      <c r="A147" s="175"/>
      <c r="B147" s="267"/>
      <c r="C147" s="77" t="e">
        <v>#VALUE!</v>
      </c>
      <c r="D147" s="63">
        <f t="shared" si="18"/>
        <v>143</v>
      </c>
      <c r="E147" s="63">
        <v>4404</v>
      </c>
      <c r="F147" s="64" t="str">
        <f>IFERROR(VLOOKUP(Table6[[#This Row],[Player No]],Table10[[No]:[Province]],2,0),"")</f>
        <v>BOOYENS Ewan</v>
      </c>
      <c r="G147" s="65" t="str">
        <f>IFERROR(VLOOKUP(Table6[[#This Row],[Player No]],Table10[[No]:[Province]],3,0),"")</f>
        <v>GN</v>
      </c>
      <c r="H147" s="86">
        <v>0</v>
      </c>
      <c r="I147" s="644">
        <v>11</v>
      </c>
      <c r="J147" s="819">
        <f>Table6[[#This Row],[Points 2025]]/2+SUM(Table6[[#This Row],[O1  ADMIN 2026]:[P2                           CT Open    2026]])</f>
        <v>5.5</v>
      </c>
      <c r="K147" s="63">
        <f t="shared" si="17"/>
        <v>0</v>
      </c>
      <c r="L147" s="63">
        <f t="shared" si="16"/>
        <v>0</v>
      </c>
      <c r="M147" s="708"/>
      <c r="N147" s="708" t="s">
        <v>6083</v>
      </c>
      <c r="O147" s="708" t="s">
        <v>6083</v>
      </c>
      <c r="P147" s="708"/>
      <c r="Q147" s="63"/>
      <c r="R147" s="63"/>
      <c r="S147" s="114"/>
      <c r="T147" s="114"/>
      <c r="U147" s="63"/>
      <c r="V147" s="114"/>
      <c r="W147" s="63"/>
      <c r="X147" s="708"/>
      <c r="Y147" s="63"/>
      <c r="Z147" s="636">
        <v>10</v>
      </c>
      <c r="AA147" s="63"/>
      <c r="AB147" s="400">
        <v>1</v>
      </c>
      <c r="AC147" s="63">
        <v>1</v>
      </c>
      <c r="AD147" s="114"/>
      <c r="AE147" s="63"/>
      <c r="AF147" s="63"/>
      <c r="AG147" s="63"/>
      <c r="AH147" s="63"/>
      <c r="AI147" s="92"/>
      <c r="AJ147" s="92"/>
      <c r="AK147" s="92"/>
      <c r="AL147" s="92"/>
      <c r="AM147" s="92"/>
      <c r="AN147" s="92"/>
      <c r="AO147" s="707"/>
    </row>
    <row r="148" spans="1:41" s="83" customFormat="1">
      <c r="A148" s="138"/>
      <c r="B148" s="264"/>
      <c r="C148" s="77">
        <f t="shared" ref="C148:C161" si="20">+B148-D148</f>
        <v>-144</v>
      </c>
      <c r="D148" s="63">
        <f t="shared" si="18"/>
        <v>144</v>
      </c>
      <c r="E148" s="40">
        <v>4226</v>
      </c>
      <c r="F148" s="64" t="str">
        <f>IFERROR(VLOOKUP(Table6[[#This Row],[Player No]],Table10[[No]:[Province]],2,0),"")</f>
        <v>Liam van Kralingen</v>
      </c>
      <c r="G148" s="65" t="str">
        <f>IFERROR(VLOOKUP(Table6[[#This Row],[Player No]],Table10[[No]:[Province]],3,0),"")</f>
        <v>UMG</v>
      </c>
      <c r="H148" s="66">
        <v>0</v>
      </c>
      <c r="I148" s="644">
        <v>10</v>
      </c>
      <c r="J148" s="819">
        <f>Table6[[#This Row],[Points 2025]]/2+SUM(Table6[[#This Row],[O1  ADMIN 2026]:[P2                           CT Open    2026]])</f>
        <v>5</v>
      </c>
      <c r="K148" s="63">
        <f t="shared" si="17"/>
        <v>0</v>
      </c>
      <c r="L148" s="63">
        <f t="shared" si="16"/>
        <v>0</v>
      </c>
      <c r="M148" s="708"/>
      <c r="N148" s="708" t="s">
        <v>6083</v>
      </c>
      <c r="O148" s="708" t="s">
        <v>6083</v>
      </c>
      <c r="P148" s="708"/>
      <c r="Q148" s="63"/>
      <c r="R148" s="63">
        <v>1</v>
      </c>
      <c r="S148" s="114"/>
      <c r="T148" s="114"/>
      <c r="U148" s="63">
        <v>10</v>
      </c>
      <c r="V148" s="114"/>
      <c r="W148" s="63"/>
      <c r="X148" s="708"/>
      <c r="Y148" s="63"/>
      <c r="Z148" s="636"/>
      <c r="AA148" s="63"/>
      <c r="AB148" s="400"/>
      <c r="AC148" s="63"/>
      <c r="AD148" s="114"/>
      <c r="AE148" s="63"/>
      <c r="AF148" s="63"/>
      <c r="AG148" s="63"/>
      <c r="AH148" s="63"/>
      <c r="AI148" s="63"/>
      <c r="AJ148" s="63">
        <v>5</v>
      </c>
      <c r="AK148" s="63"/>
      <c r="AL148" s="63"/>
      <c r="AM148" s="63"/>
      <c r="AN148" s="63"/>
      <c r="AO148" s="127"/>
    </row>
    <row r="149" spans="1:41" s="83" customFormat="1">
      <c r="A149" s="63">
        <f>IFERROR(VLOOKUP(Table6[[#This Row],[Player No]],Table10[[#All],[No]:[Age Group]],4,0),"")</f>
        <v>0</v>
      </c>
      <c r="B149" s="264">
        <v>51</v>
      </c>
      <c r="C149" s="77">
        <f t="shared" si="20"/>
        <v>-94</v>
      </c>
      <c r="D149" s="63">
        <f t="shared" si="18"/>
        <v>145</v>
      </c>
      <c r="E149" s="63">
        <v>3384</v>
      </c>
      <c r="F149" s="64" t="str">
        <f>IFERROR(VLOOKUP(Table6[[#This Row],[Player No]],Table10[[No]:[Province]],2,0),"")</f>
        <v>SITHOLE Siphelele</v>
      </c>
      <c r="G149" s="65" t="str">
        <f>IFERROR(VLOOKUP(Table6[[#This Row],[Player No]],Table10[[No]:[Province]],3,0),"")</f>
        <v>ETTA</v>
      </c>
      <c r="H149" s="66">
        <v>20</v>
      </c>
      <c r="I149" s="644">
        <v>10</v>
      </c>
      <c r="J149" s="819">
        <f>Table6[[#This Row],[Points 2025]]/2+SUM(Table6[[#This Row],[O1  ADMIN 2026]:[P2                           CT Open    2026]])</f>
        <v>5</v>
      </c>
      <c r="K149" s="63">
        <f t="shared" si="17"/>
        <v>0</v>
      </c>
      <c r="L149" s="63">
        <f t="shared" si="16"/>
        <v>0</v>
      </c>
      <c r="M149" s="708"/>
      <c r="N149" s="708" t="s">
        <v>6083</v>
      </c>
      <c r="O149" s="708" t="s">
        <v>6083</v>
      </c>
      <c r="P149" s="708"/>
      <c r="Q149" s="63"/>
      <c r="R149" s="63"/>
      <c r="S149" s="114"/>
      <c r="T149" s="114"/>
      <c r="U149" s="63"/>
      <c r="V149" s="114"/>
      <c r="W149" s="63"/>
      <c r="X149" s="708"/>
      <c r="Y149" s="63"/>
      <c r="Z149" s="636"/>
      <c r="AA149" s="63"/>
      <c r="AB149" s="400"/>
      <c r="AC149" s="63"/>
      <c r="AD149" s="114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127"/>
    </row>
    <row r="150" spans="1:41" s="83" customFormat="1">
      <c r="A150" s="63">
        <f>IFERROR(VLOOKUP(Table6[[#This Row],[Player No]],Table10[[#All],[No]:[Age Group]],4,0),"")</f>
        <v>0</v>
      </c>
      <c r="B150" s="264">
        <v>61</v>
      </c>
      <c r="C150" s="77">
        <f t="shared" si="20"/>
        <v>-85</v>
      </c>
      <c r="D150" s="63">
        <f t="shared" si="18"/>
        <v>146</v>
      </c>
      <c r="E150" s="63">
        <v>3580</v>
      </c>
      <c r="F150" s="64" t="str">
        <f>IFERROR(VLOOKUP(Table6[[#This Row],[Player No]],Table10[[No]:[Province]],2,0),"")</f>
        <v>GRABE Victor</v>
      </c>
      <c r="G150" s="65" t="str">
        <f>IFERROR(VLOOKUP(Table6[[#This Row],[Player No]],Table10[[No]:[Province]],3,0),"")</f>
        <v>CT</v>
      </c>
      <c r="H150" s="66">
        <v>20</v>
      </c>
      <c r="I150" s="644">
        <v>10</v>
      </c>
      <c r="J150" s="819">
        <f>Table6[[#This Row],[Points 2025]]/2+SUM(Table6[[#This Row],[O1  ADMIN 2026]:[P2                           CT Open    2026]])</f>
        <v>5</v>
      </c>
      <c r="K150" s="63">
        <f t="shared" si="17"/>
        <v>0</v>
      </c>
      <c r="L150" s="63">
        <f t="shared" si="16"/>
        <v>0</v>
      </c>
      <c r="M150" s="708"/>
      <c r="N150" s="708" t="s">
        <v>6083</v>
      </c>
      <c r="O150" s="708" t="s">
        <v>6083</v>
      </c>
      <c r="P150" s="708"/>
      <c r="Q150" s="63"/>
      <c r="R150" s="63"/>
      <c r="S150" s="114"/>
      <c r="T150" s="114"/>
      <c r="U150" s="63"/>
      <c r="V150" s="114"/>
      <c r="W150" s="63"/>
      <c r="X150" s="708"/>
      <c r="Y150" s="63"/>
      <c r="Z150" s="636"/>
      <c r="AA150" s="63"/>
      <c r="AB150" s="400"/>
      <c r="AC150" s="63"/>
      <c r="AD150" s="114"/>
      <c r="AE150" s="63"/>
      <c r="AF150" s="63"/>
      <c r="AG150" s="63"/>
      <c r="AH150" s="63">
        <v>5</v>
      </c>
      <c r="AI150" s="63"/>
      <c r="AJ150" s="63"/>
      <c r="AK150" s="63"/>
      <c r="AL150" s="63"/>
      <c r="AM150" s="63"/>
      <c r="AN150" s="63"/>
      <c r="AO150" s="127"/>
    </row>
    <row r="151" spans="1:41" s="83" customFormat="1">
      <c r="A151" s="614"/>
      <c r="B151" s="732"/>
      <c r="C151" s="618">
        <f t="shared" si="20"/>
        <v>-147</v>
      </c>
      <c r="D151" s="63">
        <f t="shared" si="18"/>
        <v>147</v>
      </c>
      <c r="E151" s="620">
        <v>3421</v>
      </c>
      <c r="F151" s="64" t="str">
        <f>IFERROR(VLOOKUP(Table6[[#This Row],[Player No]],Table10[[No]:[Province]],2,0),"")</f>
        <v>ONKARABETSE Sam</v>
      </c>
      <c r="G151" s="65" t="str">
        <f>IFERROR(VLOOKUP(Table6[[#This Row],[Player No]],Table10[[No]:[Province]],3,0),"")</f>
        <v>NWP</v>
      </c>
      <c r="H151" s="626">
        <v>0</v>
      </c>
      <c r="I151" s="644">
        <v>10</v>
      </c>
      <c r="J151" s="819">
        <f>Table6[[#This Row],[Points 2025]]/2+SUM(Table6[[#This Row],[O1  ADMIN 2026]:[P2                           CT Open    2026]])</f>
        <v>5</v>
      </c>
      <c r="K151" s="63">
        <f t="shared" si="17"/>
        <v>0</v>
      </c>
      <c r="L151" s="63">
        <f t="shared" si="16"/>
        <v>0</v>
      </c>
      <c r="M151" s="708"/>
      <c r="N151" s="781" t="s">
        <v>6083</v>
      </c>
      <c r="O151" s="781" t="s">
        <v>6083</v>
      </c>
      <c r="P151" s="781"/>
      <c r="Q151" s="624"/>
      <c r="R151" s="624"/>
      <c r="S151" s="625"/>
      <c r="T151" s="625"/>
      <c r="U151" s="624"/>
      <c r="V151" s="625"/>
      <c r="W151" s="624"/>
      <c r="X151" s="709"/>
      <c r="Y151" s="624"/>
      <c r="Z151" s="677">
        <v>10</v>
      </c>
      <c r="AA151" s="624"/>
      <c r="AB151" s="611"/>
      <c r="AC151" s="624"/>
      <c r="AD151" s="625"/>
      <c r="AE151" s="624"/>
      <c r="AF151" s="624"/>
      <c r="AG151" s="624"/>
      <c r="AH151" s="624"/>
      <c r="AI151" s="624"/>
      <c r="AJ151" s="624"/>
      <c r="AK151" s="624"/>
      <c r="AL151" s="624"/>
      <c r="AM151" s="624"/>
      <c r="AN151" s="624"/>
      <c r="AO151" s="630"/>
    </row>
    <row r="152" spans="1:41" s="83" customFormat="1">
      <c r="A152" s="614"/>
      <c r="B152" s="732"/>
      <c r="C152" s="618">
        <f t="shared" si="20"/>
        <v>-148</v>
      </c>
      <c r="D152" s="63">
        <f t="shared" si="18"/>
        <v>148</v>
      </c>
      <c r="E152" s="620">
        <v>3994</v>
      </c>
      <c r="F152" s="64" t="str">
        <f>IFERROR(VLOOKUP(Table6[[#This Row],[Player No]],Table10[[No]:[Province]],2,0),"")</f>
        <v>MATETA Thomas</v>
      </c>
      <c r="G152" s="65" t="str">
        <f>IFERROR(VLOOKUP(Table6[[#This Row],[Player No]],Table10[[No]:[Province]],3,0),"")</f>
        <v>LIM</v>
      </c>
      <c r="H152" s="626">
        <v>0</v>
      </c>
      <c r="I152" s="644">
        <v>10</v>
      </c>
      <c r="J152" s="819">
        <f>Table6[[#This Row],[Points 2025]]/2+SUM(Table6[[#This Row],[O1  ADMIN 2026]:[P2                           CT Open    2026]])</f>
        <v>5</v>
      </c>
      <c r="K152" s="63">
        <f t="shared" si="17"/>
        <v>0</v>
      </c>
      <c r="L152" s="63">
        <f t="shared" si="16"/>
        <v>0</v>
      </c>
      <c r="M152" s="708"/>
      <c r="N152" s="781" t="s">
        <v>6083</v>
      </c>
      <c r="O152" s="781" t="s">
        <v>6083</v>
      </c>
      <c r="P152" s="781"/>
      <c r="Q152" s="624"/>
      <c r="R152" s="624"/>
      <c r="S152" s="625"/>
      <c r="T152" s="625"/>
      <c r="U152" s="624"/>
      <c r="V152" s="625"/>
      <c r="W152" s="624"/>
      <c r="X152" s="709"/>
      <c r="Y152" s="624"/>
      <c r="Z152" s="677">
        <v>10</v>
      </c>
      <c r="AA152" s="624"/>
      <c r="AB152" s="611"/>
      <c r="AC152" s="624"/>
      <c r="AD152" s="625"/>
      <c r="AE152" s="624"/>
      <c r="AF152" s="624"/>
      <c r="AG152" s="624"/>
      <c r="AH152" s="624"/>
      <c r="AI152" s="624"/>
      <c r="AJ152" s="624"/>
      <c r="AK152" s="624"/>
      <c r="AL152" s="624"/>
      <c r="AM152" s="624"/>
      <c r="AN152" s="624"/>
      <c r="AO152" s="630"/>
    </row>
    <row r="153" spans="1:41" s="83" customFormat="1">
      <c r="A153" s="614"/>
      <c r="B153" s="732"/>
      <c r="C153" s="618">
        <f t="shared" si="20"/>
        <v>-149</v>
      </c>
      <c r="D153" s="63">
        <f t="shared" si="18"/>
        <v>149</v>
      </c>
      <c r="E153" s="620">
        <v>4597</v>
      </c>
      <c r="F153" s="64" t="str">
        <f>IFERROR(VLOOKUP(Table6[[#This Row],[Player No]],Table10[[No]:[Province]],2,0),"")</f>
        <v xml:space="preserve">PLASH Plan </v>
      </c>
      <c r="G153" s="65" t="str">
        <f>IFERROR(VLOOKUP(Table6[[#This Row],[Player No]],Table10[[No]:[Province]],3,0),"")</f>
        <v>ZIM</v>
      </c>
      <c r="H153" s="626">
        <v>0</v>
      </c>
      <c r="I153" s="644">
        <v>10</v>
      </c>
      <c r="J153" s="819">
        <f>Table6[[#This Row],[Points 2025]]/2+SUM(Table6[[#This Row],[O1  ADMIN 2026]:[P2                           CT Open    2026]])</f>
        <v>5</v>
      </c>
      <c r="K153" s="63">
        <f t="shared" si="17"/>
        <v>0</v>
      </c>
      <c r="L153" s="63">
        <f t="shared" si="16"/>
        <v>0</v>
      </c>
      <c r="M153" s="708"/>
      <c r="N153" s="781" t="s">
        <v>6083</v>
      </c>
      <c r="O153" s="781" t="s">
        <v>6083</v>
      </c>
      <c r="P153" s="781"/>
      <c r="Q153" s="624"/>
      <c r="R153" s="624"/>
      <c r="S153" s="625"/>
      <c r="T153" s="625"/>
      <c r="U153" s="624"/>
      <c r="V153" s="625"/>
      <c r="W153" s="624"/>
      <c r="X153" s="709"/>
      <c r="Y153" s="624"/>
      <c r="Z153" s="677">
        <v>10</v>
      </c>
      <c r="AA153" s="624"/>
      <c r="AB153" s="611"/>
      <c r="AC153" s="624"/>
      <c r="AD153" s="625"/>
      <c r="AE153" s="624"/>
      <c r="AF153" s="624"/>
      <c r="AG153" s="624"/>
      <c r="AH153" s="624"/>
      <c r="AI153" s="624"/>
      <c r="AJ153" s="624"/>
      <c r="AK153" s="624"/>
      <c r="AL153" s="624"/>
      <c r="AM153" s="624"/>
      <c r="AN153" s="624"/>
      <c r="AO153" s="630"/>
    </row>
    <row r="154" spans="1:41" s="83" customFormat="1">
      <c r="A154" s="614"/>
      <c r="B154" s="732"/>
      <c r="C154" s="618">
        <f t="shared" si="20"/>
        <v>-150</v>
      </c>
      <c r="D154" s="63">
        <f t="shared" si="18"/>
        <v>150</v>
      </c>
      <c r="E154" s="620">
        <v>4676</v>
      </c>
      <c r="F154" s="64" t="str">
        <f>IFERROR(VLOOKUP(Table6[[#This Row],[Player No]],Table10[[No]:[Province]],2,0),"")</f>
        <v>Nathan MCKENZIE</v>
      </c>
      <c r="G154" s="65" t="str">
        <f>IFERROR(VLOOKUP(Table6[[#This Row],[Player No]],Table10[[No]:[Province]],3,0),"")</f>
        <v>GN</v>
      </c>
      <c r="H154" s="626">
        <v>0</v>
      </c>
      <c r="I154" s="644">
        <v>10</v>
      </c>
      <c r="J154" s="819">
        <f>Table6[[#This Row],[Points 2025]]/2+SUM(Table6[[#This Row],[O1  ADMIN 2026]:[P2                           CT Open    2026]])</f>
        <v>5</v>
      </c>
      <c r="K154" s="63">
        <f t="shared" si="17"/>
        <v>0</v>
      </c>
      <c r="L154" s="63">
        <f t="shared" si="16"/>
        <v>0</v>
      </c>
      <c r="M154" s="708"/>
      <c r="N154" s="781" t="s">
        <v>6083</v>
      </c>
      <c r="O154" s="781" t="s">
        <v>6083</v>
      </c>
      <c r="P154" s="781"/>
      <c r="Q154" s="624"/>
      <c r="R154" s="624"/>
      <c r="S154" s="625"/>
      <c r="T154" s="625"/>
      <c r="U154" s="624"/>
      <c r="V154" s="625"/>
      <c r="W154" s="624"/>
      <c r="X154" s="709"/>
      <c r="Y154" s="624"/>
      <c r="Z154" s="677">
        <v>10</v>
      </c>
      <c r="AA154" s="624"/>
      <c r="AB154" s="611"/>
      <c r="AC154" s="624"/>
      <c r="AD154" s="625"/>
      <c r="AE154" s="624"/>
      <c r="AF154" s="624"/>
      <c r="AG154" s="624"/>
      <c r="AH154" s="624"/>
      <c r="AI154" s="624"/>
      <c r="AJ154" s="624"/>
      <c r="AK154" s="624"/>
      <c r="AL154" s="624"/>
      <c r="AM154" s="624"/>
      <c r="AN154" s="624"/>
      <c r="AO154" s="630"/>
    </row>
    <row r="155" spans="1:41" s="83" customFormat="1">
      <c r="A155" s="138"/>
      <c r="B155" s="264"/>
      <c r="C155" s="77">
        <f t="shared" si="20"/>
        <v>-151</v>
      </c>
      <c r="D155" s="63">
        <f t="shared" si="18"/>
        <v>151</v>
      </c>
      <c r="E155" s="154">
        <v>4006</v>
      </c>
      <c r="F155" s="64" t="str">
        <f>IFERROR(VLOOKUP(Table6[[#This Row],[Player No]],Table10[[No]:[Province]],2,0),"")</f>
        <v>MARAIS Barry</v>
      </c>
      <c r="G155" s="65" t="str">
        <f>IFERROR(VLOOKUP(Table6[[#This Row],[Player No]],Table10[[No]:[Province]],3,0),"")</f>
        <v>GN</v>
      </c>
      <c r="H155" s="66">
        <v>0</v>
      </c>
      <c r="I155" s="644">
        <v>9.375</v>
      </c>
      <c r="J155" s="819">
        <f>Table6[[#This Row],[Points 2025]]/2+SUM(Table6[[#This Row],[O1  ADMIN 2026]:[P2                           CT Open    2026]])</f>
        <v>4.6875</v>
      </c>
      <c r="K155" s="63">
        <f t="shared" si="17"/>
        <v>0</v>
      </c>
      <c r="L155" s="63">
        <f t="shared" si="16"/>
        <v>0</v>
      </c>
      <c r="M155" s="708"/>
      <c r="N155" s="708" t="s">
        <v>6083</v>
      </c>
      <c r="O155" s="708" t="s">
        <v>6083</v>
      </c>
      <c r="P155" s="708"/>
      <c r="Q155" s="63"/>
      <c r="R155" s="63"/>
      <c r="S155" s="114"/>
      <c r="T155" s="114"/>
      <c r="U155" s="63"/>
      <c r="V155" s="114"/>
      <c r="W155" s="63"/>
      <c r="X155" s="708"/>
      <c r="Y155" s="63"/>
      <c r="Z155" s="636"/>
      <c r="AA155" s="63">
        <v>10</v>
      </c>
      <c r="AB155" s="400"/>
      <c r="AC155" s="63"/>
      <c r="AD155" s="114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127"/>
    </row>
    <row r="156" spans="1:41" s="83" customFormat="1">
      <c r="A156" s="138"/>
      <c r="B156" s="264"/>
      <c r="C156" s="77">
        <f t="shared" si="20"/>
        <v>-152</v>
      </c>
      <c r="D156" s="63">
        <f t="shared" si="18"/>
        <v>152</v>
      </c>
      <c r="E156" s="154">
        <v>4413</v>
      </c>
      <c r="F156" s="64" t="str">
        <f>IFERROR(VLOOKUP(Table6[[#This Row],[Player No]],Table10[[No]:[Province]],2,0),"")</f>
        <v xml:space="preserve">PETOVSKY Pavol Usman </v>
      </c>
      <c r="G156" s="65" t="str">
        <f>IFERROR(VLOOKUP(Table6[[#This Row],[Player No]],Table10[[No]:[Province]],3,0),"")</f>
        <v>JTTA</v>
      </c>
      <c r="H156" s="66">
        <v>0</v>
      </c>
      <c r="I156" s="644">
        <v>8.75</v>
      </c>
      <c r="J156" s="819">
        <f>Table6[[#This Row],[Points 2025]]/2+SUM(Table6[[#This Row],[O1  ADMIN 2026]:[P2                           CT Open    2026]])</f>
        <v>4.375</v>
      </c>
      <c r="K156" s="63">
        <f t="shared" si="17"/>
        <v>0</v>
      </c>
      <c r="L156" s="63">
        <f t="shared" si="16"/>
        <v>0</v>
      </c>
      <c r="M156" s="708"/>
      <c r="N156" s="708" t="s">
        <v>6083</v>
      </c>
      <c r="O156" s="708" t="s">
        <v>6083</v>
      </c>
      <c r="P156" s="708"/>
      <c r="Q156" s="63"/>
      <c r="R156" s="63"/>
      <c r="S156" s="114"/>
      <c r="T156" s="114"/>
      <c r="U156" s="63"/>
      <c r="V156" s="114"/>
      <c r="W156" s="63"/>
      <c r="X156" s="708"/>
      <c r="Y156" s="63"/>
      <c r="Z156" s="636"/>
      <c r="AA156" s="63">
        <v>10</v>
      </c>
      <c r="AB156" s="400"/>
      <c r="AC156" s="63"/>
      <c r="AD156" s="114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127"/>
    </row>
    <row r="157" spans="1:41" s="83" customFormat="1">
      <c r="A157" s="63">
        <f>IFERROR(VLOOKUP(Table6[[#This Row],[Player No]],Table10[[#All],[No]:[Age Group]],4,0),"")</f>
        <v>0</v>
      </c>
      <c r="B157" s="264">
        <v>52</v>
      </c>
      <c r="C157" s="77">
        <f t="shared" si="20"/>
        <v>-101</v>
      </c>
      <c r="D157" s="63">
        <f t="shared" si="18"/>
        <v>153</v>
      </c>
      <c r="E157" s="63">
        <v>2544</v>
      </c>
      <c r="F157" s="64" t="str">
        <f>IFERROR(VLOOKUP(Table6[[#This Row],[Player No]],Table10[[No]:[Province]],2,0),"")</f>
        <v>SMITH Elgin</v>
      </c>
      <c r="G157" s="65" t="str">
        <f>IFERROR(VLOOKUP(Table6[[#This Row],[Player No]],Table10[[No]:[Province]],3,0),"")</f>
        <v>EC</v>
      </c>
      <c r="H157" s="66">
        <v>18.75</v>
      </c>
      <c r="I157" s="644">
        <v>8.75</v>
      </c>
      <c r="J157" s="819">
        <f>Table6[[#This Row],[Points 2025]]/2+SUM(Table6[[#This Row],[O1  ADMIN 2026]:[P2                           CT Open    2026]])</f>
        <v>4.375</v>
      </c>
      <c r="K157" s="63">
        <f t="shared" si="17"/>
        <v>0</v>
      </c>
      <c r="L157" s="63">
        <f t="shared" si="16"/>
        <v>0</v>
      </c>
      <c r="M157" s="708"/>
      <c r="N157" s="708" t="s">
        <v>6083</v>
      </c>
      <c r="O157" s="708" t="s">
        <v>6083</v>
      </c>
      <c r="P157" s="708"/>
      <c r="Q157" s="63"/>
      <c r="R157" s="63"/>
      <c r="S157" s="114"/>
      <c r="T157" s="114"/>
      <c r="U157" s="63"/>
      <c r="V157" s="114"/>
      <c r="W157" s="63"/>
      <c r="X157" s="708"/>
      <c r="Y157" s="63"/>
      <c r="Z157" s="636"/>
      <c r="AA157" s="63"/>
      <c r="AB157" s="400"/>
      <c r="AC157" s="63"/>
      <c r="AD157" s="114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127"/>
    </row>
    <row r="158" spans="1:41" s="83" customFormat="1">
      <c r="A158" s="63">
        <f>IFERROR(VLOOKUP(Table6[[#This Row],[Player No]],Table10[[#All],[No]:[Age Group]],4,0),"")</f>
        <v>0</v>
      </c>
      <c r="B158" s="264">
        <v>55</v>
      </c>
      <c r="C158" s="77">
        <f t="shared" si="20"/>
        <v>-99</v>
      </c>
      <c r="D158" s="63">
        <f t="shared" si="18"/>
        <v>154</v>
      </c>
      <c r="E158" s="63">
        <v>1597</v>
      </c>
      <c r="F158" s="64" t="str">
        <f>IFERROR(VLOOKUP(Table6[[#This Row],[Player No]],Table10[[No]:[Province]],2,0),"")</f>
        <v>MAFOO Leon</v>
      </c>
      <c r="G158" s="65" t="str">
        <f>IFERROR(VLOOKUP(Table6[[#This Row],[Player No]],Table10[[No]:[Province]],3,0),"")</f>
        <v>LIM</v>
      </c>
      <c r="H158" s="66">
        <v>17.5</v>
      </c>
      <c r="I158" s="644">
        <v>8</v>
      </c>
      <c r="J158" s="819">
        <f>Table6[[#This Row],[Points 2025]]/2+SUM(Table6[[#This Row],[O1  ADMIN 2026]:[P2                           CT Open    2026]])</f>
        <v>4</v>
      </c>
      <c r="K158" s="63">
        <f t="shared" si="17"/>
        <v>0</v>
      </c>
      <c r="L158" s="63">
        <f t="shared" si="16"/>
        <v>0</v>
      </c>
      <c r="M158" s="708"/>
      <c r="N158" s="708" t="s">
        <v>6083</v>
      </c>
      <c r="O158" s="708" t="s">
        <v>6083</v>
      </c>
      <c r="P158" s="708"/>
      <c r="Q158" s="63"/>
      <c r="R158" s="63"/>
      <c r="S158" s="114"/>
      <c r="T158" s="114"/>
      <c r="U158" s="63"/>
      <c r="V158" s="114"/>
      <c r="W158" s="63"/>
      <c r="X158" s="708"/>
      <c r="Y158" s="63"/>
      <c r="Z158" s="636"/>
      <c r="AA158" s="63"/>
      <c r="AB158" s="400"/>
      <c r="AC158" s="63"/>
      <c r="AD158" s="114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127"/>
    </row>
    <row r="159" spans="1:41" s="83" customFormat="1">
      <c r="A159" s="63">
        <f>IFERROR(VLOOKUP(Table6[[#This Row],[Player No]],Table10[[#All],[No]:[Age Group]],4,0),"")</f>
        <v>0</v>
      </c>
      <c r="B159" s="264">
        <v>54</v>
      </c>
      <c r="C159" s="77">
        <f t="shared" si="20"/>
        <v>-101</v>
      </c>
      <c r="D159" s="63">
        <f t="shared" si="18"/>
        <v>155</v>
      </c>
      <c r="E159" s="63">
        <v>3508</v>
      </c>
      <c r="F159" s="64" t="str">
        <f>IFERROR(VLOOKUP(Table6[[#This Row],[Player No]],Table10[[No]:[Province]],2,0),"")</f>
        <v>BATYO Nhlaknipho</v>
      </c>
      <c r="G159" s="65" t="str">
        <f>IFERROR(VLOOKUP(Table6[[#This Row],[Player No]],Table10[[No]:[Province]],3,0),"")</f>
        <v>ETTA</v>
      </c>
      <c r="H159" s="66">
        <v>17.5</v>
      </c>
      <c r="I159" s="644">
        <v>7.75</v>
      </c>
      <c r="J159" s="819">
        <f>Table6[[#This Row],[Points 2025]]/2+SUM(Table6[[#This Row],[O1  ADMIN 2026]:[P2                           CT Open    2026]])</f>
        <v>3.875</v>
      </c>
      <c r="K159" s="63">
        <f t="shared" si="17"/>
        <v>0</v>
      </c>
      <c r="L159" s="63">
        <f t="shared" si="16"/>
        <v>0</v>
      </c>
      <c r="M159" s="708"/>
      <c r="N159" s="708" t="s">
        <v>6083</v>
      </c>
      <c r="O159" s="708" t="s">
        <v>6083</v>
      </c>
      <c r="P159" s="708"/>
      <c r="Q159" s="63"/>
      <c r="R159" s="63"/>
      <c r="S159" s="114"/>
      <c r="T159" s="114"/>
      <c r="U159" s="63"/>
      <c r="V159" s="114"/>
      <c r="W159" s="63"/>
      <c r="X159" s="708"/>
      <c r="Y159" s="63"/>
      <c r="Z159" s="636"/>
      <c r="AA159" s="63"/>
      <c r="AB159" s="400"/>
      <c r="AC159" s="63"/>
      <c r="AD159" s="114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127"/>
    </row>
    <row r="160" spans="1:41" s="83" customFormat="1">
      <c r="A160" s="63">
        <f>IFERROR(VLOOKUP(Table6[[#This Row],[Player No]],Table10[[#All],[No]:[Age Group]],4,0),"")</f>
        <v>0</v>
      </c>
      <c r="B160" s="264">
        <v>140</v>
      </c>
      <c r="C160" s="77">
        <f t="shared" si="20"/>
        <v>-16</v>
      </c>
      <c r="D160" s="63">
        <f t="shared" si="18"/>
        <v>156</v>
      </c>
      <c r="E160" s="63">
        <v>3466</v>
      </c>
      <c r="F160" s="64" t="str">
        <f>IFERROR(VLOOKUP(Table6[[#This Row],[Player No]],Table10[[No]:[Province]],2,0),"")</f>
        <v>MAKKINK Henrico</v>
      </c>
      <c r="G160" s="65" t="str">
        <f>IFERROR(VLOOKUP(Table6[[#This Row],[Player No]],Table10[[No]:[Province]],3,0),"")</f>
        <v>GN</v>
      </c>
      <c r="H160" s="66">
        <v>16</v>
      </c>
      <c r="I160" s="644">
        <v>7.5</v>
      </c>
      <c r="J160" s="819">
        <f>Table6[[#This Row],[Points 2025]]/2+SUM(Table6[[#This Row],[O1  ADMIN 2026]:[P2                           CT Open    2026]])</f>
        <v>3.75</v>
      </c>
      <c r="K160" s="63">
        <f t="shared" si="17"/>
        <v>0</v>
      </c>
      <c r="L160" s="63">
        <f t="shared" ref="L160:L191" si="21">COUNTIF(N160:AO160,"&lt;0")</f>
        <v>0</v>
      </c>
      <c r="M160" s="708"/>
      <c r="N160" s="708" t="s">
        <v>6083</v>
      </c>
      <c r="O160" s="708" t="s">
        <v>6083</v>
      </c>
      <c r="P160" s="708"/>
      <c r="Q160" s="63"/>
      <c r="R160" s="63"/>
      <c r="S160" s="114"/>
      <c r="T160" s="114"/>
      <c r="U160" s="63"/>
      <c r="V160" s="114"/>
      <c r="W160" s="63"/>
      <c r="X160" s="708"/>
      <c r="Y160" s="63"/>
      <c r="Z160" s="636"/>
      <c r="AA160" s="63"/>
      <c r="AB160" s="400"/>
      <c r="AC160" s="63"/>
      <c r="AD160" s="114"/>
      <c r="AE160" s="63"/>
      <c r="AF160" s="63"/>
      <c r="AG160" s="63"/>
      <c r="AH160" s="63"/>
      <c r="AI160" s="63"/>
      <c r="AJ160" s="63"/>
      <c r="AK160" s="63"/>
      <c r="AL160" s="63"/>
      <c r="AM160" s="63">
        <v>15</v>
      </c>
      <c r="AN160" s="63"/>
      <c r="AO160" s="127"/>
    </row>
    <row r="161" spans="1:41" s="83" customFormat="1">
      <c r="A161" s="63">
        <f>IFERROR(VLOOKUP(Table6[[#This Row],[Player No]],Table10[[#All],[No]:[Age Group]],4,0),"")</f>
        <v>0</v>
      </c>
      <c r="B161" s="264">
        <v>60</v>
      </c>
      <c r="C161" s="77">
        <f t="shared" si="20"/>
        <v>-97</v>
      </c>
      <c r="D161" s="63">
        <f t="shared" si="18"/>
        <v>157</v>
      </c>
      <c r="E161" s="63">
        <v>3427</v>
      </c>
      <c r="F161" s="64" t="str">
        <f>IFERROR(VLOOKUP(Table6[[#This Row],[Player No]],Table10[[No]:[Province]],2,0),"")</f>
        <v>REDLINGHUYS Seth</v>
      </c>
      <c r="G161" s="65" t="str">
        <f>IFERROR(VLOOKUP(Table6[[#This Row],[Player No]],Table10[[No]:[Province]],3,0),"")</f>
        <v>UMG</v>
      </c>
      <c r="H161" s="66">
        <v>15.5</v>
      </c>
      <c r="I161" s="644">
        <v>7.5</v>
      </c>
      <c r="J161" s="819">
        <f>Table6[[#This Row],[Points 2025]]/2+SUM(Table6[[#This Row],[O1  ADMIN 2026]:[P2                           CT Open    2026]])</f>
        <v>3.75</v>
      </c>
      <c r="K161" s="63">
        <f t="shared" si="17"/>
        <v>0</v>
      </c>
      <c r="L161" s="63">
        <f t="shared" si="21"/>
        <v>0</v>
      </c>
      <c r="M161" s="708"/>
      <c r="N161" s="708" t="s">
        <v>6083</v>
      </c>
      <c r="O161" s="708" t="s">
        <v>6083</v>
      </c>
      <c r="P161" s="708"/>
      <c r="Q161" s="63"/>
      <c r="R161" s="63"/>
      <c r="S161" s="114"/>
      <c r="T161" s="114"/>
      <c r="U161" s="63"/>
      <c r="V161" s="114"/>
      <c r="W161" s="63"/>
      <c r="X161" s="708"/>
      <c r="Y161" s="63"/>
      <c r="Z161" s="653"/>
      <c r="AA161" s="63"/>
      <c r="AB161" s="400"/>
      <c r="AC161" s="63"/>
      <c r="AD161" s="114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127"/>
    </row>
    <row r="162" spans="1:41" s="83" customFormat="1">
      <c r="A162" s="63">
        <f>IFERROR(VLOOKUP(Table6[[#This Row],[Player No]],Table10[[#All],[No]:[Age Group]],4,0),"")</f>
        <v>0</v>
      </c>
      <c r="B162" s="264">
        <v>63</v>
      </c>
      <c r="C162" s="77"/>
      <c r="D162" s="63">
        <f t="shared" si="18"/>
        <v>158</v>
      </c>
      <c r="E162" s="63">
        <v>3451</v>
      </c>
      <c r="F162" s="64" t="str">
        <f>IFERROR(VLOOKUP(Table6[[#This Row],[Player No]],Table10[[No]:[Province]],2,0),"")</f>
        <v>NTSHONTSO Ongeziwe</v>
      </c>
      <c r="G162" s="65" t="str">
        <f>IFERROR(VLOOKUP(Table6[[#This Row],[Player No]],Table10[[No]:[Province]],3,0),"")</f>
        <v>EC</v>
      </c>
      <c r="H162" s="66">
        <v>15</v>
      </c>
      <c r="I162" s="644">
        <v>7.5</v>
      </c>
      <c r="J162" s="819">
        <f>Table6[[#This Row],[Points 2025]]/2+SUM(Table6[[#This Row],[O1  ADMIN 2026]:[P2                           CT Open    2026]])</f>
        <v>3.75</v>
      </c>
      <c r="K162" s="63">
        <f t="shared" si="17"/>
        <v>0</v>
      </c>
      <c r="L162" s="63">
        <f t="shared" si="21"/>
        <v>0</v>
      </c>
      <c r="M162" s="708"/>
      <c r="N162" s="708" t="s">
        <v>6083</v>
      </c>
      <c r="O162" s="708" t="s">
        <v>6083</v>
      </c>
      <c r="P162" s="708"/>
      <c r="Q162" s="63"/>
      <c r="R162" s="63"/>
      <c r="S162" s="114"/>
      <c r="T162" s="114"/>
      <c r="U162" s="63"/>
      <c r="V162" s="114"/>
      <c r="W162" s="63"/>
      <c r="X162" s="708"/>
      <c r="Y162" s="63"/>
      <c r="Z162" s="636"/>
      <c r="AA162" s="63"/>
      <c r="AB162" s="400"/>
      <c r="AC162" s="63"/>
      <c r="AD162" s="114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>
        <v>15</v>
      </c>
      <c r="AO162" s="127"/>
    </row>
    <row r="163" spans="1:41" s="83" customFormat="1">
      <c r="A163" s="63">
        <f>IFERROR(VLOOKUP(Table6[[#This Row],[Player No]],Table10[[#All],[No]:[Age Group]],4,0),"")</f>
        <v>0</v>
      </c>
      <c r="B163" s="264">
        <v>62</v>
      </c>
      <c r="C163" s="77">
        <f>+B163-D163</f>
        <v>-97</v>
      </c>
      <c r="D163" s="63">
        <f t="shared" si="18"/>
        <v>159</v>
      </c>
      <c r="E163" s="63">
        <v>3463</v>
      </c>
      <c r="F163" s="64" t="str">
        <f>IFERROR(VLOOKUP(Table6[[#This Row],[Player No]],Table10[[No]:[Province]],2,0),"")</f>
        <v>MQENGE Mnelisi</v>
      </c>
      <c r="G163" s="65" t="str">
        <f>IFERROR(VLOOKUP(Table6[[#This Row],[Player No]],Table10[[No]:[Province]],3,0),"")</f>
        <v>ETTA</v>
      </c>
      <c r="H163" s="66">
        <v>15</v>
      </c>
      <c r="I163" s="644">
        <v>7.5</v>
      </c>
      <c r="J163" s="819">
        <f>Table6[[#This Row],[Points 2025]]/2+SUM(Table6[[#This Row],[O1  ADMIN 2026]:[P2                           CT Open    2026]])</f>
        <v>3.75</v>
      </c>
      <c r="K163" s="63">
        <f t="shared" si="17"/>
        <v>0</v>
      </c>
      <c r="L163" s="63">
        <f t="shared" si="21"/>
        <v>0</v>
      </c>
      <c r="M163" s="708"/>
      <c r="N163" s="708" t="s">
        <v>6083</v>
      </c>
      <c r="O163" s="708" t="s">
        <v>6083</v>
      </c>
      <c r="P163" s="708"/>
      <c r="Q163" s="63"/>
      <c r="R163" s="63"/>
      <c r="S163" s="114"/>
      <c r="T163" s="114"/>
      <c r="U163" s="63"/>
      <c r="V163" s="114"/>
      <c r="W163" s="63"/>
      <c r="X163" s="708"/>
      <c r="Y163" s="63"/>
      <c r="Z163" s="636"/>
      <c r="AA163" s="63"/>
      <c r="AB163" s="400"/>
      <c r="AC163" s="63"/>
      <c r="AD163" s="114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127"/>
    </row>
    <row r="164" spans="1:41" s="83" customFormat="1">
      <c r="A164" s="63">
        <f>IFERROR(VLOOKUP(Table6[[#This Row],[Player No]],Table10[[#All],[No]:[Age Group]],4,0),"")</f>
        <v>0</v>
      </c>
      <c r="B164" s="264">
        <v>64</v>
      </c>
      <c r="C164" s="77">
        <f>+B164-D164</f>
        <v>-96</v>
      </c>
      <c r="D164" s="63">
        <f t="shared" si="18"/>
        <v>160</v>
      </c>
      <c r="E164" s="63">
        <v>3841</v>
      </c>
      <c r="F164" s="64" t="str">
        <f>IFERROR(VLOOKUP(Table6[[#This Row],[Player No]],Table10[[No]:[Province]],2,0),"")</f>
        <v>BRECHER Rolf</v>
      </c>
      <c r="G164" s="65" t="str">
        <f>IFERROR(VLOOKUP(Table6[[#This Row],[Player No]],Table10[[No]:[Province]],3,0),"")</f>
        <v>GN</v>
      </c>
      <c r="H164" s="66">
        <v>15</v>
      </c>
      <c r="I164" s="644">
        <v>7.5</v>
      </c>
      <c r="J164" s="819">
        <f>Table6[[#This Row],[Points 2025]]/2+SUM(Table6[[#This Row],[O1  ADMIN 2026]:[P2                           CT Open    2026]])</f>
        <v>3.75</v>
      </c>
      <c r="K164" s="63">
        <f t="shared" si="17"/>
        <v>0</v>
      </c>
      <c r="L164" s="63">
        <f t="shared" si="21"/>
        <v>0</v>
      </c>
      <c r="M164" s="708"/>
      <c r="N164" s="708" t="s">
        <v>6083</v>
      </c>
      <c r="O164" s="708" t="s">
        <v>6083</v>
      </c>
      <c r="P164" s="708"/>
      <c r="Q164" s="63"/>
      <c r="R164" s="63"/>
      <c r="S164" s="114"/>
      <c r="T164" s="114"/>
      <c r="U164" s="63"/>
      <c r="V164" s="114"/>
      <c r="W164" s="63"/>
      <c r="X164" s="708"/>
      <c r="Y164" s="63"/>
      <c r="Z164" s="636"/>
      <c r="AA164" s="63"/>
      <c r="AB164" s="400"/>
      <c r="AC164" s="63"/>
      <c r="AD164" s="114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>
        <v>15</v>
      </c>
      <c r="AO164" s="127"/>
    </row>
    <row r="165" spans="1:41" s="83" customFormat="1">
      <c r="A165" s="366"/>
      <c r="B165" s="365"/>
      <c r="C165" s="360">
        <f>+B165-D165</f>
        <v>-161</v>
      </c>
      <c r="D165" s="63">
        <f t="shared" si="18"/>
        <v>161</v>
      </c>
      <c r="E165" s="355">
        <v>4586</v>
      </c>
      <c r="F165" s="326" t="str">
        <f>IFERROR(VLOOKUP(Table6[[#This Row],[Player No]],Table10[[No]:[Province]],2,0),"")</f>
        <v>CHETTY Japhet Cayo</v>
      </c>
      <c r="G165" s="65" t="str">
        <f>IFERROR(VLOOKUP(Table6[[#This Row],[Player No]],Table10[[No]:[Province]],3,0),"")</f>
        <v>ETTA</v>
      </c>
      <c r="H165" s="66">
        <v>0</v>
      </c>
      <c r="I165" s="644">
        <v>5.25</v>
      </c>
      <c r="J165" s="819">
        <f>Table6[[#This Row],[Points 2025]]/2+SUM(Table6[[#This Row],[O1  ADMIN 2026]:[P2                           CT Open    2026]])</f>
        <v>3.625</v>
      </c>
      <c r="K165" s="63">
        <f t="shared" si="17"/>
        <v>1</v>
      </c>
      <c r="L165" s="63">
        <f t="shared" si="21"/>
        <v>0</v>
      </c>
      <c r="M165" s="708"/>
      <c r="N165" s="828" t="s">
        <v>6083</v>
      </c>
      <c r="O165" s="828">
        <v>1</v>
      </c>
      <c r="P165" s="828"/>
      <c r="Q165" s="361"/>
      <c r="R165" s="361"/>
      <c r="S165" s="357"/>
      <c r="T165" s="357">
        <v>1</v>
      </c>
      <c r="U165" s="361"/>
      <c r="V165" s="357"/>
      <c r="W165" s="361"/>
      <c r="X165" s="738"/>
      <c r="Y165" s="361"/>
      <c r="Z165" s="639">
        <v>5</v>
      </c>
      <c r="AA165" s="361"/>
      <c r="AB165" s="406"/>
      <c r="AC165" s="361"/>
      <c r="AD165" s="357"/>
      <c r="AE165" s="361"/>
      <c r="AF165" s="361"/>
      <c r="AG165" s="361"/>
      <c r="AH165" s="361"/>
      <c r="AI165" s="361"/>
      <c r="AJ165" s="361"/>
      <c r="AK165" s="361"/>
      <c r="AL165" s="361"/>
      <c r="AM165" s="361"/>
      <c r="AN165" s="361"/>
      <c r="AO165" s="395"/>
    </row>
    <row r="166" spans="1:41" s="83" customFormat="1">
      <c r="A166" s="63">
        <f>IFERROR(VLOOKUP(Table6[[#This Row],[Player No]],Table10[[#All],[No]:[Age Group]],4,0),"")</f>
        <v>0</v>
      </c>
      <c r="B166" s="264">
        <v>66</v>
      </c>
      <c r="C166" s="77">
        <f>+B166-D166</f>
        <v>-96</v>
      </c>
      <c r="D166" s="63">
        <f t="shared" si="18"/>
        <v>162</v>
      </c>
      <c r="E166" s="63">
        <v>3875</v>
      </c>
      <c r="F166" s="64" t="str">
        <f>IFERROR(VLOOKUP(Table6[[#This Row],[Player No]],Table10[[No]:[Province]],2,0),"")</f>
        <v>MKHONTWANA Simpiwe</v>
      </c>
      <c r="G166" s="65" t="str">
        <f>IFERROR(VLOOKUP(Table6[[#This Row],[Player No]],Table10[[No]:[Province]],3,0),"")</f>
        <v>ETTA</v>
      </c>
      <c r="H166" s="66">
        <v>15</v>
      </c>
      <c r="I166" s="644">
        <v>7.1796875</v>
      </c>
      <c r="J166" s="819">
        <f>Table6[[#This Row],[Points 2025]]/2+SUM(Table6[[#This Row],[O1  ADMIN 2026]:[P2                           CT Open    2026]])</f>
        <v>3.58984375</v>
      </c>
      <c r="K166" s="63">
        <f t="shared" si="17"/>
        <v>0</v>
      </c>
      <c r="L166" s="63">
        <f t="shared" si="21"/>
        <v>0</v>
      </c>
      <c r="M166" s="708"/>
      <c r="N166" s="708" t="s">
        <v>6083</v>
      </c>
      <c r="O166" s="708" t="s">
        <v>6083</v>
      </c>
      <c r="P166" s="708"/>
      <c r="Q166" s="63"/>
      <c r="R166" s="63"/>
      <c r="S166" s="114"/>
      <c r="T166" s="114"/>
      <c r="U166" s="63"/>
      <c r="V166" s="114"/>
      <c r="W166" s="63"/>
      <c r="X166" s="708"/>
      <c r="Y166" s="63"/>
      <c r="Z166" s="636"/>
      <c r="AA166" s="63"/>
      <c r="AB166" s="400"/>
      <c r="AC166" s="63"/>
      <c r="AD166" s="114"/>
      <c r="AE166" s="63"/>
      <c r="AF166" s="63"/>
      <c r="AG166" s="63">
        <v>15</v>
      </c>
      <c r="AH166" s="63"/>
      <c r="AI166" s="63"/>
      <c r="AJ166" s="63"/>
      <c r="AK166" s="63"/>
      <c r="AL166" s="63"/>
      <c r="AM166" s="63"/>
      <c r="AN166" s="63"/>
      <c r="AO166" s="127"/>
    </row>
    <row r="167" spans="1:41" s="83" customFormat="1">
      <c r="A167" s="164"/>
      <c r="B167" s="265"/>
      <c r="C167" s="160">
        <f>+B167-D167</f>
        <v>-163</v>
      </c>
      <c r="D167" s="63">
        <f t="shared" si="18"/>
        <v>163</v>
      </c>
      <c r="E167" s="161">
        <v>4380</v>
      </c>
      <c r="F167" s="64" t="str">
        <f>IFERROR(VLOOKUP(Table6[[#This Row],[Player No]],Table10[[No]:[Province]],2,0),"")</f>
        <v>HANUMAN Aryan</v>
      </c>
      <c r="G167" s="65" t="str">
        <f>IFERROR(VLOOKUP(Table6[[#This Row],[Player No]],Table10[[No]:[Province]],3,0),"")</f>
        <v>UMG</v>
      </c>
      <c r="H167" s="66">
        <v>0.25</v>
      </c>
      <c r="I167" s="644">
        <v>3.125</v>
      </c>
      <c r="J167" s="819">
        <f>Table6[[#This Row],[Points 2025]]/2+SUM(Table6[[#This Row],[O1  ADMIN 2026]:[P2                           CT Open    2026]])</f>
        <v>3.5625</v>
      </c>
      <c r="K167" s="63">
        <f t="shared" si="17"/>
        <v>2</v>
      </c>
      <c r="L167" s="63">
        <f t="shared" si="21"/>
        <v>0</v>
      </c>
      <c r="M167" s="708"/>
      <c r="N167" s="708">
        <v>1</v>
      </c>
      <c r="O167" s="708">
        <v>1</v>
      </c>
      <c r="P167" s="708"/>
      <c r="Q167" s="157">
        <v>2</v>
      </c>
      <c r="R167" s="157">
        <v>1</v>
      </c>
      <c r="S167" s="165">
        <v>1</v>
      </c>
      <c r="T167" s="165"/>
      <c r="U167" s="157"/>
      <c r="V167" s="165"/>
      <c r="W167" s="157"/>
      <c r="X167" s="712"/>
      <c r="Y167" s="157"/>
      <c r="Z167" s="700"/>
      <c r="AA167" s="157"/>
      <c r="AB167" s="444"/>
      <c r="AC167" s="157"/>
      <c r="AD167" s="165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610"/>
    </row>
    <row r="168" spans="1:41" s="83" customFormat="1">
      <c r="A168" s="63">
        <f>IFERROR(VLOOKUP(Table6[[#This Row],[Player No]],Table10[[#All],[No]:[Age Group]],4,0),"")</f>
        <v>0</v>
      </c>
      <c r="B168" s="264"/>
      <c r="C168" s="77"/>
      <c r="D168" s="63">
        <f t="shared" si="18"/>
        <v>164</v>
      </c>
      <c r="E168" s="63">
        <v>4028</v>
      </c>
      <c r="F168" s="64" t="str">
        <f>IFERROR(VLOOKUP(Table6[[#This Row],[Player No]],Table10[[No]:[Province]],2,0),"")</f>
        <v>ZULU Andiswa</v>
      </c>
      <c r="G168" s="65" t="str">
        <f>IFERROR(VLOOKUP(Table6[[#This Row],[Player No]],Table10[[No]:[Province]],3,0),"")</f>
        <v>JTTA</v>
      </c>
      <c r="H168" s="66">
        <v>15</v>
      </c>
      <c r="I168" s="644">
        <v>7</v>
      </c>
      <c r="J168" s="819">
        <f>Table6[[#This Row],[Points 2025]]/2+SUM(Table6[[#This Row],[O1  ADMIN 2026]:[P2                           CT Open    2026]])</f>
        <v>3.5</v>
      </c>
      <c r="K168" s="63">
        <f t="shared" si="17"/>
        <v>0</v>
      </c>
      <c r="L168" s="63">
        <f t="shared" si="21"/>
        <v>0</v>
      </c>
      <c r="M168" s="708"/>
      <c r="N168" s="708" t="s">
        <v>6083</v>
      </c>
      <c r="O168" s="708" t="s">
        <v>6083</v>
      </c>
      <c r="P168" s="708"/>
      <c r="Q168" s="63"/>
      <c r="R168" s="63"/>
      <c r="S168" s="114"/>
      <c r="T168" s="114"/>
      <c r="U168" s="63"/>
      <c r="V168" s="114"/>
      <c r="W168" s="63"/>
      <c r="X168" s="708"/>
      <c r="Y168" s="63"/>
      <c r="Z168" s="636"/>
      <c r="AA168" s="63"/>
      <c r="AB168" s="400"/>
      <c r="AC168" s="63"/>
      <c r="AD168" s="114"/>
      <c r="AE168" s="63"/>
      <c r="AF168" s="63"/>
      <c r="AG168" s="63"/>
      <c r="AH168" s="63"/>
      <c r="AI168" s="63"/>
      <c r="AJ168" s="63"/>
      <c r="AK168" s="63">
        <v>15</v>
      </c>
      <c r="AL168" s="63"/>
      <c r="AM168" s="63"/>
      <c r="AN168" s="63"/>
      <c r="AO168" s="127"/>
    </row>
    <row r="169" spans="1:41" s="83" customFormat="1">
      <c r="A169" s="63">
        <f>IFERROR(VLOOKUP(Table6[[#This Row],[Player No]],Table10[[#All],[No]:[Age Group]],4,0),"")</f>
        <v>0</v>
      </c>
      <c r="B169" s="264">
        <v>69</v>
      </c>
      <c r="C169" s="77">
        <f t="shared" ref="C169:C187" si="22">+B169-D169</f>
        <v>-96</v>
      </c>
      <c r="D169" s="63">
        <f t="shared" si="18"/>
        <v>165</v>
      </c>
      <c r="E169" s="63">
        <v>1622</v>
      </c>
      <c r="F169" s="64" t="s">
        <v>1760</v>
      </c>
      <c r="G169" s="65" t="str">
        <f>IFERROR(VLOOKUP(Table6[[#This Row],[Player No]],Table10[[No]:[Province]],3,0),"")</f>
        <v>CT</v>
      </c>
      <c r="H169" s="66">
        <v>14.359375</v>
      </c>
      <c r="I169" s="644">
        <v>6.875</v>
      </c>
      <c r="J169" s="819">
        <f>Table6[[#This Row],[Points 2025]]/2+SUM(Table6[[#This Row],[O1  ADMIN 2026]:[P2                           CT Open    2026]])</f>
        <v>3.4375</v>
      </c>
      <c r="K169" s="63">
        <f t="shared" si="17"/>
        <v>0</v>
      </c>
      <c r="L169" s="63">
        <f t="shared" si="21"/>
        <v>0</v>
      </c>
      <c r="M169" s="708"/>
      <c r="N169" s="708" t="s">
        <v>6083</v>
      </c>
      <c r="O169" s="708" t="s">
        <v>6083</v>
      </c>
      <c r="P169" s="708"/>
      <c r="Q169" s="63"/>
      <c r="R169" s="63"/>
      <c r="S169" s="114"/>
      <c r="T169" s="114"/>
      <c r="U169" s="63"/>
      <c r="V169" s="114"/>
      <c r="W169" s="63"/>
      <c r="X169" s="708"/>
      <c r="Y169" s="63"/>
      <c r="Z169" s="636"/>
      <c r="AA169" s="63"/>
      <c r="AB169" s="400"/>
      <c r="AC169" s="63"/>
      <c r="AD169" s="114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127"/>
    </row>
    <row r="170" spans="1:41" s="83" customFormat="1">
      <c r="A170" s="138"/>
      <c r="B170" s="264"/>
      <c r="C170" s="77">
        <f t="shared" si="22"/>
        <v>-166</v>
      </c>
      <c r="D170" s="63">
        <f t="shared" si="18"/>
        <v>166</v>
      </c>
      <c r="E170" s="154">
        <v>3953</v>
      </c>
      <c r="F170" s="64" t="str">
        <f>IFERROR(VLOOKUP(Table6[[#This Row],[Player No]],Table10[[No]:[Province]],2,0),"")</f>
        <v>BEUKES Zian</v>
      </c>
      <c r="G170" s="65" t="str">
        <f>IFERROR(VLOOKUP(Table6[[#This Row],[Player No]],Table10[[No]:[Province]],3,0),"")</f>
        <v>Eden</v>
      </c>
      <c r="H170" s="66">
        <v>0</v>
      </c>
      <c r="I170" s="644">
        <v>6.75</v>
      </c>
      <c r="J170" s="819">
        <f>Table6[[#This Row],[Points 2025]]/2+SUM(Table6[[#This Row],[O1  ADMIN 2026]:[P2                           CT Open    2026]])</f>
        <v>3.375</v>
      </c>
      <c r="K170" s="63">
        <f t="shared" si="17"/>
        <v>0</v>
      </c>
      <c r="L170" s="63">
        <f t="shared" si="21"/>
        <v>0</v>
      </c>
      <c r="M170" s="708"/>
      <c r="N170" s="827" t="s">
        <v>6083</v>
      </c>
      <c r="O170" s="827" t="s">
        <v>6083</v>
      </c>
      <c r="P170" s="827"/>
      <c r="Q170" s="63"/>
      <c r="R170" s="63"/>
      <c r="S170" s="114"/>
      <c r="T170" s="114"/>
      <c r="U170" s="63"/>
      <c r="V170" s="114"/>
      <c r="W170" s="63"/>
      <c r="X170" s="708"/>
      <c r="Y170" s="63"/>
      <c r="Z170" s="636">
        <v>5</v>
      </c>
      <c r="AA170" s="63"/>
      <c r="AB170" s="400"/>
      <c r="AC170" s="63"/>
      <c r="AD170" s="114"/>
      <c r="AE170" s="63">
        <v>2</v>
      </c>
      <c r="AF170" s="63"/>
      <c r="AG170" s="63"/>
      <c r="AH170" s="63"/>
      <c r="AI170" s="63"/>
      <c r="AJ170" s="63"/>
      <c r="AK170" s="63"/>
      <c r="AL170" s="63"/>
      <c r="AM170" s="63"/>
      <c r="AN170" s="63"/>
      <c r="AO170" s="127"/>
    </row>
    <row r="171" spans="1:41" s="83" customFormat="1">
      <c r="A171" s="63">
        <f>IFERROR(VLOOKUP(Table6[[#This Row],[Player No]],Table10[[#All],[No]:[Age Group]],4,0),"")</f>
        <v>0</v>
      </c>
      <c r="B171" s="264">
        <v>70</v>
      </c>
      <c r="C171" s="77">
        <f t="shared" si="22"/>
        <v>-97</v>
      </c>
      <c r="D171" s="63">
        <f t="shared" si="18"/>
        <v>167</v>
      </c>
      <c r="E171" s="63">
        <v>3410</v>
      </c>
      <c r="F171" s="64" t="str">
        <f>IFERROR(VLOOKUP(Table6[[#This Row],[Player No]],Table10[[No]:[Province]],2,0),"")</f>
        <v>MQENGE Nelokuhle</v>
      </c>
      <c r="G171" s="65" t="str">
        <f>IFERROR(VLOOKUP(Table6[[#This Row],[Player No]],Table10[[No]:[Province]],3,0),"")</f>
        <v>ETTA</v>
      </c>
      <c r="H171" s="66">
        <v>13.75</v>
      </c>
      <c r="I171" s="644">
        <v>6.28125</v>
      </c>
      <c r="J171" s="819">
        <f>Table6[[#This Row],[Points 2025]]/2+SUM(Table6[[#This Row],[O1  ADMIN 2026]:[P2                           CT Open    2026]])</f>
        <v>3.140625</v>
      </c>
      <c r="K171" s="63">
        <f t="shared" si="17"/>
        <v>0</v>
      </c>
      <c r="L171" s="63">
        <f t="shared" si="21"/>
        <v>0</v>
      </c>
      <c r="M171" s="708"/>
      <c r="N171" s="708" t="s">
        <v>6083</v>
      </c>
      <c r="O171" s="708" t="s">
        <v>6083</v>
      </c>
      <c r="P171" s="708"/>
      <c r="Q171" s="63"/>
      <c r="R171" s="63"/>
      <c r="S171" s="114"/>
      <c r="T171" s="114"/>
      <c r="U171" s="63"/>
      <c r="V171" s="114"/>
      <c r="W171" s="63"/>
      <c r="X171" s="708"/>
      <c r="Y171" s="63"/>
      <c r="Z171" s="636"/>
      <c r="AA171" s="63"/>
      <c r="AB171" s="400"/>
      <c r="AC171" s="63"/>
      <c r="AD171" s="114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127"/>
    </row>
    <row r="172" spans="1:41" s="83" customFormat="1">
      <c r="A172" s="63">
        <f>IFERROR(VLOOKUP(Table6[[#This Row],[Player No]],Table10[[#All],[No]:[Age Group]],4,0),"")</f>
        <v>0</v>
      </c>
      <c r="B172" s="264">
        <v>71</v>
      </c>
      <c r="C172" s="77">
        <f t="shared" si="22"/>
        <v>-97</v>
      </c>
      <c r="D172" s="63">
        <f t="shared" si="18"/>
        <v>168</v>
      </c>
      <c r="E172" s="63">
        <v>3452</v>
      </c>
      <c r="F172" s="64" t="str">
        <f>IFERROR(VLOOKUP(Table6[[#This Row],[Player No]],Table10[[No]:[Province]],2,0),"")</f>
        <v>BRINK Brendan</v>
      </c>
      <c r="G172" s="65">
        <f>IFERROR(VLOOKUP(Table6[[#This Row],[Player No]],Table10[[No]:[Province]],3,0),"")</f>
        <v>0</v>
      </c>
      <c r="H172" s="66">
        <v>13.5</v>
      </c>
      <c r="I172" s="644">
        <v>6.25</v>
      </c>
      <c r="J172" s="819">
        <f>Table6[[#This Row],[Points 2025]]/2+SUM(Table6[[#This Row],[O1  ADMIN 2026]:[P2                           CT Open    2026]])</f>
        <v>3.125</v>
      </c>
      <c r="K172" s="63">
        <f t="shared" si="17"/>
        <v>0</v>
      </c>
      <c r="L172" s="63">
        <f t="shared" si="21"/>
        <v>0</v>
      </c>
      <c r="M172" s="708"/>
      <c r="N172" s="708" t="s">
        <v>6083</v>
      </c>
      <c r="O172" s="708" t="s">
        <v>6083</v>
      </c>
      <c r="P172" s="708"/>
      <c r="Q172" s="63"/>
      <c r="R172" s="63"/>
      <c r="S172" s="114"/>
      <c r="T172" s="114"/>
      <c r="U172" s="63"/>
      <c r="V172" s="114"/>
      <c r="W172" s="63"/>
      <c r="X172" s="708"/>
      <c r="Y172" s="63"/>
      <c r="Z172" s="636"/>
      <c r="AA172" s="63"/>
      <c r="AB172" s="400"/>
      <c r="AC172" s="63"/>
      <c r="AD172" s="114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>
        <v>1</v>
      </c>
      <c r="AO172" s="127"/>
    </row>
    <row r="173" spans="1:41" s="83" customFormat="1">
      <c r="A173" s="63" t="str">
        <f>IFERROR(VLOOKUP(Table6[[#This Row],[Player No]],Table10[[#All],[No]:[Age Group]],4,0),"")</f>
        <v>U19</v>
      </c>
      <c r="B173" s="264">
        <v>72</v>
      </c>
      <c r="C173" s="77">
        <f t="shared" si="22"/>
        <v>-97</v>
      </c>
      <c r="D173" s="63">
        <f t="shared" si="18"/>
        <v>169</v>
      </c>
      <c r="E173" s="63">
        <v>3063</v>
      </c>
      <c r="F173" s="64" t="str">
        <f>IFERROR(VLOOKUP(Table6[[#This Row],[Player No]],Table10[[No]:[Province]],2,0),"")</f>
        <v>CARRASCO Ricardo</v>
      </c>
      <c r="G173" s="65" t="str">
        <f>IFERROR(VLOOKUP(Table6[[#This Row],[Player No]],Table10[[No]:[Province]],3,0),"")</f>
        <v>FS</v>
      </c>
      <c r="H173" s="66">
        <v>12.5625</v>
      </c>
      <c r="I173" s="644">
        <v>6.25</v>
      </c>
      <c r="J173" s="819">
        <f>Table6[[#This Row],[Points 2025]]/2+SUM(Table6[[#This Row],[O1  ADMIN 2026]:[P2                           CT Open    2026]])</f>
        <v>3.125</v>
      </c>
      <c r="K173" s="63">
        <f t="shared" si="17"/>
        <v>0</v>
      </c>
      <c r="L173" s="63">
        <f t="shared" si="21"/>
        <v>0</v>
      </c>
      <c r="M173" s="708"/>
      <c r="N173" s="708" t="s">
        <v>6083</v>
      </c>
      <c r="O173" s="708" t="s">
        <v>6083</v>
      </c>
      <c r="P173" s="708"/>
      <c r="Q173" s="63"/>
      <c r="R173" s="63"/>
      <c r="S173" s="114"/>
      <c r="T173" s="114"/>
      <c r="U173" s="63"/>
      <c r="V173" s="114"/>
      <c r="W173" s="63"/>
      <c r="X173" s="708"/>
      <c r="Y173" s="63"/>
      <c r="Z173" s="636"/>
      <c r="AA173" s="63"/>
      <c r="AB173" s="400"/>
      <c r="AC173" s="63"/>
      <c r="AD173" s="114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127"/>
    </row>
    <row r="174" spans="1:41" s="83" customFormat="1">
      <c r="A174" s="63">
        <f>IFERROR(VLOOKUP(Table6[[#This Row],[Player No]],Table10[[#All],[No]:[Age Group]],4,0),"")</f>
        <v>0</v>
      </c>
      <c r="B174" s="264">
        <v>82</v>
      </c>
      <c r="C174" s="77">
        <f t="shared" si="22"/>
        <v>-88</v>
      </c>
      <c r="D174" s="63">
        <f t="shared" si="18"/>
        <v>170</v>
      </c>
      <c r="E174" s="63">
        <v>1610</v>
      </c>
      <c r="F174" s="64" t="str">
        <f>IFERROR(VLOOKUP(Table6[[#This Row],[Player No]],Table10[[No]:[Province]],2,0),"")</f>
        <v>RAMOLLO Mahlatse</v>
      </c>
      <c r="G174" s="65" t="str">
        <f>IFERROR(VLOOKUP(Table6[[#This Row],[Player No]],Table10[[No]:[Province]],3,0),"")</f>
        <v>LIM</v>
      </c>
      <c r="H174" s="66">
        <v>12.5</v>
      </c>
      <c r="I174" s="644">
        <v>6.25</v>
      </c>
      <c r="J174" s="819">
        <f>Table6[[#This Row],[Points 2025]]/2+SUM(Table6[[#This Row],[O1  ADMIN 2026]:[P2                           CT Open    2026]])</f>
        <v>3.125</v>
      </c>
      <c r="K174" s="63">
        <f t="shared" si="17"/>
        <v>0</v>
      </c>
      <c r="L174" s="63">
        <f t="shared" si="21"/>
        <v>0</v>
      </c>
      <c r="M174" s="708"/>
      <c r="N174" s="708" t="s">
        <v>6083</v>
      </c>
      <c r="O174" s="708" t="s">
        <v>6083</v>
      </c>
      <c r="P174" s="708"/>
      <c r="Q174" s="63"/>
      <c r="R174" s="63"/>
      <c r="S174" s="114"/>
      <c r="T174" s="114"/>
      <c r="U174" s="63"/>
      <c r="V174" s="114"/>
      <c r="W174" s="63"/>
      <c r="X174" s="708"/>
      <c r="Y174" s="63"/>
      <c r="Z174" s="636"/>
      <c r="AA174" s="63"/>
      <c r="AB174" s="400"/>
      <c r="AC174" s="63"/>
      <c r="AD174" s="114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127"/>
    </row>
    <row r="175" spans="1:41" s="83" customFormat="1">
      <c r="A175" s="63">
        <f>IFERROR(VLOOKUP(Table6[[#This Row],[Player No]],Table10[[#All],[No]:[Age Group]],4,0),"")</f>
        <v>0</v>
      </c>
      <c r="B175" s="264">
        <v>81</v>
      </c>
      <c r="C175" s="77">
        <f t="shared" si="22"/>
        <v>-90</v>
      </c>
      <c r="D175" s="63">
        <f t="shared" si="18"/>
        <v>171</v>
      </c>
      <c r="E175" s="63">
        <v>2824</v>
      </c>
      <c r="F175" s="64" t="str">
        <f>IFERROR(VLOOKUP(Table6[[#This Row],[Player No]],Table10[[No]:[Province]],2,0),"")</f>
        <v>COETZEE Shadrian</v>
      </c>
      <c r="G175" s="65" t="str">
        <f>IFERROR(VLOOKUP(Table6[[#This Row],[Player No]],Table10[[No]:[Province]],3,0),"")</f>
        <v>WC</v>
      </c>
      <c r="H175" s="66">
        <v>12.5</v>
      </c>
      <c r="I175" s="644">
        <v>6.25</v>
      </c>
      <c r="J175" s="819">
        <f>Table6[[#This Row],[Points 2025]]/2+SUM(Table6[[#This Row],[O1  ADMIN 2026]:[P2                           CT Open    2026]])</f>
        <v>3.125</v>
      </c>
      <c r="K175" s="63">
        <f t="shared" si="17"/>
        <v>0</v>
      </c>
      <c r="L175" s="63">
        <f t="shared" si="21"/>
        <v>0</v>
      </c>
      <c r="M175" s="708"/>
      <c r="N175" s="708" t="s">
        <v>6083</v>
      </c>
      <c r="O175" s="708" t="s">
        <v>6083</v>
      </c>
      <c r="P175" s="708"/>
      <c r="Q175" s="63"/>
      <c r="R175" s="63"/>
      <c r="S175" s="114"/>
      <c r="T175" s="114"/>
      <c r="U175" s="63"/>
      <c r="V175" s="114"/>
      <c r="W175" s="63"/>
      <c r="X175" s="708"/>
      <c r="Y175" s="63"/>
      <c r="Z175" s="636"/>
      <c r="AA175" s="63"/>
      <c r="AB175" s="400"/>
      <c r="AC175" s="63"/>
      <c r="AD175" s="114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127"/>
    </row>
    <row r="176" spans="1:41" s="83" customFormat="1">
      <c r="A176" s="63">
        <f>IFERROR(VLOOKUP(Table6[[#This Row],[Player No]],Table10[[#All],[No]:[Age Group]],4,0),"")</f>
        <v>0</v>
      </c>
      <c r="B176" s="264">
        <v>75</v>
      </c>
      <c r="C176" s="77">
        <f t="shared" si="22"/>
        <v>-97</v>
      </c>
      <c r="D176" s="63">
        <f t="shared" si="18"/>
        <v>172</v>
      </c>
      <c r="E176" s="63">
        <v>3440</v>
      </c>
      <c r="F176" s="64" t="str">
        <f>IFERROR(VLOOKUP(Table6[[#This Row],[Player No]],Table10[[No]:[Province]],2,0),"")</f>
        <v>MDLADLA Sibonga</v>
      </c>
      <c r="G176" s="65" t="str">
        <f>IFERROR(VLOOKUP(Table6[[#This Row],[Player No]],Table10[[No]:[Province]],3,0),"")</f>
        <v>UTH</v>
      </c>
      <c r="H176" s="66">
        <v>12.5</v>
      </c>
      <c r="I176" s="644">
        <v>6.25</v>
      </c>
      <c r="J176" s="819">
        <f>Table6[[#This Row],[Points 2025]]/2+SUM(Table6[[#This Row],[O1  ADMIN 2026]:[P2                           CT Open    2026]])</f>
        <v>3.125</v>
      </c>
      <c r="K176" s="63">
        <f t="shared" si="17"/>
        <v>0</v>
      </c>
      <c r="L176" s="63">
        <f t="shared" si="21"/>
        <v>0</v>
      </c>
      <c r="M176" s="708"/>
      <c r="N176" s="708" t="s">
        <v>6083</v>
      </c>
      <c r="O176" s="708" t="s">
        <v>6083</v>
      </c>
      <c r="P176" s="708"/>
      <c r="Q176" s="63"/>
      <c r="R176" s="63"/>
      <c r="S176" s="114"/>
      <c r="T176" s="114"/>
      <c r="U176" s="63"/>
      <c r="V176" s="114"/>
      <c r="W176" s="63"/>
      <c r="X176" s="708"/>
      <c r="Y176" s="63"/>
      <c r="Z176" s="636"/>
      <c r="AA176" s="63"/>
      <c r="AB176" s="400"/>
      <c r="AC176" s="63"/>
      <c r="AD176" s="114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127"/>
    </row>
    <row r="177" spans="1:41" s="83" customFormat="1">
      <c r="A177" s="63">
        <f>IFERROR(VLOOKUP(Table6[[#This Row],[Player No]],Table10[[#All],[No]:[Age Group]],4,0),"")</f>
        <v>0</v>
      </c>
      <c r="B177" s="264">
        <v>76</v>
      </c>
      <c r="C177" s="77">
        <f t="shared" si="22"/>
        <v>-97</v>
      </c>
      <c r="D177" s="63">
        <f t="shared" si="18"/>
        <v>173</v>
      </c>
      <c r="E177" s="63">
        <v>3457</v>
      </c>
      <c r="F177" s="64" t="str">
        <f>IFERROR(VLOOKUP(Table6[[#This Row],[Player No]],Table10[[No]:[Province]],2,0),"")</f>
        <v>POTGIETER Markus</v>
      </c>
      <c r="G177" s="65">
        <f>IFERROR(VLOOKUP(Table6[[#This Row],[Player No]],Table10[[No]:[Province]],3,0),"")</f>
        <v>0</v>
      </c>
      <c r="H177" s="66">
        <v>12.5</v>
      </c>
      <c r="I177" s="644">
        <v>6.25</v>
      </c>
      <c r="J177" s="819">
        <f>Table6[[#This Row],[Points 2025]]/2+SUM(Table6[[#This Row],[O1  ADMIN 2026]:[P2                           CT Open    2026]])</f>
        <v>3.125</v>
      </c>
      <c r="K177" s="63">
        <f t="shared" si="17"/>
        <v>0</v>
      </c>
      <c r="L177" s="63">
        <f t="shared" si="21"/>
        <v>0</v>
      </c>
      <c r="M177" s="708"/>
      <c r="N177" s="708" t="s">
        <v>6083</v>
      </c>
      <c r="O177" s="708" t="s">
        <v>6083</v>
      </c>
      <c r="P177" s="708"/>
      <c r="Q177" s="63"/>
      <c r="R177" s="63"/>
      <c r="S177" s="114"/>
      <c r="T177" s="114"/>
      <c r="U177" s="63"/>
      <c r="V177" s="114"/>
      <c r="W177" s="63"/>
      <c r="X177" s="708"/>
      <c r="Y177" s="63"/>
      <c r="Z177" s="636"/>
      <c r="AA177" s="63"/>
      <c r="AB177" s="400"/>
      <c r="AC177" s="63"/>
      <c r="AD177" s="114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127"/>
    </row>
    <row r="178" spans="1:41" s="83" customFormat="1">
      <c r="A178" s="63">
        <f>IFERROR(VLOOKUP(Table6[[#This Row],[Player No]],Table10[[#All],[No]:[Age Group]],4,0),"")</f>
        <v>0</v>
      </c>
      <c r="B178" s="264">
        <v>78</v>
      </c>
      <c r="C178" s="77">
        <f t="shared" si="22"/>
        <v>-96</v>
      </c>
      <c r="D178" s="63">
        <f t="shared" si="18"/>
        <v>174</v>
      </c>
      <c r="E178" s="63">
        <v>3546</v>
      </c>
      <c r="F178" s="64" t="str">
        <f>IFERROR(VLOOKUP(Table6[[#This Row],[Player No]],Table10[[No]:[Province]],2,0),"")</f>
        <v>SEUTLWALI Kamohelo</v>
      </c>
      <c r="G178" s="65" t="str">
        <f>IFERROR(VLOOKUP(Table6[[#This Row],[Player No]],Table10[[No]:[Province]],3,0),"")</f>
        <v>FS</v>
      </c>
      <c r="H178" s="66">
        <v>12.5</v>
      </c>
      <c r="I178" s="644">
        <v>6.25</v>
      </c>
      <c r="J178" s="819">
        <f>Table6[[#This Row],[Points 2025]]/2+SUM(Table6[[#This Row],[O1  ADMIN 2026]:[P2                           CT Open    2026]])</f>
        <v>3.125</v>
      </c>
      <c r="K178" s="63">
        <f t="shared" si="17"/>
        <v>0</v>
      </c>
      <c r="L178" s="63">
        <f t="shared" si="21"/>
        <v>0</v>
      </c>
      <c r="M178" s="708"/>
      <c r="N178" s="708" t="s">
        <v>6083</v>
      </c>
      <c r="O178" s="708" t="s">
        <v>6083</v>
      </c>
      <c r="P178" s="708"/>
      <c r="Q178" s="63"/>
      <c r="R178" s="63"/>
      <c r="S178" s="114"/>
      <c r="T178" s="114"/>
      <c r="U178" s="63"/>
      <c r="V178" s="114"/>
      <c r="W178" s="63"/>
      <c r="X178" s="708"/>
      <c r="Y178" s="63"/>
      <c r="Z178" s="636"/>
      <c r="AA178" s="63"/>
      <c r="AB178" s="400"/>
      <c r="AC178" s="63"/>
      <c r="AD178" s="114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127"/>
    </row>
    <row r="179" spans="1:41" s="83" customFormat="1">
      <c r="A179" s="63">
        <f>IFERROR(VLOOKUP(Table6[[#This Row],[Player No]],Table10[[#All],[No]:[Age Group]],4,0),"")</f>
        <v>0</v>
      </c>
      <c r="B179" s="264">
        <v>80</v>
      </c>
      <c r="C179" s="77">
        <f t="shared" si="22"/>
        <v>-95</v>
      </c>
      <c r="D179" s="63">
        <f t="shared" si="18"/>
        <v>175</v>
      </c>
      <c r="E179" s="63">
        <v>3716</v>
      </c>
      <c r="F179" s="64" t="str">
        <f>IFERROR(VLOOKUP(Table6[[#This Row],[Player No]],Table10[[No]:[Province]],2,0),"")</f>
        <v>ALI Uwys</v>
      </c>
      <c r="G179" s="65" t="str">
        <f>IFERROR(VLOOKUP(Table6[[#This Row],[Player No]],Table10[[No]:[Province]],3,0),"")</f>
        <v>JTTA</v>
      </c>
      <c r="H179" s="66">
        <v>12.5</v>
      </c>
      <c r="I179" s="644">
        <v>6</v>
      </c>
      <c r="J179" s="819">
        <f>Table6[[#This Row],[Points 2025]]/2+SUM(Table6[[#This Row],[O1  ADMIN 2026]:[P2                           CT Open    2026]])</f>
        <v>3</v>
      </c>
      <c r="K179" s="63">
        <f t="shared" si="17"/>
        <v>0</v>
      </c>
      <c r="L179" s="63">
        <f t="shared" si="21"/>
        <v>0</v>
      </c>
      <c r="M179" s="708"/>
      <c r="N179" s="708" t="s">
        <v>6083</v>
      </c>
      <c r="O179" s="708" t="s">
        <v>6083</v>
      </c>
      <c r="P179" s="708"/>
      <c r="Q179" s="63"/>
      <c r="R179" s="63"/>
      <c r="S179" s="114"/>
      <c r="T179" s="114"/>
      <c r="U179" s="63"/>
      <c r="V179" s="114"/>
      <c r="W179" s="63"/>
      <c r="X179" s="708"/>
      <c r="Y179" s="63"/>
      <c r="Z179" s="636"/>
      <c r="AA179" s="63"/>
      <c r="AB179" s="400"/>
      <c r="AC179" s="63"/>
      <c r="AD179" s="114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127"/>
    </row>
    <row r="180" spans="1:41" s="83" customFormat="1">
      <c r="A180" s="63" t="str">
        <f>IFERROR(VLOOKUP(Table6[[#This Row],[Player No]],Table10[[#All],[No]:[Age Group]],4,0),"")</f>
        <v>U15</v>
      </c>
      <c r="B180" s="264">
        <v>79</v>
      </c>
      <c r="C180" s="77">
        <f t="shared" si="22"/>
        <v>-97</v>
      </c>
      <c r="D180" s="63">
        <f t="shared" si="18"/>
        <v>176</v>
      </c>
      <c r="E180" s="63">
        <v>3718</v>
      </c>
      <c r="F180" s="64" t="str">
        <f>IFERROR(VLOOKUP(Table6[[#This Row],[Player No]],Table10[[No]:[Province]],2,0),"")</f>
        <v>JACOBS Evan</v>
      </c>
      <c r="G180" s="65" t="str">
        <f>IFERROR(VLOOKUP(Table6[[#This Row],[Player No]],Table10[[No]:[Province]],3,0),"")</f>
        <v>JTTA</v>
      </c>
      <c r="H180" s="66">
        <v>12.5</v>
      </c>
      <c r="I180" s="644">
        <v>6</v>
      </c>
      <c r="J180" s="819">
        <f>Table6[[#This Row],[Points 2025]]/2+SUM(Table6[[#This Row],[O1  ADMIN 2026]:[P2                           CT Open    2026]])</f>
        <v>3</v>
      </c>
      <c r="K180" s="63">
        <f t="shared" si="17"/>
        <v>0</v>
      </c>
      <c r="L180" s="63">
        <f t="shared" si="21"/>
        <v>0</v>
      </c>
      <c r="M180" s="708"/>
      <c r="N180" s="708" t="s">
        <v>6083</v>
      </c>
      <c r="O180" s="708" t="s">
        <v>6083</v>
      </c>
      <c r="P180" s="708"/>
      <c r="Q180" s="63"/>
      <c r="R180" s="63"/>
      <c r="S180" s="114"/>
      <c r="T180" s="114"/>
      <c r="U180" s="63"/>
      <c r="V180" s="114"/>
      <c r="W180" s="63"/>
      <c r="X180" s="708"/>
      <c r="Y180" s="63"/>
      <c r="Z180" s="636"/>
      <c r="AA180" s="63"/>
      <c r="AB180" s="400"/>
      <c r="AC180" s="63"/>
      <c r="AD180" s="114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127"/>
    </row>
    <row r="181" spans="1:41" s="83" customFormat="1">
      <c r="A181" s="138"/>
      <c r="B181" s="264"/>
      <c r="C181" s="77">
        <f t="shared" si="22"/>
        <v>-177</v>
      </c>
      <c r="D181" s="63">
        <f t="shared" si="18"/>
        <v>177</v>
      </c>
      <c r="E181" s="139">
        <v>3877</v>
      </c>
      <c r="F181" s="64" t="str">
        <f>IFERROR(VLOOKUP(Table6[[#This Row],[Player No]],Table10[[No]:[Province]],2,0),"")</f>
        <v>HARIDASS Omkar</v>
      </c>
      <c r="G181" s="65" t="str">
        <f>IFERROR(VLOOKUP(Table6[[#This Row],[Player No]],Table10[[No]:[Province]],3,0),"")</f>
        <v>UMG</v>
      </c>
      <c r="H181" s="66">
        <v>0</v>
      </c>
      <c r="I181" s="644">
        <v>2</v>
      </c>
      <c r="J181" s="819">
        <f>Table6[[#This Row],[Points 2025]]/2+SUM(Table6[[#This Row],[O1  ADMIN 2026]:[P2                           CT Open    2026]])</f>
        <v>3</v>
      </c>
      <c r="K181" s="63">
        <f t="shared" si="17"/>
        <v>2</v>
      </c>
      <c r="L181" s="63">
        <f t="shared" si="21"/>
        <v>0</v>
      </c>
      <c r="M181" s="708"/>
      <c r="N181" s="708">
        <v>1</v>
      </c>
      <c r="O181" s="708">
        <v>1</v>
      </c>
      <c r="P181" s="708"/>
      <c r="Q181" s="63"/>
      <c r="R181" s="63">
        <v>1</v>
      </c>
      <c r="S181" s="114"/>
      <c r="T181" s="114"/>
      <c r="U181" s="63">
        <v>1</v>
      </c>
      <c r="V181" s="114"/>
      <c r="W181" s="63"/>
      <c r="X181" s="708"/>
      <c r="Y181" s="63"/>
      <c r="Z181" s="636"/>
      <c r="AA181" s="63"/>
      <c r="AB181" s="400"/>
      <c r="AC181" s="63"/>
      <c r="AD181" s="114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127"/>
    </row>
    <row r="182" spans="1:41" s="83" customFormat="1">
      <c r="A182" s="366"/>
      <c r="B182" s="365"/>
      <c r="C182" s="360">
        <f t="shared" si="22"/>
        <v>-178</v>
      </c>
      <c r="D182" s="63">
        <f t="shared" si="18"/>
        <v>178</v>
      </c>
      <c r="E182" s="355">
        <v>4587</v>
      </c>
      <c r="F182" s="326" t="str">
        <f>IFERROR(VLOOKUP(Table6[[#This Row],[Player No]],Table10[[No]:[Province]],2,0),"")</f>
        <v>NAIDOO Keane Dane</v>
      </c>
      <c r="G182" s="65" t="str">
        <f>IFERROR(VLOOKUP(Table6[[#This Row],[Player No]],Table10[[No]:[Province]],3,0),"")</f>
        <v>ETTA</v>
      </c>
      <c r="H182" s="66">
        <v>0</v>
      </c>
      <c r="I182" s="644">
        <v>5</v>
      </c>
      <c r="J182" s="819">
        <f>Table6[[#This Row],[Points 2025]]/2+SUM(Table6[[#This Row],[O1  ADMIN 2026]:[P2                           CT Open    2026]])</f>
        <v>2.5</v>
      </c>
      <c r="K182" s="63">
        <f t="shared" si="17"/>
        <v>0</v>
      </c>
      <c r="L182" s="63">
        <f t="shared" si="21"/>
        <v>0</v>
      </c>
      <c r="M182" s="708"/>
      <c r="N182" s="828" t="s">
        <v>6083</v>
      </c>
      <c r="O182" s="828" t="s">
        <v>6083</v>
      </c>
      <c r="P182" s="828"/>
      <c r="Q182" s="361"/>
      <c r="R182" s="361"/>
      <c r="S182" s="357"/>
      <c r="T182" s="357">
        <v>1</v>
      </c>
      <c r="U182" s="361"/>
      <c r="V182" s="357"/>
      <c r="W182" s="361"/>
      <c r="X182" s="738"/>
      <c r="Y182" s="361"/>
      <c r="Z182" s="639">
        <v>5</v>
      </c>
      <c r="AA182" s="361"/>
      <c r="AB182" s="406"/>
      <c r="AC182" s="361"/>
      <c r="AD182" s="357"/>
      <c r="AE182" s="361"/>
      <c r="AF182" s="361"/>
      <c r="AG182" s="361"/>
      <c r="AH182" s="361"/>
      <c r="AI182" s="361"/>
      <c r="AJ182" s="361"/>
      <c r="AK182" s="361"/>
      <c r="AL182" s="361"/>
      <c r="AM182" s="361"/>
      <c r="AN182" s="361"/>
      <c r="AO182" s="395"/>
    </row>
    <row r="183" spans="1:41" s="83" customFormat="1">
      <c r="A183" s="63" t="str">
        <f>IFERROR(VLOOKUP(Table6[[#This Row],[Player No]],Table10[[#All],[No]:[Age Group]],4,0),"")</f>
        <v>U19</v>
      </c>
      <c r="B183" s="264">
        <v>178</v>
      </c>
      <c r="C183" s="77">
        <f t="shared" si="22"/>
        <v>-1</v>
      </c>
      <c r="D183" s="63">
        <f t="shared" si="18"/>
        <v>179</v>
      </c>
      <c r="E183" s="63">
        <v>3066</v>
      </c>
      <c r="F183" s="64" t="str">
        <f>IFERROR(VLOOKUP(Table6[[#This Row],[Player No]],Table10[[No]:[Province]],2,0),"")</f>
        <v>SESEANE Bahumi</v>
      </c>
      <c r="G183" s="65" t="str">
        <f>IFERROR(VLOOKUP(Table6[[#This Row],[Player No]],Table10[[No]:[Province]],3,0),"")</f>
        <v>FS</v>
      </c>
      <c r="H183" s="66">
        <v>10.5</v>
      </c>
      <c r="I183" s="644">
        <v>5</v>
      </c>
      <c r="J183" s="819">
        <f>Table6[[#This Row],[Points 2025]]/2+SUM(Table6[[#This Row],[O1  ADMIN 2026]:[P2                           CT Open    2026]])</f>
        <v>2.5</v>
      </c>
      <c r="K183" s="63">
        <f t="shared" si="17"/>
        <v>0</v>
      </c>
      <c r="L183" s="63">
        <f t="shared" si="21"/>
        <v>0</v>
      </c>
      <c r="M183" s="708"/>
      <c r="N183" s="708" t="s">
        <v>6083</v>
      </c>
      <c r="O183" s="708" t="s">
        <v>6083</v>
      </c>
      <c r="P183" s="708"/>
      <c r="Q183" s="63"/>
      <c r="R183" s="63"/>
      <c r="S183" s="114"/>
      <c r="T183" s="114"/>
      <c r="U183" s="63"/>
      <c r="V183" s="114"/>
      <c r="W183" s="63"/>
      <c r="X183" s="708"/>
      <c r="Y183" s="63"/>
      <c r="Z183" s="636"/>
      <c r="AA183" s="63"/>
      <c r="AB183" s="400"/>
      <c r="AC183" s="63"/>
      <c r="AD183" s="114"/>
      <c r="AE183" s="63"/>
      <c r="AF183" s="63"/>
      <c r="AG183" s="63"/>
      <c r="AH183" s="63"/>
      <c r="AI183" s="63"/>
      <c r="AJ183" s="63">
        <v>10</v>
      </c>
      <c r="AK183" s="63"/>
      <c r="AL183" s="63"/>
      <c r="AM183" s="63"/>
      <c r="AN183" s="63"/>
      <c r="AO183" s="127"/>
    </row>
    <row r="184" spans="1:41" s="83" customFormat="1" ht="15.75" customHeight="1">
      <c r="A184" s="63">
        <f>IFERROR(VLOOKUP(Table6[[#This Row],[Player No]],Table10[[#All],[No]:[Age Group]],4,0),"")</f>
        <v>0</v>
      </c>
      <c r="B184" s="264">
        <v>83</v>
      </c>
      <c r="C184" s="77">
        <f t="shared" si="22"/>
        <v>-97</v>
      </c>
      <c r="D184" s="63">
        <f t="shared" si="18"/>
        <v>180</v>
      </c>
      <c r="E184" s="63">
        <v>3509</v>
      </c>
      <c r="F184" s="64" t="str">
        <f>IFERROR(VLOOKUP(Table6[[#This Row],[Player No]],Table10[[No]:[Province]],2,0),"")</f>
        <v>BHUNDOO Aryik</v>
      </c>
      <c r="G184" s="65" t="str">
        <f>IFERROR(VLOOKUP(Table6[[#This Row],[Player No]],Table10[[No]:[Province]],3,0),"")</f>
        <v>UMG</v>
      </c>
      <c r="H184" s="66">
        <v>10</v>
      </c>
      <c r="I184" s="644">
        <v>5</v>
      </c>
      <c r="J184" s="819">
        <f>Table6[[#This Row],[Points 2025]]/2+SUM(Table6[[#This Row],[O1  ADMIN 2026]:[P2                           CT Open    2026]])</f>
        <v>2.5</v>
      </c>
      <c r="K184" s="63">
        <f t="shared" si="17"/>
        <v>0</v>
      </c>
      <c r="L184" s="63">
        <f t="shared" si="21"/>
        <v>0</v>
      </c>
      <c r="M184" s="708"/>
      <c r="N184" s="708" t="s">
        <v>6083</v>
      </c>
      <c r="O184" s="708" t="s">
        <v>6083</v>
      </c>
      <c r="P184" s="708"/>
      <c r="Q184" s="63"/>
      <c r="R184" s="63"/>
      <c r="S184" s="114"/>
      <c r="T184" s="114"/>
      <c r="U184" s="63"/>
      <c r="V184" s="114"/>
      <c r="W184" s="63"/>
      <c r="X184" s="708"/>
      <c r="Y184" s="63"/>
      <c r="Z184" s="636"/>
      <c r="AA184" s="63"/>
      <c r="AB184" s="400"/>
      <c r="AC184" s="63"/>
      <c r="AD184" s="114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127"/>
    </row>
    <row r="185" spans="1:41" s="83" customFormat="1" ht="15.75" customHeight="1">
      <c r="A185" s="63">
        <f>IFERROR(VLOOKUP(Table6[[#This Row],[Player No]],Table10[[#All],[No]:[Age Group]],4,0),"")</f>
        <v>0</v>
      </c>
      <c r="B185" s="264">
        <v>85</v>
      </c>
      <c r="C185" s="77">
        <f t="shared" si="22"/>
        <v>-96</v>
      </c>
      <c r="D185" s="63">
        <f t="shared" si="18"/>
        <v>181</v>
      </c>
      <c r="E185" s="63">
        <v>3931</v>
      </c>
      <c r="F185" s="64" t="str">
        <f>IFERROR(VLOOKUP(Table6[[#This Row],[Player No]],Table10[[No]:[Province]],2,0),"")</f>
        <v>DA SILVA Michael</v>
      </c>
      <c r="G185" s="65" t="str">
        <f>IFERROR(VLOOKUP(Table6[[#This Row],[Player No]],Table10[[No]:[Province]],3,0),"")</f>
        <v>JTTA</v>
      </c>
      <c r="H185" s="66">
        <v>10</v>
      </c>
      <c r="I185" s="644">
        <v>5</v>
      </c>
      <c r="J185" s="819">
        <f>Table6[[#This Row],[Points 2025]]/2+SUM(Table6[[#This Row],[O1  ADMIN 2026]:[P2                           CT Open    2026]])</f>
        <v>2.5</v>
      </c>
      <c r="K185" s="63">
        <f t="shared" si="17"/>
        <v>0</v>
      </c>
      <c r="L185" s="63">
        <f t="shared" si="21"/>
        <v>0</v>
      </c>
      <c r="M185" s="708"/>
      <c r="N185" s="708" t="s">
        <v>6083</v>
      </c>
      <c r="O185" s="708" t="s">
        <v>6083</v>
      </c>
      <c r="P185" s="708"/>
      <c r="Q185" s="63"/>
      <c r="R185" s="63"/>
      <c r="S185" s="114"/>
      <c r="T185" s="114"/>
      <c r="U185" s="63"/>
      <c r="V185" s="114"/>
      <c r="W185" s="63"/>
      <c r="X185" s="708"/>
      <c r="Y185" s="63"/>
      <c r="Z185" s="636"/>
      <c r="AA185" s="63"/>
      <c r="AB185" s="400"/>
      <c r="AC185" s="63"/>
      <c r="AD185" s="114"/>
      <c r="AE185" s="63"/>
      <c r="AF185" s="63"/>
      <c r="AG185" s="63"/>
      <c r="AH185" s="63"/>
      <c r="AI185" s="63"/>
      <c r="AJ185" s="63"/>
      <c r="AK185" s="63"/>
      <c r="AL185" s="63">
        <v>10</v>
      </c>
      <c r="AM185" s="63"/>
      <c r="AN185" s="63"/>
      <c r="AO185" s="127"/>
    </row>
    <row r="186" spans="1:41" s="83" customFormat="1">
      <c r="A186" s="63">
        <f>IFERROR(VLOOKUP(Table6[[#This Row],[Player No]],Table10[[#All],[No]:[Age Group]],4,0),"")</f>
        <v>0</v>
      </c>
      <c r="B186" s="264">
        <v>86</v>
      </c>
      <c r="C186" s="77">
        <f t="shared" si="22"/>
        <v>-96</v>
      </c>
      <c r="D186" s="63">
        <f t="shared" si="18"/>
        <v>182</v>
      </c>
      <c r="E186" s="63">
        <v>3932</v>
      </c>
      <c r="F186" s="64" t="str">
        <f>IFERROR(VLOOKUP(Table6[[#This Row],[Player No]],Table10[[No]:[Province]],2,0),"")</f>
        <v>ALLY Sa'ad</v>
      </c>
      <c r="G186" s="65" t="str">
        <f>IFERROR(VLOOKUP(Table6[[#This Row],[Player No]],Table10[[No]:[Province]],3,0),"")</f>
        <v>JTTA</v>
      </c>
      <c r="H186" s="66">
        <v>10</v>
      </c>
      <c r="I186" s="644">
        <v>5</v>
      </c>
      <c r="J186" s="819">
        <f>Table6[[#This Row],[Points 2025]]/2+SUM(Table6[[#This Row],[O1  ADMIN 2026]:[P2                           CT Open    2026]])</f>
        <v>2.5</v>
      </c>
      <c r="K186" s="63">
        <f t="shared" si="17"/>
        <v>0</v>
      </c>
      <c r="L186" s="63">
        <f t="shared" si="21"/>
        <v>0</v>
      </c>
      <c r="M186" s="708"/>
      <c r="N186" s="708" t="s">
        <v>6083</v>
      </c>
      <c r="O186" s="708" t="s">
        <v>6083</v>
      </c>
      <c r="P186" s="708"/>
      <c r="Q186" s="63"/>
      <c r="R186" s="63"/>
      <c r="S186" s="114"/>
      <c r="T186" s="114"/>
      <c r="U186" s="63"/>
      <c r="V186" s="114"/>
      <c r="W186" s="63"/>
      <c r="X186" s="708"/>
      <c r="Y186" s="63"/>
      <c r="Z186" s="636"/>
      <c r="AA186" s="63"/>
      <c r="AB186" s="400"/>
      <c r="AC186" s="63"/>
      <c r="AD186" s="114"/>
      <c r="AE186" s="63"/>
      <c r="AF186" s="63"/>
      <c r="AG186" s="63"/>
      <c r="AH186" s="63"/>
      <c r="AI186" s="63"/>
      <c r="AJ186" s="63"/>
      <c r="AK186" s="63"/>
      <c r="AL186" s="63">
        <v>10</v>
      </c>
      <c r="AM186" s="63"/>
      <c r="AN186" s="63"/>
      <c r="AO186" s="127"/>
    </row>
    <row r="187" spans="1:41" s="83" customFormat="1">
      <c r="A187" s="63">
        <f>IFERROR(VLOOKUP(Table6[[#This Row],[Player No]],Table10[[#All],[No]:[Age Group]],4,0),"")</f>
        <v>0</v>
      </c>
      <c r="B187" s="264">
        <v>87</v>
      </c>
      <c r="C187" s="77">
        <f t="shared" si="22"/>
        <v>-96</v>
      </c>
      <c r="D187" s="63">
        <f t="shared" si="18"/>
        <v>183</v>
      </c>
      <c r="E187" s="63">
        <v>3933</v>
      </c>
      <c r="F187" s="64" t="str">
        <f>IFERROR(VLOOKUP(Table6[[#This Row],[Player No]],Table10[[No]:[Province]],2,0),"")</f>
        <v>SUBAN Muawiyah</v>
      </c>
      <c r="G187" s="65" t="str">
        <f>IFERROR(VLOOKUP(Table6[[#This Row],[Player No]],Table10[[No]:[Province]],3,0),"")</f>
        <v>JTTA</v>
      </c>
      <c r="H187" s="66">
        <v>10</v>
      </c>
      <c r="I187" s="644">
        <v>5</v>
      </c>
      <c r="J187" s="819">
        <f>Table6[[#This Row],[Points 2025]]/2+SUM(Table6[[#This Row],[O1  ADMIN 2026]:[P2                           CT Open    2026]])</f>
        <v>2.5</v>
      </c>
      <c r="K187" s="63">
        <f t="shared" si="17"/>
        <v>0</v>
      </c>
      <c r="L187" s="63">
        <f t="shared" si="21"/>
        <v>0</v>
      </c>
      <c r="M187" s="708"/>
      <c r="N187" s="708" t="s">
        <v>6083</v>
      </c>
      <c r="O187" s="708" t="s">
        <v>6083</v>
      </c>
      <c r="P187" s="708"/>
      <c r="Q187" s="63"/>
      <c r="R187" s="63"/>
      <c r="S187" s="114"/>
      <c r="T187" s="114"/>
      <c r="U187" s="63"/>
      <c r="V187" s="114"/>
      <c r="W187" s="63"/>
      <c r="X187" s="708"/>
      <c r="Y187" s="63"/>
      <c r="Z187" s="636"/>
      <c r="AA187" s="63"/>
      <c r="AB187" s="400"/>
      <c r="AC187" s="63"/>
      <c r="AD187" s="114"/>
      <c r="AE187" s="63"/>
      <c r="AF187" s="63"/>
      <c r="AG187" s="63"/>
      <c r="AH187" s="63"/>
      <c r="AI187" s="63"/>
      <c r="AJ187" s="63"/>
      <c r="AK187" s="63"/>
      <c r="AL187" s="63">
        <v>10</v>
      </c>
      <c r="AM187" s="63"/>
      <c r="AN187" s="63"/>
      <c r="AO187" s="127"/>
    </row>
    <row r="188" spans="1:41" s="83" customFormat="1">
      <c r="A188" s="63">
        <f>IFERROR(VLOOKUP(Table6[[#This Row],[Player No]],Table10[[#All],[No]:[Age Group]],4,0),"")</f>
        <v>0</v>
      </c>
      <c r="B188" s="264"/>
      <c r="C188" s="77"/>
      <c r="D188" s="63">
        <f t="shared" si="18"/>
        <v>184</v>
      </c>
      <c r="E188" s="63">
        <v>4089</v>
      </c>
      <c r="F188" s="64" t="str">
        <f>IFERROR(VLOOKUP(Table6[[#This Row],[Player No]],Table10[[No]:[Province]],2,0),"")</f>
        <v>Mehul Ajay Morar</v>
      </c>
      <c r="G188" s="65" t="str">
        <f>IFERROR(VLOOKUP(Table6[[#This Row],[Player No]],Table10[[No]:[Province]],3,0),"")</f>
        <v>JTTA</v>
      </c>
      <c r="H188" s="66">
        <v>10</v>
      </c>
      <c r="I188" s="644">
        <v>5</v>
      </c>
      <c r="J188" s="819">
        <f>Table6[[#This Row],[Points 2025]]/2+SUM(Table6[[#This Row],[O1  ADMIN 2026]:[P2                           CT Open    2026]])</f>
        <v>2.5</v>
      </c>
      <c r="K188" s="63">
        <f t="shared" si="17"/>
        <v>0</v>
      </c>
      <c r="L188" s="63">
        <f t="shared" si="21"/>
        <v>0</v>
      </c>
      <c r="M188" s="708"/>
      <c r="N188" s="708" t="s">
        <v>6083</v>
      </c>
      <c r="O188" s="708" t="s">
        <v>6083</v>
      </c>
      <c r="P188" s="708"/>
      <c r="Q188" s="63"/>
      <c r="R188" s="63"/>
      <c r="S188" s="114"/>
      <c r="T188" s="114"/>
      <c r="U188" s="63"/>
      <c r="V188" s="114"/>
      <c r="W188" s="63"/>
      <c r="X188" s="708"/>
      <c r="Y188" s="63"/>
      <c r="Z188" s="636"/>
      <c r="AA188" s="63"/>
      <c r="AB188" s="400"/>
      <c r="AC188" s="63"/>
      <c r="AD188" s="114"/>
      <c r="AE188" s="63"/>
      <c r="AF188" s="63"/>
      <c r="AG188" s="63"/>
      <c r="AH188" s="63"/>
      <c r="AI188" s="63"/>
      <c r="AJ188" s="63"/>
      <c r="AK188" s="63">
        <v>10</v>
      </c>
      <c r="AL188" s="63"/>
      <c r="AM188" s="63"/>
      <c r="AN188" s="63"/>
      <c r="AO188" s="127"/>
    </row>
    <row r="189" spans="1:41" s="83" customFormat="1">
      <c r="A189" s="63">
        <f>IFERROR(VLOOKUP(Table6[[#This Row],[Player No]],Table10[[#All],[No]:[Age Group]],4,0),"")</f>
        <v>0</v>
      </c>
      <c r="B189" s="264"/>
      <c r="C189" s="77"/>
      <c r="D189" s="63">
        <f t="shared" si="18"/>
        <v>185</v>
      </c>
      <c r="E189" s="63">
        <v>4090</v>
      </c>
      <c r="F189" s="64" t="str">
        <f>IFERROR(VLOOKUP(Table6[[#This Row],[Player No]],Table10[[No]:[Province]],2,0),"")</f>
        <v>Mohnish</v>
      </c>
      <c r="G189" s="65" t="str">
        <f>IFERROR(VLOOKUP(Table6[[#This Row],[Player No]],Table10[[No]:[Province]],3,0),"")</f>
        <v>JTTA</v>
      </c>
      <c r="H189" s="66">
        <v>10</v>
      </c>
      <c r="I189" s="644">
        <v>5</v>
      </c>
      <c r="J189" s="819">
        <f>Table6[[#This Row],[Points 2025]]/2+SUM(Table6[[#This Row],[O1  ADMIN 2026]:[P2                           CT Open    2026]])</f>
        <v>2.5</v>
      </c>
      <c r="K189" s="63">
        <f t="shared" si="17"/>
        <v>0</v>
      </c>
      <c r="L189" s="63">
        <f t="shared" si="21"/>
        <v>0</v>
      </c>
      <c r="M189" s="708"/>
      <c r="N189" s="708" t="s">
        <v>6083</v>
      </c>
      <c r="O189" s="708" t="s">
        <v>6083</v>
      </c>
      <c r="P189" s="708"/>
      <c r="Q189" s="63"/>
      <c r="R189" s="63"/>
      <c r="S189" s="114"/>
      <c r="T189" s="114"/>
      <c r="U189" s="63"/>
      <c r="V189" s="114"/>
      <c r="W189" s="63"/>
      <c r="X189" s="708"/>
      <c r="Y189" s="63"/>
      <c r="Z189" s="636"/>
      <c r="AA189" s="63"/>
      <c r="AB189" s="400"/>
      <c r="AC189" s="63"/>
      <c r="AD189" s="114"/>
      <c r="AE189" s="63"/>
      <c r="AF189" s="63"/>
      <c r="AG189" s="63"/>
      <c r="AH189" s="63"/>
      <c r="AI189" s="63"/>
      <c r="AJ189" s="63"/>
      <c r="AK189" s="63">
        <v>10</v>
      </c>
      <c r="AL189" s="63"/>
      <c r="AM189" s="63"/>
      <c r="AN189" s="63"/>
      <c r="AO189" s="127"/>
    </row>
    <row r="190" spans="1:41" s="83" customFormat="1" ht="15.75" customHeight="1">
      <c r="A190" s="614"/>
      <c r="B190" s="732"/>
      <c r="C190" s="618">
        <f t="shared" ref="C190:C217" si="23">+B190-D190</f>
        <v>-186</v>
      </c>
      <c r="D190" s="63">
        <f t="shared" si="18"/>
        <v>186</v>
      </c>
      <c r="E190" s="620">
        <v>3696</v>
      </c>
      <c r="F190" s="64" t="str">
        <f>IFERROR(VLOOKUP(Table6[[#This Row],[Player No]],Table10[[No]:[Province]],2,0),"")</f>
        <v>LAS Davian</v>
      </c>
      <c r="G190" s="65" t="str">
        <f>IFERROR(VLOOKUP(Table6[[#This Row],[Player No]],Table10[[No]:[Province]],3,0),"")</f>
        <v>Eden</v>
      </c>
      <c r="H190" s="626">
        <v>0</v>
      </c>
      <c r="I190" s="644">
        <v>5</v>
      </c>
      <c r="J190" s="819">
        <f>Table6[[#This Row],[Points 2025]]/2+SUM(Table6[[#This Row],[O1  ADMIN 2026]:[P2                           CT Open    2026]])</f>
        <v>2.5</v>
      </c>
      <c r="K190" s="63">
        <f t="shared" si="17"/>
        <v>0</v>
      </c>
      <c r="L190" s="63">
        <f t="shared" si="21"/>
        <v>0</v>
      </c>
      <c r="M190" s="708"/>
      <c r="N190" s="781" t="s">
        <v>6083</v>
      </c>
      <c r="O190" s="781" t="s">
        <v>6083</v>
      </c>
      <c r="P190" s="781"/>
      <c r="Q190" s="624"/>
      <c r="R190" s="624"/>
      <c r="S190" s="625"/>
      <c r="T190" s="625"/>
      <c r="U190" s="624"/>
      <c r="V190" s="625"/>
      <c r="W190" s="624"/>
      <c r="X190" s="709"/>
      <c r="Y190" s="624"/>
      <c r="Z190" s="677">
        <v>5</v>
      </c>
      <c r="AA190" s="624"/>
      <c r="AB190" s="611"/>
      <c r="AC190" s="624"/>
      <c r="AD190" s="625"/>
      <c r="AE190" s="624"/>
      <c r="AF190" s="624"/>
      <c r="AG190" s="624"/>
      <c r="AH190" s="624"/>
      <c r="AI190" s="624"/>
      <c r="AJ190" s="624"/>
      <c r="AK190" s="624"/>
      <c r="AL190" s="624"/>
      <c r="AM190" s="624"/>
      <c r="AN190" s="624"/>
      <c r="AO190" s="630"/>
    </row>
    <row r="191" spans="1:41" s="83" customFormat="1" ht="15" customHeight="1">
      <c r="A191" s="614"/>
      <c r="B191" s="732"/>
      <c r="C191" s="618">
        <f t="shared" si="23"/>
        <v>-187</v>
      </c>
      <c r="D191" s="63">
        <f t="shared" si="18"/>
        <v>187</v>
      </c>
      <c r="E191" s="620">
        <v>3736</v>
      </c>
      <c r="F191" s="64" t="str">
        <f>IFERROR(VLOOKUP(Table6[[#This Row],[Player No]],Table10[[No]:[Province]],2,0),"")</f>
        <v>DITHEJANE Thato</v>
      </c>
      <c r="G191" s="65" t="str">
        <f>IFERROR(VLOOKUP(Table6[[#This Row],[Player No]],Table10[[No]:[Province]],3,0),"")</f>
        <v>NWP</v>
      </c>
      <c r="H191" s="626">
        <v>0</v>
      </c>
      <c r="I191" s="644">
        <v>5</v>
      </c>
      <c r="J191" s="819">
        <f>Table6[[#This Row],[Points 2025]]/2+SUM(Table6[[#This Row],[O1  ADMIN 2026]:[P2                           CT Open    2026]])</f>
        <v>2.5</v>
      </c>
      <c r="K191" s="63">
        <f t="shared" si="17"/>
        <v>0</v>
      </c>
      <c r="L191" s="63">
        <f t="shared" si="21"/>
        <v>0</v>
      </c>
      <c r="M191" s="708"/>
      <c r="N191" s="781" t="s">
        <v>6083</v>
      </c>
      <c r="O191" s="781" t="s">
        <v>6083</v>
      </c>
      <c r="P191" s="781"/>
      <c r="Q191" s="624"/>
      <c r="R191" s="624"/>
      <c r="S191" s="625"/>
      <c r="T191" s="625"/>
      <c r="U191" s="624"/>
      <c r="V191" s="625"/>
      <c r="W191" s="624"/>
      <c r="X191" s="709"/>
      <c r="Y191" s="624"/>
      <c r="Z191" s="677">
        <v>5</v>
      </c>
      <c r="AA191" s="624"/>
      <c r="AB191" s="611"/>
      <c r="AC191" s="624"/>
      <c r="AD191" s="625"/>
      <c r="AE191" s="624"/>
      <c r="AF191" s="624"/>
      <c r="AG191" s="624"/>
      <c r="AH191" s="624"/>
      <c r="AI191" s="624"/>
      <c r="AJ191" s="624"/>
      <c r="AK191" s="624"/>
      <c r="AL191" s="624"/>
      <c r="AM191" s="624"/>
      <c r="AN191" s="624"/>
      <c r="AO191" s="630"/>
    </row>
    <row r="192" spans="1:41" s="83" customFormat="1">
      <c r="A192" s="614"/>
      <c r="B192" s="732"/>
      <c r="C192" s="618">
        <f t="shared" si="23"/>
        <v>-188</v>
      </c>
      <c r="D192" s="63">
        <f t="shared" si="18"/>
        <v>188</v>
      </c>
      <c r="E192" s="620">
        <v>3740</v>
      </c>
      <c r="F192" s="64" t="str">
        <f>IFERROR(VLOOKUP(Table6[[#This Row],[Player No]],Table10[[No]:[Province]],2,0),"")</f>
        <v xml:space="preserve">MASIMULA  Sibongwa  </v>
      </c>
      <c r="G192" s="65" t="str">
        <f>IFERROR(VLOOKUP(Table6[[#This Row],[Player No]],Table10[[No]:[Province]],3,0),"")</f>
        <v>UMZ</v>
      </c>
      <c r="H192" s="626">
        <v>0</v>
      </c>
      <c r="I192" s="644">
        <v>5</v>
      </c>
      <c r="J192" s="819">
        <f>Table6[[#This Row],[Points 2025]]/2+SUM(Table6[[#This Row],[O1  ADMIN 2026]:[P2                           CT Open    2026]])</f>
        <v>2.5</v>
      </c>
      <c r="K192" s="63">
        <f t="shared" si="17"/>
        <v>0</v>
      </c>
      <c r="L192" s="63">
        <f t="shared" ref="L192:L223" si="24">COUNTIF(N192:AO192,"&lt;0")</f>
        <v>0</v>
      </c>
      <c r="M192" s="708"/>
      <c r="N192" s="781" t="s">
        <v>6083</v>
      </c>
      <c r="O192" s="781" t="s">
        <v>6083</v>
      </c>
      <c r="P192" s="781"/>
      <c r="Q192" s="624"/>
      <c r="R192" s="624"/>
      <c r="S192" s="625"/>
      <c r="T192" s="625"/>
      <c r="U192" s="624"/>
      <c r="V192" s="625"/>
      <c r="W192" s="624"/>
      <c r="X192" s="709"/>
      <c r="Y192" s="624"/>
      <c r="Z192" s="677">
        <v>5</v>
      </c>
      <c r="AA192" s="624"/>
      <c r="AB192" s="611"/>
      <c r="AC192" s="624"/>
      <c r="AD192" s="625"/>
      <c r="AE192" s="624"/>
      <c r="AF192" s="624"/>
      <c r="AG192" s="624"/>
      <c r="AH192" s="624"/>
      <c r="AI192" s="624"/>
      <c r="AJ192" s="624"/>
      <c r="AK192" s="624"/>
      <c r="AL192" s="624"/>
      <c r="AM192" s="624"/>
      <c r="AN192" s="624"/>
      <c r="AO192" s="630"/>
    </row>
    <row r="193" spans="1:41" s="83" customFormat="1">
      <c r="A193" s="614"/>
      <c r="B193" s="732"/>
      <c r="C193" s="618">
        <f t="shared" si="23"/>
        <v>-189</v>
      </c>
      <c r="D193" s="63">
        <f t="shared" si="18"/>
        <v>189</v>
      </c>
      <c r="E193" s="620">
        <v>3742</v>
      </c>
      <c r="F193" s="64" t="str">
        <f>IFERROR(VLOOKUP(Table6[[#This Row],[Player No]],Table10[[No]:[Province]],2,0),"")</f>
        <v xml:space="preserve">ZIQUBU  Siyanda </v>
      </c>
      <c r="G193" s="65" t="str">
        <f>IFERROR(VLOOKUP(Table6[[#This Row],[Player No]],Table10[[No]:[Province]],3,0),"")</f>
        <v>UMZ</v>
      </c>
      <c r="H193" s="626">
        <v>0</v>
      </c>
      <c r="I193" s="644">
        <v>5</v>
      </c>
      <c r="J193" s="819">
        <f>Table6[[#This Row],[Points 2025]]/2+SUM(Table6[[#This Row],[O1  ADMIN 2026]:[P2                           CT Open    2026]])</f>
        <v>2.5</v>
      </c>
      <c r="K193" s="63">
        <f t="shared" si="17"/>
        <v>0</v>
      </c>
      <c r="L193" s="63">
        <f t="shared" si="24"/>
        <v>0</v>
      </c>
      <c r="M193" s="708"/>
      <c r="N193" s="781" t="s">
        <v>6083</v>
      </c>
      <c r="O193" s="781" t="s">
        <v>6083</v>
      </c>
      <c r="P193" s="781"/>
      <c r="Q193" s="624"/>
      <c r="R193" s="624"/>
      <c r="S193" s="625"/>
      <c r="T193" s="625"/>
      <c r="U193" s="624"/>
      <c r="V193" s="625"/>
      <c r="W193" s="624"/>
      <c r="X193" s="709"/>
      <c r="Y193" s="624"/>
      <c r="Z193" s="677">
        <v>5</v>
      </c>
      <c r="AA193" s="624"/>
      <c r="AB193" s="611"/>
      <c r="AC193" s="624"/>
      <c r="AD193" s="625"/>
      <c r="AE193" s="624"/>
      <c r="AF193" s="624"/>
      <c r="AG193" s="624"/>
      <c r="AH193" s="624"/>
      <c r="AI193" s="624"/>
      <c r="AJ193" s="624"/>
      <c r="AK193" s="624"/>
      <c r="AL193" s="624"/>
      <c r="AM193" s="624"/>
      <c r="AN193" s="624"/>
      <c r="AO193" s="630"/>
    </row>
    <row r="194" spans="1:41" s="83" customFormat="1">
      <c r="A194" s="614"/>
      <c r="B194" s="732"/>
      <c r="C194" s="618">
        <f t="shared" si="23"/>
        <v>-190</v>
      </c>
      <c r="D194" s="63">
        <f t="shared" si="18"/>
        <v>190</v>
      </c>
      <c r="E194" s="620">
        <v>4108</v>
      </c>
      <c r="F194" s="64" t="str">
        <f>IFERROR(VLOOKUP(Table6[[#This Row],[Player No]],Table10[[No]:[Province]],2,0),"")</f>
        <v>Siphephelo MGENGE</v>
      </c>
      <c r="G194" s="65" t="str">
        <f>IFERROR(VLOOKUP(Table6[[#This Row],[Player No]],Table10[[No]:[Province]],3,0),"")</f>
        <v>ETTA</v>
      </c>
      <c r="H194" s="626">
        <v>0</v>
      </c>
      <c r="I194" s="644">
        <v>5</v>
      </c>
      <c r="J194" s="819">
        <f>Table6[[#This Row],[Points 2025]]/2+SUM(Table6[[#This Row],[O1  ADMIN 2026]:[P2                           CT Open    2026]])</f>
        <v>2.5</v>
      </c>
      <c r="K194" s="63">
        <f t="shared" si="17"/>
        <v>0</v>
      </c>
      <c r="L194" s="63">
        <f t="shared" si="24"/>
        <v>0</v>
      </c>
      <c r="M194" s="708"/>
      <c r="N194" s="781" t="s">
        <v>6083</v>
      </c>
      <c r="O194" s="781" t="s">
        <v>6083</v>
      </c>
      <c r="P194" s="781"/>
      <c r="Q194" s="624"/>
      <c r="R194" s="624"/>
      <c r="S194" s="625"/>
      <c r="T194" s="625"/>
      <c r="U194" s="624"/>
      <c r="V194" s="625"/>
      <c r="W194" s="624"/>
      <c r="X194" s="709"/>
      <c r="Y194" s="624"/>
      <c r="Z194" s="677">
        <v>5</v>
      </c>
      <c r="AA194" s="624"/>
      <c r="AB194" s="611"/>
      <c r="AC194" s="624"/>
      <c r="AD194" s="625"/>
      <c r="AE194" s="624"/>
      <c r="AF194" s="624"/>
      <c r="AG194" s="624"/>
      <c r="AH194" s="624"/>
      <c r="AI194" s="624"/>
      <c r="AJ194" s="624"/>
      <c r="AK194" s="624"/>
      <c r="AL194" s="624"/>
      <c r="AM194" s="624"/>
      <c r="AN194" s="624"/>
      <c r="AO194" s="630"/>
    </row>
    <row r="195" spans="1:41" s="83" customFormat="1">
      <c r="A195" s="614"/>
      <c r="B195" s="732"/>
      <c r="C195" s="618">
        <f t="shared" si="23"/>
        <v>-191</v>
      </c>
      <c r="D195" s="63">
        <f t="shared" si="18"/>
        <v>191</v>
      </c>
      <c r="E195" s="620">
        <v>4204</v>
      </c>
      <c r="F195" s="64" t="str">
        <f>IFERROR(VLOOKUP(Table6[[#This Row],[Player No]],Table10[[No]:[Province]],2,0),"")</f>
        <v>LOUW Lian</v>
      </c>
      <c r="G195" s="65" t="str">
        <f>IFERROR(VLOOKUP(Table6[[#This Row],[Player No]],Table10[[No]:[Province]],3,0),"")</f>
        <v>EDEN</v>
      </c>
      <c r="H195" s="626">
        <v>0</v>
      </c>
      <c r="I195" s="644">
        <v>5</v>
      </c>
      <c r="J195" s="819">
        <f>Table6[[#This Row],[Points 2025]]/2+SUM(Table6[[#This Row],[O1  ADMIN 2026]:[P2                           CT Open    2026]])</f>
        <v>2.5</v>
      </c>
      <c r="K195" s="63">
        <f t="shared" si="17"/>
        <v>0</v>
      </c>
      <c r="L195" s="63">
        <f t="shared" si="24"/>
        <v>0</v>
      </c>
      <c r="M195" s="708"/>
      <c r="N195" s="781" t="s">
        <v>6083</v>
      </c>
      <c r="O195" s="781" t="s">
        <v>6083</v>
      </c>
      <c r="P195" s="781"/>
      <c r="Q195" s="624"/>
      <c r="R195" s="624"/>
      <c r="S195" s="625"/>
      <c r="T195" s="625"/>
      <c r="U195" s="624"/>
      <c r="V195" s="625"/>
      <c r="W195" s="624"/>
      <c r="X195" s="709"/>
      <c r="Y195" s="624"/>
      <c r="Z195" s="677">
        <v>5</v>
      </c>
      <c r="AA195" s="624"/>
      <c r="AB195" s="611"/>
      <c r="AC195" s="624"/>
      <c r="AD195" s="625"/>
      <c r="AE195" s="624"/>
      <c r="AF195" s="624"/>
      <c r="AG195" s="624"/>
      <c r="AH195" s="624"/>
      <c r="AI195" s="624"/>
      <c r="AJ195" s="624"/>
      <c r="AK195" s="624"/>
      <c r="AL195" s="624"/>
      <c r="AM195" s="624"/>
      <c r="AN195" s="624"/>
      <c r="AO195" s="630"/>
    </row>
    <row r="196" spans="1:41" s="83" customFormat="1">
      <c r="A196" s="614"/>
      <c r="B196" s="732"/>
      <c r="C196" s="618">
        <f t="shared" si="23"/>
        <v>-192</v>
      </c>
      <c r="D196" s="63">
        <f t="shared" si="18"/>
        <v>192</v>
      </c>
      <c r="E196" s="620">
        <v>4299</v>
      </c>
      <c r="F196" s="64" t="str">
        <f>IFERROR(VLOOKUP(Table6[[#This Row],[Player No]],Table10[[No]:[Province]],2,0),"")</f>
        <v xml:space="preserve">S Nklaone </v>
      </c>
      <c r="G196" s="65" t="str">
        <f>IFERROR(VLOOKUP(Table6[[#This Row],[Player No]],Table10[[No]:[Province]],3,0),"")</f>
        <v>FS</v>
      </c>
      <c r="H196" s="626">
        <v>0</v>
      </c>
      <c r="I196" s="644">
        <v>5</v>
      </c>
      <c r="J196" s="819">
        <f>Table6[[#This Row],[Points 2025]]/2+SUM(Table6[[#This Row],[O1  ADMIN 2026]:[P2                           CT Open    2026]])</f>
        <v>2.5</v>
      </c>
      <c r="K196" s="63">
        <f t="shared" si="17"/>
        <v>0</v>
      </c>
      <c r="L196" s="63">
        <f t="shared" si="24"/>
        <v>0</v>
      </c>
      <c r="M196" s="708"/>
      <c r="N196" s="781" t="s">
        <v>6083</v>
      </c>
      <c r="O196" s="781" t="s">
        <v>6083</v>
      </c>
      <c r="P196" s="781"/>
      <c r="Q196" s="624"/>
      <c r="R196" s="624"/>
      <c r="S196" s="625"/>
      <c r="T196" s="625"/>
      <c r="U196" s="624"/>
      <c r="V196" s="625"/>
      <c r="W196" s="624"/>
      <c r="X196" s="709"/>
      <c r="Y196" s="624"/>
      <c r="Z196" s="677">
        <v>5</v>
      </c>
      <c r="AA196" s="624"/>
      <c r="AB196" s="611"/>
      <c r="AC196" s="624"/>
      <c r="AD196" s="625"/>
      <c r="AE196" s="624"/>
      <c r="AF196" s="624"/>
      <c r="AG196" s="624"/>
      <c r="AH196" s="624"/>
      <c r="AI196" s="624"/>
      <c r="AJ196" s="624"/>
      <c r="AK196" s="624"/>
      <c r="AL196" s="624"/>
      <c r="AM196" s="624"/>
      <c r="AN196" s="624"/>
      <c r="AO196" s="630"/>
    </row>
    <row r="197" spans="1:41" s="83" customFormat="1">
      <c r="A197" s="614"/>
      <c r="B197" s="732"/>
      <c r="C197" s="618">
        <f t="shared" si="23"/>
        <v>-193</v>
      </c>
      <c r="D197" s="63">
        <f t="shared" si="18"/>
        <v>193</v>
      </c>
      <c r="E197" s="620">
        <v>4364</v>
      </c>
      <c r="F197" s="64" t="str">
        <f>IFERROR(VLOOKUP(Table6[[#This Row],[Player No]],Table10[[No]:[Province]],2,0),"")</f>
        <v>PAUL Ishaan</v>
      </c>
      <c r="G197" s="65" t="str">
        <f>IFERROR(VLOOKUP(Table6[[#This Row],[Player No]],Table10[[No]:[Province]],3,0),"")</f>
        <v>ETTA</v>
      </c>
      <c r="H197" s="626">
        <v>0</v>
      </c>
      <c r="I197" s="644">
        <v>5</v>
      </c>
      <c r="J197" s="819">
        <f>Table6[[#This Row],[Points 2025]]/2+SUM(Table6[[#This Row],[O1  ADMIN 2026]:[P2                           CT Open    2026]])</f>
        <v>2.5</v>
      </c>
      <c r="K197" s="63">
        <f t="shared" ref="K197:K260" si="25">COUNTIF(M197:P197,"&gt;0")</f>
        <v>0</v>
      </c>
      <c r="L197" s="63">
        <f t="shared" si="24"/>
        <v>0</v>
      </c>
      <c r="M197" s="708"/>
      <c r="N197" s="781" t="s">
        <v>6083</v>
      </c>
      <c r="O197" s="781" t="s">
        <v>6083</v>
      </c>
      <c r="P197" s="781"/>
      <c r="Q197" s="624"/>
      <c r="R197" s="624"/>
      <c r="S197" s="625"/>
      <c r="T197" s="625"/>
      <c r="U197" s="624"/>
      <c r="V197" s="625"/>
      <c r="W197" s="624"/>
      <c r="X197" s="709"/>
      <c r="Y197" s="624"/>
      <c r="Z197" s="677">
        <v>5</v>
      </c>
      <c r="AA197" s="624"/>
      <c r="AB197" s="611"/>
      <c r="AC197" s="624"/>
      <c r="AD197" s="625"/>
      <c r="AE197" s="624"/>
      <c r="AF197" s="624"/>
      <c r="AG197" s="624"/>
      <c r="AH197" s="624"/>
      <c r="AI197" s="624"/>
      <c r="AJ197" s="624"/>
      <c r="AK197" s="624"/>
      <c r="AL197" s="624"/>
      <c r="AM197" s="624"/>
      <c r="AN197" s="624"/>
      <c r="AO197" s="630"/>
    </row>
    <row r="198" spans="1:41">
      <c r="A198" s="614"/>
      <c r="B198" s="732"/>
      <c r="C198" s="618">
        <f t="shared" si="23"/>
        <v>-194</v>
      </c>
      <c r="D198" s="63">
        <f t="shared" si="18"/>
        <v>194</v>
      </c>
      <c r="E198" s="620">
        <v>4465</v>
      </c>
      <c r="F198" s="64" t="str">
        <f>IFERROR(VLOOKUP(Table6[[#This Row],[Player No]],Table10[[No]:[Province]],2,0),"")</f>
        <v>OSMAN Muhummed</v>
      </c>
      <c r="G198" s="65" t="str">
        <f>IFERROR(VLOOKUP(Table6[[#This Row],[Player No]],Table10[[No]:[Province]],3,0),"")</f>
        <v>FS</v>
      </c>
      <c r="H198" s="626">
        <v>0</v>
      </c>
      <c r="I198" s="644">
        <v>5</v>
      </c>
      <c r="J198" s="819">
        <f>Table6[[#This Row],[Points 2025]]/2+SUM(Table6[[#This Row],[O1  ADMIN 2026]:[P2                           CT Open    2026]])</f>
        <v>2.5</v>
      </c>
      <c r="K198" s="63">
        <f t="shared" si="25"/>
        <v>0</v>
      </c>
      <c r="L198" s="63">
        <f t="shared" si="24"/>
        <v>0</v>
      </c>
      <c r="M198" s="708"/>
      <c r="N198" s="781" t="s">
        <v>6083</v>
      </c>
      <c r="O198" s="781" t="s">
        <v>6083</v>
      </c>
      <c r="P198" s="781"/>
      <c r="Q198" s="624"/>
      <c r="R198" s="624"/>
      <c r="S198" s="625"/>
      <c r="T198" s="625"/>
      <c r="U198" s="624"/>
      <c r="V198" s="625"/>
      <c r="W198" s="624"/>
      <c r="X198" s="709"/>
      <c r="Y198" s="624"/>
      <c r="Z198" s="677">
        <v>5</v>
      </c>
      <c r="AA198" s="624"/>
      <c r="AB198" s="611"/>
      <c r="AC198" s="624"/>
      <c r="AD198" s="625"/>
      <c r="AE198" s="624"/>
      <c r="AF198" s="624"/>
      <c r="AG198" s="624"/>
      <c r="AH198" s="624"/>
      <c r="AI198" s="624"/>
      <c r="AJ198" s="624"/>
      <c r="AK198" s="624"/>
      <c r="AL198" s="624"/>
      <c r="AM198" s="624"/>
      <c r="AN198" s="624"/>
      <c r="AO198" s="630"/>
    </row>
    <row r="199" spans="1:41">
      <c r="A199" s="614"/>
      <c r="B199" s="732"/>
      <c r="C199" s="618">
        <f t="shared" si="23"/>
        <v>-195</v>
      </c>
      <c r="D199" s="63">
        <f t="shared" ref="D199:D262" si="26">+D198+1</f>
        <v>195</v>
      </c>
      <c r="E199" s="620">
        <v>4598</v>
      </c>
      <c r="F199" s="64" t="str">
        <f>IFERROR(VLOOKUP(Table6[[#This Row],[Player No]],Table10[[No]:[Province]],2,0),"")</f>
        <v>Kundai Oswald Goremushandu</v>
      </c>
      <c r="G199" s="65" t="str">
        <f>IFERROR(VLOOKUP(Table6[[#This Row],[Player No]],Table10[[No]:[Province]],3,0),"")</f>
        <v>ZIM</v>
      </c>
      <c r="H199" s="626">
        <v>0</v>
      </c>
      <c r="I199" s="644">
        <v>5</v>
      </c>
      <c r="J199" s="819">
        <f>Table6[[#This Row],[Points 2025]]/2+SUM(Table6[[#This Row],[O1  ADMIN 2026]:[P2                           CT Open    2026]])</f>
        <v>2.5</v>
      </c>
      <c r="K199" s="63">
        <f t="shared" si="25"/>
        <v>0</v>
      </c>
      <c r="L199" s="63">
        <f t="shared" si="24"/>
        <v>0</v>
      </c>
      <c r="M199" s="708"/>
      <c r="N199" s="781" t="s">
        <v>6083</v>
      </c>
      <c r="O199" s="781" t="s">
        <v>6083</v>
      </c>
      <c r="P199" s="781"/>
      <c r="Q199" s="624"/>
      <c r="R199" s="624"/>
      <c r="S199" s="625"/>
      <c r="T199" s="625"/>
      <c r="U199" s="624"/>
      <c r="V199" s="625"/>
      <c r="W199" s="624"/>
      <c r="X199" s="709"/>
      <c r="Y199" s="624"/>
      <c r="Z199" s="677">
        <v>5</v>
      </c>
      <c r="AA199" s="624"/>
      <c r="AB199" s="611"/>
      <c r="AC199" s="624"/>
      <c r="AD199" s="625"/>
      <c r="AE199" s="624"/>
      <c r="AF199" s="624"/>
      <c r="AG199" s="624"/>
      <c r="AH199" s="624"/>
      <c r="AI199" s="624"/>
      <c r="AJ199" s="624"/>
      <c r="AK199" s="624"/>
      <c r="AL199" s="624"/>
      <c r="AM199" s="624"/>
      <c r="AN199" s="624"/>
      <c r="AO199" s="630"/>
    </row>
    <row r="200" spans="1:41" ht="15.75" customHeight="1">
      <c r="A200" s="614"/>
      <c r="B200" s="732"/>
      <c r="C200" s="618">
        <f t="shared" si="23"/>
        <v>-196</v>
      </c>
      <c r="D200" s="63">
        <f t="shared" si="26"/>
        <v>196</v>
      </c>
      <c r="E200" s="620">
        <v>4700</v>
      </c>
      <c r="F200" s="64" t="str">
        <f>IFERROR(VLOOKUP(Table6[[#This Row],[Player No]],Table10[[No]:[Province]],2,0),"")</f>
        <v>SEMETSA Tlhalefo</v>
      </c>
      <c r="G200" s="65" t="str">
        <f>IFERROR(VLOOKUP(Table6[[#This Row],[Player No]],Table10[[No]:[Province]],3,0),"")</f>
        <v>NMMTTA</v>
      </c>
      <c r="H200" s="626">
        <v>0</v>
      </c>
      <c r="I200" s="644">
        <v>5</v>
      </c>
      <c r="J200" s="819">
        <f>Table6[[#This Row],[Points 2025]]/2+SUM(Table6[[#This Row],[O1  ADMIN 2026]:[P2                           CT Open    2026]])</f>
        <v>2.5</v>
      </c>
      <c r="K200" s="63">
        <f t="shared" si="25"/>
        <v>0</v>
      </c>
      <c r="L200" s="63">
        <f t="shared" si="24"/>
        <v>0</v>
      </c>
      <c r="M200" s="708"/>
      <c r="N200" s="781" t="s">
        <v>6083</v>
      </c>
      <c r="O200" s="781" t="s">
        <v>6083</v>
      </c>
      <c r="P200" s="781"/>
      <c r="Q200" s="624"/>
      <c r="R200" s="624"/>
      <c r="S200" s="625"/>
      <c r="T200" s="625"/>
      <c r="U200" s="624"/>
      <c r="V200" s="625"/>
      <c r="W200" s="624"/>
      <c r="X200" s="709"/>
      <c r="Y200" s="624"/>
      <c r="Z200" s="677">
        <v>5</v>
      </c>
      <c r="AA200" s="624"/>
      <c r="AB200" s="611"/>
      <c r="AC200" s="624"/>
      <c r="AD200" s="625"/>
      <c r="AE200" s="624"/>
      <c r="AF200" s="624"/>
      <c r="AG200" s="624"/>
      <c r="AH200" s="624"/>
      <c r="AI200" s="624"/>
      <c r="AJ200" s="624"/>
      <c r="AK200" s="624"/>
      <c r="AL200" s="624"/>
      <c r="AM200" s="624"/>
      <c r="AN200" s="624"/>
      <c r="AO200" s="630"/>
    </row>
    <row r="201" spans="1:41">
      <c r="A201" s="614"/>
      <c r="B201" s="732"/>
      <c r="C201" s="618">
        <f t="shared" si="23"/>
        <v>-197</v>
      </c>
      <c r="D201" s="63">
        <f t="shared" si="26"/>
        <v>197</v>
      </c>
      <c r="E201" s="620">
        <v>4752</v>
      </c>
      <c r="F201" s="64" t="str">
        <f>IFERROR(VLOOKUP(Table6[[#This Row],[Player No]],Table10[[No]:[Province]],2,0),"")</f>
        <v>MABOYA  Wanga</v>
      </c>
      <c r="G201" s="65" t="str">
        <f>IFERROR(VLOOKUP(Table6[[#This Row],[Player No]],Table10[[No]:[Province]],3,0),"")</f>
        <v>LIM</v>
      </c>
      <c r="H201" s="626">
        <v>0</v>
      </c>
      <c r="I201" s="644">
        <v>5</v>
      </c>
      <c r="J201" s="819">
        <f>Table6[[#This Row],[Points 2025]]/2+SUM(Table6[[#This Row],[O1  ADMIN 2026]:[P2                           CT Open    2026]])</f>
        <v>2.5</v>
      </c>
      <c r="K201" s="63">
        <f t="shared" si="25"/>
        <v>0</v>
      </c>
      <c r="L201" s="63">
        <f t="shared" si="24"/>
        <v>0</v>
      </c>
      <c r="M201" s="708"/>
      <c r="N201" s="781" t="s">
        <v>6083</v>
      </c>
      <c r="O201" s="781" t="s">
        <v>6083</v>
      </c>
      <c r="P201" s="781"/>
      <c r="Q201" s="624"/>
      <c r="R201" s="624"/>
      <c r="S201" s="625"/>
      <c r="T201" s="625"/>
      <c r="U201" s="624"/>
      <c r="V201" s="625"/>
      <c r="W201" s="624"/>
      <c r="X201" s="709"/>
      <c r="Y201" s="624"/>
      <c r="Z201" s="677">
        <v>5</v>
      </c>
      <c r="AA201" s="624"/>
      <c r="AB201" s="611"/>
      <c r="AC201" s="624"/>
      <c r="AD201" s="625"/>
      <c r="AE201" s="624"/>
      <c r="AF201" s="624"/>
      <c r="AG201" s="624"/>
      <c r="AH201" s="624"/>
      <c r="AI201" s="624"/>
      <c r="AJ201" s="624"/>
      <c r="AK201" s="624"/>
      <c r="AL201" s="624"/>
      <c r="AM201" s="624"/>
      <c r="AN201" s="624"/>
      <c r="AO201" s="630"/>
    </row>
    <row r="202" spans="1:41">
      <c r="A202" s="322"/>
      <c r="B202" s="323"/>
      <c r="C202" s="324">
        <f t="shared" si="23"/>
        <v>-198</v>
      </c>
      <c r="D202" s="63">
        <f t="shared" si="26"/>
        <v>198</v>
      </c>
      <c r="E202" s="325">
        <v>4142</v>
      </c>
      <c r="F202" s="326" t="str">
        <f>IFERROR(VLOOKUP(Table6[[#This Row],[Player No]],Table10[[No]:[Province]],2,0),"")</f>
        <v xml:space="preserve">PASQUALLE Martino </v>
      </c>
      <c r="G202" s="65" t="str">
        <f>IFERROR(VLOOKUP(Table6[[#This Row],[Player No]],Table10[[No]:[Province]],3,0),"")</f>
        <v>CW</v>
      </c>
      <c r="H202" s="66">
        <v>0</v>
      </c>
      <c r="I202" s="644">
        <v>4.875</v>
      </c>
      <c r="J202" s="819">
        <f>Table6[[#This Row],[Points 2025]]/2+SUM(Table6[[#This Row],[O1  ADMIN 2026]:[P2                           CT Open    2026]])</f>
        <v>2.4375</v>
      </c>
      <c r="K202" s="63">
        <f t="shared" si="25"/>
        <v>0</v>
      </c>
      <c r="L202" s="63">
        <f t="shared" si="24"/>
        <v>0</v>
      </c>
      <c r="M202" s="708"/>
      <c r="N202" s="826" t="s">
        <v>6083</v>
      </c>
      <c r="O202" s="826" t="s">
        <v>6083</v>
      </c>
      <c r="P202" s="826"/>
      <c r="Q202" s="327"/>
      <c r="R202" s="327"/>
      <c r="S202" s="321"/>
      <c r="T202" s="321"/>
      <c r="U202" s="327"/>
      <c r="V202" s="321"/>
      <c r="W202" s="327"/>
      <c r="X202" s="711"/>
      <c r="Y202" s="327"/>
      <c r="Z202" s="637"/>
      <c r="AA202" s="327"/>
      <c r="AB202" s="405"/>
      <c r="AC202" s="327"/>
      <c r="AD202" s="321">
        <v>5</v>
      </c>
      <c r="AE202" s="327"/>
      <c r="AF202" s="327"/>
      <c r="AG202" s="327"/>
      <c r="AH202" s="327"/>
      <c r="AI202" s="327"/>
      <c r="AJ202" s="327"/>
      <c r="AK202" s="327"/>
      <c r="AL202" s="327"/>
      <c r="AM202" s="327"/>
      <c r="AN202" s="327"/>
      <c r="AO202" s="705"/>
    </row>
    <row r="203" spans="1:41">
      <c r="A203" s="322"/>
      <c r="B203" s="323"/>
      <c r="C203" s="324">
        <f t="shared" si="23"/>
        <v>-199</v>
      </c>
      <c r="D203" s="63">
        <f t="shared" si="26"/>
        <v>199</v>
      </c>
      <c r="E203" s="325">
        <v>4594</v>
      </c>
      <c r="F203" s="326" t="str">
        <f>IFERROR(VLOOKUP(Table6[[#This Row],[Player No]],Table10[[No]:[Province]],2,0),"")</f>
        <v xml:space="preserve">MACHI Bongisipho </v>
      </c>
      <c r="G203" s="65" t="str">
        <f>IFERROR(VLOOKUP(Table6[[#This Row],[Player No]],Table10[[No]:[Province]],3,0),"")</f>
        <v>ETTA</v>
      </c>
      <c r="H203" s="66">
        <v>0</v>
      </c>
      <c r="I203" s="644">
        <v>4.75</v>
      </c>
      <c r="J203" s="819">
        <f>Table6[[#This Row],[Points 2025]]/2+SUM(Table6[[#This Row],[O1  ADMIN 2026]:[P2                           CT Open    2026]])</f>
        <v>2.375</v>
      </c>
      <c r="K203" s="63">
        <f t="shared" si="25"/>
        <v>0</v>
      </c>
      <c r="L203" s="63">
        <f t="shared" si="24"/>
        <v>0</v>
      </c>
      <c r="M203" s="708"/>
      <c r="N203" s="826" t="s">
        <v>6083</v>
      </c>
      <c r="O203" s="826" t="s">
        <v>6083</v>
      </c>
      <c r="P203" s="826"/>
      <c r="Q203" s="327"/>
      <c r="R203" s="327"/>
      <c r="S203" s="321"/>
      <c r="T203" s="321"/>
      <c r="U203" s="327"/>
      <c r="V203" s="321"/>
      <c r="W203" s="327"/>
      <c r="X203" s="711"/>
      <c r="Y203" s="327"/>
      <c r="Z203" s="637"/>
      <c r="AA203" s="327"/>
      <c r="AB203" s="405"/>
      <c r="AC203" s="327"/>
      <c r="AD203" s="321">
        <v>5</v>
      </c>
      <c r="AE203" s="327"/>
      <c r="AF203" s="327"/>
      <c r="AG203" s="327"/>
      <c r="AH203" s="327"/>
      <c r="AI203" s="327"/>
      <c r="AJ203" s="327"/>
      <c r="AK203" s="327"/>
      <c r="AL203" s="327"/>
      <c r="AM203" s="327"/>
      <c r="AN203" s="327"/>
      <c r="AO203" s="705"/>
    </row>
    <row r="204" spans="1:41">
      <c r="A204" s="63">
        <f>IFERROR(VLOOKUP(Table6[[#This Row],[Player No]],Table10[[#All],[No]:[Age Group]],4,0),"")</f>
        <v>0</v>
      </c>
      <c r="B204" s="264">
        <v>88</v>
      </c>
      <c r="C204" s="77">
        <f t="shared" si="23"/>
        <v>-112</v>
      </c>
      <c r="D204" s="63">
        <f t="shared" si="26"/>
        <v>200</v>
      </c>
      <c r="E204" s="63">
        <v>3401</v>
      </c>
      <c r="F204" s="64" t="str">
        <f>IFERROR(VLOOKUP(Table6[[#This Row],[Player No]],Table10[[No]:[Province]],2,0),"")</f>
        <v>SWANEPOEL Shane</v>
      </c>
      <c r="G204" s="65" t="str">
        <f>IFERROR(VLOOKUP(Table6[[#This Row],[Player No]],Table10[[No]:[Province]],3,0),"")</f>
        <v>GN</v>
      </c>
      <c r="H204" s="66">
        <v>9.75</v>
      </c>
      <c r="I204" s="644">
        <v>4.6875</v>
      </c>
      <c r="J204" s="819">
        <f>Table6[[#This Row],[Points 2025]]/2+SUM(Table6[[#This Row],[O1  ADMIN 2026]:[P2                           CT Open    2026]])</f>
        <v>2.34375</v>
      </c>
      <c r="K204" s="63">
        <f t="shared" si="25"/>
        <v>0</v>
      </c>
      <c r="L204" s="63">
        <f t="shared" si="24"/>
        <v>0</v>
      </c>
      <c r="M204" s="708"/>
      <c r="N204" s="708" t="s">
        <v>6083</v>
      </c>
      <c r="O204" s="708" t="s">
        <v>6083</v>
      </c>
      <c r="P204" s="708"/>
      <c r="Q204" s="63"/>
      <c r="R204" s="63"/>
      <c r="S204" s="114"/>
      <c r="T204" s="114"/>
      <c r="U204" s="63"/>
      <c r="V204" s="114"/>
      <c r="W204" s="63"/>
      <c r="X204" s="708"/>
      <c r="Y204" s="63"/>
      <c r="Z204" s="636"/>
      <c r="AA204" s="63"/>
      <c r="AB204" s="400"/>
      <c r="AC204" s="63"/>
      <c r="AD204" s="114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127"/>
    </row>
    <row r="205" spans="1:41">
      <c r="A205" s="63">
        <f>IFERROR(VLOOKUP(Table6[[#This Row],[Player No]],Table10[[#All],[No]:[Age Group]],4,0),"")</f>
        <v>0</v>
      </c>
      <c r="B205" s="264">
        <v>93</v>
      </c>
      <c r="C205" s="77">
        <f t="shared" si="23"/>
        <v>-108</v>
      </c>
      <c r="D205" s="63">
        <f t="shared" si="26"/>
        <v>201</v>
      </c>
      <c r="E205" s="63">
        <v>3046</v>
      </c>
      <c r="F205" s="64" t="str">
        <f>IFERROR(VLOOKUP(Table6[[#This Row],[Player No]],Table10[[No]:[Province]],2,0),"")</f>
        <v>PETERSEN Jay Jay</v>
      </c>
      <c r="G205" s="65" t="str">
        <f>IFERROR(VLOOKUP(Table6[[#This Row],[Player No]],Table10[[No]:[Province]],3,0),"")</f>
        <v>CT</v>
      </c>
      <c r="H205" s="66">
        <v>7.5</v>
      </c>
      <c r="I205" s="644">
        <v>4.5</v>
      </c>
      <c r="J205" s="819">
        <f>Table6[[#This Row],[Points 2025]]/2+SUM(Table6[[#This Row],[O1  ADMIN 2026]:[P2                           CT Open    2026]])</f>
        <v>2.25</v>
      </c>
      <c r="K205" s="63">
        <f t="shared" si="25"/>
        <v>0</v>
      </c>
      <c r="L205" s="63">
        <f t="shared" si="24"/>
        <v>0</v>
      </c>
      <c r="M205" s="708"/>
      <c r="N205" s="708" t="s">
        <v>6083</v>
      </c>
      <c r="O205" s="708" t="s">
        <v>6083</v>
      </c>
      <c r="P205" s="708"/>
      <c r="Q205" s="63"/>
      <c r="R205" s="63"/>
      <c r="S205" s="114"/>
      <c r="T205" s="114"/>
      <c r="U205" s="63"/>
      <c r="V205" s="114"/>
      <c r="W205" s="63"/>
      <c r="X205" s="708"/>
      <c r="Y205" s="63"/>
      <c r="Z205" s="636"/>
      <c r="AA205" s="63"/>
      <c r="AB205" s="400"/>
      <c r="AC205" s="63"/>
      <c r="AD205" s="114">
        <v>1</v>
      </c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127"/>
    </row>
    <row r="206" spans="1:41">
      <c r="A206" s="63">
        <f>IFERROR(VLOOKUP(Table6[[#This Row],[Player No]],Table10[[#All],[No]:[Age Group]],4,0),"")</f>
        <v>0</v>
      </c>
      <c r="B206" s="264">
        <v>89</v>
      </c>
      <c r="C206" s="77">
        <f t="shared" si="23"/>
        <v>-113</v>
      </c>
      <c r="D206" s="63">
        <f t="shared" si="26"/>
        <v>202</v>
      </c>
      <c r="E206" s="63">
        <v>2627</v>
      </c>
      <c r="F206" s="64" t="str">
        <f>IFERROR(VLOOKUP(Table6[[#This Row],[Player No]],Table10[[No]:[Province]],2,0),"")</f>
        <v>WESSON Liam</v>
      </c>
      <c r="G206" s="65" t="str">
        <f>IFERROR(VLOOKUP(Table6[[#This Row],[Player No]],Table10[[No]:[Province]],3,0),"")</f>
        <v>CT</v>
      </c>
      <c r="H206" s="66">
        <v>9.375</v>
      </c>
      <c r="I206" s="644">
        <v>4.125</v>
      </c>
      <c r="J206" s="819">
        <f>Table6[[#This Row],[Points 2025]]/2+SUM(Table6[[#This Row],[O1  ADMIN 2026]:[P2                           CT Open    2026]])</f>
        <v>2.0625</v>
      </c>
      <c r="K206" s="63">
        <f t="shared" si="25"/>
        <v>0</v>
      </c>
      <c r="L206" s="63">
        <f t="shared" si="24"/>
        <v>0</v>
      </c>
      <c r="M206" s="708"/>
      <c r="N206" s="708" t="s">
        <v>6083</v>
      </c>
      <c r="O206" s="708" t="s">
        <v>6083</v>
      </c>
      <c r="P206" s="708"/>
      <c r="Q206" s="63"/>
      <c r="R206" s="63"/>
      <c r="S206" s="114"/>
      <c r="T206" s="114"/>
      <c r="U206" s="63"/>
      <c r="V206" s="114"/>
      <c r="W206" s="63"/>
      <c r="X206" s="708"/>
      <c r="Y206" s="63"/>
      <c r="Z206" s="636"/>
      <c r="AA206" s="63"/>
      <c r="AB206" s="400"/>
      <c r="AC206" s="63"/>
      <c r="AD206" s="114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127"/>
    </row>
    <row r="207" spans="1:41">
      <c r="A207" s="1075"/>
      <c r="B207" s="264"/>
      <c r="C207" s="77">
        <f t="shared" si="23"/>
        <v>-203</v>
      </c>
      <c r="D207" s="63">
        <f t="shared" si="26"/>
        <v>203</v>
      </c>
      <c r="E207" s="154">
        <v>3879</v>
      </c>
      <c r="F207" s="64" t="str">
        <f>IFERROR(VLOOKUP(Table6[[#This Row],[Player No]],Table10[[No]:[Province]],2,0),"")</f>
        <v>REDLINGHYS Ezra</v>
      </c>
      <c r="G207" s="65" t="str">
        <f>IFERROR(VLOOKUP(Table6[[#This Row],[Player No]],Table10[[No]:[Province]],3,0),"")</f>
        <v>UMG</v>
      </c>
      <c r="H207" s="66" t="e">
        <f>+#REF!/2+SUM(Table6[[#This Row],[P1           KZN  Open   2024]:[O1        GAU
MTTC Open  2024]])</f>
        <v>#REF!</v>
      </c>
      <c r="I207" s="644">
        <v>0</v>
      </c>
      <c r="J207" s="789">
        <f>Table6[[#This Row],[Points 2025]]/2+SUM(Table6[[#This Row],[O1  ADMIN 2026]:[P2                           CT Open    2026]])</f>
        <v>2</v>
      </c>
      <c r="K207" s="63">
        <f t="shared" si="25"/>
        <v>2</v>
      </c>
      <c r="L207" s="63">
        <f t="shared" si="24"/>
        <v>0</v>
      </c>
      <c r="M207" s="708"/>
      <c r="N207" s="827">
        <v>1</v>
      </c>
      <c r="O207" s="827">
        <v>1</v>
      </c>
      <c r="P207" s="827"/>
      <c r="Q207" s="63"/>
      <c r="R207" s="63"/>
      <c r="S207" s="114"/>
      <c r="T207" s="114"/>
      <c r="U207" s="63"/>
      <c r="V207" s="114"/>
      <c r="W207" s="63"/>
      <c r="X207" s="708"/>
      <c r="Y207" s="63"/>
      <c r="Z207" s="636"/>
      <c r="AA207" s="63"/>
      <c r="AB207" s="400"/>
      <c r="AC207" s="63"/>
      <c r="AD207" s="114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127"/>
    </row>
    <row r="208" spans="1:41">
      <c r="A208" s="675">
        <f>IFERROR(VLOOKUP(Table6[[#This Row],[Player No]],Table10[[#All],[No]:[Age Group]],4,0),"")</f>
        <v>0</v>
      </c>
      <c r="B208" s="264">
        <v>128</v>
      </c>
      <c r="C208" s="77">
        <f t="shared" si="23"/>
        <v>-76</v>
      </c>
      <c r="D208" s="63">
        <f t="shared" si="26"/>
        <v>204</v>
      </c>
      <c r="E208" s="63">
        <v>3461</v>
      </c>
      <c r="F208" s="64" t="str">
        <f>IFERROR(VLOOKUP(Table6[[#This Row],[Player No]],Table10[[No]:[Province]],2,0),"")</f>
        <v>VAN DER MERWE Ruan</v>
      </c>
      <c r="G208" s="65" t="str">
        <f>IFERROR(VLOOKUP(Table6[[#This Row],[Player No]],Table10[[No]:[Province]],3,0),"")</f>
        <v>GN</v>
      </c>
      <c r="H208" s="66">
        <v>9</v>
      </c>
      <c r="I208" s="644">
        <v>3.125</v>
      </c>
      <c r="J208" s="819">
        <f>Table6[[#This Row],[Points 2025]]/2+SUM(Table6[[#This Row],[O1  ADMIN 2026]:[P2                           CT Open    2026]])</f>
        <v>1.5625</v>
      </c>
      <c r="K208" s="63">
        <f t="shared" si="25"/>
        <v>0</v>
      </c>
      <c r="L208" s="63">
        <f t="shared" si="24"/>
        <v>0</v>
      </c>
      <c r="M208" s="708"/>
      <c r="N208" s="708" t="s">
        <v>6083</v>
      </c>
      <c r="O208" s="708" t="s">
        <v>6083</v>
      </c>
      <c r="P208" s="708"/>
      <c r="Q208" s="63"/>
      <c r="R208" s="63"/>
      <c r="S208" s="114"/>
      <c r="T208" s="114"/>
      <c r="U208" s="63"/>
      <c r="V208" s="114"/>
      <c r="W208" s="63"/>
      <c r="X208" s="708"/>
      <c r="Y208" s="63"/>
      <c r="Z208" s="636"/>
      <c r="AA208" s="63"/>
      <c r="AB208" s="400"/>
      <c r="AC208" s="63"/>
      <c r="AD208" s="114"/>
      <c r="AE208" s="63"/>
      <c r="AF208" s="63"/>
      <c r="AG208" s="63"/>
      <c r="AH208" s="63"/>
      <c r="AI208" s="63"/>
      <c r="AJ208" s="63">
        <v>5</v>
      </c>
      <c r="AK208" s="63"/>
      <c r="AL208" s="63"/>
      <c r="AM208" s="63">
        <v>2</v>
      </c>
      <c r="AN208" s="63">
        <v>1</v>
      </c>
      <c r="AO208" s="127"/>
    </row>
    <row r="209" spans="1:41">
      <c r="A209" s="675">
        <f>IFERROR(VLOOKUP(Table6[[#This Row],[Player No]],Table10[[#All],[No]:[Age Group]],4,0),"")</f>
        <v>0</v>
      </c>
      <c r="B209" s="264">
        <v>103</v>
      </c>
      <c r="C209" s="77">
        <f t="shared" si="23"/>
        <v>-102</v>
      </c>
      <c r="D209" s="63">
        <f t="shared" si="26"/>
        <v>205</v>
      </c>
      <c r="E209" s="63">
        <v>2560</v>
      </c>
      <c r="F209" s="64" t="str">
        <f>IFERROR(VLOOKUP(Table6[[#This Row],[Player No]],Table10[[No]:[Province]],2,0),"")</f>
        <v>MADONYELA Azola</v>
      </c>
      <c r="G209" s="65" t="str">
        <f>IFERROR(VLOOKUP(Table6[[#This Row],[Player No]],Table10[[No]:[Province]],3,0),"")</f>
        <v>EC</v>
      </c>
      <c r="H209" s="66">
        <v>6.25</v>
      </c>
      <c r="I209" s="644">
        <v>3.125</v>
      </c>
      <c r="J209" s="819">
        <f>Table6[[#This Row],[Points 2025]]/2+SUM(Table6[[#This Row],[O1  ADMIN 2026]:[P2                           CT Open    2026]])</f>
        <v>1.5625</v>
      </c>
      <c r="K209" s="63">
        <f t="shared" si="25"/>
        <v>0</v>
      </c>
      <c r="L209" s="63">
        <f t="shared" si="24"/>
        <v>0</v>
      </c>
      <c r="M209" s="708"/>
      <c r="N209" s="708" t="s">
        <v>6083</v>
      </c>
      <c r="O209" s="708" t="s">
        <v>6083</v>
      </c>
      <c r="P209" s="708"/>
      <c r="Q209" s="63"/>
      <c r="R209" s="63"/>
      <c r="S209" s="114"/>
      <c r="T209" s="114"/>
      <c r="U209" s="63"/>
      <c r="V209" s="114"/>
      <c r="W209" s="63"/>
      <c r="X209" s="708"/>
      <c r="Y209" s="63"/>
      <c r="Z209" s="636"/>
      <c r="AA209" s="63"/>
      <c r="AB209" s="400"/>
      <c r="AC209" s="63"/>
      <c r="AD209" s="114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127"/>
    </row>
    <row r="210" spans="1:41">
      <c r="A210" s="675">
        <f>IFERROR(VLOOKUP(Table6[[#This Row],[Player No]],Table10[[#All],[No]:[Age Group]],4,0),"")</f>
        <v>0</v>
      </c>
      <c r="B210" s="264">
        <v>101</v>
      </c>
      <c r="C210" s="77">
        <f t="shared" si="23"/>
        <v>-105</v>
      </c>
      <c r="D210" s="63">
        <f t="shared" si="26"/>
        <v>206</v>
      </c>
      <c r="E210" s="63">
        <v>3106</v>
      </c>
      <c r="F210" s="64" t="str">
        <f>IFERROR(VLOOKUP(Table6[[#This Row],[Player No]],Table10[[No]:[Province]],2,0),"")</f>
        <v>MKHIZE Bandile</v>
      </c>
      <c r="G210" s="65" t="str">
        <f>IFERROR(VLOOKUP(Table6[[#This Row],[Player No]],Table10[[No]:[Province]],3,0),"")</f>
        <v>UTH</v>
      </c>
      <c r="H210" s="66">
        <v>6.25</v>
      </c>
      <c r="I210" s="644">
        <v>3.125</v>
      </c>
      <c r="J210" s="819">
        <f>Table6[[#This Row],[Points 2025]]/2+SUM(Table6[[#This Row],[O1  ADMIN 2026]:[P2                           CT Open    2026]])</f>
        <v>1.5625</v>
      </c>
      <c r="K210" s="63">
        <f t="shared" si="25"/>
        <v>0</v>
      </c>
      <c r="L210" s="63">
        <f t="shared" si="24"/>
        <v>0</v>
      </c>
      <c r="M210" s="708"/>
      <c r="N210" s="708" t="s">
        <v>6083</v>
      </c>
      <c r="O210" s="708" t="s">
        <v>6083</v>
      </c>
      <c r="P210" s="708"/>
      <c r="Q210" s="63"/>
      <c r="R210" s="63"/>
      <c r="S210" s="114"/>
      <c r="T210" s="114"/>
      <c r="U210" s="63"/>
      <c r="V210" s="114"/>
      <c r="W210" s="63"/>
      <c r="X210" s="708"/>
      <c r="Y210" s="63"/>
      <c r="Z210" s="636"/>
      <c r="AA210" s="63"/>
      <c r="AB210" s="400"/>
      <c r="AC210" s="63"/>
      <c r="AD210" s="114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127"/>
    </row>
    <row r="211" spans="1:41">
      <c r="A211" s="675">
        <f>IFERROR(VLOOKUP(Table6[[#This Row],[Player No]],Table10[[#All],[No]:[Age Group]],4,0),"")</f>
        <v>0</v>
      </c>
      <c r="B211" s="264">
        <v>99</v>
      </c>
      <c r="C211" s="77">
        <f t="shared" si="23"/>
        <v>-108</v>
      </c>
      <c r="D211" s="63">
        <f t="shared" si="26"/>
        <v>207</v>
      </c>
      <c r="E211" s="63">
        <v>3312</v>
      </c>
      <c r="F211" s="64" t="str">
        <f>IFERROR(VLOOKUP(Table6[[#This Row],[Player No]],Table10[[No]:[Province]],2,0),"")</f>
        <v>MOTAZE Quenzy</v>
      </c>
      <c r="G211" s="65" t="str">
        <f>IFERROR(VLOOKUP(Table6[[#This Row],[Player No]],Table10[[No]:[Province]],3,0),"")</f>
        <v>JTTA</v>
      </c>
      <c r="H211" s="66">
        <v>6.25</v>
      </c>
      <c r="I211" s="644">
        <v>3.125</v>
      </c>
      <c r="J211" s="819">
        <f>Table6[[#This Row],[Points 2025]]/2+SUM(Table6[[#This Row],[O1  ADMIN 2026]:[P2                           CT Open    2026]])</f>
        <v>1.5625</v>
      </c>
      <c r="K211" s="63">
        <f t="shared" si="25"/>
        <v>0</v>
      </c>
      <c r="L211" s="63">
        <f t="shared" si="24"/>
        <v>0</v>
      </c>
      <c r="M211" s="708"/>
      <c r="N211" s="708" t="s">
        <v>6083</v>
      </c>
      <c r="O211" s="708" t="s">
        <v>6083</v>
      </c>
      <c r="P211" s="708"/>
      <c r="Q211" s="63"/>
      <c r="R211" s="63"/>
      <c r="S211" s="114"/>
      <c r="T211" s="114"/>
      <c r="U211" s="63"/>
      <c r="V211" s="114"/>
      <c r="W211" s="63"/>
      <c r="X211" s="708"/>
      <c r="Y211" s="63"/>
      <c r="Z211" s="636"/>
      <c r="AA211" s="63"/>
      <c r="AB211" s="400"/>
      <c r="AC211" s="63"/>
      <c r="AD211" s="114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127"/>
    </row>
    <row r="212" spans="1:41">
      <c r="A212" s="675">
        <f>IFERROR(VLOOKUP(Table6[[#This Row],[Player No]],Table10[[#All],[No]:[Age Group]],4,0),"")</f>
        <v>0</v>
      </c>
      <c r="B212" s="264">
        <v>100</v>
      </c>
      <c r="C212" s="77">
        <f t="shared" si="23"/>
        <v>-108</v>
      </c>
      <c r="D212" s="63">
        <f t="shared" si="26"/>
        <v>208</v>
      </c>
      <c r="E212" s="63">
        <v>3313</v>
      </c>
      <c r="F212" s="64" t="str">
        <f>IFERROR(VLOOKUP(Table6[[#This Row],[Player No]],Table10[[No]:[Province]],2,0),"")</f>
        <v>MOTAZE Priss</v>
      </c>
      <c r="G212" s="65" t="str">
        <f>IFERROR(VLOOKUP(Table6[[#This Row],[Player No]],Table10[[No]:[Province]],3,0),"")</f>
        <v>JTTA</v>
      </c>
      <c r="H212" s="66">
        <v>6.25</v>
      </c>
      <c r="I212" s="644">
        <v>3.125</v>
      </c>
      <c r="J212" s="819">
        <f>Table6[[#This Row],[Points 2025]]/2+SUM(Table6[[#This Row],[O1  ADMIN 2026]:[P2                           CT Open    2026]])</f>
        <v>1.5625</v>
      </c>
      <c r="K212" s="63">
        <f t="shared" si="25"/>
        <v>0</v>
      </c>
      <c r="L212" s="63">
        <f t="shared" si="24"/>
        <v>0</v>
      </c>
      <c r="M212" s="708"/>
      <c r="N212" s="708" t="s">
        <v>6083</v>
      </c>
      <c r="O212" s="708" t="s">
        <v>6083</v>
      </c>
      <c r="P212" s="708"/>
      <c r="Q212" s="63"/>
      <c r="R212" s="63"/>
      <c r="S212" s="114"/>
      <c r="T212" s="114"/>
      <c r="U212" s="63"/>
      <c r="V212" s="114"/>
      <c r="W212" s="63"/>
      <c r="X212" s="708"/>
      <c r="Y212" s="63"/>
      <c r="Z212" s="636"/>
      <c r="AA212" s="63"/>
      <c r="AB212" s="400"/>
      <c r="AC212" s="63"/>
      <c r="AD212" s="114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127"/>
    </row>
    <row r="213" spans="1:41">
      <c r="A213" s="675">
        <f>IFERROR(VLOOKUP(Table6[[#This Row],[Player No]],Table10[[#All],[No]:[Age Group]],4,0),"")</f>
        <v>0</v>
      </c>
      <c r="B213" s="264">
        <v>104</v>
      </c>
      <c r="C213" s="77">
        <f t="shared" si="23"/>
        <v>-105</v>
      </c>
      <c r="D213" s="63">
        <f t="shared" si="26"/>
        <v>209</v>
      </c>
      <c r="E213" s="63">
        <v>3454</v>
      </c>
      <c r="F213" s="64" t="str">
        <f>IFERROR(VLOOKUP(Table6[[#This Row],[Player No]],Table10[[No]:[Province]],2,0),"")</f>
        <v>MABONGO Lunezo</v>
      </c>
      <c r="G213" s="65" t="str">
        <f>IFERROR(VLOOKUP(Table6[[#This Row],[Player No]],Table10[[No]:[Province]],3,0),"")</f>
        <v>EC</v>
      </c>
      <c r="H213" s="66">
        <v>6.25</v>
      </c>
      <c r="I213" s="644">
        <v>3.125</v>
      </c>
      <c r="J213" s="819">
        <f>Table6[[#This Row],[Points 2025]]/2+SUM(Table6[[#This Row],[O1  ADMIN 2026]:[P2                           CT Open    2026]])</f>
        <v>1.5625</v>
      </c>
      <c r="K213" s="63">
        <f t="shared" si="25"/>
        <v>0</v>
      </c>
      <c r="L213" s="63">
        <f t="shared" si="24"/>
        <v>0</v>
      </c>
      <c r="M213" s="708"/>
      <c r="N213" s="708" t="s">
        <v>6083</v>
      </c>
      <c r="O213" s="708" t="s">
        <v>6083</v>
      </c>
      <c r="P213" s="708"/>
      <c r="Q213" s="63"/>
      <c r="R213" s="63"/>
      <c r="S213" s="114"/>
      <c r="T213" s="114"/>
      <c r="U213" s="63"/>
      <c r="V213" s="114"/>
      <c r="W213" s="63"/>
      <c r="X213" s="708"/>
      <c r="Y213" s="63"/>
      <c r="Z213" s="636"/>
      <c r="AA213" s="63"/>
      <c r="AB213" s="400"/>
      <c r="AC213" s="63"/>
      <c r="AD213" s="114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127"/>
    </row>
    <row r="214" spans="1:41">
      <c r="A214" s="675">
        <f>IFERROR(VLOOKUP(Table6[[#This Row],[Player No]],Table10[[#All],[No]:[Age Group]],4,0),"")</f>
        <v>0</v>
      </c>
      <c r="B214" s="264">
        <v>105</v>
      </c>
      <c r="C214" s="77">
        <f t="shared" si="23"/>
        <v>-105</v>
      </c>
      <c r="D214" s="63">
        <f t="shared" si="26"/>
        <v>210</v>
      </c>
      <c r="E214" s="63">
        <v>3455</v>
      </c>
      <c r="F214" s="64" t="str">
        <f>IFERROR(VLOOKUP(Table6[[#This Row],[Player No]],Table10[[No]:[Province]],2,0),"")</f>
        <v>GQIRHANA Linam</v>
      </c>
      <c r="G214" s="65" t="str">
        <f>IFERROR(VLOOKUP(Table6[[#This Row],[Player No]],Table10[[No]:[Province]],3,0),"")</f>
        <v>EC</v>
      </c>
      <c r="H214" s="66">
        <v>6.25</v>
      </c>
      <c r="I214" s="644">
        <v>3.125</v>
      </c>
      <c r="J214" s="819">
        <f>Table6[[#This Row],[Points 2025]]/2+SUM(Table6[[#This Row],[O1  ADMIN 2026]:[P2                           CT Open    2026]])</f>
        <v>1.5625</v>
      </c>
      <c r="K214" s="63">
        <f t="shared" si="25"/>
        <v>0</v>
      </c>
      <c r="L214" s="63">
        <f t="shared" si="24"/>
        <v>0</v>
      </c>
      <c r="M214" s="708"/>
      <c r="N214" s="708" t="s">
        <v>6083</v>
      </c>
      <c r="O214" s="708" t="s">
        <v>6083</v>
      </c>
      <c r="P214" s="708"/>
      <c r="Q214" s="63"/>
      <c r="R214" s="63"/>
      <c r="S214" s="114"/>
      <c r="T214" s="114"/>
      <c r="U214" s="63"/>
      <c r="V214" s="114"/>
      <c r="W214" s="63"/>
      <c r="X214" s="708"/>
      <c r="Y214" s="63"/>
      <c r="Z214" s="636"/>
      <c r="AA214" s="63"/>
      <c r="AB214" s="400"/>
      <c r="AC214" s="63"/>
      <c r="AD214" s="114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127"/>
    </row>
    <row r="215" spans="1:41">
      <c r="A215" s="675">
        <f>IFERROR(VLOOKUP(Table6[[#This Row],[Player No]],Table10[[#All],[No]:[Age Group]],4,0),"")</f>
        <v>0</v>
      </c>
      <c r="B215" s="264">
        <v>102</v>
      </c>
      <c r="C215" s="77">
        <f t="shared" si="23"/>
        <v>-109</v>
      </c>
      <c r="D215" s="63">
        <f t="shared" si="26"/>
        <v>211</v>
      </c>
      <c r="E215" s="63">
        <v>3458</v>
      </c>
      <c r="F215" s="64" t="str">
        <f>IFERROR(VLOOKUP(Table6[[#This Row],[Player No]],Table10[[No]:[Province]],2,0),"")</f>
        <v>OLIGIE Jeremiah</v>
      </c>
      <c r="G215" s="65" t="str">
        <f>IFERROR(VLOOKUP(Table6[[#This Row],[Player No]],Table10[[No]:[Province]],3,0),"")</f>
        <v>LIM</v>
      </c>
      <c r="H215" s="66">
        <v>6.25</v>
      </c>
      <c r="I215" s="644">
        <v>3</v>
      </c>
      <c r="J215" s="819">
        <f>Table6[[#This Row],[Points 2025]]/2+SUM(Table6[[#This Row],[O1  ADMIN 2026]:[P2                           CT Open    2026]])</f>
        <v>1.5</v>
      </c>
      <c r="K215" s="63">
        <f t="shared" si="25"/>
        <v>0</v>
      </c>
      <c r="L215" s="63">
        <f t="shared" si="24"/>
        <v>0</v>
      </c>
      <c r="M215" s="708"/>
      <c r="N215" s="708" t="s">
        <v>6083</v>
      </c>
      <c r="O215" s="708" t="s">
        <v>6083</v>
      </c>
      <c r="P215" s="708"/>
      <c r="Q215" s="63"/>
      <c r="R215" s="63"/>
      <c r="S215" s="114"/>
      <c r="T215" s="114"/>
      <c r="U215" s="63"/>
      <c r="V215" s="114"/>
      <c r="W215" s="63"/>
      <c r="X215" s="708"/>
      <c r="Y215" s="63"/>
      <c r="Z215" s="636"/>
      <c r="AA215" s="63"/>
      <c r="AB215" s="400"/>
      <c r="AC215" s="63"/>
      <c r="AD215" s="114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127"/>
    </row>
    <row r="216" spans="1:41">
      <c r="A216" s="777"/>
      <c r="B216" s="265"/>
      <c r="C216" s="160">
        <f t="shared" si="23"/>
        <v>-212</v>
      </c>
      <c r="D216" s="63">
        <f t="shared" si="26"/>
        <v>212</v>
      </c>
      <c r="E216" s="161">
        <v>4381</v>
      </c>
      <c r="F216" s="64" t="str">
        <f>IFERROR(VLOOKUP(Table6[[#This Row],[Player No]],Table10[[No]:[Province]],2,0),"")</f>
        <v>SEWLALL Jatin</v>
      </c>
      <c r="G216" s="65" t="str">
        <f>IFERROR(VLOOKUP(Table6[[#This Row],[Player No]],Table10[[No]:[Province]],3,0),"")</f>
        <v>UMG</v>
      </c>
      <c r="H216" s="66">
        <v>0.25</v>
      </c>
      <c r="I216" s="644">
        <v>3</v>
      </c>
      <c r="J216" s="819">
        <f>Table6[[#This Row],[Points 2025]]/2+SUM(Table6[[#This Row],[O1  ADMIN 2026]:[P2                           CT Open    2026]])</f>
        <v>1.5</v>
      </c>
      <c r="K216" s="63">
        <f t="shared" si="25"/>
        <v>0</v>
      </c>
      <c r="L216" s="63">
        <f t="shared" si="24"/>
        <v>0</v>
      </c>
      <c r="M216" s="708"/>
      <c r="N216" s="708" t="s">
        <v>6083</v>
      </c>
      <c r="O216" s="708" t="s">
        <v>6083</v>
      </c>
      <c r="P216" s="708"/>
      <c r="Q216" s="157">
        <v>2</v>
      </c>
      <c r="R216" s="157">
        <v>1</v>
      </c>
      <c r="S216" s="165"/>
      <c r="T216" s="165"/>
      <c r="U216" s="157"/>
      <c r="V216" s="165"/>
      <c r="W216" s="157"/>
      <c r="X216" s="712"/>
      <c r="Y216" s="157"/>
      <c r="Z216" s="700"/>
      <c r="AA216" s="157"/>
      <c r="AB216" s="444"/>
      <c r="AC216" s="157"/>
      <c r="AD216" s="165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610"/>
    </row>
    <row r="217" spans="1:41">
      <c r="A217" s="364"/>
      <c r="B217" s="365"/>
      <c r="C217" s="360">
        <f t="shared" si="23"/>
        <v>-213</v>
      </c>
      <c r="D217" s="63">
        <f t="shared" si="26"/>
        <v>213</v>
      </c>
      <c r="E217" s="355">
        <v>4371</v>
      </c>
      <c r="F217" s="326" t="str">
        <f>IFERROR(VLOOKUP(Table6[[#This Row],[Player No]],Table10[[No]:[Province]],2,0),"")</f>
        <v xml:space="preserve">REDDY Fabian Emanuel </v>
      </c>
      <c r="G217" s="65" t="str">
        <f>IFERROR(VLOOKUP(Table6[[#This Row],[Player No]],Table10[[No]:[Province]],3,0),"")</f>
        <v>ETTA</v>
      </c>
      <c r="H217" s="66">
        <v>0</v>
      </c>
      <c r="I217" s="644">
        <v>1</v>
      </c>
      <c r="J217" s="819">
        <f>Table6[[#This Row],[Points 2025]]/2+SUM(Table6[[#This Row],[O1  ADMIN 2026]:[P2                           CT Open    2026]])</f>
        <v>1.5</v>
      </c>
      <c r="K217" s="63">
        <f t="shared" si="25"/>
        <v>1</v>
      </c>
      <c r="L217" s="63">
        <f t="shared" si="24"/>
        <v>0</v>
      </c>
      <c r="M217" s="708"/>
      <c r="N217" s="828" t="s">
        <v>6083</v>
      </c>
      <c r="O217" s="828">
        <v>1</v>
      </c>
      <c r="P217" s="828"/>
      <c r="Q217" s="361"/>
      <c r="R217" s="361"/>
      <c r="S217" s="357"/>
      <c r="T217" s="357">
        <v>1</v>
      </c>
      <c r="U217" s="361"/>
      <c r="V217" s="357"/>
      <c r="W217" s="361"/>
      <c r="X217" s="738"/>
      <c r="Y217" s="361"/>
      <c r="Z217" s="639"/>
      <c r="AA217" s="361"/>
      <c r="AB217" s="406"/>
      <c r="AC217" s="361"/>
      <c r="AD217" s="357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95"/>
    </row>
    <row r="218" spans="1:41">
      <c r="A218" s="136">
        <f>IFERROR(VLOOKUP(Table6[[#This Row],[Player No]],Table10[[#All],[No]:[Age Group]],4,0),"")</f>
        <v>0</v>
      </c>
      <c r="B218" s="264"/>
      <c r="C218" s="77"/>
      <c r="D218" s="63">
        <f t="shared" si="26"/>
        <v>214</v>
      </c>
      <c r="E218" s="63">
        <v>3719</v>
      </c>
      <c r="F218" s="64" t="str">
        <f>IFERROR(VLOOKUP(Table6[[#This Row],[Player No]],Table10[[No]:[Province]],2,0),"")</f>
        <v>KADAVIALEI Fahim</v>
      </c>
      <c r="G218" s="65" t="str">
        <f>IFERROR(VLOOKUP(Table6[[#This Row],[Player No]],Table10[[No]:[Province]],3,0),"")</f>
        <v>JTTA</v>
      </c>
      <c r="H218" s="66">
        <v>6</v>
      </c>
      <c r="I218" s="644">
        <v>2.75</v>
      </c>
      <c r="J218" s="819">
        <f>Table6[[#This Row],[Points 2025]]/2+SUM(Table6[[#This Row],[O1  ADMIN 2026]:[P2                           CT Open    2026]])</f>
        <v>1.375</v>
      </c>
      <c r="K218" s="63">
        <f t="shared" si="25"/>
        <v>0</v>
      </c>
      <c r="L218" s="63">
        <f t="shared" si="24"/>
        <v>0</v>
      </c>
      <c r="M218" s="708"/>
      <c r="N218" s="708" t="s">
        <v>6083</v>
      </c>
      <c r="O218" s="708" t="s">
        <v>6083</v>
      </c>
      <c r="P218" s="708"/>
      <c r="Q218" s="63"/>
      <c r="R218" s="63"/>
      <c r="S218" s="114"/>
      <c r="T218" s="114"/>
      <c r="U218" s="63"/>
      <c r="V218" s="114"/>
      <c r="W218" s="63"/>
      <c r="X218" s="708"/>
      <c r="Y218" s="63"/>
      <c r="Z218" s="636"/>
      <c r="AA218" s="63"/>
      <c r="AB218" s="400"/>
      <c r="AC218" s="63"/>
      <c r="AD218" s="114"/>
      <c r="AE218" s="63"/>
      <c r="AF218" s="63"/>
      <c r="AG218" s="63"/>
      <c r="AH218" s="63"/>
      <c r="AI218" s="63"/>
      <c r="AJ218" s="63">
        <v>5</v>
      </c>
      <c r="AK218" s="63">
        <v>1</v>
      </c>
      <c r="AL218" s="63"/>
      <c r="AM218" s="63"/>
      <c r="AN218" s="63"/>
      <c r="AO218" s="127"/>
    </row>
    <row r="219" spans="1:41">
      <c r="A219" s="295"/>
      <c r="B219" s="264"/>
      <c r="C219" s="77">
        <f>+B219-D219</f>
        <v>-215</v>
      </c>
      <c r="D219" s="63">
        <f t="shared" si="26"/>
        <v>215</v>
      </c>
      <c r="E219" s="40">
        <v>4227</v>
      </c>
      <c r="F219" s="64" t="str">
        <f>IFERROR(VLOOKUP(Table6[[#This Row],[Player No]],Table10[[No]:[Province]],2,0),"")</f>
        <v>Shabbir Chohan</v>
      </c>
      <c r="G219" s="65" t="str">
        <f>IFERROR(VLOOKUP(Table6[[#This Row],[Player No]],Table10[[No]:[Province]],3,0),"")</f>
        <v>UMG</v>
      </c>
      <c r="H219" s="66">
        <v>0</v>
      </c>
      <c r="I219" s="644">
        <v>2.75</v>
      </c>
      <c r="J219" s="819">
        <f>Table6[[#This Row],[Points 2025]]/2+SUM(Table6[[#This Row],[O1  ADMIN 2026]:[P2                           CT Open    2026]])</f>
        <v>1.375</v>
      </c>
      <c r="K219" s="63">
        <f t="shared" si="25"/>
        <v>0</v>
      </c>
      <c r="L219" s="63">
        <f t="shared" si="24"/>
        <v>0</v>
      </c>
      <c r="M219" s="708"/>
      <c r="N219" s="708" t="s">
        <v>6083</v>
      </c>
      <c r="O219" s="708" t="s">
        <v>6083</v>
      </c>
      <c r="P219" s="708"/>
      <c r="Q219" s="63">
        <v>2</v>
      </c>
      <c r="R219" s="63"/>
      <c r="S219" s="114"/>
      <c r="T219" s="114"/>
      <c r="U219" s="63">
        <v>1</v>
      </c>
      <c r="V219" s="114"/>
      <c r="W219" s="63"/>
      <c r="X219" s="708"/>
      <c r="Y219" s="63"/>
      <c r="Z219" s="636"/>
      <c r="AA219" s="63"/>
      <c r="AB219" s="400"/>
      <c r="AC219" s="63"/>
      <c r="AD219" s="114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127"/>
    </row>
    <row r="220" spans="1:41">
      <c r="A220" s="136">
        <f>IFERROR(VLOOKUP(Table6[[#This Row],[Player No]],Table10[[#All],[No]:[Age Group]],4,0),"")</f>
        <v>0</v>
      </c>
      <c r="B220" s="264">
        <v>111</v>
      </c>
      <c r="C220" s="77">
        <f>+B220-D220</f>
        <v>-105</v>
      </c>
      <c r="D220" s="63">
        <f t="shared" si="26"/>
        <v>216</v>
      </c>
      <c r="E220" s="63">
        <v>3371</v>
      </c>
      <c r="F220" s="64" t="str">
        <f>IFERROR(VLOOKUP(Table6[[#This Row],[Player No]],Table10[[No]:[Province]],2,0),"")</f>
        <v>ADRIAAN MJ</v>
      </c>
      <c r="G220" s="65" t="str">
        <f>IFERROR(VLOOKUP(Table6[[#This Row],[Player No]],Table10[[No]:[Province]],3,0),"")</f>
        <v>WC</v>
      </c>
      <c r="H220" s="66">
        <v>5.5</v>
      </c>
      <c r="I220" s="644">
        <v>2.75</v>
      </c>
      <c r="J220" s="819">
        <f>Table6[[#This Row],[Points 2025]]/2+SUM(Table6[[#This Row],[O1  ADMIN 2026]:[P2                           CT Open    2026]])</f>
        <v>1.375</v>
      </c>
      <c r="K220" s="63">
        <f t="shared" si="25"/>
        <v>0</v>
      </c>
      <c r="L220" s="63">
        <f t="shared" si="24"/>
        <v>0</v>
      </c>
      <c r="M220" s="708"/>
      <c r="N220" s="708" t="s">
        <v>6083</v>
      </c>
      <c r="O220" s="708" t="s">
        <v>6083</v>
      </c>
      <c r="P220" s="708"/>
      <c r="Q220" s="63"/>
      <c r="R220" s="63"/>
      <c r="S220" s="114"/>
      <c r="T220" s="114"/>
      <c r="U220" s="63"/>
      <c r="V220" s="114"/>
      <c r="W220" s="63"/>
      <c r="X220" s="708"/>
      <c r="Y220" s="63"/>
      <c r="Z220" s="636"/>
      <c r="AA220" s="63"/>
      <c r="AB220" s="400"/>
      <c r="AC220" s="63"/>
      <c r="AD220" s="114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127"/>
    </row>
    <row r="221" spans="1:41">
      <c r="A221" s="136">
        <f>IFERROR(VLOOKUP(Table6[[#This Row],[Player No]],Table10[[#All],[No]:[Age Group]],4,0),"")</f>
        <v>0</v>
      </c>
      <c r="B221" s="264">
        <v>108</v>
      </c>
      <c r="C221" s="77">
        <f>+B221-D221</f>
        <v>-109</v>
      </c>
      <c r="D221" s="63">
        <f t="shared" si="26"/>
        <v>217</v>
      </c>
      <c r="E221" s="63">
        <v>3406</v>
      </c>
      <c r="F221" s="64" t="str">
        <f>IFERROR(VLOOKUP(Table6[[#This Row],[Player No]],Table10[[No]:[Province]],2,0),"")</f>
        <v>O' RYAN Alex</v>
      </c>
      <c r="G221" s="65" t="str">
        <f>IFERROR(VLOOKUP(Table6[[#This Row],[Player No]],Table10[[No]:[Province]],3,0),"")</f>
        <v>CT</v>
      </c>
      <c r="H221" s="66">
        <v>5.5</v>
      </c>
      <c r="I221" s="644">
        <v>2.625</v>
      </c>
      <c r="J221" s="819">
        <f>Table6[[#This Row],[Points 2025]]/2+SUM(Table6[[#This Row],[O1  ADMIN 2026]:[P2                           CT Open    2026]])</f>
        <v>1.3125</v>
      </c>
      <c r="K221" s="63">
        <f t="shared" si="25"/>
        <v>0</v>
      </c>
      <c r="L221" s="63">
        <f t="shared" si="24"/>
        <v>0</v>
      </c>
      <c r="M221" s="708"/>
      <c r="N221" s="708" t="s">
        <v>6083</v>
      </c>
      <c r="O221" s="708" t="s">
        <v>6083</v>
      </c>
      <c r="P221" s="708"/>
      <c r="Q221" s="63"/>
      <c r="R221" s="63"/>
      <c r="S221" s="114"/>
      <c r="T221" s="114"/>
      <c r="U221" s="63"/>
      <c r="V221" s="114"/>
      <c r="W221" s="63"/>
      <c r="X221" s="708"/>
      <c r="Y221" s="63"/>
      <c r="Z221" s="636"/>
      <c r="AA221" s="63"/>
      <c r="AB221" s="400"/>
      <c r="AC221" s="63"/>
      <c r="AD221" s="114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127"/>
    </row>
    <row r="222" spans="1:41">
      <c r="A222" s="136">
        <f>IFERROR(VLOOKUP(Table6[[#This Row],[Player No]],Table10[[#All],[No]:[Age Group]],4,0),"")</f>
        <v>0</v>
      </c>
      <c r="B222" s="264">
        <v>113</v>
      </c>
      <c r="C222" s="77">
        <f>+B222-D222</f>
        <v>-105</v>
      </c>
      <c r="D222" s="63">
        <f t="shared" si="26"/>
        <v>218</v>
      </c>
      <c r="E222" s="63">
        <v>3506</v>
      </c>
      <c r="F222" s="64" t="str">
        <f>IFERROR(VLOOKUP(Table6[[#This Row],[Player No]],Table10[[No]:[Province]],2,0),"")</f>
        <v>GOVENDER Bradwyn</v>
      </c>
      <c r="G222" s="65" t="str">
        <f>IFERROR(VLOOKUP(Table6[[#This Row],[Player No]],Table10[[No]:[Province]],3,0),"")</f>
        <v>UMG</v>
      </c>
      <c r="H222" s="66">
        <v>5.5</v>
      </c>
      <c r="I222" s="644">
        <v>2.625</v>
      </c>
      <c r="J222" s="819">
        <f>Table6[[#This Row],[Points 2025]]/2+SUM(Table6[[#This Row],[O1  ADMIN 2026]:[P2                           CT Open    2026]])</f>
        <v>1.3125</v>
      </c>
      <c r="K222" s="63">
        <f t="shared" si="25"/>
        <v>0</v>
      </c>
      <c r="L222" s="63">
        <f t="shared" si="24"/>
        <v>0</v>
      </c>
      <c r="M222" s="708"/>
      <c r="N222" s="708" t="s">
        <v>6083</v>
      </c>
      <c r="O222" s="708" t="s">
        <v>6083</v>
      </c>
      <c r="P222" s="708"/>
      <c r="Q222" s="63"/>
      <c r="R222" s="63"/>
      <c r="S222" s="114"/>
      <c r="T222" s="114"/>
      <c r="U222" s="63"/>
      <c r="V222" s="114"/>
      <c r="W222" s="63"/>
      <c r="X222" s="708"/>
      <c r="Y222" s="63"/>
      <c r="Z222" s="636"/>
      <c r="AA222" s="63"/>
      <c r="AB222" s="400"/>
      <c r="AC222" s="63"/>
      <c r="AD222" s="114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127"/>
    </row>
    <row r="223" spans="1:41">
      <c r="A223" s="126"/>
      <c r="B223" s="264"/>
      <c r="C223" s="77">
        <f>+B223-D223</f>
        <v>-219</v>
      </c>
      <c r="D223" s="63">
        <f t="shared" si="26"/>
        <v>219</v>
      </c>
      <c r="E223" s="63">
        <v>3363</v>
      </c>
      <c r="F223" s="64" t="str">
        <f>IFERROR(VLOOKUP(Table6[[#This Row],[Player No]],Table10[[No]:[Province]],2,0),"")</f>
        <v>PETERS Marvin</v>
      </c>
      <c r="G223" s="65" t="str">
        <f>IFERROR(VLOOKUP(Table6[[#This Row],[Player No]],Table10[[No]:[Province]],3,0),"")</f>
        <v>CT</v>
      </c>
      <c r="H223" s="66">
        <v>5.25</v>
      </c>
      <c r="I223" s="644">
        <v>2.625</v>
      </c>
      <c r="J223" s="819">
        <f>Table6[[#This Row],[Points 2025]]/2+SUM(Table6[[#This Row],[O1  ADMIN 2026]:[P2                           CT Open    2026]])</f>
        <v>1.3125</v>
      </c>
      <c r="K223" s="63">
        <f t="shared" si="25"/>
        <v>0</v>
      </c>
      <c r="L223" s="63">
        <f t="shared" si="24"/>
        <v>0</v>
      </c>
      <c r="M223" s="708"/>
      <c r="N223" s="708" t="s">
        <v>6083</v>
      </c>
      <c r="O223" s="708" t="s">
        <v>6083</v>
      </c>
      <c r="P223" s="708"/>
      <c r="Q223" s="63"/>
      <c r="R223" s="63"/>
      <c r="S223" s="114"/>
      <c r="T223" s="114"/>
      <c r="U223" s="63"/>
      <c r="V223" s="114"/>
      <c r="W223" s="63"/>
      <c r="X223" s="708"/>
      <c r="Y223" s="63"/>
      <c r="Z223" s="636"/>
      <c r="AA223" s="63"/>
      <c r="AB223" s="400"/>
      <c r="AC223" s="63"/>
      <c r="AD223" s="114"/>
      <c r="AE223" s="63"/>
      <c r="AF223" s="63"/>
      <c r="AG223" s="63"/>
      <c r="AH223" s="63">
        <v>5</v>
      </c>
      <c r="AI223" s="63"/>
      <c r="AJ223" s="63"/>
      <c r="AK223" s="63"/>
      <c r="AL223" s="63"/>
      <c r="AM223" s="63"/>
      <c r="AN223" s="63"/>
      <c r="AO223" s="127"/>
    </row>
    <row r="224" spans="1:41">
      <c r="A224" s="135">
        <f>IFERROR(VLOOKUP(Table6[[#This Row],[Player No]],Table10[[#All],[No]:[Age Group]],4,0),"")</f>
        <v>0</v>
      </c>
      <c r="B224" s="268"/>
      <c r="C224" s="77"/>
      <c r="D224" s="63">
        <f t="shared" si="26"/>
        <v>220</v>
      </c>
      <c r="E224" s="63">
        <v>4103</v>
      </c>
      <c r="F224" s="64" t="str">
        <f>IFERROR(VLOOKUP(Table6[[#This Row],[Player No]],Table10[[No]:[Province]],2,0),"")</f>
        <v>Sibani NKOSI</v>
      </c>
      <c r="G224" s="65" t="str">
        <f>IFERROR(VLOOKUP(Table6[[#This Row],[Player No]],Table10[[No]:[Province]],3,0),"")</f>
        <v>UMZ</v>
      </c>
      <c r="H224" s="66">
        <v>5.25</v>
      </c>
      <c r="I224" s="644">
        <v>2.625</v>
      </c>
      <c r="J224" s="819">
        <f>Table6[[#This Row],[Points 2025]]/2+SUM(Table6[[#This Row],[O1  ADMIN 2026]:[P2                           CT Open    2026]])</f>
        <v>1.3125</v>
      </c>
      <c r="K224" s="63">
        <f t="shared" si="25"/>
        <v>0</v>
      </c>
      <c r="L224" s="63">
        <f t="shared" ref="L224:L253" si="27">COUNTIF(N224:AO224,"&lt;0")</f>
        <v>0</v>
      </c>
      <c r="M224" s="708"/>
      <c r="N224" s="708" t="s">
        <v>6083</v>
      </c>
      <c r="O224" s="708" t="s">
        <v>6083</v>
      </c>
      <c r="P224" s="708"/>
      <c r="Q224" s="63"/>
      <c r="R224" s="63"/>
      <c r="S224" s="114"/>
      <c r="T224" s="114"/>
      <c r="U224" s="63"/>
      <c r="V224" s="114"/>
      <c r="W224" s="63"/>
      <c r="X224" s="708"/>
      <c r="Y224" s="63"/>
      <c r="Z224" s="636"/>
      <c r="AA224" s="63"/>
      <c r="AB224" s="400"/>
      <c r="AC224" s="63"/>
      <c r="AD224" s="114"/>
      <c r="AE224" s="63"/>
      <c r="AF224" s="63"/>
      <c r="AG224" s="63"/>
      <c r="AH224" s="63"/>
      <c r="AI224" s="63"/>
      <c r="AJ224" s="63">
        <v>5</v>
      </c>
      <c r="AK224" s="63"/>
      <c r="AL224" s="63"/>
      <c r="AM224" s="63"/>
      <c r="AN224" s="63"/>
      <c r="AO224" s="127"/>
    </row>
    <row r="225" spans="1:41">
      <c r="A225" s="135">
        <f>IFERROR(VLOOKUP(Table6[[#This Row],[Player No]],Table10[[#All],[No]:[Age Group]],4,0),"")</f>
        <v>0</v>
      </c>
      <c r="B225" s="268"/>
      <c r="C225" s="77"/>
      <c r="D225" s="63">
        <f t="shared" si="26"/>
        <v>221</v>
      </c>
      <c r="E225" s="63">
        <v>4104</v>
      </c>
      <c r="F225" s="64" t="str">
        <f>IFERROR(VLOOKUP(Table6[[#This Row],[Player No]],Table10[[No]:[Province]],2,0),"")</f>
        <v>Sinakhokonke DUBE</v>
      </c>
      <c r="G225" s="65" t="str">
        <f>IFERROR(VLOOKUP(Table6[[#This Row],[Player No]],Table10[[No]:[Province]],3,0),"")</f>
        <v>UMZ</v>
      </c>
      <c r="H225" s="66">
        <v>5.25</v>
      </c>
      <c r="I225" s="644">
        <v>2.5</v>
      </c>
      <c r="J225" s="819">
        <f>Table6[[#This Row],[Points 2025]]/2+SUM(Table6[[#This Row],[O1  ADMIN 2026]:[P2                           CT Open    2026]])</f>
        <v>1.25</v>
      </c>
      <c r="K225" s="63">
        <f t="shared" si="25"/>
        <v>0</v>
      </c>
      <c r="L225" s="63">
        <f t="shared" si="27"/>
        <v>0</v>
      </c>
      <c r="M225" s="708"/>
      <c r="N225" s="708" t="s">
        <v>6083</v>
      </c>
      <c r="O225" s="708" t="s">
        <v>6083</v>
      </c>
      <c r="P225" s="708"/>
      <c r="Q225" s="63"/>
      <c r="R225" s="63"/>
      <c r="S225" s="114"/>
      <c r="T225" s="114"/>
      <c r="U225" s="63"/>
      <c r="V225" s="114"/>
      <c r="W225" s="63"/>
      <c r="X225" s="708"/>
      <c r="Y225" s="63"/>
      <c r="Z225" s="636"/>
      <c r="AA225" s="63"/>
      <c r="AB225" s="400"/>
      <c r="AC225" s="63"/>
      <c r="AD225" s="114"/>
      <c r="AE225" s="63"/>
      <c r="AF225" s="63"/>
      <c r="AG225" s="63"/>
      <c r="AH225" s="63"/>
      <c r="AI225" s="63"/>
      <c r="AJ225" s="63">
        <v>5</v>
      </c>
      <c r="AK225" s="63"/>
      <c r="AL225" s="63"/>
      <c r="AM225" s="63"/>
      <c r="AN225" s="63"/>
      <c r="AO225" s="127"/>
    </row>
    <row r="226" spans="1:41">
      <c r="A226" s="135">
        <f>IFERROR(VLOOKUP(Table6[[#This Row],[Player No]],Table10[[#All],[No]:[Age Group]],4,0),"")</f>
        <v>0</v>
      </c>
      <c r="B226" s="268"/>
      <c r="C226" s="77"/>
      <c r="D226" s="63">
        <f t="shared" si="26"/>
        <v>222</v>
      </c>
      <c r="E226" s="63">
        <v>4105</v>
      </c>
      <c r="F226" s="64" t="str">
        <f>IFERROR(VLOOKUP(Table6[[#This Row],[Player No]],Table10[[No]:[Province]],2,0),"")</f>
        <v>Siyabonga MOTLOUNG</v>
      </c>
      <c r="G226" s="65" t="str">
        <f>IFERROR(VLOOKUP(Table6[[#This Row],[Player No]],Table10[[No]:[Province]],3,0),"")</f>
        <v>UMZ</v>
      </c>
      <c r="H226" s="66">
        <v>5.25</v>
      </c>
      <c r="I226" s="644">
        <v>2.5</v>
      </c>
      <c r="J226" s="819">
        <f>Table6[[#This Row],[Points 2025]]/2+SUM(Table6[[#This Row],[O1  ADMIN 2026]:[P2                           CT Open    2026]])</f>
        <v>1.25</v>
      </c>
      <c r="K226" s="63">
        <f t="shared" si="25"/>
        <v>0</v>
      </c>
      <c r="L226" s="63">
        <f t="shared" si="27"/>
        <v>0</v>
      </c>
      <c r="M226" s="708"/>
      <c r="N226" s="708" t="s">
        <v>6083</v>
      </c>
      <c r="O226" s="708" t="s">
        <v>6083</v>
      </c>
      <c r="P226" s="708"/>
      <c r="Q226" s="63"/>
      <c r="R226" s="63"/>
      <c r="S226" s="114"/>
      <c r="T226" s="114"/>
      <c r="U226" s="63"/>
      <c r="V226" s="114"/>
      <c r="W226" s="63"/>
      <c r="X226" s="708"/>
      <c r="Y226" s="63"/>
      <c r="Z226" s="636"/>
      <c r="AA226" s="63"/>
      <c r="AB226" s="400"/>
      <c r="AC226" s="63"/>
      <c r="AD226" s="114"/>
      <c r="AE226" s="63"/>
      <c r="AF226" s="63"/>
      <c r="AG226" s="63"/>
      <c r="AH226" s="63"/>
      <c r="AI226" s="63"/>
      <c r="AJ226" s="63">
        <v>5</v>
      </c>
      <c r="AK226" s="63"/>
      <c r="AL226" s="63"/>
      <c r="AM226" s="63"/>
      <c r="AN226" s="63"/>
      <c r="AO226" s="127"/>
    </row>
    <row r="227" spans="1:41">
      <c r="A227" s="135">
        <f>IFERROR(VLOOKUP(Table6[[#This Row],[Player No]],Table10[[#All],[No]:[Age Group]],4,0),"")</f>
        <v>0</v>
      </c>
      <c r="B227" s="268">
        <v>115</v>
      </c>
      <c r="C227" s="77">
        <f>+B227-D227</f>
        <v>-108</v>
      </c>
      <c r="D227" s="63">
        <f t="shared" si="26"/>
        <v>223</v>
      </c>
      <c r="E227" s="63">
        <v>3585</v>
      </c>
      <c r="F227" s="64" t="str">
        <f>IFERROR(VLOOKUP(Table6[[#This Row],[Player No]],Table10[[No]:[Province]],2,0),"")</f>
        <v>MLAMBO Lethabo Nicky</v>
      </c>
      <c r="G227" s="65" t="str">
        <f>IFERROR(VLOOKUP(Table6[[#This Row],[Player No]],Table10[[No]:[Province]],3,0),"")</f>
        <v>LIM</v>
      </c>
      <c r="H227" s="66">
        <v>5</v>
      </c>
      <c r="I227" s="644">
        <v>2.5</v>
      </c>
      <c r="J227" s="819">
        <f>Table6[[#This Row],[Points 2025]]/2+SUM(Table6[[#This Row],[O1  ADMIN 2026]:[P2                           CT Open    2026]])</f>
        <v>1.25</v>
      </c>
      <c r="K227" s="63">
        <f t="shared" si="25"/>
        <v>0</v>
      </c>
      <c r="L227" s="63">
        <f t="shared" si="27"/>
        <v>0</v>
      </c>
      <c r="M227" s="708"/>
      <c r="N227" s="708" t="s">
        <v>6083</v>
      </c>
      <c r="O227" s="708" t="s">
        <v>6083</v>
      </c>
      <c r="P227" s="708"/>
      <c r="Q227" s="63"/>
      <c r="R227" s="63"/>
      <c r="S227" s="114"/>
      <c r="T227" s="114"/>
      <c r="U227" s="63"/>
      <c r="V227" s="114"/>
      <c r="W227" s="63"/>
      <c r="X227" s="708"/>
      <c r="Y227" s="63"/>
      <c r="Z227" s="636"/>
      <c r="AA227" s="63"/>
      <c r="AB227" s="400"/>
      <c r="AC227" s="63"/>
      <c r="AD227" s="114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127"/>
    </row>
    <row r="228" spans="1:41">
      <c r="A228" s="135">
        <f>IFERROR(VLOOKUP(Table6[[#This Row],[Player No]],Table10[[#All],[No]:[Age Group]],4,0),"")</f>
        <v>0</v>
      </c>
      <c r="B228" s="268">
        <v>116</v>
      </c>
      <c r="C228" s="77">
        <f>+B228-D228</f>
        <v>-108</v>
      </c>
      <c r="D228" s="63">
        <f t="shared" si="26"/>
        <v>224</v>
      </c>
      <c r="E228" s="63">
        <v>3769</v>
      </c>
      <c r="F228" s="64" t="str">
        <f>IFERROR(VLOOKUP(Table6[[#This Row],[Player No]],Table10[[No]:[Province]],2,0),"")</f>
        <v>NTSHONTSHO Ongeziwe</v>
      </c>
      <c r="G228" s="65" t="str">
        <f>IFERROR(VLOOKUP(Table6[[#This Row],[Player No]],Table10[[No]:[Province]],3,0),"")</f>
        <v>EC</v>
      </c>
      <c r="H228" s="66">
        <v>5</v>
      </c>
      <c r="I228" s="644">
        <v>2.5</v>
      </c>
      <c r="J228" s="819">
        <f>Table6[[#This Row],[Points 2025]]/2+SUM(Table6[[#This Row],[O1  ADMIN 2026]:[P2                           CT Open    2026]])</f>
        <v>1.25</v>
      </c>
      <c r="K228" s="63">
        <f t="shared" si="25"/>
        <v>0</v>
      </c>
      <c r="L228" s="63">
        <f t="shared" si="27"/>
        <v>0</v>
      </c>
      <c r="M228" s="708"/>
      <c r="N228" s="708" t="s">
        <v>6083</v>
      </c>
      <c r="O228" s="708" t="s">
        <v>6083</v>
      </c>
      <c r="P228" s="708"/>
      <c r="Q228" s="63"/>
      <c r="R228" s="63"/>
      <c r="S228" s="114"/>
      <c r="T228" s="114"/>
      <c r="U228" s="63"/>
      <c r="V228" s="114"/>
      <c r="W228" s="63"/>
      <c r="X228" s="708"/>
      <c r="Y228" s="63"/>
      <c r="Z228" s="636"/>
      <c r="AA228" s="63"/>
      <c r="AB228" s="400"/>
      <c r="AC228" s="63"/>
      <c r="AD228" s="114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127"/>
    </row>
    <row r="229" spans="1:41" s="270" customFormat="1">
      <c r="A229" s="135" t="str">
        <f>IFERROR(VLOOKUP(Table6[[#This Row],[Player No]],Table10[[#All],[No]:[Age Group]],4,0),"")</f>
        <v>U15</v>
      </c>
      <c r="B229" s="268">
        <v>117</v>
      </c>
      <c r="C229" s="77">
        <f>+B229-D229</f>
        <v>-108</v>
      </c>
      <c r="D229" s="63">
        <f t="shared" si="26"/>
        <v>225</v>
      </c>
      <c r="E229" s="63">
        <v>3860</v>
      </c>
      <c r="F229" s="64" t="str">
        <f>IFERROR(VLOOKUP(Table6[[#This Row],[Player No]],Table10[[No]:[Province]],2,0),"")</f>
        <v>TOPOL Alon</v>
      </c>
      <c r="G229" s="65" t="str">
        <f>IFERROR(VLOOKUP(Table6[[#This Row],[Player No]],Table10[[No]:[Province]],3,0),"")</f>
        <v>JTTA</v>
      </c>
      <c r="H229" s="66">
        <v>5</v>
      </c>
      <c r="I229" s="644">
        <v>2.5</v>
      </c>
      <c r="J229" s="819">
        <f>Table6[[#This Row],[Points 2025]]/2+SUM(Table6[[#This Row],[O1  ADMIN 2026]:[P2                           CT Open    2026]])</f>
        <v>1.25</v>
      </c>
      <c r="K229" s="63">
        <f t="shared" si="25"/>
        <v>0</v>
      </c>
      <c r="L229" s="63">
        <f t="shared" si="27"/>
        <v>0</v>
      </c>
      <c r="M229" s="708"/>
      <c r="N229" s="708" t="s">
        <v>6083</v>
      </c>
      <c r="O229" s="708" t="s">
        <v>6083</v>
      </c>
      <c r="P229" s="708"/>
      <c r="Q229" s="63"/>
      <c r="R229" s="63"/>
      <c r="S229" s="114"/>
      <c r="T229" s="114"/>
      <c r="U229" s="63"/>
      <c r="V229" s="114"/>
      <c r="W229" s="63"/>
      <c r="X229" s="708"/>
      <c r="Y229" s="63"/>
      <c r="Z229" s="636"/>
      <c r="AA229" s="63"/>
      <c r="AB229" s="400"/>
      <c r="AC229" s="63"/>
      <c r="AD229" s="114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127">
        <v>5</v>
      </c>
    </row>
    <row r="230" spans="1:41" s="91" customFormat="1">
      <c r="A230" s="135" t="str">
        <f>IFERROR(VLOOKUP(Table6[[#This Row],[Player No]],Table10[[#All],[No]:[Age Group]],4,0),"")</f>
        <v>U15</v>
      </c>
      <c r="B230" s="268">
        <v>107</v>
      </c>
      <c r="C230" s="77">
        <f>+B230-D230</f>
        <v>-119</v>
      </c>
      <c r="D230" s="63">
        <f t="shared" si="26"/>
        <v>226</v>
      </c>
      <c r="E230" s="63">
        <v>3861</v>
      </c>
      <c r="F230" s="64" t="str">
        <f>IFERROR(VLOOKUP(Table6[[#This Row],[Player No]],Table10[[No]:[Province]],2,0),"")</f>
        <v>MEYERSON Benji</v>
      </c>
      <c r="G230" s="65" t="str">
        <f>IFERROR(VLOOKUP(Table6[[#This Row],[Player No]],Table10[[No]:[Province]],3,0),"")</f>
        <v>JTTA</v>
      </c>
      <c r="H230" s="66">
        <v>5</v>
      </c>
      <c r="I230" s="644">
        <v>2.5</v>
      </c>
      <c r="J230" s="819">
        <f>Table6[[#This Row],[Points 2025]]/2+SUM(Table6[[#This Row],[O1  ADMIN 2026]:[P2                           CT Open    2026]])</f>
        <v>1.25</v>
      </c>
      <c r="K230" s="63">
        <f t="shared" si="25"/>
        <v>0</v>
      </c>
      <c r="L230" s="63">
        <f t="shared" si="27"/>
        <v>0</v>
      </c>
      <c r="M230" s="708"/>
      <c r="N230" s="708" t="s">
        <v>6083</v>
      </c>
      <c r="O230" s="708" t="s">
        <v>6083</v>
      </c>
      <c r="P230" s="708"/>
      <c r="Q230" s="63"/>
      <c r="R230" s="63"/>
      <c r="S230" s="114"/>
      <c r="T230" s="114"/>
      <c r="U230" s="63"/>
      <c r="V230" s="114"/>
      <c r="W230" s="63"/>
      <c r="X230" s="708"/>
      <c r="Y230" s="63"/>
      <c r="Z230" s="636"/>
      <c r="AA230" s="63"/>
      <c r="AB230" s="400"/>
      <c r="AC230" s="63"/>
      <c r="AD230" s="114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127">
        <v>5</v>
      </c>
    </row>
    <row r="231" spans="1:41" s="91" customFormat="1">
      <c r="A231" s="135">
        <f>IFERROR(VLOOKUP(Table6[[#This Row],[Player No]],Table10[[#All],[No]:[Age Group]],4,0),"")</f>
        <v>0</v>
      </c>
      <c r="B231" s="268"/>
      <c r="C231" s="77"/>
      <c r="D231" s="63">
        <f t="shared" si="26"/>
        <v>227</v>
      </c>
      <c r="E231" s="63">
        <v>3896</v>
      </c>
      <c r="F231" s="64" t="str">
        <f>IFERROR(VLOOKUP(Table6[[#This Row],[Player No]],Table10[[No]:[Province]],2,0),"")</f>
        <v>BONOKWANE Boitumelo</v>
      </c>
      <c r="G231" s="65" t="str">
        <f>IFERROR(VLOOKUP(Table6[[#This Row],[Player No]],Table10[[No]:[Province]],3,0),"")</f>
        <v>NWP</v>
      </c>
      <c r="H231" s="66">
        <v>5</v>
      </c>
      <c r="I231" s="644">
        <v>2.5</v>
      </c>
      <c r="J231" s="819">
        <f>Table6[[#This Row],[Points 2025]]/2+SUM(Table6[[#This Row],[O1  ADMIN 2026]:[P2                           CT Open    2026]])</f>
        <v>1.25</v>
      </c>
      <c r="K231" s="63">
        <f t="shared" si="25"/>
        <v>0</v>
      </c>
      <c r="L231" s="63">
        <f t="shared" si="27"/>
        <v>0</v>
      </c>
      <c r="M231" s="708"/>
      <c r="N231" s="708" t="s">
        <v>6083</v>
      </c>
      <c r="O231" s="708" t="s">
        <v>6083</v>
      </c>
      <c r="P231" s="708"/>
      <c r="Q231" s="63"/>
      <c r="R231" s="63"/>
      <c r="S231" s="114"/>
      <c r="T231" s="114"/>
      <c r="U231" s="63"/>
      <c r="V231" s="114"/>
      <c r="W231" s="63"/>
      <c r="X231" s="708"/>
      <c r="Y231" s="63"/>
      <c r="Z231" s="636"/>
      <c r="AA231" s="63"/>
      <c r="AB231" s="400"/>
      <c r="AC231" s="63"/>
      <c r="AD231" s="114"/>
      <c r="AE231" s="63"/>
      <c r="AF231" s="63"/>
      <c r="AG231" s="63"/>
      <c r="AH231" s="63"/>
      <c r="AI231" s="63"/>
      <c r="AJ231" s="63">
        <v>5</v>
      </c>
      <c r="AK231" s="63"/>
      <c r="AL231" s="63"/>
      <c r="AM231" s="63"/>
      <c r="AN231" s="63"/>
      <c r="AO231" s="127"/>
    </row>
    <row r="232" spans="1:41" s="91" customFormat="1">
      <c r="A232" s="135">
        <f>IFERROR(VLOOKUP(Table6[[#This Row],[Player No]],Table10[[#All],[No]:[Age Group]],4,0),"")</f>
        <v>0</v>
      </c>
      <c r="B232" s="268"/>
      <c r="C232" s="77"/>
      <c r="D232" s="63">
        <f t="shared" si="26"/>
        <v>228</v>
      </c>
      <c r="E232" s="63">
        <v>3897</v>
      </c>
      <c r="F232" s="64" t="str">
        <f>IFERROR(VLOOKUP(Table6[[#This Row],[Player No]],Table10[[No]:[Province]],2,0),"")</f>
        <v>HLAHANE Bonolo</v>
      </c>
      <c r="G232" s="65" t="str">
        <f>IFERROR(VLOOKUP(Table6[[#This Row],[Player No]],Table10[[No]:[Province]],3,0),"")</f>
        <v>NWP</v>
      </c>
      <c r="H232" s="66">
        <v>5</v>
      </c>
      <c r="I232" s="644">
        <v>2.5</v>
      </c>
      <c r="J232" s="819">
        <f>Table6[[#This Row],[Points 2025]]/2+SUM(Table6[[#This Row],[O1  ADMIN 2026]:[P2                           CT Open    2026]])</f>
        <v>1.25</v>
      </c>
      <c r="K232" s="63">
        <f t="shared" si="25"/>
        <v>0</v>
      </c>
      <c r="L232" s="63">
        <f t="shared" si="27"/>
        <v>0</v>
      </c>
      <c r="M232" s="708"/>
      <c r="N232" s="708" t="s">
        <v>6083</v>
      </c>
      <c r="O232" s="708" t="s">
        <v>6083</v>
      </c>
      <c r="P232" s="708"/>
      <c r="Q232" s="63"/>
      <c r="R232" s="63"/>
      <c r="S232" s="114"/>
      <c r="T232" s="114"/>
      <c r="U232" s="63"/>
      <c r="V232" s="114"/>
      <c r="W232" s="63"/>
      <c r="X232" s="708"/>
      <c r="Y232" s="63"/>
      <c r="Z232" s="636"/>
      <c r="AA232" s="63"/>
      <c r="AB232" s="400"/>
      <c r="AC232" s="63"/>
      <c r="AD232" s="114"/>
      <c r="AE232" s="63"/>
      <c r="AF232" s="63"/>
      <c r="AG232" s="63"/>
      <c r="AH232" s="63"/>
      <c r="AI232" s="63"/>
      <c r="AJ232" s="63">
        <v>5</v>
      </c>
      <c r="AK232" s="63"/>
      <c r="AL232" s="63"/>
      <c r="AM232" s="63"/>
      <c r="AN232" s="63"/>
      <c r="AO232" s="127"/>
    </row>
    <row r="233" spans="1:41" s="91" customFormat="1">
      <c r="A233" s="135">
        <f>IFERROR(VLOOKUP(Table6[[#This Row],[Player No]],Table10[[#All],[No]:[Age Group]],4,0),"")</f>
        <v>0</v>
      </c>
      <c r="B233" s="268"/>
      <c r="C233" s="77"/>
      <c r="D233" s="63">
        <f t="shared" si="26"/>
        <v>229</v>
      </c>
      <c r="E233" s="63">
        <v>3898</v>
      </c>
      <c r="F233" s="64" t="str">
        <f>IFERROR(VLOOKUP(Table6[[#This Row],[Player No]],Table10[[No]:[Province]],2,0),"")</f>
        <v>MOKWA K</v>
      </c>
      <c r="G233" s="65" t="str">
        <f>IFERROR(VLOOKUP(Table6[[#This Row],[Player No]],Table10[[No]:[Province]],3,0),"")</f>
        <v>NWP</v>
      </c>
      <c r="H233" s="66">
        <v>5</v>
      </c>
      <c r="I233" s="644">
        <v>2.5</v>
      </c>
      <c r="J233" s="819">
        <f>Table6[[#This Row],[Points 2025]]/2+SUM(Table6[[#This Row],[O1  ADMIN 2026]:[P2                           CT Open    2026]])</f>
        <v>1.25</v>
      </c>
      <c r="K233" s="63">
        <f t="shared" si="25"/>
        <v>0</v>
      </c>
      <c r="L233" s="63">
        <f t="shared" si="27"/>
        <v>0</v>
      </c>
      <c r="M233" s="708"/>
      <c r="N233" s="708" t="s">
        <v>6083</v>
      </c>
      <c r="O233" s="708" t="s">
        <v>6083</v>
      </c>
      <c r="P233" s="708"/>
      <c r="Q233" s="63"/>
      <c r="R233" s="63"/>
      <c r="S233" s="114"/>
      <c r="T233" s="114"/>
      <c r="U233" s="63"/>
      <c r="V233" s="114"/>
      <c r="W233" s="63"/>
      <c r="X233" s="708"/>
      <c r="Y233" s="63"/>
      <c r="Z233" s="636"/>
      <c r="AA233" s="63"/>
      <c r="AB233" s="400"/>
      <c r="AC233" s="63"/>
      <c r="AD233" s="114"/>
      <c r="AE233" s="63"/>
      <c r="AF233" s="63"/>
      <c r="AG233" s="63"/>
      <c r="AH233" s="63"/>
      <c r="AI233" s="63"/>
      <c r="AJ233" s="63">
        <v>5</v>
      </c>
      <c r="AK233" s="63"/>
      <c r="AL233" s="63"/>
      <c r="AM233" s="63"/>
      <c r="AN233" s="63"/>
      <c r="AO233" s="127"/>
    </row>
    <row r="234" spans="1:41" s="91" customFormat="1">
      <c r="A234" s="135">
        <f>IFERROR(VLOOKUP(Table6[[#This Row],[Player No]],Table10[[#All],[No]:[Age Group]],4,0),"")</f>
        <v>0</v>
      </c>
      <c r="B234" s="268"/>
      <c r="C234" s="77"/>
      <c r="D234" s="63">
        <f t="shared" si="26"/>
        <v>230</v>
      </c>
      <c r="E234" s="63">
        <v>3899</v>
      </c>
      <c r="F234" s="64" t="str">
        <f>IFERROR(VLOOKUP(Table6[[#This Row],[Player No]],Table10[[No]:[Province]],2,0),"")</f>
        <v>GAGOITSIWE Oarabile</v>
      </c>
      <c r="G234" s="65" t="str">
        <f>IFERROR(VLOOKUP(Table6[[#This Row],[Player No]],Table10[[No]:[Province]],3,0),"")</f>
        <v>NWP</v>
      </c>
      <c r="H234" s="66">
        <v>5</v>
      </c>
      <c r="I234" s="644">
        <v>2.5</v>
      </c>
      <c r="J234" s="819">
        <f>Table6[[#This Row],[Points 2025]]/2+SUM(Table6[[#This Row],[O1  ADMIN 2026]:[P2                           CT Open    2026]])</f>
        <v>1.25</v>
      </c>
      <c r="K234" s="63">
        <f t="shared" si="25"/>
        <v>0</v>
      </c>
      <c r="L234" s="63">
        <f t="shared" si="27"/>
        <v>0</v>
      </c>
      <c r="M234" s="708"/>
      <c r="N234" s="708" t="s">
        <v>6083</v>
      </c>
      <c r="O234" s="708" t="s">
        <v>6083</v>
      </c>
      <c r="P234" s="708"/>
      <c r="Q234" s="63"/>
      <c r="R234" s="63"/>
      <c r="S234" s="114"/>
      <c r="T234" s="114"/>
      <c r="U234" s="63"/>
      <c r="V234" s="114"/>
      <c r="W234" s="63"/>
      <c r="X234" s="708"/>
      <c r="Y234" s="63"/>
      <c r="Z234" s="636"/>
      <c r="AA234" s="63"/>
      <c r="AB234" s="400"/>
      <c r="AC234" s="63"/>
      <c r="AD234" s="114"/>
      <c r="AE234" s="63"/>
      <c r="AF234" s="63"/>
      <c r="AG234" s="63"/>
      <c r="AH234" s="63"/>
      <c r="AI234" s="63"/>
      <c r="AJ234" s="63">
        <v>5</v>
      </c>
      <c r="AK234" s="63"/>
      <c r="AL234" s="63"/>
      <c r="AM234" s="63"/>
      <c r="AN234" s="63"/>
      <c r="AO234" s="127"/>
    </row>
    <row r="235" spans="1:41" s="91" customFormat="1">
      <c r="A235" s="136">
        <f>IFERROR(VLOOKUP(Table6[[#This Row],[Player No]],Table10[[#All],[No]:[Age Group]],4,0),"")</f>
        <v>0</v>
      </c>
      <c r="B235" s="264"/>
      <c r="C235" s="77"/>
      <c r="D235" s="63">
        <f t="shared" si="26"/>
        <v>231</v>
      </c>
      <c r="E235" s="63">
        <v>3964</v>
      </c>
      <c r="F235" s="64" t="str">
        <f>IFERROR(VLOOKUP(Table6[[#This Row],[Player No]],Table10[[No]:[Province]],2,0),"")</f>
        <v>MPEHLE Imanathi</v>
      </c>
      <c r="G235" s="65" t="str">
        <f>IFERROR(VLOOKUP(Table6[[#This Row],[Player No]],Table10[[No]:[Province]],3,0),"")</f>
        <v>EKU</v>
      </c>
      <c r="H235" s="66">
        <v>5</v>
      </c>
      <c r="I235" s="644">
        <v>2.5</v>
      </c>
      <c r="J235" s="819">
        <f>Table6[[#This Row],[Points 2025]]/2+SUM(Table6[[#This Row],[O1  ADMIN 2026]:[P2                           CT Open    2026]])</f>
        <v>1.25</v>
      </c>
      <c r="K235" s="63">
        <f t="shared" si="25"/>
        <v>0</v>
      </c>
      <c r="L235" s="63">
        <f t="shared" si="27"/>
        <v>0</v>
      </c>
      <c r="M235" s="708"/>
      <c r="N235" s="708" t="s">
        <v>6083</v>
      </c>
      <c r="O235" s="708" t="s">
        <v>6083</v>
      </c>
      <c r="P235" s="708"/>
      <c r="Q235" s="63"/>
      <c r="R235" s="63"/>
      <c r="S235" s="114"/>
      <c r="T235" s="114"/>
      <c r="U235" s="63"/>
      <c r="V235" s="114"/>
      <c r="W235" s="63"/>
      <c r="X235" s="708"/>
      <c r="Y235" s="63"/>
      <c r="Z235" s="636"/>
      <c r="AA235" s="63"/>
      <c r="AB235" s="400"/>
      <c r="AC235" s="63"/>
      <c r="AD235" s="114"/>
      <c r="AE235" s="63"/>
      <c r="AF235" s="63"/>
      <c r="AG235" s="63"/>
      <c r="AH235" s="63"/>
      <c r="AI235" s="63"/>
      <c r="AJ235" s="63">
        <v>5</v>
      </c>
      <c r="AK235" s="63"/>
      <c r="AL235" s="63"/>
      <c r="AM235" s="63"/>
      <c r="AN235" s="63"/>
      <c r="AO235" s="127"/>
    </row>
    <row r="236" spans="1:41" s="91" customFormat="1">
      <c r="A236" s="136" t="str">
        <f>IFERROR(VLOOKUP(Table6[[#This Row],[Player No]],Table10[[#All],[No]:[Age Group]],4,0),"")</f>
        <v>U11</v>
      </c>
      <c r="B236" s="264"/>
      <c r="C236" s="77"/>
      <c r="D236" s="63">
        <f t="shared" si="26"/>
        <v>232</v>
      </c>
      <c r="E236" s="63">
        <v>3969</v>
      </c>
      <c r="F236" s="64" t="str">
        <f>IFERROR(VLOOKUP(Table6[[#This Row],[Player No]],Table10[[No]:[Province]],2,0),"")</f>
        <v>DZINGA Thamsanqa</v>
      </c>
      <c r="G236" s="65" t="str">
        <f>IFERROR(VLOOKUP(Table6[[#This Row],[Player No]],Table10[[No]:[Province]],3,0),"")</f>
        <v>EKU</v>
      </c>
      <c r="H236" s="66">
        <v>5</v>
      </c>
      <c r="I236" s="644">
        <v>2.5</v>
      </c>
      <c r="J236" s="819">
        <f>Table6[[#This Row],[Points 2025]]/2+SUM(Table6[[#This Row],[O1  ADMIN 2026]:[P2                           CT Open    2026]])</f>
        <v>1.25</v>
      </c>
      <c r="K236" s="63">
        <f t="shared" si="25"/>
        <v>0</v>
      </c>
      <c r="L236" s="63">
        <f t="shared" si="27"/>
        <v>0</v>
      </c>
      <c r="M236" s="708"/>
      <c r="N236" s="708" t="s">
        <v>6083</v>
      </c>
      <c r="O236" s="708" t="s">
        <v>6083</v>
      </c>
      <c r="P236" s="708"/>
      <c r="Q236" s="63"/>
      <c r="R236" s="63"/>
      <c r="S236" s="114"/>
      <c r="T236" s="114"/>
      <c r="U236" s="63"/>
      <c r="V236" s="114"/>
      <c r="W236" s="63"/>
      <c r="X236" s="708"/>
      <c r="Y236" s="63"/>
      <c r="Z236" s="636"/>
      <c r="AA236" s="63"/>
      <c r="AB236" s="400"/>
      <c r="AC236" s="63"/>
      <c r="AD236" s="114"/>
      <c r="AE236" s="63"/>
      <c r="AF236" s="63"/>
      <c r="AG236" s="63"/>
      <c r="AH236" s="63"/>
      <c r="AI236" s="63"/>
      <c r="AJ236" s="63">
        <v>5</v>
      </c>
      <c r="AK236" s="63"/>
      <c r="AL236" s="63"/>
      <c r="AM236" s="63"/>
      <c r="AN236" s="63"/>
      <c r="AO236" s="127"/>
    </row>
    <row r="237" spans="1:41" s="91" customFormat="1">
      <c r="A237" s="136" t="str">
        <f>IFERROR(VLOOKUP(Table6[[#This Row],[Player No]],Table10[[#All],[No]:[Age Group]],4,0),"")</f>
        <v>U15</v>
      </c>
      <c r="B237" s="264"/>
      <c r="C237" s="77"/>
      <c r="D237" s="63">
        <f t="shared" si="26"/>
        <v>233</v>
      </c>
      <c r="E237" s="63">
        <v>3972</v>
      </c>
      <c r="F237" s="64" t="str">
        <f>IFERROR(VLOOKUP(Table6[[#This Row],[Player No]],Table10[[No]:[Province]],2,0),"")</f>
        <v>NTEKANA Gosiame</v>
      </c>
      <c r="G237" s="65" t="str">
        <f>IFERROR(VLOOKUP(Table6[[#This Row],[Player No]],Table10[[No]:[Province]],3,0),"")</f>
        <v>EKU</v>
      </c>
      <c r="H237" s="66">
        <v>5</v>
      </c>
      <c r="I237" s="644">
        <v>2.5</v>
      </c>
      <c r="J237" s="819">
        <f>Table6[[#This Row],[Points 2025]]/2+SUM(Table6[[#This Row],[O1  ADMIN 2026]:[P2                           CT Open    2026]])</f>
        <v>1.25</v>
      </c>
      <c r="K237" s="63">
        <f t="shared" si="25"/>
        <v>0</v>
      </c>
      <c r="L237" s="63">
        <f t="shared" si="27"/>
        <v>0</v>
      </c>
      <c r="M237" s="708"/>
      <c r="N237" s="708" t="s">
        <v>6083</v>
      </c>
      <c r="O237" s="708" t="s">
        <v>6083</v>
      </c>
      <c r="P237" s="708"/>
      <c r="Q237" s="63"/>
      <c r="R237" s="63"/>
      <c r="S237" s="114"/>
      <c r="T237" s="114"/>
      <c r="U237" s="63"/>
      <c r="V237" s="114"/>
      <c r="W237" s="63"/>
      <c r="X237" s="708"/>
      <c r="Y237" s="63"/>
      <c r="Z237" s="636"/>
      <c r="AA237" s="63"/>
      <c r="AB237" s="400"/>
      <c r="AC237" s="63"/>
      <c r="AD237" s="114"/>
      <c r="AE237" s="63"/>
      <c r="AF237" s="63"/>
      <c r="AG237" s="63"/>
      <c r="AH237" s="63"/>
      <c r="AI237" s="63"/>
      <c r="AJ237" s="63">
        <v>5</v>
      </c>
      <c r="AK237" s="63"/>
      <c r="AL237" s="63"/>
      <c r="AM237" s="63"/>
      <c r="AN237" s="63"/>
      <c r="AO237" s="127"/>
    </row>
    <row r="238" spans="1:41" s="91" customFormat="1">
      <c r="A238" s="136" t="str">
        <f>IFERROR(VLOOKUP(Table6[[#This Row],[Player No]],Table10[[#All],[No]:[Age Group]],4,0),"")</f>
        <v>U15</v>
      </c>
      <c r="B238" s="264"/>
      <c r="C238" s="77"/>
      <c r="D238" s="63">
        <f t="shared" si="26"/>
        <v>234</v>
      </c>
      <c r="E238" s="63">
        <v>3973</v>
      </c>
      <c r="F238" s="64" t="str">
        <f>IFERROR(VLOOKUP(Table6[[#This Row],[Player No]],Table10[[No]:[Province]],2,0),"")</f>
        <v>MADONSELA Lwandile</v>
      </c>
      <c r="G238" s="65" t="str">
        <f>IFERROR(VLOOKUP(Table6[[#This Row],[Player No]],Table10[[No]:[Province]],3,0),"")</f>
        <v>EKU</v>
      </c>
      <c r="H238" s="66">
        <v>5</v>
      </c>
      <c r="I238" s="644">
        <v>2.5</v>
      </c>
      <c r="J238" s="819">
        <f>Table6[[#This Row],[Points 2025]]/2+SUM(Table6[[#This Row],[O1  ADMIN 2026]:[P2                           CT Open    2026]])</f>
        <v>1.25</v>
      </c>
      <c r="K238" s="63">
        <f t="shared" si="25"/>
        <v>0</v>
      </c>
      <c r="L238" s="63">
        <f t="shared" si="27"/>
        <v>0</v>
      </c>
      <c r="M238" s="708"/>
      <c r="N238" s="708" t="s">
        <v>6083</v>
      </c>
      <c r="O238" s="708" t="s">
        <v>6083</v>
      </c>
      <c r="P238" s="708"/>
      <c r="Q238" s="63"/>
      <c r="R238" s="63"/>
      <c r="S238" s="114"/>
      <c r="T238" s="114"/>
      <c r="U238" s="63"/>
      <c r="V238" s="114"/>
      <c r="W238" s="63"/>
      <c r="X238" s="708"/>
      <c r="Y238" s="63"/>
      <c r="Z238" s="636"/>
      <c r="AA238" s="63"/>
      <c r="AB238" s="400"/>
      <c r="AC238" s="63"/>
      <c r="AD238" s="114"/>
      <c r="AE238" s="63"/>
      <c r="AF238" s="63"/>
      <c r="AG238" s="63"/>
      <c r="AH238" s="63"/>
      <c r="AI238" s="63"/>
      <c r="AJ238" s="63">
        <v>5</v>
      </c>
      <c r="AK238" s="63"/>
      <c r="AL238" s="63"/>
      <c r="AM238" s="63"/>
      <c r="AN238" s="63"/>
      <c r="AO238" s="127"/>
    </row>
    <row r="239" spans="1:41" s="91" customFormat="1">
      <c r="A239" s="136">
        <f>IFERROR(VLOOKUP(Table6[[#This Row],[Player No]],Table10[[#All],[No]:[Age Group]],4,0),"")</f>
        <v>0</v>
      </c>
      <c r="B239" s="264"/>
      <c r="C239" s="77"/>
      <c r="D239" s="63">
        <f t="shared" si="26"/>
        <v>235</v>
      </c>
      <c r="E239" s="63">
        <v>4048</v>
      </c>
      <c r="F239" s="64" t="str">
        <f>IFERROR(VLOOKUP(Table6[[#This Row],[Player No]],Table10[[No]:[Province]],2,0),"")</f>
        <v>SIGABI Zukisani</v>
      </c>
      <c r="G239" s="65" t="str">
        <f>IFERROR(VLOOKUP(Table6[[#This Row],[Player No]],Table10[[No]:[Province]],3,0),"")</f>
        <v>EC</v>
      </c>
      <c r="H239" s="66">
        <v>5</v>
      </c>
      <c r="I239" s="644">
        <v>2.5</v>
      </c>
      <c r="J239" s="819">
        <f>Table6[[#This Row],[Points 2025]]/2+SUM(Table6[[#This Row],[O1  ADMIN 2026]:[P2                           CT Open    2026]])</f>
        <v>1.25</v>
      </c>
      <c r="K239" s="63">
        <f t="shared" si="25"/>
        <v>0</v>
      </c>
      <c r="L239" s="63">
        <f t="shared" si="27"/>
        <v>0</v>
      </c>
      <c r="M239" s="708"/>
      <c r="N239" s="708" t="s">
        <v>6083</v>
      </c>
      <c r="O239" s="708" t="s">
        <v>6083</v>
      </c>
      <c r="P239" s="708"/>
      <c r="Q239" s="63"/>
      <c r="R239" s="63"/>
      <c r="S239" s="114"/>
      <c r="T239" s="114"/>
      <c r="U239" s="63"/>
      <c r="V239" s="114"/>
      <c r="W239" s="63"/>
      <c r="X239" s="708"/>
      <c r="Y239" s="63"/>
      <c r="Z239" s="636"/>
      <c r="AA239" s="63"/>
      <c r="AB239" s="400"/>
      <c r="AC239" s="63"/>
      <c r="AD239" s="114"/>
      <c r="AE239" s="63"/>
      <c r="AF239" s="63"/>
      <c r="AG239" s="63"/>
      <c r="AH239" s="63"/>
      <c r="AI239" s="63"/>
      <c r="AJ239" s="63">
        <v>5</v>
      </c>
      <c r="AK239" s="63"/>
      <c r="AL239" s="63"/>
      <c r="AM239" s="63"/>
      <c r="AN239" s="63"/>
      <c r="AO239" s="127"/>
    </row>
    <row r="240" spans="1:41" s="91" customFormat="1">
      <c r="A240" s="126"/>
      <c r="B240" s="264"/>
      <c r="C240" s="77">
        <f>+B240-D240</f>
        <v>-236</v>
      </c>
      <c r="D240" s="63">
        <f t="shared" si="26"/>
        <v>236</v>
      </c>
      <c r="E240" s="173">
        <v>4554</v>
      </c>
      <c r="F240" s="64" t="str">
        <f>IFERROR(VLOOKUP(Table6[[#This Row],[Player No]],Table10[[No]:[Province]],2,0),"")</f>
        <v xml:space="preserve">BOOYSEN Marius </v>
      </c>
      <c r="G240" s="65" t="str">
        <f>IFERROR(VLOOKUP(Table6[[#This Row],[Player No]],Table10[[No]:[Province]],3,0),"")</f>
        <v>CW</v>
      </c>
      <c r="H240" s="66">
        <v>5</v>
      </c>
      <c r="I240" s="644">
        <v>2.5</v>
      </c>
      <c r="J240" s="819">
        <f>Table6[[#This Row],[Points 2025]]/2+SUM(Table6[[#This Row],[O1  ADMIN 2026]:[P2                           CT Open    2026]])</f>
        <v>1.25</v>
      </c>
      <c r="K240" s="63">
        <f t="shared" si="25"/>
        <v>0</v>
      </c>
      <c r="L240" s="63">
        <f t="shared" si="27"/>
        <v>0</v>
      </c>
      <c r="M240" s="708"/>
      <c r="N240" s="708" t="s">
        <v>6083</v>
      </c>
      <c r="O240" s="708" t="s">
        <v>6083</v>
      </c>
      <c r="P240" s="708"/>
      <c r="Q240" s="63"/>
      <c r="R240" s="63"/>
      <c r="S240" s="114"/>
      <c r="T240" s="114"/>
      <c r="U240" s="63"/>
      <c r="V240" s="114"/>
      <c r="W240" s="63"/>
      <c r="X240" s="708"/>
      <c r="Y240" s="63"/>
      <c r="Z240" s="636"/>
      <c r="AA240" s="63"/>
      <c r="AB240" s="400"/>
      <c r="AC240" s="63"/>
      <c r="AD240" s="114"/>
      <c r="AE240" s="63"/>
      <c r="AF240" s="63"/>
      <c r="AG240" s="63"/>
      <c r="AH240" s="63">
        <v>5</v>
      </c>
      <c r="AI240" s="63"/>
      <c r="AJ240" s="63"/>
      <c r="AK240" s="63"/>
      <c r="AL240" s="63"/>
      <c r="AM240" s="63"/>
      <c r="AN240" s="63"/>
      <c r="AO240" s="127"/>
    </row>
    <row r="241" spans="1:41" s="91" customFormat="1">
      <c r="A241" s="126"/>
      <c r="B241" s="264"/>
      <c r="C241" s="77">
        <f>+B241-D241</f>
        <v>-237</v>
      </c>
      <c r="D241" s="63">
        <f t="shared" si="26"/>
        <v>237</v>
      </c>
      <c r="E241" s="173">
        <v>4555</v>
      </c>
      <c r="F241" s="64" t="str">
        <f>IFERROR(VLOOKUP(Table6[[#This Row],[Player No]],Table10[[No]:[Province]],2,0),"")</f>
        <v xml:space="preserve">DAVIDS Dorian </v>
      </c>
      <c r="G241" s="65" t="str">
        <f>IFERROR(VLOOKUP(Table6[[#This Row],[Player No]],Table10[[No]:[Province]],3,0),"")</f>
        <v>CT</v>
      </c>
      <c r="H241" s="66">
        <v>5</v>
      </c>
      <c r="I241" s="644">
        <v>2.5</v>
      </c>
      <c r="J241" s="819">
        <f>Table6[[#This Row],[Points 2025]]/2+SUM(Table6[[#This Row],[O1  ADMIN 2026]:[P2                           CT Open    2026]])</f>
        <v>1.25</v>
      </c>
      <c r="K241" s="63">
        <f t="shared" si="25"/>
        <v>0</v>
      </c>
      <c r="L241" s="63">
        <f t="shared" si="27"/>
        <v>0</v>
      </c>
      <c r="M241" s="708"/>
      <c r="N241" s="708" t="s">
        <v>6083</v>
      </c>
      <c r="O241" s="708" t="s">
        <v>6083</v>
      </c>
      <c r="P241" s="708"/>
      <c r="Q241" s="63"/>
      <c r="R241" s="63"/>
      <c r="S241" s="114"/>
      <c r="T241" s="114"/>
      <c r="U241" s="63"/>
      <c r="V241" s="114"/>
      <c r="W241" s="63"/>
      <c r="X241" s="708"/>
      <c r="Y241" s="63"/>
      <c r="Z241" s="636"/>
      <c r="AA241" s="63"/>
      <c r="AB241" s="400"/>
      <c r="AC241" s="63"/>
      <c r="AD241" s="114"/>
      <c r="AE241" s="63"/>
      <c r="AF241" s="63"/>
      <c r="AG241" s="63"/>
      <c r="AH241" s="63">
        <v>5</v>
      </c>
      <c r="AI241" s="63"/>
      <c r="AJ241" s="63"/>
      <c r="AK241" s="63"/>
      <c r="AL241" s="63"/>
      <c r="AM241" s="63"/>
      <c r="AN241" s="63"/>
      <c r="AO241" s="127"/>
    </row>
    <row r="242" spans="1:41" s="91" customFormat="1">
      <c r="A242" s="126"/>
      <c r="B242" s="264"/>
      <c r="C242" s="77">
        <f>+B242-D242</f>
        <v>-238</v>
      </c>
      <c r="D242" s="63">
        <f t="shared" si="26"/>
        <v>238</v>
      </c>
      <c r="E242" s="173">
        <v>4557</v>
      </c>
      <c r="F242" s="64" t="str">
        <f>IFERROR(VLOOKUP(Table6[[#This Row],[Player No]],Table10[[No]:[Province]],2,0),"")</f>
        <v xml:space="preserve">HURLING Caleb </v>
      </c>
      <c r="G242" s="65" t="str">
        <f>IFERROR(VLOOKUP(Table6[[#This Row],[Player No]],Table10[[No]:[Province]],3,0),"")</f>
        <v>CT</v>
      </c>
      <c r="H242" s="66">
        <v>5</v>
      </c>
      <c r="I242" s="644">
        <v>2.5</v>
      </c>
      <c r="J242" s="819">
        <f>Table6[[#This Row],[Points 2025]]/2+SUM(Table6[[#This Row],[O1  ADMIN 2026]:[P2                           CT Open    2026]])</f>
        <v>1.25</v>
      </c>
      <c r="K242" s="63">
        <f t="shared" si="25"/>
        <v>0</v>
      </c>
      <c r="L242" s="63">
        <f t="shared" si="27"/>
        <v>0</v>
      </c>
      <c r="M242" s="708"/>
      <c r="N242" s="708" t="s">
        <v>6083</v>
      </c>
      <c r="O242" s="708" t="s">
        <v>6083</v>
      </c>
      <c r="P242" s="708"/>
      <c r="Q242" s="63"/>
      <c r="R242" s="63"/>
      <c r="S242" s="114"/>
      <c r="T242" s="114"/>
      <c r="U242" s="63"/>
      <c r="V242" s="114"/>
      <c r="W242" s="63"/>
      <c r="X242" s="708"/>
      <c r="Y242" s="63"/>
      <c r="Z242" s="636"/>
      <c r="AA242" s="63"/>
      <c r="AB242" s="400"/>
      <c r="AC242" s="63"/>
      <c r="AD242" s="114"/>
      <c r="AE242" s="63"/>
      <c r="AF242" s="63"/>
      <c r="AG242" s="63"/>
      <c r="AH242" s="63">
        <v>5</v>
      </c>
      <c r="AI242" s="63"/>
      <c r="AJ242" s="63"/>
      <c r="AK242" s="63"/>
      <c r="AL242" s="63"/>
      <c r="AM242" s="63"/>
      <c r="AN242" s="63"/>
      <c r="AO242" s="127"/>
    </row>
    <row r="243" spans="1:41" s="91" customFormat="1">
      <c r="A243" s="135" t="str">
        <f>IFERROR(VLOOKUP(Table6[[#This Row],[Player No]],Table10[[#All],[No]:[Age Group]],4,0),"")</f>
        <v>U11</v>
      </c>
      <c r="B243" s="268"/>
      <c r="C243" s="77"/>
      <c r="D243" s="63">
        <f t="shared" si="26"/>
        <v>239</v>
      </c>
      <c r="E243" s="63">
        <v>3850</v>
      </c>
      <c r="F243" s="64" t="str">
        <f>IFERROR(VLOOKUP(Table6[[#This Row],[Player No]],Table10[[No]:[Province]],2,0),"")</f>
        <v>PADAYACHEE Vaishant</v>
      </c>
      <c r="G243" s="65" t="str">
        <f>IFERROR(VLOOKUP(Table6[[#This Row],[Player No]],Table10[[No]:[Province]],3,0),"")</f>
        <v>JTTA</v>
      </c>
      <c r="H243" s="66">
        <v>1</v>
      </c>
      <c r="I243" s="644">
        <v>2</v>
      </c>
      <c r="J243" s="819">
        <f>Table6[[#This Row],[Points 2025]]/2+SUM(Table6[[#This Row],[O1  ADMIN 2026]:[P2                           CT Open    2026]])</f>
        <v>1</v>
      </c>
      <c r="K243" s="63">
        <f t="shared" si="25"/>
        <v>0</v>
      </c>
      <c r="L243" s="63">
        <f t="shared" si="27"/>
        <v>0</v>
      </c>
      <c r="M243" s="708"/>
      <c r="N243" s="708" t="s">
        <v>6083</v>
      </c>
      <c r="O243" s="708" t="s">
        <v>6083</v>
      </c>
      <c r="P243" s="708"/>
      <c r="Q243" s="63"/>
      <c r="R243" s="63"/>
      <c r="S243" s="114"/>
      <c r="T243" s="114"/>
      <c r="U243" s="63"/>
      <c r="V243" s="114"/>
      <c r="W243" s="63"/>
      <c r="X243" s="708"/>
      <c r="Y243" s="63">
        <v>1</v>
      </c>
      <c r="Z243" s="636"/>
      <c r="AA243" s="63">
        <v>1</v>
      </c>
      <c r="AB243" s="400"/>
      <c r="AC243" s="63"/>
      <c r="AD243" s="114"/>
      <c r="AE243" s="63"/>
      <c r="AF243" s="63"/>
      <c r="AG243" s="63"/>
      <c r="AH243" s="63"/>
      <c r="AI243" s="63"/>
      <c r="AJ243" s="63"/>
      <c r="AK243" s="63">
        <v>1</v>
      </c>
      <c r="AL243" s="63"/>
      <c r="AM243" s="63"/>
      <c r="AN243" s="63"/>
      <c r="AO243" s="127"/>
    </row>
    <row r="244" spans="1:41" s="91" customFormat="1">
      <c r="A244" s="947"/>
      <c r="B244" s="1077"/>
      <c r="C244" s="324">
        <f t="shared" ref="C244:C258" si="28">+B244-D244</f>
        <v>-240</v>
      </c>
      <c r="D244" s="63">
        <f t="shared" si="26"/>
        <v>240</v>
      </c>
      <c r="E244" s="325">
        <v>4563</v>
      </c>
      <c r="F244" s="326" t="str">
        <f>IFERROR(VLOOKUP(Table6[[#This Row],[Player No]],Table10[[No]:[Province]],2,0),"")</f>
        <v xml:space="preserve">MKIVA Junior </v>
      </c>
      <c r="G244" s="65" t="str">
        <f>IFERROR(VLOOKUP(Table6[[#This Row],[Player No]],Table10[[No]:[Province]],3,0),"")</f>
        <v>CT</v>
      </c>
      <c r="H244" s="66">
        <v>0</v>
      </c>
      <c r="I244" s="644">
        <v>2</v>
      </c>
      <c r="J244" s="819">
        <f>Table6[[#This Row],[Points 2025]]/2+SUM(Table6[[#This Row],[O1  ADMIN 2026]:[P2                           CT Open    2026]])</f>
        <v>1</v>
      </c>
      <c r="K244" s="63">
        <f t="shared" si="25"/>
        <v>0</v>
      </c>
      <c r="L244" s="63">
        <f t="shared" si="27"/>
        <v>0</v>
      </c>
      <c r="M244" s="708"/>
      <c r="N244" s="826" t="s">
        <v>6083</v>
      </c>
      <c r="O244" s="826" t="s">
        <v>6083</v>
      </c>
      <c r="P244" s="826"/>
      <c r="Q244" s="327"/>
      <c r="R244" s="327"/>
      <c r="S244" s="321"/>
      <c r="T244" s="321"/>
      <c r="U244" s="327"/>
      <c r="V244" s="321"/>
      <c r="W244" s="327"/>
      <c r="X244" s="711"/>
      <c r="Y244" s="327"/>
      <c r="Z244" s="637"/>
      <c r="AA244" s="327"/>
      <c r="AB244" s="405"/>
      <c r="AC244" s="327"/>
      <c r="AD244" s="321">
        <v>0.5</v>
      </c>
      <c r="AE244" s="327">
        <v>2</v>
      </c>
      <c r="AF244" s="327"/>
      <c r="AG244" s="327"/>
      <c r="AH244" s="327"/>
      <c r="AI244" s="327"/>
      <c r="AJ244" s="327"/>
      <c r="AK244" s="327"/>
      <c r="AL244" s="327"/>
      <c r="AM244" s="327"/>
      <c r="AN244" s="327"/>
      <c r="AO244" s="705"/>
    </row>
    <row r="245" spans="1:41" s="91" customFormat="1">
      <c r="A245" s="180"/>
      <c r="B245" s="268"/>
      <c r="C245" s="77">
        <f t="shared" si="28"/>
        <v>-241</v>
      </c>
      <c r="D245" s="63">
        <f t="shared" si="26"/>
        <v>241</v>
      </c>
      <c r="E245" s="154">
        <v>3256</v>
      </c>
      <c r="F245" s="64" t="str">
        <f>IFERROR(VLOOKUP(Table6[[#This Row],[Player No]],Table10[[No]:[Province]],2,0),"")</f>
        <v>PHILANDER Nickairo</v>
      </c>
      <c r="G245" s="65" t="str">
        <f>IFERROR(VLOOKUP(Table6[[#This Row],[Player No]],Table10[[No]:[Province]],3,0),"")</f>
        <v>WC</v>
      </c>
      <c r="H245" s="66">
        <v>0</v>
      </c>
      <c r="I245" s="644">
        <v>2</v>
      </c>
      <c r="J245" s="819">
        <f>Table6[[#This Row],[Points 2025]]/2+SUM(Table6[[#This Row],[O1  ADMIN 2026]:[P2                           CT Open    2026]])</f>
        <v>1</v>
      </c>
      <c r="K245" s="63">
        <f t="shared" si="25"/>
        <v>0</v>
      </c>
      <c r="L245" s="63">
        <f t="shared" si="27"/>
        <v>0</v>
      </c>
      <c r="M245" s="708"/>
      <c r="N245" s="827" t="s">
        <v>6083</v>
      </c>
      <c r="O245" s="827" t="s">
        <v>6083</v>
      </c>
      <c r="P245" s="827"/>
      <c r="Q245" s="63"/>
      <c r="R245" s="63"/>
      <c r="S245" s="114"/>
      <c r="T245" s="114"/>
      <c r="U245" s="63"/>
      <c r="V245" s="114"/>
      <c r="W245" s="63"/>
      <c r="X245" s="708"/>
      <c r="Y245" s="63"/>
      <c r="Z245" s="636">
        <v>0</v>
      </c>
      <c r="AA245" s="63"/>
      <c r="AB245" s="400"/>
      <c r="AC245" s="63"/>
      <c r="AD245" s="114"/>
      <c r="AE245" s="63">
        <v>2</v>
      </c>
      <c r="AF245" s="63"/>
      <c r="AG245" s="63"/>
      <c r="AH245" s="63"/>
      <c r="AI245" s="63"/>
      <c r="AJ245" s="63"/>
      <c r="AK245" s="63"/>
      <c r="AL245" s="63"/>
      <c r="AM245" s="63"/>
      <c r="AN245" s="63"/>
      <c r="AO245" s="127"/>
    </row>
    <row r="246" spans="1:41">
      <c r="A246" s="180"/>
      <c r="B246" s="268"/>
      <c r="C246" s="77">
        <f t="shared" si="28"/>
        <v>-242</v>
      </c>
      <c r="D246" s="63">
        <f t="shared" si="26"/>
        <v>242</v>
      </c>
      <c r="E246" s="154">
        <v>4406</v>
      </c>
      <c r="F246" s="64" t="str">
        <f>IFERROR(VLOOKUP(Table6[[#This Row],[Player No]],Table10[[No]:[Province]],2,0),"")</f>
        <v>MASUMOTHE Retshepile</v>
      </c>
      <c r="G246" s="65" t="str">
        <f>IFERROR(VLOOKUP(Table6[[#This Row],[Player No]],Table10[[No]:[Province]],3,0),"")</f>
        <v>OTHER</v>
      </c>
      <c r="H246" s="66">
        <v>0</v>
      </c>
      <c r="I246" s="644">
        <v>2</v>
      </c>
      <c r="J246" s="819">
        <f>Table6[[#This Row],[Points 2025]]/2+SUM(Table6[[#This Row],[O1  ADMIN 2026]:[P2                           CT Open    2026]])</f>
        <v>1</v>
      </c>
      <c r="K246" s="63">
        <f t="shared" si="25"/>
        <v>0</v>
      </c>
      <c r="L246" s="63">
        <f t="shared" si="27"/>
        <v>0</v>
      </c>
      <c r="M246" s="708"/>
      <c r="N246" s="827" t="s">
        <v>6083</v>
      </c>
      <c r="O246" s="827" t="s">
        <v>6083</v>
      </c>
      <c r="P246" s="827"/>
      <c r="Q246" s="63"/>
      <c r="R246" s="63"/>
      <c r="S246" s="114"/>
      <c r="T246" s="114"/>
      <c r="U246" s="63"/>
      <c r="V246" s="114"/>
      <c r="W246" s="63"/>
      <c r="X246" s="708"/>
      <c r="Y246" s="63">
        <v>1</v>
      </c>
      <c r="Z246" s="636"/>
      <c r="AA246" s="63"/>
      <c r="AB246" s="400">
        <v>1</v>
      </c>
      <c r="AC246" s="63"/>
      <c r="AD246" s="114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127"/>
    </row>
    <row r="247" spans="1:41">
      <c r="A247" s="180"/>
      <c r="B247" s="268"/>
      <c r="C247" s="77">
        <f t="shared" si="28"/>
        <v>-243</v>
      </c>
      <c r="D247" s="63">
        <f t="shared" si="26"/>
        <v>243</v>
      </c>
      <c r="E247" s="154">
        <v>4421</v>
      </c>
      <c r="F247" s="64" t="str">
        <f>IFERROR(VLOOKUP(Table6[[#This Row],[Player No]],Table10[[No]:[Province]],2,0),"")</f>
        <v xml:space="preserve">SIVAK Zakariya </v>
      </c>
      <c r="G247" s="65" t="str">
        <f>IFERROR(VLOOKUP(Table6[[#This Row],[Player No]],Table10[[No]:[Province]],3,0),"")</f>
        <v>CT</v>
      </c>
      <c r="H247" s="66">
        <v>0</v>
      </c>
      <c r="I247" s="644">
        <v>2</v>
      </c>
      <c r="J247" s="819">
        <f>Table6[[#This Row],[Points 2025]]/2+SUM(Table6[[#This Row],[O1  ADMIN 2026]:[P2                           CT Open    2026]])</f>
        <v>1</v>
      </c>
      <c r="K247" s="63">
        <f t="shared" si="25"/>
        <v>0</v>
      </c>
      <c r="L247" s="63">
        <f t="shared" si="27"/>
        <v>0</v>
      </c>
      <c r="M247" s="708"/>
      <c r="N247" s="827" t="s">
        <v>6083</v>
      </c>
      <c r="O247" s="827" t="s">
        <v>6083</v>
      </c>
      <c r="P247" s="827"/>
      <c r="Q247" s="63"/>
      <c r="R247" s="63"/>
      <c r="S247" s="114"/>
      <c r="T247" s="114"/>
      <c r="U247" s="63"/>
      <c r="V247" s="114"/>
      <c r="W247" s="63"/>
      <c r="X247" s="708"/>
      <c r="Y247" s="63"/>
      <c r="Z247" s="636"/>
      <c r="AA247" s="63"/>
      <c r="AB247" s="400"/>
      <c r="AC247" s="63"/>
      <c r="AD247" s="114"/>
      <c r="AE247" s="63">
        <v>2</v>
      </c>
      <c r="AF247" s="63"/>
      <c r="AG247" s="63"/>
      <c r="AH247" s="63"/>
      <c r="AI247" s="63"/>
      <c r="AJ247" s="63"/>
      <c r="AK247" s="63"/>
      <c r="AL247" s="63"/>
      <c r="AM247" s="63"/>
      <c r="AN247" s="63"/>
      <c r="AO247" s="127"/>
    </row>
    <row r="248" spans="1:41">
      <c r="A248" s="295"/>
      <c r="B248" s="264"/>
      <c r="C248" s="77">
        <f t="shared" si="28"/>
        <v>-244</v>
      </c>
      <c r="D248" s="63">
        <f t="shared" si="26"/>
        <v>244</v>
      </c>
      <c r="E248" s="154">
        <v>4469</v>
      </c>
      <c r="F248" s="64" t="str">
        <f>IFERROR(VLOOKUP(Table6[[#This Row],[Player No]],Table10[[No]:[Province]],2,0),"")</f>
        <v xml:space="preserve">MOHAMED Sofian </v>
      </c>
      <c r="G248" s="65" t="str">
        <f>IFERROR(VLOOKUP(Table6[[#This Row],[Player No]],Table10[[No]:[Province]],3,0),"")</f>
        <v>CT</v>
      </c>
      <c r="H248" s="66">
        <v>0</v>
      </c>
      <c r="I248" s="644">
        <v>2</v>
      </c>
      <c r="J248" s="819">
        <f>Table6[[#This Row],[Points 2025]]/2+SUM(Table6[[#This Row],[O1  ADMIN 2026]:[P2                           CT Open    2026]])</f>
        <v>1</v>
      </c>
      <c r="K248" s="63">
        <f t="shared" si="25"/>
        <v>0</v>
      </c>
      <c r="L248" s="63">
        <f t="shared" si="27"/>
        <v>0</v>
      </c>
      <c r="M248" s="708"/>
      <c r="N248" s="827" t="s">
        <v>6083</v>
      </c>
      <c r="O248" s="827" t="s">
        <v>6083</v>
      </c>
      <c r="P248" s="827"/>
      <c r="Q248" s="63"/>
      <c r="R248" s="63"/>
      <c r="S248" s="114"/>
      <c r="T248" s="114"/>
      <c r="U248" s="63"/>
      <c r="V248" s="114"/>
      <c r="W248" s="63"/>
      <c r="X248" s="708"/>
      <c r="Y248" s="63"/>
      <c r="Z248" s="636"/>
      <c r="AA248" s="63"/>
      <c r="AB248" s="400"/>
      <c r="AC248" s="63"/>
      <c r="AD248" s="114"/>
      <c r="AE248" s="63">
        <v>2</v>
      </c>
      <c r="AF248" s="63"/>
      <c r="AG248" s="63"/>
      <c r="AH248" s="63"/>
      <c r="AI248" s="63"/>
      <c r="AJ248" s="63"/>
      <c r="AK248" s="63"/>
      <c r="AL248" s="63"/>
      <c r="AM248" s="63"/>
      <c r="AN248" s="63"/>
      <c r="AO248" s="127"/>
    </row>
    <row r="249" spans="1:41">
      <c r="A249" s="295"/>
      <c r="B249" s="264"/>
      <c r="C249" s="77">
        <f t="shared" si="28"/>
        <v>-245</v>
      </c>
      <c r="D249" s="63">
        <f t="shared" si="26"/>
        <v>245</v>
      </c>
      <c r="E249" s="154">
        <v>4478</v>
      </c>
      <c r="F249" s="64" t="str">
        <f>IFERROR(VLOOKUP(Table6[[#This Row],[Player No]],Table10[[No]:[Province]],2,0),"")</f>
        <v xml:space="preserve">ADAMS Darawees </v>
      </c>
      <c r="G249" s="65" t="str">
        <f>IFERROR(VLOOKUP(Table6[[#This Row],[Player No]],Table10[[No]:[Province]],3,0),"")</f>
        <v>CT</v>
      </c>
      <c r="H249" s="66">
        <v>0</v>
      </c>
      <c r="I249" s="644">
        <v>2</v>
      </c>
      <c r="J249" s="819">
        <f>Table6[[#This Row],[Points 2025]]/2+SUM(Table6[[#This Row],[O1  ADMIN 2026]:[P2                           CT Open    2026]])</f>
        <v>1</v>
      </c>
      <c r="K249" s="63">
        <f t="shared" si="25"/>
        <v>0</v>
      </c>
      <c r="L249" s="63">
        <f t="shared" si="27"/>
        <v>0</v>
      </c>
      <c r="M249" s="708"/>
      <c r="N249" s="827" t="s">
        <v>6083</v>
      </c>
      <c r="O249" s="827" t="s">
        <v>6083</v>
      </c>
      <c r="P249" s="827"/>
      <c r="Q249" s="63"/>
      <c r="R249" s="63"/>
      <c r="S249" s="114"/>
      <c r="T249" s="114"/>
      <c r="U249" s="63"/>
      <c r="V249" s="114"/>
      <c r="W249" s="63"/>
      <c r="X249" s="708"/>
      <c r="Y249" s="63"/>
      <c r="Z249" s="636"/>
      <c r="AA249" s="63"/>
      <c r="AB249" s="400"/>
      <c r="AC249" s="63"/>
      <c r="AD249" s="114"/>
      <c r="AE249" s="63">
        <v>2</v>
      </c>
      <c r="AF249" s="63"/>
      <c r="AG249" s="63"/>
      <c r="AH249" s="63"/>
      <c r="AI249" s="63"/>
      <c r="AJ249" s="63"/>
      <c r="AK249" s="63"/>
      <c r="AL249" s="63"/>
      <c r="AM249" s="63"/>
      <c r="AN249" s="63"/>
      <c r="AO249" s="127"/>
    </row>
    <row r="250" spans="1:41">
      <c r="A250" s="295"/>
      <c r="B250" s="264"/>
      <c r="C250" s="77">
        <f t="shared" si="28"/>
        <v>-246</v>
      </c>
      <c r="D250" s="63">
        <f t="shared" si="26"/>
        <v>246</v>
      </c>
      <c r="E250" s="154">
        <v>4480</v>
      </c>
      <c r="F250" s="64" t="str">
        <f>IFERROR(VLOOKUP(Table6[[#This Row],[Player No]],Table10[[No]:[Province]],2,0),"")</f>
        <v xml:space="preserve">HARTLE Jared </v>
      </c>
      <c r="G250" s="65" t="str">
        <f>IFERROR(VLOOKUP(Table6[[#This Row],[Player No]],Table10[[No]:[Province]],3,0),"")</f>
        <v>CT</v>
      </c>
      <c r="H250" s="66">
        <v>0</v>
      </c>
      <c r="I250" s="644">
        <v>2</v>
      </c>
      <c r="J250" s="819">
        <f>Table6[[#This Row],[Points 2025]]/2+SUM(Table6[[#This Row],[O1  ADMIN 2026]:[P2                           CT Open    2026]])</f>
        <v>1</v>
      </c>
      <c r="K250" s="63">
        <f t="shared" si="25"/>
        <v>0</v>
      </c>
      <c r="L250" s="63">
        <f t="shared" si="27"/>
        <v>0</v>
      </c>
      <c r="M250" s="708"/>
      <c r="N250" s="827" t="s">
        <v>6083</v>
      </c>
      <c r="O250" s="827" t="s">
        <v>6083</v>
      </c>
      <c r="P250" s="827"/>
      <c r="Q250" s="63"/>
      <c r="R250" s="63"/>
      <c r="S250" s="114"/>
      <c r="T250" s="114"/>
      <c r="U250" s="63"/>
      <c r="V250" s="114"/>
      <c r="W250" s="63"/>
      <c r="X250" s="708"/>
      <c r="Y250" s="63"/>
      <c r="Z250" s="636"/>
      <c r="AA250" s="63"/>
      <c r="AB250" s="400"/>
      <c r="AC250" s="63"/>
      <c r="AD250" s="114"/>
      <c r="AE250" s="63">
        <v>2</v>
      </c>
      <c r="AF250" s="63"/>
      <c r="AG250" s="63"/>
      <c r="AH250" s="63"/>
      <c r="AI250" s="63"/>
      <c r="AJ250" s="63"/>
      <c r="AK250" s="63"/>
      <c r="AL250" s="63"/>
      <c r="AM250" s="63"/>
      <c r="AN250" s="63"/>
      <c r="AO250" s="127"/>
    </row>
    <row r="251" spans="1:41">
      <c r="A251" s="295"/>
      <c r="B251" s="264"/>
      <c r="C251" s="77">
        <f t="shared" si="28"/>
        <v>-247</v>
      </c>
      <c r="D251" s="63">
        <f t="shared" si="26"/>
        <v>247</v>
      </c>
      <c r="E251" s="154">
        <v>4642</v>
      </c>
      <c r="F251" s="64" t="str">
        <f>IFERROR(VLOOKUP(Table6[[#This Row],[Player No]],Table10[[No]:[Province]],2,0),"")</f>
        <v xml:space="preserve">ISAACS Niyaaz </v>
      </c>
      <c r="G251" s="65" t="str">
        <f>IFERROR(VLOOKUP(Table6[[#This Row],[Player No]],Table10[[No]:[Province]],3,0),"")</f>
        <v>CT</v>
      </c>
      <c r="H251" s="66">
        <v>0</v>
      </c>
      <c r="I251" s="644">
        <v>2</v>
      </c>
      <c r="J251" s="819">
        <f>Table6[[#This Row],[Points 2025]]/2+SUM(Table6[[#This Row],[O1  ADMIN 2026]:[P2                           CT Open    2026]])</f>
        <v>1</v>
      </c>
      <c r="K251" s="63">
        <f t="shared" si="25"/>
        <v>0</v>
      </c>
      <c r="L251" s="63">
        <f t="shared" si="27"/>
        <v>0</v>
      </c>
      <c r="M251" s="708"/>
      <c r="N251" s="827" t="s">
        <v>6083</v>
      </c>
      <c r="O251" s="827" t="s">
        <v>6083</v>
      </c>
      <c r="P251" s="827"/>
      <c r="Q251" s="63"/>
      <c r="R251" s="63"/>
      <c r="S251" s="114"/>
      <c r="T251" s="114"/>
      <c r="U251" s="63"/>
      <c r="V251" s="114"/>
      <c r="W251" s="63"/>
      <c r="X251" s="708"/>
      <c r="Y251" s="63"/>
      <c r="Z251" s="636"/>
      <c r="AA251" s="63"/>
      <c r="AB251" s="400"/>
      <c r="AC251" s="63"/>
      <c r="AD251" s="114"/>
      <c r="AE251" s="63">
        <v>2</v>
      </c>
      <c r="AF251" s="63"/>
      <c r="AG251" s="63"/>
      <c r="AH251" s="63"/>
      <c r="AI251" s="63"/>
      <c r="AJ251" s="63"/>
      <c r="AK251" s="63"/>
      <c r="AL251" s="63"/>
      <c r="AM251" s="63"/>
      <c r="AN251" s="63"/>
      <c r="AO251" s="127"/>
    </row>
    <row r="252" spans="1:41">
      <c r="A252" s="295"/>
      <c r="B252" s="264"/>
      <c r="C252" s="77">
        <f t="shared" si="28"/>
        <v>-248</v>
      </c>
      <c r="D252" s="63">
        <f t="shared" si="26"/>
        <v>248</v>
      </c>
      <c r="E252" s="154">
        <v>4644</v>
      </c>
      <c r="F252" s="64" t="str">
        <f>IFERROR(VLOOKUP(Table6[[#This Row],[Player No]],Table10[[No]:[Province]],2,0),"")</f>
        <v xml:space="preserve">PRICE Hayden </v>
      </c>
      <c r="G252" s="65" t="str">
        <f>IFERROR(VLOOKUP(Table6[[#This Row],[Player No]],Table10[[No]:[Province]],3,0),"")</f>
        <v>CT</v>
      </c>
      <c r="H252" s="66">
        <v>0</v>
      </c>
      <c r="I252" s="644">
        <v>2</v>
      </c>
      <c r="J252" s="819">
        <f>Table6[[#This Row],[Points 2025]]/2+SUM(Table6[[#This Row],[O1  ADMIN 2026]:[P2                           CT Open    2026]])</f>
        <v>1</v>
      </c>
      <c r="K252" s="63">
        <f t="shared" si="25"/>
        <v>0</v>
      </c>
      <c r="L252" s="63">
        <f t="shared" si="27"/>
        <v>0</v>
      </c>
      <c r="M252" s="708"/>
      <c r="N252" s="827" t="s">
        <v>6083</v>
      </c>
      <c r="O252" s="827" t="s">
        <v>6083</v>
      </c>
      <c r="P252" s="827"/>
      <c r="Q252" s="63"/>
      <c r="R252" s="63"/>
      <c r="S252" s="114"/>
      <c r="T252" s="114"/>
      <c r="U252" s="63"/>
      <c r="V252" s="114"/>
      <c r="W252" s="63"/>
      <c r="X252" s="708"/>
      <c r="Y252" s="63"/>
      <c r="Z252" s="636"/>
      <c r="AA252" s="63"/>
      <c r="AB252" s="400"/>
      <c r="AC252" s="63"/>
      <c r="AD252" s="114"/>
      <c r="AE252" s="63">
        <v>2</v>
      </c>
      <c r="AF252" s="63"/>
      <c r="AG252" s="63"/>
      <c r="AH252" s="63"/>
      <c r="AI252" s="63"/>
      <c r="AJ252" s="63"/>
      <c r="AK252" s="63"/>
      <c r="AL252" s="63"/>
      <c r="AM252" s="63"/>
      <c r="AN252" s="63"/>
      <c r="AO252" s="127"/>
    </row>
    <row r="253" spans="1:41">
      <c r="A253" s="180"/>
      <c r="B253" s="268"/>
      <c r="C253" s="77">
        <f t="shared" si="28"/>
        <v>-249</v>
      </c>
      <c r="D253" s="63">
        <f t="shared" si="26"/>
        <v>249</v>
      </c>
      <c r="E253" s="154">
        <v>3803</v>
      </c>
      <c r="F253" s="64" t="str">
        <f>IFERROR(VLOOKUP(Table6[[#This Row],[Player No]],Table10[[No]:[Province]],2,0),"")</f>
        <v>NHLAPO Kwanda Okuhle</v>
      </c>
      <c r="G253" s="65" t="str">
        <f>IFERROR(VLOOKUP(Table6[[#This Row],[Player No]],Table10[[No]:[Province]],3,0),"")</f>
        <v>ETTA</v>
      </c>
      <c r="H253" s="66"/>
      <c r="I253" s="644">
        <v>0</v>
      </c>
      <c r="J253" s="819">
        <f>Table6[[#This Row],[Points 2025]]/2+SUM(Table6[[#This Row],[O1  ADMIN 2026]:[P2                           CT Open    2026]])</f>
        <v>1</v>
      </c>
      <c r="K253" s="63">
        <f t="shared" si="25"/>
        <v>1</v>
      </c>
      <c r="L253" s="63">
        <f t="shared" si="27"/>
        <v>0</v>
      </c>
      <c r="M253" s="708"/>
      <c r="N253" s="827" t="s">
        <v>6083</v>
      </c>
      <c r="O253" s="827">
        <v>1</v>
      </c>
      <c r="P253" s="827"/>
      <c r="Q253" s="63"/>
      <c r="R253" s="63"/>
      <c r="S253" s="114"/>
      <c r="T253" s="114"/>
      <c r="U253" s="63"/>
      <c r="V253" s="114"/>
      <c r="W253" s="63"/>
      <c r="X253" s="708"/>
      <c r="Y253" s="63"/>
      <c r="Z253" s="636"/>
      <c r="AA253" s="63"/>
      <c r="AB253" s="400"/>
      <c r="AC253" s="63"/>
      <c r="AD253" s="114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127"/>
    </row>
    <row r="254" spans="1:41">
      <c r="A254" s="975"/>
      <c r="B254" s="1078"/>
      <c r="C254" s="1044">
        <f t="shared" si="28"/>
        <v>-250</v>
      </c>
      <c r="D254" s="63">
        <f t="shared" si="26"/>
        <v>250</v>
      </c>
      <c r="E254" s="1079">
        <v>4234</v>
      </c>
      <c r="F254" s="64" t="str">
        <f>IFERROR(VLOOKUP(Table6[[#This Row],[Player No]],Table10[[No]:[Province]],2,0),"")</f>
        <v>REDDY Rylan</v>
      </c>
      <c r="G254" s="65" t="str">
        <f>IFERROR(VLOOKUP(Table6[[#This Row],[Player No]],Table10[[No]:[Province]],3,0),"")</f>
        <v>UMG</v>
      </c>
      <c r="H254" s="1080" t="e">
        <f>+#REF!/2+SUM(Table6[[#This Row],[P1           KZN  Open   2024]:[O1        GAU
MTTC Open  2024]])</f>
        <v>#REF!</v>
      </c>
      <c r="I254" s="644">
        <v>0</v>
      </c>
      <c r="J254" s="1071">
        <f>Table6[[#This Row],[Points 2025]]/2+SUM(Table6[[#This Row],[O1  ADMIN 2026]:[P2                           CT Open    2026]])</f>
        <v>1</v>
      </c>
      <c r="K254" s="1079">
        <f t="shared" si="25"/>
        <v>1</v>
      </c>
      <c r="L254" s="1079">
        <f>COUNTIF(Q254:AE254,"&lt;0")</f>
        <v>0</v>
      </c>
      <c r="M254" s="982"/>
      <c r="N254" s="982">
        <v>1</v>
      </c>
      <c r="O254" s="982"/>
      <c r="P254" s="982"/>
      <c r="Q254" s="1045"/>
      <c r="R254" s="1045"/>
      <c r="S254" s="974"/>
      <c r="T254" s="974"/>
      <c r="U254" s="1045"/>
      <c r="V254" s="974"/>
      <c r="W254" s="1045"/>
      <c r="X254" s="1052"/>
      <c r="Y254" s="1045"/>
      <c r="Z254" s="1081"/>
      <c r="AA254" s="1045"/>
      <c r="AB254" s="1082"/>
      <c r="AC254" s="1045"/>
      <c r="AD254" s="974"/>
      <c r="AE254" s="1045"/>
      <c r="AF254" s="1045"/>
      <c r="AG254" s="1045"/>
      <c r="AH254" s="1045"/>
      <c r="AI254" s="1045"/>
      <c r="AJ254" s="1045"/>
      <c r="AK254" s="1045"/>
      <c r="AL254" s="1045"/>
      <c r="AM254" s="1045"/>
      <c r="AN254" s="1045"/>
      <c r="AO254" s="1084"/>
    </row>
    <row r="255" spans="1:41">
      <c r="A255" s="975"/>
      <c r="B255" s="1078"/>
      <c r="C255" s="1044">
        <f t="shared" si="28"/>
        <v>-251</v>
      </c>
      <c r="D255" s="63">
        <f t="shared" si="26"/>
        <v>251</v>
      </c>
      <c r="E255" s="1079">
        <v>3910</v>
      </c>
      <c r="F255" s="64" t="str">
        <f>IFERROR(VLOOKUP(Table6[[#This Row],[Player No]],Table10[[No]:[Province]],2,0),"")</f>
        <v>REDDY Mikyle</v>
      </c>
      <c r="G255" s="65" t="str">
        <f>IFERROR(VLOOKUP(Table6[[#This Row],[Player No]],Table10[[No]:[Province]],3,0),"")</f>
        <v>ETTA</v>
      </c>
      <c r="H255" s="1080" t="e">
        <f>+#REF!/2+SUM(Table6[[#This Row],[P1           KZN  Open   2024]:[O1        GAU
MTTC Open  2024]])</f>
        <v>#REF!</v>
      </c>
      <c r="I255" s="644">
        <v>0</v>
      </c>
      <c r="J255" s="1071">
        <f>Table6[[#This Row],[Points 2025]]/2+SUM(Table6[[#This Row],[O1  ADMIN 2026]:[P2                           CT Open    2026]])</f>
        <v>1</v>
      </c>
      <c r="K255" s="1079">
        <f t="shared" si="25"/>
        <v>1</v>
      </c>
      <c r="L255" s="1079">
        <f>COUNTIF(Q255:AE255,"&lt;0")</f>
        <v>0</v>
      </c>
      <c r="M255" s="982"/>
      <c r="N255" s="982">
        <v>1</v>
      </c>
      <c r="O255" s="982"/>
      <c r="P255" s="982"/>
      <c r="Q255" s="1045"/>
      <c r="R255" s="1045"/>
      <c r="S255" s="974"/>
      <c r="T255" s="974"/>
      <c r="U255" s="1045"/>
      <c r="V255" s="974"/>
      <c r="W255" s="1045"/>
      <c r="X255" s="1052"/>
      <c r="Y255" s="1045"/>
      <c r="Z255" s="1081"/>
      <c r="AA255" s="1045"/>
      <c r="AB255" s="1082"/>
      <c r="AC255" s="1045"/>
      <c r="AD255" s="974"/>
      <c r="AE255" s="1045"/>
      <c r="AF255" s="1045"/>
      <c r="AG255" s="1045"/>
      <c r="AH255" s="1045"/>
      <c r="AI255" s="1045"/>
      <c r="AJ255" s="1045"/>
      <c r="AK255" s="1045"/>
      <c r="AL255" s="1045"/>
      <c r="AM255" s="1045"/>
      <c r="AN255" s="1045"/>
      <c r="AO255" s="1084"/>
    </row>
    <row r="256" spans="1:41">
      <c r="A256" s="180"/>
      <c r="B256" s="268"/>
      <c r="C256" s="77">
        <f t="shared" si="28"/>
        <v>-252</v>
      </c>
      <c r="D256" s="63">
        <f t="shared" si="26"/>
        <v>252</v>
      </c>
      <c r="E256" s="154">
        <v>4647</v>
      </c>
      <c r="F256" s="64" t="str">
        <f>IFERROR(VLOOKUP(Table6[[#This Row],[Player No]],Table10[[No]:[Province]],2,0),"")</f>
        <v xml:space="preserve">BAKU Yantle </v>
      </c>
      <c r="G256" s="65" t="str">
        <f>IFERROR(VLOOKUP(Table6[[#This Row],[Player No]],Table10[[No]:[Province]],3,0),"")</f>
        <v>CT</v>
      </c>
      <c r="H256" s="66">
        <v>0</v>
      </c>
      <c r="I256" s="644">
        <v>1.5</v>
      </c>
      <c r="J256" s="819">
        <f>Table6[[#This Row],[Points 2025]]/2+SUM(Table6[[#This Row],[O1  ADMIN 2026]:[P2                           CT Open    2026]])</f>
        <v>0.75</v>
      </c>
      <c r="K256" s="63">
        <f t="shared" si="25"/>
        <v>0</v>
      </c>
      <c r="L256" s="63">
        <f t="shared" ref="L256:L287" si="29">COUNTIF(N256:AO256,"&lt;0")</f>
        <v>0</v>
      </c>
      <c r="M256" s="708"/>
      <c r="N256" s="827" t="s">
        <v>6083</v>
      </c>
      <c r="O256" s="827" t="s">
        <v>6083</v>
      </c>
      <c r="P256" s="827"/>
      <c r="Q256" s="63"/>
      <c r="R256" s="63"/>
      <c r="S256" s="114"/>
      <c r="T256" s="114"/>
      <c r="U256" s="63"/>
      <c r="V256" s="114"/>
      <c r="W256" s="63"/>
      <c r="X256" s="708"/>
      <c r="Y256" s="63"/>
      <c r="Z256" s="636"/>
      <c r="AA256" s="63"/>
      <c r="AB256" s="400"/>
      <c r="AC256" s="63"/>
      <c r="AD256" s="114"/>
      <c r="AE256" s="63">
        <v>2</v>
      </c>
      <c r="AF256" s="63"/>
      <c r="AG256" s="63"/>
      <c r="AH256" s="63"/>
      <c r="AI256" s="63"/>
      <c r="AJ256" s="63"/>
      <c r="AK256" s="63"/>
      <c r="AL256" s="63"/>
      <c r="AM256" s="63"/>
      <c r="AN256" s="63"/>
      <c r="AO256" s="127"/>
    </row>
    <row r="257" spans="1:41">
      <c r="A257" s="295"/>
      <c r="B257" s="61"/>
      <c r="C257" s="77">
        <f t="shared" si="28"/>
        <v>-253</v>
      </c>
      <c r="D257" s="63">
        <f t="shared" si="26"/>
        <v>253</v>
      </c>
      <c r="E257" s="154">
        <v>4651</v>
      </c>
      <c r="F257" s="64" t="str">
        <f>IFERROR(VLOOKUP(Table6[[#This Row],[Player No]],Table10[[No]:[Province]],2,0),"")</f>
        <v xml:space="preserve">MENTOOR Nahum </v>
      </c>
      <c r="G257" s="65" t="str">
        <f>IFERROR(VLOOKUP(Table6[[#This Row],[Player No]],Table10[[No]:[Province]],3,0),"")</f>
        <v>CT</v>
      </c>
      <c r="H257" s="66">
        <v>0</v>
      </c>
      <c r="I257" s="644">
        <v>1.5</v>
      </c>
      <c r="J257" s="819">
        <f>Table6[[#This Row],[Points 2025]]/2+SUM(Table6[[#This Row],[O1  ADMIN 2026]:[P2                           CT Open    2026]])</f>
        <v>0.75</v>
      </c>
      <c r="K257" s="63">
        <f t="shared" si="25"/>
        <v>0</v>
      </c>
      <c r="L257" s="63">
        <f t="shared" si="29"/>
        <v>0</v>
      </c>
      <c r="M257" s="708"/>
      <c r="N257" s="827" t="s">
        <v>6083</v>
      </c>
      <c r="O257" s="827" t="s">
        <v>6083</v>
      </c>
      <c r="P257" s="827"/>
      <c r="Q257" s="63"/>
      <c r="R257" s="63"/>
      <c r="S257" s="114"/>
      <c r="T257" s="114"/>
      <c r="U257" s="63"/>
      <c r="V257" s="114"/>
      <c r="W257" s="63"/>
      <c r="X257" s="708"/>
      <c r="Y257" s="63"/>
      <c r="Z257" s="636"/>
      <c r="AA257" s="63"/>
      <c r="AB257" s="400"/>
      <c r="AC257" s="63"/>
      <c r="AD257" s="114"/>
      <c r="AE257" s="63">
        <v>2</v>
      </c>
      <c r="AF257" s="63"/>
      <c r="AG257" s="63"/>
      <c r="AH257" s="63"/>
      <c r="AI257" s="63"/>
      <c r="AJ257" s="63"/>
      <c r="AK257" s="63"/>
      <c r="AL257" s="63"/>
      <c r="AM257" s="63"/>
      <c r="AN257" s="63"/>
      <c r="AO257" s="127"/>
    </row>
    <row r="258" spans="1:41">
      <c r="A258" s="136">
        <f>IFERROR(VLOOKUP(Table6[[#This Row],[Player No]],Table10[[#All],[No]:[Age Group]],4,0),"")</f>
        <v>0</v>
      </c>
      <c r="B258" s="61">
        <v>156</v>
      </c>
      <c r="C258" s="77">
        <f t="shared" si="28"/>
        <v>-98</v>
      </c>
      <c r="D258" s="63">
        <f t="shared" si="26"/>
        <v>254</v>
      </c>
      <c r="E258" s="63">
        <v>3862</v>
      </c>
      <c r="F258" s="64" t="str">
        <f>IFERROR(VLOOKUP(Table6[[#This Row],[Player No]],Table10[[No]:[Province]],2,0),"")</f>
        <v>SHKUDSY Ben</v>
      </c>
      <c r="G258" s="65" t="str">
        <f>IFERROR(VLOOKUP(Table6[[#This Row],[Player No]],Table10[[No]:[Province]],3,0),"")</f>
        <v>JTTA</v>
      </c>
      <c r="H258" s="66">
        <v>1</v>
      </c>
      <c r="I258" s="644">
        <v>1.25</v>
      </c>
      <c r="J258" s="819">
        <f>Table6[[#This Row],[Points 2025]]/2+SUM(Table6[[#This Row],[O1  ADMIN 2026]:[P2                           CT Open    2026]])</f>
        <v>0.625</v>
      </c>
      <c r="K258" s="63">
        <f t="shared" si="25"/>
        <v>0</v>
      </c>
      <c r="L258" s="63">
        <f t="shared" si="29"/>
        <v>0</v>
      </c>
      <c r="M258" s="708"/>
      <c r="N258" s="708" t="s">
        <v>6083</v>
      </c>
      <c r="O258" s="708" t="s">
        <v>6083</v>
      </c>
      <c r="P258" s="708"/>
      <c r="Q258" s="63"/>
      <c r="R258" s="63"/>
      <c r="S258" s="114"/>
      <c r="T258" s="114"/>
      <c r="U258" s="63"/>
      <c r="V258" s="114"/>
      <c r="W258" s="63"/>
      <c r="X258" s="708"/>
      <c r="Y258" s="63"/>
      <c r="Z258" s="636"/>
      <c r="AA258" s="63">
        <v>1</v>
      </c>
      <c r="AB258" s="400"/>
      <c r="AC258" s="63"/>
      <c r="AD258" s="114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127">
        <v>1</v>
      </c>
    </row>
    <row r="259" spans="1:41">
      <c r="A259" s="136">
        <f>IFERROR(VLOOKUP(Table6[[#This Row],[Player No]],Table10[[#All],[No]:[Age Group]],4,0),"")</f>
        <v>0</v>
      </c>
      <c r="B259" s="61"/>
      <c r="C259" s="77"/>
      <c r="D259" s="63">
        <f t="shared" si="26"/>
        <v>255</v>
      </c>
      <c r="E259" s="63">
        <v>4091</v>
      </c>
      <c r="F259" s="64" t="str">
        <f>IFERROR(VLOOKUP(Table6[[#This Row],[Player No]],Table10[[No]:[Province]],2,0),"")</f>
        <v>Reshalin Govender</v>
      </c>
      <c r="G259" s="65" t="str">
        <f>IFERROR(VLOOKUP(Table6[[#This Row],[Player No]],Table10[[No]:[Province]],3,0),"")</f>
        <v>JTTA</v>
      </c>
      <c r="H259" s="66">
        <v>1</v>
      </c>
      <c r="I259" s="644">
        <v>1.25</v>
      </c>
      <c r="J259" s="819">
        <f>Table6[[#This Row],[Points 2025]]/2+SUM(Table6[[#This Row],[O1  ADMIN 2026]:[P2                           CT Open    2026]])</f>
        <v>0.625</v>
      </c>
      <c r="K259" s="63">
        <f t="shared" si="25"/>
        <v>0</v>
      </c>
      <c r="L259" s="63">
        <f t="shared" si="29"/>
        <v>0</v>
      </c>
      <c r="M259" s="708"/>
      <c r="N259" s="708" t="s">
        <v>6083</v>
      </c>
      <c r="O259" s="708" t="s">
        <v>6083</v>
      </c>
      <c r="P259" s="708"/>
      <c r="Q259" s="63"/>
      <c r="R259" s="63"/>
      <c r="S259" s="114"/>
      <c r="T259" s="114"/>
      <c r="U259" s="63"/>
      <c r="V259" s="114"/>
      <c r="W259" s="63"/>
      <c r="X259" s="708"/>
      <c r="Y259" s="63"/>
      <c r="Z259" s="636"/>
      <c r="AA259" s="63"/>
      <c r="AB259" s="400">
        <v>1</v>
      </c>
      <c r="AC259" s="63"/>
      <c r="AD259" s="114"/>
      <c r="AE259" s="63"/>
      <c r="AF259" s="63"/>
      <c r="AG259" s="63"/>
      <c r="AH259" s="63"/>
      <c r="AI259" s="63"/>
      <c r="AJ259" s="63"/>
      <c r="AK259" s="63">
        <v>1</v>
      </c>
      <c r="AL259" s="63"/>
      <c r="AM259" s="63"/>
      <c r="AN259" s="63"/>
      <c r="AO259" s="127"/>
    </row>
    <row r="260" spans="1:41">
      <c r="A260" s="135">
        <f>IFERROR(VLOOKUP(Table6[[#This Row],[Player No]],Table10[[#All],[No]:[Age Group]],4,0),"")</f>
        <v>0</v>
      </c>
      <c r="B260" s="190">
        <v>123</v>
      </c>
      <c r="C260" s="195">
        <f t="shared" ref="C260:C282" si="30">+B260-D260</f>
        <v>-133</v>
      </c>
      <c r="D260" s="63">
        <f t="shared" si="26"/>
        <v>256</v>
      </c>
      <c r="E260" s="189">
        <v>1486</v>
      </c>
      <c r="F260" s="64" t="str">
        <f>IFERROR(VLOOKUP(Table6[[#This Row],[Player No]],Table10[[No]:[Province]],2,0),"")</f>
        <v xml:space="preserve">MOREMEDI Thuto </v>
      </c>
      <c r="G260" s="65" t="str">
        <f>IFERROR(VLOOKUP(Table6[[#This Row],[Player No]],Table10[[No]:[Province]],3,0),"")</f>
        <v>NWP</v>
      </c>
      <c r="H260" s="66">
        <v>2.5</v>
      </c>
      <c r="I260" s="644">
        <v>1.25</v>
      </c>
      <c r="J260" s="819">
        <f>Table6[[#This Row],[Points 2025]]/2+SUM(Table6[[#This Row],[O1  ADMIN 2026]:[P2                           CT Open    2026]])</f>
        <v>0.625</v>
      </c>
      <c r="K260" s="63">
        <f t="shared" si="25"/>
        <v>0</v>
      </c>
      <c r="L260" s="63">
        <f t="shared" si="29"/>
        <v>0</v>
      </c>
      <c r="M260" s="442"/>
      <c r="N260" s="442" t="s">
        <v>6083</v>
      </c>
      <c r="O260" s="442" t="s">
        <v>6083</v>
      </c>
      <c r="P260" s="442"/>
      <c r="Q260" s="189"/>
      <c r="R260" s="189"/>
      <c r="S260" s="189"/>
      <c r="T260" s="189"/>
      <c r="U260" s="189"/>
      <c r="V260" s="189"/>
      <c r="W260" s="189"/>
      <c r="X260" s="442"/>
      <c r="Y260" s="189"/>
      <c r="Z260" s="442"/>
      <c r="AA260" s="189"/>
      <c r="AB260" s="401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34"/>
    </row>
    <row r="261" spans="1:41">
      <c r="A261" s="136">
        <f>IFERROR(VLOOKUP(Table6[[#This Row],[Player No]],Table10[[#All],[No]:[Age Group]],4,0),"")</f>
        <v>0</v>
      </c>
      <c r="B261" s="113">
        <v>124</v>
      </c>
      <c r="C261" s="115">
        <f t="shared" si="30"/>
        <v>-133</v>
      </c>
      <c r="D261" s="63">
        <f t="shared" si="26"/>
        <v>257</v>
      </c>
      <c r="E261" s="114">
        <v>3105</v>
      </c>
      <c r="F261" s="151" t="str">
        <f>IFERROR(VLOOKUP(Table6[[#This Row],[Player No]],Table10[[No]:[Province]],2,0),"")</f>
        <v>XABA Asanda</v>
      </c>
      <c r="G261" s="65" t="str">
        <f>IFERROR(VLOOKUP(Table6[[#This Row],[Player No]],Table10[[No]:[Province]],3,0),"")</f>
        <v>UTH</v>
      </c>
      <c r="H261" s="66">
        <v>2.5</v>
      </c>
      <c r="I261" s="644">
        <v>1.125</v>
      </c>
      <c r="J261" s="819">
        <f>Table6[[#This Row],[Points 2025]]/2+SUM(Table6[[#This Row],[O1  ADMIN 2026]:[P2                           CT Open    2026]])</f>
        <v>0.5625</v>
      </c>
      <c r="K261" s="63">
        <f t="shared" ref="K261:K324" si="31">COUNTIF(M261:P261,"&gt;0")</f>
        <v>0</v>
      </c>
      <c r="L261" s="63">
        <f t="shared" si="29"/>
        <v>0</v>
      </c>
      <c r="M261" s="708"/>
      <c r="N261" s="708" t="s">
        <v>6083</v>
      </c>
      <c r="O261" s="708" t="s">
        <v>6083</v>
      </c>
      <c r="P261" s="708"/>
      <c r="Q261" s="114"/>
      <c r="R261" s="114"/>
      <c r="S261" s="114"/>
      <c r="T261" s="114"/>
      <c r="U261" s="114"/>
      <c r="V261" s="114"/>
      <c r="W261" s="114"/>
      <c r="X261" s="708"/>
      <c r="Y261" s="114"/>
      <c r="Z261" s="636"/>
      <c r="AA261" s="114"/>
      <c r="AB261" s="400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27"/>
    </row>
    <row r="262" spans="1:41">
      <c r="A262" s="136">
        <f>IFERROR(VLOOKUP(Table6[[#This Row],[Player No]],Table10[[#All],[No]:[Age Group]],4,0),"")</f>
        <v>0</v>
      </c>
      <c r="B262" s="113">
        <v>122</v>
      </c>
      <c r="C262" s="115">
        <f t="shared" si="30"/>
        <v>-136</v>
      </c>
      <c r="D262" s="63">
        <f t="shared" si="26"/>
        <v>258</v>
      </c>
      <c r="E262" s="114">
        <v>3386</v>
      </c>
      <c r="F262" s="151" t="str">
        <f>IFERROR(VLOOKUP(Table6[[#This Row],[Player No]],Table10[[No]:[Province]],2,0),"")</f>
        <v>LAMONT Bentley</v>
      </c>
      <c r="G262" s="65" t="str">
        <f>IFERROR(VLOOKUP(Table6[[#This Row],[Player No]],Table10[[No]:[Province]],3,0),"")</f>
        <v>Eden</v>
      </c>
      <c r="H262" s="66">
        <v>2.5</v>
      </c>
      <c r="I262" s="644">
        <v>1.125</v>
      </c>
      <c r="J262" s="819">
        <f>Table6[[#This Row],[Points 2025]]/2+SUM(Table6[[#This Row],[O1  ADMIN 2026]:[P2                           CT Open    2026]])</f>
        <v>0.5625</v>
      </c>
      <c r="K262" s="63">
        <f t="shared" si="31"/>
        <v>0</v>
      </c>
      <c r="L262" s="63">
        <f t="shared" si="29"/>
        <v>0</v>
      </c>
      <c r="M262" s="708"/>
      <c r="N262" s="708" t="s">
        <v>6083</v>
      </c>
      <c r="O262" s="708" t="s">
        <v>6083</v>
      </c>
      <c r="P262" s="708"/>
      <c r="Q262" s="114"/>
      <c r="R262" s="114"/>
      <c r="S262" s="114"/>
      <c r="T262" s="114"/>
      <c r="U262" s="114"/>
      <c r="V262" s="114"/>
      <c r="W262" s="114"/>
      <c r="X262" s="708"/>
      <c r="Y262" s="114"/>
      <c r="Z262" s="636"/>
      <c r="AA262" s="114"/>
      <c r="AB262" s="400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27"/>
    </row>
    <row r="263" spans="1:41">
      <c r="A263" s="295"/>
      <c r="B263" s="113"/>
      <c r="C263" s="115">
        <f t="shared" si="30"/>
        <v>-259</v>
      </c>
      <c r="D263" s="63">
        <f t="shared" ref="D263:D326" si="32">+D262+1</f>
        <v>259</v>
      </c>
      <c r="E263" s="330">
        <v>4292</v>
      </c>
      <c r="F263" s="151" t="str">
        <f>IFERROR(VLOOKUP(Table6[[#This Row],[Player No]],Table10[[No]:[Province]],2,0),"")</f>
        <v xml:space="preserve">L Lekgotla </v>
      </c>
      <c r="G263" s="65" t="str">
        <f>IFERROR(VLOOKUP(Table6[[#This Row],[Player No]],Table10[[No]:[Province]],3,0),"")</f>
        <v>FS</v>
      </c>
      <c r="H263" s="66">
        <v>0.25</v>
      </c>
      <c r="I263" s="644">
        <v>1.125</v>
      </c>
      <c r="J263" s="819">
        <f>Table6[[#This Row],[Points 2025]]/2+SUM(Table6[[#This Row],[O1  ADMIN 2026]:[P2                           CT Open    2026]])</f>
        <v>0.5625</v>
      </c>
      <c r="K263" s="63">
        <f t="shared" si="31"/>
        <v>0</v>
      </c>
      <c r="L263" s="63">
        <f t="shared" si="29"/>
        <v>0</v>
      </c>
      <c r="M263" s="708"/>
      <c r="N263" s="708" t="s">
        <v>6083</v>
      </c>
      <c r="O263" s="708" t="s">
        <v>6083</v>
      </c>
      <c r="P263" s="708"/>
      <c r="Q263" s="114"/>
      <c r="R263" s="114"/>
      <c r="S263" s="114"/>
      <c r="T263" s="114"/>
      <c r="U263" s="114"/>
      <c r="V263" s="114">
        <v>1</v>
      </c>
      <c r="W263" s="114"/>
      <c r="X263" s="708"/>
      <c r="Y263" s="114"/>
      <c r="Z263" s="636"/>
      <c r="AA263" s="114"/>
      <c r="AB263" s="400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27"/>
    </row>
    <row r="264" spans="1:41">
      <c r="A264" s="295"/>
      <c r="B264" s="113"/>
      <c r="C264" s="115">
        <f t="shared" si="30"/>
        <v>-260</v>
      </c>
      <c r="D264" s="63">
        <f t="shared" si="32"/>
        <v>260</v>
      </c>
      <c r="E264" s="330">
        <v>4306</v>
      </c>
      <c r="F264" s="151" t="str">
        <f>IFERROR(VLOOKUP(Table6[[#This Row],[Player No]],Table10[[No]:[Province]],2,0),"")</f>
        <v xml:space="preserve">T Lichaba </v>
      </c>
      <c r="G264" s="65" t="str">
        <f>IFERROR(VLOOKUP(Table6[[#This Row],[Player No]],Table10[[No]:[Province]],3,0),"")</f>
        <v>FS</v>
      </c>
      <c r="H264" s="66">
        <v>0.25</v>
      </c>
      <c r="I264" s="644">
        <v>1.125</v>
      </c>
      <c r="J264" s="819">
        <f>Table6[[#This Row],[Points 2025]]/2+SUM(Table6[[#This Row],[O1  ADMIN 2026]:[P2                           CT Open    2026]])</f>
        <v>0.5625</v>
      </c>
      <c r="K264" s="63">
        <f t="shared" si="31"/>
        <v>0</v>
      </c>
      <c r="L264" s="63">
        <f t="shared" si="29"/>
        <v>0</v>
      </c>
      <c r="M264" s="708"/>
      <c r="N264" s="708" t="s">
        <v>6083</v>
      </c>
      <c r="O264" s="708" t="s">
        <v>6083</v>
      </c>
      <c r="P264" s="708"/>
      <c r="Q264" s="114"/>
      <c r="R264" s="114"/>
      <c r="S264" s="114"/>
      <c r="T264" s="114"/>
      <c r="U264" s="114"/>
      <c r="V264" s="114">
        <v>1</v>
      </c>
      <c r="W264" s="114"/>
      <c r="X264" s="708"/>
      <c r="Y264" s="114"/>
      <c r="Z264" s="636"/>
      <c r="AA264" s="114"/>
      <c r="AB264" s="400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27"/>
    </row>
    <row r="265" spans="1:41">
      <c r="A265" s="295"/>
      <c r="B265" s="113"/>
      <c r="C265" s="115">
        <f t="shared" si="30"/>
        <v>-261</v>
      </c>
      <c r="D265" s="63">
        <f t="shared" si="32"/>
        <v>261</v>
      </c>
      <c r="E265" s="330">
        <v>4307</v>
      </c>
      <c r="F265" s="151" t="str">
        <f>IFERROR(VLOOKUP(Table6[[#This Row],[Player No]],Table10[[No]:[Province]],2,0),"")</f>
        <v xml:space="preserve">J van Jaarsveldt </v>
      </c>
      <c r="G265" s="65" t="str">
        <f>IFERROR(VLOOKUP(Table6[[#This Row],[Player No]],Table10[[No]:[Province]],3,0),"")</f>
        <v>FS</v>
      </c>
      <c r="H265" s="66">
        <v>0.25</v>
      </c>
      <c r="I265" s="644">
        <v>1</v>
      </c>
      <c r="J265" s="819">
        <f>Table6[[#This Row],[Points 2025]]/2+SUM(Table6[[#This Row],[O1  ADMIN 2026]:[P2                           CT Open    2026]])</f>
        <v>0.5</v>
      </c>
      <c r="K265" s="63">
        <f t="shared" si="31"/>
        <v>0</v>
      </c>
      <c r="L265" s="63">
        <f t="shared" si="29"/>
        <v>0</v>
      </c>
      <c r="M265" s="708"/>
      <c r="N265" s="708" t="s">
        <v>6083</v>
      </c>
      <c r="O265" s="708" t="s">
        <v>6083</v>
      </c>
      <c r="P265" s="708"/>
      <c r="Q265" s="114"/>
      <c r="R265" s="114"/>
      <c r="S265" s="114"/>
      <c r="T265" s="114"/>
      <c r="U265" s="114"/>
      <c r="V265" s="114">
        <v>1</v>
      </c>
      <c r="W265" s="114"/>
      <c r="X265" s="708"/>
      <c r="Y265" s="114"/>
      <c r="Z265" s="636"/>
      <c r="AA265" s="114"/>
      <c r="AB265" s="400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27"/>
    </row>
    <row r="266" spans="1:41">
      <c r="A266" s="295"/>
      <c r="B266" s="113"/>
      <c r="C266" s="115">
        <f t="shared" si="30"/>
        <v>-262</v>
      </c>
      <c r="D266" s="63">
        <f t="shared" si="32"/>
        <v>262</v>
      </c>
      <c r="E266" s="330">
        <v>4308</v>
      </c>
      <c r="F266" s="151" t="str">
        <f>IFERROR(VLOOKUP(Table6[[#This Row],[Player No]],Table10[[No]:[Province]],2,0),"")</f>
        <v>G Stone</v>
      </c>
      <c r="G266" s="65" t="str">
        <f>IFERROR(VLOOKUP(Table6[[#This Row],[Player No]],Table10[[No]:[Province]],3,0),"")</f>
        <v>FS</v>
      </c>
      <c r="H266" s="66">
        <v>0.25</v>
      </c>
      <c r="I266" s="644">
        <v>1</v>
      </c>
      <c r="J266" s="819">
        <f>Table6[[#This Row],[Points 2025]]/2+SUM(Table6[[#This Row],[O1  ADMIN 2026]:[P2                           CT Open    2026]])</f>
        <v>0.5</v>
      </c>
      <c r="K266" s="63">
        <f t="shared" si="31"/>
        <v>0</v>
      </c>
      <c r="L266" s="63">
        <f t="shared" si="29"/>
        <v>0</v>
      </c>
      <c r="M266" s="708"/>
      <c r="N266" s="708" t="s">
        <v>6083</v>
      </c>
      <c r="O266" s="708" t="s">
        <v>6083</v>
      </c>
      <c r="P266" s="708"/>
      <c r="Q266" s="114"/>
      <c r="R266" s="114"/>
      <c r="S266" s="114"/>
      <c r="T266" s="114"/>
      <c r="U266" s="114"/>
      <c r="V266" s="114">
        <v>1</v>
      </c>
      <c r="W266" s="114"/>
      <c r="X266" s="708"/>
      <c r="Y266" s="114"/>
      <c r="Z266" s="636"/>
      <c r="AA266" s="114"/>
      <c r="AB266" s="400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27"/>
    </row>
    <row r="267" spans="1:41">
      <c r="A267" s="136" t="str">
        <f>IFERROR(VLOOKUP(Table6[[#This Row],[Player No]],Table10[[#All],[No]:[Age Group]],4,0),"")</f>
        <v>U13</v>
      </c>
      <c r="B267" s="113">
        <v>190</v>
      </c>
      <c r="C267" s="115">
        <f t="shared" si="30"/>
        <v>-73</v>
      </c>
      <c r="D267" s="63">
        <f t="shared" si="32"/>
        <v>263</v>
      </c>
      <c r="E267" s="114">
        <v>3378</v>
      </c>
      <c r="F267" s="151" t="str">
        <f>IFERROR(VLOOKUP(Table6[[#This Row],[Player No]],Table10[[No]:[Province]],2,0),"")</f>
        <v>VISSER Schalk</v>
      </c>
      <c r="G267" s="65" t="str">
        <f>IFERROR(VLOOKUP(Table6[[#This Row],[Player No]],Table10[[No]:[Province]],3,0),"")</f>
        <v>CW</v>
      </c>
      <c r="H267" s="66">
        <v>2</v>
      </c>
      <c r="I267" s="644">
        <v>1</v>
      </c>
      <c r="J267" s="819">
        <f>Table6[[#This Row],[Points 2025]]/2+SUM(Table6[[#This Row],[O1  ADMIN 2026]:[P2                           CT Open    2026]])</f>
        <v>0.5</v>
      </c>
      <c r="K267" s="63">
        <f t="shared" si="31"/>
        <v>0</v>
      </c>
      <c r="L267" s="63">
        <f t="shared" si="29"/>
        <v>0</v>
      </c>
      <c r="M267" s="708"/>
      <c r="N267" s="708" t="s">
        <v>6083</v>
      </c>
      <c r="O267" s="708" t="s">
        <v>6083</v>
      </c>
      <c r="P267" s="708"/>
      <c r="Q267" s="114"/>
      <c r="R267" s="114"/>
      <c r="S267" s="114"/>
      <c r="T267" s="114"/>
      <c r="U267" s="114"/>
      <c r="V267" s="114"/>
      <c r="W267" s="114"/>
      <c r="X267" s="708"/>
      <c r="Y267" s="114"/>
      <c r="Z267" s="636"/>
      <c r="AA267" s="114"/>
      <c r="AB267" s="400"/>
      <c r="AC267" s="114"/>
      <c r="AD267" s="114"/>
      <c r="AE267" s="114"/>
      <c r="AF267" s="114"/>
      <c r="AG267" s="114"/>
      <c r="AH267" s="114"/>
      <c r="AI267" s="114">
        <v>2</v>
      </c>
      <c r="AJ267" s="114"/>
      <c r="AK267" s="114"/>
      <c r="AL267" s="114"/>
      <c r="AM267" s="114"/>
      <c r="AN267" s="114"/>
      <c r="AO267" s="127"/>
    </row>
    <row r="268" spans="1:41">
      <c r="A268" s="136" t="str">
        <f>IFERROR(VLOOKUP(Table6[[#This Row],[Player No]],Table10[[#All],[No]:[Age Group]],4,0),"")</f>
        <v>U15</v>
      </c>
      <c r="B268" s="113">
        <v>190</v>
      </c>
      <c r="C268" s="115">
        <f t="shared" si="30"/>
        <v>-74</v>
      </c>
      <c r="D268" s="63">
        <f t="shared" si="32"/>
        <v>264</v>
      </c>
      <c r="E268" s="114">
        <v>3698</v>
      </c>
      <c r="F268" s="151" t="str">
        <f>IFERROR(VLOOKUP(Table6[[#This Row],[Player No]],Table10[[No]:[Province]],2,0),"")</f>
        <v>NURAIN Alexander</v>
      </c>
      <c r="G268" s="65" t="str">
        <f>IFERROR(VLOOKUP(Table6[[#This Row],[Player No]],Table10[[No]:[Province]],3,0),"")</f>
        <v>Eden</v>
      </c>
      <c r="H268" s="66">
        <v>2</v>
      </c>
      <c r="I268" s="644">
        <v>1</v>
      </c>
      <c r="J268" s="819">
        <f>Table6[[#This Row],[Points 2025]]/2+SUM(Table6[[#This Row],[O1  ADMIN 2026]:[P2                           CT Open    2026]])</f>
        <v>0.5</v>
      </c>
      <c r="K268" s="63">
        <f t="shared" si="31"/>
        <v>0</v>
      </c>
      <c r="L268" s="63">
        <f t="shared" si="29"/>
        <v>0</v>
      </c>
      <c r="M268" s="708"/>
      <c r="N268" s="708" t="s">
        <v>6083</v>
      </c>
      <c r="O268" s="708" t="s">
        <v>6083</v>
      </c>
      <c r="P268" s="708"/>
      <c r="Q268" s="114"/>
      <c r="R268" s="114"/>
      <c r="S268" s="114"/>
      <c r="T268" s="114"/>
      <c r="U268" s="114"/>
      <c r="V268" s="114"/>
      <c r="W268" s="114"/>
      <c r="X268" s="708"/>
      <c r="Y268" s="114"/>
      <c r="Z268" s="636"/>
      <c r="AA268" s="114"/>
      <c r="AB268" s="400"/>
      <c r="AC268" s="114"/>
      <c r="AD268" s="114"/>
      <c r="AE268" s="114"/>
      <c r="AF268" s="114"/>
      <c r="AG268" s="114"/>
      <c r="AH268" s="114"/>
      <c r="AI268" s="114">
        <v>2</v>
      </c>
      <c r="AJ268" s="114"/>
      <c r="AK268" s="114"/>
      <c r="AL268" s="114"/>
      <c r="AM268" s="114"/>
      <c r="AN268" s="114"/>
      <c r="AO268" s="127"/>
    </row>
    <row r="269" spans="1:41">
      <c r="A269" s="136" t="str">
        <f>IFERROR(VLOOKUP(Table6[[#This Row],[Player No]],Table10[[#All],[No]:[Age Group]],4,0),"")</f>
        <v>U13</v>
      </c>
      <c r="B269" s="113">
        <v>130</v>
      </c>
      <c r="C269" s="115">
        <f t="shared" si="30"/>
        <v>-135</v>
      </c>
      <c r="D269" s="63">
        <f t="shared" si="32"/>
        <v>265</v>
      </c>
      <c r="E269" s="114">
        <v>3813</v>
      </c>
      <c r="F269" s="151" t="str">
        <f>IFERROR(VLOOKUP(Table6[[#This Row],[Player No]],Table10[[No]:[Province]],2,0),"")</f>
        <v>SO Sze Hin Dickson</v>
      </c>
      <c r="G269" s="65" t="str">
        <f>IFERROR(VLOOKUP(Table6[[#This Row],[Player No]],Table10[[No]:[Province]],3,0),"")</f>
        <v>ETTA</v>
      </c>
      <c r="H269" s="66">
        <v>2</v>
      </c>
      <c r="I269" s="644">
        <v>1</v>
      </c>
      <c r="J269" s="819">
        <f>Table6[[#This Row],[Points 2025]]/2+SUM(Table6[[#This Row],[O1  ADMIN 2026]:[P2                           CT Open    2026]])</f>
        <v>0.5</v>
      </c>
      <c r="K269" s="63">
        <f t="shared" si="31"/>
        <v>0</v>
      </c>
      <c r="L269" s="63">
        <f t="shared" si="29"/>
        <v>0</v>
      </c>
      <c r="M269" s="708"/>
      <c r="N269" s="708" t="s">
        <v>6083</v>
      </c>
      <c r="O269" s="708" t="s">
        <v>6083</v>
      </c>
      <c r="P269" s="708"/>
      <c r="Q269" s="114"/>
      <c r="R269" s="114"/>
      <c r="S269" s="114"/>
      <c r="T269" s="114"/>
      <c r="U269" s="114"/>
      <c r="V269" s="114"/>
      <c r="W269" s="114"/>
      <c r="X269" s="708"/>
      <c r="Y269" s="114"/>
      <c r="Z269" s="636"/>
      <c r="AA269" s="114"/>
      <c r="AB269" s="400"/>
      <c r="AC269" s="114"/>
      <c r="AD269" s="114"/>
      <c r="AE269" s="114"/>
      <c r="AF269" s="114">
        <v>2</v>
      </c>
      <c r="AG269" s="114"/>
      <c r="AH269" s="114"/>
      <c r="AI269" s="114"/>
      <c r="AJ269" s="114"/>
      <c r="AK269" s="114"/>
      <c r="AL269" s="114"/>
      <c r="AM269" s="114"/>
      <c r="AN269" s="114"/>
      <c r="AO269" s="127"/>
    </row>
    <row r="270" spans="1:41">
      <c r="A270" s="136">
        <f>IFERROR(VLOOKUP(Table6[[#This Row],[Player No]],Table10[[#All],[No]:[Age Group]],4,0),"")</f>
        <v>0</v>
      </c>
      <c r="B270" s="113">
        <v>190</v>
      </c>
      <c r="C270" s="115">
        <f t="shared" si="30"/>
        <v>-76</v>
      </c>
      <c r="D270" s="63">
        <f t="shared" si="32"/>
        <v>266</v>
      </c>
      <c r="E270" s="114">
        <v>3881</v>
      </c>
      <c r="F270" s="151" t="str">
        <f>IFERROR(VLOOKUP(Table6[[#This Row],[Player No]],Table10[[No]:[Province]],2,0),"")</f>
        <v>PRETORIUS Ratau</v>
      </c>
      <c r="G270" s="65" t="str">
        <f>IFERROR(VLOOKUP(Table6[[#This Row],[Player No]],Table10[[No]:[Province]],3,0),"")</f>
        <v>CW</v>
      </c>
      <c r="H270" s="66">
        <v>2</v>
      </c>
      <c r="I270" s="644">
        <v>1</v>
      </c>
      <c r="J270" s="819">
        <f>Table6[[#This Row],[Points 2025]]/2+SUM(Table6[[#This Row],[O1  ADMIN 2026]:[P2                           CT Open    2026]])</f>
        <v>0.5</v>
      </c>
      <c r="K270" s="63">
        <f t="shared" si="31"/>
        <v>0</v>
      </c>
      <c r="L270" s="63">
        <f t="shared" si="29"/>
        <v>0</v>
      </c>
      <c r="M270" s="708"/>
      <c r="N270" s="708" t="s">
        <v>6083</v>
      </c>
      <c r="O270" s="708" t="s">
        <v>6083</v>
      </c>
      <c r="P270" s="708"/>
      <c r="Q270" s="114"/>
      <c r="R270" s="114"/>
      <c r="S270" s="114"/>
      <c r="T270" s="114"/>
      <c r="U270" s="114"/>
      <c r="V270" s="114"/>
      <c r="W270" s="114"/>
      <c r="X270" s="708"/>
      <c r="Y270" s="114"/>
      <c r="Z270" s="636"/>
      <c r="AA270" s="114"/>
      <c r="AB270" s="400"/>
      <c r="AC270" s="114"/>
      <c r="AD270" s="114"/>
      <c r="AE270" s="114"/>
      <c r="AF270" s="114"/>
      <c r="AG270" s="114"/>
      <c r="AH270" s="114"/>
      <c r="AI270" s="114">
        <v>2</v>
      </c>
      <c r="AJ270" s="114"/>
      <c r="AK270" s="114"/>
      <c r="AL270" s="114"/>
      <c r="AM270" s="114"/>
      <c r="AN270" s="114"/>
      <c r="AO270" s="127"/>
    </row>
    <row r="271" spans="1:41">
      <c r="A271" s="135">
        <f>IFERROR(VLOOKUP(Table6[[#This Row],[Player No]],Table10[[#All],[No]:[Age Group]],4,0),"")</f>
        <v>0</v>
      </c>
      <c r="B271" s="190">
        <v>190</v>
      </c>
      <c r="C271" s="195">
        <f t="shared" si="30"/>
        <v>-77</v>
      </c>
      <c r="D271" s="63">
        <f t="shared" si="32"/>
        <v>267</v>
      </c>
      <c r="E271" s="189">
        <v>3882</v>
      </c>
      <c r="F271" s="151" t="str">
        <f>IFERROR(VLOOKUP(Table6[[#This Row],[Player No]],Table10[[No]:[Province]],2,0),"")</f>
        <v>OWIES Lucian</v>
      </c>
      <c r="G271" s="65" t="str">
        <f>IFERROR(VLOOKUP(Table6[[#This Row],[Player No]],Table10[[No]:[Province]],3,0),"")</f>
        <v>CW</v>
      </c>
      <c r="H271" s="66">
        <v>2</v>
      </c>
      <c r="I271" s="644">
        <v>1</v>
      </c>
      <c r="J271" s="819">
        <f>Table6[[#This Row],[Points 2025]]/2+SUM(Table6[[#This Row],[O1  ADMIN 2026]:[P2                           CT Open    2026]])</f>
        <v>0.5</v>
      </c>
      <c r="K271" s="63">
        <f t="shared" si="31"/>
        <v>0</v>
      </c>
      <c r="L271" s="63">
        <f t="shared" si="29"/>
        <v>0</v>
      </c>
      <c r="M271" s="442"/>
      <c r="N271" s="442" t="s">
        <v>6083</v>
      </c>
      <c r="O271" s="442" t="s">
        <v>6083</v>
      </c>
      <c r="P271" s="442"/>
      <c r="Q271" s="189"/>
      <c r="R271" s="189"/>
      <c r="S271" s="189"/>
      <c r="T271" s="189"/>
      <c r="U271" s="189"/>
      <c r="V271" s="189"/>
      <c r="W271" s="189"/>
      <c r="X271" s="442"/>
      <c r="Y271" s="189"/>
      <c r="Z271" s="442"/>
      <c r="AA271" s="189"/>
      <c r="AB271" s="401"/>
      <c r="AC271" s="189"/>
      <c r="AD271" s="189"/>
      <c r="AE271" s="189"/>
      <c r="AF271" s="189"/>
      <c r="AG271" s="189"/>
      <c r="AH271" s="189"/>
      <c r="AI271" s="189">
        <v>2</v>
      </c>
      <c r="AJ271" s="189"/>
      <c r="AK271" s="189"/>
      <c r="AL271" s="189"/>
      <c r="AM271" s="189"/>
      <c r="AN271" s="189"/>
      <c r="AO271" s="134"/>
    </row>
    <row r="272" spans="1:41">
      <c r="A272" s="136">
        <f>IFERROR(VLOOKUP(Table6[[#This Row],[Player No]],Table10[[#All],[No]:[Age Group]],4,0),"")</f>
        <v>0</v>
      </c>
      <c r="B272" s="113">
        <v>190</v>
      </c>
      <c r="C272" s="115">
        <f t="shared" si="30"/>
        <v>-78</v>
      </c>
      <c r="D272" s="63">
        <f t="shared" si="32"/>
        <v>268</v>
      </c>
      <c r="E272" s="114">
        <v>3959</v>
      </c>
      <c r="F272" s="151" t="str">
        <f>IFERROR(VLOOKUP(Table6[[#This Row],[Player No]],Table10[[No]:[Province]],2,0),"")</f>
        <v>MAART Dominiqwin</v>
      </c>
      <c r="G272" s="65" t="str">
        <f>IFERROR(VLOOKUP(Table6[[#This Row],[Player No]],Table10[[No]:[Province]],3,0),"")</f>
        <v>Eden</v>
      </c>
      <c r="H272" s="66">
        <v>2</v>
      </c>
      <c r="I272" s="644">
        <v>1</v>
      </c>
      <c r="J272" s="819">
        <f>Table6[[#This Row],[Points 2025]]/2+SUM(Table6[[#This Row],[O1  ADMIN 2026]:[P2                           CT Open    2026]])</f>
        <v>0.5</v>
      </c>
      <c r="K272" s="63">
        <f t="shared" si="31"/>
        <v>0</v>
      </c>
      <c r="L272" s="63">
        <f t="shared" si="29"/>
        <v>0</v>
      </c>
      <c r="M272" s="708"/>
      <c r="N272" s="708" t="s">
        <v>6083</v>
      </c>
      <c r="O272" s="708" t="s">
        <v>6083</v>
      </c>
      <c r="P272" s="708"/>
      <c r="Q272" s="114"/>
      <c r="R272" s="114"/>
      <c r="S272" s="114"/>
      <c r="T272" s="114"/>
      <c r="U272" s="114"/>
      <c r="V272" s="114"/>
      <c r="W272" s="114"/>
      <c r="X272" s="708"/>
      <c r="Y272" s="114"/>
      <c r="Z272" s="636"/>
      <c r="AA272" s="114"/>
      <c r="AB272" s="400"/>
      <c r="AC272" s="114"/>
      <c r="AD272" s="114"/>
      <c r="AE272" s="114"/>
      <c r="AF272" s="114"/>
      <c r="AG272" s="114"/>
      <c r="AH272" s="114"/>
      <c r="AI272" s="114">
        <v>2</v>
      </c>
      <c r="AJ272" s="114"/>
      <c r="AK272" s="114"/>
      <c r="AL272" s="114"/>
      <c r="AM272" s="114"/>
      <c r="AN272" s="114"/>
      <c r="AO272" s="127"/>
    </row>
    <row r="273" spans="1:41">
      <c r="A273" s="136">
        <f>IFERROR(VLOOKUP(Table6[[#This Row],[Player No]],Table10[[#All],[No]:[Age Group]],4,0),"")</f>
        <v>0</v>
      </c>
      <c r="B273" s="113">
        <v>190</v>
      </c>
      <c r="C273" s="115">
        <f t="shared" si="30"/>
        <v>-79</v>
      </c>
      <c r="D273" s="63">
        <f t="shared" si="32"/>
        <v>269</v>
      </c>
      <c r="E273" s="114">
        <v>3960</v>
      </c>
      <c r="F273" s="151" t="str">
        <f>IFERROR(VLOOKUP(Table6[[#This Row],[Player No]],Table10[[No]:[Province]],2,0),"")</f>
        <v>JANSEN Evan</v>
      </c>
      <c r="G273" s="65" t="str">
        <f>IFERROR(VLOOKUP(Table6[[#This Row],[Player No]],Table10[[No]:[Province]],3,0),"")</f>
        <v>Eden</v>
      </c>
      <c r="H273" s="66">
        <v>2</v>
      </c>
      <c r="I273" s="644">
        <v>1</v>
      </c>
      <c r="J273" s="819">
        <f>Table6[[#This Row],[Points 2025]]/2+SUM(Table6[[#This Row],[O1  ADMIN 2026]:[P2                           CT Open    2026]])</f>
        <v>0.5</v>
      </c>
      <c r="K273" s="63">
        <f t="shared" si="31"/>
        <v>0</v>
      </c>
      <c r="L273" s="63">
        <f t="shared" si="29"/>
        <v>0</v>
      </c>
      <c r="M273" s="708"/>
      <c r="N273" s="708" t="s">
        <v>6083</v>
      </c>
      <c r="O273" s="708" t="s">
        <v>6083</v>
      </c>
      <c r="P273" s="708"/>
      <c r="Q273" s="114"/>
      <c r="R273" s="114"/>
      <c r="S273" s="114"/>
      <c r="T273" s="114"/>
      <c r="U273" s="114"/>
      <c r="V273" s="114"/>
      <c r="W273" s="114"/>
      <c r="X273" s="708"/>
      <c r="Y273" s="114"/>
      <c r="Z273" s="636"/>
      <c r="AA273" s="114"/>
      <c r="AB273" s="400"/>
      <c r="AC273" s="114"/>
      <c r="AD273" s="114"/>
      <c r="AE273" s="114"/>
      <c r="AF273" s="114"/>
      <c r="AG273" s="114"/>
      <c r="AH273" s="114"/>
      <c r="AI273" s="114">
        <v>2</v>
      </c>
      <c r="AJ273" s="114"/>
      <c r="AK273" s="114"/>
      <c r="AL273" s="114"/>
      <c r="AM273" s="114"/>
      <c r="AN273" s="114"/>
      <c r="AO273" s="127"/>
    </row>
    <row r="274" spans="1:41">
      <c r="A274" s="136">
        <f>IFERROR(VLOOKUP(Table6[[#This Row],[Player No]],Table10[[#All],[No]:[Age Group]],4,0),"")</f>
        <v>0</v>
      </c>
      <c r="B274" s="113">
        <v>190</v>
      </c>
      <c r="C274" s="115">
        <f t="shared" si="30"/>
        <v>-80</v>
      </c>
      <c r="D274" s="63">
        <f t="shared" si="32"/>
        <v>270</v>
      </c>
      <c r="E274" s="114">
        <v>4020</v>
      </c>
      <c r="F274" s="151" t="str">
        <f>IFERROR(VLOOKUP(Table6[[#This Row],[Player No]],Table10[[No]:[Province]],2,0),"")</f>
        <v>MANSFIELD Joshua</v>
      </c>
      <c r="G274" s="65" t="str">
        <f>IFERROR(VLOOKUP(Table6[[#This Row],[Player No]],Table10[[No]:[Province]],3,0),"")</f>
        <v>Eden</v>
      </c>
      <c r="H274" s="66">
        <v>2</v>
      </c>
      <c r="I274" s="644">
        <v>1</v>
      </c>
      <c r="J274" s="819">
        <f>Table6[[#This Row],[Points 2025]]/2+SUM(Table6[[#This Row],[O1  ADMIN 2026]:[P2                           CT Open    2026]])</f>
        <v>0.5</v>
      </c>
      <c r="K274" s="63">
        <f t="shared" si="31"/>
        <v>0</v>
      </c>
      <c r="L274" s="63">
        <f t="shared" si="29"/>
        <v>0</v>
      </c>
      <c r="M274" s="708"/>
      <c r="N274" s="708" t="s">
        <v>6083</v>
      </c>
      <c r="O274" s="708" t="s">
        <v>6083</v>
      </c>
      <c r="P274" s="708"/>
      <c r="Q274" s="114"/>
      <c r="R274" s="114"/>
      <c r="S274" s="114"/>
      <c r="T274" s="114"/>
      <c r="U274" s="114"/>
      <c r="V274" s="114"/>
      <c r="W274" s="114"/>
      <c r="X274" s="708"/>
      <c r="Y274" s="114"/>
      <c r="Z274" s="636"/>
      <c r="AA274" s="114"/>
      <c r="AB274" s="400"/>
      <c r="AC274" s="114"/>
      <c r="AD274" s="114"/>
      <c r="AE274" s="114"/>
      <c r="AF274" s="114"/>
      <c r="AG274" s="114"/>
      <c r="AH274" s="114"/>
      <c r="AI274" s="114">
        <v>2</v>
      </c>
      <c r="AJ274" s="114"/>
      <c r="AK274" s="114"/>
      <c r="AL274" s="114"/>
      <c r="AM274" s="114"/>
      <c r="AN274" s="114"/>
      <c r="AO274" s="127"/>
    </row>
    <row r="275" spans="1:41">
      <c r="A275" s="347"/>
      <c r="B275" s="337"/>
      <c r="C275" s="338">
        <f t="shared" si="30"/>
        <v>-271</v>
      </c>
      <c r="D275" s="63">
        <f t="shared" si="32"/>
        <v>271</v>
      </c>
      <c r="E275" s="348">
        <v>3568</v>
      </c>
      <c r="F275" s="349" t="str">
        <f>IFERROR(VLOOKUP(Table6[[#This Row],[Player No]],Table10[[No]:[Province]],2,0),"")</f>
        <v>LICHABA Thuso</v>
      </c>
      <c r="G275" s="65" t="str">
        <f>IFERROR(VLOOKUP(Table6[[#This Row],[Player No]],Table10[[No]:[Province]],3,0),"")</f>
        <v>FS</v>
      </c>
      <c r="H275" s="66">
        <v>0</v>
      </c>
      <c r="I275" s="644">
        <v>1</v>
      </c>
      <c r="J275" s="819">
        <f>Table6[[#This Row],[Points 2025]]/2+SUM(Table6[[#This Row],[O1  ADMIN 2026]:[P2                           CT Open    2026]])</f>
        <v>0.5</v>
      </c>
      <c r="K275" s="63">
        <f t="shared" si="31"/>
        <v>0</v>
      </c>
      <c r="L275" s="63">
        <f t="shared" si="29"/>
        <v>0</v>
      </c>
      <c r="M275" s="708"/>
      <c r="N275" s="826" t="s">
        <v>6083</v>
      </c>
      <c r="O275" s="826" t="s">
        <v>6083</v>
      </c>
      <c r="P275" s="826"/>
      <c r="Q275" s="321"/>
      <c r="R275" s="321"/>
      <c r="S275" s="321"/>
      <c r="T275" s="321"/>
      <c r="U275" s="321"/>
      <c r="V275" s="321">
        <v>1</v>
      </c>
      <c r="W275" s="321"/>
      <c r="X275" s="711"/>
      <c r="Y275" s="321"/>
      <c r="Z275" s="637"/>
      <c r="AA275" s="321"/>
      <c r="AB275" s="405"/>
      <c r="AC275" s="321"/>
      <c r="AD275" s="321"/>
      <c r="AE275" s="321"/>
      <c r="AF275" s="321"/>
      <c r="AG275" s="321"/>
      <c r="AH275" s="321"/>
      <c r="AI275" s="321"/>
      <c r="AJ275" s="321"/>
      <c r="AK275" s="321"/>
      <c r="AL275" s="321"/>
      <c r="AM275" s="321"/>
      <c r="AN275" s="321"/>
      <c r="AO275" s="705"/>
    </row>
    <row r="276" spans="1:41">
      <c r="A276" s="347"/>
      <c r="B276" s="337"/>
      <c r="C276" s="338">
        <f t="shared" si="30"/>
        <v>-272</v>
      </c>
      <c r="D276" s="63">
        <f t="shared" si="32"/>
        <v>272</v>
      </c>
      <c r="E276" s="348">
        <v>3717</v>
      </c>
      <c r="F276" s="349" t="str">
        <f>IFERROR(VLOOKUP(Table6[[#This Row],[Player No]],Table10[[No]:[Province]],2,0),"")</f>
        <v>MPOBOLE Tshepang</v>
      </c>
      <c r="G276" s="65" t="str">
        <f>IFERROR(VLOOKUP(Table6[[#This Row],[Player No]],Table10[[No]:[Province]],3,0),"")</f>
        <v>FS</v>
      </c>
      <c r="H276" s="66">
        <v>0</v>
      </c>
      <c r="I276" s="644">
        <v>1</v>
      </c>
      <c r="J276" s="819">
        <f>Table6[[#This Row],[Points 2025]]/2+SUM(Table6[[#This Row],[O1  ADMIN 2026]:[P2                           CT Open    2026]])</f>
        <v>0.5</v>
      </c>
      <c r="K276" s="63">
        <f t="shared" si="31"/>
        <v>0</v>
      </c>
      <c r="L276" s="63">
        <f t="shared" si="29"/>
        <v>0</v>
      </c>
      <c r="M276" s="708"/>
      <c r="N276" s="826" t="s">
        <v>6083</v>
      </c>
      <c r="O276" s="826" t="s">
        <v>6083</v>
      </c>
      <c r="P276" s="826"/>
      <c r="Q276" s="321"/>
      <c r="R276" s="321"/>
      <c r="S276" s="321"/>
      <c r="T276" s="321"/>
      <c r="U276" s="321"/>
      <c r="V276" s="321">
        <v>1</v>
      </c>
      <c r="W276" s="321"/>
      <c r="X276" s="711"/>
      <c r="Y276" s="321"/>
      <c r="Z276" s="637"/>
      <c r="AA276" s="321"/>
      <c r="AB276" s="405"/>
      <c r="AC276" s="321"/>
      <c r="AD276" s="321"/>
      <c r="AE276" s="321"/>
      <c r="AF276" s="321"/>
      <c r="AG276" s="321"/>
      <c r="AH276" s="321"/>
      <c r="AI276" s="321"/>
      <c r="AJ276" s="321"/>
      <c r="AK276" s="321"/>
      <c r="AL276" s="321"/>
      <c r="AM276" s="321"/>
      <c r="AN276" s="321"/>
      <c r="AO276" s="705"/>
    </row>
    <row r="277" spans="1:41">
      <c r="A277" s="608"/>
      <c r="B277" s="345"/>
      <c r="C277" s="380">
        <f t="shared" si="30"/>
        <v>-273</v>
      </c>
      <c r="D277" s="63">
        <f t="shared" si="32"/>
        <v>273</v>
      </c>
      <c r="E277" s="621">
        <v>3749</v>
      </c>
      <c r="F277" s="151" t="str">
        <f>IFERROR(VLOOKUP(Table6[[#This Row],[Player No]],Table10[[No]:[Province]],2,0),"")</f>
        <v>LEKHOTLA Lebohang</v>
      </c>
      <c r="G277" s="65" t="str">
        <f>IFERROR(VLOOKUP(Table6[[#This Row],[Player No]],Table10[[No]:[Province]],3,0),"")</f>
        <v>FS</v>
      </c>
      <c r="H277" s="170">
        <v>0</v>
      </c>
      <c r="I277" s="644">
        <v>1</v>
      </c>
      <c r="J277" s="819">
        <f>Table6[[#This Row],[Points 2025]]/2+SUM(Table6[[#This Row],[O1  ADMIN 2026]:[P2                           CT Open    2026]])</f>
        <v>0.5</v>
      </c>
      <c r="K277" s="63">
        <f t="shared" si="31"/>
        <v>0</v>
      </c>
      <c r="L277" s="63">
        <f t="shared" si="29"/>
        <v>0</v>
      </c>
      <c r="M277" s="708"/>
      <c r="N277" s="708" t="s">
        <v>6083</v>
      </c>
      <c r="O277" s="708" t="s">
        <v>6083</v>
      </c>
      <c r="P277" s="708"/>
      <c r="Q277" s="318"/>
      <c r="R277" s="318"/>
      <c r="S277" s="318"/>
      <c r="T277" s="318"/>
      <c r="U277" s="318"/>
      <c r="V277" s="318"/>
      <c r="W277" s="318"/>
      <c r="X277" s="713"/>
      <c r="Y277" s="318"/>
      <c r="Z277" s="638"/>
      <c r="AA277" s="318"/>
      <c r="AB277" s="402"/>
      <c r="AC277" s="318">
        <v>1</v>
      </c>
      <c r="AD277" s="318"/>
      <c r="AE277" s="318"/>
      <c r="AF277" s="318"/>
      <c r="AG277" s="318"/>
      <c r="AH277" s="318"/>
      <c r="AI277" s="318"/>
      <c r="AJ277" s="318"/>
      <c r="AK277" s="318"/>
      <c r="AL277" s="318"/>
      <c r="AM277" s="318"/>
      <c r="AN277" s="318"/>
      <c r="AO277" s="609"/>
    </row>
    <row r="278" spans="1:41">
      <c r="A278" s="947"/>
      <c r="B278" s="948"/>
      <c r="C278" s="949">
        <f t="shared" si="30"/>
        <v>-274</v>
      </c>
      <c r="D278" s="63">
        <f t="shared" si="32"/>
        <v>274</v>
      </c>
      <c r="E278" s="950">
        <v>4145</v>
      </c>
      <c r="F278" s="349" t="str">
        <f>IFERROR(VLOOKUP(Table6[[#This Row],[Player No]],Table10[[No]:[Province]],2,0),"")</f>
        <v xml:space="preserve">JOHANESSEN Antonio </v>
      </c>
      <c r="G278" s="65" t="str">
        <f>IFERROR(VLOOKUP(Table6[[#This Row],[Player No]],Table10[[No]:[Province]],3,0),"")</f>
        <v>CT</v>
      </c>
      <c r="H278" s="66">
        <v>0</v>
      </c>
      <c r="I278" s="644">
        <v>1</v>
      </c>
      <c r="J278" s="819">
        <f>Table6[[#This Row],[Points 2025]]/2+SUM(Table6[[#This Row],[O1  ADMIN 2026]:[P2                           CT Open    2026]])</f>
        <v>0.5</v>
      </c>
      <c r="K278" s="63">
        <f t="shared" si="31"/>
        <v>0</v>
      </c>
      <c r="L278" s="63">
        <f t="shared" si="29"/>
        <v>0</v>
      </c>
      <c r="M278" s="442"/>
      <c r="N278" s="830" t="s">
        <v>6083</v>
      </c>
      <c r="O278" s="830" t="s">
        <v>6083</v>
      </c>
      <c r="P278" s="830"/>
      <c r="Q278" s="329"/>
      <c r="R278" s="329"/>
      <c r="S278" s="329"/>
      <c r="T278" s="329"/>
      <c r="U278" s="329"/>
      <c r="V278" s="329"/>
      <c r="W278" s="329"/>
      <c r="X278" s="642"/>
      <c r="Y278" s="329"/>
      <c r="Z278" s="642"/>
      <c r="AA278" s="329"/>
      <c r="AB278" s="408"/>
      <c r="AC278" s="329"/>
      <c r="AD278" s="329">
        <v>1</v>
      </c>
      <c r="AE278" s="329"/>
      <c r="AF278" s="329"/>
      <c r="AG278" s="329"/>
      <c r="AH278" s="329"/>
      <c r="AI278" s="329"/>
      <c r="AJ278" s="329"/>
      <c r="AK278" s="329"/>
      <c r="AL278" s="329"/>
      <c r="AM278" s="329"/>
      <c r="AN278" s="329"/>
      <c r="AO278" s="951"/>
    </row>
    <row r="279" spans="1:41">
      <c r="A279" s="347"/>
      <c r="B279" s="337"/>
      <c r="C279" s="338">
        <f t="shared" si="30"/>
        <v>-275</v>
      </c>
      <c r="D279" s="63">
        <f t="shared" si="32"/>
        <v>275</v>
      </c>
      <c r="E279" s="348">
        <v>4180</v>
      </c>
      <c r="F279" s="349" t="str">
        <f>IFERROR(VLOOKUP(Table6[[#This Row],[Player No]],Table10[[No]:[Province]],2,0),"")</f>
        <v>Jihan JACOBS</v>
      </c>
      <c r="G279" s="65" t="str">
        <f>IFERROR(VLOOKUP(Table6[[#This Row],[Player No]],Table10[[No]:[Province]],3,0),"")</f>
        <v>CT</v>
      </c>
      <c r="H279" s="66">
        <v>0</v>
      </c>
      <c r="I279" s="644">
        <v>1</v>
      </c>
      <c r="J279" s="819">
        <f>Table6[[#This Row],[Points 2025]]/2+SUM(Table6[[#This Row],[O1  ADMIN 2026]:[P2                           CT Open    2026]])</f>
        <v>0.5</v>
      </c>
      <c r="K279" s="63">
        <f t="shared" si="31"/>
        <v>0</v>
      </c>
      <c r="L279" s="63">
        <f t="shared" si="29"/>
        <v>0</v>
      </c>
      <c r="M279" s="708"/>
      <c r="N279" s="826" t="s">
        <v>6083</v>
      </c>
      <c r="O279" s="826" t="s">
        <v>6083</v>
      </c>
      <c r="P279" s="826"/>
      <c r="Q279" s="321"/>
      <c r="R279" s="321"/>
      <c r="S279" s="321"/>
      <c r="T279" s="321"/>
      <c r="U279" s="321"/>
      <c r="V279" s="321"/>
      <c r="W279" s="321"/>
      <c r="X279" s="711"/>
      <c r="Y279" s="321"/>
      <c r="Z279" s="637"/>
      <c r="AA279" s="321"/>
      <c r="AB279" s="405"/>
      <c r="AC279" s="321"/>
      <c r="AD279" s="321">
        <v>1</v>
      </c>
      <c r="AE279" s="321"/>
      <c r="AF279" s="321"/>
      <c r="AG279" s="321"/>
      <c r="AH279" s="321"/>
      <c r="AI279" s="321"/>
      <c r="AJ279" s="321"/>
      <c r="AK279" s="321"/>
      <c r="AL279" s="321"/>
      <c r="AM279" s="321"/>
      <c r="AN279" s="321"/>
      <c r="AO279" s="705"/>
    </row>
    <row r="280" spans="1:41">
      <c r="A280" s="364"/>
      <c r="B280" s="372"/>
      <c r="C280" s="356">
        <f t="shared" si="30"/>
        <v>-276</v>
      </c>
      <c r="D280" s="63">
        <f t="shared" si="32"/>
        <v>276</v>
      </c>
      <c r="E280" s="676">
        <v>4341</v>
      </c>
      <c r="F280" s="349" t="str">
        <f>IFERROR(VLOOKUP(Table6[[#This Row],[Player No]],Table10[[No]:[Province]],2,0),"")</f>
        <v>GOVENDER Ethan</v>
      </c>
      <c r="G280" s="65" t="str">
        <f>IFERROR(VLOOKUP(Table6[[#This Row],[Player No]],Table10[[No]:[Province]],3,0),"")</f>
        <v>ETTA</v>
      </c>
      <c r="H280" s="66">
        <v>0</v>
      </c>
      <c r="I280" s="644">
        <v>1</v>
      </c>
      <c r="J280" s="819">
        <f>Table6[[#This Row],[Points 2025]]/2+SUM(Table6[[#This Row],[O1  ADMIN 2026]:[P2                           CT Open    2026]])</f>
        <v>0.5</v>
      </c>
      <c r="K280" s="63">
        <f t="shared" si="31"/>
        <v>0</v>
      </c>
      <c r="L280" s="63">
        <f t="shared" si="29"/>
        <v>0</v>
      </c>
      <c r="M280" s="708"/>
      <c r="N280" s="828" t="s">
        <v>6083</v>
      </c>
      <c r="O280" s="828" t="s">
        <v>6083</v>
      </c>
      <c r="P280" s="828"/>
      <c r="Q280" s="357"/>
      <c r="R280" s="357"/>
      <c r="S280" s="357"/>
      <c r="T280" s="357">
        <v>1</v>
      </c>
      <c r="U280" s="357"/>
      <c r="V280" s="357"/>
      <c r="W280" s="357"/>
      <c r="X280" s="738"/>
      <c r="Y280" s="357"/>
      <c r="Z280" s="639"/>
      <c r="AA280" s="357"/>
      <c r="AB280" s="406"/>
      <c r="AC280" s="357"/>
      <c r="AD280" s="357"/>
      <c r="AE280" s="357"/>
      <c r="AF280" s="357"/>
      <c r="AG280" s="357"/>
      <c r="AH280" s="357"/>
      <c r="AI280" s="357"/>
      <c r="AJ280" s="357"/>
      <c r="AK280" s="357"/>
      <c r="AL280" s="357"/>
      <c r="AM280" s="357"/>
      <c r="AN280" s="357"/>
      <c r="AO280" s="395"/>
    </row>
    <row r="281" spans="1:41">
      <c r="A281" s="364"/>
      <c r="B281" s="372"/>
      <c r="C281" s="356">
        <f t="shared" si="30"/>
        <v>-277</v>
      </c>
      <c r="D281" s="63">
        <f t="shared" si="32"/>
        <v>277</v>
      </c>
      <c r="E281" s="676">
        <v>4353</v>
      </c>
      <c r="F281" s="349" t="str">
        <f>IFERROR(VLOOKUP(Table6[[#This Row],[Player No]],Table10[[No]:[Province]],2,0),"")</f>
        <v>MOODLEY Kiashan</v>
      </c>
      <c r="G281" s="65" t="str">
        <f>IFERROR(VLOOKUP(Table6[[#This Row],[Player No]],Table10[[No]:[Province]],3,0),"")</f>
        <v>ETTA</v>
      </c>
      <c r="H281" s="66">
        <v>0</v>
      </c>
      <c r="I281" s="644">
        <v>1</v>
      </c>
      <c r="J281" s="819">
        <f>Table6[[#This Row],[Points 2025]]/2+SUM(Table6[[#This Row],[O1  ADMIN 2026]:[P2                           CT Open    2026]])</f>
        <v>0.5</v>
      </c>
      <c r="K281" s="63">
        <f t="shared" si="31"/>
        <v>0</v>
      </c>
      <c r="L281" s="63">
        <f t="shared" si="29"/>
        <v>0</v>
      </c>
      <c r="M281" s="708"/>
      <c r="N281" s="828" t="s">
        <v>6083</v>
      </c>
      <c r="O281" s="828" t="s">
        <v>6083</v>
      </c>
      <c r="P281" s="828"/>
      <c r="Q281" s="357"/>
      <c r="R281" s="357"/>
      <c r="S281" s="357"/>
      <c r="T281" s="357">
        <v>1</v>
      </c>
      <c r="U281" s="357"/>
      <c r="V281" s="357"/>
      <c r="W281" s="357"/>
      <c r="X281" s="738"/>
      <c r="Y281" s="357"/>
      <c r="Z281" s="639"/>
      <c r="AA281" s="357"/>
      <c r="AB281" s="406"/>
      <c r="AC281" s="357"/>
      <c r="AD281" s="357"/>
      <c r="AE281" s="357"/>
      <c r="AF281" s="357"/>
      <c r="AG281" s="357"/>
      <c r="AH281" s="357"/>
      <c r="AI281" s="357"/>
      <c r="AJ281" s="357"/>
      <c r="AK281" s="357"/>
      <c r="AL281" s="357"/>
      <c r="AM281" s="357"/>
      <c r="AN281" s="357"/>
      <c r="AO281" s="395"/>
    </row>
    <row r="282" spans="1:41">
      <c r="A282" s="136">
        <f>IFERROR(VLOOKUP(Table6[[#This Row],[Player No]],Table10[[#All],[No]:[Age Group]],4,0),"")</f>
        <v>0</v>
      </c>
      <c r="B282" s="113">
        <v>136</v>
      </c>
      <c r="C282" s="115">
        <f t="shared" si="30"/>
        <v>-142</v>
      </c>
      <c r="D282" s="63">
        <f t="shared" si="32"/>
        <v>278</v>
      </c>
      <c r="E282" s="114">
        <v>4396</v>
      </c>
      <c r="F282" s="151" t="str">
        <f>IFERROR(VLOOKUP(Table6[[#This Row],[Player No]],Table10[[No]:[Province]],2,0),"")</f>
        <v>Tinashe DZVAKA</v>
      </c>
      <c r="G282" s="65" t="str">
        <f>IFERROR(VLOOKUP(Table6[[#This Row],[Player No]],Table10[[No]:[Province]],3,0),"")</f>
        <v>BOT</v>
      </c>
      <c r="H282" s="66">
        <v>0</v>
      </c>
      <c r="I282" s="644">
        <v>1</v>
      </c>
      <c r="J282" s="819">
        <f>Table6[[#This Row],[Points 2025]]/2+SUM(Table6[[#This Row],[O1  ADMIN 2026]:[P2                           CT Open    2026]])</f>
        <v>0.5</v>
      </c>
      <c r="K282" s="63">
        <f t="shared" si="31"/>
        <v>0</v>
      </c>
      <c r="L282" s="63">
        <f t="shared" si="29"/>
        <v>0</v>
      </c>
      <c r="M282" s="708"/>
      <c r="N282" s="708" t="s">
        <v>6083</v>
      </c>
      <c r="O282" s="708" t="s">
        <v>6083</v>
      </c>
      <c r="P282" s="708"/>
      <c r="Q282" s="114"/>
      <c r="R282" s="114"/>
      <c r="S282" s="114"/>
      <c r="T282" s="114"/>
      <c r="U282" s="114"/>
      <c r="V282" s="114"/>
      <c r="W282" s="114"/>
      <c r="X282" s="708"/>
      <c r="Y282" s="114"/>
      <c r="Z282" s="636"/>
      <c r="AA282" s="114"/>
      <c r="AB282" s="400"/>
      <c r="AC282" s="114">
        <v>1</v>
      </c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27"/>
    </row>
    <row r="283" spans="1:41">
      <c r="A283" s="1074"/>
      <c r="B283" s="953"/>
      <c r="C283" s="195" t="e">
        <v>#VALUE!</v>
      </c>
      <c r="D283" s="63">
        <f t="shared" si="32"/>
        <v>279</v>
      </c>
      <c r="E283" s="189">
        <v>4405</v>
      </c>
      <c r="F283" s="151" t="str">
        <f>IFERROR(VLOOKUP(Table6[[#This Row],[Player No]],Table10[[No]:[Province]],2,0),"")</f>
        <v>MAREE Jacobus</v>
      </c>
      <c r="G283" s="65" t="str">
        <f>IFERROR(VLOOKUP(Table6[[#This Row],[Player No]],Table10[[No]:[Province]],3,0),"")</f>
        <v>GN</v>
      </c>
      <c r="H283" s="86">
        <v>0</v>
      </c>
      <c r="I283" s="644">
        <v>1</v>
      </c>
      <c r="J283" s="819">
        <f>Table6[[#This Row],[Points 2025]]/2+SUM(Table6[[#This Row],[O1  ADMIN 2026]:[P2                           CT Open    2026]])</f>
        <v>0.5</v>
      </c>
      <c r="K283" s="63">
        <f t="shared" si="31"/>
        <v>0</v>
      </c>
      <c r="L283" s="63">
        <f t="shared" si="29"/>
        <v>0</v>
      </c>
      <c r="M283" s="442"/>
      <c r="N283" s="442" t="s">
        <v>6083</v>
      </c>
      <c r="O283" s="442" t="s">
        <v>6083</v>
      </c>
      <c r="P283" s="442"/>
      <c r="Q283" s="189"/>
      <c r="R283" s="189"/>
      <c r="S283" s="189"/>
      <c r="T283" s="189"/>
      <c r="U283" s="189"/>
      <c r="V283" s="189"/>
      <c r="W283" s="189"/>
      <c r="X283" s="442"/>
      <c r="Y283" s="189"/>
      <c r="Z283" s="442"/>
      <c r="AA283" s="189"/>
      <c r="AB283" s="401"/>
      <c r="AC283" s="189">
        <v>1</v>
      </c>
      <c r="AD283" s="189"/>
      <c r="AE283" s="189"/>
      <c r="AF283" s="189"/>
      <c r="AG283" s="189"/>
      <c r="AH283" s="189"/>
      <c r="AI283" s="1083"/>
      <c r="AJ283" s="1083"/>
      <c r="AK283" s="1083"/>
      <c r="AL283" s="1083"/>
      <c r="AM283" s="1083"/>
      <c r="AN283" s="1083"/>
      <c r="AO283" s="1085"/>
    </row>
    <row r="284" spans="1:41">
      <c r="A284" s="1074"/>
      <c r="B284" s="953"/>
      <c r="C284" s="195" t="e">
        <v>#VALUE!</v>
      </c>
      <c r="D284" s="63">
        <f t="shared" si="32"/>
        <v>280</v>
      </c>
      <c r="E284" s="189">
        <v>4407</v>
      </c>
      <c r="F284" s="151" t="str">
        <f>IFERROR(VLOOKUP(Table6[[#This Row],[Player No]],Table10[[No]:[Province]],2,0),"")</f>
        <v>ROUX Markus</v>
      </c>
      <c r="G284" s="65" t="str">
        <f>IFERROR(VLOOKUP(Table6[[#This Row],[Player No]],Table10[[No]:[Province]],3,0),"")</f>
        <v>GN</v>
      </c>
      <c r="H284" s="86">
        <v>0</v>
      </c>
      <c r="I284" s="644">
        <v>1</v>
      </c>
      <c r="J284" s="819">
        <f>Table6[[#This Row],[Points 2025]]/2+SUM(Table6[[#This Row],[O1  ADMIN 2026]:[P2                           CT Open    2026]])</f>
        <v>0.5</v>
      </c>
      <c r="K284" s="63">
        <f t="shared" si="31"/>
        <v>0</v>
      </c>
      <c r="L284" s="63">
        <f t="shared" si="29"/>
        <v>0</v>
      </c>
      <c r="M284" s="442"/>
      <c r="N284" s="442" t="s">
        <v>6083</v>
      </c>
      <c r="O284" s="442" t="s">
        <v>6083</v>
      </c>
      <c r="P284" s="442"/>
      <c r="Q284" s="189"/>
      <c r="R284" s="189"/>
      <c r="S284" s="189"/>
      <c r="T284" s="189"/>
      <c r="U284" s="189"/>
      <c r="V284" s="189"/>
      <c r="W284" s="189"/>
      <c r="X284" s="442"/>
      <c r="Y284" s="189"/>
      <c r="Z284" s="442"/>
      <c r="AA284" s="189"/>
      <c r="AB284" s="401"/>
      <c r="AC284" s="189">
        <v>1</v>
      </c>
      <c r="AD284" s="189"/>
      <c r="AE284" s="189"/>
      <c r="AF284" s="189"/>
      <c r="AG284" s="189"/>
      <c r="AH284" s="189"/>
      <c r="AI284" s="1083"/>
      <c r="AJ284" s="1083"/>
      <c r="AK284" s="1083"/>
      <c r="AL284" s="1083"/>
      <c r="AM284" s="1083"/>
      <c r="AN284" s="1083"/>
      <c r="AO284" s="1085"/>
    </row>
    <row r="285" spans="1:41">
      <c r="A285" s="180"/>
      <c r="B285" s="190"/>
      <c r="C285" s="195">
        <f t="shared" ref="C285:C299" si="33">+B285-D285</f>
        <v>-281</v>
      </c>
      <c r="D285" s="63">
        <f t="shared" si="32"/>
        <v>281</v>
      </c>
      <c r="E285" s="293">
        <v>4453</v>
      </c>
      <c r="F285" s="151" t="str">
        <f>IFERROR(VLOOKUP(Table6[[#This Row],[Player No]],Table10[[No]:[Province]],2,0),"")</f>
        <v>Darshan SINGH</v>
      </c>
      <c r="G285" s="65" t="str">
        <f>IFERROR(VLOOKUP(Table6[[#This Row],[Player No]],Table10[[No]:[Province]],3,0),"")</f>
        <v>JTTA</v>
      </c>
      <c r="H285" s="66">
        <v>0</v>
      </c>
      <c r="I285" s="644">
        <v>1</v>
      </c>
      <c r="J285" s="819">
        <f>Table6[[#This Row],[Points 2025]]/2+SUM(Table6[[#This Row],[O1  ADMIN 2026]:[P2                           CT Open    2026]])</f>
        <v>0.5</v>
      </c>
      <c r="K285" s="63">
        <f t="shared" si="31"/>
        <v>0</v>
      </c>
      <c r="L285" s="63">
        <f t="shared" si="29"/>
        <v>0</v>
      </c>
      <c r="M285" s="442"/>
      <c r="N285" s="736" t="s">
        <v>6083</v>
      </c>
      <c r="O285" s="736" t="s">
        <v>6083</v>
      </c>
      <c r="P285" s="736"/>
      <c r="Q285" s="189"/>
      <c r="R285" s="189"/>
      <c r="S285" s="189"/>
      <c r="T285" s="189"/>
      <c r="U285" s="189"/>
      <c r="V285" s="189"/>
      <c r="W285" s="189"/>
      <c r="X285" s="442"/>
      <c r="Y285" s="189">
        <v>1</v>
      </c>
      <c r="Z285" s="442"/>
      <c r="AA285" s="189"/>
      <c r="AB285" s="401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34"/>
    </row>
    <row r="286" spans="1:41">
      <c r="A286" s="347"/>
      <c r="B286" s="337"/>
      <c r="C286" s="338">
        <f t="shared" si="33"/>
        <v>-282</v>
      </c>
      <c r="D286" s="63">
        <f t="shared" si="32"/>
        <v>282</v>
      </c>
      <c r="E286" s="348">
        <v>4473</v>
      </c>
      <c r="F286" s="349" t="str">
        <f>IFERROR(VLOOKUP(Table6[[#This Row],[Player No]],Table10[[No]:[Province]],2,0),"")</f>
        <v>NKHOANE Kamohelo</v>
      </c>
      <c r="G286" s="65" t="str">
        <f>IFERROR(VLOOKUP(Table6[[#This Row],[Player No]],Table10[[No]:[Province]],3,0),"")</f>
        <v>FS</v>
      </c>
      <c r="H286" s="66">
        <v>0</v>
      </c>
      <c r="I286" s="644">
        <v>1</v>
      </c>
      <c r="J286" s="819">
        <f>Table6[[#This Row],[Points 2025]]/2+SUM(Table6[[#This Row],[O1  ADMIN 2026]:[P2                           CT Open    2026]])</f>
        <v>0.5</v>
      </c>
      <c r="K286" s="63">
        <f t="shared" si="31"/>
        <v>0</v>
      </c>
      <c r="L286" s="63">
        <f t="shared" si="29"/>
        <v>0</v>
      </c>
      <c r="M286" s="708"/>
      <c r="N286" s="826" t="s">
        <v>6083</v>
      </c>
      <c r="O286" s="826" t="s">
        <v>6083</v>
      </c>
      <c r="P286" s="826"/>
      <c r="Q286" s="321"/>
      <c r="R286" s="321"/>
      <c r="S286" s="321"/>
      <c r="T286" s="329"/>
      <c r="U286" s="321"/>
      <c r="V286" s="321">
        <v>1</v>
      </c>
      <c r="W286" s="321"/>
      <c r="X286" s="711"/>
      <c r="Y286" s="321"/>
      <c r="Z286" s="637"/>
      <c r="AA286" s="321"/>
      <c r="AB286" s="405"/>
      <c r="AC286" s="321"/>
      <c r="AD286" s="321"/>
      <c r="AE286" s="321"/>
      <c r="AF286" s="321"/>
      <c r="AG286" s="321"/>
      <c r="AH286" s="321"/>
      <c r="AI286" s="321"/>
      <c r="AJ286" s="321"/>
      <c r="AK286" s="321"/>
      <c r="AL286" s="321"/>
      <c r="AM286" s="321"/>
      <c r="AN286" s="321"/>
      <c r="AO286" s="705"/>
    </row>
    <row r="287" spans="1:41">
      <c r="A287" s="347"/>
      <c r="B287" s="337"/>
      <c r="C287" s="338">
        <f t="shared" si="33"/>
        <v>-283</v>
      </c>
      <c r="D287" s="63">
        <f t="shared" si="32"/>
        <v>283</v>
      </c>
      <c r="E287" s="348">
        <v>4574</v>
      </c>
      <c r="F287" s="349" t="str">
        <f>IFERROR(VLOOKUP(Table6[[#This Row],[Player No]],Table10[[No]:[Province]],2,0),"")</f>
        <v>Lehohonolo NOVEMBER</v>
      </c>
      <c r="G287" s="65" t="str">
        <f>IFERROR(VLOOKUP(Table6[[#This Row],[Player No]],Table10[[No]:[Province]],3,0),"")</f>
        <v>FS</v>
      </c>
      <c r="H287" s="66">
        <v>0</v>
      </c>
      <c r="I287" s="644">
        <v>1</v>
      </c>
      <c r="J287" s="819">
        <f>Table6[[#This Row],[Points 2025]]/2+SUM(Table6[[#This Row],[O1  ADMIN 2026]:[P2                           CT Open    2026]])</f>
        <v>0.5</v>
      </c>
      <c r="K287" s="63">
        <f t="shared" si="31"/>
        <v>0</v>
      </c>
      <c r="L287" s="63">
        <f t="shared" si="29"/>
        <v>0</v>
      </c>
      <c r="M287" s="708"/>
      <c r="N287" s="826" t="s">
        <v>6083</v>
      </c>
      <c r="O287" s="826" t="s">
        <v>6083</v>
      </c>
      <c r="P287" s="826"/>
      <c r="Q287" s="321"/>
      <c r="R287" s="321"/>
      <c r="S287" s="321"/>
      <c r="T287" s="329"/>
      <c r="U287" s="321"/>
      <c r="V287" s="321">
        <v>1</v>
      </c>
      <c r="W287" s="321"/>
      <c r="X287" s="711"/>
      <c r="Y287" s="321"/>
      <c r="Z287" s="637"/>
      <c r="AA287" s="321"/>
      <c r="AB287" s="405"/>
      <c r="AC287" s="321"/>
      <c r="AD287" s="321"/>
      <c r="AE287" s="321"/>
      <c r="AF287" s="321"/>
      <c r="AG287" s="321"/>
      <c r="AH287" s="321"/>
      <c r="AI287" s="321"/>
      <c r="AJ287" s="321"/>
      <c r="AK287" s="321"/>
      <c r="AL287" s="321"/>
      <c r="AM287" s="321"/>
      <c r="AN287" s="321"/>
      <c r="AO287" s="705"/>
    </row>
    <row r="288" spans="1:41">
      <c r="A288" s="364"/>
      <c r="B288" s="372"/>
      <c r="C288" s="356">
        <f t="shared" si="33"/>
        <v>-284</v>
      </c>
      <c r="D288" s="63">
        <f t="shared" si="32"/>
        <v>284</v>
      </c>
      <c r="E288" s="676">
        <v>4584</v>
      </c>
      <c r="F288" s="349" t="str">
        <f>IFERROR(VLOOKUP(Table6[[#This Row],[Player No]],Table10[[No]:[Province]],2,0),"")</f>
        <v>NAIDOO Christian</v>
      </c>
      <c r="G288" s="65" t="str">
        <f>IFERROR(VLOOKUP(Table6[[#This Row],[Player No]],Table10[[No]:[Province]],3,0),"")</f>
        <v>ETTA</v>
      </c>
      <c r="H288" s="66">
        <v>0</v>
      </c>
      <c r="I288" s="644">
        <v>1</v>
      </c>
      <c r="J288" s="819">
        <f>Table6[[#This Row],[Points 2025]]/2+SUM(Table6[[#This Row],[O1  ADMIN 2026]:[P2                           CT Open    2026]])</f>
        <v>0.5</v>
      </c>
      <c r="K288" s="63">
        <f t="shared" si="31"/>
        <v>0</v>
      </c>
      <c r="L288" s="63">
        <f t="shared" ref="L288:L319" si="34">COUNTIF(N288:AO288,"&lt;0")</f>
        <v>0</v>
      </c>
      <c r="M288" s="708"/>
      <c r="N288" s="828" t="s">
        <v>6083</v>
      </c>
      <c r="O288" s="828" t="s">
        <v>6083</v>
      </c>
      <c r="P288" s="828"/>
      <c r="Q288" s="357"/>
      <c r="R288" s="357"/>
      <c r="S288" s="357"/>
      <c r="T288" s="354">
        <v>1</v>
      </c>
      <c r="U288" s="357"/>
      <c r="V288" s="357"/>
      <c r="W288" s="357"/>
      <c r="X288" s="738"/>
      <c r="Y288" s="357"/>
      <c r="Z288" s="639"/>
      <c r="AA288" s="357"/>
      <c r="AB288" s="406"/>
      <c r="AC288" s="357"/>
      <c r="AD288" s="357"/>
      <c r="AE288" s="357"/>
      <c r="AF288" s="357"/>
      <c r="AG288" s="357"/>
      <c r="AH288" s="357"/>
      <c r="AI288" s="357"/>
      <c r="AJ288" s="357"/>
      <c r="AK288" s="357"/>
      <c r="AL288" s="357"/>
      <c r="AM288" s="357"/>
      <c r="AN288" s="357"/>
      <c r="AO288" s="395"/>
    </row>
    <row r="289" spans="1:41">
      <c r="A289" s="364"/>
      <c r="B289" s="372"/>
      <c r="C289" s="356">
        <f t="shared" si="33"/>
        <v>-285</v>
      </c>
      <c r="D289" s="63">
        <f t="shared" si="32"/>
        <v>285</v>
      </c>
      <c r="E289" s="676">
        <v>4588</v>
      </c>
      <c r="F289" s="349" t="str">
        <f>IFERROR(VLOOKUP(Table6[[#This Row],[Player No]],Table10[[No]:[Province]],2,0),"")</f>
        <v>MADAREE Nikhil</v>
      </c>
      <c r="G289" s="65" t="str">
        <f>IFERROR(VLOOKUP(Table6[[#This Row],[Player No]],Table10[[No]:[Province]],3,0),"")</f>
        <v>ETTA</v>
      </c>
      <c r="H289" s="66">
        <v>0</v>
      </c>
      <c r="I289" s="644">
        <v>1</v>
      </c>
      <c r="J289" s="819">
        <f>Table6[[#This Row],[Points 2025]]/2+SUM(Table6[[#This Row],[O1  ADMIN 2026]:[P2                           CT Open    2026]])</f>
        <v>0.5</v>
      </c>
      <c r="K289" s="63">
        <f t="shared" si="31"/>
        <v>0</v>
      </c>
      <c r="L289" s="63">
        <f t="shared" si="34"/>
        <v>0</v>
      </c>
      <c r="M289" s="708"/>
      <c r="N289" s="828" t="s">
        <v>6083</v>
      </c>
      <c r="O289" s="828" t="s">
        <v>6083</v>
      </c>
      <c r="P289" s="828"/>
      <c r="Q289" s="357"/>
      <c r="R289" s="357"/>
      <c r="S289" s="357"/>
      <c r="T289" s="354">
        <v>1</v>
      </c>
      <c r="U289" s="357"/>
      <c r="V289" s="357"/>
      <c r="W289" s="357"/>
      <c r="X289" s="738"/>
      <c r="Y289" s="357"/>
      <c r="Z289" s="639"/>
      <c r="AA289" s="357"/>
      <c r="AB289" s="406"/>
      <c r="AC289" s="357"/>
      <c r="AD289" s="357"/>
      <c r="AE289" s="357"/>
      <c r="AF289" s="357"/>
      <c r="AG289" s="357"/>
      <c r="AH289" s="357"/>
      <c r="AI289" s="357"/>
      <c r="AJ289" s="357"/>
      <c r="AK289" s="357"/>
      <c r="AL289" s="357"/>
      <c r="AM289" s="357"/>
      <c r="AN289" s="357"/>
      <c r="AO289" s="395"/>
    </row>
    <row r="290" spans="1:41">
      <c r="A290" s="347"/>
      <c r="B290" s="337"/>
      <c r="C290" s="338">
        <f t="shared" si="33"/>
        <v>-286</v>
      </c>
      <c r="D290" s="63">
        <f t="shared" si="32"/>
        <v>286</v>
      </c>
      <c r="E290" s="348">
        <v>4595</v>
      </c>
      <c r="F290" s="349" t="str">
        <f>IFERROR(VLOOKUP(Table6[[#This Row],[Player No]],Table10[[No]:[Province]],2,0),"")</f>
        <v xml:space="preserve">MADIVATinotenda Michael </v>
      </c>
      <c r="G290" s="65" t="str">
        <f>IFERROR(VLOOKUP(Table6[[#This Row],[Player No]],Table10[[No]:[Province]],3,0),"")</f>
        <v>ZIM</v>
      </c>
      <c r="H290" s="66">
        <v>0</v>
      </c>
      <c r="I290" s="644">
        <v>1</v>
      </c>
      <c r="J290" s="819">
        <f>Table6[[#This Row],[Points 2025]]/2+SUM(Table6[[#This Row],[O1  ADMIN 2026]:[P2                           CT Open    2026]])</f>
        <v>0.5</v>
      </c>
      <c r="K290" s="63">
        <f t="shared" si="31"/>
        <v>0</v>
      </c>
      <c r="L290" s="63">
        <f t="shared" si="34"/>
        <v>0</v>
      </c>
      <c r="M290" s="708"/>
      <c r="N290" s="826" t="s">
        <v>6083</v>
      </c>
      <c r="O290" s="826" t="s">
        <v>6083</v>
      </c>
      <c r="P290" s="826"/>
      <c r="Q290" s="321"/>
      <c r="R290" s="321"/>
      <c r="S290" s="321"/>
      <c r="T290" s="329"/>
      <c r="U290" s="321"/>
      <c r="V290" s="321"/>
      <c r="W290" s="321"/>
      <c r="X290" s="711"/>
      <c r="Y290" s="321"/>
      <c r="Z290" s="637"/>
      <c r="AA290" s="321"/>
      <c r="AB290" s="405"/>
      <c r="AC290" s="321"/>
      <c r="AD290" s="321">
        <v>1</v>
      </c>
      <c r="AE290" s="321"/>
      <c r="AF290" s="321"/>
      <c r="AG290" s="321"/>
      <c r="AH290" s="321"/>
      <c r="AI290" s="321"/>
      <c r="AJ290" s="321"/>
      <c r="AK290" s="321"/>
      <c r="AL290" s="321"/>
      <c r="AM290" s="321"/>
      <c r="AN290" s="321"/>
      <c r="AO290" s="705"/>
    </row>
    <row r="291" spans="1:41">
      <c r="A291" s="295"/>
      <c r="B291" s="113"/>
      <c r="C291" s="115">
        <f t="shared" si="33"/>
        <v>-287</v>
      </c>
      <c r="D291" s="63">
        <f t="shared" si="32"/>
        <v>287</v>
      </c>
      <c r="E291" s="330">
        <v>4615</v>
      </c>
      <c r="F291" s="349" t="str">
        <f>IFERROR(VLOOKUP(Table6[[#This Row],[Player No]],Table10[[No]:[Province]],2,0),"")</f>
        <v xml:space="preserve">MGENGE Sphephelo </v>
      </c>
      <c r="G291" s="65" t="str">
        <f>IFERROR(VLOOKUP(Table6[[#This Row],[Player No]],Table10[[No]:[Province]],3,0),"")</f>
        <v>ETTA</v>
      </c>
      <c r="H291" s="66">
        <v>0</v>
      </c>
      <c r="I291" s="644">
        <v>1</v>
      </c>
      <c r="J291" s="819">
        <f>Table6[[#This Row],[Points 2025]]/2+SUM(Table6[[#This Row],[O1  ADMIN 2026]:[P2                           CT Open    2026]])</f>
        <v>0.5</v>
      </c>
      <c r="K291" s="63">
        <f t="shared" si="31"/>
        <v>0</v>
      </c>
      <c r="L291" s="63">
        <f t="shared" si="34"/>
        <v>0</v>
      </c>
      <c r="M291" s="708"/>
      <c r="N291" s="827" t="s">
        <v>6083</v>
      </c>
      <c r="O291" s="827" t="s">
        <v>6083</v>
      </c>
      <c r="P291" s="827"/>
      <c r="Q291" s="114"/>
      <c r="R291" s="114"/>
      <c r="S291" s="114">
        <v>1</v>
      </c>
      <c r="T291" s="189"/>
      <c r="U291" s="114"/>
      <c r="V291" s="114"/>
      <c r="W291" s="114"/>
      <c r="X291" s="708"/>
      <c r="Y291" s="114"/>
      <c r="Z291" s="636"/>
      <c r="AA291" s="114"/>
      <c r="AB291" s="400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27"/>
    </row>
    <row r="292" spans="1:41">
      <c r="A292" s="295"/>
      <c r="B292" s="113"/>
      <c r="C292" s="115">
        <f t="shared" si="33"/>
        <v>-288</v>
      </c>
      <c r="D292" s="63">
        <f t="shared" si="32"/>
        <v>288</v>
      </c>
      <c r="E292" s="330">
        <v>4616</v>
      </c>
      <c r="F292" s="349" t="str">
        <f>IFERROR(VLOOKUP(Table6[[#This Row],[Player No]],Table10[[No]:[Province]],2,0),"")</f>
        <v xml:space="preserve">NGEWU Samkelo </v>
      </c>
      <c r="G292" s="65" t="str">
        <f>IFERROR(VLOOKUP(Table6[[#This Row],[Player No]],Table10[[No]:[Province]],3,0),"")</f>
        <v>ETTA</v>
      </c>
      <c r="H292" s="66">
        <v>0</v>
      </c>
      <c r="I292" s="644">
        <v>1</v>
      </c>
      <c r="J292" s="819">
        <f>Table6[[#This Row],[Points 2025]]/2+SUM(Table6[[#This Row],[O1  ADMIN 2026]:[P2                           CT Open    2026]])</f>
        <v>0.5</v>
      </c>
      <c r="K292" s="63">
        <f t="shared" si="31"/>
        <v>0</v>
      </c>
      <c r="L292" s="63">
        <f t="shared" si="34"/>
        <v>0</v>
      </c>
      <c r="M292" s="708"/>
      <c r="N292" s="827" t="s">
        <v>6083</v>
      </c>
      <c r="O292" s="827" t="s">
        <v>6083</v>
      </c>
      <c r="P292" s="827"/>
      <c r="Q292" s="114"/>
      <c r="R292" s="114"/>
      <c r="S292" s="114">
        <v>1</v>
      </c>
      <c r="T292" s="189"/>
      <c r="U292" s="114"/>
      <c r="V292" s="114"/>
      <c r="W292" s="114"/>
      <c r="X292" s="708"/>
      <c r="Y292" s="114"/>
      <c r="Z292" s="636"/>
      <c r="AA292" s="114"/>
      <c r="AB292" s="400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27"/>
    </row>
    <row r="293" spans="1:41">
      <c r="A293" s="295"/>
      <c r="B293" s="113"/>
      <c r="C293" s="115">
        <f t="shared" si="33"/>
        <v>-289</v>
      </c>
      <c r="D293" s="63">
        <f t="shared" si="32"/>
        <v>289</v>
      </c>
      <c r="E293" s="330">
        <v>4668</v>
      </c>
      <c r="F293" s="151" t="str">
        <f>IFERROR(VLOOKUP(Table6[[#This Row],[Player No]],Table10[[No]:[Province]],2,0),"")</f>
        <v>Ovie POTOKRI</v>
      </c>
      <c r="G293" s="65" t="str">
        <f>IFERROR(VLOOKUP(Table6[[#This Row],[Player No]],Table10[[No]:[Province]],3,0),"")</f>
        <v>GN</v>
      </c>
      <c r="H293" s="66">
        <v>0</v>
      </c>
      <c r="I293" s="644">
        <v>1</v>
      </c>
      <c r="J293" s="819">
        <f>Table6[[#This Row],[Points 2025]]/2+SUM(Table6[[#This Row],[O1  ADMIN 2026]:[P2                           CT Open    2026]])</f>
        <v>0.5</v>
      </c>
      <c r="K293" s="63">
        <f t="shared" si="31"/>
        <v>0</v>
      </c>
      <c r="L293" s="63">
        <f t="shared" si="34"/>
        <v>0</v>
      </c>
      <c r="M293" s="708"/>
      <c r="N293" s="827" t="s">
        <v>6083</v>
      </c>
      <c r="O293" s="827" t="s">
        <v>6083</v>
      </c>
      <c r="P293" s="827"/>
      <c r="Q293" s="114"/>
      <c r="R293" s="114"/>
      <c r="S293" s="114"/>
      <c r="T293" s="189"/>
      <c r="U293" s="114"/>
      <c r="V293" s="114"/>
      <c r="W293" s="114"/>
      <c r="X293" s="708"/>
      <c r="Y293" s="114"/>
      <c r="Z293" s="636"/>
      <c r="AA293" s="114"/>
      <c r="AB293" s="400">
        <v>1</v>
      </c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27"/>
    </row>
    <row r="294" spans="1:41">
      <c r="A294" s="295"/>
      <c r="B294" s="113"/>
      <c r="C294" s="115">
        <f t="shared" si="33"/>
        <v>-290</v>
      </c>
      <c r="D294" s="63">
        <f t="shared" si="32"/>
        <v>290</v>
      </c>
      <c r="E294" s="330">
        <v>4680</v>
      </c>
      <c r="F294" s="151" t="str">
        <f>IFERROR(VLOOKUP(Table6[[#This Row],[Player No]],Table10[[No]:[Province]],2,0),"")</f>
        <v>Peroe RAATHS</v>
      </c>
      <c r="G294" s="65" t="str">
        <f>IFERROR(VLOOKUP(Table6[[#This Row],[Player No]],Table10[[No]:[Province]],3,0),"")</f>
        <v>GN</v>
      </c>
      <c r="H294" s="66">
        <v>0</v>
      </c>
      <c r="I294" s="644">
        <v>1</v>
      </c>
      <c r="J294" s="819">
        <f>Table6[[#This Row],[Points 2025]]/2+SUM(Table6[[#This Row],[O1  ADMIN 2026]:[P2                           CT Open    2026]])</f>
        <v>0.5</v>
      </c>
      <c r="K294" s="63">
        <f t="shared" si="31"/>
        <v>0</v>
      </c>
      <c r="L294" s="63">
        <f t="shared" si="34"/>
        <v>0</v>
      </c>
      <c r="M294" s="708"/>
      <c r="N294" s="827" t="s">
        <v>6083</v>
      </c>
      <c r="O294" s="827" t="s">
        <v>6083</v>
      </c>
      <c r="P294" s="827"/>
      <c r="Q294" s="114"/>
      <c r="R294" s="114"/>
      <c r="S294" s="114"/>
      <c r="T294" s="189"/>
      <c r="U294" s="114"/>
      <c r="V294" s="114"/>
      <c r="W294" s="114"/>
      <c r="X294" s="708"/>
      <c r="Y294" s="114"/>
      <c r="Z294" s="636"/>
      <c r="AA294" s="114"/>
      <c r="AB294" s="400">
        <v>1</v>
      </c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27"/>
    </row>
    <row r="295" spans="1:41">
      <c r="A295" s="295"/>
      <c r="B295" s="113"/>
      <c r="C295" s="115">
        <f t="shared" si="33"/>
        <v>-291</v>
      </c>
      <c r="D295" s="63">
        <f t="shared" si="32"/>
        <v>291</v>
      </c>
      <c r="E295" s="330">
        <v>4687</v>
      </c>
      <c r="F295" s="151" t="str">
        <f>IFERROR(VLOOKUP(Table6[[#This Row],[Player No]],Table10[[No]:[Province]],2,0),"")</f>
        <v>Bongani MPOSULA</v>
      </c>
      <c r="G295" s="65" t="str">
        <f>IFERROR(VLOOKUP(Table6[[#This Row],[Player No]],Table10[[No]:[Province]],3,0),"")</f>
        <v>EKU</v>
      </c>
      <c r="H295" s="66">
        <v>0</v>
      </c>
      <c r="I295" s="644">
        <v>1</v>
      </c>
      <c r="J295" s="819">
        <f>Table6[[#This Row],[Points 2025]]/2+SUM(Table6[[#This Row],[O1  ADMIN 2026]:[P2                           CT Open    2026]])</f>
        <v>0.5</v>
      </c>
      <c r="K295" s="63">
        <f t="shared" si="31"/>
        <v>0</v>
      </c>
      <c r="L295" s="63">
        <f t="shared" si="34"/>
        <v>0</v>
      </c>
      <c r="M295" s="708"/>
      <c r="N295" s="827" t="s">
        <v>6083</v>
      </c>
      <c r="O295" s="827" t="s">
        <v>6083</v>
      </c>
      <c r="P295" s="827"/>
      <c r="Q295" s="114"/>
      <c r="R295" s="114"/>
      <c r="S295" s="114"/>
      <c r="T295" s="189"/>
      <c r="U295" s="114"/>
      <c r="V295" s="114"/>
      <c r="W295" s="114"/>
      <c r="X295" s="708"/>
      <c r="Y295" s="114"/>
      <c r="Z295" s="636"/>
      <c r="AA295" s="114"/>
      <c r="AB295" s="400">
        <v>1</v>
      </c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27"/>
    </row>
    <row r="296" spans="1:41">
      <c r="A296" s="295"/>
      <c r="B296" s="113"/>
      <c r="C296" s="115">
        <f t="shared" si="33"/>
        <v>-292</v>
      </c>
      <c r="D296" s="63">
        <f t="shared" si="32"/>
        <v>292</v>
      </c>
      <c r="E296" s="330">
        <v>4688</v>
      </c>
      <c r="F296" s="151" t="str">
        <f>IFERROR(VLOOKUP(Table6[[#This Row],[Player No]],Table10[[No]:[Province]],2,0),"")</f>
        <v>Brandon RWATIRERA</v>
      </c>
      <c r="G296" s="65" t="str">
        <f>IFERROR(VLOOKUP(Table6[[#This Row],[Player No]],Table10[[No]:[Province]],3,0),"")</f>
        <v>GN</v>
      </c>
      <c r="H296" s="66">
        <v>0</v>
      </c>
      <c r="I296" s="644">
        <v>1</v>
      </c>
      <c r="J296" s="819">
        <f>Table6[[#This Row],[Points 2025]]/2+SUM(Table6[[#This Row],[O1  ADMIN 2026]:[P2                           CT Open    2026]])</f>
        <v>0.5</v>
      </c>
      <c r="K296" s="63">
        <f t="shared" si="31"/>
        <v>0</v>
      </c>
      <c r="L296" s="63">
        <f t="shared" si="34"/>
        <v>0</v>
      </c>
      <c r="M296" s="708"/>
      <c r="N296" s="827" t="s">
        <v>6083</v>
      </c>
      <c r="O296" s="827" t="s">
        <v>6083</v>
      </c>
      <c r="P296" s="827"/>
      <c r="Q296" s="114"/>
      <c r="R296" s="114"/>
      <c r="S296" s="114"/>
      <c r="T296" s="189"/>
      <c r="U296" s="114"/>
      <c r="V296" s="114"/>
      <c r="W296" s="114"/>
      <c r="X296" s="708"/>
      <c r="Y296" s="114"/>
      <c r="Z296" s="636"/>
      <c r="AA296" s="114"/>
      <c r="AB296" s="400">
        <v>1</v>
      </c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27"/>
    </row>
    <row r="297" spans="1:41">
      <c r="A297" s="295"/>
      <c r="B297" s="113"/>
      <c r="C297" s="115">
        <f t="shared" si="33"/>
        <v>-293</v>
      </c>
      <c r="D297" s="63">
        <f t="shared" si="32"/>
        <v>293</v>
      </c>
      <c r="E297" s="330">
        <v>4689</v>
      </c>
      <c r="F297" s="151" t="str">
        <f>IFERROR(VLOOKUP(Table6[[#This Row],[Player No]],Table10[[No]:[Province]],2,0),"")</f>
        <v>Thapelo RAMPOU</v>
      </c>
      <c r="G297" s="65" t="str">
        <f>IFERROR(VLOOKUP(Table6[[#This Row],[Player No]],Table10[[No]:[Province]],3,0),"")</f>
        <v>GN</v>
      </c>
      <c r="H297" s="66">
        <v>0</v>
      </c>
      <c r="I297" s="644">
        <v>0.734375</v>
      </c>
      <c r="J297" s="819">
        <f>Table6[[#This Row],[Points 2025]]/2+SUM(Table6[[#This Row],[O1  ADMIN 2026]:[P2                           CT Open    2026]])</f>
        <v>0.3671875</v>
      </c>
      <c r="K297" s="63">
        <f t="shared" si="31"/>
        <v>0</v>
      </c>
      <c r="L297" s="63">
        <f t="shared" si="34"/>
        <v>0</v>
      </c>
      <c r="M297" s="708"/>
      <c r="N297" s="827" t="s">
        <v>6083</v>
      </c>
      <c r="O297" s="827" t="s">
        <v>6083</v>
      </c>
      <c r="P297" s="827"/>
      <c r="Q297" s="114"/>
      <c r="R297" s="114"/>
      <c r="S297" s="114"/>
      <c r="T297" s="189"/>
      <c r="U297" s="114"/>
      <c r="V297" s="114"/>
      <c r="W297" s="114"/>
      <c r="X297" s="708"/>
      <c r="Y297" s="114"/>
      <c r="Z297" s="636"/>
      <c r="AA297" s="114"/>
      <c r="AB297" s="400">
        <v>1</v>
      </c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27"/>
    </row>
    <row r="298" spans="1:41">
      <c r="A298" s="295"/>
      <c r="B298" s="113"/>
      <c r="C298" s="115">
        <f t="shared" si="33"/>
        <v>-294</v>
      </c>
      <c r="D298" s="63">
        <f t="shared" si="32"/>
        <v>294</v>
      </c>
      <c r="E298" s="330">
        <v>4411</v>
      </c>
      <c r="F298" s="151" t="str">
        <f>IFERROR(VLOOKUP(Table6[[#This Row],[Player No]],Table10[[No]:[Province]],2,0),"")</f>
        <v>MIROSLAV Joe</v>
      </c>
      <c r="G298" s="65" t="str">
        <f>IFERROR(VLOOKUP(Table6[[#This Row],[Player No]],Table10[[No]:[Province]],3,0),"")</f>
        <v>JTTA</v>
      </c>
      <c r="H298" s="66">
        <v>0</v>
      </c>
      <c r="I298" s="644">
        <v>0.625</v>
      </c>
      <c r="J298" s="819">
        <f>Table6[[#This Row],[Points 2025]]/2+SUM(Table6[[#This Row],[O1  ADMIN 2026]:[P2                           CT Open    2026]])</f>
        <v>0.3125</v>
      </c>
      <c r="K298" s="63">
        <f t="shared" si="31"/>
        <v>0</v>
      </c>
      <c r="L298" s="63">
        <f t="shared" si="34"/>
        <v>0</v>
      </c>
      <c r="M298" s="708"/>
      <c r="N298" s="708" t="s">
        <v>6083</v>
      </c>
      <c r="O298" s="708" t="s">
        <v>6083</v>
      </c>
      <c r="P298" s="708"/>
      <c r="Q298" s="114"/>
      <c r="R298" s="114"/>
      <c r="S298" s="114"/>
      <c r="T298" s="189"/>
      <c r="U298" s="114"/>
      <c r="V298" s="114"/>
      <c r="W298" s="114"/>
      <c r="X298" s="708"/>
      <c r="Y298" s="114"/>
      <c r="Z298" s="636"/>
      <c r="AA298" s="114">
        <v>1</v>
      </c>
      <c r="AB298" s="400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27"/>
    </row>
    <row r="299" spans="1:41">
      <c r="A299" s="135">
        <f>IFERROR(VLOOKUP(Table6[[#This Row],[Player No]],Table10[[#All],[No]:[Age Group]],4,0),"")</f>
        <v>0</v>
      </c>
      <c r="B299" s="190">
        <v>134</v>
      </c>
      <c r="C299" s="195">
        <f t="shared" si="33"/>
        <v>-161</v>
      </c>
      <c r="D299" s="63">
        <f t="shared" si="32"/>
        <v>295</v>
      </c>
      <c r="E299" s="189">
        <v>2926</v>
      </c>
      <c r="F299" s="151" t="str">
        <f>IFERROR(VLOOKUP(Table6[[#This Row],[Player No]],Table10[[No]:[Province]],2,0),"")</f>
        <v>DU TOIT Jochanan</v>
      </c>
      <c r="G299" s="65" t="str">
        <f>IFERROR(VLOOKUP(Table6[[#This Row],[Player No]],Table10[[No]:[Province]],3,0),"")</f>
        <v>GN</v>
      </c>
      <c r="H299" s="66">
        <v>1.46875</v>
      </c>
      <c r="I299" s="644">
        <v>0.625</v>
      </c>
      <c r="J299" s="819">
        <f>Table6[[#This Row],[Points 2025]]/2+SUM(Table6[[#This Row],[O1  ADMIN 2026]:[P2                           CT Open    2026]])</f>
        <v>0.3125</v>
      </c>
      <c r="K299" s="63">
        <f t="shared" si="31"/>
        <v>0</v>
      </c>
      <c r="L299" s="63">
        <f t="shared" si="34"/>
        <v>0</v>
      </c>
      <c r="M299" s="442"/>
      <c r="N299" s="442" t="s">
        <v>6083</v>
      </c>
      <c r="O299" s="442" t="s">
        <v>6083</v>
      </c>
      <c r="P299" s="442"/>
      <c r="Q299" s="189"/>
      <c r="R299" s="189"/>
      <c r="S299" s="189"/>
      <c r="T299" s="189"/>
      <c r="U299" s="189"/>
      <c r="V299" s="189"/>
      <c r="W299" s="189"/>
      <c r="X299" s="442"/>
      <c r="Y299" s="189"/>
      <c r="Z299" s="442"/>
      <c r="AA299" s="189"/>
      <c r="AB299" s="401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34"/>
    </row>
    <row r="300" spans="1:41">
      <c r="A300" s="136">
        <f>IFERROR(VLOOKUP(Table6[[#This Row],[Player No]],Table10[[#All],[No]:[Age Group]],4,0),"")</f>
        <v>0</v>
      </c>
      <c r="B300" s="113"/>
      <c r="C300" s="115"/>
      <c r="D300" s="63">
        <f t="shared" si="32"/>
        <v>296</v>
      </c>
      <c r="E300" s="114">
        <v>4543</v>
      </c>
      <c r="F300" s="151" t="str">
        <f>IFERROR(VLOOKUP(Table6[[#This Row],[Player No]],Table10[[No]:[Province]],2,0),"")</f>
        <v xml:space="preserve">CREIGHTON Yusuf </v>
      </c>
      <c r="G300" s="65" t="str">
        <f>IFERROR(VLOOKUP(Table6[[#This Row],[Player No]],Table10[[No]:[Province]],3,0),"")</f>
        <v>CT</v>
      </c>
      <c r="H300" s="66">
        <v>1.25</v>
      </c>
      <c r="I300" s="644">
        <v>0.5</v>
      </c>
      <c r="J300" s="819">
        <f>Table6[[#This Row],[Points 2025]]/2+SUM(Table6[[#This Row],[O1  ADMIN 2026]:[P2                           CT Open    2026]])</f>
        <v>0.25</v>
      </c>
      <c r="K300" s="63">
        <f t="shared" si="31"/>
        <v>0</v>
      </c>
      <c r="L300" s="63">
        <f t="shared" si="34"/>
        <v>0</v>
      </c>
      <c r="M300" s="708"/>
      <c r="N300" s="708" t="s">
        <v>6083</v>
      </c>
      <c r="O300" s="708" t="s">
        <v>6083</v>
      </c>
      <c r="P300" s="708"/>
      <c r="Q300" s="114"/>
      <c r="R300" s="114"/>
      <c r="S300" s="114"/>
      <c r="T300" s="189"/>
      <c r="U300" s="114"/>
      <c r="V300" s="114"/>
      <c r="W300" s="114"/>
      <c r="X300" s="708"/>
      <c r="Y300" s="114"/>
      <c r="Z300" s="636"/>
      <c r="AA300" s="114"/>
      <c r="AB300" s="400"/>
      <c r="AC300" s="114"/>
      <c r="AD300" s="114"/>
      <c r="AE300" s="114"/>
      <c r="AF300" s="114"/>
      <c r="AG300" s="114"/>
      <c r="AH300" s="114">
        <v>1</v>
      </c>
      <c r="AI300" s="114"/>
      <c r="AJ300" s="114"/>
      <c r="AK300" s="114"/>
      <c r="AL300" s="114"/>
      <c r="AM300" s="114"/>
      <c r="AN300" s="114"/>
      <c r="AO300" s="127"/>
    </row>
    <row r="301" spans="1:41">
      <c r="A301" s="136">
        <f>IFERROR(VLOOKUP(Table6[[#This Row],[Player No]],Table10[[#All],[No]:[Age Group]],4,0),"")</f>
        <v>0</v>
      </c>
      <c r="B301" s="113"/>
      <c r="C301" s="115"/>
      <c r="D301" s="63">
        <f t="shared" si="32"/>
        <v>297</v>
      </c>
      <c r="E301" s="114">
        <v>4544</v>
      </c>
      <c r="F301" s="151" t="str">
        <f>IFERROR(VLOOKUP(Table6[[#This Row],[Player No]],Table10[[No]:[Province]],2,0),"")</f>
        <v xml:space="preserve">PAMPLIN Blake </v>
      </c>
      <c r="G301" s="65" t="str">
        <f>IFERROR(VLOOKUP(Table6[[#This Row],[Player No]],Table10[[No]:[Province]],3,0),"")</f>
        <v>CT</v>
      </c>
      <c r="H301" s="66">
        <v>1.25</v>
      </c>
      <c r="I301" s="644">
        <v>0.5</v>
      </c>
      <c r="J301" s="819">
        <f>Table6[[#This Row],[Points 2025]]/2+SUM(Table6[[#This Row],[O1  ADMIN 2026]:[P2                           CT Open    2026]])</f>
        <v>0.25</v>
      </c>
      <c r="K301" s="63">
        <f t="shared" si="31"/>
        <v>0</v>
      </c>
      <c r="L301" s="63">
        <f t="shared" si="34"/>
        <v>0</v>
      </c>
      <c r="M301" s="708"/>
      <c r="N301" s="708" t="s">
        <v>6083</v>
      </c>
      <c r="O301" s="708" t="s">
        <v>6083</v>
      </c>
      <c r="P301" s="708"/>
      <c r="Q301" s="114"/>
      <c r="R301" s="114"/>
      <c r="S301" s="114"/>
      <c r="T301" s="189"/>
      <c r="U301" s="114"/>
      <c r="V301" s="114"/>
      <c r="W301" s="114"/>
      <c r="X301" s="708"/>
      <c r="Y301" s="114"/>
      <c r="Z301" s="636"/>
      <c r="AA301" s="114"/>
      <c r="AB301" s="400"/>
      <c r="AC301" s="114"/>
      <c r="AD301" s="114"/>
      <c r="AE301" s="114"/>
      <c r="AF301" s="114"/>
      <c r="AG301" s="114"/>
      <c r="AH301" s="114">
        <v>1</v>
      </c>
      <c r="AI301" s="114"/>
      <c r="AJ301" s="114"/>
      <c r="AK301" s="114"/>
      <c r="AL301" s="114"/>
      <c r="AM301" s="114"/>
      <c r="AN301" s="114"/>
      <c r="AO301" s="127"/>
    </row>
    <row r="302" spans="1:41">
      <c r="A302" s="126"/>
      <c r="B302" s="113"/>
      <c r="C302" s="115">
        <f t="shared" ref="C302:C322" si="35">+B302-D302</f>
        <v>-298</v>
      </c>
      <c r="D302" s="63">
        <f t="shared" si="32"/>
        <v>298</v>
      </c>
      <c r="E302" s="114">
        <v>3227</v>
      </c>
      <c r="F302" s="151" t="str">
        <f>IFERROR(VLOOKUP(Table6[[#This Row],[Player No]],Table10[[No]:[Province]],2,0),"")</f>
        <v>TITUS Felix</v>
      </c>
      <c r="G302" s="65" t="str">
        <f>IFERROR(VLOOKUP(Table6[[#This Row],[Player No]],Table10[[No]:[Province]],3,0),"")</f>
        <v>CT</v>
      </c>
      <c r="H302" s="66">
        <v>1</v>
      </c>
      <c r="I302" s="644">
        <v>0.5</v>
      </c>
      <c r="J302" s="819">
        <f>Table6[[#This Row],[Points 2025]]/2+SUM(Table6[[#This Row],[O1  ADMIN 2026]:[P2                           CT Open    2026]])</f>
        <v>0.25</v>
      </c>
      <c r="K302" s="63">
        <f t="shared" si="31"/>
        <v>0</v>
      </c>
      <c r="L302" s="63">
        <f t="shared" si="34"/>
        <v>0</v>
      </c>
      <c r="M302" s="708"/>
      <c r="N302" s="708" t="s">
        <v>6083</v>
      </c>
      <c r="O302" s="708" t="s">
        <v>6083</v>
      </c>
      <c r="P302" s="708"/>
      <c r="Q302" s="114"/>
      <c r="R302" s="114"/>
      <c r="S302" s="114"/>
      <c r="T302" s="189"/>
      <c r="U302" s="114"/>
      <c r="V302" s="114"/>
      <c r="W302" s="114"/>
      <c r="X302" s="708"/>
      <c r="Y302" s="114"/>
      <c r="Z302" s="636"/>
      <c r="AA302" s="114"/>
      <c r="AB302" s="400"/>
      <c r="AC302" s="114"/>
      <c r="AD302" s="114"/>
      <c r="AE302" s="114"/>
      <c r="AF302" s="114"/>
      <c r="AG302" s="114"/>
      <c r="AH302" s="114">
        <v>1</v>
      </c>
      <c r="AI302" s="114"/>
      <c r="AJ302" s="114"/>
      <c r="AK302" s="114"/>
      <c r="AL302" s="114"/>
      <c r="AM302" s="114"/>
      <c r="AN302" s="114"/>
      <c r="AO302" s="127"/>
    </row>
    <row r="303" spans="1:41">
      <c r="A303" s="136" t="str">
        <f>IFERROR(VLOOKUP(Table6[[#This Row],[Player No]],Table10[[#All],[No]:[Age Group]],4,0),"")</f>
        <v>U13</v>
      </c>
      <c r="B303" s="113">
        <v>154</v>
      </c>
      <c r="C303" s="115">
        <f t="shared" si="35"/>
        <v>-145</v>
      </c>
      <c r="D303" s="63">
        <f t="shared" si="32"/>
        <v>299</v>
      </c>
      <c r="E303" s="114">
        <v>3399</v>
      </c>
      <c r="F303" s="151" t="str">
        <f>IFERROR(VLOOKUP(Table6[[#This Row],[Player No]],Table10[[No]:[Province]],2,0),"")</f>
        <v>HURWITZ Channan</v>
      </c>
      <c r="G303" s="65" t="str">
        <f>IFERROR(VLOOKUP(Table6[[#This Row],[Player No]],Table10[[No]:[Province]],3,0),"")</f>
        <v xml:space="preserve">JTTA </v>
      </c>
      <c r="H303" s="66">
        <v>1</v>
      </c>
      <c r="I303" s="644">
        <v>0.5</v>
      </c>
      <c r="J303" s="819">
        <f>Table6[[#This Row],[Points 2025]]/2+SUM(Table6[[#This Row],[O1  ADMIN 2026]:[P2                           CT Open    2026]])</f>
        <v>0.25</v>
      </c>
      <c r="K303" s="63">
        <f t="shared" si="31"/>
        <v>0</v>
      </c>
      <c r="L303" s="63">
        <f t="shared" si="34"/>
        <v>0</v>
      </c>
      <c r="M303" s="708"/>
      <c r="N303" s="708" t="s">
        <v>6083</v>
      </c>
      <c r="O303" s="708" t="s">
        <v>6083</v>
      </c>
      <c r="P303" s="708"/>
      <c r="Q303" s="114"/>
      <c r="R303" s="114"/>
      <c r="S303" s="114"/>
      <c r="T303" s="189"/>
      <c r="U303" s="114"/>
      <c r="V303" s="114"/>
      <c r="W303" s="114"/>
      <c r="X303" s="708"/>
      <c r="Y303" s="114"/>
      <c r="Z303" s="636">
        <v>0</v>
      </c>
      <c r="AA303" s="114"/>
      <c r="AB303" s="400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27">
        <v>1</v>
      </c>
    </row>
    <row r="304" spans="1:41">
      <c r="A304" s="136">
        <f>IFERROR(VLOOKUP(Table6[[#This Row],[Player No]],Table10[[#All],[No]:[Age Group]],4,0),"")</f>
        <v>0</v>
      </c>
      <c r="B304" s="113">
        <v>139</v>
      </c>
      <c r="C304" s="115">
        <f t="shared" si="35"/>
        <v>-161</v>
      </c>
      <c r="D304" s="63">
        <f t="shared" si="32"/>
        <v>300</v>
      </c>
      <c r="E304" s="114">
        <v>3460</v>
      </c>
      <c r="F304" s="151" t="str">
        <f>IFERROR(VLOOKUP(Table6[[#This Row],[Player No]],Table10[[No]:[Province]],2,0),"")</f>
        <v>NEL Adriaan</v>
      </c>
      <c r="G304" s="65">
        <f>IFERROR(VLOOKUP(Table6[[#This Row],[Player No]],Table10[[No]:[Province]],3,0),"")</f>
        <v>0</v>
      </c>
      <c r="H304" s="66">
        <v>1</v>
      </c>
      <c r="I304" s="644">
        <v>0.5</v>
      </c>
      <c r="J304" s="819">
        <f>Table6[[#This Row],[Points 2025]]/2+SUM(Table6[[#This Row],[O1  ADMIN 2026]:[P2                           CT Open    2026]])</f>
        <v>0.25</v>
      </c>
      <c r="K304" s="63">
        <f t="shared" si="31"/>
        <v>0</v>
      </c>
      <c r="L304" s="63">
        <f t="shared" si="34"/>
        <v>0</v>
      </c>
      <c r="M304" s="708"/>
      <c r="N304" s="708" t="s">
        <v>6083</v>
      </c>
      <c r="O304" s="708" t="s">
        <v>6083</v>
      </c>
      <c r="P304" s="708"/>
      <c r="Q304" s="114"/>
      <c r="R304" s="114"/>
      <c r="S304" s="114"/>
      <c r="T304" s="189"/>
      <c r="U304" s="114"/>
      <c r="V304" s="114"/>
      <c r="W304" s="114"/>
      <c r="X304" s="708"/>
      <c r="Y304" s="114"/>
      <c r="Z304" s="636"/>
      <c r="AA304" s="114"/>
      <c r="AB304" s="400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27"/>
    </row>
    <row r="305" spans="1:41">
      <c r="A305" s="136">
        <f>IFERROR(VLOOKUP(Table6[[#This Row],[Player No]],Table10[[#All],[No]:[Age Group]],4,0),"")</f>
        <v>0</v>
      </c>
      <c r="B305" s="113">
        <v>141</v>
      </c>
      <c r="C305" s="115">
        <f t="shared" si="35"/>
        <v>-160</v>
      </c>
      <c r="D305" s="63">
        <f t="shared" si="32"/>
        <v>301</v>
      </c>
      <c r="E305" s="114">
        <v>3467</v>
      </c>
      <c r="F305" s="151" t="str">
        <f>IFERROR(VLOOKUP(Table6[[#This Row],[Player No]],Table10[[No]:[Province]],2,0),"")</f>
        <v>PANSEGROW Justin</v>
      </c>
      <c r="G305" s="65">
        <f>IFERROR(VLOOKUP(Table6[[#This Row],[Player No]],Table10[[No]:[Province]],3,0),"")</f>
        <v>0</v>
      </c>
      <c r="H305" s="66">
        <v>1</v>
      </c>
      <c r="I305" s="644">
        <v>0.5</v>
      </c>
      <c r="J305" s="819">
        <f>Table6[[#This Row],[Points 2025]]/2+SUM(Table6[[#This Row],[O1  ADMIN 2026]:[P2                           CT Open    2026]])</f>
        <v>0.25</v>
      </c>
      <c r="K305" s="63">
        <f t="shared" si="31"/>
        <v>0</v>
      </c>
      <c r="L305" s="63">
        <f t="shared" si="34"/>
        <v>0</v>
      </c>
      <c r="M305" s="708"/>
      <c r="N305" s="708" t="s">
        <v>6083</v>
      </c>
      <c r="O305" s="708" t="s">
        <v>6083</v>
      </c>
      <c r="P305" s="708"/>
      <c r="Q305" s="114"/>
      <c r="R305" s="114"/>
      <c r="S305" s="114"/>
      <c r="T305" s="189"/>
      <c r="U305" s="114"/>
      <c r="V305" s="114"/>
      <c r="W305" s="114"/>
      <c r="X305" s="708"/>
      <c r="Y305" s="114"/>
      <c r="Z305" s="636"/>
      <c r="AA305" s="114"/>
      <c r="AB305" s="400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27"/>
    </row>
    <row r="306" spans="1:41">
      <c r="A306" s="136">
        <f>IFERROR(VLOOKUP(Table6[[#This Row],[Player No]],Table10[[#All],[No]:[Age Group]],4,0),"")</f>
        <v>0</v>
      </c>
      <c r="B306" s="113">
        <v>142</v>
      </c>
      <c r="C306" s="115">
        <f t="shared" si="35"/>
        <v>-160</v>
      </c>
      <c r="D306" s="63">
        <f t="shared" si="32"/>
        <v>302</v>
      </c>
      <c r="E306" s="114">
        <v>3468</v>
      </c>
      <c r="F306" s="151" t="str">
        <f>IFERROR(VLOOKUP(Table6[[#This Row],[Player No]],Table10[[No]:[Province]],2,0),"")</f>
        <v>MARITZ Kean</v>
      </c>
      <c r="G306" s="65">
        <f>IFERROR(VLOOKUP(Table6[[#This Row],[Player No]],Table10[[No]:[Province]],3,0),"")</f>
        <v>0</v>
      </c>
      <c r="H306" s="66">
        <v>1</v>
      </c>
      <c r="I306" s="644">
        <v>0.5</v>
      </c>
      <c r="J306" s="819">
        <f>Table6[[#This Row],[Points 2025]]/2+SUM(Table6[[#This Row],[O1  ADMIN 2026]:[P2                           CT Open    2026]])</f>
        <v>0.25</v>
      </c>
      <c r="K306" s="63">
        <f t="shared" si="31"/>
        <v>0</v>
      </c>
      <c r="L306" s="63">
        <f t="shared" si="34"/>
        <v>0</v>
      </c>
      <c r="M306" s="708"/>
      <c r="N306" s="708" t="s">
        <v>6083</v>
      </c>
      <c r="O306" s="708" t="s">
        <v>6083</v>
      </c>
      <c r="P306" s="708"/>
      <c r="Q306" s="114"/>
      <c r="R306" s="114"/>
      <c r="S306" s="114"/>
      <c r="T306" s="189"/>
      <c r="U306" s="114"/>
      <c r="V306" s="114"/>
      <c r="W306" s="114"/>
      <c r="X306" s="708"/>
      <c r="Y306" s="114"/>
      <c r="Z306" s="636"/>
      <c r="AA306" s="114"/>
      <c r="AB306" s="400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27"/>
    </row>
    <row r="307" spans="1:41">
      <c r="A307" s="136">
        <f>IFERROR(VLOOKUP(Table6[[#This Row],[Player No]],Table10[[#All],[No]:[Age Group]],4,0),"")</f>
        <v>0</v>
      </c>
      <c r="B307" s="113">
        <v>143</v>
      </c>
      <c r="C307" s="115">
        <f t="shared" si="35"/>
        <v>-160</v>
      </c>
      <c r="D307" s="63">
        <f t="shared" si="32"/>
        <v>303</v>
      </c>
      <c r="E307" s="114">
        <v>3469</v>
      </c>
      <c r="F307" s="151" t="str">
        <f>IFERROR(VLOOKUP(Table6[[#This Row],[Player No]],Table10[[No]:[Province]],2,0),"")</f>
        <v xml:space="preserve">NAUDE Jayden </v>
      </c>
      <c r="G307" s="65">
        <f>IFERROR(VLOOKUP(Table6[[#This Row],[Player No]],Table10[[No]:[Province]],3,0),"")</f>
        <v>0</v>
      </c>
      <c r="H307" s="66">
        <v>1</v>
      </c>
      <c r="I307" s="644">
        <v>0.5</v>
      </c>
      <c r="J307" s="819">
        <f>Table6[[#This Row],[Points 2025]]/2+SUM(Table6[[#This Row],[O1  ADMIN 2026]:[P2                           CT Open    2026]])</f>
        <v>0.25</v>
      </c>
      <c r="K307" s="63">
        <f t="shared" si="31"/>
        <v>0</v>
      </c>
      <c r="L307" s="63">
        <f t="shared" si="34"/>
        <v>0</v>
      </c>
      <c r="M307" s="708"/>
      <c r="N307" s="708" t="s">
        <v>6083</v>
      </c>
      <c r="O307" s="708" t="s">
        <v>6083</v>
      </c>
      <c r="P307" s="708"/>
      <c r="Q307" s="114"/>
      <c r="R307" s="114"/>
      <c r="S307" s="114"/>
      <c r="T307" s="189"/>
      <c r="U307" s="114"/>
      <c r="V307" s="114"/>
      <c r="W307" s="114"/>
      <c r="X307" s="708"/>
      <c r="Y307" s="114"/>
      <c r="Z307" s="636"/>
      <c r="AA307" s="114"/>
      <c r="AB307" s="400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27"/>
    </row>
    <row r="308" spans="1:41">
      <c r="A308" s="136">
        <f>IFERROR(VLOOKUP(Table6[[#This Row],[Player No]],Table10[[#All],[No]:[Age Group]],4,0),"")</f>
        <v>0</v>
      </c>
      <c r="B308" s="113">
        <v>144</v>
      </c>
      <c r="C308" s="115">
        <f t="shared" si="35"/>
        <v>-160</v>
      </c>
      <c r="D308" s="63">
        <f t="shared" si="32"/>
        <v>304</v>
      </c>
      <c r="E308" s="114">
        <v>3470</v>
      </c>
      <c r="F308" s="151" t="str">
        <f>IFERROR(VLOOKUP(Table6[[#This Row],[Player No]],Table10[[No]:[Province]],2,0),"")</f>
        <v>VLOK JG</v>
      </c>
      <c r="G308" s="65">
        <f>IFERROR(VLOOKUP(Table6[[#This Row],[Player No]],Table10[[No]:[Province]],3,0),"")</f>
        <v>0</v>
      </c>
      <c r="H308" s="66">
        <v>1</v>
      </c>
      <c r="I308" s="644">
        <v>0.5</v>
      </c>
      <c r="J308" s="819">
        <f>Table6[[#This Row],[Points 2025]]/2+SUM(Table6[[#This Row],[O1  ADMIN 2026]:[P2                           CT Open    2026]])</f>
        <v>0.25</v>
      </c>
      <c r="K308" s="63">
        <f t="shared" si="31"/>
        <v>0</v>
      </c>
      <c r="L308" s="63">
        <f t="shared" si="34"/>
        <v>0</v>
      </c>
      <c r="M308" s="708"/>
      <c r="N308" s="708" t="s">
        <v>6083</v>
      </c>
      <c r="O308" s="708" t="s">
        <v>6083</v>
      </c>
      <c r="P308" s="708"/>
      <c r="Q308" s="114"/>
      <c r="R308" s="114"/>
      <c r="S308" s="114"/>
      <c r="T308" s="189"/>
      <c r="U308" s="114"/>
      <c r="V308" s="114"/>
      <c r="W308" s="114"/>
      <c r="X308" s="708"/>
      <c r="Y308" s="114"/>
      <c r="Z308" s="636"/>
      <c r="AA308" s="114"/>
      <c r="AB308" s="400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27"/>
    </row>
    <row r="309" spans="1:41">
      <c r="A309" s="136">
        <f>IFERROR(VLOOKUP(Table6[[#This Row],[Player No]],Table10[[#All],[No]:[Age Group]],4,0),"")</f>
        <v>0</v>
      </c>
      <c r="B309" s="113">
        <v>146</v>
      </c>
      <c r="C309" s="115">
        <f t="shared" si="35"/>
        <v>-159</v>
      </c>
      <c r="D309" s="63">
        <f t="shared" si="32"/>
        <v>305</v>
      </c>
      <c r="E309" s="189">
        <v>3472</v>
      </c>
      <c r="F309" s="151" t="str">
        <f>IFERROR(VLOOKUP(Table6[[#This Row],[Player No]],Table10[[No]:[Province]],2,0),"")</f>
        <v>VAN DEN BERG Christiaan</v>
      </c>
      <c r="G309" s="65">
        <f>IFERROR(VLOOKUP(Table6[[#This Row],[Player No]],Table10[[No]:[Province]],3,0),"")</f>
        <v>0</v>
      </c>
      <c r="H309" s="66">
        <v>1</v>
      </c>
      <c r="I309" s="644">
        <v>0.5</v>
      </c>
      <c r="J309" s="819">
        <f>Table6[[#This Row],[Points 2025]]/2+SUM(Table6[[#This Row],[O1  ADMIN 2026]:[P2                           CT Open    2026]])</f>
        <v>0.25</v>
      </c>
      <c r="K309" s="63">
        <f t="shared" si="31"/>
        <v>0</v>
      </c>
      <c r="L309" s="63">
        <f t="shared" si="34"/>
        <v>0</v>
      </c>
      <c r="M309" s="708"/>
      <c r="N309" s="708" t="s">
        <v>6083</v>
      </c>
      <c r="O309" s="708" t="s">
        <v>6083</v>
      </c>
      <c r="P309" s="708"/>
      <c r="Q309" s="114"/>
      <c r="R309" s="114"/>
      <c r="S309" s="114"/>
      <c r="T309" s="189"/>
      <c r="U309" s="114"/>
      <c r="V309" s="114"/>
      <c r="W309" s="114"/>
      <c r="X309" s="708"/>
      <c r="Y309" s="114"/>
      <c r="Z309" s="636"/>
      <c r="AA309" s="114"/>
      <c r="AB309" s="400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27"/>
    </row>
    <row r="310" spans="1:41">
      <c r="A310" s="135">
        <f>IFERROR(VLOOKUP(Table6[[#This Row],[Player No]],Table10[[#All],[No]:[Age Group]],4,0),"")</f>
        <v>0</v>
      </c>
      <c r="B310" s="190">
        <v>147</v>
      </c>
      <c r="C310" s="195">
        <f t="shared" si="35"/>
        <v>-159</v>
      </c>
      <c r="D310" s="63">
        <f t="shared" si="32"/>
        <v>306</v>
      </c>
      <c r="E310" s="189">
        <v>3473</v>
      </c>
      <c r="F310" s="151" t="str">
        <f>IFERROR(VLOOKUP(Table6[[#This Row],[Player No]],Table10[[No]:[Province]],2,0),"")</f>
        <v>DARSON Omrao</v>
      </c>
      <c r="G310" s="65" t="str">
        <f>IFERROR(VLOOKUP(Table6[[#This Row],[Player No]],Table10[[No]:[Province]],3,0),"")</f>
        <v>UMG</v>
      </c>
      <c r="H310" s="66">
        <v>1</v>
      </c>
      <c r="I310" s="644">
        <v>0.5</v>
      </c>
      <c r="J310" s="819">
        <f>Table6[[#This Row],[Points 2025]]/2+SUM(Table6[[#This Row],[O1  ADMIN 2026]:[P2                           CT Open    2026]])</f>
        <v>0.25</v>
      </c>
      <c r="K310" s="63">
        <f t="shared" si="31"/>
        <v>0</v>
      </c>
      <c r="L310" s="63">
        <f t="shared" si="34"/>
        <v>0</v>
      </c>
      <c r="M310" s="442"/>
      <c r="N310" s="442" t="s">
        <v>6083</v>
      </c>
      <c r="O310" s="442" t="s">
        <v>6083</v>
      </c>
      <c r="P310" s="442"/>
      <c r="Q310" s="189"/>
      <c r="R310" s="189"/>
      <c r="S310" s="189"/>
      <c r="T310" s="189"/>
      <c r="U310" s="189"/>
      <c r="V310" s="189"/>
      <c r="W310" s="189"/>
      <c r="X310" s="442"/>
      <c r="Y310" s="189"/>
      <c r="Z310" s="442"/>
      <c r="AA310" s="189"/>
      <c r="AB310" s="401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34"/>
    </row>
    <row r="311" spans="1:41">
      <c r="A311" s="135">
        <f>IFERROR(VLOOKUP(Table6[[#This Row],[Player No]],Table10[[#All],[No]:[Age Group]],4,0),"")</f>
        <v>0</v>
      </c>
      <c r="B311" s="735">
        <v>137</v>
      </c>
      <c r="C311" s="399">
        <f t="shared" si="35"/>
        <v>-170</v>
      </c>
      <c r="D311" s="63">
        <f t="shared" si="32"/>
        <v>307</v>
      </c>
      <c r="E311" s="401">
        <v>3579</v>
      </c>
      <c r="F311" s="151" t="str">
        <f>IFERROR(VLOOKUP(Table6[[#This Row],[Player No]],Table10[[No]:[Province]],2,0),"")</f>
        <v>GAMIELDIEN Mahdi</v>
      </c>
      <c r="G311" s="65" t="str">
        <f>IFERROR(VLOOKUP(Table6[[#This Row],[Player No]],Table10[[No]:[Province]],3,0),"")</f>
        <v>CT</v>
      </c>
      <c r="H311" s="66">
        <v>1</v>
      </c>
      <c r="I311" s="644">
        <v>0.5</v>
      </c>
      <c r="J311" s="819">
        <f>Table6[[#This Row],[Points 2025]]/2+SUM(Table6[[#This Row],[O1  ADMIN 2026]:[P2                           CT Open    2026]])</f>
        <v>0.25</v>
      </c>
      <c r="K311" s="63">
        <f t="shared" si="31"/>
        <v>0</v>
      </c>
      <c r="L311" s="63">
        <f t="shared" si="34"/>
        <v>0</v>
      </c>
      <c r="M311" s="442"/>
      <c r="N311" s="442" t="s">
        <v>6083</v>
      </c>
      <c r="O311" s="442" t="s">
        <v>6083</v>
      </c>
      <c r="P311" s="442"/>
      <c r="Q311" s="401"/>
      <c r="R311" s="401"/>
      <c r="S311" s="401"/>
      <c r="T311" s="401"/>
      <c r="U311" s="401"/>
      <c r="V311" s="401"/>
      <c r="W311" s="401"/>
      <c r="X311" s="442"/>
      <c r="Y311" s="401"/>
      <c r="Z311" s="442"/>
      <c r="AA311" s="401"/>
      <c r="AB311" s="401"/>
      <c r="AC311" s="401"/>
      <c r="AD311" s="401"/>
      <c r="AE311" s="401"/>
      <c r="AF311" s="401"/>
      <c r="AG311" s="401"/>
      <c r="AH311" s="401"/>
      <c r="AI311" s="401"/>
      <c r="AJ311" s="401"/>
      <c r="AK311" s="401"/>
      <c r="AL311" s="401"/>
      <c r="AM311" s="401"/>
      <c r="AN311" s="401"/>
      <c r="AO311" s="134"/>
    </row>
    <row r="312" spans="1:41">
      <c r="A312" s="767">
        <f>IFERROR(VLOOKUP(Table6[[#This Row],[Player No]],Table10[[#All],[No]:[Age Group]],4,0),"")</f>
        <v>0</v>
      </c>
      <c r="B312" s="413">
        <v>149</v>
      </c>
      <c r="C312" s="398">
        <f t="shared" si="35"/>
        <v>-159</v>
      </c>
      <c r="D312" s="63">
        <f t="shared" si="32"/>
        <v>308</v>
      </c>
      <c r="E312" s="400">
        <v>3761</v>
      </c>
      <c r="F312" s="151" t="str">
        <f>IFERROR(VLOOKUP(Table6[[#This Row],[Player No]],Table10[[No]:[Province]],2,0),"")</f>
        <v>SITHENDE Lithalethu</v>
      </c>
      <c r="G312" s="65" t="str">
        <f>IFERROR(VLOOKUP(Table6[[#This Row],[Player No]],Table10[[No]:[Province]],3,0),"")</f>
        <v>EC</v>
      </c>
      <c r="H312" s="66">
        <v>1</v>
      </c>
      <c r="I312" s="644">
        <v>0.5</v>
      </c>
      <c r="J312" s="819">
        <f>Table6[[#This Row],[Points 2025]]/2+SUM(Table6[[#This Row],[O1  ADMIN 2026]:[P2                           CT Open    2026]])</f>
        <v>0.25</v>
      </c>
      <c r="K312" s="63">
        <f t="shared" si="31"/>
        <v>0</v>
      </c>
      <c r="L312" s="63">
        <f t="shared" si="34"/>
        <v>0</v>
      </c>
      <c r="M312" s="708"/>
      <c r="N312" s="708" t="s">
        <v>6083</v>
      </c>
      <c r="O312" s="708" t="s">
        <v>6083</v>
      </c>
      <c r="P312" s="708"/>
      <c r="Q312" s="400"/>
      <c r="R312" s="400"/>
      <c r="S312" s="400"/>
      <c r="T312" s="401"/>
      <c r="U312" s="400"/>
      <c r="V312" s="400"/>
      <c r="W312" s="400"/>
      <c r="X312" s="708"/>
      <c r="Y312" s="400"/>
      <c r="Z312" s="636"/>
      <c r="AA312" s="400"/>
      <c r="AB312" s="400"/>
      <c r="AC312" s="400"/>
      <c r="AD312" s="400"/>
      <c r="AE312" s="400"/>
      <c r="AF312" s="400"/>
      <c r="AG312" s="400"/>
      <c r="AH312" s="400"/>
      <c r="AI312" s="400"/>
      <c r="AJ312" s="400"/>
      <c r="AK312" s="400"/>
      <c r="AL312" s="400"/>
      <c r="AM312" s="400"/>
      <c r="AN312" s="400">
        <v>1</v>
      </c>
      <c r="AO312" s="127"/>
    </row>
    <row r="313" spans="1:41">
      <c r="A313" s="767">
        <f>IFERROR(VLOOKUP(Table6[[#This Row],[Player No]],Table10[[#All],[No]:[Age Group]],4,0),"")</f>
        <v>0</v>
      </c>
      <c r="B313" s="413">
        <v>157</v>
      </c>
      <c r="C313" s="398">
        <f t="shared" si="35"/>
        <v>-152</v>
      </c>
      <c r="D313" s="63">
        <f t="shared" si="32"/>
        <v>309</v>
      </c>
      <c r="E313" s="400">
        <v>3775</v>
      </c>
      <c r="F313" s="151" t="str">
        <f>IFERROR(VLOOKUP(Table6[[#This Row],[Player No]],Table10[[No]:[Province]],2,0),"")</f>
        <v>MAGWINYA Olwami</v>
      </c>
      <c r="G313" s="65" t="str">
        <f>IFERROR(VLOOKUP(Table6[[#This Row],[Player No]],Table10[[No]:[Province]],3,0),"")</f>
        <v>UMG</v>
      </c>
      <c r="H313" s="66">
        <v>1</v>
      </c>
      <c r="I313" s="644">
        <v>0.5</v>
      </c>
      <c r="J313" s="819">
        <f>Table6[[#This Row],[Points 2025]]/2+SUM(Table6[[#This Row],[O1  ADMIN 2026]:[P2                           CT Open    2026]])</f>
        <v>0.25</v>
      </c>
      <c r="K313" s="63">
        <f t="shared" si="31"/>
        <v>0</v>
      </c>
      <c r="L313" s="63">
        <f t="shared" si="34"/>
        <v>0</v>
      </c>
      <c r="M313" s="708"/>
      <c r="N313" s="708" t="s">
        <v>6083</v>
      </c>
      <c r="O313" s="708" t="s">
        <v>6083</v>
      </c>
      <c r="P313" s="708"/>
      <c r="Q313" s="400"/>
      <c r="R313" s="400"/>
      <c r="S313" s="400"/>
      <c r="T313" s="401"/>
      <c r="U313" s="400"/>
      <c r="V313" s="400"/>
      <c r="W313" s="400"/>
      <c r="X313" s="708"/>
      <c r="Y313" s="400"/>
      <c r="Z313" s="636"/>
      <c r="AA313" s="400"/>
      <c r="AB313" s="400"/>
      <c r="AC313" s="400"/>
      <c r="AD313" s="400"/>
      <c r="AE313" s="400"/>
      <c r="AF313" s="400"/>
      <c r="AG313" s="400">
        <v>1</v>
      </c>
      <c r="AH313" s="400"/>
      <c r="AI313" s="400"/>
      <c r="AJ313" s="400"/>
      <c r="AK313" s="400"/>
      <c r="AL313" s="400"/>
      <c r="AM313" s="400"/>
      <c r="AN313" s="400"/>
      <c r="AO313" s="127"/>
    </row>
    <row r="314" spans="1:41">
      <c r="A314" s="767">
        <f>IFERROR(VLOOKUP(Table6[[#This Row],[Player No]],Table10[[#All],[No]:[Age Group]],4,0),"")</f>
        <v>0</v>
      </c>
      <c r="B314" s="413">
        <v>148</v>
      </c>
      <c r="C314" s="398">
        <f t="shared" si="35"/>
        <v>-162</v>
      </c>
      <c r="D314" s="63">
        <f t="shared" si="32"/>
        <v>310</v>
      </c>
      <c r="E314" s="400">
        <v>3783</v>
      </c>
      <c r="F314" s="151" t="str">
        <f>IFERROR(VLOOKUP(Table6[[#This Row],[Player No]],Table10[[No]:[Province]],2,0),"")</f>
        <v>DU PLESSIS Coert</v>
      </c>
      <c r="G314" s="65" t="str">
        <f>IFERROR(VLOOKUP(Table6[[#This Row],[Player No]],Table10[[No]:[Province]],3,0),"")</f>
        <v>GN</v>
      </c>
      <c r="H314" s="66">
        <v>1</v>
      </c>
      <c r="I314" s="644">
        <v>0.5</v>
      </c>
      <c r="J314" s="819">
        <f>Table6[[#This Row],[Points 2025]]/2+SUM(Table6[[#This Row],[O1  ADMIN 2026]:[P2                           CT Open    2026]])</f>
        <v>0.25</v>
      </c>
      <c r="K314" s="63">
        <f t="shared" si="31"/>
        <v>0</v>
      </c>
      <c r="L314" s="63">
        <f t="shared" si="34"/>
        <v>0</v>
      </c>
      <c r="M314" s="708"/>
      <c r="N314" s="708" t="s">
        <v>6083</v>
      </c>
      <c r="O314" s="708" t="s">
        <v>6083</v>
      </c>
      <c r="P314" s="708"/>
      <c r="Q314" s="400"/>
      <c r="R314" s="400"/>
      <c r="S314" s="400"/>
      <c r="T314" s="401"/>
      <c r="U314" s="400"/>
      <c r="V314" s="400"/>
      <c r="W314" s="400"/>
      <c r="X314" s="708"/>
      <c r="Y314" s="400"/>
      <c r="Z314" s="636"/>
      <c r="AA314" s="400"/>
      <c r="AB314" s="400"/>
      <c r="AC314" s="400"/>
      <c r="AD314" s="400"/>
      <c r="AE314" s="400"/>
      <c r="AF314" s="400"/>
      <c r="AG314" s="400"/>
      <c r="AH314" s="400"/>
      <c r="AI314" s="400"/>
      <c r="AJ314" s="400"/>
      <c r="AK314" s="400"/>
      <c r="AL314" s="400"/>
      <c r="AM314" s="400"/>
      <c r="AN314" s="400">
        <v>1</v>
      </c>
      <c r="AO314" s="127"/>
    </row>
    <row r="315" spans="1:41">
      <c r="A315" s="135">
        <f>IFERROR(VLOOKUP(Table6[[#This Row],[Player No]],Table10[[#All],[No]:[Age Group]],4,0),"")</f>
        <v>0</v>
      </c>
      <c r="B315" s="735">
        <v>155</v>
      </c>
      <c r="C315" s="399">
        <f t="shared" si="35"/>
        <v>-156</v>
      </c>
      <c r="D315" s="63">
        <f t="shared" si="32"/>
        <v>311</v>
      </c>
      <c r="E315" s="401">
        <v>3836</v>
      </c>
      <c r="F315" s="151" t="str">
        <f>IFERROR(VLOOKUP(Table6[[#This Row],[Player No]],Table10[[No]:[Province]],2,0),"")</f>
        <v>PHATELI Tshepang</v>
      </c>
      <c r="G315" s="65" t="str">
        <f>IFERROR(VLOOKUP(Table6[[#This Row],[Player No]],Table10[[No]:[Province]],3,0),"")</f>
        <v>JTTA</v>
      </c>
      <c r="H315" s="66">
        <v>1</v>
      </c>
      <c r="I315" s="644">
        <v>0.5</v>
      </c>
      <c r="J315" s="819">
        <f>Table6[[#This Row],[Points 2025]]/2+SUM(Table6[[#This Row],[O1  ADMIN 2026]:[P2                           CT Open    2026]])</f>
        <v>0.25</v>
      </c>
      <c r="K315" s="63">
        <f t="shared" si="31"/>
        <v>0</v>
      </c>
      <c r="L315" s="63">
        <f t="shared" si="34"/>
        <v>0</v>
      </c>
      <c r="M315" s="442"/>
      <c r="N315" s="442" t="s">
        <v>6083</v>
      </c>
      <c r="O315" s="442" t="s">
        <v>6083</v>
      </c>
      <c r="P315" s="442"/>
      <c r="Q315" s="401"/>
      <c r="R315" s="401"/>
      <c r="S315" s="401"/>
      <c r="T315" s="401"/>
      <c r="U315" s="401"/>
      <c r="V315" s="401"/>
      <c r="W315" s="401"/>
      <c r="X315" s="442"/>
      <c r="Y315" s="401"/>
      <c r="Z315" s="442"/>
      <c r="AA315" s="401"/>
      <c r="AB315" s="401"/>
      <c r="AC315" s="401"/>
      <c r="AD315" s="401"/>
      <c r="AE315" s="401"/>
      <c r="AF315" s="401"/>
      <c r="AG315" s="401"/>
      <c r="AH315" s="401"/>
      <c r="AI315" s="401"/>
      <c r="AJ315" s="401"/>
      <c r="AK315" s="401"/>
      <c r="AL315" s="401"/>
      <c r="AM315" s="401"/>
      <c r="AN315" s="401"/>
      <c r="AO315" s="134">
        <v>1</v>
      </c>
    </row>
    <row r="316" spans="1:41">
      <c r="A316" s="135">
        <f>IFERROR(VLOOKUP(Table6[[#This Row],[Player No]],Table10[[#All],[No]:[Age Group]],4,0),"")</f>
        <v>0</v>
      </c>
      <c r="B316" s="735">
        <v>150</v>
      </c>
      <c r="C316" s="399">
        <f t="shared" si="35"/>
        <v>-162</v>
      </c>
      <c r="D316" s="63">
        <f t="shared" si="32"/>
        <v>312</v>
      </c>
      <c r="E316" s="401">
        <v>3842</v>
      </c>
      <c r="F316" s="151" t="str">
        <f>IFERROR(VLOOKUP(Table6[[#This Row],[Player No]],Table10[[No]:[Province]],2,0),"")</f>
        <v>MORSI Sohayb</v>
      </c>
      <c r="G316" s="414" t="str">
        <f>IFERROR(VLOOKUP(Table6[[#This Row],[Player No]],Table10[[No]:[Province]],3,0),"")</f>
        <v>JTTA</v>
      </c>
      <c r="H316" s="410">
        <v>1</v>
      </c>
      <c r="I316" s="644">
        <v>0.5</v>
      </c>
      <c r="J316" s="819">
        <f>Table6[[#This Row],[Points 2025]]/2+SUM(Table6[[#This Row],[O1  ADMIN 2026]:[P2                           CT Open    2026]])</f>
        <v>0.25</v>
      </c>
      <c r="K316" s="63">
        <f t="shared" si="31"/>
        <v>0</v>
      </c>
      <c r="L316" s="63">
        <f t="shared" si="34"/>
        <v>0</v>
      </c>
      <c r="M316" s="442"/>
      <c r="N316" s="442" t="s">
        <v>6083</v>
      </c>
      <c r="O316" s="442" t="s">
        <v>6083</v>
      </c>
      <c r="P316" s="442"/>
      <c r="Q316" s="401"/>
      <c r="R316" s="401"/>
      <c r="S316" s="401"/>
      <c r="T316" s="401"/>
      <c r="U316" s="401"/>
      <c r="V316" s="401"/>
      <c r="W316" s="401"/>
      <c r="X316" s="442"/>
      <c r="Y316" s="401"/>
      <c r="Z316" s="442"/>
      <c r="AA316" s="401"/>
      <c r="AB316" s="401"/>
      <c r="AC316" s="401"/>
      <c r="AD316" s="401"/>
      <c r="AE316" s="401"/>
      <c r="AF316" s="401"/>
      <c r="AG316" s="401"/>
      <c r="AH316" s="401"/>
      <c r="AI316" s="401"/>
      <c r="AJ316" s="401"/>
      <c r="AK316" s="401"/>
      <c r="AL316" s="401"/>
      <c r="AM316" s="401"/>
      <c r="AN316" s="401">
        <v>1</v>
      </c>
      <c r="AO316" s="134"/>
    </row>
    <row r="317" spans="1:41">
      <c r="A317" s="652">
        <f>IFERROR(VLOOKUP(Table6[[#This Row],[Player No]],Table10[[#All],[No]:[Age Group]],4,0),"")</f>
        <v>0</v>
      </c>
      <c r="B317" s="648">
        <v>151</v>
      </c>
      <c r="C317" s="658">
        <f t="shared" si="35"/>
        <v>-162</v>
      </c>
      <c r="D317" s="63">
        <f t="shared" si="32"/>
        <v>313</v>
      </c>
      <c r="E317" s="636">
        <v>3843</v>
      </c>
      <c r="F317" s="151" t="str">
        <f>IFERROR(VLOOKUP(Table6[[#This Row],[Player No]],Table10[[No]:[Province]],2,0),"")</f>
        <v>MRAWULI Manqoba</v>
      </c>
      <c r="G317" s="414" t="str">
        <f>IFERROR(VLOOKUP(Table6[[#This Row],[Player No]],Table10[[No]:[Province]],3,0),"")</f>
        <v>JTTA</v>
      </c>
      <c r="H317" s="650">
        <v>1</v>
      </c>
      <c r="I317" s="644">
        <v>0.5</v>
      </c>
      <c r="J317" s="819">
        <f>Table6[[#This Row],[Points 2025]]/2+SUM(Table6[[#This Row],[O1  ADMIN 2026]:[P2                           CT Open    2026]])</f>
        <v>0.25</v>
      </c>
      <c r="K317" s="63">
        <f t="shared" si="31"/>
        <v>0</v>
      </c>
      <c r="L317" s="63">
        <f t="shared" si="34"/>
        <v>0</v>
      </c>
      <c r="M317" s="708"/>
      <c r="N317" s="708" t="s">
        <v>6083</v>
      </c>
      <c r="O317" s="708" t="s">
        <v>6083</v>
      </c>
      <c r="P317" s="708"/>
      <c r="Q317" s="636"/>
      <c r="R317" s="636"/>
      <c r="S317" s="636"/>
      <c r="T317" s="442"/>
      <c r="U317" s="636"/>
      <c r="V317" s="636"/>
      <c r="W317" s="636"/>
      <c r="X317" s="708"/>
      <c r="Y317" s="636"/>
      <c r="Z317" s="442"/>
      <c r="AA317" s="636"/>
      <c r="AB317" s="636"/>
      <c r="AC317" s="636"/>
      <c r="AD317" s="636"/>
      <c r="AE317" s="636"/>
      <c r="AF317" s="636"/>
      <c r="AG317" s="636"/>
      <c r="AH317" s="636"/>
      <c r="AI317" s="636"/>
      <c r="AJ317" s="636"/>
      <c r="AK317" s="636"/>
      <c r="AL317" s="636"/>
      <c r="AM317" s="636"/>
      <c r="AN317" s="636">
        <v>1</v>
      </c>
      <c r="AO317" s="127"/>
    </row>
    <row r="318" spans="1:41">
      <c r="A318" s="652">
        <f>IFERROR(VLOOKUP(Table6[[#This Row],[Player No]],Table10[[#All],[No]:[Age Group]],4,0),"")</f>
        <v>0</v>
      </c>
      <c r="B318" s="648">
        <v>153</v>
      </c>
      <c r="C318" s="658">
        <f t="shared" si="35"/>
        <v>-161</v>
      </c>
      <c r="D318" s="63">
        <f t="shared" si="32"/>
        <v>314</v>
      </c>
      <c r="E318" s="636">
        <v>3845</v>
      </c>
      <c r="F318" s="151" t="str">
        <f>IFERROR(VLOOKUP(Table6[[#This Row],[Player No]],Table10[[No]:[Province]],2,0),"")</f>
        <v>GETACHEW Yonas</v>
      </c>
      <c r="G318" s="414" t="str">
        <f>IFERROR(VLOOKUP(Table6[[#This Row],[Player No]],Table10[[No]:[Province]],3,0),"")</f>
        <v>JTTA</v>
      </c>
      <c r="H318" s="650">
        <v>1</v>
      </c>
      <c r="I318" s="644">
        <v>0.5</v>
      </c>
      <c r="J318" s="819">
        <f>Table6[[#This Row],[Points 2025]]/2+SUM(Table6[[#This Row],[O1  ADMIN 2026]:[P2                           CT Open    2026]])</f>
        <v>0.25</v>
      </c>
      <c r="K318" s="63">
        <f t="shared" si="31"/>
        <v>0</v>
      </c>
      <c r="L318" s="63">
        <f t="shared" si="34"/>
        <v>0</v>
      </c>
      <c r="M318" s="708"/>
      <c r="N318" s="708" t="s">
        <v>6083</v>
      </c>
      <c r="O318" s="708" t="s">
        <v>6083</v>
      </c>
      <c r="P318" s="708"/>
      <c r="Q318" s="636"/>
      <c r="R318" s="636"/>
      <c r="S318" s="636"/>
      <c r="T318" s="442"/>
      <c r="U318" s="636"/>
      <c r="V318" s="636"/>
      <c r="W318" s="636"/>
      <c r="X318" s="708"/>
      <c r="Y318" s="636"/>
      <c r="Z318" s="442"/>
      <c r="AA318" s="636"/>
      <c r="AB318" s="636"/>
      <c r="AC318" s="636"/>
      <c r="AD318" s="636"/>
      <c r="AE318" s="636"/>
      <c r="AF318" s="636"/>
      <c r="AG318" s="636"/>
      <c r="AH318" s="636"/>
      <c r="AI318" s="636"/>
      <c r="AJ318" s="636"/>
      <c r="AK318" s="636"/>
      <c r="AL318" s="636"/>
      <c r="AM318" s="636"/>
      <c r="AN318" s="636">
        <v>1</v>
      </c>
      <c r="AO318" s="127"/>
    </row>
    <row r="319" spans="1:41">
      <c r="A319" s="652">
        <f>IFERROR(VLOOKUP(Table6[[#This Row],[Player No]],Table10[[#All],[No]:[Age Group]],4,0),"")</f>
        <v>0</v>
      </c>
      <c r="B319" s="648">
        <v>158</v>
      </c>
      <c r="C319" s="658">
        <f t="shared" si="35"/>
        <v>-157</v>
      </c>
      <c r="D319" s="63">
        <f t="shared" si="32"/>
        <v>315</v>
      </c>
      <c r="E319" s="636">
        <v>3863</v>
      </c>
      <c r="F319" s="151" t="str">
        <f>IFERROR(VLOOKUP(Table6[[#This Row],[Player No]],Table10[[No]:[Province]],2,0),"")</f>
        <v>TALLA John</v>
      </c>
      <c r="G319" s="414" t="str">
        <f>IFERROR(VLOOKUP(Table6[[#This Row],[Player No]],Table10[[No]:[Province]],3,0),"")</f>
        <v>JTTA</v>
      </c>
      <c r="H319" s="650">
        <v>1</v>
      </c>
      <c r="I319" s="644">
        <v>0.5</v>
      </c>
      <c r="J319" s="819">
        <f>Table6[[#This Row],[Points 2025]]/2+SUM(Table6[[#This Row],[O1  ADMIN 2026]:[P2                           CT Open    2026]])</f>
        <v>0.25</v>
      </c>
      <c r="K319" s="63">
        <f t="shared" si="31"/>
        <v>0</v>
      </c>
      <c r="L319" s="63">
        <f t="shared" si="34"/>
        <v>0</v>
      </c>
      <c r="M319" s="708"/>
      <c r="N319" s="708" t="s">
        <v>6083</v>
      </c>
      <c r="O319" s="708" t="s">
        <v>6083</v>
      </c>
      <c r="P319" s="708"/>
      <c r="Q319" s="636"/>
      <c r="R319" s="636"/>
      <c r="S319" s="636"/>
      <c r="T319" s="442"/>
      <c r="U319" s="636"/>
      <c r="V319" s="636"/>
      <c r="W319" s="636"/>
      <c r="X319" s="708"/>
      <c r="Y319" s="636"/>
      <c r="Z319" s="442"/>
      <c r="AA319" s="636"/>
      <c r="AB319" s="636"/>
      <c r="AC319" s="636"/>
      <c r="AD319" s="636"/>
      <c r="AE319" s="636"/>
      <c r="AF319" s="636"/>
      <c r="AG319" s="636"/>
      <c r="AH319" s="636"/>
      <c r="AI319" s="636"/>
      <c r="AJ319" s="636"/>
      <c r="AK319" s="636"/>
      <c r="AL319" s="636">
        <v>1</v>
      </c>
      <c r="AM319" s="636"/>
      <c r="AN319" s="636"/>
      <c r="AO319" s="127"/>
    </row>
    <row r="320" spans="1:41">
      <c r="A320" s="652">
        <f>IFERROR(VLOOKUP(Table6[[#This Row],[Player No]],Table10[[#All],[No]:[Age Group]],4,0),"")</f>
        <v>0</v>
      </c>
      <c r="B320" s="648">
        <v>159</v>
      </c>
      <c r="C320" s="658">
        <f t="shared" si="35"/>
        <v>-157</v>
      </c>
      <c r="D320" s="63">
        <f t="shared" si="32"/>
        <v>316</v>
      </c>
      <c r="E320" s="636">
        <v>3927</v>
      </c>
      <c r="F320" s="151" t="str">
        <f>IFERROR(VLOOKUP(Table6[[#This Row],[Player No]],Table10[[No]:[Province]],2,0),"")</f>
        <v>JONES Trent</v>
      </c>
      <c r="G320" s="414" t="str">
        <f>IFERROR(VLOOKUP(Table6[[#This Row],[Player No]],Table10[[No]:[Province]],3,0),"")</f>
        <v>JTTA</v>
      </c>
      <c r="H320" s="650">
        <v>1</v>
      </c>
      <c r="I320" s="644">
        <v>0.5</v>
      </c>
      <c r="J320" s="819">
        <f>Table6[[#This Row],[Points 2025]]/2+SUM(Table6[[#This Row],[O1  ADMIN 2026]:[P2                           CT Open    2026]])</f>
        <v>0.25</v>
      </c>
      <c r="K320" s="63">
        <f t="shared" si="31"/>
        <v>0</v>
      </c>
      <c r="L320" s="63">
        <f t="shared" ref="L320:L345" si="36">COUNTIF(N320:AO320,"&lt;0")</f>
        <v>0</v>
      </c>
      <c r="M320" s="708"/>
      <c r="N320" s="708" t="s">
        <v>6083</v>
      </c>
      <c r="O320" s="708" t="s">
        <v>6083</v>
      </c>
      <c r="P320" s="708"/>
      <c r="Q320" s="636"/>
      <c r="R320" s="636"/>
      <c r="S320" s="636"/>
      <c r="T320" s="442"/>
      <c r="U320" s="636"/>
      <c r="V320" s="636"/>
      <c r="W320" s="636"/>
      <c r="X320" s="708"/>
      <c r="Y320" s="636"/>
      <c r="Z320" s="442"/>
      <c r="AA320" s="636"/>
      <c r="AB320" s="636"/>
      <c r="AC320" s="636"/>
      <c r="AD320" s="636"/>
      <c r="AE320" s="636"/>
      <c r="AF320" s="636"/>
      <c r="AG320" s="636"/>
      <c r="AH320" s="636"/>
      <c r="AI320" s="636"/>
      <c r="AJ320" s="636"/>
      <c r="AK320" s="636"/>
      <c r="AL320" s="636">
        <v>1</v>
      </c>
      <c r="AM320" s="636"/>
      <c r="AN320" s="636"/>
      <c r="AO320" s="127"/>
    </row>
    <row r="321" spans="1:41">
      <c r="A321" s="652">
        <f>IFERROR(VLOOKUP(Table6[[#This Row],[Player No]],Table10[[#All],[No]:[Age Group]],4,0),"")</f>
        <v>0</v>
      </c>
      <c r="B321" s="648">
        <v>160</v>
      </c>
      <c r="C321" s="658">
        <f t="shared" si="35"/>
        <v>-157</v>
      </c>
      <c r="D321" s="63">
        <f t="shared" si="32"/>
        <v>317</v>
      </c>
      <c r="E321" s="636">
        <v>3928</v>
      </c>
      <c r="F321" s="151" t="str">
        <f>IFERROR(VLOOKUP(Table6[[#This Row],[Player No]],Table10[[No]:[Province]],2,0),"")</f>
        <v>ZAR Benjamin</v>
      </c>
      <c r="G321" s="414" t="str">
        <f>IFERROR(VLOOKUP(Table6[[#This Row],[Player No]],Table10[[No]:[Province]],3,0),"")</f>
        <v>JTTA</v>
      </c>
      <c r="H321" s="650">
        <v>1</v>
      </c>
      <c r="I321" s="644">
        <v>0.5</v>
      </c>
      <c r="J321" s="819">
        <f>Table6[[#This Row],[Points 2025]]/2+SUM(Table6[[#This Row],[O1  ADMIN 2026]:[P2                           CT Open    2026]])</f>
        <v>0.25</v>
      </c>
      <c r="K321" s="63">
        <f t="shared" si="31"/>
        <v>0</v>
      </c>
      <c r="L321" s="63">
        <f t="shared" si="36"/>
        <v>0</v>
      </c>
      <c r="M321" s="708"/>
      <c r="N321" s="708" t="s">
        <v>6083</v>
      </c>
      <c r="O321" s="708" t="s">
        <v>6083</v>
      </c>
      <c r="P321" s="708"/>
      <c r="Q321" s="636"/>
      <c r="R321" s="636"/>
      <c r="S321" s="636"/>
      <c r="T321" s="442"/>
      <c r="U321" s="636"/>
      <c r="V321" s="636"/>
      <c r="W321" s="636"/>
      <c r="X321" s="708"/>
      <c r="Y321" s="636"/>
      <c r="Z321" s="442"/>
      <c r="AA321" s="636"/>
      <c r="AB321" s="636"/>
      <c r="AC321" s="636"/>
      <c r="AD321" s="636"/>
      <c r="AE321" s="636"/>
      <c r="AF321" s="636"/>
      <c r="AG321" s="636"/>
      <c r="AH321" s="636"/>
      <c r="AI321" s="636"/>
      <c r="AJ321" s="636"/>
      <c r="AK321" s="636"/>
      <c r="AL321" s="636">
        <v>1</v>
      </c>
      <c r="AM321" s="636"/>
      <c r="AN321" s="636"/>
      <c r="AO321" s="127"/>
    </row>
    <row r="322" spans="1:41">
      <c r="A322" s="652">
        <f>IFERROR(VLOOKUP(Table6[[#This Row],[Player No]],Table10[[#All],[No]:[Age Group]],4,0),"")</f>
        <v>0</v>
      </c>
      <c r="B322" s="648">
        <v>161</v>
      </c>
      <c r="C322" s="658">
        <f t="shared" si="35"/>
        <v>-157</v>
      </c>
      <c r="D322" s="63">
        <f t="shared" si="32"/>
        <v>318</v>
      </c>
      <c r="E322" s="636">
        <v>3934</v>
      </c>
      <c r="F322" s="151" t="str">
        <f>IFERROR(VLOOKUP(Table6[[#This Row],[Player No]],Table10[[No]:[Province]],2,0),"")</f>
        <v>GERSON Raphi</v>
      </c>
      <c r="G322" s="414" t="str">
        <f>IFERROR(VLOOKUP(Table6[[#This Row],[Player No]],Table10[[No]:[Province]],3,0),"")</f>
        <v>JTTA</v>
      </c>
      <c r="H322" s="650">
        <v>1</v>
      </c>
      <c r="I322" s="644">
        <v>0.5</v>
      </c>
      <c r="J322" s="819">
        <f>Table6[[#This Row],[Points 2025]]/2+SUM(Table6[[#This Row],[O1  ADMIN 2026]:[P2                           CT Open    2026]])</f>
        <v>0.25</v>
      </c>
      <c r="K322" s="63">
        <f t="shared" si="31"/>
        <v>0</v>
      </c>
      <c r="L322" s="63">
        <f t="shared" si="36"/>
        <v>0</v>
      </c>
      <c r="M322" s="708"/>
      <c r="N322" s="708" t="s">
        <v>6083</v>
      </c>
      <c r="O322" s="708" t="s">
        <v>6083</v>
      </c>
      <c r="P322" s="708"/>
      <c r="Q322" s="636"/>
      <c r="R322" s="636"/>
      <c r="S322" s="636"/>
      <c r="T322" s="442"/>
      <c r="U322" s="636"/>
      <c r="V322" s="636"/>
      <c r="W322" s="636"/>
      <c r="X322" s="708"/>
      <c r="Y322" s="636"/>
      <c r="Z322" s="442"/>
      <c r="AA322" s="636"/>
      <c r="AB322" s="636"/>
      <c r="AC322" s="636"/>
      <c r="AD322" s="636"/>
      <c r="AE322" s="636"/>
      <c r="AF322" s="636"/>
      <c r="AG322" s="636"/>
      <c r="AH322" s="636"/>
      <c r="AI322" s="636"/>
      <c r="AJ322" s="636"/>
      <c r="AK322" s="636"/>
      <c r="AL322" s="636">
        <v>1</v>
      </c>
      <c r="AM322" s="636"/>
      <c r="AN322" s="636"/>
      <c r="AO322" s="127"/>
    </row>
    <row r="323" spans="1:41">
      <c r="A323" s="652">
        <f>IFERROR(VLOOKUP(Table6[[#This Row],[Player No]],Table10[[#All],[No]:[Age Group]],4,0),"")</f>
        <v>0</v>
      </c>
      <c r="B323" s="648">
        <v>162</v>
      </c>
      <c r="C323" s="658"/>
      <c r="D323" s="63">
        <f t="shared" si="32"/>
        <v>319</v>
      </c>
      <c r="E323" s="636">
        <v>4082</v>
      </c>
      <c r="F323" s="151" t="str">
        <f>IFERROR(VLOOKUP(Table6[[#This Row],[Player No]],Table10[[No]:[Province]],2,0),"")</f>
        <v>Manqoba Nyamate</v>
      </c>
      <c r="G323" s="414" t="str">
        <f>IFERROR(VLOOKUP(Table6[[#This Row],[Player No]],Table10[[No]:[Province]],3,0),"")</f>
        <v>JTTA</v>
      </c>
      <c r="H323" s="650">
        <v>1</v>
      </c>
      <c r="I323" s="644">
        <v>0.5</v>
      </c>
      <c r="J323" s="819">
        <f>Table6[[#This Row],[Points 2025]]/2+SUM(Table6[[#This Row],[O1  ADMIN 2026]:[P2                           CT Open    2026]])</f>
        <v>0.25</v>
      </c>
      <c r="K323" s="63">
        <f t="shared" si="31"/>
        <v>0</v>
      </c>
      <c r="L323" s="63">
        <f t="shared" si="36"/>
        <v>0</v>
      </c>
      <c r="M323" s="708"/>
      <c r="N323" s="708" t="s">
        <v>6083</v>
      </c>
      <c r="O323" s="708" t="s">
        <v>6083</v>
      </c>
      <c r="P323" s="708"/>
      <c r="Q323" s="636"/>
      <c r="R323" s="636"/>
      <c r="S323" s="636"/>
      <c r="T323" s="442"/>
      <c r="U323" s="636"/>
      <c r="V323" s="636"/>
      <c r="W323" s="636"/>
      <c r="X323" s="708"/>
      <c r="Y323" s="636"/>
      <c r="Z323" s="442"/>
      <c r="AA323" s="636"/>
      <c r="AB323" s="636"/>
      <c r="AC323" s="636"/>
      <c r="AD323" s="636"/>
      <c r="AE323" s="636"/>
      <c r="AF323" s="636"/>
      <c r="AG323" s="636"/>
      <c r="AH323" s="636"/>
      <c r="AI323" s="636"/>
      <c r="AJ323" s="636"/>
      <c r="AK323" s="636">
        <v>1</v>
      </c>
      <c r="AL323" s="636"/>
      <c r="AM323" s="636"/>
      <c r="AN323" s="636"/>
      <c r="AO323" s="127"/>
    </row>
    <row r="324" spans="1:41">
      <c r="A324" s="647"/>
      <c r="B324" s="648">
        <v>163</v>
      </c>
      <c r="C324" s="658">
        <f t="shared" ref="C324:C345" si="37">+B324-D324</f>
        <v>-157</v>
      </c>
      <c r="D324" s="63">
        <f t="shared" si="32"/>
        <v>320</v>
      </c>
      <c r="E324" s="636">
        <v>4529</v>
      </c>
      <c r="F324" s="151" t="str">
        <f>IFERROR(VLOOKUP(Table6[[#This Row],[Player No]],Table10[[No]:[Province]],2,0),"")</f>
        <v xml:space="preserve">HENDRICKS Andrew </v>
      </c>
      <c r="G324" s="414" t="str">
        <f>IFERROR(VLOOKUP(Table6[[#This Row],[Player No]],Table10[[No]:[Province]],3,0),"")</f>
        <v>CW</v>
      </c>
      <c r="H324" s="650">
        <v>1</v>
      </c>
      <c r="I324" s="644">
        <v>0.5</v>
      </c>
      <c r="J324" s="819">
        <f>Table6[[#This Row],[Points 2025]]/2+SUM(Table6[[#This Row],[O1  ADMIN 2026]:[P2                           CT Open    2026]])</f>
        <v>0.25</v>
      </c>
      <c r="K324" s="63">
        <f t="shared" si="31"/>
        <v>0</v>
      </c>
      <c r="L324" s="63">
        <f t="shared" si="36"/>
        <v>0</v>
      </c>
      <c r="M324" s="708"/>
      <c r="N324" s="708" t="s">
        <v>6083</v>
      </c>
      <c r="O324" s="708" t="s">
        <v>6083</v>
      </c>
      <c r="P324" s="708"/>
      <c r="Q324" s="636"/>
      <c r="R324" s="636"/>
      <c r="S324" s="636"/>
      <c r="T324" s="442"/>
      <c r="U324" s="636"/>
      <c r="V324" s="636"/>
      <c r="W324" s="636"/>
      <c r="X324" s="708"/>
      <c r="Y324" s="636"/>
      <c r="Z324" s="442"/>
      <c r="AA324" s="636"/>
      <c r="AB324" s="636"/>
      <c r="AC324" s="636"/>
      <c r="AD324" s="636"/>
      <c r="AE324" s="636"/>
      <c r="AF324" s="636"/>
      <c r="AG324" s="636"/>
      <c r="AH324" s="636">
        <v>1</v>
      </c>
      <c r="AI324" s="636"/>
      <c r="AJ324" s="636"/>
      <c r="AK324" s="636"/>
      <c r="AL324" s="636"/>
      <c r="AM324" s="636"/>
      <c r="AN324" s="636"/>
      <c r="AO324" s="127"/>
    </row>
    <row r="325" spans="1:41">
      <c r="A325" s="647"/>
      <c r="B325" s="648">
        <v>164</v>
      </c>
      <c r="C325" s="658">
        <f t="shared" si="37"/>
        <v>-157</v>
      </c>
      <c r="D325" s="63">
        <f t="shared" si="32"/>
        <v>321</v>
      </c>
      <c r="E325" s="779">
        <v>4547</v>
      </c>
      <c r="F325" s="151" t="str">
        <f>IFERROR(VLOOKUP(Table6[[#This Row],[Player No]],Table10[[No]:[Province]],2,0),"")</f>
        <v xml:space="preserve">SIMON Imtiyaaz </v>
      </c>
      <c r="G325" s="414" t="str">
        <f>IFERROR(VLOOKUP(Table6[[#This Row],[Player No]],Table10[[No]:[Province]],3,0),"")</f>
        <v>CT</v>
      </c>
      <c r="H325" s="650">
        <v>1</v>
      </c>
      <c r="I325" s="644">
        <v>0.5</v>
      </c>
      <c r="J325" s="819">
        <f>Table6[[#This Row],[Points 2025]]/2+SUM(Table6[[#This Row],[O1  ADMIN 2026]:[P2                           CT Open    2026]])</f>
        <v>0.25</v>
      </c>
      <c r="K325" s="63">
        <f t="shared" ref="K325:K345" si="38">COUNTIF(M325:P325,"&gt;0")</f>
        <v>0</v>
      </c>
      <c r="L325" s="63">
        <f t="shared" si="36"/>
        <v>0</v>
      </c>
      <c r="M325" s="708"/>
      <c r="N325" s="708" t="s">
        <v>6083</v>
      </c>
      <c r="O325" s="708" t="s">
        <v>6083</v>
      </c>
      <c r="P325" s="708"/>
      <c r="Q325" s="636"/>
      <c r="R325" s="636"/>
      <c r="S325" s="636"/>
      <c r="T325" s="442"/>
      <c r="U325" s="636"/>
      <c r="V325" s="636"/>
      <c r="W325" s="636"/>
      <c r="X325" s="708"/>
      <c r="Y325" s="636"/>
      <c r="Z325" s="442"/>
      <c r="AA325" s="636"/>
      <c r="AB325" s="636"/>
      <c r="AC325" s="636"/>
      <c r="AD325" s="636"/>
      <c r="AE325" s="636"/>
      <c r="AF325" s="636"/>
      <c r="AG325" s="636"/>
      <c r="AH325" s="636">
        <v>1</v>
      </c>
      <c r="AI325" s="636"/>
      <c r="AJ325" s="636"/>
      <c r="AK325" s="636"/>
      <c r="AL325" s="636"/>
      <c r="AM325" s="636"/>
      <c r="AN325" s="636"/>
      <c r="AO325" s="127"/>
    </row>
    <row r="326" spans="1:41">
      <c r="A326" s="647"/>
      <c r="B326" s="648">
        <v>165</v>
      </c>
      <c r="C326" s="658">
        <f t="shared" si="37"/>
        <v>-157</v>
      </c>
      <c r="D326" s="63">
        <f t="shared" si="32"/>
        <v>322</v>
      </c>
      <c r="E326" s="779">
        <v>4551</v>
      </c>
      <c r="F326" s="151" t="str">
        <f>IFERROR(VLOOKUP(Table6[[#This Row],[Player No]],Table10[[No]:[Province]],2,0),"")</f>
        <v xml:space="preserve">FARMER Marchileno </v>
      </c>
      <c r="G326" s="414" t="str">
        <f>IFERROR(VLOOKUP(Table6[[#This Row],[Player No]],Table10[[No]:[Province]],3,0),"")</f>
        <v>CT</v>
      </c>
      <c r="H326" s="650">
        <v>1</v>
      </c>
      <c r="I326" s="644">
        <v>0.5</v>
      </c>
      <c r="J326" s="819">
        <f>Table6[[#This Row],[Points 2025]]/2+SUM(Table6[[#This Row],[O1  ADMIN 2026]:[P2                           CT Open    2026]])</f>
        <v>0.25</v>
      </c>
      <c r="K326" s="63">
        <f t="shared" si="38"/>
        <v>0</v>
      </c>
      <c r="L326" s="63">
        <f t="shared" si="36"/>
        <v>0</v>
      </c>
      <c r="M326" s="708"/>
      <c r="N326" s="708" t="s">
        <v>6083</v>
      </c>
      <c r="O326" s="708" t="s">
        <v>6083</v>
      </c>
      <c r="P326" s="708"/>
      <c r="Q326" s="636"/>
      <c r="R326" s="636"/>
      <c r="S326" s="636"/>
      <c r="T326" s="442"/>
      <c r="U326" s="636"/>
      <c r="V326" s="636"/>
      <c r="W326" s="636"/>
      <c r="X326" s="708"/>
      <c r="Y326" s="636"/>
      <c r="Z326" s="442"/>
      <c r="AA326" s="636"/>
      <c r="AB326" s="636"/>
      <c r="AC326" s="636"/>
      <c r="AD326" s="636"/>
      <c r="AE326" s="636"/>
      <c r="AF326" s="636"/>
      <c r="AG326" s="636"/>
      <c r="AH326" s="636">
        <v>1</v>
      </c>
      <c r="AI326" s="636"/>
      <c r="AJ326" s="636"/>
      <c r="AK326" s="636"/>
      <c r="AL326" s="636"/>
      <c r="AM326" s="636"/>
      <c r="AN326" s="636"/>
      <c r="AO326" s="127"/>
    </row>
    <row r="327" spans="1:41">
      <c r="A327" s="647"/>
      <c r="B327" s="648">
        <v>166</v>
      </c>
      <c r="C327" s="658">
        <f t="shared" si="37"/>
        <v>-157</v>
      </c>
      <c r="D327" s="63">
        <f t="shared" ref="D327:D345" si="39">+D326+1</f>
        <v>323</v>
      </c>
      <c r="E327" s="779">
        <v>4553</v>
      </c>
      <c r="F327" s="151" t="str">
        <f>IFERROR(VLOOKUP(Table6[[#This Row],[Player No]],Table10[[No]:[Province]],2,0),"")</f>
        <v xml:space="preserve">DELGADA Cayden </v>
      </c>
      <c r="G327" s="414" t="str">
        <f>IFERROR(VLOOKUP(Table6[[#This Row],[Player No]],Table10[[No]:[Province]],3,0),"")</f>
        <v>CT</v>
      </c>
      <c r="H327" s="650">
        <v>1</v>
      </c>
      <c r="I327" s="644">
        <v>0.5</v>
      </c>
      <c r="J327" s="819">
        <f>Table6[[#This Row],[Points 2025]]/2+SUM(Table6[[#This Row],[O1  ADMIN 2026]:[P2                           CT Open    2026]])</f>
        <v>0.25</v>
      </c>
      <c r="K327" s="63">
        <f t="shared" si="38"/>
        <v>0</v>
      </c>
      <c r="L327" s="63">
        <f t="shared" si="36"/>
        <v>0</v>
      </c>
      <c r="M327" s="708"/>
      <c r="N327" s="708" t="s">
        <v>6083</v>
      </c>
      <c r="O327" s="708" t="s">
        <v>6083</v>
      </c>
      <c r="P327" s="708"/>
      <c r="Q327" s="636"/>
      <c r="R327" s="636"/>
      <c r="S327" s="636"/>
      <c r="T327" s="442"/>
      <c r="U327" s="636"/>
      <c r="V327" s="636"/>
      <c r="W327" s="636"/>
      <c r="X327" s="708"/>
      <c r="Y327" s="636"/>
      <c r="Z327" s="442"/>
      <c r="AA327" s="636"/>
      <c r="AB327" s="636"/>
      <c r="AC327" s="636"/>
      <c r="AD327" s="636"/>
      <c r="AE327" s="636"/>
      <c r="AF327" s="636"/>
      <c r="AG327" s="636"/>
      <c r="AH327" s="636">
        <v>1</v>
      </c>
      <c r="AI327" s="636"/>
      <c r="AJ327" s="636"/>
      <c r="AK327" s="636"/>
      <c r="AL327" s="636"/>
      <c r="AM327" s="636"/>
      <c r="AN327" s="636"/>
      <c r="AO327" s="127"/>
    </row>
    <row r="328" spans="1:41">
      <c r="A328" s="731"/>
      <c r="B328" s="648">
        <v>167</v>
      </c>
      <c r="C328" s="733">
        <f t="shared" si="37"/>
        <v>-157</v>
      </c>
      <c r="D328" s="63">
        <f t="shared" si="39"/>
        <v>324</v>
      </c>
      <c r="E328" s="734">
        <v>3415</v>
      </c>
      <c r="F328" s="349" t="str">
        <f>IFERROR(VLOOKUP(Table6[[#This Row],[Player No]],Table10[[No]:[Province]],2,0),"")</f>
        <v>BUYS Logan</v>
      </c>
      <c r="G328" s="414" t="str">
        <f>IFERROR(VLOOKUP(Table6[[#This Row],[Player No]],Table10[[No]:[Province]],3,0),"")</f>
        <v>CW</v>
      </c>
      <c r="H328" s="650">
        <v>0</v>
      </c>
      <c r="I328" s="644">
        <v>0.5</v>
      </c>
      <c r="J328" s="819">
        <f>Table6[[#This Row],[Points 2025]]/2+SUM(Table6[[#This Row],[O1  ADMIN 2026]:[P2                           CT Open    2026]])</f>
        <v>0.25</v>
      </c>
      <c r="K328" s="63">
        <f t="shared" si="38"/>
        <v>0</v>
      </c>
      <c r="L328" s="63">
        <f t="shared" si="36"/>
        <v>0</v>
      </c>
      <c r="M328" s="708"/>
      <c r="N328" s="826" t="s">
        <v>6083</v>
      </c>
      <c r="O328" s="826" t="s">
        <v>6083</v>
      </c>
      <c r="P328" s="826"/>
      <c r="Q328" s="637"/>
      <c r="R328" s="637"/>
      <c r="S328" s="637"/>
      <c r="T328" s="642"/>
      <c r="U328" s="637"/>
      <c r="V328" s="637"/>
      <c r="W328" s="637"/>
      <c r="X328" s="711"/>
      <c r="Y328" s="637"/>
      <c r="Z328" s="642"/>
      <c r="AA328" s="637"/>
      <c r="AB328" s="637"/>
      <c r="AC328" s="637"/>
      <c r="AD328" s="637">
        <v>0.5</v>
      </c>
      <c r="AE328" s="637"/>
      <c r="AF328" s="637"/>
      <c r="AG328" s="637"/>
      <c r="AH328" s="637"/>
      <c r="AI328" s="637"/>
      <c r="AJ328" s="637"/>
      <c r="AK328" s="637"/>
      <c r="AL328" s="637"/>
      <c r="AM328" s="637"/>
      <c r="AN328" s="637"/>
      <c r="AO328" s="705"/>
    </row>
    <row r="329" spans="1:41">
      <c r="A329" s="731"/>
      <c r="B329" s="648">
        <v>168</v>
      </c>
      <c r="C329" s="733">
        <f t="shared" si="37"/>
        <v>-157</v>
      </c>
      <c r="D329" s="63">
        <f t="shared" si="39"/>
        <v>325</v>
      </c>
      <c r="E329" s="734">
        <v>4178</v>
      </c>
      <c r="F329" s="349" t="str">
        <f>IFERROR(VLOOKUP(Table6[[#This Row],[Player No]],Table10[[No]:[Province]],2,0),"")</f>
        <v>Gideon STOMPIES</v>
      </c>
      <c r="G329" s="414" t="str">
        <f>IFERROR(VLOOKUP(Table6[[#This Row],[Player No]],Table10[[No]:[Province]],3,0),"")</f>
        <v>CT</v>
      </c>
      <c r="H329" s="650">
        <v>0</v>
      </c>
      <c r="I329" s="644">
        <v>0.5</v>
      </c>
      <c r="J329" s="819">
        <f>Table6[[#This Row],[Points 2025]]/2+SUM(Table6[[#This Row],[O1  ADMIN 2026]:[P2                           CT Open    2026]])</f>
        <v>0.25</v>
      </c>
      <c r="K329" s="63">
        <f t="shared" si="38"/>
        <v>0</v>
      </c>
      <c r="L329" s="63">
        <f t="shared" si="36"/>
        <v>0</v>
      </c>
      <c r="M329" s="708"/>
      <c r="N329" s="826" t="s">
        <v>6083</v>
      </c>
      <c r="O329" s="826" t="s">
        <v>6083</v>
      </c>
      <c r="P329" s="826"/>
      <c r="Q329" s="637"/>
      <c r="R329" s="637"/>
      <c r="S329" s="637"/>
      <c r="T329" s="642"/>
      <c r="U329" s="637"/>
      <c r="V329" s="637"/>
      <c r="W329" s="637"/>
      <c r="X329" s="711"/>
      <c r="Y329" s="637"/>
      <c r="Z329" s="642"/>
      <c r="AA329" s="637"/>
      <c r="AB329" s="637"/>
      <c r="AC329" s="637"/>
      <c r="AD329" s="637">
        <v>0.5</v>
      </c>
      <c r="AE329" s="637"/>
      <c r="AF329" s="637"/>
      <c r="AG329" s="637"/>
      <c r="AH329" s="637"/>
      <c r="AI329" s="637"/>
      <c r="AJ329" s="637"/>
      <c r="AK329" s="637"/>
      <c r="AL329" s="637"/>
      <c r="AM329" s="637"/>
      <c r="AN329" s="637"/>
      <c r="AO329" s="705"/>
    </row>
    <row r="330" spans="1:41">
      <c r="A330" s="731"/>
      <c r="B330" s="648">
        <v>169</v>
      </c>
      <c r="C330" s="733">
        <f t="shared" si="37"/>
        <v>-157</v>
      </c>
      <c r="D330" s="63">
        <f t="shared" si="39"/>
        <v>326</v>
      </c>
      <c r="E330" s="734">
        <v>4531</v>
      </c>
      <c r="F330" s="349" t="str">
        <f>IFERROR(VLOOKUP(Table6[[#This Row],[Player No]],Table10[[No]:[Province]],2,0),"")</f>
        <v xml:space="preserve">VERMAAK Christiaan </v>
      </c>
      <c r="G330" s="414" t="str">
        <f>IFERROR(VLOOKUP(Table6[[#This Row],[Player No]],Table10[[No]:[Province]],3,0),"")</f>
        <v>CW</v>
      </c>
      <c r="H330" s="650">
        <v>0</v>
      </c>
      <c r="I330" s="644">
        <v>0.5</v>
      </c>
      <c r="J330" s="819">
        <f>Table6[[#This Row],[Points 2025]]/2+SUM(Table6[[#This Row],[O1  ADMIN 2026]:[P2                           CT Open    2026]])</f>
        <v>0.25</v>
      </c>
      <c r="K330" s="63">
        <f t="shared" si="38"/>
        <v>0</v>
      </c>
      <c r="L330" s="63">
        <f t="shared" si="36"/>
        <v>0</v>
      </c>
      <c r="M330" s="708"/>
      <c r="N330" s="826" t="s">
        <v>6083</v>
      </c>
      <c r="O330" s="826" t="s">
        <v>6083</v>
      </c>
      <c r="P330" s="826"/>
      <c r="Q330" s="637"/>
      <c r="R330" s="637"/>
      <c r="S330" s="637"/>
      <c r="T330" s="642"/>
      <c r="U330" s="637"/>
      <c r="V330" s="637"/>
      <c r="W330" s="637"/>
      <c r="X330" s="711"/>
      <c r="Y330" s="637"/>
      <c r="Z330" s="642"/>
      <c r="AA330" s="637"/>
      <c r="AB330" s="637"/>
      <c r="AC330" s="637"/>
      <c r="AD330" s="637">
        <v>0.5</v>
      </c>
      <c r="AE330" s="637"/>
      <c r="AF330" s="637"/>
      <c r="AG330" s="637"/>
      <c r="AH330" s="637"/>
      <c r="AI330" s="637"/>
      <c r="AJ330" s="637"/>
      <c r="AK330" s="637"/>
      <c r="AL330" s="637"/>
      <c r="AM330" s="637"/>
      <c r="AN330" s="637"/>
      <c r="AO330" s="705"/>
    </row>
    <row r="331" spans="1:41">
      <c r="A331" s="731"/>
      <c r="B331" s="648">
        <v>170</v>
      </c>
      <c r="C331" s="733">
        <f t="shared" si="37"/>
        <v>-157</v>
      </c>
      <c r="D331" s="63">
        <f t="shared" si="39"/>
        <v>327</v>
      </c>
      <c r="E331" s="734">
        <v>4560</v>
      </c>
      <c r="F331" s="349" t="str">
        <f>IFERROR(VLOOKUP(Table6[[#This Row],[Player No]],Table10[[No]:[Province]],2,0),"")</f>
        <v xml:space="preserve">SASMAN Abubakr </v>
      </c>
      <c r="G331" s="414" t="str">
        <f>IFERROR(VLOOKUP(Table6[[#This Row],[Player No]],Table10[[No]:[Province]],3,0),"")</f>
        <v>CT</v>
      </c>
      <c r="H331" s="650">
        <v>0</v>
      </c>
      <c r="I331" s="644">
        <v>0.375</v>
      </c>
      <c r="J331" s="819">
        <f>Table6[[#This Row],[Points 2025]]/2+SUM(Table6[[#This Row],[O1  ADMIN 2026]:[P2                           CT Open    2026]])</f>
        <v>0.1875</v>
      </c>
      <c r="K331" s="63">
        <f t="shared" si="38"/>
        <v>0</v>
      </c>
      <c r="L331" s="63">
        <f t="shared" si="36"/>
        <v>0</v>
      </c>
      <c r="M331" s="708"/>
      <c r="N331" s="826" t="s">
        <v>6083</v>
      </c>
      <c r="O331" s="826" t="s">
        <v>6083</v>
      </c>
      <c r="P331" s="826"/>
      <c r="Q331" s="637"/>
      <c r="R331" s="637"/>
      <c r="S331" s="637"/>
      <c r="T331" s="642"/>
      <c r="U331" s="637"/>
      <c r="V331" s="637"/>
      <c r="W331" s="637"/>
      <c r="X331" s="711"/>
      <c r="Y331" s="637"/>
      <c r="Z331" s="642"/>
      <c r="AA331" s="637"/>
      <c r="AB331" s="637"/>
      <c r="AC331" s="637"/>
      <c r="AD331" s="637">
        <v>0.5</v>
      </c>
      <c r="AE331" s="637"/>
      <c r="AF331" s="637"/>
      <c r="AG331" s="637"/>
      <c r="AH331" s="637"/>
      <c r="AI331" s="637"/>
      <c r="AJ331" s="637"/>
      <c r="AK331" s="637"/>
      <c r="AL331" s="637"/>
      <c r="AM331" s="637"/>
      <c r="AN331" s="637"/>
      <c r="AO331" s="705"/>
    </row>
    <row r="332" spans="1:41">
      <c r="A332" s="731"/>
      <c r="B332" s="648">
        <v>171</v>
      </c>
      <c r="C332" s="733">
        <f t="shared" si="37"/>
        <v>-157</v>
      </c>
      <c r="D332" s="63">
        <f t="shared" si="39"/>
        <v>328</v>
      </c>
      <c r="E332" s="734">
        <v>4561</v>
      </c>
      <c r="F332" s="349" t="str">
        <f>IFERROR(VLOOKUP(Table6[[#This Row],[Player No]],Table10[[No]:[Province]],2,0),"")</f>
        <v xml:space="preserve">MENTOR Nahum </v>
      </c>
      <c r="G332" s="414" t="str">
        <f>IFERROR(VLOOKUP(Table6[[#This Row],[Player No]],Table10[[No]:[Province]],3,0),"")</f>
        <v>CT</v>
      </c>
      <c r="H332" s="650">
        <v>0</v>
      </c>
      <c r="I332" s="644">
        <v>0.25</v>
      </c>
      <c r="J332" s="819">
        <f>Table6[[#This Row],[Points 2025]]/2+SUM(Table6[[#This Row],[O1  ADMIN 2026]:[P2                           CT Open    2026]])</f>
        <v>0.125</v>
      </c>
      <c r="K332" s="63">
        <f t="shared" si="38"/>
        <v>0</v>
      </c>
      <c r="L332" s="63">
        <f t="shared" si="36"/>
        <v>0</v>
      </c>
      <c r="M332" s="708"/>
      <c r="N332" s="826" t="s">
        <v>6083</v>
      </c>
      <c r="O332" s="826" t="s">
        <v>6083</v>
      </c>
      <c r="P332" s="826"/>
      <c r="Q332" s="637"/>
      <c r="R332" s="637"/>
      <c r="S332" s="637"/>
      <c r="T332" s="642"/>
      <c r="U332" s="637"/>
      <c r="V332" s="637"/>
      <c r="W332" s="637"/>
      <c r="X332" s="711"/>
      <c r="Y332" s="637"/>
      <c r="Z332" s="642"/>
      <c r="AA332" s="637"/>
      <c r="AB332" s="637"/>
      <c r="AC332" s="637"/>
      <c r="AD332" s="637">
        <v>0.5</v>
      </c>
      <c r="AE332" s="637"/>
      <c r="AF332" s="637"/>
      <c r="AG332" s="637"/>
      <c r="AH332" s="637"/>
      <c r="AI332" s="637"/>
      <c r="AJ332" s="637"/>
      <c r="AK332" s="637"/>
      <c r="AL332" s="637"/>
      <c r="AM332" s="637"/>
      <c r="AN332" s="637"/>
      <c r="AO332" s="705"/>
    </row>
    <row r="333" spans="1:41">
      <c r="A333" s="652">
        <f>IFERROR(VLOOKUP(Table6[[#This Row],[Player No]],Table10[[#All],[No]:[Age Group]],4,0),"")</f>
        <v>0</v>
      </c>
      <c r="B333" s="648">
        <v>172</v>
      </c>
      <c r="C333" s="658">
        <f t="shared" si="37"/>
        <v>-157</v>
      </c>
      <c r="D333" s="63">
        <f t="shared" si="39"/>
        <v>329</v>
      </c>
      <c r="E333" s="636">
        <v>3364</v>
      </c>
      <c r="F333" s="151" t="str">
        <f>IFERROR(VLOOKUP(Table6[[#This Row],[Player No]],Table10[[No]:[Province]],2,0),"")</f>
        <v>WAGIET Jihad</v>
      </c>
      <c r="G333" s="414" t="str">
        <f>IFERROR(VLOOKUP(Table6[[#This Row],[Player No]],Table10[[No]:[Province]],3,0),"")</f>
        <v>CT</v>
      </c>
      <c r="H333" s="650">
        <v>0.75</v>
      </c>
      <c r="I333" s="644">
        <v>0.25</v>
      </c>
      <c r="J333" s="819">
        <f>Table6[[#This Row],[Points 2025]]/2+SUM(Table6[[#This Row],[O1  ADMIN 2026]:[P2                           CT Open    2026]])</f>
        <v>0.125</v>
      </c>
      <c r="K333" s="63">
        <f t="shared" si="38"/>
        <v>0</v>
      </c>
      <c r="L333" s="63">
        <f t="shared" si="36"/>
        <v>0</v>
      </c>
      <c r="M333" s="708"/>
      <c r="N333" s="708" t="s">
        <v>6083</v>
      </c>
      <c r="O333" s="708" t="s">
        <v>6083</v>
      </c>
      <c r="P333" s="708"/>
      <c r="Q333" s="636"/>
      <c r="R333" s="636"/>
      <c r="S333" s="636"/>
      <c r="T333" s="442"/>
      <c r="U333" s="636"/>
      <c r="V333" s="636"/>
      <c r="W333" s="636"/>
      <c r="X333" s="708"/>
      <c r="Y333" s="636"/>
      <c r="Z333" s="442"/>
      <c r="AA333" s="636"/>
      <c r="AB333" s="636"/>
      <c r="AC333" s="636"/>
      <c r="AD333" s="636"/>
      <c r="AE333" s="636"/>
      <c r="AF333" s="636"/>
      <c r="AG333" s="636"/>
      <c r="AH333" s="636"/>
      <c r="AI333" s="636"/>
      <c r="AJ333" s="636"/>
      <c r="AK333" s="636"/>
      <c r="AL333" s="636"/>
      <c r="AM333" s="636"/>
      <c r="AN333" s="636"/>
      <c r="AO333" s="127"/>
    </row>
    <row r="334" spans="1:41">
      <c r="A334" s="652">
        <f>IFERROR(VLOOKUP(Table6[[#This Row],[Player No]],Table10[[#All],[No]:[Age Group]],4,0),"")</f>
        <v>0</v>
      </c>
      <c r="B334" s="648">
        <v>173</v>
      </c>
      <c r="C334" s="658">
        <f t="shared" si="37"/>
        <v>-157</v>
      </c>
      <c r="D334" s="63">
        <f t="shared" si="39"/>
        <v>330</v>
      </c>
      <c r="E334" s="636">
        <v>2595</v>
      </c>
      <c r="F334" s="151" t="str">
        <f>IFERROR(VLOOKUP(Table6[[#This Row],[Player No]],Table10[[No]:[Province]],2,0),"")</f>
        <v>BIGGAS Jared</v>
      </c>
      <c r="G334" s="414" t="str">
        <f>IFERROR(VLOOKUP(Table6[[#This Row],[Player No]],Table10[[No]:[Province]],3,0),"")</f>
        <v>ETTA</v>
      </c>
      <c r="H334" s="650">
        <v>0.5</v>
      </c>
      <c r="I334" s="644">
        <v>0.25</v>
      </c>
      <c r="J334" s="819">
        <f>Table6[[#This Row],[Points 2025]]/2+SUM(Table6[[#This Row],[O1  ADMIN 2026]:[P2                           CT Open    2026]])</f>
        <v>0.125</v>
      </c>
      <c r="K334" s="63">
        <f t="shared" si="38"/>
        <v>0</v>
      </c>
      <c r="L334" s="63">
        <f t="shared" si="36"/>
        <v>0</v>
      </c>
      <c r="M334" s="708"/>
      <c r="N334" s="708" t="s">
        <v>6083</v>
      </c>
      <c r="O334" s="708" t="s">
        <v>6083</v>
      </c>
      <c r="P334" s="708"/>
      <c r="Q334" s="636"/>
      <c r="R334" s="636"/>
      <c r="S334" s="636"/>
      <c r="T334" s="442"/>
      <c r="U334" s="636"/>
      <c r="V334" s="636"/>
      <c r="W334" s="636"/>
      <c r="X334" s="708"/>
      <c r="Y334" s="636"/>
      <c r="Z334" s="442"/>
      <c r="AA334" s="636"/>
      <c r="AB334" s="636"/>
      <c r="AC334" s="636"/>
      <c r="AD334" s="636"/>
      <c r="AE334" s="636"/>
      <c r="AF334" s="636"/>
      <c r="AG334" s="636"/>
      <c r="AH334" s="636"/>
      <c r="AI334" s="636"/>
      <c r="AJ334" s="636"/>
      <c r="AK334" s="636"/>
      <c r="AL334" s="636"/>
      <c r="AM334" s="636"/>
      <c r="AN334" s="636"/>
      <c r="AO334" s="127"/>
    </row>
    <row r="335" spans="1:41">
      <c r="A335" s="652">
        <f>IFERROR(VLOOKUP(Table6[[#This Row],[Player No]],Table10[[#All],[No]:[Age Group]],4,0),"")</f>
        <v>0</v>
      </c>
      <c r="B335" s="648">
        <v>174</v>
      </c>
      <c r="C335" s="658">
        <f t="shared" si="37"/>
        <v>-157</v>
      </c>
      <c r="D335" s="63">
        <f t="shared" si="39"/>
        <v>331</v>
      </c>
      <c r="E335" s="636">
        <v>2933</v>
      </c>
      <c r="F335" s="151" t="str">
        <f>IFERROR(VLOOKUP(Table6[[#This Row],[Player No]],Table10[[No]:[Province]],2,0),"")</f>
        <v>VARRIE Kade</v>
      </c>
      <c r="G335" s="414" t="str">
        <f>IFERROR(VLOOKUP(Table6[[#This Row],[Player No]],Table10[[No]:[Province]],3,0),"")</f>
        <v>CT</v>
      </c>
      <c r="H335" s="650">
        <v>0.5</v>
      </c>
      <c r="I335" s="644">
        <v>0.25</v>
      </c>
      <c r="J335" s="819">
        <f>Table6[[#This Row],[Points 2025]]/2+SUM(Table6[[#This Row],[O1  ADMIN 2026]:[P2                           CT Open    2026]])</f>
        <v>0.125</v>
      </c>
      <c r="K335" s="63">
        <f t="shared" si="38"/>
        <v>0</v>
      </c>
      <c r="L335" s="63">
        <f t="shared" si="36"/>
        <v>0</v>
      </c>
      <c r="M335" s="708"/>
      <c r="N335" s="708" t="s">
        <v>6083</v>
      </c>
      <c r="O335" s="708" t="s">
        <v>6083</v>
      </c>
      <c r="P335" s="708"/>
      <c r="Q335" s="636"/>
      <c r="R335" s="636"/>
      <c r="S335" s="636"/>
      <c r="T335" s="442"/>
      <c r="U335" s="636"/>
      <c r="V335" s="636"/>
      <c r="W335" s="636"/>
      <c r="X335" s="708"/>
      <c r="Y335" s="636"/>
      <c r="Z335" s="442"/>
      <c r="AA335" s="636"/>
      <c r="AB335" s="636"/>
      <c r="AC335" s="636"/>
      <c r="AD335" s="636"/>
      <c r="AE335" s="636"/>
      <c r="AF335" s="636"/>
      <c r="AG335" s="636"/>
      <c r="AH335" s="636"/>
      <c r="AI335" s="636"/>
      <c r="AJ335" s="636"/>
      <c r="AK335" s="636"/>
      <c r="AL335" s="636"/>
      <c r="AM335" s="636"/>
      <c r="AN335" s="636"/>
      <c r="AO335" s="127"/>
    </row>
    <row r="336" spans="1:41">
      <c r="A336" s="652" t="str">
        <f>IFERROR(VLOOKUP(Table6[[#This Row],[Player No]],Table10[[#All],[No]:[Age Group]],4,0),"")</f>
        <v>U15</v>
      </c>
      <c r="B336" s="648">
        <v>175</v>
      </c>
      <c r="C336" s="658">
        <f t="shared" si="37"/>
        <v>-157</v>
      </c>
      <c r="D336" s="63">
        <f t="shared" si="39"/>
        <v>332</v>
      </c>
      <c r="E336" s="636">
        <v>3359</v>
      </c>
      <c r="F336" s="151" t="str">
        <f>IFERROR(VLOOKUP(Table6[[#This Row],[Player No]],Table10[[No]:[Province]],2,0),"")</f>
        <v>LOUW Ethan</v>
      </c>
      <c r="G336" s="414" t="str">
        <f>IFERROR(VLOOKUP(Table6[[#This Row],[Player No]],Table10[[No]:[Province]],3,0),"")</f>
        <v>WC</v>
      </c>
      <c r="H336" s="650">
        <v>0.5</v>
      </c>
      <c r="I336" s="644">
        <v>0.25</v>
      </c>
      <c r="J336" s="819">
        <f>Table6[[#This Row],[Points 2025]]/2+SUM(Table6[[#This Row],[O1  ADMIN 2026]:[P2                           CT Open    2026]])</f>
        <v>0.125</v>
      </c>
      <c r="K336" s="636">
        <f t="shared" si="38"/>
        <v>0</v>
      </c>
      <c r="L336" s="636">
        <f t="shared" si="36"/>
        <v>0</v>
      </c>
      <c r="M336" s="708"/>
      <c r="N336" s="708" t="s">
        <v>6083</v>
      </c>
      <c r="O336" s="708" t="s">
        <v>6083</v>
      </c>
      <c r="P336" s="708"/>
      <c r="Q336" s="636"/>
      <c r="R336" s="636"/>
      <c r="S336" s="636"/>
      <c r="T336" s="442"/>
      <c r="U336" s="636"/>
      <c r="V336" s="636"/>
      <c r="W336" s="636"/>
      <c r="X336" s="708"/>
      <c r="Y336" s="636"/>
      <c r="Z336" s="442"/>
      <c r="AA336" s="636"/>
      <c r="AB336" s="636"/>
      <c r="AC336" s="636"/>
      <c r="AD336" s="636"/>
      <c r="AE336" s="636"/>
      <c r="AF336" s="636"/>
      <c r="AG336" s="636"/>
      <c r="AH336" s="636"/>
      <c r="AI336" s="636"/>
      <c r="AJ336" s="636"/>
      <c r="AK336" s="636"/>
      <c r="AL336" s="636"/>
      <c r="AM336" s="636"/>
      <c r="AN336" s="636"/>
      <c r="AO336" s="127"/>
    </row>
    <row r="337" spans="1:41">
      <c r="A337" s="652">
        <f>IFERROR(VLOOKUP(Table6[[#This Row],[Player No]],Table10[[#All],[No]:[Age Group]],4,0),"")</f>
        <v>0</v>
      </c>
      <c r="B337" s="648">
        <v>176</v>
      </c>
      <c r="C337" s="658">
        <f t="shared" si="37"/>
        <v>-157</v>
      </c>
      <c r="D337" s="63">
        <f t="shared" si="39"/>
        <v>333</v>
      </c>
      <c r="E337" s="636">
        <v>3408</v>
      </c>
      <c r="F337" s="151" t="str">
        <f>IFERROR(VLOOKUP(Table6[[#This Row],[Player No]],Table10[[No]:[Province]],2,0),"")</f>
        <v>KOETSER Joshua</v>
      </c>
      <c r="G337" s="414" t="str">
        <f>IFERROR(VLOOKUP(Table6[[#This Row],[Player No]],Table10[[No]:[Province]],3,0),"")</f>
        <v>CT</v>
      </c>
      <c r="H337" s="650">
        <v>0.5</v>
      </c>
      <c r="I337" s="644">
        <v>0.25</v>
      </c>
      <c r="J337" s="819">
        <f>Table6[[#This Row],[Points 2025]]/2+SUM(Table6[[#This Row],[O1  ADMIN 2026]:[P2                           CT Open    2026]])</f>
        <v>0.125</v>
      </c>
      <c r="K337" s="636">
        <f t="shared" si="38"/>
        <v>0</v>
      </c>
      <c r="L337" s="636">
        <f t="shared" si="36"/>
        <v>0</v>
      </c>
      <c r="M337" s="708"/>
      <c r="N337" s="708" t="s">
        <v>6083</v>
      </c>
      <c r="O337" s="708" t="s">
        <v>6083</v>
      </c>
      <c r="P337" s="708"/>
      <c r="Q337" s="636"/>
      <c r="R337" s="636"/>
      <c r="S337" s="636"/>
      <c r="T337" s="442"/>
      <c r="U337" s="636"/>
      <c r="V337" s="636"/>
      <c r="W337" s="636"/>
      <c r="X337" s="708"/>
      <c r="Y337" s="636"/>
      <c r="Z337" s="442"/>
      <c r="AA337" s="636"/>
      <c r="AB337" s="636"/>
      <c r="AC337" s="636"/>
      <c r="AD337" s="636"/>
      <c r="AE337" s="636"/>
      <c r="AF337" s="636"/>
      <c r="AG337" s="636"/>
      <c r="AH337" s="636"/>
      <c r="AI337" s="636"/>
      <c r="AJ337" s="636"/>
      <c r="AK337" s="636"/>
      <c r="AL337" s="636"/>
      <c r="AM337" s="636"/>
      <c r="AN337" s="636"/>
      <c r="AO337" s="127"/>
    </row>
    <row r="338" spans="1:41">
      <c r="A338" s="135">
        <f>IFERROR(VLOOKUP(Table6[[#This Row],[Player No]],Table10[[#All],[No]:[Age Group]],4,0),"")</f>
        <v>0</v>
      </c>
      <c r="B338" s="648">
        <v>177</v>
      </c>
      <c r="C338" s="659">
        <f t="shared" si="37"/>
        <v>-157</v>
      </c>
      <c r="D338" s="63">
        <f t="shared" si="39"/>
        <v>334</v>
      </c>
      <c r="E338" s="442">
        <v>3409</v>
      </c>
      <c r="F338" s="151" t="str">
        <f>IFERROR(VLOOKUP(Table6[[#This Row],[Player No]],Table10[[No]:[Province]],2,0),"")</f>
        <v>OPPERMAN Heinwill</v>
      </c>
      <c r="G338" s="414" t="str">
        <f>IFERROR(VLOOKUP(Table6[[#This Row],[Player No]],Table10[[No]:[Province]],3,0),"")</f>
        <v>WC</v>
      </c>
      <c r="H338" s="660">
        <v>0.5</v>
      </c>
      <c r="I338" s="644">
        <v>0.25</v>
      </c>
      <c r="J338" s="819">
        <f>Table6[[#This Row],[Points 2025]]/2+SUM(Table6[[#This Row],[O1  ADMIN 2026]:[P2                           CT Open    2026]])</f>
        <v>0.125</v>
      </c>
      <c r="K338" s="636">
        <f t="shared" si="38"/>
        <v>0</v>
      </c>
      <c r="L338" s="636">
        <f t="shared" si="36"/>
        <v>0</v>
      </c>
      <c r="M338" s="442"/>
      <c r="N338" s="442" t="s">
        <v>6083</v>
      </c>
      <c r="O338" s="442" t="s">
        <v>6083</v>
      </c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  <c r="AA338" s="442"/>
      <c r="AB338" s="442"/>
      <c r="AC338" s="442"/>
      <c r="AD338" s="442"/>
      <c r="AE338" s="442"/>
      <c r="AF338" s="442"/>
      <c r="AG338" s="442"/>
      <c r="AH338" s="442"/>
      <c r="AI338" s="442"/>
      <c r="AJ338" s="442"/>
      <c r="AK338" s="442"/>
      <c r="AL338" s="442"/>
      <c r="AM338" s="442"/>
      <c r="AN338" s="442"/>
      <c r="AO338" s="134"/>
    </row>
    <row r="339" spans="1:41">
      <c r="A339" s="956">
        <f>IFERROR(VLOOKUP(Table6[[#This Row],[Player No]],Table10[[#All],[No]:[Age Group]],4,0),"")</f>
        <v>0</v>
      </c>
      <c r="B339" s="648">
        <v>178</v>
      </c>
      <c r="C339" s="943">
        <f t="shared" si="37"/>
        <v>-157</v>
      </c>
      <c r="D339" s="63">
        <f t="shared" si="39"/>
        <v>335</v>
      </c>
      <c r="E339" s="708">
        <v>3510</v>
      </c>
      <c r="F339" s="151" t="str">
        <f>IFERROR(VLOOKUP(Table6[[#This Row],[Player No]],Table10[[No]:[Province]],2,0),"")</f>
        <v>PILLAY Reece</v>
      </c>
      <c r="G339" s="414" t="str">
        <f>IFERROR(VLOOKUP(Table6[[#This Row],[Player No]],Table10[[No]:[Province]],3,0),"")</f>
        <v>UMG</v>
      </c>
      <c r="H339" s="660">
        <v>0.5</v>
      </c>
      <c r="I339" s="766">
        <v>0.25</v>
      </c>
      <c r="J339" s="819">
        <f>Table6[[#This Row],[Points 2025]]/2+SUM(Table6[[#This Row],[O1  ADMIN 2026]:[P2                           CT Open    2026]])</f>
        <v>0.125</v>
      </c>
      <c r="K339" s="636">
        <f t="shared" si="38"/>
        <v>0</v>
      </c>
      <c r="L339" s="636">
        <f t="shared" si="36"/>
        <v>0</v>
      </c>
      <c r="M339" s="708"/>
      <c r="N339" s="708" t="s">
        <v>6083</v>
      </c>
      <c r="O339" s="708" t="s">
        <v>6083</v>
      </c>
      <c r="P339" s="708"/>
      <c r="Q339" s="708"/>
      <c r="R339" s="708"/>
      <c r="S339" s="708"/>
      <c r="T339" s="442"/>
      <c r="U339" s="708"/>
      <c r="V339" s="708"/>
      <c r="W339" s="708"/>
      <c r="X339" s="708"/>
      <c r="Y339" s="708"/>
      <c r="Z339" s="442"/>
      <c r="AA339" s="708"/>
      <c r="AB339" s="708"/>
      <c r="AC339" s="708"/>
      <c r="AD339" s="708"/>
      <c r="AE339" s="708"/>
      <c r="AF339" s="708"/>
      <c r="AG339" s="708"/>
      <c r="AH339" s="708"/>
      <c r="AI339" s="708"/>
      <c r="AJ339" s="708"/>
      <c r="AK339" s="708"/>
      <c r="AL339" s="708"/>
      <c r="AM339" s="708"/>
      <c r="AN339" s="708"/>
      <c r="AO339" s="708"/>
    </row>
    <row r="340" spans="1:41">
      <c r="A340" s="135">
        <f>IFERROR(VLOOKUP(Table6[[#This Row],[Player No]],Table10[[#All],[No]:[Age Group]],4,0),"")</f>
        <v>0</v>
      </c>
      <c r="B340" s="648">
        <v>179</v>
      </c>
      <c r="C340" s="659">
        <f t="shared" si="37"/>
        <v>-157</v>
      </c>
      <c r="D340" s="63">
        <f t="shared" si="39"/>
        <v>336</v>
      </c>
      <c r="E340" s="442">
        <v>3542</v>
      </c>
      <c r="F340" s="151" t="str">
        <f>IFERROR(VLOOKUP(Table6[[#This Row],[Player No]],Table10[[No]:[Province]],2,0),"")</f>
        <v>BESTER George</v>
      </c>
      <c r="G340" s="414" t="str">
        <f>IFERROR(VLOOKUP(Table6[[#This Row],[Player No]],Table10[[No]:[Province]],3,0),"")</f>
        <v>FS</v>
      </c>
      <c r="H340" s="660">
        <v>0.5</v>
      </c>
      <c r="I340" s="766">
        <v>0.25</v>
      </c>
      <c r="J340" s="819">
        <f>Table6[[#This Row],[Points 2025]]/2+SUM(Table6[[#This Row],[O1  ADMIN 2026]:[P2                           CT Open    2026]])</f>
        <v>0.125</v>
      </c>
      <c r="K340" s="636">
        <f t="shared" si="38"/>
        <v>0</v>
      </c>
      <c r="L340" s="636">
        <f t="shared" si="36"/>
        <v>0</v>
      </c>
      <c r="M340" s="442"/>
      <c r="N340" s="442" t="s">
        <v>6083</v>
      </c>
      <c r="O340" s="442" t="s">
        <v>6083</v>
      </c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  <c r="AA340" s="442"/>
      <c r="AB340" s="442"/>
      <c r="AC340" s="442"/>
      <c r="AD340" s="442"/>
      <c r="AE340" s="442"/>
      <c r="AF340" s="442"/>
      <c r="AG340" s="442"/>
      <c r="AH340" s="442"/>
      <c r="AI340" s="442"/>
      <c r="AJ340" s="442"/>
      <c r="AK340" s="442"/>
      <c r="AL340" s="442"/>
      <c r="AM340" s="442"/>
      <c r="AN340" s="442"/>
      <c r="AO340" s="442"/>
    </row>
    <row r="341" spans="1:41">
      <c r="A341" s="135">
        <f>IFERROR(VLOOKUP(Table6[[#This Row],[Player No]],Table10[[#All],[No]:[Age Group]],4,0),"")</f>
        <v>0</v>
      </c>
      <c r="B341" s="648">
        <v>180</v>
      </c>
      <c r="C341" s="659">
        <f t="shared" si="37"/>
        <v>-157</v>
      </c>
      <c r="D341" s="63">
        <f t="shared" si="39"/>
        <v>337</v>
      </c>
      <c r="E341" s="442">
        <v>3548</v>
      </c>
      <c r="F341" s="151" t="str">
        <f>IFERROR(VLOOKUP(Table6[[#This Row],[Player No]],Table10[[No]:[Province]],2,0),"")</f>
        <v>LEBURU Tshiamo</v>
      </c>
      <c r="G341" s="414" t="str">
        <f>IFERROR(VLOOKUP(Table6[[#This Row],[Player No]],Table10[[No]:[Province]],3,0),"")</f>
        <v>NC</v>
      </c>
      <c r="H341" s="660">
        <v>0.5</v>
      </c>
      <c r="I341" s="766">
        <v>0.25</v>
      </c>
      <c r="J341" s="819">
        <f>Table6[[#This Row],[Points 2025]]/2+SUM(Table6[[#This Row],[O1  ADMIN 2026]:[P2                           CT Open    2026]])</f>
        <v>0.125</v>
      </c>
      <c r="K341" s="636">
        <f t="shared" si="38"/>
        <v>0</v>
      </c>
      <c r="L341" s="636">
        <f t="shared" si="36"/>
        <v>0</v>
      </c>
      <c r="M341" s="442"/>
      <c r="N341" s="442" t="s">
        <v>6083</v>
      </c>
      <c r="O341" s="442" t="s">
        <v>6083</v>
      </c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  <c r="AA341" s="442"/>
      <c r="AB341" s="442"/>
      <c r="AC341" s="442"/>
      <c r="AD341" s="442"/>
      <c r="AE341" s="442"/>
      <c r="AF341" s="442"/>
      <c r="AG341" s="442"/>
      <c r="AH341" s="442"/>
      <c r="AI341" s="442"/>
      <c r="AJ341" s="442"/>
      <c r="AK341" s="442"/>
      <c r="AL341" s="442"/>
      <c r="AM341" s="442"/>
      <c r="AN341" s="442"/>
      <c r="AO341" s="442"/>
    </row>
    <row r="342" spans="1:41">
      <c r="A342" s="135">
        <f>IFERROR(VLOOKUP(Table6[[#This Row],[Player No]],Table10[[#All],[No]:[Age Group]],4,0),"")</f>
        <v>0</v>
      </c>
      <c r="B342" s="648">
        <v>181</v>
      </c>
      <c r="C342" s="659">
        <f t="shared" si="37"/>
        <v>-157</v>
      </c>
      <c r="D342" s="63">
        <f t="shared" si="39"/>
        <v>338</v>
      </c>
      <c r="E342" s="442">
        <v>3549</v>
      </c>
      <c r="F342" s="151" t="str">
        <f>IFERROR(VLOOKUP(Table6[[#This Row],[Player No]],Table10[[No]:[Province]],2,0),"")</f>
        <v>LEEUW Jayden</v>
      </c>
      <c r="G342" s="414" t="str">
        <f>IFERROR(VLOOKUP(Table6[[#This Row],[Player No]],Table10[[No]:[Province]],3,0),"")</f>
        <v>FS</v>
      </c>
      <c r="H342" s="660">
        <v>0.5</v>
      </c>
      <c r="I342" s="766">
        <v>0.25</v>
      </c>
      <c r="J342" s="766">
        <f>Table6[[#This Row],[Points 2025]]/2+SUM(Table6[[#This Row],[O1  ADMIN 2026]:[P2                           CT Open    2026]])</f>
        <v>0.125</v>
      </c>
      <c r="K342" s="636">
        <f t="shared" si="38"/>
        <v>0</v>
      </c>
      <c r="L342" s="636">
        <f t="shared" si="36"/>
        <v>0</v>
      </c>
      <c r="M342" s="442"/>
      <c r="N342" s="442" t="s">
        <v>6083</v>
      </c>
      <c r="O342" s="442" t="s">
        <v>6083</v>
      </c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  <c r="AA342" s="442"/>
      <c r="AB342" s="442"/>
      <c r="AC342" s="442"/>
      <c r="AD342" s="442"/>
      <c r="AE342" s="442"/>
      <c r="AF342" s="442"/>
      <c r="AG342" s="442"/>
      <c r="AH342" s="442"/>
      <c r="AI342" s="442"/>
      <c r="AJ342" s="442"/>
      <c r="AK342" s="442"/>
      <c r="AL342" s="442"/>
      <c r="AM342" s="442"/>
      <c r="AN342" s="442"/>
      <c r="AO342" s="442"/>
    </row>
    <row r="343" spans="1:41">
      <c r="A343" s="135">
        <f>IFERROR(VLOOKUP(Table6[[#This Row],[Player No]],Table10[[#All],[No]:[Age Group]],4,0),"")</f>
        <v>0</v>
      </c>
      <c r="B343" s="648">
        <v>182</v>
      </c>
      <c r="C343" s="659">
        <f t="shared" si="37"/>
        <v>-157</v>
      </c>
      <c r="D343" s="63">
        <f t="shared" si="39"/>
        <v>339</v>
      </c>
      <c r="E343" s="442">
        <v>3550</v>
      </c>
      <c r="F343" s="64" t="str">
        <f>IFERROR(VLOOKUP(Table6[[#This Row],[Player No]],Table10[[No]:[Province]],2,0),"")</f>
        <v>MOKOBOKA Tshwarelo</v>
      </c>
      <c r="G343" s="65" t="str">
        <f>IFERROR(VLOOKUP(Table6[[#This Row],[Player No]],Table10[[No]:[Province]],3,0),"")</f>
        <v>FS</v>
      </c>
      <c r="H343" s="660">
        <v>0.5</v>
      </c>
      <c r="I343" s="644">
        <v>0.25</v>
      </c>
      <c r="J343" s="766">
        <f>Table6[[#This Row],[Points 2025]]/2+SUM(Table6[[#This Row],[O1  ADMIN 2026]:[P2                           CT Open    2026]])</f>
        <v>0.125</v>
      </c>
      <c r="K343" s="442">
        <f t="shared" si="38"/>
        <v>0</v>
      </c>
      <c r="L343" s="442">
        <f t="shared" si="36"/>
        <v>0</v>
      </c>
      <c r="M343" s="442"/>
      <c r="N343" s="442" t="s">
        <v>6083</v>
      </c>
      <c r="O343" s="442" t="s">
        <v>6083</v>
      </c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  <c r="AA343" s="442"/>
      <c r="AB343" s="442"/>
      <c r="AC343" s="442"/>
      <c r="AD343" s="442"/>
      <c r="AE343" s="442"/>
      <c r="AF343" s="442"/>
      <c r="AG343" s="442"/>
      <c r="AH343" s="442"/>
      <c r="AI343" s="442"/>
      <c r="AJ343" s="442"/>
      <c r="AK343" s="442"/>
      <c r="AL343" s="442"/>
      <c r="AM343" s="442"/>
      <c r="AN343" s="442"/>
      <c r="AO343" s="442"/>
    </row>
    <row r="344" spans="1:41">
      <c r="A344" s="135" t="str">
        <f>IFERROR(VLOOKUP(Table6[[#This Row],[Player No]],Table10[[#All],[No]:[Age Group]],4,0),"")</f>
        <v>U11</v>
      </c>
      <c r="B344" s="648">
        <v>183</v>
      </c>
      <c r="C344" s="659">
        <f t="shared" si="37"/>
        <v>-157</v>
      </c>
      <c r="D344" s="63">
        <f t="shared" si="39"/>
        <v>340</v>
      </c>
      <c r="E344" s="442">
        <v>3551</v>
      </c>
      <c r="F344" s="64" t="str">
        <f>IFERROR(VLOOKUP(Table6[[#This Row],[Player No]],Table10[[No]:[Province]],2,0),"")</f>
        <v>MAKOKO Amogelang</v>
      </c>
      <c r="G344" s="65" t="str">
        <f>IFERROR(VLOOKUP(Table6[[#This Row],[Player No]],Table10[[No]:[Province]],3,0),"")</f>
        <v>FS</v>
      </c>
      <c r="H344" s="660">
        <v>0.5</v>
      </c>
      <c r="I344" s="644"/>
      <c r="J344" s="766">
        <f>Table6[[#This Row],[Points 2025]]/2+SUM(Table6[[#This Row],[O1  ADMIN 2026]:[P2                           CT Open    2026]])</f>
        <v>0</v>
      </c>
      <c r="K344" s="442">
        <f t="shared" si="38"/>
        <v>0</v>
      </c>
      <c r="L344" s="442">
        <f t="shared" si="36"/>
        <v>0</v>
      </c>
      <c r="M344" s="442"/>
      <c r="N344" s="442" t="s">
        <v>6083</v>
      </c>
      <c r="O344" s="442" t="s">
        <v>6083</v>
      </c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  <c r="AA344" s="442"/>
      <c r="AB344" s="442"/>
      <c r="AC344" s="442"/>
      <c r="AD344" s="442"/>
      <c r="AE344" s="442"/>
      <c r="AF344" s="442"/>
      <c r="AG344" s="442"/>
      <c r="AH344" s="442"/>
      <c r="AI344" s="442"/>
      <c r="AJ344" s="442"/>
      <c r="AK344" s="442"/>
      <c r="AL344" s="442"/>
      <c r="AM344" s="442"/>
      <c r="AN344" s="442"/>
      <c r="AO344" s="442"/>
    </row>
    <row r="345" spans="1:41">
      <c r="A345" s="135">
        <f>IFERROR(VLOOKUP(Table6[[#This Row],[Player No]],Table10[[#All],[No]:[Age Group]],4,0),"")</f>
        <v>0</v>
      </c>
      <c r="B345" s="648">
        <v>184</v>
      </c>
      <c r="C345" s="659">
        <f t="shared" si="37"/>
        <v>-157</v>
      </c>
      <c r="D345" s="63">
        <f t="shared" si="39"/>
        <v>341</v>
      </c>
      <c r="E345" s="442">
        <v>3552</v>
      </c>
      <c r="F345" s="64" t="str">
        <f>IFERROR(VLOOKUP(Table6[[#This Row],[Player No]],Table10[[No]:[Province]],2,0),"")</f>
        <v>FARAI Mphulenyani</v>
      </c>
      <c r="G345" s="65" t="str">
        <f>IFERROR(VLOOKUP(Table6[[#This Row],[Player No]],Table10[[No]:[Province]],3,0),"")</f>
        <v>FS</v>
      </c>
      <c r="H345" s="660">
        <v>0.5</v>
      </c>
      <c r="I345" s="644"/>
      <c r="J345" s="766">
        <f>Table6[[#This Row],[Points 2025]]/2+SUM(Table6[[#This Row],[O1  ADMIN 2026]:[P2                           CT Open    2026]])</f>
        <v>0</v>
      </c>
      <c r="K345" s="442">
        <f t="shared" si="38"/>
        <v>0</v>
      </c>
      <c r="L345" s="442">
        <f t="shared" si="36"/>
        <v>0</v>
      </c>
      <c r="M345" s="442"/>
      <c r="N345" s="442" t="s">
        <v>6083</v>
      </c>
      <c r="O345" s="442" t="s">
        <v>6083</v>
      </c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  <c r="AA345" s="442"/>
      <c r="AB345" s="442"/>
      <c r="AC345" s="442"/>
      <c r="AD345" s="442"/>
      <c r="AE345" s="442"/>
      <c r="AF345" s="442"/>
      <c r="AG345" s="442"/>
      <c r="AH345" s="442"/>
      <c r="AI345" s="442"/>
      <c r="AJ345" s="442"/>
      <c r="AK345" s="442"/>
      <c r="AL345" s="442"/>
      <c r="AM345" s="442"/>
      <c r="AN345" s="442"/>
      <c r="AO345" s="442"/>
    </row>
  </sheetData>
  <sheetProtection algorithmName="SHA-512" hashValue="oe5mLsp0h7iRdasddo5IU9WMtq0I+abPOpQ2uTFfqfy24H+Yia88Lb8b1Y/xl5lcsGdabcBxZU1DqH+hMzLP0g==" saltValue="P6WUbA2+gvt6BbM49gr1jA==" spinCount="100000" sheet="1" selectLockedCells="1" sort="0" autoFilter="0" selectUnlockedCells="1"/>
  <sortState xmlns:xlrd2="http://schemas.microsoft.com/office/spreadsheetml/2017/richdata2" ref="A5:BF47">
    <sortCondition ref="E5:E47"/>
  </sortState>
  <mergeCells count="13">
    <mergeCell ref="C3:H3"/>
    <mergeCell ref="AF2:AO2"/>
    <mergeCell ref="AF3:AG3"/>
    <mergeCell ref="AH3:AI3"/>
    <mergeCell ref="AK3:AO3"/>
    <mergeCell ref="Q3:U3"/>
    <mergeCell ref="AA3:AC3"/>
    <mergeCell ref="C2:G2"/>
    <mergeCell ref="V3:W3"/>
    <mergeCell ref="AD3:AE3"/>
    <mergeCell ref="Q2:AE2"/>
    <mergeCell ref="N3:O3"/>
    <mergeCell ref="M2:P2"/>
  </mergeCells>
  <phoneticPr fontId="33" type="noConversion"/>
  <conditionalFormatting sqref="F1:F1048576">
    <cfRule type="duplicateValues" dxfId="337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N196"/>
  <sheetViews>
    <sheetView workbookViewId="0">
      <pane ySplit="4" topLeftCell="A5" activePane="bottomLeft" state="frozen"/>
      <selection activeCell="D4" sqref="D4"/>
      <selection pane="bottomLeft" sqref="A1:B1048576"/>
    </sheetView>
  </sheetViews>
  <sheetFormatPr defaultColWidth="8.81640625" defaultRowHeight="15.5" outlineLevelRow="1" outlineLevelCol="1"/>
  <cols>
    <col min="1" max="1" width="10.453125" style="59" hidden="1" customWidth="1" outlineLevel="1"/>
    <col min="2" max="2" width="12.26953125" style="59" hidden="1" customWidth="1" outlineLevel="1"/>
    <col min="3" max="3" width="11.26953125" style="59" hidden="1" customWidth="1"/>
    <col min="4" max="4" width="9" style="59" customWidth="1"/>
    <col min="5" max="5" width="9" style="73" customWidth="1"/>
    <col min="6" max="6" width="31.7265625" style="81" customWidth="1"/>
    <col min="7" max="7" width="11" style="73" customWidth="1"/>
    <col min="8" max="8" width="8" style="56" hidden="1" customWidth="1"/>
    <col min="9" max="10" width="9.26953125" style="56" customWidth="1"/>
    <col min="11" max="11" width="13.453125" style="56" customWidth="1" outlineLevel="1"/>
    <col min="12" max="40" width="8.7265625" style="56" customWidth="1" outlineLevel="1"/>
    <col min="41" max="16384" width="8.81640625" style="81"/>
  </cols>
  <sheetData>
    <row r="1" spans="1:40" ht="128.25" customHeight="1" thickBot="1">
      <c r="A1" s="262"/>
      <c r="B1" s="263"/>
      <c r="C1" s="238"/>
      <c r="D1" s="238"/>
      <c r="E1" s="238"/>
      <c r="F1" s="238"/>
      <c r="G1" s="238"/>
      <c r="H1" s="238"/>
      <c r="I1" s="238"/>
      <c r="J1" s="238"/>
      <c r="K1" s="238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25" thickBot="1">
      <c r="A2" s="82"/>
      <c r="B2" s="82"/>
      <c r="C2" s="1157">
        <f>Tournaments!F3</f>
        <v>46113</v>
      </c>
      <c r="D2" s="1158"/>
      <c r="E2" s="1158"/>
      <c r="F2" s="1158"/>
      <c r="G2" s="1214"/>
      <c r="H2" s="277"/>
      <c r="I2" s="278"/>
      <c r="J2" s="278"/>
      <c r="K2" s="260"/>
      <c r="L2" s="276"/>
      <c r="M2" s="1182">
        <v>2026</v>
      </c>
      <c r="N2" s="1183"/>
      <c r="O2" s="1183"/>
      <c r="P2" s="1184"/>
      <c r="Q2" s="1182">
        <v>2025</v>
      </c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3"/>
      <c r="AD2" s="1184"/>
      <c r="AE2" s="1182">
        <v>2024</v>
      </c>
      <c r="AF2" s="1183"/>
      <c r="AG2" s="1183"/>
      <c r="AH2" s="1183"/>
      <c r="AI2" s="1183"/>
      <c r="AJ2" s="1183"/>
      <c r="AK2" s="1183"/>
      <c r="AL2" s="1183"/>
      <c r="AM2" s="1183"/>
      <c r="AN2" s="1184"/>
    </row>
    <row r="3" spans="1:40" ht="25" thickBot="1">
      <c r="A3" s="70"/>
      <c r="B3" s="70"/>
      <c r="C3" s="1215" t="s">
        <v>5106</v>
      </c>
      <c r="D3" s="1216"/>
      <c r="E3" s="1216"/>
      <c r="F3" s="1216"/>
      <c r="G3" s="1216"/>
      <c r="H3" s="1217"/>
      <c r="I3" s="859"/>
      <c r="J3" s="860"/>
      <c r="K3" s="227"/>
      <c r="L3" s="276"/>
      <c r="M3" s="980" t="s">
        <v>3453</v>
      </c>
      <c r="N3" s="1182" t="s">
        <v>2406</v>
      </c>
      <c r="O3" s="1184"/>
      <c r="P3" s="788" t="s">
        <v>1914</v>
      </c>
      <c r="Q3" s="1182" t="s">
        <v>2406</v>
      </c>
      <c r="R3" s="1183"/>
      <c r="S3" s="1183"/>
      <c r="T3" s="1183"/>
      <c r="U3" s="1184"/>
      <c r="V3" s="1182" t="s">
        <v>251</v>
      </c>
      <c r="W3" s="1184"/>
      <c r="X3" s="602" t="s">
        <v>3452</v>
      </c>
      <c r="Y3" s="1182" t="s">
        <v>1914</v>
      </c>
      <c r="Z3" s="1184"/>
      <c r="AA3" s="296" t="s">
        <v>4658</v>
      </c>
      <c r="AB3" s="1182" t="s">
        <v>3453</v>
      </c>
      <c r="AC3" s="1183"/>
      <c r="AD3" s="1184"/>
      <c r="AE3" s="1185" t="s">
        <v>2406</v>
      </c>
      <c r="AF3" s="1186"/>
      <c r="AG3" s="1185" t="s">
        <v>1914</v>
      </c>
      <c r="AH3" s="1186"/>
      <c r="AI3" s="228" t="s">
        <v>3452</v>
      </c>
      <c r="AJ3" s="1185" t="s">
        <v>3453</v>
      </c>
      <c r="AK3" s="1187"/>
      <c r="AL3" s="1187"/>
      <c r="AM3" s="1187"/>
      <c r="AN3" s="1186"/>
    </row>
    <row r="4" spans="1:40" ht="87.5" outlineLevel="1" thickBot="1">
      <c r="A4" s="102" t="s">
        <v>3279</v>
      </c>
      <c r="B4" s="242" t="s">
        <v>3751</v>
      </c>
      <c r="C4" s="119" t="s">
        <v>3874</v>
      </c>
      <c r="D4" s="235" t="s">
        <v>80</v>
      </c>
      <c r="E4" s="235" t="s">
        <v>113</v>
      </c>
      <c r="F4" s="237" t="s">
        <v>3076</v>
      </c>
      <c r="G4" s="237" t="s">
        <v>3455</v>
      </c>
      <c r="H4" s="235" t="s">
        <v>4238</v>
      </c>
      <c r="I4" s="235" t="s">
        <v>4930</v>
      </c>
      <c r="J4" s="235" t="s">
        <v>6139</v>
      </c>
      <c r="K4" s="235" t="s">
        <v>219</v>
      </c>
      <c r="L4" s="235" t="s">
        <v>4239</v>
      </c>
      <c r="M4" s="1008" t="s">
        <v>6209</v>
      </c>
      <c r="N4" s="179" t="s">
        <v>6155</v>
      </c>
      <c r="O4" s="179" t="s">
        <v>6157</v>
      </c>
      <c r="P4" s="179" t="s">
        <v>6145</v>
      </c>
      <c r="Q4" s="179" t="s">
        <v>6147</v>
      </c>
      <c r="R4" s="179" t="s">
        <v>5252</v>
      </c>
      <c r="S4" s="179" t="s">
        <v>5654</v>
      </c>
      <c r="T4" s="179" t="s">
        <v>5696</v>
      </c>
      <c r="U4" s="179" t="s">
        <v>5067</v>
      </c>
      <c r="V4" s="179" t="s">
        <v>5641</v>
      </c>
      <c r="W4" s="179" t="s">
        <v>5218</v>
      </c>
      <c r="X4" s="179" t="s">
        <v>6054</v>
      </c>
      <c r="Y4" s="179" t="s">
        <v>5583</v>
      </c>
      <c r="Z4" s="179" t="s">
        <v>6144</v>
      </c>
      <c r="AA4" s="179" t="s">
        <v>5503</v>
      </c>
      <c r="AB4" s="179" t="s">
        <v>5409</v>
      </c>
      <c r="AC4" s="179" t="s">
        <v>5767</v>
      </c>
      <c r="AD4" s="179" t="s">
        <v>5253</v>
      </c>
      <c r="AE4" s="122" t="s">
        <v>4935</v>
      </c>
      <c r="AF4" s="122" t="s">
        <v>4397</v>
      </c>
      <c r="AG4" s="122" t="s">
        <v>4327</v>
      </c>
      <c r="AH4" s="122" t="s">
        <v>4329</v>
      </c>
      <c r="AI4" s="119" t="s">
        <v>4845</v>
      </c>
      <c r="AJ4" s="122" t="s">
        <v>4504</v>
      </c>
      <c r="AK4" s="122" t="s">
        <v>4843</v>
      </c>
      <c r="AL4" s="122" t="s">
        <v>4721</v>
      </c>
      <c r="AM4" s="122" t="s">
        <v>4326</v>
      </c>
      <c r="AN4" s="122" t="s">
        <v>4328</v>
      </c>
    </row>
    <row r="5" spans="1:40" s="83" customFormat="1">
      <c r="A5" s="80" t="str">
        <f>IFERROR(VLOOKUP(Table7[[#This Row],[Player No]],Table11[[#All],[No]:[Age Group]],4,0),"")</f>
        <v>U13</v>
      </c>
      <c r="B5" s="247">
        <v>4</v>
      </c>
      <c r="C5" s="77">
        <f t="shared" ref="C5:C19" si="0">+B5-D5</f>
        <v>3</v>
      </c>
      <c r="D5" s="63">
        <v>1</v>
      </c>
      <c r="E5" s="63">
        <v>8025</v>
      </c>
      <c r="F5" s="64" t="str">
        <f>IFERROR(VLOOKUP(Table7[[#This Row],[Player No]],Table11[[No]:[Province]],2,0),"")</f>
        <v>VAN AS Tamika</v>
      </c>
      <c r="G5" s="65" t="str">
        <f>IFERROR(VLOOKUP(Table7[[#This Row],[Player No]],Table11[[No]:[Province]],3,0),"")</f>
        <v>CT</v>
      </c>
      <c r="H5" s="66">
        <v>731.5625</v>
      </c>
      <c r="I5" s="96">
        <v>1090.78125</v>
      </c>
      <c r="J5" s="789">
        <f>Table7[[#This Row],[Points 2025]]/2+SUM(Table7[[#This Row],[O1  ADMIN 2026]:[P2           WC         CT Open 2026]])</f>
        <v>545.390625</v>
      </c>
      <c r="K5" s="196">
        <f t="shared" ref="K5:K36" si="1">COUNTIF(M5:P5,"&gt;0")</f>
        <v>0</v>
      </c>
      <c r="L5" s="63">
        <f t="shared" ref="L5:L36" si="2">COUNTIF(N5:AN5,"&lt;0")</f>
        <v>0</v>
      </c>
      <c r="M5" s="708"/>
      <c r="N5" s="708" t="s">
        <v>6083</v>
      </c>
      <c r="O5" s="708" t="s">
        <v>6083</v>
      </c>
      <c r="P5" s="708"/>
      <c r="Q5" s="63">
        <v>150</v>
      </c>
      <c r="R5" s="63"/>
      <c r="S5" s="114"/>
      <c r="T5" s="114"/>
      <c r="U5" s="63"/>
      <c r="V5" s="114">
        <v>100</v>
      </c>
      <c r="W5" s="63"/>
      <c r="X5" s="636">
        <v>250</v>
      </c>
      <c r="Y5" s="114">
        <v>25</v>
      </c>
      <c r="Z5" s="63">
        <v>100</v>
      </c>
      <c r="AA5" s="63"/>
      <c r="AB5" s="63"/>
      <c r="AC5" s="400"/>
      <c r="AD5" s="63">
        <v>100</v>
      </c>
      <c r="AE5" s="63"/>
      <c r="AF5" s="63"/>
      <c r="AG5" s="63">
        <v>100</v>
      </c>
      <c r="AH5" s="63">
        <v>150</v>
      </c>
      <c r="AI5" s="63">
        <v>250</v>
      </c>
      <c r="AJ5" s="63"/>
      <c r="AK5" s="63"/>
      <c r="AL5" s="63">
        <v>75</v>
      </c>
      <c r="AM5" s="63">
        <v>75</v>
      </c>
      <c r="AN5" s="63"/>
    </row>
    <row r="6" spans="1:40" s="83" customFormat="1">
      <c r="A6" s="72">
        <f>IFERROR(VLOOKUP(Table7[[#This Row],[Player No]],Table11[[#All],[No]:[Age Group]],4,0),"")</f>
        <v>0</v>
      </c>
      <c r="B6" s="71">
        <v>6</v>
      </c>
      <c r="C6" s="77">
        <f t="shared" si="0"/>
        <v>4</v>
      </c>
      <c r="D6" s="63">
        <f>+D5+1</f>
        <v>2</v>
      </c>
      <c r="E6" s="63">
        <v>8085</v>
      </c>
      <c r="F6" s="64" t="str">
        <f>IFERROR(VLOOKUP(Table7[[#This Row],[Player No]],Table11[[No]:[Province]],2,0),"")</f>
        <v>PILLAY Veya</v>
      </c>
      <c r="G6" s="65" t="str">
        <f>IFERROR(VLOOKUP(Table7[[#This Row],[Player No]],Table11[[No]:[Province]],3,0),"")</f>
        <v>UMG</v>
      </c>
      <c r="H6" s="66">
        <v>176.5</v>
      </c>
      <c r="I6" s="96">
        <v>463.25</v>
      </c>
      <c r="J6" s="789">
        <f>Table7[[#This Row],[Points 2025]]/2+SUM(Table7[[#This Row],[O1  ADMIN 2026]:[P2           WC         CT Open 2026]])</f>
        <v>331.625</v>
      </c>
      <c r="K6" s="196">
        <f t="shared" si="1"/>
        <v>2</v>
      </c>
      <c r="L6" s="63">
        <f t="shared" si="2"/>
        <v>0</v>
      </c>
      <c r="M6" s="708"/>
      <c r="N6" s="708">
        <v>50</v>
      </c>
      <c r="O6" s="708">
        <v>50</v>
      </c>
      <c r="P6" s="708"/>
      <c r="Q6" s="63">
        <v>75</v>
      </c>
      <c r="R6" s="63">
        <v>25</v>
      </c>
      <c r="S6" s="114">
        <v>35</v>
      </c>
      <c r="T6" s="114">
        <v>100</v>
      </c>
      <c r="U6" s="63">
        <v>15</v>
      </c>
      <c r="V6" s="114"/>
      <c r="W6" s="63"/>
      <c r="X6" s="636">
        <v>125</v>
      </c>
      <c r="Y6" s="114"/>
      <c r="Z6" s="63"/>
      <c r="AA6" s="63"/>
      <c r="AB6" s="63"/>
      <c r="AC6" s="400"/>
      <c r="AD6" s="63"/>
      <c r="AE6" s="63">
        <v>50</v>
      </c>
      <c r="AF6" s="63">
        <v>25</v>
      </c>
      <c r="AG6" s="63"/>
      <c r="AH6" s="63"/>
      <c r="AI6" s="63">
        <v>75</v>
      </c>
      <c r="AJ6" s="63"/>
      <c r="AK6" s="63"/>
      <c r="AL6" s="63"/>
      <c r="AM6" s="63">
        <v>1</v>
      </c>
      <c r="AN6" s="63"/>
    </row>
    <row r="7" spans="1:40" s="83" customFormat="1">
      <c r="A7" s="72">
        <f>IFERROR(VLOOKUP(Table7[[#This Row],[Player No]],Table11[[#All],[No]:[Age Group]],4,0),"")</f>
        <v>0</v>
      </c>
      <c r="B7" s="71">
        <v>3</v>
      </c>
      <c r="C7" s="77">
        <f t="shared" si="0"/>
        <v>0</v>
      </c>
      <c r="D7" s="63">
        <f t="shared" ref="D7:D70" si="3">+D6+1</f>
        <v>3</v>
      </c>
      <c r="E7" s="63">
        <v>8063</v>
      </c>
      <c r="F7" s="64" t="str">
        <f>IFERROR(VLOOKUP(Table7[[#This Row],[Player No]],Table11[[No]:[Province]],2,0),"")</f>
        <v>TOTARAM Kritika</v>
      </c>
      <c r="G7" s="65" t="str">
        <f>IFERROR(VLOOKUP(Table7[[#This Row],[Player No]],Table11[[No]:[Province]],3,0),"")</f>
        <v>UMG</v>
      </c>
      <c r="H7" s="66">
        <v>308.875</v>
      </c>
      <c r="I7" s="96">
        <v>479.4375</v>
      </c>
      <c r="J7" s="789">
        <f>Table7[[#This Row],[Points 2025]]/2+SUM(Table7[[#This Row],[O1  ADMIN 2026]:[P2           WC         CT Open 2026]])</f>
        <v>239.71875</v>
      </c>
      <c r="K7" s="196">
        <f t="shared" si="1"/>
        <v>0</v>
      </c>
      <c r="L7" s="63">
        <f t="shared" si="2"/>
        <v>0</v>
      </c>
      <c r="M7" s="708"/>
      <c r="N7" s="708" t="s">
        <v>6083</v>
      </c>
      <c r="O7" s="708" t="s">
        <v>6083</v>
      </c>
      <c r="P7" s="708"/>
      <c r="Q7" s="63">
        <v>100</v>
      </c>
      <c r="R7" s="63">
        <v>50</v>
      </c>
      <c r="S7" s="114">
        <v>50</v>
      </c>
      <c r="T7" s="114"/>
      <c r="U7" s="63">
        <v>50</v>
      </c>
      <c r="V7" s="114"/>
      <c r="W7" s="63"/>
      <c r="X7" s="636">
        <v>75</v>
      </c>
      <c r="Y7" s="114"/>
      <c r="Z7" s="63"/>
      <c r="AA7" s="63"/>
      <c r="AB7" s="63"/>
      <c r="AC7" s="400"/>
      <c r="AD7" s="63"/>
      <c r="AE7" s="63">
        <v>100</v>
      </c>
      <c r="AF7" s="63">
        <v>35</v>
      </c>
      <c r="AG7" s="63"/>
      <c r="AH7" s="63"/>
      <c r="AI7" s="63">
        <v>125</v>
      </c>
      <c r="AJ7" s="63"/>
      <c r="AK7" s="63"/>
      <c r="AL7" s="63"/>
      <c r="AM7" s="63"/>
      <c r="AN7" s="63"/>
    </row>
    <row r="8" spans="1:40" s="83" customFormat="1">
      <c r="A8" s="72" t="str">
        <f>IFERROR(VLOOKUP(Table7[[#This Row],[Player No]],Table11[[#All],[No]:[Age Group]],4,0),"")</f>
        <v>U15</v>
      </c>
      <c r="B8" s="71">
        <v>2</v>
      </c>
      <c r="C8" s="77">
        <f t="shared" si="0"/>
        <v>-2</v>
      </c>
      <c r="D8" s="63">
        <f t="shared" si="3"/>
        <v>4</v>
      </c>
      <c r="E8" s="63">
        <v>7290</v>
      </c>
      <c r="F8" s="64" t="str">
        <f>IFERROR(VLOOKUP(Table7[[#This Row],[Player No]],Table11[[No]:[Province]],2,0),"")</f>
        <v xml:space="preserve">MAHLAMVU Simone </v>
      </c>
      <c r="G8" s="65" t="str">
        <f>IFERROR(VLOOKUP(Table7[[#This Row],[Player No]],Table11[[No]:[Province]],3,0),"")</f>
        <v>FS</v>
      </c>
      <c r="H8" s="66">
        <v>288.53125</v>
      </c>
      <c r="I8" s="96">
        <v>419.265625</v>
      </c>
      <c r="J8" s="789">
        <f>Table7[[#This Row],[Points 2025]]/2+SUM(Table7[[#This Row],[O1  ADMIN 2026]:[P2           WC         CT Open 2026]])</f>
        <v>209.6328125</v>
      </c>
      <c r="K8" s="196">
        <f t="shared" si="1"/>
        <v>0</v>
      </c>
      <c r="L8" s="63">
        <f t="shared" si="2"/>
        <v>0</v>
      </c>
      <c r="M8" s="708"/>
      <c r="N8" s="708" t="s">
        <v>6083</v>
      </c>
      <c r="O8" s="708" t="s">
        <v>6083</v>
      </c>
      <c r="P8" s="708"/>
      <c r="Q8" s="63">
        <v>75</v>
      </c>
      <c r="R8" s="63"/>
      <c r="S8" s="114"/>
      <c r="T8" s="114"/>
      <c r="U8" s="63"/>
      <c r="V8" s="114">
        <v>75</v>
      </c>
      <c r="W8" s="63">
        <v>50</v>
      </c>
      <c r="X8" s="636">
        <v>75</v>
      </c>
      <c r="Y8" s="114"/>
      <c r="Z8" s="63"/>
      <c r="AA8" s="63"/>
      <c r="AB8" s="63"/>
      <c r="AC8" s="400"/>
      <c r="AD8" s="63"/>
      <c r="AE8" s="63">
        <v>75</v>
      </c>
      <c r="AF8" s="63">
        <v>25</v>
      </c>
      <c r="AG8" s="63"/>
      <c r="AH8" s="63"/>
      <c r="AI8" s="63">
        <v>75</v>
      </c>
      <c r="AJ8" s="63"/>
      <c r="AK8" s="63"/>
      <c r="AL8" s="63"/>
      <c r="AM8" s="63">
        <v>50</v>
      </c>
      <c r="AN8" s="63"/>
    </row>
    <row r="9" spans="1:40" s="83" customFormat="1">
      <c r="A9" s="72">
        <f>IFERROR(VLOOKUP(Table7[[#This Row],[Player No]],Table11[[#All],[No]:[Age Group]],4,0),"")</f>
        <v>0</v>
      </c>
      <c r="B9" s="71">
        <v>10</v>
      </c>
      <c r="C9" s="77">
        <f t="shared" si="0"/>
        <v>5</v>
      </c>
      <c r="D9" s="63">
        <f t="shared" si="3"/>
        <v>5</v>
      </c>
      <c r="E9" s="63">
        <v>8297</v>
      </c>
      <c r="F9" s="64" t="str">
        <f>IFERROR(VLOOKUP(Table7[[#This Row],[Player No]],Table11[[No]:[Province]],2,0),"")</f>
        <v>Mofokeng Topollo</v>
      </c>
      <c r="G9" s="65" t="str">
        <f>IFERROR(VLOOKUP(Table7[[#This Row],[Player No]],Table11[[No]:[Province]],3,0),"")</f>
        <v>ETK</v>
      </c>
      <c r="H9" s="66">
        <v>115</v>
      </c>
      <c r="I9" s="96">
        <v>357.5</v>
      </c>
      <c r="J9" s="789">
        <f>Table7[[#This Row],[Points 2025]]/2+SUM(Table7[[#This Row],[O1  ADMIN 2026]:[P2           WC         CT Open 2026]])</f>
        <v>178.75</v>
      </c>
      <c r="K9" s="196">
        <f t="shared" si="1"/>
        <v>0</v>
      </c>
      <c r="L9" s="63">
        <f t="shared" si="2"/>
        <v>0</v>
      </c>
      <c r="M9" s="708"/>
      <c r="N9" s="708" t="s">
        <v>6083</v>
      </c>
      <c r="O9" s="708" t="s">
        <v>6083</v>
      </c>
      <c r="P9" s="708"/>
      <c r="Q9" s="63">
        <v>25</v>
      </c>
      <c r="R9" s="63">
        <v>15</v>
      </c>
      <c r="S9" s="114"/>
      <c r="T9" s="114">
        <v>50</v>
      </c>
      <c r="U9" s="63">
        <v>35</v>
      </c>
      <c r="V9" s="114"/>
      <c r="W9" s="63"/>
      <c r="X9" s="636">
        <v>175</v>
      </c>
      <c r="Y9" s="114"/>
      <c r="Z9" s="63"/>
      <c r="AA9" s="63"/>
      <c r="AB9" s="63"/>
      <c r="AC9" s="400"/>
      <c r="AD9" s="63"/>
      <c r="AE9" s="63">
        <v>50</v>
      </c>
      <c r="AF9" s="63">
        <v>15</v>
      </c>
      <c r="AG9" s="63"/>
      <c r="AH9" s="63"/>
      <c r="AI9" s="63">
        <v>50</v>
      </c>
      <c r="AJ9" s="63"/>
      <c r="AK9" s="63"/>
      <c r="AL9" s="63"/>
      <c r="AM9" s="63"/>
      <c r="AN9" s="63"/>
    </row>
    <row r="10" spans="1:40" s="83" customFormat="1">
      <c r="A10" s="72">
        <f>IFERROR(VLOOKUP(Table7[[#This Row],[Player No]],Table11[[#All],[No]:[Age Group]],4,0),"")</f>
        <v>0</v>
      </c>
      <c r="B10" s="71">
        <v>16</v>
      </c>
      <c r="C10" s="77">
        <f t="shared" si="0"/>
        <v>10</v>
      </c>
      <c r="D10" s="63">
        <f t="shared" si="3"/>
        <v>6</v>
      </c>
      <c r="E10" s="63">
        <v>8105</v>
      </c>
      <c r="F10" s="64" t="str">
        <f>IFERROR(VLOOKUP(Table7[[#This Row],[Player No]],Table11[[No]:[Province]],2,0),"")</f>
        <v>CHINANC Nompilenhle</v>
      </c>
      <c r="G10" s="65" t="str">
        <f>IFERROR(VLOOKUP(Table7[[#This Row],[Player No]],Table11[[No]:[Province]],3,0),"")</f>
        <v>ETK</v>
      </c>
      <c r="H10" s="66">
        <v>100</v>
      </c>
      <c r="I10" s="96">
        <v>230</v>
      </c>
      <c r="J10" s="789">
        <f>Table7[[#This Row],[Points 2025]]/2+SUM(Table7[[#This Row],[O1  ADMIN 2026]:[P2           WC         CT Open 2026]])</f>
        <v>175</v>
      </c>
      <c r="K10" s="196">
        <f t="shared" si="1"/>
        <v>2</v>
      </c>
      <c r="L10" s="63">
        <f t="shared" si="2"/>
        <v>0</v>
      </c>
      <c r="M10" s="708"/>
      <c r="N10" s="708">
        <v>25</v>
      </c>
      <c r="O10" s="708">
        <v>35</v>
      </c>
      <c r="P10" s="708"/>
      <c r="Q10" s="63">
        <v>50</v>
      </c>
      <c r="R10" s="63">
        <v>15</v>
      </c>
      <c r="S10" s="114">
        <v>25</v>
      </c>
      <c r="T10" s="114">
        <v>15</v>
      </c>
      <c r="U10" s="63">
        <v>25</v>
      </c>
      <c r="V10" s="114"/>
      <c r="W10" s="63"/>
      <c r="X10" s="636">
        <v>50</v>
      </c>
      <c r="Y10" s="114"/>
      <c r="Z10" s="63"/>
      <c r="AA10" s="63"/>
      <c r="AB10" s="63"/>
      <c r="AC10" s="400"/>
      <c r="AD10" s="63"/>
      <c r="AE10" s="63">
        <v>50</v>
      </c>
      <c r="AF10" s="63"/>
      <c r="AG10" s="63"/>
      <c r="AH10" s="63"/>
      <c r="AI10" s="63">
        <v>50</v>
      </c>
      <c r="AJ10" s="63"/>
      <c r="AK10" s="63"/>
      <c r="AL10" s="63"/>
      <c r="AM10" s="63"/>
      <c r="AN10" s="63"/>
    </row>
    <row r="11" spans="1:40" s="83" customFormat="1">
      <c r="A11" s="72">
        <f>IFERROR(VLOOKUP(Table7[[#This Row],[Player No]],Table11[[#All],[No]:[Age Group]],4,0),"")</f>
        <v>0</v>
      </c>
      <c r="B11" s="71">
        <v>1</v>
      </c>
      <c r="C11" s="77">
        <f t="shared" si="0"/>
        <v>-6</v>
      </c>
      <c r="D11" s="63">
        <f t="shared" si="3"/>
        <v>7</v>
      </c>
      <c r="E11" s="63">
        <v>7626</v>
      </c>
      <c r="F11" s="64" t="str">
        <f>IFERROR(VLOOKUP(Table7[[#This Row],[Player No]],Table11[[No]:[Province]],2,0),"")</f>
        <v>TOTARAM Nitara</v>
      </c>
      <c r="G11" s="65" t="str">
        <f>IFERROR(VLOOKUP(Table7[[#This Row],[Player No]],Table11[[No]:[Province]],3,0),"")</f>
        <v>UMG</v>
      </c>
      <c r="H11" s="66">
        <v>546.90625</v>
      </c>
      <c r="I11" s="96">
        <v>348.453125</v>
      </c>
      <c r="J11" s="789">
        <f>Table7[[#This Row],[Points 2025]]/2+SUM(Table7[[#This Row],[O1  ADMIN 2026]:[P2           WC         CT Open 2026]])</f>
        <v>174.2265625</v>
      </c>
      <c r="K11" s="196">
        <f t="shared" si="1"/>
        <v>0</v>
      </c>
      <c r="L11" s="63">
        <f t="shared" si="2"/>
        <v>0</v>
      </c>
      <c r="M11" s="708"/>
      <c r="N11" s="708" t="s">
        <v>6083</v>
      </c>
      <c r="O11" s="708" t="s">
        <v>6083</v>
      </c>
      <c r="P11" s="708"/>
      <c r="Q11" s="63"/>
      <c r="R11" s="63"/>
      <c r="S11" s="114"/>
      <c r="T11" s="114"/>
      <c r="U11" s="63"/>
      <c r="V11" s="114"/>
      <c r="W11" s="63"/>
      <c r="X11" s="636"/>
      <c r="Y11" s="114"/>
      <c r="Z11" s="63"/>
      <c r="AA11" s="63"/>
      <c r="AB11" s="63"/>
      <c r="AC11" s="400"/>
      <c r="AD11" s="63">
        <v>75</v>
      </c>
      <c r="AE11" s="63">
        <v>150</v>
      </c>
      <c r="AF11" s="63">
        <v>50</v>
      </c>
      <c r="AG11" s="63"/>
      <c r="AH11" s="63"/>
      <c r="AI11" s="63">
        <v>125</v>
      </c>
      <c r="AJ11" s="63"/>
      <c r="AK11" s="63"/>
      <c r="AL11" s="63"/>
      <c r="AM11" s="63">
        <v>100</v>
      </c>
      <c r="AN11" s="63"/>
    </row>
    <row r="12" spans="1:40" s="83" customFormat="1">
      <c r="A12" s="72" t="str">
        <f>IFERROR(VLOOKUP(Table7[[#This Row],[Player No]],Table11[[#All],[No]:[Age Group]],4,0),"")</f>
        <v>U15</v>
      </c>
      <c r="B12" s="71">
        <v>5</v>
      </c>
      <c r="C12" s="77">
        <f t="shared" si="0"/>
        <v>-3</v>
      </c>
      <c r="D12" s="63">
        <f t="shared" si="3"/>
        <v>8</v>
      </c>
      <c r="E12" s="63">
        <v>8176</v>
      </c>
      <c r="F12" s="64" t="str">
        <f>IFERROR(VLOOKUP(Table7[[#This Row],[Player No]],Table11[[No]:[Province]],2,0),"")</f>
        <v>Phoofolo Refilwe</v>
      </c>
      <c r="G12" s="65" t="str">
        <f>IFERROR(VLOOKUP(Table7[[#This Row],[Player No]],Table11[[No]:[Province]],3,0),"")</f>
        <v>FS</v>
      </c>
      <c r="H12" s="66">
        <v>275</v>
      </c>
      <c r="I12" s="96">
        <v>347.5</v>
      </c>
      <c r="J12" s="789">
        <f>Table7[[#This Row],[Points 2025]]/2+SUM(Table7[[#This Row],[O1  ADMIN 2026]:[P2           WC         CT Open 2026]])</f>
        <v>173.75</v>
      </c>
      <c r="K12" s="196">
        <f t="shared" si="1"/>
        <v>0</v>
      </c>
      <c r="L12" s="63">
        <f t="shared" si="2"/>
        <v>0</v>
      </c>
      <c r="M12" s="708"/>
      <c r="N12" s="708" t="s">
        <v>6083</v>
      </c>
      <c r="O12" s="708" t="s">
        <v>6083</v>
      </c>
      <c r="P12" s="708"/>
      <c r="Q12" s="63"/>
      <c r="R12" s="63"/>
      <c r="S12" s="114"/>
      <c r="T12" s="114"/>
      <c r="U12" s="63"/>
      <c r="V12" s="114">
        <v>50</v>
      </c>
      <c r="W12" s="63">
        <v>35</v>
      </c>
      <c r="X12" s="636">
        <v>75</v>
      </c>
      <c r="Y12" s="114"/>
      <c r="Z12" s="63"/>
      <c r="AA12" s="63"/>
      <c r="AB12" s="63"/>
      <c r="AC12" s="400"/>
      <c r="AD12" s="63">
        <v>50</v>
      </c>
      <c r="AE12" s="63">
        <v>75</v>
      </c>
      <c r="AF12" s="63"/>
      <c r="AG12" s="63"/>
      <c r="AH12" s="63"/>
      <c r="AI12" s="63">
        <v>75</v>
      </c>
      <c r="AJ12" s="63"/>
      <c r="AK12" s="63"/>
      <c r="AL12" s="63">
        <v>50</v>
      </c>
      <c r="AM12" s="63">
        <v>25</v>
      </c>
      <c r="AN12" s="63"/>
    </row>
    <row r="13" spans="1:40" s="83" customFormat="1">
      <c r="A13" s="72">
        <f>IFERROR(VLOOKUP(Table7[[#This Row],[Player No]],Table11[[#All],[No]:[Age Group]],4,0),"")</f>
        <v>0</v>
      </c>
      <c r="B13" s="71">
        <v>22</v>
      </c>
      <c r="C13" s="77">
        <f t="shared" si="0"/>
        <v>13</v>
      </c>
      <c r="D13" s="63">
        <f t="shared" si="3"/>
        <v>9</v>
      </c>
      <c r="E13" s="63">
        <v>8036</v>
      </c>
      <c r="F13" s="64" t="str">
        <f>IFERROR(VLOOKUP(Table7[[#This Row],[Player No]],Table11[[No]:[Province]],2,0),"")</f>
        <v>JONES Shona</v>
      </c>
      <c r="G13" s="65" t="str">
        <f>IFERROR(VLOOKUP(Table7[[#This Row],[Player No]],Table11[[No]:[Province]],3,0),"")</f>
        <v>CT</v>
      </c>
      <c r="H13" s="66">
        <v>33.375</v>
      </c>
      <c r="I13" s="96">
        <v>309.1875</v>
      </c>
      <c r="J13" s="789">
        <f>Table7[[#This Row],[Points 2025]]/2+SUM(Table7[[#This Row],[O1  ADMIN 2026]:[P2           WC         CT Open 2026]])</f>
        <v>154.59375</v>
      </c>
      <c r="K13" s="196">
        <f t="shared" si="1"/>
        <v>0</v>
      </c>
      <c r="L13" s="63">
        <f t="shared" si="2"/>
        <v>0</v>
      </c>
      <c r="M13" s="708"/>
      <c r="N13" s="708" t="s">
        <v>6083</v>
      </c>
      <c r="O13" s="708" t="s">
        <v>6083</v>
      </c>
      <c r="P13" s="708"/>
      <c r="Q13" s="63"/>
      <c r="R13" s="63"/>
      <c r="S13" s="114"/>
      <c r="T13" s="114"/>
      <c r="U13" s="63"/>
      <c r="V13" s="114"/>
      <c r="W13" s="63"/>
      <c r="X13" s="636">
        <v>125</v>
      </c>
      <c r="Y13" s="114">
        <v>17.5</v>
      </c>
      <c r="Z13" s="63">
        <v>150</v>
      </c>
      <c r="AA13" s="63"/>
      <c r="AB13" s="63"/>
      <c r="AC13" s="400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</row>
    <row r="14" spans="1:40" s="83" customFormat="1">
      <c r="A14" s="72">
        <f>IFERROR(VLOOKUP(Table7[[#This Row],[Player No]],Table11[[#All],[No]:[Age Group]],4,0),"")</f>
        <v>0</v>
      </c>
      <c r="B14" s="71">
        <v>20</v>
      </c>
      <c r="C14" s="77">
        <f t="shared" si="0"/>
        <v>10</v>
      </c>
      <c r="D14" s="63">
        <f t="shared" si="3"/>
        <v>10</v>
      </c>
      <c r="E14" s="63">
        <v>8104</v>
      </c>
      <c r="F14" s="64" t="str">
        <f>IFERROR(VLOOKUP(Table7[[#This Row],[Player No]],Table11[[No]:[Province]],2,0),"")</f>
        <v>BATYO Yonela</v>
      </c>
      <c r="G14" s="65" t="str">
        <f>IFERROR(VLOOKUP(Table7[[#This Row],[Player No]],Table11[[No]:[Province]],3,0),"")</f>
        <v>ETK</v>
      </c>
      <c r="H14" s="66">
        <v>87</v>
      </c>
      <c r="I14" s="96">
        <v>293.5</v>
      </c>
      <c r="J14" s="789">
        <f>Table7[[#This Row],[Points 2025]]/2+SUM(Table7[[#This Row],[O1  ADMIN 2026]:[P2           WC         CT Open 2026]])</f>
        <v>146.75</v>
      </c>
      <c r="K14" s="196">
        <f t="shared" si="1"/>
        <v>0</v>
      </c>
      <c r="L14" s="63">
        <f t="shared" si="2"/>
        <v>0</v>
      </c>
      <c r="M14" s="708"/>
      <c r="N14" s="708" t="s">
        <v>6083</v>
      </c>
      <c r="O14" s="708" t="s">
        <v>6083</v>
      </c>
      <c r="P14" s="708"/>
      <c r="Q14" s="63">
        <v>50</v>
      </c>
      <c r="R14" s="63">
        <v>35</v>
      </c>
      <c r="S14" s="114">
        <v>25</v>
      </c>
      <c r="T14" s="114">
        <v>50</v>
      </c>
      <c r="U14" s="63">
        <v>15</v>
      </c>
      <c r="V14" s="114"/>
      <c r="W14" s="63"/>
      <c r="X14" s="636">
        <v>75</v>
      </c>
      <c r="Y14" s="114"/>
      <c r="Z14" s="63"/>
      <c r="AA14" s="63"/>
      <c r="AB14" s="63"/>
      <c r="AC14" s="400"/>
      <c r="AD14" s="63"/>
      <c r="AE14" s="63">
        <v>2</v>
      </c>
      <c r="AF14" s="63">
        <v>10</v>
      </c>
      <c r="AG14" s="63"/>
      <c r="AH14" s="63"/>
      <c r="AI14" s="63">
        <v>50</v>
      </c>
      <c r="AJ14" s="63"/>
      <c r="AK14" s="63"/>
      <c r="AL14" s="63"/>
      <c r="AM14" s="63"/>
      <c r="AN14" s="63"/>
    </row>
    <row r="15" spans="1:40" s="83" customFormat="1">
      <c r="A15" s="72">
        <f>IFERROR(VLOOKUP(Table7[[#This Row],[Player No]],Table11[[#All],[No]:[Age Group]],4,0),"")</f>
        <v>0</v>
      </c>
      <c r="B15" s="71">
        <v>34</v>
      </c>
      <c r="C15" s="77">
        <f t="shared" si="0"/>
        <v>23</v>
      </c>
      <c r="D15" s="63">
        <f t="shared" si="3"/>
        <v>11</v>
      </c>
      <c r="E15" s="63">
        <v>8097</v>
      </c>
      <c r="F15" s="64" t="str">
        <f>IFERROR(VLOOKUP(Table7[[#This Row],[Player No]],Table11[[No]:[Province]],2,0),"")</f>
        <v>GOKAL Mahi</v>
      </c>
      <c r="G15" s="65" t="str">
        <f>IFERROR(VLOOKUP(Table7[[#This Row],[Player No]],Table11[[No]:[Province]],3,0),"")</f>
        <v>ETK</v>
      </c>
      <c r="H15" s="66">
        <v>22.5</v>
      </c>
      <c r="I15" s="96">
        <v>231.25</v>
      </c>
      <c r="J15" s="789">
        <f>Table7[[#This Row],[Points 2025]]/2+SUM(Table7[[#This Row],[O1  ADMIN 2026]:[P2           WC         CT Open 2026]])</f>
        <v>145.625</v>
      </c>
      <c r="K15" s="196">
        <f t="shared" si="1"/>
        <v>2</v>
      </c>
      <c r="L15" s="63">
        <f t="shared" si="2"/>
        <v>0</v>
      </c>
      <c r="M15" s="708"/>
      <c r="N15" s="708">
        <v>15</v>
      </c>
      <c r="O15" s="708">
        <v>15</v>
      </c>
      <c r="P15" s="708"/>
      <c r="Q15" s="63">
        <v>50</v>
      </c>
      <c r="R15" s="63">
        <v>15</v>
      </c>
      <c r="S15" s="114">
        <v>15</v>
      </c>
      <c r="T15" s="114">
        <v>75</v>
      </c>
      <c r="U15" s="63">
        <v>15</v>
      </c>
      <c r="V15" s="114"/>
      <c r="W15" s="63"/>
      <c r="X15" s="636">
        <v>50</v>
      </c>
      <c r="Y15" s="114"/>
      <c r="Z15" s="63"/>
      <c r="AA15" s="63"/>
      <c r="AB15" s="63"/>
      <c r="AC15" s="400"/>
      <c r="AD15" s="63"/>
      <c r="AE15" s="63"/>
      <c r="AF15" s="63">
        <v>15</v>
      </c>
      <c r="AG15" s="63"/>
      <c r="AH15" s="63"/>
      <c r="AI15" s="63"/>
      <c r="AJ15" s="63"/>
      <c r="AK15" s="63"/>
      <c r="AL15" s="63"/>
      <c r="AM15" s="63"/>
      <c r="AN15" s="63"/>
    </row>
    <row r="16" spans="1:40" s="83" customFormat="1">
      <c r="A16" s="140"/>
      <c r="B16" s="71"/>
      <c r="C16" s="77">
        <f t="shared" si="0"/>
        <v>-12</v>
      </c>
      <c r="D16" s="63">
        <f t="shared" si="3"/>
        <v>12</v>
      </c>
      <c r="E16" s="154">
        <v>8446</v>
      </c>
      <c r="F16" s="64" t="str">
        <f>IFERROR(VLOOKUP(Table7[[#This Row],[Player No]],Table11[[No]:[Province]],2,0),"")</f>
        <v>RAMCHURRAN Leora</v>
      </c>
      <c r="G16" s="65" t="str">
        <f>IFERROR(VLOOKUP(Table7[[#This Row],[Player No]],Table11[[No]:[Province]],3,0),"")</f>
        <v>UMG</v>
      </c>
      <c r="H16" s="66">
        <v>0</v>
      </c>
      <c r="I16" s="96">
        <v>167</v>
      </c>
      <c r="J16" s="789">
        <f>Table7[[#This Row],[Points 2025]]/2+SUM(Table7[[#This Row],[O1  ADMIN 2026]:[P2           WC         CT Open 2026]])</f>
        <v>113.5</v>
      </c>
      <c r="K16" s="196">
        <f t="shared" si="1"/>
        <v>2</v>
      </c>
      <c r="L16" s="63">
        <f t="shared" si="2"/>
        <v>0</v>
      </c>
      <c r="M16" s="708"/>
      <c r="N16" s="708">
        <v>15</v>
      </c>
      <c r="O16" s="708">
        <v>15</v>
      </c>
      <c r="P16" s="708"/>
      <c r="Q16" s="63">
        <v>25</v>
      </c>
      <c r="R16" s="63">
        <v>1</v>
      </c>
      <c r="S16" s="114">
        <v>15</v>
      </c>
      <c r="T16" s="114"/>
      <c r="U16" s="63">
        <v>1</v>
      </c>
      <c r="V16" s="114"/>
      <c r="W16" s="63"/>
      <c r="X16" s="636">
        <v>50</v>
      </c>
      <c r="Y16" s="114"/>
      <c r="Z16" s="63" t="s">
        <v>4722</v>
      </c>
      <c r="AA16" s="63"/>
      <c r="AB16" s="63"/>
      <c r="AC16" s="400">
        <v>25</v>
      </c>
      <c r="AD16" s="63">
        <v>50</v>
      </c>
      <c r="AE16" s="63"/>
      <c r="AF16" s="63"/>
      <c r="AG16" s="63"/>
      <c r="AH16" s="63"/>
      <c r="AI16" s="63"/>
      <c r="AJ16" s="63"/>
      <c r="AK16" s="63"/>
      <c r="AL16" s="63"/>
      <c r="AM16" s="63"/>
      <c r="AN16" s="63"/>
    </row>
    <row r="17" spans="1:40" s="83" customFormat="1">
      <c r="A17" s="72">
        <f>IFERROR(VLOOKUP(Table7[[#This Row],[Player No]],Table11[[#All],[No]:[Age Group]],4,0),"")</f>
        <v>0</v>
      </c>
      <c r="B17" s="71">
        <v>71</v>
      </c>
      <c r="C17" s="77">
        <f t="shared" si="0"/>
        <v>58</v>
      </c>
      <c r="D17" s="63">
        <f t="shared" si="3"/>
        <v>13</v>
      </c>
      <c r="E17" s="63">
        <v>8041</v>
      </c>
      <c r="F17" s="64" t="str">
        <f>IFERROR(VLOOKUP(Table7[[#This Row],[Player No]],Table11[[No]:[Province]],2,0),"")</f>
        <v>SMITH Shiloh</v>
      </c>
      <c r="G17" s="65" t="str">
        <f>IFERROR(VLOOKUP(Table7[[#This Row],[Player No]],Table11[[No]:[Province]],3,0),"")</f>
        <v>CT</v>
      </c>
      <c r="H17" s="66">
        <v>77.75</v>
      </c>
      <c r="I17" s="96">
        <v>226.375</v>
      </c>
      <c r="J17" s="789">
        <f>Table7[[#This Row],[Points 2025]]/2+SUM(Table7[[#This Row],[O1  ADMIN 2026]:[P2           WC         CT Open 2026]])</f>
        <v>113.1875</v>
      </c>
      <c r="K17" s="196">
        <f t="shared" si="1"/>
        <v>0</v>
      </c>
      <c r="L17" s="63">
        <f t="shared" si="2"/>
        <v>0</v>
      </c>
      <c r="M17" s="708"/>
      <c r="N17" s="708" t="s">
        <v>6083</v>
      </c>
      <c r="O17" s="708" t="s">
        <v>6083</v>
      </c>
      <c r="P17" s="708"/>
      <c r="Q17" s="63"/>
      <c r="R17" s="63"/>
      <c r="S17" s="114"/>
      <c r="T17" s="114"/>
      <c r="U17" s="63"/>
      <c r="V17" s="114">
        <v>50</v>
      </c>
      <c r="W17" s="63"/>
      <c r="X17" s="636">
        <v>50</v>
      </c>
      <c r="Y17" s="114">
        <v>12.5</v>
      </c>
      <c r="Z17" s="63">
        <v>75</v>
      </c>
      <c r="AA17" s="63"/>
      <c r="AB17" s="63"/>
      <c r="AC17" s="400"/>
      <c r="AD17" s="63"/>
      <c r="AE17" s="63"/>
      <c r="AF17" s="63"/>
      <c r="AG17" s="63">
        <v>50</v>
      </c>
      <c r="AH17" s="63"/>
      <c r="AI17" s="63">
        <v>25</v>
      </c>
      <c r="AJ17" s="63"/>
      <c r="AK17" s="63"/>
      <c r="AL17" s="63"/>
      <c r="AM17" s="63"/>
      <c r="AN17" s="63"/>
    </row>
    <row r="18" spans="1:40" s="83" customFormat="1">
      <c r="A18" s="72" t="str">
        <f>IFERROR(VLOOKUP(Table7[[#This Row],[Player No]],Table11[[#All],[No]:[Age Group]],4,0),"")</f>
        <v>U15</v>
      </c>
      <c r="B18" s="71">
        <v>7</v>
      </c>
      <c r="C18" s="77">
        <f t="shared" si="0"/>
        <v>-7</v>
      </c>
      <c r="D18" s="63">
        <f t="shared" si="3"/>
        <v>14</v>
      </c>
      <c r="E18" s="63">
        <v>8260</v>
      </c>
      <c r="F18" s="64" t="str">
        <f>IFERROR(VLOOKUP(Table7[[#This Row],[Player No]],Table11[[No]:[Province]],2,0),"")</f>
        <v>HUNKIN Sarah</v>
      </c>
      <c r="G18" s="65" t="str">
        <f>IFERROR(VLOOKUP(Table7[[#This Row],[Player No]],Table11[[No]:[Province]],3,0),"")</f>
        <v>JTTA</v>
      </c>
      <c r="H18" s="66">
        <v>195</v>
      </c>
      <c r="I18" s="96">
        <v>215</v>
      </c>
      <c r="J18" s="789">
        <f>Table7[[#This Row],[Points 2025]]/2+SUM(Table7[[#This Row],[O1  ADMIN 2026]:[P2           WC         CT Open 2026]])</f>
        <v>107.5</v>
      </c>
      <c r="K18" s="196">
        <f t="shared" si="1"/>
        <v>0</v>
      </c>
      <c r="L18" s="63">
        <f t="shared" si="2"/>
        <v>0</v>
      </c>
      <c r="M18" s="708"/>
      <c r="N18" s="708" t="s">
        <v>6083</v>
      </c>
      <c r="O18" s="708" t="s">
        <v>6083</v>
      </c>
      <c r="P18" s="708"/>
      <c r="Q18" s="63"/>
      <c r="R18" s="63"/>
      <c r="S18" s="114"/>
      <c r="T18" s="114"/>
      <c r="U18" s="63"/>
      <c r="V18" s="114"/>
      <c r="W18" s="63"/>
      <c r="X18" s="636">
        <v>50</v>
      </c>
      <c r="Y18" s="114"/>
      <c r="Z18" s="63" t="s">
        <v>4722</v>
      </c>
      <c r="AA18" s="63"/>
      <c r="AB18" s="63">
        <v>25</v>
      </c>
      <c r="AC18" s="400">
        <v>17.5</v>
      </c>
      <c r="AD18" s="63">
        <v>25</v>
      </c>
      <c r="AE18" s="63"/>
      <c r="AF18" s="63"/>
      <c r="AG18" s="63"/>
      <c r="AH18" s="63"/>
      <c r="AI18" s="63">
        <v>25</v>
      </c>
      <c r="AJ18" s="63">
        <f>50/2</f>
        <v>25</v>
      </c>
      <c r="AK18" s="63">
        <v>50</v>
      </c>
      <c r="AL18" s="63">
        <v>37.5</v>
      </c>
      <c r="AM18" s="63">
        <v>25</v>
      </c>
      <c r="AN18" s="63">
        <f>50/2</f>
        <v>25</v>
      </c>
    </row>
    <row r="19" spans="1:40" s="83" customFormat="1">
      <c r="A19" s="72">
        <f>IFERROR(VLOOKUP(Table7[[#This Row],[Player No]],Table11[[#All],[No]:[Age Group]],4,0),"")</f>
        <v>0</v>
      </c>
      <c r="B19" s="71">
        <v>55</v>
      </c>
      <c r="C19" s="77">
        <f t="shared" si="0"/>
        <v>40</v>
      </c>
      <c r="D19" s="63">
        <f t="shared" si="3"/>
        <v>15</v>
      </c>
      <c r="E19" s="63">
        <v>8106</v>
      </c>
      <c r="F19" s="64" t="str">
        <f>IFERROR(VLOOKUP(Table7[[#This Row],[Player No]],Table11[[No]:[Province]],2,0),"")</f>
        <v>PARBHOODEEN Akshara Gemma</v>
      </c>
      <c r="G19" s="65" t="str">
        <f>IFERROR(VLOOKUP(Table7[[#This Row],[Player No]],Table11[[No]:[Province]],3,0),"")</f>
        <v>UMG</v>
      </c>
      <c r="H19" s="66">
        <v>62</v>
      </c>
      <c r="I19" s="96">
        <v>182</v>
      </c>
      <c r="J19" s="789">
        <f>Table7[[#This Row],[Points 2025]]/2+SUM(Table7[[#This Row],[O1  ADMIN 2026]:[P2           WC         CT Open 2026]])</f>
        <v>102</v>
      </c>
      <c r="K19" s="196">
        <f t="shared" si="1"/>
        <v>2</v>
      </c>
      <c r="L19" s="63">
        <f t="shared" si="2"/>
        <v>0</v>
      </c>
      <c r="M19" s="708"/>
      <c r="N19" s="708">
        <v>10</v>
      </c>
      <c r="O19" s="708">
        <v>1</v>
      </c>
      <c r="P19" s="708"/>
      <c r="Q19" s="63">
        <v>50</v>
      </c>
      <c r="R19" s="63">
        <v>15</v>
      </c>
      <c r="S19" s="114">
        <v>1</v>
      </c>
      <c r="T19" s="114">
        <v>25</v>
      </c>
      <c r="U19" s="63">
        <v>10</v>
      </c>
      <c r="V19" s="114"/>
      <c r="W19" s="63"/>
      <c r="X19" s="636">
        <v>50</v>
      </c>
      <c r="Y19" s="114"/>
      <c r="Z19" s="63"/>
      <c r="AA19" s="63"/>
      <c r="AB19" s="63"/>
      <c r="AC19" s="400"/>
      <c r="AD19" s="63"/>
      <c r="AE19" s="63">
        <v>2</v>
      </c>
      <c r="AF19" s="63">
        <v>10</v>
      </c>
      <c r="AG19" s="63"/>
      <c r="AH19" s="63"/>
      <c r="AI19" s="63">
        <v>25</v>
      </c>
      <c r="AJ19" s="63"/>
      <c r="AK19" s="63"/>
      <c r="AL19" s="63">
        <v>25</v>
      </c>
      <c r="AM19" s="63"/>
      <c r="AN19" s="63"/>
    </row>
    <row r="20" spans="1:40" s="83" customFormat="1">
      <c r="A20" s="72"/>
      <c r="B20" s="71"/>
      <c r="C20" s="77"/>
      <c r="D20" s="63">
        <f t="shared" si="3"/>
        <v>16</v>
      </c>
      <c r="E20" s="63">
        <v>8113</v>
      </c>
      <c r="F20" s="64" t="str">
        <f>IFERROR(VLOOKUP(Table7[[#This Row],[Player No]],Table11[[No]:[Province]],2,0),"")</f>
        <v>NJEMLA MBATHA Olwethu</v>
      </c>
      <c r="G20" s="65" t="str">
        <f>IFERROR(VLOOKUP(Table7[[#This Row],[Player No]],Table11[[No]:[Province]],3,0),"")</f>
        <v>ETK</v>
      </c>
      <c r="H20" s="66">
        <v>0</v>
      </c>
      <c r="I20" s="96">
        <v>105</v>
      </c>
      <c r="J20" s="789">
        <f>Table7[[#This Row],[Points 2025]]/2+SUM(Table7[[#This Row],[O1  ADMIN 2026]:[P2           WC         CT Open 2026]])</f>
        <v>82.5</v>
      </c>
      <c r="K20" s="196">
        <f t="shared" si="1"/>
        <v>2</v>
      </c>
      <c r="L20" s="63">
        <f t="shared" si="2"/>
        <v>0</v>
      </c>
      <c r="M20" s="708"/>
      <c r="N20" s="708">
        <v>15</v>
      </c>
      <c r="O20" s="708">
        <v>15</v>
      </c>
      <c r="P20" s="708"/>
      <c r="Q20" s="63"/>
      <c r="R20" s="63">
        <v>15</v>
      </c>
      <c r="S20" s="114">
        <v>15</v>
      </c>
      <c r="T20" s="114">
        <v>25</v>
      </c>
      <c r="U20" s="63">
        <v>25</v>
      </c>
      <c r="V20" s="114"/>
      <c r="W20" s="63"/>
      <c r="X20" s="636">
        <v>25</v>
      </c>
      <c r="Y20" s="114"/>
      <c r="Z20" s="63"/>
      <c r="AA20" s="63"/>
      <c r="AB20" s="63"/>
      <c r="AC20" s="400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</row>
    <row r="21" spans="1:40" s="83" customFormat="1">
      <c r="A21" s="72">
        <f>IFERROR(VLOOKUP(Table7[[#This Row],[Player No]],Table11[[#All],[No]:[Age Group]],4,0),"")</f>
        <v>0</v>
      </c>
      <c r="B21" s="71">
        <v>14</v>
      </c>
      <c r="C21" s="77">
        <f>+B21-D21</f>
        <v>-3</v>
      </c>
      <c r="D21" s="63">
        <f t="shared" si="3"/>
        <v>17</v>
      </c>
      <c r="E21" s="63">
        <v>8152</v>
      </c>
      <c r="F21" s="64" t="str">
        <f>IFERROR(VLOOKUP(Table7[[#This Row],[Player No]],Table11[[No]:[Province]],2,0),"")</f>
        <v>ZIDE Iminam</v>
      </c>
      <c r="G21" s="65" t="str">
        <f>IFERROR(VLOOKUP(Table7[[#This Row],[Player No]],Table11[[No]:[Province]],3,0),"")</f>
        <v>EC</v>
      </c>
      <c r="H21" s="66">
        <v>225</v>
      </c>
      <c r="I21" s="96">
        <v>162.5</v>
      </c>
      <c r="J21" s="789">
        <f>Table7[[#This Row],[Points 2025]]/2+SUM(Table7[[#This Row],[O1  ADMIN 2026]:[P2           WC         CT Open 2026]])</f>
        <v>81.25</v>
      </c>
      <c r="K21" s="196">
        <f t="shared" si="1"/>
        <v>0</v>
      </c>
      <c r="L21" s="63">
        <f t="shared" si="2"/>
        <v>0</v>
      </c>
      <c r="M21" s="708"/>
      <c r="N21" s="708" t="s">
        <v>6083</v>
      </c>
      <c r="O21" s="708" t="s">
        <v>6083</v>
      </c>
      <c r="P21" s="708"/>
      <c r="Q21" s="63"/>
      <c r="R21" s="63"/>
      <c r="S21" s="114"/>
      <c r="T21" s="114"/>
      <c r="U21" s="63"/>
      <c r="V21" s="114"/>
      <c r="W21" s="63"/>
      <c r="X21" s="636">
        <v>50</v>
      </c>
      <c r="Y21" s="114"/>
      <c r="Z21" s="63"/>
      <c r="AA21" s="63"/>
      <c r="AB21" s="63"/>
      <c r="AC21" s="400"/>
      <c r="AD21" s="63"/>
      <c r="AE21" s="63"/>
      <c r="AF21" s="63"/>
      <c r="AG21" s="63"/>
      <c r="AH21" s="63"/>
      <c r="AI21" s="63">
        <v>175</v>
      </c>
      <c r="AJ21" s="63"/>
      <c r="AK21" s="63"/>
      <c r="AL21" s="63"/>
      <c r="AM21" s="63">
        <v>50</v>
      </c>
      <c r="AN21" s="63"/>
    </row>
    <row r="22" spans="1:40" s="83" customFormat="1">
      <c r="A22" s="72" t="str">
        <f>IFERROR(VLOOKUP(Table7[[#This Row],[Player No]],Table11[[#All],[No]:[Age Group]],4,0),"")</f>
        <v>U15</v>
      </c>
      <c r="B22" s="71">
        <v>47</v>
      </c>
      <c r="C22" s="77">
        <f>+B22-D22</f>
        <v>29</v>
      </c>
      <c r="D22" s="63">
        <f t="shared" si="3"/>
        <v>18</v>
      </c>
      <c r="E22" s="63">
        <v>8074</v>
      </c>
      <c r="F22" s="64" t="str">
        <f>IFERROR(VLOOKUP(Table7[[#This Row],[Player No]],Table11[[No]:[Province]],2,0),"")</f>
        <v>MOUTON Andrea</v>
      </c>
      <c r="G22" s="65" t="str">
        <f>IFERROR(VLOOKUP(Table7[[#This Row],[Player No]],Table11[[No]:[Province]],3,0),"")</f>
        <v>Eden</v>
      </c>
      <c r="H22" s="66">
        <v>162.5</v>
      </c>
      <c r="I22" s="96">
        <v>156.25</v>
      </c>
      <c r="J22" s="789">
        <f>Table7[[#This Row],[Points 2025]]/2+SUM(Table7[[#This Row],[O1  ADMIN 2026]:[P2           WC         CT Open 2026]])</f>
        <v>78.125</v>
      </c>
      <c r="K22" s="196">
        <f t="shared" si="1"/>
        <v>0</v>
      </c>
      <c r="L22" s="63">
        <f t="shared" si="2"/>
        <v>0</v>
      </c>
      <c r="M22" s="708"/>
      <c r="N22" s="708" t="s">
        <v>6083</v>
      </c>
      <c r="O22" s="708" t="s">
        <v>6083</v>
      </c>
      <c r="P22" s="708"/>
      <c r="Q22" s="63"/>
      <c r="R22" s="63"/>
      <c r="S22" s="114"/>
      <c r="T22" s="114"/>
      <c r="U22" s="63"/>
      <c r="V22" s="114"/>
      <c r="W22" s="63"/>
      <c r="X22" s="636">
        <v>25</v>
      </c>
      <c r="Y22" s="114"/>
      <c r="Z22" s="63">
        <v>50</v>
      </c>
      <c r="AA22" s="63"/>
      <c r="AB22" s="63"/>
      <c r="AC22" s="400"/>
      <c r="AD22" s="63"/>
      <c r="AE22" s="63"/>
      <c r="AF22" s="63"/>
      <c r="AG22" s="63">
        <v>25</v>
      </c>
      <c r="AH22" s="63">
        <v>100</v>
      </c>
      <c r="AI22" s="63">
        <v>25</v>
      </c>
      <c r="AJ22" s="63"/>
      <c r="AK22" s="63"/>
      <c r="AL22" s="63"/>
      <c r="AM22" s="63"/>
      <c r="AN22" s="63"/>
    </row>
    <row r="23" spans="1:40" s="83" customFormat="1">
      <c r="A23" s="72" t="str">
        <f>IFERROR(VLOOKUP(Table7[[#This Row],[Player No]],Table11[[#All],[No]:[Age Group]],4,0),"")</f>
        <v>U15</v>
      </c>
      <c r="B23" s="71">
        <v>9</v>
      </c>
      <c r="C23" s="77">
        <f>+B23-D23</f>
        <v>-10</v>
      </c>
      <c r="D23" s="63">
        <f t="shared" si="3"/>
        <v>19</v>
      </c>
      <c r="E23" s="63">
        <v>8042</v>
      </c>
      <c r="F23" s="64" t="str">
        <f>IFERROR(VLOOKUP(Table7[[#This Row],[Player No]],Table11[[No]:[Province]],2,0),"")</f>
        <v>DE VILLIER Adrunecia</v>
      </c>
      <c r="G23" s="65" t="str">
        <f>IFERROR(VLOOKUP(Table7[[#This Row],[Player No]],Table11[[No]:[Province]],3,0),"")</f>
        <v>WC</v>
      </c>
      <c r="H23" s="66">
        <v>146.5</v>
      </c>
      <c r="I23" s="96">
        <v>148.25</v>
      </c>
      <c r="J23" s="789">
        <f>Table7[[#This Row],[Points 2025]]/2+SUM(Table7[[#This Row],[O1  ADMIN 2026]:[P2           WC         CT Open 2026]])</f>
        <v>74.125</v>
      </c>
      <c r="K23" s="196">
        <f t="shared" si="1"/>
        <v>0</v>
      </c>
      <c r="L23" s="63">
        <f t="shared" si="2"/>
        <v>0</v>
      </c>
      <c r="M23" s="708"/>
      <c r="N23" s="708" t="s">
        <v>6083</v>
      </c>
      <c r="O23" s="708" t="s">
        <v>6083</v>
      </c>
      <c r="P23" s="708"/>
      <c r="Q23" s="63"/>
      <c r="R23" s="63"/>
      <c r="S23" s="114"/>
      <c r="T23" s="114"/>
      <c r="U23" s="63"/>
      <c r="V23" s="114"/>
      <c r="W23" s="63"/>
      <c r="X23" s="636">
        <v>0</v>
      </c>
      <c r="Y23" s="114"/>
      <c r="Z23" s="63">
        <v>75</v>
      </c>
      <c r="AA23" s="63"/>
      <c r="AB23" s="63"/>
      <c r="AC23" s="400"/>
      <c r="AD23" s="63"/>
      <c r="AE23" s="63"/>
      <c r="AF23" s="63"/>
      <c r="AG23" s="63">
        <v>75</v>
      </c>
      <c r="AH23" s="63"/>
      <c r="AI23" s="63"/>
      <c r="AJ23" s="63"/>
      <c r="AK23" s="63"/>
      <c r="AL23" s="63"/>
      <c r="AM23" s="63"/>
      <c r="AN23" s="63"/>
    </row>
    <row r="24" spans="1:40" s="83" customFormat="1">
      <c r="A24" s="140"/>
      <c r="B24" s="71" t="e">
        <f>VLOOKUP(Table7[[#This Row],[Player No]],'[7]u15 girls'!$E$5:$F$68,2,0)</f>
        <v>#N/A</v>
      </c>
      <c r="C24" s="77" t="e">
        <f>+B24-D24</f>
        <v>#N/A</v>
      </c>
      <c r="D24" s="63">
        <f t="shared" si="3"/>
        <v>20</v>
      </c>
      <c r="E24" s="154">
        <v>8572</v>
      </c>
      <c r="F24" s="280" t="str">
        <f>IFERROR(VLOOKUP(Table7[[#This Row],[Player No]],Table11[[No]:[Province]],2,0),"")</f>
        <v>Aadilah Chohan</v>
      </c>
      <c r="G24" s="281" t="str">
        <f>IFERROR(VLOOKUP(Table7[[#This Row],[Player No]],Table11[[No]:[Province]],3,0),"")</f>
        <v>UMG</v>
      </c>
      <c r="H24" s="66"/>
      <c r="I24" s="96">
        <v>0</v>
      </c>
      <c r="J24" s="789">
        <f>Table7[[#This Row],[Points 2025]]/2+SUM(Table7[[#This Row],[O1  ADMIN 2026]:[P2           WC         CT Open 2026]])</f>
        <v>60</v>
      </c>
      <c r="K24" s="300">
        <f t="shared" si="1"/>
        <v>2</v>
      </c>
      <c r="L24" s="154">
        <f t="shared" si="2"/>
        <v>0</v>
      </c>
      <c r="M24" s="827"/>
      <c r="N24" s="827">
        <v>35</v>
      </c>
      <c r="O24" s="827">
        <v>25</v>
      </c>
      <c r="P24" s="827"/>
      <c r="Q24" s="63"/>
      <c r="R24" s="63"/>
      <c r="S24" s="114"/>
      <c r="T24" s="114"/>
      <c r="U24" s="63"/>
      <c r="V24" s="114"/>
      <c r="W24" s="63"/>
      <c r="X24" s="636"/>
      <c r="Y24" s="114"/>
      <c r="Z24" s="63"/>
      <c r="AA24" s="63"/>
      <c r="AB24" s="63"/>
      <c r="AC24" s="400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</row>
    <row r="25" spans="1:40" s="83" customFormat="1">
      <c r="A25" s="72">
        <f>IFERROR(VLOOKUP(Table7[[#This Row],[Player No]],Table11[[#All],[No]:[Age Group]],4,0),"")</f>
        <v>0</v>
      </c>
      <c r="B25" s="71">
        <v>11</v>
      </c>
      <c r="C25" s="77">
        <f>+B25-D25</f>
        <v>-10</v>
      </c>
      <c r="D25" s="63">
        <f t="shared" si="3"/>
        <v>21</v>
      </c>
      <c r="E25" s="63">
        <v>8131</v>
      </c>
      <c r="F25" s="64" t="str">
        <f>IFERROR(VLOOKUP(Table7[[#This Row],[Player No]],Table11[[No]:[Province]],2,0),"")</f>
        <v>FAKEY Imaan</v>
      </c>
      <c r="G25" s="65" t="str">
        <f>IFERROR(VLOOKUP(Table7[[#This Row],[Player No]],Table11[[No]:[Province]],3,0),"")</f>
        <v>GN</v>
      </c>
      <c r="H25" s="66">
        <v>106.25</v>
      </c>
      <c r="I25" s="96">
        <v>115.625</v>
      </c>
      <c r="J25" s="789">
        <f>Table7[[#This Row],[Points 2025]]/2+SUM(Table7[[#This Row],[O1  ADMIN 2026]:[P2           WC         CT Open 2026]])</f>
        <v>57.8125</v>
      </c>
      <c r="K25" s="196">
        <f t="shared" si="1"/>
        <v>0</v>
      </c>
      <c r="L25" s="63">
        <f t="shared" si="2"/>
        <v>0</v>
      </c>
      <c r="M25" s="708"/>
      <c r="N25" s="708" t="s">
        <v>6083</v>
      </c>
      <c r="O25" s="708" t="s">
        <v>6083</v>
      </c>
      <c r="P25" s="708"/>
      <c r="Q25" s="63"/>
      <c r="R25" s="63"/>
      <c r="S25" s="114"/>
      <c r="T25" s="114"/>
      <c r="U25" s="63"/>
      <c r="V25" s="114"/>
      <c r="W25" s="63"/>
      <c r="X25" s="636">
        <v>25</v>
      </c>
      <c r="Y25" s="114"/>
      <c r="Z25" s="63" t="s">
        <v>4722</v>
      </c>
      <c r="AA25" s="63"/>
      <c r="AB25" s="63"/>
      <c r="AC25" s="400">
        <v>37.5</v>
      </c>
      <c r="AD25" s="63"/>
      <c r="AE25" s="63"/>
      <c r="AF25" s="63"/>
      <c r="AG25" s="63"/>
      <c r="AH25" s="63"/>
      <c r="AI25" s="63">
        <v>50</v>
      </c>
      <c r="AJ25" s="63"/>
      <c r="AK25" s="63"/>
      <c r="AL25" s="63"/>
      <c r="AM25" s="63">
        <v>25</v>
      </c>
      <c r="AN25" s="63"/>
    </row>
    <row r="26" spans="1:40" s="83" customFormat="1">
      <c r="A26" s="72"/>
      <c r="B26" s="71"/>
      <c r="C26" s="77"/>
      <c r="D26" s="63">
        <f t="shared" si="3"/>
        <v>22</v>
      </c>
      <c r="E26" s="63">
        <v>8311</v>
      </c>
      <c r="F26" s="64" t="str">
        <f>IFERROR(VLOOKUP(Table7[[#This Row],[Player No]],Table11[[No]:[Province]],2,0),"")</f>
        <v xml:space="preserve">MKHIZE Elihleithemba </v>
      </c>
      <c r="G26" s="65" t="str">
        <f>IFERROR(VLOOKUP(Table7[[#This Row],[Player No]],Table11[[No]:[Province]],3,0),"")</f>
        <v>ETK</v>
      </c>
      <c r="H26" s="66">
        <v>0</v>
      </c>
      <c r="I26" s="96">
        <v>56</v>
      </c>
      <c r="J26" s="789">
        <f>Table7[[#This Row],[Points 2025]]/2+SUM(Table7[[#This Row],[O1  ADMIN 2026]:[P2           WC         CT Open 2026]])</f>
        <v>53</v>
      </c>
      <c r="K26" s="196">
        <f t="shared" si="1"/>
        <v>2</v>
      </c>
      <c r="L26" s="63">
        <f t="shared" si="2"/>
        <v>0</v>
      </c>
      <c r="M26" s="708"/>
      <c r="N26" s="708">
        <v>15</v>
      </c>
      <c r="O26" s="708">
        <v>10</v>
      </c>
      <c r="P26" s="708"/>
      <c r="Q26" s="63">
        <v>25</v>
      </c>
      <c r="R26" s="63"/>
      <c r="S26" s="114">
        <v>10</v>
      </c>
      <c r="T26" s="114">
        <v>1</v>
      </c>
      <c r="U26" s="63">
        <v>10</v>
      </c>
      <c r="V26" s="114"/>
      <c r="W26" s="63"/>
      <c r="X26" s="636">
        <v>10</v>
      </c>
      <c r="Y26" s="114"/>
      <c r="Z26" s="63"/>
      <c r="AA26" s="63"/>
      <c r="AB26" s="63"/>
      <c r="AC26" s="400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</row>
    <row r="27" spans="1:40" s="83" customFormat="1">
      <c r="A27" s="72">
        <f>IFERROR(VLOOKUP(Table7[[#This Row],[Player No]],Table11[[#All],[No]:[Age Group]],4,0),"")</f>
        <v>0</v>
      </c>
      <c r="B27" s="71">
        <v>91</v>
      </c>
      <c r="C27" s="77">
        <f t="shared" ref="C27:C58" si="4">+B27-D27</f>
        <v>68</v>
      </c>
      <c r="D27" s="63">
        <f t="shared" si="3"/>
        <v>23</v>
      </c>
      <c r="E27" s="63">
        <v>8393</v>
      </c>
      <c r="F27" s="64" t="str">
        <f>IFERROR(VLOOKUP(Table7[[#This Row],[Player No]],Table11[[No]:[Province]],2,0),"")</f>
        <v>JOSEPH Skylyn</v>
      </c>
      <c r="G27" s="65" t="str">
        <f>IFERROR(VLOOKUP(Table7[[#This Row],[Player No]],Table11[[No]:[Province]],3,0),"")</f>
        <v>CT</v>
      </c>
      <c r="H27" s="66">
        <v>65</v>
      </c>
      <c r="I27" s="96">
        <v>95</v>
      </c>
      <c r="J27" s="789">
        <f>Table7[[#This Row],[Points 2025]]/2+SUM(Table7[[#This Row],[O1  ADMIN 2026]:[P2           WC         CT Open 2026]])</f>
        <v>47.5</v>
      </c>
      <c r="K27" s="196">
        <f t="shared" si="1"/>
        <v>0</v>
      </c>
      <c r="L27" s="63">
        <f t="shared" si="2"/>
        <v>0</v>
      </c>
      <c r="M27" s="708"/>
      <c r="N27" s="708" t="s">
        <v>6083</v>
      </c>
      <c r="O27" s="708" t="s">
        <v>6083</v>
      </c>
      <c r="P27" s="708"/>
      <c r="Q27" s="63"/>
      <c r="R27" s="63"/>
      <c r="S27" s="114"/>
      <c r="T27" s="114"/>
      <c r="U27" s="63"/>
      <c r="V27" s="114"/>
      <c r="W27" s="63"/>
      <c r="X27" s="636">
        <v>25</v>
      </c>
      <c r="Y27" s="114">
        <v>12.5</v>
      </c>
      <c r="Z27" s="63">
        <v>25</v>
      </c>
      <c r="AA27" s="63"/>
      <c r="AB27" s="63"/>
      <c r="AC27" s="400"/>
      <c r="AD27" s="63"/>
      <c r="AE27" s="63"/>
      <c r="AF27" s="63"/>
      <c r="AG27" s="63">
        <v>15</v>
      </c>
      <c r="AH27" s="63">
        <v>50</v>
      </c>
      <c r="AI27" s="63"/>
      <c r="AJ27" s="63"/>
      <c r="AK27" s="63"/>
      <c r="AL27" s="63"/>
      <c r="AM27" s="63"/>
      <c r="AN27" s="63"/>
    </row>
    <row r="28" spans="1:40" s="83" customFormat="1">
      <c r="A28" s="72">
        <f>IFERROR(VLOOKUP(Table7[[#This Row],[Player No]],Table11[[#All],[No]:[Age Group]],4,0),"")</f>
        <v>0</v>
      </c>
      <c r="B28" s="71">
        <v>68</v>
      </c>
      <c r="C28" s="77">
        <f t="shared" si="4"/>
        <v>44</v>
      </c>
      <c r="D28" s="63">
        <f t="shared" si="3"/>
        <v>24</v>
      </c>
      <c r="E28" s="63">
        <v>8351</v>
      </c>
      <c r="F28" s="64" t="str">
        <f>IFERROR(VLOOKUP(Table7[[#This Row],[Player No]],Table11[[No]:[Province]],2,0),"")</f>
        <v>KANNIE Jazmine</v>
      </c>
      <c r="G28" s="65" t="str">
        <f>IFERROR(VLOOKUP(Table7[[#This Row],[Player No]],Table11[[No]:[Province]],3,0),"")</f>
        <v>UMG</v>
      </c>
      <c r="H28" s="66">
        <v>3</v>
      </c>
      <c r="I28" s="96">
        <v>14.5</v>
      </c>
      <c r="J28" s="789">
        <f>Table7[[#This Row],[Points 2025]]/2+SUM(Table7[[#This Row],[O1  ADMIN 2026]:[P2           WC         CT Open 2026]])</f>
        <v>47.25</v>
      </c>
      <c r="K28" s="196">
        <f t="shared" si="1"/>
        <v>2</v>
      </c>
      <c r="L28" s="63">
        <f t="shared" si="2"/>
        <v>0</v>
      </c>
      <c r="M28" s="708"/>
      <c r="N28" s="708">
        <v>25</v>
      </c>
      <c r="O28" s="708">
        <v>15</v>
      </c>
      <c r="P28" s="708"/>
      <c r="Q28" s="63">
        <v>2</v>
      </c>
      <c r="R28" s="63">
        <v>10</v>
      </c>
      <c r="S28" s="114"/>
      <c r="T28" s="114"/>
      <c r="U28" s="63">
        <v>1</v>
      </c>
      <c r="V28" s="114"/>
      <c r="W28" s="63"/>
      <c r="X28" s="636"/>
      <c r="Y28" s="114"/>
      <c r="Z28" s="63"/>
      <c r="AA28" s="63"/>
      <c r="AB28" s="63"/>
      <c r="AC28" s="400"/>
      <c r="AD28" s="63"/>
      <c r="AE28" s="63">
        <v>2</v>
      </c>
      <c r="AF28" s="63">
        <v>1</v>
      </c>
      <c r="AG28" s="63"/>
      <c r="AH28" s="63"/>
      <c r="AI28" s="63"/>
      <c r="AJ28" s="63"/>
      <c r="AK28" s="63"/>
      <c r="AL28" s="63"/>
      <c r="AM28" s="63"/>
      <c r="AN28" s="63"/>
    </row>
    <row r="29" spans="1:40" s="83" customFormat="1">
      <c r="A29" s="72">
        <f>IFERROR(VLOOKUP(Table7[[#This Row],[Player No]],Table11[[#All],[No]:[Age Group]],4,0),"")</f>
        <v>0</v>
      </c>
      <c r="B29" s="71">
        <v>42</v>
      </c>
      <c r="C29" s="77">
        <f t="shared" si="4"/>
        <v>17</v>
      </c>
      <c r="D29" s="63">
        <f t="shared" si="3"/>
        <v>25</v>
      </c>
      <c r="E29" s="63">
        <v>8205</v>
      </c>
      <c r="F29" s="64" t="str">
        <f>IFERROR(VLOOKUP(Table7[[#This Row],[Player No]],Table11[[No]:[Province]],2,0),"")</f>
        <v>WILLIAMS Xoey</v>
      </c>
      <c r="G29" s="65" t="str">
        <f>IFERROR(VLOOKUP(Table7[[#This Row],[Player No]],Table11[[No]:[Province]],3,0),"")</f>
        <v>CT</v>
      </c>
      <c r="H29" s="66">
        <v>188.5</v>
      </c>
      <c r="I29" s="96">
        <v>94.25</v>
      </c>
      <c r="J29" s="789">
        <f>Table7[[#This Row],[Points 2025]]/2+SUM(Table7[[#This Row],[O1  ADMIN 2026]:[P2           WC         CT Open 2026]])</f>
        <v>47.125</v>
      </c>
      <c r="K29" s="196">
        <f t="shared" si="1"/>
        <v>0</v>
      </c>
      <c r="L29" s="63">
        <f t="shared" si="2"/>
        <v>0</v>
      </c>
      <c r="M29" s="708"/>
      <c r="N29" s="708" t="s">
        <v>6083</v>
      </c>
      <c r="O29" s="708" t="s">
        <v>6083</v>
      </c>
      <c r="P29" s="708"/>
      <c r="Q29" s="63"/>
      <c r="R29" s="63"/>
      <c r="S29" s="114"/>
      <c r="T29" s="114"/>
      <c r="U29" s="63"/>
      <c r="V29" s="114"/>
      <c r="W29" s="63"/>
      <c r="X29" s="636"/>
      <c r="Y29" s="114"/>
      <c r="Z29" s="63"/>
      <c r="AA29" s="63"/>
      <c r="AB29" s="63"/>
      <c r="AC29" s="400"/>
      <c r="AD29" s="63"/>
      <c r="AE29" s="63"/>
      <c r="AF29" s="63"/>
      <c r="AG29" s="63">
        <v>25</v>
      </c>
      <c r="AH29" s="63">
        <v>75</v>
      </c>
      <c r="AI29" s="63">
        <v>75</v>
      </c>
      <c r="AJ29" s="63"/>
      <c r="AK29" s="63"/>
      <c r="AL29" s="63"/>
      <c r="AM29" s="63"/>
      <c r="AN29" s="63"/>
    </row>
    <row r="30" spans="1:40" s="83" customFormat="1">
      <c r="A30" s="178"/>
      <c r="B30" s="171"/>
      <c r="C30" s="168">
        <f t="shared" si="4"/>
        <v>-26</v>
      </c>
      <c r="D30" s="63">
        <f t="shared" si="3"/>
        <v>26</v>
      </c>
      <c r="E30" s="174">
        <v>8568</v>
      </c>
      <c r="F30" s="176" t="str">
        <f>IFERROR(VLOOKUP(Table7[[#This Row],[Player No]],Table11[[No]:[Province]],2,0),"")</f>
        <v>Nevadya Rampersad</v>
      </c>
      <c r="G30" s="177" t="str">
        <f>IFERROR(VLOOKUP(Table7[[#This Row],[Player No]],Table11[[No]:[Province]],3,0),"")</f>
        <v>UMG</v>
      </c>
      <c r="H30" s="170"/>
      <c r="I30" s="194">
        <v>85.5</v>
      </c>
      <c r="J30" s="821">
        <f>Table7[[#This Row],[Points 2025]]/2+SUM(Table7[[#This Row],[O1  ADMIN 2026]:[P2           WC         CT Open 2026]])</f>
        <v>42.75</v>
      </c>
      <c r="K30" s="196">
        <f t="shared" si="1"/>
        <v>0</v>
      </c>
      <c r="L30" s="63">
        <f t="shared" si="2"/>
        <v>0</v>
      </c>
      <c r="M30" s="708"/>
      <c r="N30" s="708" t="s">
        <v>6083</v>
      </c>
      <c r="O30" s="708" t="s">
        <v>6083</v>
      </c>
      <c r="P30" s="708"/>
      <c r="Q30" s="169">
        <v>25</v>
      </c>
      <c r="R30" s="169">
        <v>1</v>
      </c>
      <c r="S30" s="318">
        <v>1</v>
      </c>
      <c r="T30" s="318"/>
      <c r="U30" s="169">
        <v>15</v>
      </c>
      <c r="V30" s="318"/>
      <c r="W30" s="169"/>
      <c r="X30" s="638">
        <v>25</v>
      </c>
      <c r="Y30" s="318"/>
      <c r="Z30" s="169"/>
      <c r="AA30" s="169"/>
      <c r="AB30" s="169"/>
      <c r="AC30" s="402">
        <v>17.5</v>
      </c>
      <c r="AD30" s="169">
        <v>1</v>
      </c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</row>
    <row r="31" spans="1:40" s="83" customFormat="1">
      <c r="A31" s="178"/>
      <c r="B31" s="171"/>
      <c r="C31" s="168">
        <f t="shared" si="4"/>
        <v>-27</v>
      </c>
      <c r="D31" s="63">
        <f t="shared" si="3"/>
        <v>27</v>
      </c>
      <c r="E31" s="174">
        <v>8129</v>
      </c>
      <c r="F31" s="176" t="str">
        <f>IFERROR(VLOOKUP(Table7[[#This Row],[Player No]],Table11[[No]:[Province]],2,0),"")</f>
        <v>VERHEIJEN Alicia</v>
      </c>
      <c r="G31" s="177" t="str">
        <f>IFERROR(VLOOKUP(Table7[[#This Row],[Player No]],Table11[[No]:[Province]],3,0),"")</f>
        <v>GN</v>
      </c>
      <c r="H31" s="170"/>
      <c r="I31" s="194">
        <v>83.5</v>
      </c>
      <c r="J31" s="821">
        <f>Table7[[#This Row],[Points 2025]]/2+SUM(Table7[[#This Row],[O1  ADMIN 2026]:[P2           WC         CT Open 2026]])</f>
        <v>41.75</v>
      </c>
      <c r="K31" s="196">
        <f t="shared" si="1"/>
        <v>0</v>
      </c>
      <c r="L31" s="63">
        <f t="shared" si="2"/>
        <v>0</v>
      </c>
      <c r="M31" s="708"/>
      <c r="N31" s="708" t="s">
        <v>6083</v>
      </c>
      <c r="O31" s="708" t="s">
        <v>6083</v>
      </c>
      <c r="P31" s="708"/>
      <c r="Q31" s="169">
        <v>2</v>
      </c>
      <c r="R31" s="169"/>
      <c r="S31" s="318"/>
      <c r="T31" s="318"/>
      <c r="U31" s="169"/>
      <c r="V31" s="318">
        <v>25</v>
      </c>
      <c r="W31" s="169"/>
      <c r="X31" s="638">
        <v>5</v>
      </c>
      <c r="Y31" s="318"/>
      <c r="Z31" s="169">
        <v>50</v>
      </c>
      <c r="AA31" s="169"/>
      <c r="AB31" s="169"/>
      <c r="AC31" s="402">
        <v>0.5</v>
      </c>
      <c r="AD31" s="169">
        <v>1</v>
      </c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</row>
    <row r="32" spans="1:40" s="83" customFormat="1">
      <c r="A32" s="396"/>
      <c r="B32" s="382"/>
      <c r="C32" s="324">
        <f t="shared" si="4"/>
        <v>-28</v>
      </c>
      <c r="D32" s="63">
        <f t="shared" si="3"/>
        <v>28</v>
      </c>
      <c r="E32" s="325">
        <v>8519</v>
      </c>
      <c r="F32" s="326" t="str">
        <f>IFERROR(VLOOKUP(Table7[[#This Row],[Player No]],Table11[[No]:[Province]],2,0),"")</f>
        <v>Jyante Jacobs</v>
      </c>
      <c r="G32" s="334" t="str">
        <f>IFERROR(VLOOKUP(Table7[[#This Row],[Player No]],Table11[[No]:[Province]],3,0),"")</f>
        <v>CT</v>
      </c>
      <c r="H32" s="335"/>
      <c r="I32" s="331">
        <v>75.5</v>
      </c>
      <c r="J32" s="817">
        <f>Table7[[#This Row],[Points 2025]]/2+SUM(Table7[[#This Row],[O1  ADMIN 2026]:[P2           WC         CT Open 2026]])</f>
        <v>37.75</v>
      </c>
      <c r="K32" s="336">
        <f t="shared" si="1"/>
        <v>0</v>
      </c>
      <c r="L32" s="63">
        <f t="shared" si="2"/>
        <v>0</v>
      </c>
      <c r="M32" s="708"/>
      <c r="N32" s="826" t="s">
        <v>6083</v>
      </c>
      <c r="O32" s="826" t="s">
        <v>6083</v>
      </c>
      <c r="P32" s="826"/>
      <c r="Q32" s="327"/>
      <c r="R32" s="327"/>
      <c r="S32" s="321"/>
      <c r="T32" s="321"/>
      <c r="U32" s="327"/>
      <c r="V32" s="321"/>
      <c r="W32" s="327"/>
      <c r="X32" s="637">
        <v>25</v>
      </c>
      <c r="Y32" s="321">
        <v>0.5</v>
      </c>
      <c r="Z32" s="327">
        <v>50</v>
      </c>
      <c r="AA32" s="327"/>
      <c r="AB32" s="327"/>
      <c r="AC32" s="405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</row>
    <row r="33" spans="1:40" s="83" customFormat="1">
      <c r="A33" s="71"/>
      <c r="B33" s="71"/>
      <c r="C33" s="77">
        <f t="shared" si="4"/>
        <v>-29</v>
      </c>
      <c r="D33" s="63">
        <f t="shared" si="3"/>
        <v>29</v>
      </c>
      <c r="E33" s="63">
        <v>8434</v>
      </c>
      <c r="F33" s="64" t="str">
        <f>IFERROR(VLOOKUP(Table7[[#This Row],[Player No]],Table11[[No]:[Province]],2,0),"")</f>
        <v xml:space="preserve">MANYAMA  Nthabiseng </v>
      </c>
      <c r="G33" s="65" t="str">
        <f>IFERROR(VLOOKUP(Table7[[#This Row],[Player No]],Table11[[No]:[Province]],3,0),"")</f>
        <v>LIM</v>
      </c>
      <c r="H33" s="66">
        <v>50</v>
      </c>
      <c r="I33" s="96">
        <v>75</v>
      </c>
      <c r="J33" s="789">
        <f>Table7[[#This Row],[Points 2025]]/2+SUM(Table7[[#This Row],[O1  ADMIN 2026]:[P2           WC         CT Open 2026]])</f>
        <v>37.5</v>
      </c>
      <c r="K33" s="196">
        <f t="shared" si="1"/>
        <v>0</v>
      </c>
      <c r="L33" s="63">
        <f t="shared" si="2"/>
        <v>0</v>
      </c>
      <c r="M33" s="708"/>
      <c r="N33" s="708" t="s">
        <v>6083</v>
      </c>
      <c r="O33" s="708" t="s">
        <v>6083</v>
      </c>
      <c r="P33" s="708"/>
      <c r="Q33" s="63"/>
      <c r="R33" s="63"/>
      <c r="S33" s="114"/>
      <c r="T33" s="114"/>
      <c r="U33" s="63"/>
      <c r="V33" s="114"/>
      <c r="W33" s="63"/>
      <c r="X33" s="636">
        <v>50</v>
      </c>
      <c r="Y33" s="114"/>
      <c r="Z33" s="63"/>
      <c r="AA33" s="63"/>
      <c r="AB33" s="63"/>
      <c r="AC33" s="400"/>
      <c r="AD33" s="63"/>
      <c r="AE33" s="63"/>
      <c r="AF33" s="63"/>
      <c r="AG33" s="63"/>
      <c r="AH33" s="63"/>
      <c r="AI33" s="63">
        <v>50</v>
      </c>
      <c r="AJ33" s="63"/>
      <c r="AK33" s="63"/>
      <c r="AL33" s="63"/>
      <c r="AM33" s="63"/>
      <c r="AN33" s="63"/>
    </row>
    <row r="34" spans="1:40" s="83" customFormat="1">
      <c r="A34" s="140"/>
      <c r="B34" s="71"/>
      <c r="C34" s="77">
        <f t="shared" si="4"/>
        <v>-30</v>
      </c>
      <c r="D34" s="63">
        <f t="shared" si="3"/>
        <v>30</v>
      </c>
      <c r="E34" s="154">
        <v>8632</v>
      </c>
      <c r="F34" s="280" t="str">
        <f>IFERROR(VLOOKUP(Table7[[#This Row],[Player No]],Table11[[No]:[Province]],2,0),"")</f>
        <v>GOVENDER  Teme' Aureliah</v>
      </c>
      <c r="G34" s="281" t="str">
        <f>IFERROR(VLOOKUP(Table7[[#This Row],[Player No]],Table11[[No]:[Province]],3,0),"")</f>
        <v>ETTA</v>
      </c>
      <c r="H34" s="66"/>
      <c r="I34" s="96">
        <v>50</v>
      </c>
      <c r="J34" s="789">
        <f>Table7[[#This Row],[Points 2025]]/2+SUM(Table7[[#This Row],[O1  ADMIN 2026]:[P2           WC         CT Open 2026]])</f>
        <v>36</v>
      </c>
      <c r="K34" s="196">
        <f t="shared" si="1"/>
        <v>2</v>
      </c>
      <c r="L34" s="63">
        <f t="shared" si="2"/>
        <v>0</v>
      </c>
      <c r="M34" s="708"/>
      <c r="N34" s="708">
        <v>1</v>
      </c>
      <c r="O34" s="708">
        <v>10</v>
      </c>
      <c r="P34" s="708"/>
      <c r="Q34" s="63"/>
      <c r="R34" s="63">
        <v>10</v>
      </c>
      <c r="S34" s="114">
        <v>10</v>
      </c>
      <c r="T34" s="114">
        <v>25</v>
      </c>
      <c r="U34" s="63"/>
      <c r="V34" s="114"/>
      <c r="W34" s="63"/>
      <c r="X34" s="636">
        <v>5</v>
      </c>
      <c r="Y34" s="114"/>
      <c r="Z34" s="63"/>
      <c r="AA34" s="63"/>
      <c r="AB34" s="63"/>
      <c r="AC34" s="400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</row>
    <row r="35" spans="1:40" s="83" customFormat="1">
      <c r="A35" s="72" t="str">
        <f>IFERROR(VLOOKUP(Table7[[#This Row],[Player No]],Table11[[#All],[No]:[Age Group]],4,0),"")</f>
        <v>U15</v>
      </c>
      <c r="B35" s="71">
        <v>27</v>
      </c>
      <c r="C35" s="77">
        <f t="shared" si="4"/>
        <v>-4</v>
      </c>
      <c r="D35" s="63">
        <f t="shared" si="3"/>
        <v>31</v>
      </c>
      <c r="E35" s="63">
        <v>8038</v>
      </c>
      <c r="F35" s="64" t="str">
        <f>IFERROR(VLOOKUP(Table7[[#This Row],[Player No]],Table11[[No]:[Province]],2,0),"")</f>
        <v>SCHOEMAN Jude</v>
      </c>
      <c r="G35" s="65" t="str">
        <f>IFERROR(VLOOKUP(Table7[[#This Row],[Player No]],Table11[[No]:[Province]],3,0),"")</f>
        <v>CT</v>
      </c>
      <c r="H35" s="66">
        <v>26.25</v>
      </c>
      <c r="I35" s="96">
        <v>70.625</v>
      </c>
      <c r="J35" s="789">
        <f>Table7[[#This Row],[Points 2025]]/2+SUM(Table7[[#This Row],[O1  ADMIN 2026]:[P2           WC         CT Open 2026]])</f>
        <v>35.3125</v>
      </c>
      <c r="K35" s="196">
        <f t="shared" si="1"/>
        <v>0</v>
      </c>
      <c r="L35" s="63">
        <f t="shared" si="2"/>
        <v>0</v>
      </c>
      <c r="M35" s="708"/>
      <c r="N35" s="708" t="s">
        <v>6083</v>
      </c>
      <c r="O35" s="708" t="s">
        <v>6083</v>
      </c>
      <c r="P35" s="708"/>
      <c r="Q35" s="63"/>
      <c r="R35" s="63"/>
      <c r="S35" s="114"/>
      <c r="T35" s="114"/>
      <c r="U35" s="63"/>
      <c r="V35" s="114"/>
      <c r="W35" s="63"/>
      <c r="X35" s="636"/>
      <c r="Y35" s="114">
        <v>7.5</v>
      </c>
      <c r="Z35" s="63">
        <v>50</v>
      </c>
      <c r="AA35" s="63"/>
      <c r="AB35" s="63"/>
      <c r="AC35" s="400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</row>
    <row r="36" spans="1:40" s="83" customFormat="1">
      <c r="A36" s="140"/>
      <c r="B36" s="71" t="e">
        <f>VLOOKUP(Table7[[#This Row],[Player No]],'[7]u15 girls'!$E$5:$F$68,2,0)</f>
        <v>#N/A</v>
      </c>
      <c r="C36" s="77" t="e">
        <f t="shared" si="4"/>
        <v>#N/A</v>
      </c>
      <c r="D36" s="63">
        <f t="shared" si="3"/>
        <v>32</v>
      </c>
      <c r="E36" s="154">
        <v>8571</v>
      </c>
      <c r="F36" s="280" t="str">
        <f>IFERROR(VLOOKUP(Table7[[#This Row],[Player No]],Table11[[No]:[Province]],2,0),"")</f>
        <v>Leranya Govender</v>
      </c>
      <c r="G36" s="281" t="str">
        <f>IFERROR(VLOOKUP(Table7[[#This Row],[Player No]],Table11[[No]:[Province]],3,0),"")</f>
        <v>UMG</v>
      </c>
      <c r="H36" s="66"/>
      <c r="I36" s="96">
        <v>0</v>
      </c>
      <c r="J36" s="789">
        <f>Table7[[#This Row],[Points 2025]]/2+SUM(Table7[[#This Row],[O1  ADMIN 2026]:[P2           WC         CT Open 2026]])</f>
        <v>35</v>
      </c>
      <c r="K36" s="300">
        <f t="shared" si="1"/>
        <v>2</v>
      </c>
      <c r="L36" s="154">
        <f t="shared" si="2"/>
        <v>0</v>
      </c>
      <c r="M36" s="827"/>
      <c r="N36" s="827">
        <v>10</v>
      </c>
      <c r="O36" s="827">
        <v>25</v>
      </c>
      <c r="P36" s="827"/>
      <c r="Q36" s="63"/>
      <c r="R36" s="63"/>
      <c r="S36" s="114"/>
      <c r="T36" s="114"/>
      <c r="U36" s="63"/>
      <c r="V36" s="114"/>
      <c r="W36" s="63"/>
      <c r="X36" s="636"/>
      <c r="Y36" s="114"/>
      <c r="Z36" s="63"/>
      <c r="AA36" s="63"/>
      <c r="AB36" s="63"/>
      <c r="AC36" s="400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</row>
    <row r="37" spans="1:40" s="83" customFormat="1">
      <c r="A37" s="72" t="str">
        <f>IFERROR(VLOOKUP(Table7[[#This Row],[Player No]],Table11[[#All],[No]:[Age Group]],4,0),"")</f>
        <v>U15</v>
      </c>
      <c r="B37" s="71">
        <v>25</v>
      </c>
      <c r="C37" s="77">
        <f t="shared" si="4"/>
        <v>-8</v>
      </c>
      <c r="D37" s="63">
        <f t="shared" si="3"/>
        <v>33</v>
      </c>
      <c r="E37" s="63">
        <v>8175</v>
      </c>
      <c r="F37" s="64" t="str">
        <f>IFERROR(VLOOKUP(Table7[[#This Row],[Player No]],Table11[[No]:[Province]],2,0),"")</f>
        <v>PILLAY Tarini</v>
      </c>
      <c r="G37" s="65" t="str">
        <f>IFERROR(VLOOKUP(Table7[[#This Row],[Player No]],Table11[[No]:[Province]],3,0),"")</f>
        <v>UMG</v>
      </c>
      <c r="H37" s="66">
        <v>27</v>
      </c>
      <c r="I37" s="96">
        <v>29.5</v>
      </c>
      <c r="J37" s="789">
        <f>Table7[[#This Row],[Points 2025]]/2+SUM(Table7[[#This Row],[O1  ADMIN 2026]:[P2           WC         CT Open 2026]])</f>
        <v>34.75</v>
      </c>
      <c r="K37" s="196">
        <f t="shared" ref="K37:K68" si="5">COUNTIF(M37:P37,"&gt;0")</f>
        <v>2</v>
      </c>
      <c r="L37" s="63">
        <f t="shared" ref="L37:L68" si="6">COUNTIF(N37:AN37,"&lt;0")</f>
        <v>0</v>
      </c>
      <c r="M37" s="708"/>
      <c r="N37" s="708">
        <v>10</v>
      </c>
      <c r="O37" s="708">
        <v>10</v>
      </c>
      <c r="P37" s="708"/>
      <c r="Q37" s="63">
        <v>2</v>
      </c>
      <c r="R37" s="63">
        <v>1</v>
      </c>
      <c r="S37" s="114">
        <v>1</v>
      </c>
      <c r="T37" s="114">
        <v>1</v>
      </c>
      <c r="U37" s="63">
        <v>1</v>
      </c>
      <c r="V37" s="114"/>
      <c r="W37" s="63"/>
      <c r="X37" s="636">
        <v>10</v>
      </c>
      <c r="Y37" s="114"/>
      <c r="Z37" s="63"/>
      <c r="AA37" s="63"/>
      <c r="AB37" s="63"/>
      <c r="AC37" s="400"/>
      <c r="AD37" s="63"/>
      <c r="AE37" s="63">
        <v>25</v>
      </c>
      <c r="AF37" s="63">
        <v>1</v>
      </c>
      <c r="AG37" s="63"/>
      <c r="AH37" s="63"/>
      <c r="AI37" s="63"/>
      <c r="AJ37" s="63"/>
      <c r="AK37" s="63"/>
      <c r="AL37" s="63"/>
      <c r="AM37" s="63">
        <v>1</v>
      </c>
      <c r="AN37" s="63"/>
    </row>
    <row r="38" spans="1:40" s="83" customFormat="1">
      <c r="A38" s="72" t="str">
        <f>IFERROR(VLOOKUP(Table7[[#This Row],[Player No]],Table11[[#All],[No]:[Age Group]],4,0),"")</f>
        <v>U13</v>
      </c>
      <c r="B38" s="71">
        <v>83</v>
      </c>
      <c r="C38" s="77">
        <f t="shared" si="4"/>
        <v>49</v>
      </c>
      <c r="D38" s="63">
        <f t="shared" si="3"/>
        <v>34</v>
      </c>
      <c r="E38" s="63">
        <v>8307</v>
      </c>
      <c r="F38" s="64" t="str">
        <f>IFERROR(VLOOKUP(Table7[[#This Row],[Player No]],Table11[[No]:[Province]],2,0),"")</f>
        <v>KESVAL Grace</v>
      </c>
      <c r="G38" s="65" t="str">
        <f>IFERROR(VLOOKUP(Table7[[#This Row],[Player No]],Table11[[No]:[Province]],3,0),"")</f>
        <v>JTTA</v>
      </c>
      <c r="H38" s="66">
        <v>35.5</v>
      </c>
      <c r="I38" s="96">
        <v>67.75</v>
      </c>
      <c r="J38" s="789">
        <f>Table7[[#This Row],[Points 2025]]/2+SUM(Table7[[#This Row],[O1  ADMIN 2026]:[P2           WC         CT Open 2026]])</f>
        <v>33.875</v>
      </c>
      <c r="K38" s="196">
        <f t="shared" si="5"/>
        <v>0</v>
      </c>
      <c r="L38" s="63">
        <f t="shared" si="6"/>
        <v>0</v>
      </c>
      <c r="M38" s="708"/>
      <c r="N38" s="708" t="s">
        <v>6083</v>
      </c>
      <c r="O38" s="708" t="s">
        <v>6083</v>
      </c>
      <c r="P38" s="708"/>
      <c r="Q38" s="63"/>
      <c r="R38" s="63"/>
      <c r="S38" s="114"/>
      <c r="T38" s="114"/>
      <c r="U38" s="63"/>
      <c r="V38" s="114"/>
      <c r="W38" s="63"/>
      <c r="X38" s="636">
        <v>25</v>
      </c>
      <c r="Y38" s="114"/>
      <c r="Z38" s="63"/>
      <c r="AA38" s="63"/>
      <c r="AB38" s="63"/>
      <c r="AC38" s="400"/>
      <c r="AD38" s="63">
        <v>25</v>
      </c>
      <c r="AE38" s="63"/>
      <c r="AF38" s="63"/>
      <c r="AG38" s="63"/>
      <c r="AH38" s="63"/>
      <c r="AI38" s="63"/>
      <c r="AJ38" s="63"/>
      <c r="AK38" s="63">
        <v>35</v>
      </c>
      <c r="AL38" s="63"/>
      <c r="AM38" s="63"/>
      <c r="AN38" s="63"/>
    </row>
    <row r="39" spans="1:40" s="83" customFormat="1">
      <c r="A39" s="72">
        <f>IFERROR(VLOOKUP(Table7[[#This Row],[Player No]],Table11[[#All],[No]:[Age Group]],4,0),"")</f>
        <v>0</v>
      </c>
      <c r="B39" s="71">
        <v>91</v>
      </c>
      <c r="C39" s="77">
        <f t="shared" si="4"/>
        <v>56</v>
      </c>
      <c r="D39" s="63">
        <f t="shared" si="3"/>
        <v>35</v>
      </c>
      <c r="E39" s="63">
        <v>8392</v>
      </c>
      <c r="F39" s="64" t="str">
        <f>IFERROR(VLOOKUP(Table7[[#This Row],[Player No]],Table11[[No]:[Province]],2,0),"")</f>
        <v>THEUNESSIN Jody</v>
      </c>
      <c r="G39" s="65" t="str">
        <f>IFERROR(VLOOKUP(Table7[[#This Row],[Player No]],Table11[[No]:[Province]],3,0),"")</f>
        <v>CT</v>
      </c>
      <c r="H39" s="66">
        <v>51</v>
      </c>
      <c r="I39" s="96">
        <v>63</v>
      </c>
      <c r="J39" s="789">
        <f>Table7[[#This Row],[Points 2025]]/2+SUM(Table7[[#This Row],[O1  ADMIN 2026]:[P2           WC         CT Open 2026]])</f>
        <v>31.5</v>
      </c>
      <c r="K39" s="196">
        <f t="shared" si="5"/>
        <v>0</v>
      </c>
      <c r="L39" s="63">
        <f t="shared" si="6"/>
        <v>0</v>
      </c>
      <c r="M39" s="708"/>
      <c r="N39" s="708" t="s">
        <v>6083</v>
      </c>
      <c r="O39" s="708" t="s">
        <v>6083</v>
      </c>
      <c r="P39" s="708"/>
      <c r="Q39" s="63"/>
      <c r="R39" s="63"/>
      <c r="S39" s="114"/>
      <c r="T39" s="114"/>
      <c r="U39" s="63"/>
      <c r="V39" s="114"/>
      <c r="W39" s="63"/>
      <c r="X39" s="636">
        <v>5</v>
      </c>
      <c r="Y39" s="114">
        <v>7.5</v>
      </c>
      <c r="Z39" s="63">
        <v>25</v>
      </c>
      <c r="AA39" s="63"/>
      <c r="AB39" s="63"/>
      <c r="AC39" s="400"/>
      <c r="AD39" s="63"/>
      <c r="AE39" s="63"/>
      <c r="AF39" s="63"/>
      <c r="AG39" s="63">
        <v>1</v>
      </c>
      <c r="AH39" s="63">
        <v>50</v>
      </c>
      <c r="AI39" s="63"/>
      <c r="AJ39" s="63"/>
      <c r="AK39" s="63"/>
      <c r="AL39" s="63"/>
      <c r="AM39" s="63"/>
      <c r="AN39" s="63"/>
    </row>
    <row r="40" spans="1:40" s="83" customFormat="1">
      <c r="A40" s="72">
        <f>IFERROR(VLOOKUP(Table7[[#This Row],[Player No]],Table11[[#All],[No]:[Age Group]],4,0),"")</f>
        <v>0</v>
      </c>
      <c r="B40" s="71">
        <v>29</v>
      </c>
      <c r="C40" s="77">
        <f t="shared" si="4"/>
        <v>-7</v>
      </c>
      <c r="D40" s="63">
        <f t="shared" si="3"/>
        <v>36</v>
      </c>
      <c r="E40" s="63">
        <v>7801</v>
      </c>
      <c r="F40" s="64" t="str">
        <f>IFERROR(VLOOKUP(Table7[[#This Row],[Player No]],Table11[[No]:[Province]],2,0),"")</f>
        <v>FOURIE Riana</v>
      </c>
      <c r="G40" s="65" t="str">
        <f>IFERROR(VLOOKUP(Table7[[#This Row],[Player No]],Table11[[No]:[Province]],3,0),"")</f>
        <v>FS</v>
      </c>
      <c r="H40" s="66">
        <v>50</v>
      </c>
      <c r="I40" s="96">
        <v>60</v>
      </c>
      <c r="J40" s="789">
        <f>Table7[[#This Row],[Points 2025]]/2+SUM(Table7[[#This Row],[O1  ADMIN 2026]:[P2           WC         CT Open 2026]])</f>
        <v>30</v>
      </c>
      <c r="K40" s="196">
        <f t="shared" si="5"/>
        <v>0</v>
      </c>
      <c r="L40" s="63">
        <f t="shared" si="6"/>
        <v>0</v>
      </c>
      <c r="M40" s="708"/>
      <c r="N40" s="708" t="s">
        <v>6083</v>
      </c>
      <c r="O40" s="708" t="s">
        <v>6083</v>
      </c>
      <c r="P40" s="708"/>
      <c r="Q40" s="63"/>
      <c r="R40" s="63"/>
      <c r="S40" s="114"/>
      <c r="T40" s="114"/>
      <c r="U40" s="63"/>
      <c r="V40" s="114">
        <v>25</v>
      </c>
      <c r="W40" s="63"/>
      <c r="X40" s="636">
        <v>10</v>
      </c>
      <c r="Y40" s="114"/>
      <c r="Z40" s="63"/>
      <c r="AA40" s="63"/>
      <c r="AB40" s="63"/>
      <c r="AC40" s="400"/>
      <c r="AD40" s="63"/>
      <c r="AE40" s="63"/>
      <c r="AF40" s="63"/>
      <c r="AG40" s="63"/>
      <c r="AH40" s="63"/>
      <c r="AI40" s="63">
        <v>25</v>
      </c>
      <c r="AJ40" s="63"/>
      <c r="AK40" s="63"/>
      <c r="AL40" s="63"/>
      <c r="AM40" s="63"/>
      <c r="AN40" s="63"/>
    </row>
    <row r="41" spans="1:40" s="83" customFormat="1">
      <c r="A41" s="72">
        <f>IFERROR(VLOOKUP(Table7[[#This Row],[Player No]],Table11[[#All],[No]:[Age Group]],4,0),"")</f>
        <v>0</v>
      </c>
      <c r="B41" s="71">
        <v>53</v>
      </c>
      <c r="C41" s="77">
        <f t="shared" si="4"/>
        <v>16</v>
      </c>
      <c r="D41" s="63">
        <f t="shared" si="3"/>
        <v>37</v>
      </c>
      <c r="E41" s="63">
        <v>8099</v>
      </c>
      <c r="F41" s="64" t="str">
        <f>IFERROR(VLOOKUP(Table7[[#This Row],[Player No]],Table11[[No]:[Province]],2,0),"")</f>
        <v>NAIDOO Deanne</v>
      </c>
      <c r="G41" s="65" t="str">
        <f>IFERROR(VLOOKUP(Table7[[#This Row],[Player No]],Table11[[No]:[Province]],3,0),"")</f>
        <v>ETTA</v>
      </c>
      <c r="H41" s="66">
        <v>22.5</v>
      </c>
      <c r="I41" s="96">
        <v>39.25</v>
      </c>
      <c r="J41" s="789">
        <f>Table7[[#This Row],[Points 2025]]/2+SUM(Table7[[#This Row],[O1  ADMIN 2026]:[P2           WC         CT Open 2026]])</f>
        <v>29.625</v>
      </c>
      <c r="K41" s="196">
        <f t="shared" si="5"/>
        <v>1</v>
      </c>
      <c r="L41" s="63">
        <f t="shared" si="6"/>
        <v>0</v>
      </c>
      <c r="M41" s="708"/>
      <c r="N41" s="708" t="s">
        <v>6083</v>
      </c>
      <c r="O41" s="708">
        <v>10</v>
      </c>
      <c r="P41" s="708"/>
      <c r="Q41" s="63">
        <v>2</v>
      </c>
      <c r="R41" s="63"/>
      <c r="S41" s="114">
        <v>1</v>
      </c>
      <c r="T41" s="114">
        <v>15</v>
      </c>
      <c r="U41" s="63"/>
      <c r="V41" s="114"/>
      <c r="W41" s="63"/>
      <c r="X41" s="636">
        <v>10</v>
      </c>
      <c r="Y41" s="114"/>
      <c r="Z41" s="63"/>
      <c r="AA41" s="63"/>
      <c r="AB41" s="63"/>
      <c r="AC41" s="400"/>
      <c r="AD41" s="63"/>
      <c r="AE41" s="63">
        <v>2</v>
      </c>
      <c r="AF41" s="63">
        <v>10</v>
      </c>
      <c r="AG41" s="63"/>
      <c r="AH41" s="63"/>
      <c r="AI41" s="63">
        <v>10</v>
      </c>
      <c r="AJ41" s="63"/>
      <c r="AK41" s="63"/>
      <c r="AL41" s="63"/>
      <c r="AM41" s="63"/>
      <c r="AN41" s="63"/>
    </row>
    <row r="42" spans="1:40" s="83" customFormat="1">
      <c r="A42" s="72" t="str">
        <f>IFERROR(VLOOKUP(Table7[[#This Row],[Player No]],Table11[[#All],[No]:[Age Group]],4,0),"")</f>
        <v>U11</v>
      </c>
      <c r="B42" s="71">
        <v>75</v>
      </c>
      <c r="C42" s="77">
        <f t="shared" si="4"/>
        <v>37</v>
      </c>
      <c r="D42" s="63">
        <f t="shared" si="3"/>
        <v>38</v>
      </c>
      <c r="E42" s="63">
        <v>8343</v>
      </c>
      <c r="F42" s="64" t="str">
        <f>IFERROR(VLOOKUP(Table7[[#This Row],[Player No]],Table11[[No]:[Province]],2,0),"")</f>
        <v>HUSVU Anotidaishe</v>
      </c>
      <c r="G42" s="65" t="str">
        <f>IFERROR(VLOOKUP(Table7[[#This Row],[Player No]],Table11[[No]:[Province]],3,0),"")</f>
        <v>GN</v>
      </c>
      <c r="H42" s="66">
        <v>27</v>
      </c>
      <c r="I42" s="96">
        <v>31</v>
      </c>
      <c r="J42" s="789">
        <f>Table7[[#This Row],[Points 2025]]/2+SUM(Table7[[#This Row],[O1  ADMIN 2026]:[P2           WC         CT Open 2026]])</f>
        <v>25.5</v>
      </c>
      <c r="K42" s="196">
        <f t="shared" si="5"/>
        <v>1</v>
      </c>
      <c r="L42" s="63">
        <f t="shared" si="6"/>
        <v>0</v>
      </c>
      <c r="M42" s="708"/>
      <c r="N42" s="708">
        <v>10</v>
      </c>
      <c r="O42" s="708" t="s">
        <v>6083</v>
      </c>
      <c r="P42" s="708"/>
      <c r="Q42" s="63"/>
      <c r="R42" s="63"/>
      <c r="S42" s="114"/>
      <c r="T42" s="114"/>
      <c r="U42" s="63"/>
      <c r="V42" s="114"/>
      <c r="W42" s="63"/>
      <c r="X42" s="636"/>
      <c r="Y42" s="114"/>
      <c r="Z42" s="63"/>
      <c r="AA42" s="63"/>
      <c r="AB42" s="63">
        <v>17.5</v>
      </c>
      <c r="AC42" s="400"/>
      <c r="AD42" s="63"/>
      <c r="AE42" s="63"/>
      <c r="AF42" s="63">
        <v>1</v>
      </c>
      <c r="AG42" s="63"/>
      <c r="AH42" s="63"/>
      <c r="AI42" s="63"/>
      <c r="AJ42" s="63">
        <f>1/2</f>
        <v>0.5</v>
      </c>
      <c r="AK42" s="63">
        <v>25</v>
      </c>
      <c r="AL42" s="63"/>
      <c r="AM42" s="63"/>
      <c r="AN42" s="63">
        <f>1/2</f>
        <v>0.5</v>
      </c>
    </row>
    <row r="43" spans="1:40" s="83" customFormat="1">
      <c r="A43" s="72" t="str">
        <f>IFERROR(VLOOKUP(Table7[[#This Row],[Player No]],Table11[[#All],[No]:[Age Group]],4,0),"")</f>
        <v>U15</v>
      </c>
      <c r="B43" s="71">
        <v>13</v>
      </c>
      <c r="C43" s="77">
        <f t="shared" si="4"/>
        <v>-26</v>
      </c>
      <c r="D43" s="63">
        <f t="shared" si="3"/>
        <v>39</v>
      </c>
      <c r="E43" s="63">
        <v>8043</v>
      </c>
      <c r="F43" s="64" t="str">
        <f>IFERROR(VLOOKUP(Table7[[#This Row],[Player No]],Table11[[No]:[Province]],2,0),"")</f>
        <v>ABRAHAMS Suzaynia</v>
      </c>
      <c r="G43" s="65" t="str">
        <f>IFERROR(VLOOKUP(Table7[[#This Row],[Player No]],Table11[[No]:[Province]],3,0),"")</f>
        <v>WC</v>
      </c>
      <c r="H43" s="66">
        <v>100.25</v>
      </c>
      <c r="I43" s="96">
        <v>50.125</v>
      </c>
      <c r="J43" s="789">
        <f>Table7[[#This Row],[Points 2025]]/2+SUM(Table7[[#This Row],[O1  ADMIN 2026]:[P2           WC         CT Open 2026]])</f>
        <v>25.0625</v>
      </c>
      <c r="K43" s="196">
        <f t="shared" si="5"/>
        <v>0</v>
      </c>
      <c r="L43" s="63">
        <f t="shared" si="6"/>
        <v>0</v>
      </c>
      <c r="M43" s="708"/>
      <c r="N43" s="708" t="s">
        <v>6083</v>
      </c>
      <c r="O43" s="708" t="s">
        <v>6083</v>
      </c>
      <c r="P43" s="708"/>
      <c r="Q43" s="63"/>
      <c r="R43" s="63"/>
      <c r="S43" s="114"/>
      <c r="T43" s="114"/>
      <c r="U43" s="63"/>
      <c r="V43" s="114"/>
      <c r="W43" s="63"/>
      <c r="X43" s="636"/>
      <c r="Y43" s="114"/>
      <c r="Z43" s="63"/>
      <c r="AA43" s="63"/>
      <c r="AB43" s="63"/>
      <c r="AC43" s="400"/>
      <c r="AD43" s="63"/>
      <c r="AE43" s="63"/>
      <c r="AF43" s="63"/>
      <c r="AG43" s="63">
        <v>50</v>
      </c>
      <c r="AH43" s="63"/>
      <c r="AI43" s="63"/>
      <c r="AJ43" s="63"/>
      <c r="AK43" s="63"/>
      <c r="AL43" s="63"/>
      <c r="AM43" s="63"/>
      <c r="AN43" s="63"/>
    </row>
    <row r="44" spans="1:40" s="83" customFormat="1">
      <c r="A44" s="140"/>
      <c r="B44" s="71"/>
      <c r="C44" s="77">
        <f t="shared" si="4"/>
        <v>-40</v>
      </c>
      <c r="D44" s="63">
        <f t="shared" si="3"/>
        <v>40</v>
      </c>
      <c r="E44" s="154">
        <v>8404</v>
      </c>
      <c r="F44" s="280" t="str">
        <f>IFERROR(VLOOKUP(Table7[[#This Row],[Player No]],Table11[[No]:[Province]],2,0),"")</f>
        <v>NKOSI Ntando</v>
      </c>
      <c r="G44" s="281" t="str">
        <f>IFERROR(VLOOKUP(Table7[[#This Row],[Player No]],Table11[[No]:[Province]],3,0),"")</f>
        <v>EKU</v>
      </c>
      <c r="H44" s="66"/>
      <c r="I44" s="96">
        <v>50</v>
      </c>
      <c r="J44" s="789">
        <f>Table7[[#This Row],[Points 2025]]/2+SUM(Table7[[#This Row],[O1  ADMIN 2026]:[P2           WC         CT Open 2026]])</f>
        <v>25</v>
      </c>
      <c r="K44" s="300">
        <f t="shared" si="5"/>
        <v>0</v>
      </c>
      <c r="L44" s="63">
        <f t="shared" si="6"/>
        <v>0</v>
      </c>
      <c r="M44" s="708"/>
      <c r="N44" s="827" t="s">
        <v>6083</v>
      </c>
      <c r="O44" s="827" t="s">
        <v>6083</v>
      </c>
      <c r="P44" s="827"/>
      <c r="Q44" s="63"/>
      <c r="R44" s="63"/>
      <c r="S44" s="114"/>
      <c r="T44" s="114"/>
      <c r="U44" s="63"/>
      <c r="V44" s="114"/>
      <c r="W44" s="63"/>
      <c r="X44" s="636">
        <v>25</v>
      </c>
      <c r="Y44" s="114"/>
      <c r="Z44" s="63"/>
      <c r="AA44" s="63">
        <v>25</v>
      </c>
      <c r="AB44" s="63"/>
      <c r="AC44" s="400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</row>
    <row r="45" spans="1:40" s="83" customFormat="1">
      <c r="A45" s="140"/>
      <c r="B45" s="71"/>
      <c r="C45" s="77">
        <f t="shared" si="4"/>
        <v>-41</v>
      </c>
      <c r="D45" s="63">
        <f t="shared" si="3"/>
        <v>41</v>
      </c>
      <c r="E45" s="154">
        <v>8125</v>
      </c>
      <c r="F45" s="280" t="str">
        <f>IFERROR(VLOOKUP(Table7[[#This Row],[Player No]],Table11[[No]:[Province]],2,0),"")</f>
        <v>GOLOGOLO Latita</v>
      </c>
      <c r="G45" s="281" t="str">
        <f>IFERROR(VLOOKUP(Table7[[#This Row],[Player No]],Table11[[No]:[Province]],3,0),"")</f>
        <v>FS</v>
      </c>
      <c r="H45" s="66"/>
      <c r="I45" s="96">
        <v>26</v>
      </c>
      <c r="J45" s="789">
        <f>Table7[[#This Row],[Points 2025]]/2+SUM(Table7[[#This Row],[O1  ADMIN 2026]:[P2           WC         CT Open 2026]])</f>
        <v>24</v>
      </c>
      <c r="K45" s="300">
        <f t="shared" si="5"/>
        <v>2</v>
      </c>
      <c r="L45" s="63">
        <f t="shared" si="6"/>
        <v>0</v>
      </c>
      <c r="M45" s="708"/>
      <c r="N45" s="827">
        <v>10</v>
      </c>
      <c r="O45" s="827">
        <v>1</v>
      </c>
      <c r="P45" s="827"/>
      <c r="Q45" s="63"/>
      <c r="R45" s="63"/>
      <c r="S45" s="114"/>
      <c r="T45" s="114"/>
      <c r="U45" s="63"/>
      <c r="V45" s="114">
        <v>1</v>
      </c>
      <c r="W45" s="63"/>
      <c r="X45" s="636">
        <v>25</v>
      </c>
      <c r="Y45" s="114"/>
      <c r="Z45" s="63"/>
      <c r="AA45" s="63"/>
      <c r="AB45" s="63"/>
      <c r="AC45" s="400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</row>
    <row r="46" spans="1:40" s="83" customFormat="1">
      <c r="A46" s="140"/>
      <c r="B46" s="71"/>
      <c r="C46" s="77">
        <f t="shared" si="4"/>
        <v>-42</v>
      </c>
      <c r="D46" s="63">
        <f t="shared" si="3"/>
        <v>42</v>
      </c>
      <c r="E46" s="154">
        <v>8174</v>
      </c>
      <c r="F46" s="64" t="str">
        <f>IFERROR(VLOOKUP(Table7[[#This Row],[Player No]],Table11[[No]:[Province]],2,0),"")</f>
        <v>PADAYACHEE Prisha</v>
      </c>
      <c r="G46" s="65" t="str">
        <f>IFERROR(VLOOKUP(Table7[[#This Row],[Player No]],Table11[[No]:[Province]],3,0),"")</f>
        <v>UMG</v>
      </c>
      <c r="H46" s="66">
        <v>0</v>
      </c>
      <c r="I46" s="96">
        <v>24</v>
      </c>
      <c r="J46" s="789">
        <f>Table7[[#This Row],[Points 2025]]/2+SUM(Table7[[#This Row],[O1  ADMIN 2026]:[P2           WC         CT Open 2026]])</f>
        <v>22</v>
      </c>
      <c r="K46" s="196">
        <f t="shared" si="5"/>
        <v>1</v>
      </c>
      <c r="L46" s="63">
        <f t="shared" si="6"/>
        <v>0</v>
      </c>
      <c r="M46" s="708"/>
      <c r="N46" s="708">
        <v>10</v>
      </c>
      <c r="O46" s="708" t="s">
        <v>6083</v>
      </c>
      <c r="P46" s="708"/>
      <c r="Q46" s="63">
        <v>2</v>
      </c>
      <c r="R46" s="63">
        <v>1</v>
      </c>
      <c r="S46" s="114">
        <v>15</v>
      </c>
      <c r="T46" s="114"/>
      <c r="U46" s="63">
        <v>1</v>
      </c>
      <c r="V46" s="114"/>
      <c r="W46" s="63"/>
      <c r="X46" s="636">
        <v>5</v>
      </c>
      <c r="Y46" s="114"/>
      <c r="Z46" s="63"/>
      <c r="AA46" s="63"/>
      <c r="AB46" s="63"/>
      <c r="AC46" s="400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</row>
    <row r="47" spans="1:40" s="83" customFormat="1">
      <c r="A47" s="71"/>
      <c r="B47" s="71"/>
      <c r="C47" s="77">
        <f t="shared" si="4"/>
        <v>-43</v>
      </c>
      <c r="D47" s="63">
        <f t="shared" si="3"/>
        <v>43</v>
      </c>
      <c r="E47" s="63">
        <v>8408</v>
      </c>
      <c r="F47" s="64" t="str">
        <f>IFERROR(VLOOKUP(Table7[[#This Row],[Player No]],Table11[[No]:[Province]],2,0),"")</f>
        <v>MOGOETSI Nkosazana</v>
      </c>
      <c r="G47" s="65" t="str">
        <f>IFERROR(VLOOKUP(Table7[[#This Row],[Player No]],Table11[[No]:[Province]],3,0),"")</f>
        <v>EKU</v>
      </c>
      <c r="H47" s="66">
        <v>50</v>
      </c>
      <c r="I47" s="96">
        <v>42.5</v>
      </c>
      <c r="J47" s="789">
        <f>Table7[[#This Row],[Points 2025]]/2+SUM(Table7[[#This Row],[O1  ADMIN 2026]:[P2           WC         CT Open 2026]])</f>
        <v>21.25</v>
      </c>
      <c r="K47" s="196">
        <f t="shared" si="5"/>
        <v>0</v>
      </c>
      <c r="L47" s="63">
        <f t="shared" si="6"/>
        <v>0</v>
      </c>
      <c r="M47" s="708"/>
      <c r="N47" s="708" t="s">
        <v>6083</v>
      </c>
      <c r="O47" s="708" t="s">
        <v>6083</v>
      </c>
      <c r="P47" s="708"/>
      <c r="Q47" s="63"/>
      <c r="R47" s="63"/>
      <c r="S47" s="114"/>
      <c r="T47" s="114"/>
      <c r="U47" s="63"/>
      <c r="V47" s="114"/>
      <c r="W47" s="63"/>
      <c r="X47" s="636"/>
      <c r="Y47" s="114"/>
      <c r="Z47" s="63"/>
      <c r="AA47" s="63">
        <v>17.5</v>
      </c>
      <c r="AB47" s="63"/>
      <c r="AC47" s="400"/>
      <c r="AD47" s="63"/>
      <c r="AE47" s="63"/>
      <c r="AF47" s="63"/>
      <c r="AG47" s="63"/>
      <c r="AH47" s="63"/>
      <c r="AI47" s="63">
        <v>50</v>
      </c>
      <c r="AJ47" s="63"/>
      <c r="AK47" s="63"/>
      <c r="AL47" s="63"/>
      <c r="AM47" s="63"/>
      <c r="AN47" s="63"/>
    </row>
    <row r="48" spans="1:40" s="83" customFormat="1">
      <c r="A48" s="72">
        <f>IFERROR(VLOOKUP(Table7[[#This Row],[Player No]],Table11[[#All],[No]:[Age Group]],4,0),"")</f>
        <v>0</v>
      </c>
      <c r="B48" s="71">
        <v>8</v>
      </c>
      <c r="C48" s="77">
        <f t="shared" si="4"/>
        <v>-36</v>
      </c>
      <c r="D48" s="63">
        <f t="shared" si="3"/>
        <v>44</v>
      </c>
      <c r="E48" s="63">
        <v>7611</v>
      </c>
      <c r="F48" s="64" t="str">
        <f>IFERROR(VLOOKUP(Table7[[#This Row],[Player No]],Table11[[No]:[Province]],2,0),"")</f>
        <v>MTSHAWULANA Banam</v>
      </c>
      <c r="G48" s="65" t="str">
        <f>IFERROR(VLOOKUP(Table7[[#This Row],[Player No]],Table11[[No]:[Province]],3,0),"")</f>
        <v>EC</v>
      </c>
      <c r="H48" s="66">
        <v>81.25</v>
      </c>
      <c r="I48" s="96">
        <v>40.625</v>
      </c>
      <c r="J48" s="789">
        <f>Table7[[#This Row],[Points 2025]]/2+SUM(Table7[[#This Row],[O1  ADMIN 2026]:[P2           WC         CT Open 2026]])</f>
        <v>20.3125</v>
      </c>
      <c r="K48" s="196">
        <f t="shared" si="5"/>
        <v>0</v>
      </c>
      <c r="L48" s="63">
        <f t="shared" si="6"/>
        <v>0</v>
      </c>
      <c r="M48" s="708"/>
      <c r="N48" s="708" t="s">
        <v>6083</v>
      </c>
      <c r="O48" s="708" t="s">
        <v>6083</v>
      </c>
      <c r="P48" s="708"/>
      <c r="Q48" s="63"/>
      <c r="R48" s="63"/>
      <c r="S48" s="114"/>
      <c r="T48" s="114"/>
      <c r="U48" s="63"/>
      <c r="V48" s="114"/>
      <c r="W48" s="63"/>
      <c r="X48" s="636"/>
      <c r="Y48" s="114"/>
      <c r="Z48" s="63"/>
      <c r="AA48" s="63"/>
      <c r="AB48" s="63"/>
      <c r="AC48" s="400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</row>
    <row r="49" spans="1:40" s="83" customFormat="1">
      <c r="A49" s="72">
        <f>IFERROR(VLOOKUP(Table7[[#This Row],[Player No]],Table11[[#All],[No]:[Age Group]],4,0),"")</f>
        <v>0</v>
      </c>
      <c r="B49" s="71">
        <v>12</v>
      </c>
      <c r="C49" s="77">
        <f t="shared" si="4"/>
        <v>-33</v>
      </c>
      <c r="D49" s="63">
        <f t="shared" si="3"/>
        <v>45</v>
      </c>
      <c r="E49" s="63">
        <v>8067</v>
      </c>
      <c r="F49" s="64" t="str">
        <f>IFERROR(VLOOKUP(Table7[[#This Row],[Player No]],Table11[[No]:[Province]],2,0),"")</f>
        <v>BHUNDOO Ashriya</v>
      </c>
      <c r="G49" s="65" t="str">
        <f>IFERROR(VLOOKUP(Table7[[#This Row],[Player No]],Table11[[No]:[Province]],3,0),"")</f>
        <v>UMG</v>
      </c>
      <c r="H49" s="66">
        <v>78</v>
      </c>
      <c r="I49" s="96">
        <v>39</v>
      </c>
      <c r="J49" s="789">
        <f>Table7[[#This Row],[Points 2025]]/2+SUM(Table7[[#This Row],[O1  ADMIN 2026]:[P2           WC         CT Open 2026]])</f>
        <v>19.5</v>
      </c>
      <c r="K49" s="196">
        <f t="shared" si="5"/>
        <v>0</v>
      </c>
      <c r="L49" s="63">
        <f t="shared" si="6"/>
        <v>0</v>
      </c>
      <c r="M49" s="708"/>
      <c r="N49" s="708" t="s">
        <v>6083</v>
      </c>
      <c r="O49" s="708" t="s">
        <v>6083</v>
      </c>
      <c r="P49" s="708"/>
      <c r="Q49" s="63"/>
      <c r="R49" s="63"/>
      <c r="S49" s="114"/>
      <c r="T49" s="114"/>
      <c r="U49" s="63"/>
      <c r="V49" s="114"/>
      <c r="W49" s="63"/>
      <c r="X49" s="636"/>
      <c r="Y49" s="114"/>
      <c r="Z49" s="63"/>
      <c r="AA49" s="63"/>
      <c r="AB49" s="63"/>
      <c r="AC49" s="400"/>
      <c r="AD49" s="63"/>
      <c r="AE49" s="63"/>
      <c r="AF49" s="63">
        <v>15</v>
      </c>
      <c r="AG49" s="63"/>
      <c r="AH49" s="63"/>
      <c r="AI49" s="63">
        <v>25</v>
      </c>
      <c r="AJ49" s="63"/>
      <c r="AK49" s="63"/>
      <c r="AL49" s="63"/>
      <c r="AM49" s="63">
        <v>25</v>
      </c>
      <c r="AN49" s="63"/>
    </row>
    <row r="50" spans="1:40" s="83" customFormat="1">
      <c r="A50" s="72">
        <f>IFERROR(VLOOKUP(Table7[[#This Row],[Player No]],Table11[[#All],[No]:[Age Group]],4,0),"")</f>
        <v>0</v>
      </c>
      <c r="B50" s="71">
        <v>26</v>
      </c>
      <c r="C50" s="77">
        <f t="shared" si="4"/>
        <v>-20</v>
      </c>
      <c r="D50" s="63">
        <f t="shared" si="3"/>
        <v>46</v>
      </c>
      <c r="E50" s="63">
        <v>8338</v>
      </c>
      <c r="F50" s="64" t="str">
        <f>IFERROR(VLOOKUP(Table7[[#This Row],[Player No]],Table11[[No]:[Province]],2,0),"")</f>
        <v>SIVNANNAN Sivarna</v>
      </c>
      <c r="G50" s="65" t="str">
        <f>IFERROR(VLOOKUP(Table7[[#This Row],[Player No]],Table11[[No]:[Province]],3,0),"")</f>
        <v>UMG</v>
      </c>
      <c r="H50" s="66">
        <v>77</v>
      </c>
      <c r="I50" s="96">
        <v>38.5</v>
      </c>
      <c r="J50" s="789">
        <f>Table7[[#This Row],[Points 2025]]/2+SUM(Table7[[#This Row],[O1  ADMIN 2026]:[P2           WC         CT Open 2026]])</f>
        <v>19.25</v>
      </c>
      <c r="K50" s="196">
        <f t="shared" si="5"/>
        <v>0</v>
      </c>
      <c r="L50" s="63">
        <f t="shared" si="6"/>
        <v>0</v>
      </c>
      <c r="M50" s="708"/>
      <c r="N50" s="708" t="s">
        <v>6083</v>
      </c>
      <c r="O50" s="708" t="s">
        <v>6083</v>
      </c>
      <c r="P50" s="708"/>
      <c r="Q50" s="63"/>
      <c r="R50" s="63"/>
      <c r="S50" s="114"/>
      <c r="T50" s="114"/>
      <c r="U50" s="63"/>
      <c r="V50" s="114"/>
      <c r="W50" s="63"/>
      <c r="X50" s="636"/>
      <c r="Y50" s="114"/>
      <c r="Z50" s="63"/>
      <c r="AA50" s="63"/>
      <c r="AB50" s="63"/>
      <c r="AC50" s="400"/>
      <c r="AD50" s="63"/>
      <c r="AE50" s="63">
        <v>25</v>
      </c>
      <c r="AF50" s="63">
        <v>1</v>
      </c>
      <c r="AG50" s="63"/>
      <c r="AH50" s="63"/>
      <c r="AI50" s="63">
        <v>50</v>
      </c>
      <c r="AJ50" s="63"/>
      <c r="AK50" s="63"/>
      <c r="AL50" s="63"/>
      <c r="AM50" s="63">
        <v>1</v>
      </c>
      <c r="AN50" s="63"/>
    </row>
    <row r="51" spans="1:40" s="83" customFormat="1">
      <c r="A51" s="72">
        <f>IFERROR(VLOOKUP(Table7[[#This Row],[Player No]],Table11[[#All],[No]:[Age Group]],4,0),"")</f>
        <v>0</v>
      </c>
      <c r="B51" s="71">
        <v>31</v>
      </c>
      <c r="C51" s="77">
        <f t="shared" si="4"/>
        <v>-16</v>
      </c>
      <c r="D51" s="63">
        <f t="shared" si="3"/>
        <v>47</v>
      </c>
      <c r="E51" s="63">
        <v>7339</v>
      </c>
      <c r="F51" s="64" t="str">
        <f>IFERROR(VLOOKUP(Table7[[#This Row],[Player No]],Table11[[No]:[Province]],2,0),"")</f>
        <v>MOATI Nthabiseng</v>
      </c>
      <c r="G51" s="65" t="str">
        <f>IFERROR(VLOOKUP(Table7[[#This Row],[Player No]],Table11[[No]:[Province]],3,0),"")</f>
        <v>LIM</v>
      </c>
      <c r="H51" s="66">
        <v>75</v>
      </c>
      <c r="I51" s="96">
        <v>37.5</v>
      </c>
      <c r="J51" s="789">
        <f>Table7[[#This Row],[Points 2025]]/2+SUM(Table7[[#This Row],[O1  ADMIN 2026]:[P2           WC         CT Open 2026]])</f>
        <v>18.75</v>
      </c>
      <c r="K51" s="196">
        <f t="shared" si="5"/>
        <v>0</v>
      </c>
      <c r="L51" s="63">
        <f t="shared" si="6"/>
        <v>0</v>
      </c>
      <c r="M51" s="708"/>
      <c r="N51" s="708" t="s">
        <v>6083</v>
      </c>
      <c r="O51" s="708" t="s">
        <v>6083</v>
      </c>
      <c r="P51" s="708"/>
      <c r="Q51" s="63"/>
      <c r="R51" s="63"/>
      <c r="S51" s="114"/>
      <c r="T51" s="114"/>
      <c r="U51" s="63"/>
      <c r="V51" s="114"/>
      <c r="W51" s="63"/>
      <c r="X51" s="636"/>
      <c r="Y51" s="114"/>
      <c r="Z51" s="63"/>
      <c r="AA51" s="63"/>
      <c r="AB51" s="63"/>
      <c r="AC51" s="400"/>
      <c r="AD51" s="63"/>
      <c r="AE51" s="63"/>
      <c r="AF51" s="63"/>
      <c r="AG51" s="63"/>
      <c r="AH51" s="63"/>
      <c r="AI51" s="63">
        <v>50</v>
      </c>
      <c r="AJ51" s="63"/>
      <c r="AK51" s="63"/>
      <c r="AL51" s="63"/>
      <c r="AM51" s="63"/>
      <c r="AN51" s="63"/>
    </row>
    <row r="52" spans="1:40" s="83" customFormat="1">
      <c r="A52" s="72" t="str">
        <f>IFERROR(VLOOKUP(Table7[[#This Row],[Player No]],Table11[[#All],[No]:[Age Group]],4,0),"")</f>
        <v>U13</v>
      </c>
      <c r="B52" s="71">
        <v>91</v>
      </c>
      <c r="C52" s="77">
        <f t="shared" si="4"/>
        <v>43</v>
      </c>
      <c r="D52" s="63">
        <f t="shared" si="3"/>
        <v>48</v>
      </c>
      <c r="E52" s="63">
        <v>8079</v>
      </c>
      <c r="F52" s="64" t="str">
        <f>IFERROR(VLOOKUP(Table7[[#This Row],[Player No]],Table11[[No]:[Province]],2,0),"")</f>
        <v>NGQEZA Minenhle</v>
      </c>
      <c r="G52" s="65" t="str">
        <f>IFERROR(VLOOKUP(Table7[[#This Row],[Player No]],Table11[[No]:[Province]],3,0),"")</f>
        <v>EDEN</v>
      </c>
      <c r="H52" s="66">
        <v>25</v>
      </c>
      <c r="I52" s="96">
        <v>37.5</v>
      </c>
      <c r="J52" s="789">
        <f>Table7[[#This Row],[Points 2025]]/2+SUM(Table7[[#This Row],[O1  ADMIN 2026]:[P2           WC         CT Open 2026]])</f>
        <v>18.75</v>
      </c>
      <c r="K52" s="196">
        <f t="shared" si="5"/>
        <v>0</v>
      </c>
      <c r="L52" s="63">
        <f t="shared" si="6"/>
        <v>0</v>
      </c>
      <c r="M52" s="708"/>
      <c r="N52" s="708" t="s">
        <v>6083</v>
      </c>
      <c r="O52" s="708" t="s">
        <v>6083</v>
      </c>
      <c r="P52" s="708"/>
      <c r="Q52" s="63"/>
      <c r="R52" s="63"/>
      <c r="S52" s="114"/>
      <c r="T52" s="114"/>
      <c r="U52" s="63"/>
      <c r="V52" s="114"/>
      <c r="W52" s="63"/>
      <c r="X52" s="636">
        <v>25</v>
      </c>
      <c r="Y52" s="114"/>
      <c r="Z52" s="63"/>
      <c r="AA52" s="63"/>
      <c r="AB52" s="63"/>
      <c r="AC52" s="400"/>
      <c r="AD52" s="63"/>
      <c r="AE52" s="63"/>
      <c r="AF52" s="63"/>
      <c r="AG52" s="63"/>
      <c r="AH52" s="63">
        <v>25</v>
      </c>
      <c r="AI52" s="63"/>
      <c r="AJ52" s="63"/>
      <c r="AK52" s="63"/>
      <c r="AL52" s="63"/>
      <c r="AM52" s="63"/>
      <c r="AN52" s="63"/>
    </row>
    <row r="53" spans="1:40" s="83" customFormat="1">
      <c r="A53" s="71"/>
      <c r="B53" s="71"/>
      <c r="C53" s="77">
        <f t="shared" si="4"/>
        <v>-49</v>
      </c>
      <c r="D53" s="63">
        <f t="shared" si="3"/>
        <v>49</v>
      </c>
      <c r="E53" s="63">
        <v>8178</v>
      </c>
      <c r="F53" s="64" t="str">
        <f>IFERROR(VLOOKUP(Table7[[#This Row],[Player No]],Table11[[No]:[Province]],2,0),"")</f>
        <v>Motshabi Bopelo</v>
      </c>
      <c r="G53" s="65" t="str">
        <f>IFERROR(VLOOKUP(Table7[[#This Row],[Player No]],Table11[[No]:[Province]],3,0),"")</f>
        <v>FS</v>
      </c>
      <c r="H53" s="66">
        <v>25</v>
      </c>
      <c r="I53" s="96">
        <v>37.5</v>
      </c>
      <c r="J53" s="789">
        <f>Table7[[#This Row],[Points 2025]]/2+SUM(Table7[[#This Row],[O1  ADMIN 2026]:[P2           WC         CT Open 2026]])</f>
        <v>18.75</v>
      </c>
      <c r="K53" s="196">
        <f t="shared" si="5"/>
        <v>0</v>
      </c>
      <c r="L53" s="63">
        <f t="shared" si="6"/>
        <v>0</v>
      </c>
      <c r="M53" s="708"/>
      <c r="N53" s="708" t="s">
        <v>6083</v>
      </c>
      <c r="O53" s="708" t="s">
        <v>6083</v>
      </c>
      <c r="P53" s="708"/>
      <c r="Q53" s="63"/>
      <c r="R53" s="63"/>
      <c r="S53" s="114"/>
      <c r="T53" s="114"/>
      <c r="U53" s="63"/>
      <c r="V53" s="114"/>
      <c r="W53" s="63"/>
      <c r="X53" s="636">
        <v>25</v>
      </c>
      <c r="Y53" s="114"/>
      <c r="Z53" s="63"/>
      <c r="AA53" s="63"/>
      <c r="AB53" s="63"/>
      <c r="AC53" s="400"/>
      <c r="AD53" s="63"/>
      <c r="AE53" s="63"/>
      <c r="AF53" s="63"/>
      <c r="AG53" s="63"/>
      <c r="AH53" s="63"/>
      <c r="AI53" s="63">
        <v>25</v>
      </c>
      <c r="AJ53" s="63"/>
      <c r="AK53" s="63"/>
      <c r="AL53" s="63"/>
      <c r="AM53" s="63"/>
      <c r="AN53" s="63"/>
    </row>
    <row r="54" spans="1:40" s="83" customFormat="1">
      <c r="A54" s="72" t="str">
        <f>IFERROR(VLOOKUP(Table7[[#This Row],[Player No]],Table11[[#All],[No]:[Age Group]],4,0),"")</f>
        <v>U13</v>
      </c>
      <c r="B54" s="71">
        <v>91</v>
      </c>
      <c r="C54" s="77">
        <f t="shared" si="4"/>
        <v>41</v>
      </c>
      <c r="D54" s="63">
        <f t="shared" si="3"/>
        <v>50</v>
      </c>
      <c r="E54" s="63">
        <v>8240</v>
      </c>
      <c r="F54" s="64" t="str">
        <f>IFERROR(VLOOKUP(Table7[[#This Row],[Player No]],Table11[[No]:[Province]],2,0),"")</f>
        <v>FRANCIES Ashley-Ann</v>
      </c>
      <c r="G54" s="65" t="str">
        <f>IFERROR(VLOOKUP(Table7[[#This Row],[Player No]],Table11[[No]:[Province]],3,0),"")</f>
        <v>Eden</v>
      </c>
      <c r="H54" s="66">
        <v>25</v>
      </c>
      <c r="I54" s="96">
        <v>37.5</v>
      </c>
      <c r="J54" s="789">
        <f>Table7[[#This Row],[Points 2025]]/2+SUM(Table7[[#This Row],[O1  ADMIN 2026]:[P2           WC         CT Open 2026]])</f>
        <v>18.75</v>
      </c>
      <c r="K54" s="196">
        <f t="shared" si="5"/>
        <v>0</v>
      </c>
      <c r="L54" s="63">
        <f t="shared" si="6"/>
        <v>0</v>
      </c>
      <c r="M54" s="708"/>
      <c r="N54" s="708" t="s">
        <v>6083</v>
      </c>
      <c r="O54" s="708" t="s">
        <v>6083</v>
      </c>
      <c r="P54" s="708"/>
      <c r="Q54" s="63"/>
      <c r="R54" s="63"/>
      <c r="S54" s="114"/>
      <c r="T54" s="114"/>
      <c r="U54" s="63"/>
      <c r="V54" s="114"/>
      <c r="W54" s="63"/>
      <c r="X54" s="636">
        <v>25</v>
      </c>
      <c r="Y54" s="114"/>
      <c r="Z54" s="63"/>
      <c r="AA54" s="63"/>
      <c r="AB54" s="63"/>
      <c r="AC54" s="400"/>
      <c r="AD54" s="63"/>
      <c r="AE54" s="63"/>
      <c r="AF54" s="63"/>
      <c r="AG54" s="63"/>
      <c r="AH54" s="63">
        <v>25</v>
      </c>
      <c r="AI54" s="63"/>
      <c r="AJ54" s="63"/>
      <c r="AK54" s="63"/>
      <c r="AL54" s="63"/>
      <c r="AM54" s="63"/>
      <c r="AN54" s="63"/>
    </row>
    <row r="55" spans="1:40" s="83" customFormat="1">
      <c r="A55" s="71"/>
      <c r="B55" s="71"/>
      <c r="C55" s="77">
        <f t="shared" si="4"/>
        <v>-51</v>
      </c>
      <c r="D55" s="63">
        <f t="shared" si="3"/>
        <v>51</v>
      </c>
      <c r="E55" s="63">
        <v>8431</v>
      </c>
      <c r="F55" s="64" t="str">
        <f>IFERROR(VLOOKUP(Table7[[#This Row],[Player No]],Table11[[No]:[Province]],2,0),"")</f>
        <v xml:space="preserve">MODIKA  Seipati Audrey </v>
      </c>
      <c r="G55" s="65" t="str">
        <f>IFERROR(VLOOKUP(Table7[[#This Row],[Player No]],Table11[[No]:[Province]],3,0),"")</f>
        <v>LIM</v>
      </c>
      <c r="H55" s="66">
        <v>25</v>
      </c>
      <c r="I55" s="96">
        <v>37.5</v>
      </c>
      <c r="J55" s="789">
        <f>Table7[[#This Row],[Points 2025]]/2+SUM(Table7[[#This Row],[O1  ADMIN 2026]:[P2           WC         CT Open 2026]])</f>
        <v>18.75</v>
      </c>
      <c r="K55" s="196">
        <f t="shared" si="5"/>
        <v>0</v>
      </c>
      <c r="L55" s="63">
        <f t="shared" si="6"/>
        <v>0</v>
      </c>
      <c r="M55" s="708"/>
      <c r="N55" s="708" t="s">
        <v>6083</v>
      </c>
      <c r="O55" s="708" t="s">
        <v>6083</v>
      </c>
      <c r="P55" s="708"/>
      <c r="Q55" s="63"/>
      <c r="R55" s="63"/>
      <c r="S55" s="114"/>
      <c r="T55" s="114"/>
      <c r="U55" s="63"/>
      <c r="V55" s="114"/>
      <c r="W55" s="63"/>
      <c r="X55" s="636">
        <v>25</v>
      </c>
      <c r="Y55" s="114"/>
      <c r="Z55" s="63"/>
      <c r="AA55" s="63"/>
      <c r="AB55" s="63"/>
      <c r="AC55" s="400"/>
      <c r="AD55" s="63"/>
      <c r="AE55" s="63"/>
      <c r="AF55" s="63"/>
      <c r="AG55" s="63"/>
      <c r="AH55" s="63"/>
      <c r="AI55" s="63">
        <v>25</v>
      </c>
      <c r="AJ55" s="63"/>
      <c r="AK55" s="63"/>
      <c r="AL55" s="63"/>
      <c r="AM55" s="63"/>
      <c r="AN55" s="63"/>
    </row>
    <row r="56" spans="1:40" s="83" customFormat="1">
      <c r="A56" s="72">
        <f>IFERROR(VLOOKUP(Table7[[#This Row],[Player No]],Table11[[#All],[No]:[Age Group]],4,0),"")</f>
        <v>0</v>
      </c>
      <c r="B56" s="71">
        <v>91</v>
      </c>
      <c r="C56" s="77">
        <f t="shared" si="4"/>
        <v>39</v>
      </c>
      <c r="D56" s="63">
        <f t="shared" si="3"/>
        <v>52</v>
      </c>
      <c r="E56" s="63">
        <v>8354</v>
      </c>
      <c r="F56" s="64" t="str">
        <f>IFERROR(VLOOKUP(Table7[[#This Row],[Player No]],Table11[[No]:[Province]],2,0),"")</f>
        <v>REURINK Noa-Marie</v>
      </c>
      <c r="G56" s="65" t="str">
        <f>IFERROR(VLOOKUP(Table7[[#This Row],[Player No]],Table11[[No]:[Province]],3,0),"")</f>
        <v>CW</v>
      </c>
      <c r="H56" s="66">
        <v>2</v>
      </c>
      <c r="I56" s="96">
        <v>36</v>
      </c>
      <c r="J56" s="789">
        <f>Table7[[#This Row],[Points 2025]]/2+SUM(Table7[[#This Row],[O1  ADMIN 2026]:[P2           WC         CT Open 2026]])</f>
        <v>18</v>
      </c>
      <c r="K56" s="196">
        <f t="shared" si="5"/>
        <v>0</v>
      </c>
      <c r="L56" s="63">
        <f t="shared" si="6"/>
        <v>0</v>
      </c>
      <c r="M56" s="708"/>
      <c r="N56" s="708" t="s">
        <v>6083</v>
      </c>
      <c r="O56" s="708" t="s">
        <v>6083</v>
      </c>
      <c r="P56" s="708"/>
      <c r="Q56" s="63"/>
      <c r="R56" s="63"/>
      <c r="S56" s="114">
        <v>10</v>
      </c>
      <c r="T56" s="114"/>
      <c r="U56" s="63"/>
      <c r="V56" s="114"/>
      <c r="W56" s="63"/>
      <c r="X56" s="636"/>
      <c r="Y56" s="114"/>
      <c r="Z56" s="63">
        <v>25</v>
      </c>
      <c r="AA56" s="63"/>
      <c r="AB56" s="63"/>
      <c r="AC56" s="400"/>
      <c r="AD56" s="63"/>
      <c r="AE56" s="63"/>
      <c r="AF56" s="63"/>
      <c r="AG56" s="63"/>
      <c r="AH56" s="63">
        <v>2</v>
      </c>
      <c r="AI56" s="63"/>
      <c r="AJ56" s="63"/>
      <c r="AK56" s="63"/>
      <c r="AL56" s="63"/>
      <c r="AM56" s="63"/>
      <c r="AN56" s="63"/>
    </row>
    <row r="57" spans="1:40" s="83" customFormat="1">
      <c r="A57" s="72">
        <f>IFERROR(VLOOKUP(Table7[[#This Row],[Player No]],Table11[[#All],[No]:[Age Group]],4,0),"")</f>
        <v>0</v>
      </c>
      <c r="B57" s="71">
        <v>18</v>
      </c>
      <c r="C57" s="77">
        <f t="shared" si="4"/>
        <v>-35</v>
      </c>
      <c r="D57" s="63">
        <f t="shared" si="3"/>
        <v>53</v>
      </c>
      <c r="E57" s="63">
        <v>8044</v>
      </c>
      <c r="F57" s="64" t="str">
        <f>IFERROR(VLOOKUP(Table7[[#This Row],[Player No]],Table11[[No]:[Province]],2,0),"")</f>
        <v>SWARTZ Zainick</v>
      </c>
      <c r="G57" s="65" t="str">
        <f>IFERROR(VLOOKUP(Table7[[#This Row],[Player No]],Table11[[No]:[Province]],3,0),"")</f>
        <v>WC</v>
      </c>
      <c r="H57" s="66">
        <v>64.5625</v>
      </c>
      <c r="I57" s="96">
        <v>32.28125</v>
      </c>
      <c r="J57" s="789">
        <f>Table7[[#This Row],[Points 2025]]/2+SUM(Table7[[#This Row],[O1  ADMIN 2026]:[P2           WC         CT Open 2026]])</f>
        <v>16.140625</v>
      </c>
      <c r="K57" s="196">
        <f t="shared" si="5"/>
        <v>0</v>
      </c>
      <c r="L57" s="63">
        <f t="shared" si="6"/>
        <v>0</v>
      </c>
      <c r="M57" s="708"/>
      <c r="N57" s="708" t="s">
        <v>6083</v>
      </c>
      <c r="O57" s="708" t="s">
        <v>6083</v>
      </c>
      <c r="P57" s="708"/>
      <c r="Q57" s="63"/>
      <c r="R57" s="63"/>
      <c r="S57" s="114"/>
      <c r="T57" s="114"/>
      <c r="U57" s="63"/>
      <c r="V57" s="114"/>
      <c r="W57" s="63"/>
      <c r="X57" s="636"/>
      <c r="Y57" s="114"/>
      <c r="Z57" s="63"/>
      <c r="AA57" s="63"/>
      <c r="AB57" s="63"/>
      <c r="AC57" s="400"/>
      <c r="AD57" s="63"/>
      <c r="AE57" s="63"/>
      <c r="AF57" s="63"/>
      <c r="AG57" s="63">
        <v>25</v>
      </c>
      <c r="AH57" s="63"/>
      <c r="AI57" s="63"/>
      <c r="AJ57" s="63"/>
      <c r="AK57" s="63"/>
      <c r="AL57" s="63"/>
      <c r="AM57" s="63"/>
      <c r="AN57" s="63"/>
    </row>
    <row r="58" spans="1:40" s="83" customFormat="1">
      <c r="A58" s="72" t="str">
        <f>IFERROR(VLOOKUP(Table7[[#This Row],[Player No]],Table11[[#All],[No]:[Age Group]],4,0),"")</f>
        <v>U15</v>
      </c>
      <c r="B58" s="71">
        <v>91</v>
      </c>
      <c r="C58" s="77">
        <f t="shared" si="4"/>
        <v>37</v>
      </c>
      <c r="D58" s="63">
        <f t="shared" si="3"/>
        <v>54</v>
      </c>
      <c r="E58" s="63">
        <v>8237</v>
      </c>
      <c r="F58" s="64" t="str">
        <f>IFERROR(VLOOKUP(Table7[[#This Row],[Player No]],Table11[[No]:[Province]],2,0),"")</f>
        <v>HOFFMAN Jae-Leigh</v>
      </c>
      <c r="G58" s="65" t="str">
        <f>IFERROR(VLOOKUP(Table7[[#This Row],[Player No]],Table11[[No]:[Province]],3,0),"")</f>
        <v>Eden</v>
      </c>
      <c r="H58" s="66">
        <v>50</v>
      </c>
      <c r="I58" s="96">
        <v>30</v>
      </c>
      <c r="J58" s="789">
        <f>Table7[[#This Row],[Points 2025]]/2+SUM(Table7[[#This Row],[O1  ADMIN 2026]:[P2           WC         CT Open 2026]])</f>
        <v>15</v>
      </c>
      <c r="K58" s="196">
        <f t="shared" si="5"/>
        <v>0</v>
      </c>
      <c r="L58" s="63">
        <f t="shared" si="6"/>
        <v>0</v>
      </c>
      <c r="M58" s="708"/>
      <c r="N58" s="708" t="s">
        <v>6083</v>
      </c>
      <c r="O58" s="708" t="s">
        <v>6083</v>
      </c>
      <c r="P58" s="708"/>
      <c r="Q58" s="63"/>
      <c r="R58" s="63"/>
      <c r="S58" s="114"/>
      <c r="T58" s="114"/>
      <c r="U58" s="63"/>
      <c r="V58" s="114"/>
      <c r="W58" s="63"/>
      <c r="X58" s="636">
        <v>5</v>
      </c>
      <c r="Y58" s="114"/>
      <c r="Z58" s="63"/>
      <c r="AA58" s="63"/>
      <c r="AB58" s="63"/>
      <c r="AC58" s="400"/>
      <c r="AD58" s="63"/>
      <c r="AE58" s="63"/>
      <c r="AF58" s="63"/>
      <c r="AG58" s="63"/>
      <c r="AH58" s="63">
        <v>50</v>
      </c>
      <c r="AI58" s="63"/>
      <c r="AJ58" s="63"/>
      <c r="AK58" s="63"/>
      <c r="AL58" s="63"/>
      <c r="AM58" s="63"/>
      <c r="AN58" s="63"/>
    </row>
    <row r="59" spans="1:40" s="83" customFormat="1">
      <c r="A59" s="72">
        <f>IFERROR(VLOOKUP(Table7[[#This Row],[Player No]],Table11[[#All],[No]:[Age Group]],4,0),"")</f>
        <v>0</v>
      </c>
      <c r="B59" s="71">
        <v>91</v>
      </c>
      <c r="C59" s="77">
        <f t="shared" ref="C59:C90" si="7">+B59-D59</f>
        <v>36</v>
      </c>
      <c r="D59" s="63">
        <f t="shared" si="3"/>
        <v>55</v>
      </c>
      <c r="E59" s="63">
        <v>8395</v>
      </c>
      <c r="F59" s="64" t="str">
        <f>IFERROR(VLOOKUP(Table7[[#This Row],[Player No]],Table11[[No]:[Province]],2,0),"")</f>
        <v>Tamzin Human</v>
      </c>
      <c r="G59" s="65" t="str">
        <f>IFERROR(VLOOKUP(Table7[[#This Row],[Player No]],Table11[[No]:[Province]],3,0),"")</f>
        <v>CW</v>
      </c>
      <c r="H59" s="66">
        <v>51</v>
      </c>
      <c r="I59" s="96">
        <v>28</v>
      </c>
      <c r="J59" s="789">
        <f>Table7[[#This Row],[Points 2025]]/2+SUM(Table7[[#This Row],[O1  ADMIN 2026]:[P2           WC         CT Open 2026]])</f>
        <v>14</v>
      </c>
      <c r="K59" s="196">
        <f t="shared" si="5"/>
        <v>0</v>
      </c>
      <c r="L59" s="63">
        <f t="shared" si="6"/>
        <v>0</v>
      </c>
      <c r="M59" s="708"/>
      <c r="N59" s="708" t="s">
        <v>6083</v>
      </c>
      <c r="O59" s="708" t="s">
        <v>6083</v>
      </c>
      <c r="P59" s="708"/>
      <c r="Q59" s="63"/>
      <c r="R59" s="63"/>
      <c r="S59" s="114"/>
      <c r="T59" s="114"/>
      <c r="U59" s="63"/>
      <c r="V59" s="114"/>
      <c r="W59" s="63"/>
      <c r="X59" s="636">
        <v>0</v>
      </c>
      <c r="Y59" s="114">
        <v>0.5</v>
      </c>
      <c r="Z59" s="63">
        <v>2</v>
      </c>
      <c r="AA59" s="63"/>
      <c r="AB59" s="63"/>
      <c r="AC59" s="400"/>
      <c r="AD59" s="63"/>
      <c r="AE59" s="63"/>
      <c r="AF59" s="63"/>
      <c r="AG59" s="63">
        <v>1</v>
      </c>
      <c r="AH59" s="63">
        <v>50</v>
      </c>
      <c r="AI59" s="63"/>
      <c r="AJ59" s="63"/>
      <c r="AK59" s="63"/>
      <c r="AL59" s="63"/>
      <c r="AM59" s="63"/>
      <c r="AN59" s="63"/>
    </row>
    <row r="60" spans="1:40" s="83" customFormat="1">
      <c r="A60" s="72" t="str">
        <f>IFERROR(VLOOKUP(Table7[[#This Row],[Player No]],Table11[[#All],[No]:[Age Group]],4,0),"")</f>
        <v>U11</v>
      </c>
      <c r="B60" s="71">
        <v>41</v>
      </c>
      <c r="C60" s="77">
        <f t="shared" si="7"/>
        <v>-15</v>
      </c>
      <c r="D60" s="63">
        <f t="shared" si="3"/>
        <v>56</v>
      </c>
      <c r="E60" s="63">
        <v>8344</v>
      </c>
      <c r="F60" s="64" t="str">
        <f>IFERROR(VLOOKUP(Table7[[#This Row],[Player No]],Table11[[No]:[Province]],2,0),"")</f>
        <v>HUSVU Tadiwanashi</v>
      </c>
      <c r="G60" s="65" t="str">
        <f>IFERROR(VLOOKUP(Table7[[#This Row],[Player No]],Table11[[No]:[Province]],3,0),"")</f>
        <v>GN</v>
      </c>
      <c r="H60" s="66">
        <v>29</v>
      </c>
      <c r="I60" s="96">
        <v>27</v>
      </c>
      <c r="J60" s="789">
        <f>Table7[[#This Row],[Points 2025]]/2+SUM(Table7[[#This Row],[O1  ADMIN 2026]:[P2           WC         CT Open 2026]])</f>
        <v>13.5</v>
      </c>
      <c r="K60" s="196">
        <f t="shared" si="5"/>
        <v>0</v>
      </c>
      <c r="L60" s="63">
        <f t="shared" si="6"/>
        <v>0</v>
      </c>
      <c r="M60" s="708"/>
      <c r="N60" s="708" t="s">
        <v>6083</v>
      </c>
      <c r="O60" s="708" t="s">
        <v>6083</v>
      </c>
      <c r="P60" s="708"/>
      <c r="Q60" s="63"/>
      <c r="R60" s="63"/>
      <c r="S60" s="114"/>
      <c r="T60" s="114"/>
      <c r="U60" s="63"/>
      <c r="V60" s="114"/>
      <c r="W60" s="63"/>
      <c r="X60" s="636"/>
      <c r="Y60" s="114"/>
      <c r="Z60" s="63"/>
      <c r="AA60" s="63"/>
      <c r="AB60" s="63">
        <v>12.5</v>
      </c>
      <c r="AC60" s="400"/>
      <c r="AD60" s="63"/>
      <c r="AE60" s="63"/>
      <c r="AF60" s="63">
        <v>1</v>
      </c>
      <c r="AG60" s="63"/>
      <c r="AH60" s="63"/>
      <c r="AI60" s="63"/>
      <c r="AJ60" s="63">
        <f>25/2</f>
        <v>12.5</v>
      </c>
      <c r="AK60" s="63">
        <v>15</v>
      </c>
      <c r="AL60" s="63"/>
      <c r="AM60" s="63"/>
      <c r="AN60" s="63">
        <f>1/2</f>
        <v>0.5</v>
      </c>
    </row>
    <row r="61" spans="1:40" s="83" customFormat="1">
      <c r="A61" s="72">
        <f>IFERROR(VLOOKUP(Table7[[#This Row],[Player No]],Table11[[#All],[No]:[Age Group]],4,0),"")</f>
        <v>0</v>
      </c>
      <c r="B61" s="71">
        <v>72</v>
      </c>
      <c r="C61" s="77">
        <f t="shared" si="7"/>
        <v>15</v>
      </c>
      <c r="D61" s="63">
        <f t="shared" si="3"/>
        <v>57</v>
      </c>
      <c r="E61" s="63">
        <v>8107</v>
      </c>
      <c r="F61" s="64" t="str">
        <f>IFERROR(VLOOKUP(Table7[[#This Row],[Player No]],Table11[[No]:[Province]],2,0),"")</f>
        <v>MACHI Azile</v>
      </c>
      <c r="G61" s="65" t="str">
        <f>IFERROR(VLOOKUP(Table7[[#This Row],[Player No]],Table11[[No]:[Province]],3,0),"")</f>
        <v>ETK</v>
      </c>
      <c r="H61" s="66">
        <v>2.5</v>
      </c>
      <c r="I61" s="96">
        <v>26.25</v>
      </c>
      <c r="J61" s="789">
        <f>Table7[[#This Row],[Points 2025]]/2+SUM(Table7[[#This Row],[O1  ADMIN 2026]:[P2           WC         CT Open 2026]])</f>
        <v>13.125</v>
      </c>
      <c r="K61" s="196">
        <f t="shared" si="5"/>
        <v>0</v>
      </c>
      <c r="L61" s="63">
        <f t="shared" si="6"/>
        <v>0</v>
      </c>
      <c r="M61" s="708"/>
      <c r="N61" s="708" t="s">
        <v>6083</v>
      </c>
      <c r="O61" s="708" t="s">
        <v>6083</v>
      </c>
      <c r="P61" s="708"/>
      <c r="Q61" s="63">
        <v>25</v>
      </c>
      <c r="R61" s="63"/>
      <c r="S61" s="114"/>
      <c r="T61" s="114"/>
      <c r="U61" s="63"/>
      <c r="V61" s="114"/>
      <c r="W61" s="63"/>
      <c r="X61" s="636"/>
      <c r="Y61" s="114"/>
      <c r="Z61" s="63"/>
      <c r="AA61" s="63"/>
      <c r="AB61" s="63"/>
      <c r="AC61" s="400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</row>
    <row r="62" spans="1:40" s="83" customFormat="1">
      <c r="A62" s="72" t="str">
        <f>IFERROR(VLOOKUP(Table7[[#This Row],[Player No]],Table11[[#All],[No]:[Age Group]],4,0),"")</f>
        <v>U15</v>
      </c>
      <c r="B62" s="71">
        <v>15</v>
      </c>
      <c r="C62" s="77">
        <f t="shared" si="7"/>
        <v>-43</v>
      </c>
      <c r="D62" s="63">
        <f t="shared" si="3"/>
        <v>58</v>
      </c>
      <c r="E62" s="63">
        <v>8316</v>
      </c>
      <c r="F62" s="64" t="str">
        <f>IFERROR(VLOOKUP(Table7[[#This Row],[Player No]],Table11[[No]:[Province]],2,0),"")</f>
        <v xml:space="preserve">NJEMLA Olwethu  </v>
      </c>
      <c r="G62" s="65" t="str">
        <f>IFERROR(VLOOKUP(Table7[[#This Row],[Player No]],Table11[[No]:[Province]],3,0),"")</f>
        <v>ETK</v>
      </c>
      <c r="H62" s="66">
        <v>50</v>
      </c>
      <c r="I62" s="96">
        <v>25</v>
      </c>
      <c r="J62" s="789">
        <f>Table7[[#This Row],[Points 2025]]/2+SUM(Table7[[#This Row],[O1  ADMIN 2026]:[P2           WC         CT Open 2026]])</f>
        <v>12.5</v>
      </c>
      <c r="K62" s="196">
        <f t="shared" si="5"/>
        <v>0</v>
      </c>
      <c r="L62" s="63">
        <f t="shared" si="6"/>
        <v>0</v>
      </c>
      <c r="M62" s="708"/>
      <c r="N62" s="708" t="s">
        <v>6083</v>
      </c>
      <c r="O62" s="708" t="s">
        <v>6083</v>
      </c>
      <c r="P62" s="708"/>
      <c r="Q62" s="63"/>
      <c r="R62" s="63"/>
      <c r="S62" s="114"/>
      <c r="T62" s="114"/>
      <c r="U62" s="63"/>
      <c r="V62" s="114"/>
      <c r="W62" s="63"/>
      <c r="X62" s="636"/>
      <c r="Y62" s="114"/>
      <c r="Z62" s="63"/>
      <c r="AA62" s="63"/>
      <c r="AB62" s="63"/>
      <c r="AC62" s="400"/>
      <c r="AD62" s="63"/>
      <c r="AE62" s="63">
        <v>50</v>
      </c>
      <c r="AF62" s="63"/>
      <c r="AG62" s="63"/>
      <c r="AH62" s="63"/>
      <c r="AI62" s="63"/>
      <c r="AJ62" s="63"/>
      <c r="AK62" s="63"/>
      <c r="AL62" s="63"/>
      <c r="AM62" s="63"/>
      <c r="AN62" s="63"/>
    </row>
    <row r="63" spans="1:40" s="83" customFormat="1">
      <c r="A63" s="367"/>
      <c r="B63" s="362" t="e">
        <f>VLOOKUP(Table7[[#This Row],[Player No]],'[7]u15 girls'!$E$5:$F$68,2,0)</f>
        <v>#N/A</v>
      </c>
      <c r="C63" s="360" t="e">
        <f t="shared" si="7"/>
        <v>#N/A</v>
      </c>
      <c r="D63" s="63">
        <f t="shared" si="3"/>
        <v>59</v>
      </c>
      <c r="E63" s="355">
        <v>8326</v>
      </c>
      <c r="F63" s="368" t="str">
        <f>IFERROR(VLOOKUP(Table7[[#This Row],[Player No]],Table11[[No]:[Province]],2,0),"")</f>
        <v>CELE Anathi Yonenhle</v>
      </c>
      <c r="G63" s="369" t="str">
        <f>IFERROR(VLOOKUP(Table7[[#This Row],[Player No]],Table11[[No]:[Province]],3,0),"")</f>
        <v>ETK</v>
      </c>
      <c r="H63" s="370"/>
      <c r="I63" s="363">
        <v>25</v>
      </c>
      <c r="J63" s="831">
        <f>Table7[[#This Row],[Points 2025]]/2+SUM(Table7[[#This Row],[O1  ADMIN 2026]:[P2           WC         CT Open 2026]])</f>
        <v>12.5</v>
      </c>
      <c r="K63" s="371">
        <f t="shared" si="5"/>
        <v>0</v>
      </c>
      <c r="L63" s="63">
        <f t="shared" si="6"/>
        <v>0</v>
      </c>
      <c r="M63" s="708"/>
      <c r="N63" s="828" t="s">
        <v>6083</v>
      </c>
      <c r="O63" s="828" t="s">
        <v>6083</v>
      </c>
      <c r="P63" s="828"/>
      <c r="Q63" s="361"/>
      <c r="R63" s="361"/>
      <c r="S63" s="357"/>
      <c r="T63" s="357">
        <v>25</v>
      </c>
      <c r="U63" s="361"/>
      <c r="V63" s="357"/>
      <c r="W63" s="361"/>
      <c r="X63" s="639"/>
      <c r="Y63" s="357"/>
      <c r="Z63" s="361"/>
      <c r="AA63" s="361"/>
      <c r="AB63" s="361"/>
      <c r="AC63" s="406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</row>
    <row r="64" spans="1:40" s="83" customFormat="1">
      <c r="A64" s="72" t="str">
        <f>IFERROR(VLOOKUP(Table7[[#This Row],[Player No]],Table11[[#All],[No]:[Age Group]],4,0),"")</f>
        <v>U15</v>
      </c>
      <c r="B64" s="71"/>
      <c r="C64" s="77">
        <f t="shared" si="7"/>
        <v>-60</v>
      </c>
      <c r="D64" s="63">
        <f t="shared" si="3"/>
        <v>60</v>
      </c>
      <c r="E64" s="63">
        <v>8423</v>
      </c>
      <c r="F64" s="64" t="str">
        <f>IFERROR(VLOOKUP(Table7[[#This Row],[Player No]],Table11[[No]:[Province]],2,0),"")</f>
        <v>WAGH Aditi</v>
      </c>
      <c r="G64" s="65" t="str">
        <f>IFERROR(VLOOKUP(Table7[[#This Row],[Player No]],Table11[[No]:[Province]],3,0),"")</f>
        <v>GN</v>
      </c>
      <c r="H64" s="66">
        <v>50</v>
      </c>
      <c r="I64" s="96">
        <v>25</v>
      </c>
      <c r="J64" s="789">
        <f>Table7[[#This Row],[Points 2025]]/2+SUM(Table7[[#This Row],[O1  ADMIN 2026]:[P2           WC         CT Open 2026]])</f>
        <v>12.5</v>
      </c>
      <c r="K64" s="196">
        <f t="shared" si="5"/>
        <v>0</v>
      </c>
      <c r="L64" s="63">
        <f t="shared" si="6"/>
        <v>0</v>
      </c>
      <c r="M64" s="708"/>
      <c r="N64" s="708" t="s">
        <v>6083</v>
      </c>
      <c r="O64" s="708" t="s">
        <v>6083</v>
      </c>
      <c r="P64" s="708"/>
      <c r="Q64" s="63"/>
      <c r="R64" s="63"/>
      <c r="S64" s="114"/>
      <c r="T64" s="114"/>
      <c r="U64" s="63"/>
      <c r="V64" s="114"/>
      <c r="W64" s="63"/>
      <c r="X64" s="636"/>
      <c r="Y64" s="114"/>
      <c r="Z64" s="63"/>
      <c r="AA64" s="63"/>
      <c r="AB64" s="63"/>
      <c r="AC64" s="400"/>
      <c r="AD64" s="63"/>
      <c r="AE64" s="63"/>
      <c r="AF64" s="63"/>
      <c r="AG64" s="63"/>
      <c r="AH64" s="63"/>
      <c r="AI64" s="63">
        <v>25</v>
      </c>
      <c r="AJ64" s="63"/>
      <c r="AK64" s="63">
        <v>25</v>
      </c>
      <c r="AL64" s="63"/>
      <c r="AM64" s="63"/>
      <c r="AN64" s="63"/>
    </row>
    <row r="65" spans="1:40" s="83" customFormat="1">
      <c r="A65" s="140"/>
      <c r="B65" s="71"/>
      <c r="C65" s="77">
        <f t="shared" si="7"/>
        <v>-61</v>
      </c>
      <c r="D65" s="63">
        <f t="shared" si="3"/>
        <v>61</v>
      </c>
      <c r="E65" s="154">
        <v>8604</v>
      </c>
      <c r="F65" s="64" t="str">
        <f>IFERROR(VLOOKUP(Table7[[#This Row],[Player No]],Table11[[No]:[Province]],2,0),"")</f>
        <v xml:space="preserve">Thobeka Ntsolloane </v>
      </c>
      <c r="G65" s="65" t="str">
        <f>IFERROR(VLOOKUP(Table7[[#This Row],[Player No]],Table11[[No]:[Province]],3,0),"")</f>
        <v>FS</v>
      </c>
      <c r="H65" s="66">
        <v>0</v>
      </c>
      <c r="I65" s="96">
        <v>25</v>
      </c>
      <c r="J65" s="789">
        <f>Table7[[#This Row],[Points 2025]]/2+SUM(Table7[[#This Row],[O1  ADMIN 2026]:[P2           WC         CT Open 2026]])</f>
        <v>12.5</v>
      </c>
      <c r="K65" s="196">
        <f t="shared" si="5"/>
        <v>0</v>
      </c>
      <c r="L65" s="63">
        <f t="shared" si="6"/>
        <v>0</v>
      </c>
      <c r="M65" s="708"/>
      <c r="N65" s="708" t="s">
        <v>6083</v>
      </c>
      <c r="O65" s="708" t="s">
        <v>6083</v>
      </c>
      <c r="P65" s="708"/>
      <c r="Q65" s="63"/>
      <c r="R65" s="63"/>
      <c r="S65" s="114"/>
      <c r="T65" s="114"/>
      <c r="U65" s="63"/>
      <c r="V65" s="114"/>
      <c r="W65" s="63">
        <v>25</v>
      </c>
      <c r="X65" s="636">
        <v>0</v>
      </c>
      <c r="Y65" s="114"/>
      <c r="Z65" s="63"/>
      <c r="AA65" s="63"/>
      <c r="AB65" s="63"/>
      <c r="AC65" s="400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</row>
    <row r="66" spans="1:40" s="83" customFormat="1">
      <c r="A66" s="140"/>
      <c r="B66" s="71"/>
      <c r="C66" s="77">
        <f t="shared" si="7"/>
        <v>-62</v>
      </c>
      <c r="D66" s="63">
        <f t="shared" si="3"/>
        <v>62</v>
      </c>
      <c r="E66" s="154">
        <v>8605</v>
      </c>
      <c r="F66" s="280" t="str">
        <f>IFERROR(VLOOKUP(Table7[[#This Row],[Player No]],Table11[[No]:[Province]],2,0),"")</f>
        <v xml:space="preserve">L Mahlape </v>
      </c>
      <c r="G66" s="281" t="str">
        <f>IFERROR(VLOOKUP(Table7[[#This Row],[Player No]],Table11[[No]:[Province]],3,0),"")</f>
        <v>FS</v>
      </c>
      <c r="H66" s="66">
        <v>0</v>
      </c>
      <c r="I66" s="96">
        <v>25</v>
      </c>
      <c r="J66" s="789">
        <f>Table7[[#This Row],[Points 2025]]/2+SUM(Table7[[#This Row],[O1  ADMIN 2026]:[P2           WC         CT Open 2026]])</f>
        <v>12.5</v>
      </c>
      <c r="K66" s="196">
        <f t="shared" si="5"/>
        <v>0</v>
      </c>
      <c r="L66" s="63">
        <f t="shared" si="6"/>
        <v>0</v>
      </c>
      <c r="M66" s="708"/>
      <c r="N66" s="708" t="s">
        <v>6083</v>
      </c>
      <c r="O66" s="708" t="s">
        <v>6083</v>
      </c>
      <c r="P66" s="708"/>
      <c r="Q66" s="63"/>
      <c r="R66" s="63"/>
      <c r="S66" s="114"/>
      <c r="T66" s="114"/>
      <c r="U66" s="63"/>
      <c r="V66" s="114"/>
      <c r="W66" s="63">
        <v>25</v>
      </c>
      <c r="X66" s="636"/>
      <c r="Y66" s="114"/>
      <c r="Z66" s="63"/>
      <c r="AA66" s="63"/>
      <c r="AB66" s="63"/>
      <c r="AC66" s="400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</row>
    <row r="67" spans="1:40" s="83" customFormat="1">
      <c r="A67" s="178"/>
      <c r="B67" s="171"/>
      <c r="C67" s="168">
        <f t="shared" si="7"/>
        <v>-63</v>
      </c>
      <c r="D67" s="63">
        <f t="shared" si="3"/>
        <v>63</v>
      </c>
      <c r="E67" s="174">
        <v>8669</v>
      </c>
      <c r="F67" s="176" t="str">
        <f>IFERROR(VLOOKUP(Table7[[#This Row],[Player No]],Table11[[No]:[Province]],2,0),"")</f>
        <v>NKELE Boitlamo</v>
      </c>
      <c r="G67" s="177" t="str">
        <f>IFERROR(VLOOKUP(Table7[[#This Row],[Player No]],Table11[[No]:[Province]],3,0),"")</f>
        <v>BOT</v>
      </c>
      <c r="H67" s="170"/>
      <c r="I67" s="194">
        <v>25</v>
      </c>
      <c r="J67" s="821">
        <f>Table7[[#This Row],[Points 2025]]/2+SUM(Table7[[#This Row],[O1  ADMIN 2026]:[P2           WC         CT Open 2026]])</f>
        <v>12.5</v>
      </c>
      <c r="K67" s="196">
        <f t="shared" si="5"/>
        <v>0</v>
      </c>
      <c r="L67" s="63">
        <f t="shared" si="6"/>
        <v>0</v>
      </c>
      <c r="M67" s="708"/>
      <c r="N67" s="708" t="s">
        <v>6083</v>
      </c>
      <c r="O67" s="708" t="s">
        <v>6083</v>
      </c>
      <c r="P67" s="708"/>
      <c r="Q67" s="169"/>
      <c r="R67" s="169"/>
      <c r="S67" s="318"/>
      <c r="T67" s="318"/>
      <c r="U67" s="169"/>
      <c r="V67" s="318"/>
      <c r="W67" s="169"/>
      <c r="X67" s="638"/>
      <c r="Y67" s="318"/>
      <c r="Z67" s="169"/>
      <c r="AA67" s="169"/>
      <c r="AB67" s="169"/>
      <c r="AC67" s="402"/>
      <c r="AD67" s="169">
        <v>25</v>
      </c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</row>
    <row r="68" spans="1:40" s="83" customFormat="1">
      <c r="A68" s="178"/>
      <c r="B68" s="171"/>
      <c r="C68" s="168">
        <f t="shared" si="7"/>
        <v>-64</v>
      </c>
      <c r="D68" s="63">
        <f t="shared" si="3"/>
        <v>64</v>
      </c>
      <c r="E68" s="174">
        <v>8670</v>
      </c>
      <c r="F68" s="176" t="str">
        <f>IFERROR(VLOOKUP(Table7[[#This Row],[Player No]],Table11[[No]:[Province]],2,0),"")</f>
        <v xml:space="preserve"> DAVID Carol</v>
      </c>
      <c r="G68" s="177" t="str">
        <f>IFERROR(VLOOKUP(Table7[[#This Row],[Player No]],Table11[[No]:[Province]],3,0),"")</f>
        <v>BOT</v>
      </c>
      <c r="H68" s="170"/>
      <c r="I68" s="194">
        <v>25</v>
      </c>
      <c r="J68" s="821">
        <f>Table7[[#This Row],[Points 2025]]/2+SUM(Table7[[#This Row],[O1  ADMIN 2026]:[P2           WC         CT Open 2026]])</f>
        <v>12.5</v>
      </c>
      <c r="K68" s="196">
        <f t="shared" si="5"/>
        <v>0</v>
      </c>
      <c r="L68" s="63">
        <f t="shared" si="6"/>
        <v>0</v>
      </c>
      <c r="M68" s="708"/>
      <c r="N68" s="708" t="s">
        <v>6083</v>
      </c>
      <c r="O68" s="708" t="s">
        <v>6083</v>
      </c>
      <c r="P68" s="708"/>
      <c r="Q68" s="169"/>
      <c r="R68" s="169"/>
      <c r="S68" s="318"/>
      <c r="T68" s="318"/>
      <c r="U68" s="169"/>
      <c r="V68" s="318"/>
      <c r="W68" s="169"/>
      <c r="X68" s="638"/>
      <c r="Y68" s="318"/>
      <c r="Z68" s="169"/>
      <c r="AA68" s="169"/>
      <c r="AB68" s="169"/>
      <c r="AC68" s="402"/>
      <c r="AD68" s="169">
        <v>25</v>
      </c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</row>
    <row r="69" spans="1:40" s="83" customFormat="1">
      <c r="A69" s="715"/>
      <c r="B69" s="716" t="e">
        <f>VLOOKUP(Table7[[#This Row],[Player No]],'[7]u15 girls'!$E$5:$F$68,2,0)</f>
        <v>#N/A</v>
      </c>
      <c r="C69" s="618" t="e">
        <f t="shared" si="7"/>
        <v>#N/A</v>
      </c>
      <c r="D69" s="63">
        <f t="shared" si="3"/>
        <v>65</v>
      </c>
      <c r="E69" s="620">
        <v>7743</v>
      </c>
      <c r="F69" s="717" t="str">
        <f>IFERROR(VLOOKUP(Table7[[#This Row],[Player No]],Table11[[No]:[Province]],2,0),"")</f>
        <v>MOGALADI Briana</v>
      </c>
      <c r="G69" s="720" t="str">
        <f>IFERROR(VLOOKUP(Table7[[#This Row],[Player No]],Table11[[No]:[Province]],3,0),"")</f>
        <v>BOT</v>
      </c>
      <c r="H69" s="626"/>
      <c r="I69" s="644">
        <v>25</v>
      </c>
      <c r="J69" s="819">
        <f>Table7[[#This Row],[Points 2025]]/2+SUM(Table7[[#This Row],[O1  ADMIN 2026]:[P2           WC         CT Open 2026]])</f>
        <v>12.5</v>
      </c>
      <c r="K69" s="724">
        <f t="shared" ref="K69:K100" si="8">COUNTIF(M69:P69,"&gt;0")</f>
        <v>0</v>
      </c>
      <c r="L69" s="63">
        <f t="shared" ref="L69:L100" si="9">COUNTIF(N69:AN69,"&lt;0")</f>
        <v>0</v>
      </c>
      <c r="M69" s="708"/>
      <c r="N69" s="781" t="s">
        <v>6083</v>
      </c>
      <c r="O69" s="781" t="s">
        <v>6083</v>
      </c>
      <c r="P69" s="781"/>
      <c r="Q69" s="624"/>
      <c r="R69" s="624"/>
      <c r="S69" s="625"/>
      <c r="T69" s="625"/>
      <c r="U69" s="624"/>
      <c r="V69" s="625"/>
      <c r="W69" s="624"/>
      <c r="X69" s="677">
        <v>25</v>
      </c>
      <c r="Y69" s="625"/>
      <c r="Z69" s="624"/>
      <c r="AA69" s="624"/>
      <c r="AB69" s="624"/>
      <c r="AC69" s="611"/>
      <c r="AD69" s="624"/>
      <c r="AE69" s="624"/>
      <c r="AF69" s="624"/>
      <c r="AG69" s="624"/>
      <c r="AH69" s="624"/>
      <c r="AI69" s="624"/>
      <c r="AJ69" s="624"/>
      <c r="AK69" s="624"/>
      <c r="AL69" s="624"/>
      <c r="AM69" s="624"/>
      <c r="AN69" s="624"/>
    </row>
    <row r="70" spans="1:40" s="83" customFormat="1">
      <c r="A70" s="715"/>
      <c r="B70" s="716" t="e">
        <f>VLOOKUP(Table7[[#This Row],[Player No]],'[7]u15 girls'!$E$5:$F$68,2,0)</f>
        <v>#N/A</v>
      </c>
      <c r="C70" s="618" t="e">
        <f t="shared" si="7"/>
        <v>#N/A</v>
      </c>
      <c r="D70" s="63">
        <f t="shared" si="3"/>
        <v>66</v>
      </c>
      <c r="E70" s="620">
        <v>8162</v>
      </c>
      <c r="F70" s="717" t="str">
        <f>IFERROR(VLOOKUP(Table7[[#This Row],[Player No]],Table11[[No]:[Province]],2,0),"")</f>
        <v>MOHATLI Dipheta</v>
      </c>
      <c r="G70" s="720" t="str">
        <f>IFERROR(VLOOKUP(Table7[[#This Row],[Player No]],Table11[[No]:[Province]],3,0),"")</f>
        <v>LIM</v>
      </c>
      <c r="H70" s="626"/>
      <c r="I70" s="644">
        <v>25</v>
      </c>
      <c r="J70" s="819">
        <f>Table7[[#This Row],[Points 2025]]/2+SUM(Table7[[#This Row],[O1  ADMIN 2026]:[P2           WC         CT Open 2026]])</f>
        <v>12.5</v>
      </c>
      <c r="K70" s="724">
        <f t="shared" si="8"/>
        <v>0</v>
      </c>
      <c r="L70" s="63">
        <f t="shared" si="9"/>
        <v>0</v>
      </c>
      <c r="M70" s="708"/>
      <c r="N70" s="781" t="s">
        <v>6083</v>
      </c>
      <c r="O70" s="781" t="s">
        <v>6083</v>
      </c>
      <c r="P70" s="781"/>
      <c r="Q70" s="624"/>
      <c r="R70" s="624"/>
      <c r="S70" s="625"/>
      <c r="T70" s="625"/>
      <c r="U70" s="624"/>
      <c r="V70" s="625"/>
      <c r="W70" s="624"/>
      <c r="X70" s="677">
        <v>25</v>
      </c>
      <c r="Y70" s="625"/>
      <c r="Z70" s="624"/>
      <c r="AA70" s="624"/>
      <c r="AB70" s="624"/>
      <c r="AC70" s="611"/>
      <c r="AD70" s="624"/>
      <c r="AE70" s="624"/>
      <c r="AF70" s="624"/>
      <c r="AG70" s="624"/>
      <c r="AH70" s="624"/>
      <c r="AI70" s="624"/>
      <c r="AJ70" s="624"/>
      <c r="AK70" s="624"/>
      <c r="AL70" s="624"/>
      <c r="AM70" s="624"/>
      <c r="AN70" s="624"/>
    </row>
    <row r="71" spans="1:40" s="83" customFormat="1">
      <c r="A71" s="715"/>
      <c r="B71" s="716" t="e">
        <f>VLOOKUP(Table7[[#This Row],[Player No]],'[7]u15 girls'!$E$5:$F$68,2,0)</f>
        <v>#N/A</v>
      </c>
      <c r="C71" s="618" t="e">
        <f t="shared" si="7"/>
        <v>#N/A</v>
      </c>
      <c r="D71" s="63">
        <f t="shared" ref="D71:D134" si="10">+D70+1</f>
        <v>67</v>
      </c>
      <c r="E71" s="620">
        <v>8479</v>
      </c>
      <c r="F71" s="717" t="str">
        <f>IFERROR(VLOOKUP(Table7[[#This Row],[Player No]],Table11[[No]:[Province]],2,0),"")</f>
        <v>KRISTIN KATA</v>
      </c>
      <c r="G71" s="720" t="str">
        <f>IFERROR(VLOOKUP(Table7[[#This Row],[Player No]],Table11[[No]:[Province]],3,0),"")</f>
        <v>JTTA</v>
      </c>
      <c r="H71" s="626"/>
      <c r="I71" s="644">
        <v>25</v>
      </c>
      <c r="J71" s="819">
        <f>Table7[[#This Row],[Points 2025]]/2+SUM(Table7[[#This Row],[O1  ADMIN 2026]:[P2           WC         CT Open 2026]])</f>
        <v>12.5</v>
      </c>
      <c r="K71" s="724">
        <f t="shared" si="8"/>
        <v>0</v>
      </c>
      <c r="L71" s="63">
        <f t="shared" si="9"/>
        <v>0</v>
      </c>
      <c r="M71" s="708"/>
      <c r="N71" s="781" t="s">
        <v>6083</v>
      </c>
      <c r="O71" s="781" t="s">
        <v>6083</v>
      </c>
      <c r="P71" s="781"/>
      <c r="Q71" s="624"/>
      <c r="R71" s="624"/>
      <c r="S71" s="625"/>
      <c r="T71" s="625"/>
      <c r="U71" s="624"/>
      <c r="V71" s="625"/>
      <c r="W71" s="624"/>
      <c r="X71" s="677">
        <v>25</v>
      </c>
      <c r="Y71" s="625"/>
      <c r="Z71" s="624"/>
      <c r="AA71" s="624"/>
      <c r="AB71" s="624"/>
      <c r="AC71" s="611"/>
      <c r="AD71" s="624"/>
      <c r="AE71" s="624"/>
      <c r="AF71" s="624"/>
      <c r="AG71" s="624"/>
      <c r="AH71" s="624"/>
      <c r="AI71" s="624"/>
      <c r="AJ71" s="624"/>
      <c r="AK71" s="624"/>
      <c r="AL71" s="624"/>
      <c r="AM71" s="624"/>
      <c r="AN71" s="624"/>
    </row>
    <row r="72" spans="1:40" s="83" customFormat="1">
      <c r="A72" s="72" t="str">
        <f>IFERROR(VLOOKUP(Table7[[#This Row],[Player No]],Table11[[#All],[No]:[Age Group]],4,0),"")</f>
        <v>U15</v>
      </c>
      <c r="B72" s="71">
        <v>28</v>
      </c>
      <c r="C72" s="77">
        <f t="shared" si="7"/>
        <v>-40</v>
      </c>
      <c r="D72" s="63">
        <f t="shared" si="10"/>
        <v>68</v>
      </c>
      <c r="E72" s="63">
        <v>7740</v>
      </c>
      <c r="F72" s="64" t="str">
        <f>IFERROR(VLOOKUP(Table7[[#This Row],[Player No]],Table11[[No]:[Province]],2,0),"")</f>
        <v>SONDAY Ganaan</v>
      </c>
      <c r="G72" s="65" t="str">
        <f>IFERROR(VLOOKUP(Table7[[#This Row],[Player No]],Table11[[No]:[Province]],3,0),"")</f>
        <v>CT</v>
      </c>
      <c r="H72" s="66">
        <v>46.25</v>
      </c>
      <c r="I72" s="96">
        <v>23.125</v>
      </c>
      <c r="J72" s="789">
        <f>Table7[[#This Row],[Points 2025]]/2+SUM(Table7[[#This Row],[O1  ADMIN 2026]:[P2           WC         CT Open 2026]])</f>
        <v>11.5625</v>
      </c>
      <c r="K72" s="196">
        <f t="shared" si="8"/>
        <v>0</v>
      </c>
      <c r="L72" s="63">
        <f t="shared" si="9"/>
        <v>0</v>
      </c>
      <c r="M72" s="708"/>
      <c r="N72" s="708" t="s">
        <v>6083</v>
      </c>
      <c r="O72" s="708" t="s">
        <v>6083</v>
      </c>
      <c r="P72" s="708"/>
      <c r="Q72" s="63"/>
      <c r="R72" s="63"/>
      <c r="S72" s="114"/>
      <c r="T72" s="114"/>
      <c r="U72" s="63"/>
      <c r="V72" s="114"/>
      <c r="W72" s="63"/>
      <c r="X72" s="636"/>
      <c r="Y72" s="114"/>
      <c r="Z72" s="63"/>
      <c r="AA72" s="63"/>
      <c r="AB72" s="63"/>
      <c r="AC72" s="400"/>
      <c r="AD72" s="63"/>
      <c r="AE72" s="63"/>
      <c r="AF72" s="63"/>
      <c r="AG72" s="63">
        <v>15</v>
      </c>
      <c r="AH72" s="63"/>
      <c r="AI72" s="63">
        <v>5</v>
      </c>
      <c r="AJ72" s="63"/>
      <c r="AK72" s="63"/>
      <c r="AL72" s="63"/>
      <c r="AM72" s="63"/>
      <c r="AN72" s="63"/>
    </row>
    <row r="73" spans="1:40" s="83" customFormat="1">
      <c r="A73" s="72">
        <f>IFERROR(VLOOKUP(Table7[[#This Row],[Player No]],Table11[[#All],[No]:[Age Group]],4,0),"")</f>
        <v>0</v>
      </c>
      <c r="B73" s="71">
        <v>17</v>
      </c>
      <c r="C73" s="77">
        <f t="shared" si="7"/>
        <v>-52</v>
      </c>
      <c r="D73" s="63">
        <f t="shared" si="10"/>
        <v>69</v>
      </c>
      <c r="E73" s="63">
        <v>8112</v>
      </c>
      <c r="F73" s="64" t="str">
        <f>IFERROR(VLOOKUP(Table7[[#This Row],[Player No]],Table11[[No]:[Province]],2,0),"")</f>
        <v>NDLOVU Tshepiso</v>
      </c>
      <c r="G73" s="65" t="str">
        <f>IFERROR(VLOOKUP(Table7[[#This Row],[Player No]],Table11[[No]:[Province]],3,0),"")</f>
        <v>ETK</v>
      </c>
      <c r="H73" s="66">
        <v>40</v>
      </c>
      <c r="I73" s="96">
        <v>20</v>
      </c>
      <c r="J73" s="789">
        <f>Table7[[#This Row],[Points 2025]]/2+SUM(Table7[[#This Row],[O1  ADMIN 2026]:[P2           WC         CT Open 2026]])</f>
        <v>10</v>
      </c>
      <c r="K73" s="196">
        <f t="shared" si="8"/>
        <v>0</v>
      </c>
      <c r="L73" s="63">
        <f t="shared" si="9"/>
        <v>0</v>
      </c>
      <c r="M73" s="708"/>
      <c r="N73" s="708" t="s">
        <v>6083</v>
      </c>
      <c r="O73" s="708" t="s">
        <v>6083</v>
      </c>
      <c r="P73" s="708"/>
      <c r="Q73" s="63"/>
      <c r="R73" s="63"/>
      <c r="S73" s="114"/>
      <c r="T73" s="114"/>
      <c r="U73" s="63"/>
      <c r="V73" s="114"/>
      <c r="W73" s="63"/>
      <c r="X73" s="636"/>
      <c r="Y73" s="114"/>
      <c r="Z73" s="63"/>
      <c r="AA73" s="63"/>
      <c r="AB73" s="63"/>
      <c r="AC73" s="400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</row>
    <row r="74" spans="1:40" s="83" customFormat="1">
      <c r="A74" s="72">
        <f>IFERROR(VLOOKUP(Table7[[#This Row],[Player No]],Table11[[#All],[No]:[Age Group]],4,0),"")</f>
        <v>0</v>
      </c>
      <c r="B74" s="71">
        <v>43</v>
      </c>
      <c r="C74" s="77">
        <f t="shared" si="7"/>
        <v>-27</v>
      </c>
      <c r="D74" s="63">
        <f t="shared" si="10"/>
        <v>70</v>
      </c>
      <c r="E74" s="63">
        <v>8308</v>
      </c>
      <c r="F74" s="64" t="str">
        <f>IFERROR(VLOOKUP(Table7[[#This Row],[Player No]],Table11[[No]:[Province]],2,0),"")</f>
        <v>BULLEN Isabel</v>
      </c>
      <c r="G74" s="65" t="str">
        <f>IFERROR(VLOOKUP(Table7[[#This Row],[Player No]],Table11[[No]:[Province]],3,0),"")</f>
        <v>JTTA</v>
      </c>
      <c r="H74" s="66">
        <v>13</v>
      </c>
      <c r="I74" s="96">
        <v>20</v>
      </c>
      <c r="J74" s="789">
        <f>Table7[[#This Row],[Points 2025]]/2+SUM(Table7[[#This Row],[O1  ADMIN 2026]:[P2           WC         CT Open 2026]])</f>
        <v>10</v>
      </c>
      <c r="K74" s="196">
        <f t="shared" si="8"/>
        <v>0</v>
      </c>
      <c r="L74" s="63">
        <f t="shared" si="9"/>
        <v>0</v>
      </c>
      <c r="M74" s="708"/>
      <c r="N74" s="708" t="s">
        <v>6083</v>
      </c>
      <c r="O74" s="708" t="s">
        <v>6083</v>
      </c>
      <c r="P74" s="708"/>
      <c r="Q74" s="63"/>
      <c r="R74" s="63"/>
      <c r="S74" s="114"/>
      <c r="T74" s="114"/>
      <c r="U74" s="63"/>
      <c r="V74" s="114"/>
      <c r="W74" s="63"/>
      <c r="X74" s="636"/>
      <c r="Y74" s="114"/>
      <c r="Z74" s="63"/>
      <c r="AA74" s="63"/>
      <c r="AB74" s="63">
        <v>12.5</v>
      </c>
      <c r="AC74" s="400"/>
      <c r="AD74" s="63">
        <v>1</v>
      </c>
      <c r="AE74" s="63"/>
      <c r="AF74" s="63"/>
      <c r="AG74" s="63"/>
      <c r="AH74" s="63"/>
      <c r="AI74" s="63"/>
      <c r="AJ74" s="63"/>
      <c r="AK74" s="63"/>
      <c r="AL74" s="63"/>
      <c r="AM74" s="63"/>
      <c r="AN74" s="63">
        <f>25/2</f>
        <v>12.5</v>
      </c>
    </row>
    <row r="75" spans="1:40" s="83" customFormat="1">
      <c r="A75" s="72">
        <f>IFERROR(VLOOKUP(Table7[[#This Row],[Player No]],Table11[[#All],[No]:[Age Group]],4,0),"")</f>
        <v>0</v>
      </c>
      <c r="B75" s="71">
        <v>52</v>
      </c>
      <c r="C75" s="77">
        <f t="shared" si="7"/>
        <v>-19</v>
      </c>
      <c r="D75" s="63">
        <f t="shared" si="10"/>
        <v>71</v>
      </c>
      <c r="E75" s="63">
        <v>8075</v>
      </c>
      <c r="F75" s="64" t="str">
        <f>IFERROR(VLOOKUP(Table7[[#This Row],[Player No]],Table11[[No]:[Province]],2,0),"")</f>
        <v>JOHNSON Leandre'</v>
      </c>
      <c r="G75" s="65" t="str">
        <f>IFERROR(VLOOKUP(Table7[[#This Row],[Player No]],Table11[[No]:[Province]],3,0),"")</f>
        <v>CT</v>
      </c>
      <c r="H75" s="66">
        <v>37.5</v>
      </c>
      <c r="I75" s="96">
        <v>18.75</v>
      </c>
      <c r="J75" s="789">
        <f>Table7[[#This Row],[Points 2025]]/2+SUM(Table7[[#This Row],[O1  ADMIN 2026]:[P2           WC         CT Open 2026]])</f>
        <v>9.375</v>
      </c>
      <c r="K75" s="196">
        <f t="shared" si="8"/>
        <v>0</v>
      </c>
      <c r="L75" s="63">
        <f t="shared" si="9"/>
        <v>0</v>
      </c>
      <c r="M75" s="708"/>
      <c r="N75" s="708" t="s">
        <v>6083</v>
      </c>
      <c r="O75" s="708" t="s">
        <v>6083</v>
      </c>
      <c r="P75" s="708"/>
      <c r="Q75" s="63"/>
      <c r="R75" s="63"/>
      <c r="S75" s="114"/>
      <c r="T75" s="114"/>
      <c r="U75" s="63"/>
      <c r="V75" s="114"/>
      <c r="W75" s="63"/>
      <c r="X75" s="636"/>
      <c r="Y75" s="114"/>
      <c r="Z75" s="63"/>
      <c r="AA75" s="63"/>
      <c r="AB75" s="63"/>
      <c r="AC75" s="400"/>
      <c r="AD75" s="63"/>
      <c r="AE75" s="63"/>
      <c r="AF75" s="63"/>
      <c r="AG75" s="63">
        <v>25</v>
      </c>
      <c r="AH75" s="63"/>
      <c r="AI75" s="63"/>
      <c r="AJ75" s="63"/>
      <c r="AK75" s="63"/>
      <c r="AL75" s="63"/>
      <c r="AM75" s="63"/>
      <c r="AN75" s="63"/>
    </row>
    <row r="76" spans="1:40" s="83" customFormat="1">
      <c r="A76" s="72">
        <f>IFERROR(VLOOKUP(Table7[[#This Row],[Player No]],Table11[[#All],[No]:[Age Group]],4,0),"")</f>
        <v>0</v>
      </c>
      <c r="B76" s="71">
        <v>19</v>
      </c>
      <c r="C76" s="77">
        <f t="shared" si="7"/>
        <v>-53</v>
      </c>
      <c r="D76" s="63">
        <f t="shared" si="10"/>
        <v>72</v>
      </c>
      <c r="E76" s="63">
        <v>8293</v>
      </c>
      <c r="F76" s="64" t="str">
        <f>IFERROR(VLOOKUP(Table7[[#This Row],[Player No]],Table11[[No]:[Province]],2,0),"")</f>
        <v>KWEYEYE Indiphe</v>
      </c>
      <c r="G76" s="65" t="str">
        <f>IFERROR(VLOOKUP(Table7[[#This Row],[Player No]],Table11[[No]:[Province]],3,0),"")</f>
        <v>EC</v>
      </c>
      <c r="H76" s="66">
        <v>37.5</v>
      </c>
      <c r="I76" s="96">
        <v>18.75</v>
      </c>
      <c r="J76" s="789">
        <f>Table7[[#This Row],[Points 2025]]/2+SUM(Table7[[#This Row],[O1  ADMIN 2026]:[P2           WC         CT Open 2026]])</f>
        <v>9.375</v>
      </c>
      <c r="K76" s="196">
        <f t="shared" si="8"/>
        <v>0</v>
      </c>
      <c r="L76" s="63">
        <f t="shared" si="9"/>
        <v>0</v>
      </c>
      <c r="M76" s="708"/>
      <c r="N76" s="708" t="s">
        <v>6083</v>
      </c>
      <c r="O76" s="708" t="s">
        <v>6083</v>
      </c>
      <c r="P76" s="708"/>
      <c r="Q76" s="63"/>
      <c r="R76" s="63"/>
      <c r="S76" s="114"/>
      <c r="T76" s="114"/>
      <c r="U76" s="63"/>
      <c r="V76" s="114"/>
      <c r="W76" s="63"/>
      <c r="X76" s="636"/>
      <c r="Y76" s="114"/>
      <c r="Z76" s="63"/>
      <c r="AA76" s="63"/>
      <c r="AB76" s="63"/>
      <c r="AC76" s="400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</row>
    <row r="77" spans="1:40" s="83" customFormat="1">
      <c r="A77" s="72">
        <f>IFERROR(VLOOKUP(Table7[[#This Row],[Player No]],Table11[[#All],[No]:[Age Group]],4,0),"")</f>
        <v>0</v>
      </c>
      <c r="B77" s="71">
        <v>49</v>
      </c>
      <c r="C77" s="77">
        <f t="shared" si="7"/>
        <v>-24</v>
      </c>
      <c r="D77" s="63">
        <f t="shared" si="10"/>
        <v>73</v>
      </c>
      <c r="E77" s="63">
        <v>8299</v>
      </c>
      <c r="F77" s="64" t="str">
        <f>IFERROR(VLOOKUP(Table7[[#This Row],[Player No]],Table11[[No]:[Province]],2,0),"")</f>
        <v>NJEMLA Olwethu</v>
      </c>
      <c r="G77" s="65" t="str">
        <f>IFERROR(VLOOKUP(Table7[[#This Row],[Player No]],Table11[[No]:[Province]],3,0),"")</f>
        <v>ETK</v>
      </c>
      <c r="H77" s="66">
        <v>37.5</v>
      </c>
      <c r="I77" s="96">
        <v>18.75</v>
      </c>
      <c r="J77" s="789">
        <f>Table7[[#This Row],[Points 2025]]/2+SUM(Table7[[#This Row],[O1  ADMIN 2026]:[P2           WC         CT Open 2026]])</f>
        <v>9.375</v>
      </c>
      <c r="K77" s="196">
        <f t="shared" si="8"/>
        <v>0</v>
      </c>
      <c r="L77" s="63">
        <f t="shared" si="9"/>
        <v>0</v>
      </c>
      <c r="M77" s="708"/>
      <c r="N77" s="708" t="s">
        <v>6083</v>
      </c>
      <c r="O77" s="708" t="s">
        <v>6083</v>
      </c>
      <c r="P77" s="708"/>
      <c r="Q77" s="63"/>
      <c r="R77" s="63"/>
      <c r="S77" s="114"/>
      <c r="T77" s="114"/>
      <c r="U77" s="63"/>
      <c r="V77" s="114"/>
      <c r="W77" s="63"/>
      <c r="X77" s="636"/>
      <c r="Y77" s="114"/>
      <c r="Z77" s="63"/>
      <c r="AA77" s="63"/>
      <c r="AB77" s="63"/>
      <c r="AC77" s="400"/>
      <c r="AD77" s="63"/>
      <c r="AE77" s="63"/>
      <c r="AF77" s="63"/>
      <c r="AG77" s="63"/>
      <c r="AH77" s="63"/>
      <c r="AI77" s="63">
        <v>25</v>
      </c>
      <c r="AJ77" s="63"/>
      <c r="AK77" s="63"/>
      <c r="AL77" s="63"/>
      <c r="AM77" s="63"/>
      <c r="AN77" s="63"/>
    </row>
    <row r="78" spans="1:40" s="83" customFormat="1">
      <c r="A78" s="71"/>
      <c r="B78" s="71"/>
      <c r="C78" s="77">
        <f t="shared" si="7"/>
        <v>-74</v>
      </c>
      <c r="D78" s="63">
        <f t="shared" si="10"/>
        <v>74</v>
      </c>
      <c r="E78" s="63">
        <v>8411</v>
      </c>
      <c r="F78" s="64" t="str">
        <f>IFERROR(VLOOKUP(Table7[[#This Row],[Player No]],Table11[[No]:[Province]],2,0),"")</f>
        <v>NDAKANA Naledi</v>
      </c>
      <c r="G78" s="65" t="str">
        <f>IFERROR(VLOOKUP(Table7[[#This Row],[Player No]],Table11[[No]:[Province]],3,0),"")</f>
        <v>EKU</v>
      </c>
      <c r="H78" s="66">
        <v>10</v>
      </c>
      <c r="I78" s="96">
        <v>17.5</v>
      </c>
      <c r="J78" s="789">
        <f>Table7[[#This Row],[Points 2025]]/2+SUM(Table7[[#This Row],[O1  ADMIN 2026]:[P2           WC         CT Open 2026]])</f>
        <v>8.75</v>
      </c>
      <c r="K78" s="196">
        <f t="shared" si="8"/>
        <v>0</v>
      </c>
      <c r="L78" s="63">
        <f t="shared" si="9"/>
        <v>0</v>
      </c>
      <c r="M78" s="708"/>
      <c r="N78" s="708" t="s">
        <v>6083</v>
      </c>
      <c r="O78" s="708" t="s">
        <v>6083</v>
      </c>
      <c r="P78" s="708"/>
      <c r="Q78" s="63"/>
      <c r="R78" s="63"/>
      <c r="S78" s="114"/>
      <c r="T78" s="114"/>
      <c r="U78" s="63"/>
      <c r="V78" s="114"/>
      <c r="W78" s="63"/>
      <c r="X78" s="636"/>
      <c r="Y78" s="114"/>
      <c r="Z78" s="63"/>
      <c r="AA78" s="63">
        <v>12.5</v>
      </c>
      <c r="AB78" s="63"/>
      <c r="AC78" s="400"/>
      <c r="AD78" s="63"/>
      <c r="AE78" s="63"/>
      <c r="AF78" s="63"/>
      <c r="AG78" s="63"/>
      <c r="AH78" s="63"/>
      <c r="AI78" s="63">
        <v>10</v>
      </c>
      <c r="AJ78" s="63"/>
      <c r="AK78" s="63"/>
      <c r="AL78" s="63"/>
      <c r="AM78" s="63"/>
      <c r="AN78" s="63"/>
    </row>
    <row r="79" spans="1:40" s="83" customFormat="1">
      <c r="A79" s="140"/>
      <c r="B79" s="71"/>
      <c r="C79" s="77">
        <f t="shared" si="7"/>
        <v>-75</v>
      </c>
      <c r="D79" s="63">
        <f t="shared" si="10"/>
        <v>75</v>
      </c>
      <c r="E79" s="154">
        <v>8700</v>
      </c>
      <c r="F79" s="280" t="str">
        <f>IFERROR(VLOOKUP(Table7[[#This Row],[Player No]],Table11[[No]:[Province]],2,0),"")</f>
        <v>Reabetswe MORUDU</v>
      </c>
      <c r="G79" s="281" t="str">
        <f>IFERROR(VLOOKUP(Table7[[#This Row],[Player No]],Table11[[No]:[Province]],3,0),"")</f>
        <v>EKU</v>
      </c>
      <c r="H79" s="66"/>
      <c r="I79" s="96">
        <v>17.5</v>
      </c>
      <c r="J79" s="789">
        <f>Table7[[#This Row],[Points 2025]]/2+SUM(Table7[[#This Row],[O1  ADMIN 2026]:[P2           WC         CT Open 2026]])</f>
        <v>8.75</v>
      </c>
      <c r="K79" s="300">
        <f t="shared" si="8"/>
        <v>0</v>
      </c>
      <c r="L79" s="63">
        <f t="shared" si="9"/>
        <v>0</v>
      </c>
      <c r="M79" s="708"/>
      <c r="N79" s="827" t="s">
        <v>6083</v>
      </c>
      <c r="O79" s="827" t="s">
        <v>6083</v>
      </c>
      <c r="P79" s="827"/>
      <c r="Q79" s="63"/>
      <c r="R79" s="63"/>
      <c r="S79" s="114"/>
      <c r="T79" s="114"/>
      <c r="U79" s="63"/>
      <c r="V79" s="114"/>
      <c r="W79" s="63"/>
      <c r="X79" s="636">
        <v>5</v>
      </c>
      <c r="Y79" s="114"/>
      <c r="Z79" s="63"/>
      <c r="AA79" s="63">
        <v>12.5</v>
      </c>
      <c r="AB79" s="63"/>
      <c r="AC79" s="400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</row>
    <row r="80" spans="1:40" s="83" customFormat="1">
      <c r="A80" s="72">
        <f>IFERROR(VLOOKUP(Table7[[#This Row],[Player No]],Table11[[#All],[No]:[Age Group]],4,0),"")</f>
        <v>0</v>
      </c>
      <c r="B80" s="71">
        <v>23</v>
      </c>
      <c r="C80" s="77">
        <f t="shared" si="7"/>
        <v>-53</v>
      </c>
      <c r="D80" s="63">
        <f t="shared" si="10"/>
        <v>76</v>
      </c>
      <c r="E80" s="63">
        <v>7788</v>
      </c>
      <c r="F80" s="64" t="str">
        <f>IFERROR(VLOOKUP(Table7[[#This Row],[Player No]],Table11[[No]:[Province]],2,0),"")</f>
        <v>MOHATLI Chrestina</v>
      </c>
      <c r="G80" s="65" t="str">
        <f>IFERROR(VLOOKUP(Table7[[#This Row],[Player No]],Table11[[No]:[Province]],3,0),"")</f>
        <v>LIM</v>
      </c>
      <c r="H80" s="66">
        <v>31.25</v>
      </c>
      <c r="I80" s="96">
        <v>15.625</v>
      </c>
      <c r="J80" s="789">
        <f>Table7[[#This Row],[Points 2025]]/2+SUM(Table7[[#This Row],[O1  ADMIN 2026]:[P2           WC         CT Open 2026]])</f>
        <v>7.8125</v>
      </c>
      <c r="K80" s="196">
        <f t="shared" si="8"/>
        <v>0</v>
      </c>
      <c r="L80" s="63">
        <f t="shared" si="9"/>
        <v>0</v>
      </c>
      <c r="M80" s="708"/>
      <c r="N80" s="708" t="s">
        <v>6083</v>
      </c>
      <c r="O80" s="708" t="s">
        <v>6083</v>
      </c>
      <c r="P80" s="708"/>
      <c r="Q80" s="63"/>
      <c r="R80" s="63"/>
      <c r="S80" s="114"/>
      <c r="T80" s="114"/>
      <c r="U80" s="63"/>
      <c r="V80" s="114"/>
      <c r="W80" s="63"/>
      <c r="X80" s="636"/>
      <c r="Y80" s="114"/>
      <c r="Z80" s="63"/>
      <c r="AA80" s="63"/>
      <c r="AB80" s="63"/>
      <c r="AC80" s="400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</row>
    <row r="81" spans="1:40" s="83" customFormat="1">
      <c r="A81" s="72">
        <f>IFERROR(VLOOKUP(Table7[[#This Row],[Player No]],Table11[[#All],[No]:[Age Group]],4,0),"")</f>
        <v>0</v>
      </c>
      <c r="B81" s="71">
        <v>30</v>
      </c>
      <c r="C81" s="77">
        <f t="shared" si="7"/>
        <v>-47</v>
      </c>
      <c r="D81" s="63">
        <f t="shared" si="10"/>
        <v>77</v>
      </c>
      <c r="E81" s="63">
        <v>8153</v>
      </c>
      <c r="F81" s="64" t="str">
        <f>IFERROR(VLOOKUP(Table7[[#This Row],[Player No]],Table11[[No]:[Province]],2,0),"")</f>
        <v>MKOLWANA Elihle</v>
      </c>
      <c r="G81" s="65" t="str">
        <f>IFERROR(VLOOKUP(Table7[[#This Row],[Player No]],Table11[[No]:[Province]],3,0),"")</f>
        <v>EC</v>
      </c>
      <c r="H81" s="66">
        <v>30</v>
      </c>
      <c r="I81" s="96">
        <v>15</v>
      </c>
      <c r="J81" s="789">
        <f>Table7[[#This Row],[Points 2025]]/2+SUM(Table7[[#This Row],[O1  ADMIN 2026]:[P2           WC         CT Open 2026]])</f>
        <v>7.5</v>
      </c>
      <c r="K81" s="196">
        <f t="shared" si="8"/>
        <v>0</v>
      </c>
      <c r="L81" s="63">
        <f t="shared" si="9"/>
        <v>0</v>
      </c>
      <c r="M81" s="708"/>
      <c r="N81" s="708" t="s">
        <v>6083</v>
      </c>
      <c r="O81" s="708" t="s">
        <v>6083</v>
      </c>
      <c r="P81" s="708"/>
      <c r="Q81" s="63"/>
      <c r="R81" s="63"/>
      <c r="S81" s="114"/>
      <c r="T81" s="114"/>
      <c r="U81" s="63"/>
      <c r="V81" s="114"/>
      <c r="W81" s="63"/>
      <c r="X81" s="636"/>
      <c r="Y81" s="114"/>
      <c r="Z81" s="63"/>
      <c r="AA81" s="63"/>
      <c r="AB81" s="63"/>
      <c r="AC81" s="400"/>
      <c r="AD81" s="63"/>
      <c r="AE81" s="63"/>
      <c r="AF81" s="63"/>
      <c r="AG81" s="63"/>
      <c r="AH81" s="63"/>
      <c r="AI81" s="63">
        <v>5</v>
      </c>
      <c r="AJ81" s="63"/>
      <c r="AK81" s="63"/>
      <c r="AL81" s="63"/>
      <c r="AM81" s="63"/>
      <c r="AN81" s="63"/>
    </row>
    <row r="82" spans="1:40" s="83" customFormat="1">
      <c r="A82" s="367"/>
      <c r="B82" s="362" t="e">
        <f>VLOOKUP(Table7[[#This Row],[Player No]],'[7]u15 girls'!$E$5:$F$68,2,0)</f>
        <v>#N/A</v>
      </c>
      <c r="C82" s="360" t="e">
        <f t="shared" si="7"/>
        <v>#N/A</v>
      </c>
      <c r="D82" s="63">
        <f t="shared" si="10"/>
        <v>78</v>
      </c>
      <c r="E82" s="355">
        <v>8325</v>
      </c>
      <c r="F82" s="368" t="str">
        <f>IFERROR(VLOOKUP(Table7[[#This Row],[Player No]],Table11[[No]:[Province]],2,0),"")</f>
        <v>VILAKAZI Asanda Snothile</v>
      </c>
      <c r="G82" s="369" t="str">
        <f>IFERROR(VLOOKUP(Table7[[#This Row],[Player No]],Table11[[No]:[Province]],3,0),"")</f>
        <v>ETK</v>
      </c>
      <c r="H82" s="370"/>
      <c r="I82" s="363">
        <v>15</v>
      </c>
      <c r="J82" s="831">
        <f>Table7[[#This Row],[Points 2025]]/2+SUM(Table7[[#This Row],[O1  ADMIN 2026]:[P2           WC         CT Open 2026]])</f>
        <v>7.5</v>
      </c>
      <c r="K82" s="371">
        <f t="shared" si="8"/>
        <v>0</v>
      </c>
      <c r="L82" s="63">
        <f t="shared" si="9"/>
        <v>0</v>
      </c>
      <c r="M82" s="708"/>
      <c r="N82" s="828" t="s">
        <v>6083</v>
      </c>
      <c r="O82" s="828" t="s">
        <v>6083</v>
      </c>
      <c r="P82" s="828"/>
      <c r="Q82" s="361"/>
      <c r="R82" s="361"/>
      <c r="S82" s="357"/>
      <c r="T82" s="357">
        <v>15</v>
      </c>
      <c r="U82" s="361"/>
      <c r="V82" s="357"/>
      <c r="W82" s="361"/>
      <c r="X82" s="639"/>
      <c r="Y82" s="357"/>
      <c r="Z82" s="361"/>
      <c r="AA82" s="361"/>
      <c r="AB82" s="361"/>
      <c r="AC82" s="406"/>
      <c r="AD82" s="361"/>
      <c r="AE82" s="361"/>
      <c r="AF82" s="361"/>
      <c r="AG82" s="361"/>
      <c r="AH82" s="361"/>
      <c r="AI82" s="361"/>
      <c r="AJ82" s="361"/>
      <c r="AK82" s="361"/>
      <c r="AL82" s="361"/>
      <c r="AM82" s="361"/>
      <c r="AN82" s="361"/>
    </row>
    <row r="83" spans="1:40" s="83" customFormat="1">
      <c r="A83" s="72" t="str">
        <f>IFERROR(VLOOKUP(Table7[[#This Row],[Player No]],Table11[[#All],[No]:[Age Group]],4,0),"")</f>
        <v>U15</v>
      </c>
      <c r="B83" s="71"/>
      <c r="C83" s="77">
        <f t="shared" si="7"/>
        <v>-79</v>
      </c>
      <c r="D83" s="63">
        <f t="shared" si="10"/>
        <v>79</v>
      </c>
      <c r="E83" s="63">
        <v>8406</v>
      </c>
      <c r="F83" s="64" t="str">
        <f>IFERROR(VLOOKUP(Table7[[#This Row],[Player No]],Table11[[No]:[Province]],2,0),"")</f>
        <v>SIBANDA Sinenhlanhla</v>
      </c>
      <c r="G83" s="65" t="str">
        <f>IFERROR(VLOOKUP(Table7[[#This Row],[Player No]],Table11[[No]:[Province]],3,0),"")</f>
        <v>EKU</v>
      </c>
      <c r="H83" s="66">
        <v>30</v>
      </c>
      <c r="I83" s="96">
        <v>15</v>
      </c>
      <c r="J83" s="789">
        <f>Table7[[#This Row],[Points 2025]]/2+SUM(Table7[[#This Row],[O1  ADMIN 2026]:[P2           WC         CT Open 2026]])</f>
        <v>7.5</v>
      </c>
      <c r="K83" s="196">
        <f t="shared" si="8"/>
        <v>0</v>
      </c>
      <c r="L83" s="63">
        <f t="shared" si="9"/>
        <v>0</v>
      </c>
      <c r="M83" s="708"/>
      <c r="N83" s="708" t="s">
        <v>6083</v>
      </c>
      <c r="O83" s="708" t="s">
        <v>6083</v>
      </c>
      <c r="P83" s="708"/>
      <c r="Q83" s="63"/>
      <c r="R83" s="63"/>
      <c r="S83" s="114"/>
      <c r="T83" s="114"/>
      <c r="U83" s="63"/>
      <c r="V83" s="114"/>
      <c r="W83" s="63"/>
      <c r="X83" s="636"/>
      <c r="Y83" s="114"/>
      <c r="Z83" s="63"/>
      <c r="AA83" s="63"/>
      <c r="AB83" s="63"/>
      <c r="AC83" s="400"/>
      <c r="AD83" s="63"/>
      <c r="AE83" s="63"/>
      <c r="AF83" s="63"/>
      <c r="AG83" s="63"/>
      <c r="AH83" s="63"/>
      <c r="AI83" s="63">
        <v>5</v>
      </c>
      <c r="AJ83" s="63"/>
      <c r="AK83" s="63"/>
      <c r="AL83" s="63">
        <v>25</v>
      </c>
      <c r="AM83" s="63"/>
      <c r="AN83" s="63"/>
    </row>
    <row r="84" spans="1:40" s="83" customFormat="1">
      <c r="A84" s="72" t="str">
        <f>IFERROR(VLOOKUP(Table7[[#This Row],[Player No]],Table11[[#All],[No]:[Age Group]],4,0),"")</f>
        <v>U15</v>
      </c>
      <c r="B84" s="71"/>
      <c r="C84" s="77">
        <f t="shared" si="7"/>
        <v>-80</v>
      </c>
      <c r="D84" s="63">
        <f t="shared" si="10"/>
        <v>80</v>
      </c>
      <c r="E84" s="63">
        <v>8409</v>
      </c>
      <c r="F84" s="64" t="str">
        <f>IFERROR(VLOOKUP(Table7[[#This Row],[Player No]],Table11[[No]:[Province]],2,0),"")</f>
        <v>XABA Melokuhle</v>
      </c>
      <c r="G84" s="65" t="str">
        <f>IFERROR(VLOOKUP(Table7[[#This Row],[Player No]],Table11[[No]:[Province]],3,0),"")</f>
        <v>EKU</v>
      </c>
      <c r="H84" s="66">
        <v>30</v>
      </c>
      <c r="I84" s="96">
        <v>15</v>
      </c>
      <c r="J84" s="789">
        <f>Table7[[#This Row],[Points 2025]]/2+SUM(Table7[[#This Row],[O1  ADMIN 2026]:[P2           WC         CT Open 2026]])</f>
        <v>7.5</v>
      </c>
      <c r="K84" s="196">
        <f t="shared" si="8"/>
        <v>0</v>
      </c>
      <c r="L84" s="63">
        <f t="shared" si="9"/>
        <v>0</v>
      </c>
      <c r="M84" s="708"/>
      <c r="N84" s="708" t="s">
        <v>6083</v>
      </c>
      <c r="O84" s="708" t="s">
        <v>6083</v>
      </c>
      <c r="P84" s="708"/>
      <c r="Q84" s="63"/>
      <c r="R84" s="63"/>
      <c r="S84" s="114"/>
      <c r="T84" s="114"/>
      <c r="U84" s="63"/>
      <c r="V84" s="114"/>
      <c r="W84" s="63"/>
      <c r="X84" s="636">
        <v>0</v>
      </c>
      <c r="Y84" s="114"/>
      <c r="Z84" s="63"/>
      <c r="AA84" s="63">
        <v>0</v>
      </c>
      <c r="AB84" s="63"/>
      <c r="AC84" s="400"/>
      <c r="AD84" s="63"/>
      <c r="AE84" s="63"/>
      <c r="AF84" s="63"/>
      <c r="AG84" s="63"/>
      <c r="AH84" s="63"/>
      <c r="AI84" s="63">
        <v>5</v>
      </c>
      <c r="AJ84" s="63"/>
      <c r="AK84" s="63"/>
      <c r="AL84" s="63">
        <v>25</v>
      </c>
      <c r="AM84" s="63"/>
      <c r="AN84" s="63"/>
    </row>
    <row r="85" spans="1:40" s="83" customFormat="1">
      <c r="A85" s="367"/>
      <c r="B85" s="362" t="e">
        <f>VLOOKUP(Table7[[#This Row],[Player No]],'[7]u15 girls'!$E$5:$F$68,2,0)</f>
        <v>#N/A</v>
      </c>
      <c r="C85" s="360" t="e">
        <f t="shared" si="7"/>
        <v>#N/A</v>
      </c>
      <c r="D85" s="63">
        <f t="shared" si="10"/>
        <v>81</v>
      </c>
      <c r="E85" s="355">
        <v>8633</v>
      </c>
      <c r="F85" s="368" t="str">
        <f>IFERROR(VLOOKUP(Table7[[#This Row],[Player No]],Table11[[No]:[Province]],2,0),"")</f>
        <v>GOVENDER  Diara</v>
      </c>
      <c r="G85" s="369" t="str">
        <f>IFERROR(VLOOKUP(Table7[[#This Row],[Player No]],Table11[[No]:[Province]],3,0),"")</f>
        <v>ETTA</v>
      </c>
      <c r="H85" s="370"/>
      <c r="I85" s="363">
        <v>15</v>
      </c>
      <c r="J85" s="831">
        <f>Table7[[#This Row],[Points 2025]]/2+SUM(Table7[[#This Row],[O1  ADMIN 2026]:[P2           WC         CT Open 2026]])</f>
        <v>7.5</v>
      </c>
      <c r="K85" s="371">
        <f t="shared" si="8"/>
        <v>0</v>
      </c>
      <c r="L85" s="63">
        <f t="shared" si="9"/>
        <v>0</v>
      </c>
      <c r="M85" s="708"/>
      <c r="N85" s="828" t="s">
        <v>6083</v>
      </c>
      <c r="O85" s="828" t="s">
        <v>6083</v>
      </c>
      <c r="P85" s="828"/>
      <c r="Q85" s="361"/>
      <c r="R85" s="361"/>
      <c r="S85" s="357"/>
      <c r="T85" s="357">
        <v>15</v>
      </c>
      <c r="U85" s="361"/>
      <c r="V85" s="357"/>
      <c r="W85" s="361"/>
      <c r="X85" s="639"/>
      <c r="Y85" s="357"/>
      <c r="Z85" s="361"/>
      <c r="AA85" s="361"/>
      <c r="AB85" s="361"/>
      <c r="AC85" s="406"/>
      <c r="AD85" s="361"/>
      <c r="AE85" s="361"/>
      <c r="AF85" s="361"/>
      <c r="AG85" s="361"/>
      <c r="AH85" s="361"/>
      <c r="AI85" s="361"/>
      <c r="AJ85" s="361"/>
      <c r="AK85" s="361"/>
      <c r="AL85" s="361"/>
      <c r="AM85" s="361"/>
      <c r="AN85" s="361"/>
    </row>
    <row r="86" spans="1:40" s="83" customFormat="1">
      <c r="A86" s="72">
        <f>IFERROR(VLOOKUP(Table7[[#This Row],[Player No]],Table11[[#All],[No]:[Age Group]],4,0),"")</f>
        <v>0</v>
      </c>
      <c r="B86" s="71">
        <v>24</v>
      </c>
      <c r="C86" s="77">
        <f t="shared" si="7"/>
        <v>-58</v>
      </c>
      <c r="D86" s="63">
        <f t="shared" si="10"/>
        <v>82</v>
      </c>
      <c r="E86" s="63">
        <v>7259</v>
      </c>
      <c r="F86" s="64" t="str">
        <f>IFERROR(VLOOKUP(Table7[[#This Row],[Player No]],Table11[[No]:[Province]],2,0),"")</f>
        <v>CARRASCO Ceira</v>
      </c>
      <c r="G86" s="65" t="str">
        <f>IFERROR(VLOOKUP(Table7[[#This Row],[Player No]],Table11[[No]:[Province]],3,0),"")</f>
        <v>FS</v>
      </c>
      <c r="H86" s="66">
        <v>28.75</v>
      </c>
      <c r="I86" s="96">
        <v>14.375</v>
      </c>
      <c r="J86" s="789">
        <f>Table7[[#This Row],[Points 2025]]/2+SUM(Table7[[#This Row],[O1  ADMIN 2026]:[P2           WC         CT Open 2026]])</f>
        <v>7.1875</v>
      </c>
      <c r="K86" s="196">
        <f t="shared" si="8"/>
        <v>0</v>
      </c>
      <c r="L86" s="63">
        <f t="shared" si="9"/>
        <v>0</v>
      </c>
      <c r="M86" s="708"/>
      <c r="N86" s="708" t="s">
        <v>6083</v>
      </c>
      <c r="O86" s="708" t="s">
        <v>6083</v>
      </c>
      <c r="P86" s="708"/>
      <c r="Q86" s="63"/>
      <c r="R86" s="63"/>
      <c r="S86" s="114"/>
      <c r="T86" s="114"/>
      <c r="U86" s="63"/>
      <c r="V86" s="114"/>
      <c r="W86" s="63"/>
      <c r="X86" s="636"/>
      <c r="Y86" s="114"/>
      <c r="Z86" s="63"/>
      <c r="AA86" s="63"/>
      <c r="AB86" s="63"/>
      <c r="AC86" s="400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</row>
    <row r="87" spans="1:40" s="83" customFormat="1">
      <c r="A87" s="631"/>
      <c r="B87" s="632"/>
      <c r="C87" s="203">
        <f t="shared" si="7"/>
        <v>-83</v>
      </c>
      <c r="D87" s="63">
        <f t="shared" si="10"/>
        <v>83</v>
      </c>
      <c r="E87" s="204">
        <v>8335</v>
      </c>
      <c r="F87" s="205" t="str">
        <f>IFERROR(VLOOKUP(Table7[[#This Row],[Player No]],Table11[[No]:[Province]],2,0),"")</f>
        <v>CELE Ziyanda Favour</v>
      </c>
      <c r="G87" s="282" t="str">
        <f>IFERROR(VLOOKUP(Table7[[#This Row],[Player No]],Table11[[No]:[Province]],3,0),"")</f>
        <v>ETK</v>
      </c>
      <c r="H87" s="206"/>
      <c r="I87" s="207">
        <v>12</v>
      </c>
      <c r="J87" s="818">
        <f>Table7[[#This Row],[Points 2025]]/2+SUM(Table7[[#This Row],[O1  ADMIN 2026]:[P2           WC         CT Open 2026]])</f>
        <v>7</v>
      </c>
      <c r="K87" s="210">
        <f t="shared" si="8"/>
        <v>1</v>
      </c>
      <c r="L87" s="63">
        <f t="shared" si="9"/>
        <v>0</v>
      </c>
      <c r="M87" s="708"/>
      <c r="N87" s="708">
        <v>1</v>
      </c>
      <c r="O87" s="708" t="s">
        <v>6083</v>
      </c>
      <c r="P87" s="708"/>
      <c r="Q87" s="208">
        <v>2</v>
      </c>
      <c r="R87" s="208"/>
      <c r="S87" s="320"/>
      <c r="T87" s="320"/>
      <c r="U87" s="208"/>
      <c r="V87" s="320"/>
      <c r="W87" s="208"/>
      <c r="X87" s="640">
        <v>10</v>
      </c>
      <c r="Y87" s="320"/>
      <c r="Z87" s="208"/>
      <c r="AA87" s="208"/>
      <c r="AB87" s="208"/>
      <c r="AC87" s="407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</row>
    <row r="88" spans="1:40" s="83" customFormat="1">
      <c r="A88" s="140"/>
      <c r="B88" s="71"/>
      <c r="C88" s="77">
        <f t="shared" si="7"/>
        <v>-84</v>
      </c>
      <c r="D88" s="63">
        <f t="shared" si="10"/>
        <v>84</v>
      </c>
      <c r="E88" s="154">
        <v>8569</v>
      </c>
      <c r="F88" s="64" t="str">
        <f>IFERROR(VLOOKUP(Table7[[#This Row],[Player No]],Table11[[No]:[Province]],2,0),"")</f>
        <v xml:space="preserve">NAIDOO Shreya </v>
      </c>
      <c r="G88" s="65" t="str">
        <f>IFERROR(VLOOKUP(Table7[[#This Row],[Player No]],Table11[[No]:[Province]],3,0),"")</f>
        <v>UMG</v>
      </c>
      <c r="H88" s="66">
        <v>0</v>
      </c>
      <c r="I88" s="96">
        <v>10</v>
      </c>
      <c r="J88" s="789">
        <f>Table7[[#This Row],[Points 2025]]/2+SUM(Table7[[#This Row],[O1  ADMIN 2026]:[P2           WC         CT Open 2026]])</f>
        <v>7</v>
      </c>
      <c r="K88" s="196">
        <f t="shared" si="8"/>
        <v>2</v>
      </c>
      <c r="L88" s="63">
        <f t="shared" si="9"/>
        <v>0</v>
      </c>
      <c r="M88" s="708"/>
      <c r="N88" s="708">
        <v>1</v>
      </c>
      <c r="O88" s="708">
        <v>1</v>
      </c>
      <c r="P88" s="708"/>
      <c r="Q88" s="63">
        <v>2</v>
      </c>
      <c r="R88" s="63">
        <v>1</v>
      </c>
      <c r="S88" s="114"/>
      <c r="T88" s="114">
        <v>1</v>
      </c>
      <c r="U88" s="63">
        <v>1</v>
      </c>
      <c r="V88" s="114"/>
      <c r="W88" s="63"/>
      <c r="X88" s="636">
        <v>5</v>
      </c>
      <c r="Y88" s="114"/>
      <c r="Z88" s="63"/>
      <c r="AA88" s="63"/>
      <c r="AB88" s="63"/>
      <c r="AC88" s="400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</row>
    <row r="89" spans="1:40" s="83" customFormat="1">
      <c r="A89" s="72" t="str">
        <f>IFERROR(VLOOKUP(Table7[[#This Row],[Player No]],Table11[[#All],[No]:[Age Group]],4,0),"")</f>
        <v>U15</v>
      </c>
      <c r="B89" s="71">
        <v>91</v>
      </c>
      <c r="C89" s="77">
        <f t="shared" si="7"/>
        <v>6</v>
      </c>
      <c r="D89" s="63">
        <f t="shared" si="10"/>
        <v>85</v>
      </c>
      <c r="E89" s="63">
        <v>8239</v>
      </c>
      <c r="F89" s="64" t="str">
        <f>IFERROR(VLOOKUP(Table7[[#This Row],[Player No]],Table11[[No]:[Province]],2,0),"")</f>
        <v>PEDRO Irisha</v>
      </c>
      <c r="G89" s="65" t="str">
        <f>IFERROR(VLOOKUP(Table7[[#This Row],[Player No]],Table11[[No]:[Province]],3,0),"")</f>
        <v>Eden</v>
      </c>
      <c r="H89" s="66">
        <v>7</v>
      </c>
      <c r="I89" s="96">
        <v>13.5</v>
      </c>
      <c r="J89" s="789">
        <f>Table7[[#This Row],[Points 2025]]/2+SUM(Table7[[#This Row],[O1  ADMIN 2026]:[P2           WC         CT Open 2026]])</f>
        <v>6.75</v>
      </c>
      <c r="K89" s="196">
        <f t="shared" si="8"/>
        <v>0</v>
      </c>
      <c r="L89" s="63">
        <f t="shared" si="9"/>
        <v>0</v>
      </c>
      <c r="M89" s="708"/>
      <c r="N89" s="708" t="s">
        <v>6083</v>
      </c>
      <c r="O89" s="708" t="s">
        <v>6083</v>
      </c>
      <c r="P89" s="708"/>
      <c r="Q89" s="63"/>
      <c r="R89" s="63"/>
      <c r="S89" s="114"/>
      <c r="T89" s="114"/>
      <c r="U89" s="63"/>
      <c r="V89" s="114"/>
      <c r="W89" s="63"/>
      <c r="X89" s="636">
        <v>10</v>
      </c>
      <c r="Y89" s="114"/>
      <c r="Z89" s="63"/>
      <c r="AA89" s="63"/>
      <c r="AB89" s="63"/>
      <c r="AC89" s="400"/>
      <c r="AD89" s="63"/>
      <c r="AE89" s="63"/>
      <c r="AF89" s="63"/>
      <c r="AG89" s="63"/>
      <c r="AH89" s="63">
        <v>2</v>
      </c>
      <c r="AI89" s="63">
        <v>5</v>
      </c>
      <c r="AJ89" s="63"/>
      <c r="AK89" s="63"/>
      <c r="AL89" s="63"/>
      <c r="AM89" s="63"/>
      <c r="AN89" s="63"/>
    </row>
    <row r="90" spans="1:40" s="83" customFormat="1">
      <c r="A90" s="72" t="str">
        <f>IFERROR(VLOOKUP(Table7[[#This Row],[Player No]],Table11[[#All],[No]:[Age Group]],4,0),"")</f>
        <v>U11</v>
      </c>
      <c r="B90" s="71">
        <v>33</v>
      </c>
      <c r="C90" s="77">
        <f t="shared" si="7"/>
        <v>-53</v>
      </c>
      <c r="D90" s="63">
        <f t="shared" si="10"/>
        <v>86</v>
      </c>
      <c r="E90" s="63">
        <v>8279</v>
      </c>
      <c r="F90" s="64" t="str">
        <f>IFERROR(VLOOKUP(Table7[[#This Row],[Player No]],Table11[[No]:[Province]],2,0),"")</f>
        <v>MARSHALL Lael</v>
      </c>
      <c r="G90" s="65" t="str">
        <f>IFERROR(VLOOKUP(Table7[[#This Row],[Player No]],Table11[[No]:[Province]],3,0),"")</f>
        <v xml:space="preserve">JTTA </v>
      </c>
      <c r="H90" s="66">
        <v>25</v>
      </c>
      <c r="I90" s="96">
        <v>13</v>
      </c>
      <c r="J90" s="789">
        <f>Table7[[#This Row],[Points 2025]]/2+SUM(Table7[[#This Row],[O1  ADMIN 2026]:[P2           WC         CT Open 2026]])</f>
        <v>6.5</v>
      </c>
      <c r="K90" s="196">
        <f t="shared" si="8"/>
        <v>0</v>
      </c>
      <c r="L90" s="63">
        <f t="shared" si="9"/>
        <v>0</v>
      </c>
      <c r="M90" s="708"/>
      <c r="N90" s="708" t="s">
        <v>6083</v>
      </c>
      <c r="O90" s="708" t="s">
        <v>6083</v>
      </c>
      <c r="P90" s="708"/>
      <c r="Q90" s="63"/>
      <c r="R90" s="63"/>
      <c r="S90" s="114"/>
      <c r="T90" s="114"/>
      <c r="U90" s="63"/>
      <c r="V90" s="114"/>
      <c r="W90" s="63"/>
      <c r="X90" s="636"/>
      <c r="Y90" s="114"/>
      <c r="Z90" s="63"/>
      <c r="AA90" s="63"/>
      <c r="AB90" s="63">
        <v>0.5</v>
      </c>
      <c r="AC90" s="400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>
        <f>35/2</f>
        <v>17.5</v>
      </c>
    </row>
    <row r="91" spans="1:40" s="83" customFormat="1">
      <c r="A91" s="140"/>
      <c r="B91" s="71"/>
      <c r="C91" s="77">
        <f t="shared" ref="C91:C122" si="11">+B91-D91</f>
        <v>-87</v>
      </c>
      <c r="D91" s="63">
        <f t="shared" si="10"/>
        <v>87</v>
      </c>
      <c r="E91" s="154">
        <v>8663</v>
      </c>
      <c r="F91" s="280" t="str">
        <f>IFERROR(VLOOKUP(Table7[[#This Row],[Player No]],Table11[[No]:[Province]],2,0),"")</f>
        <v>BAIJNATH Preeti</v>
      </c>
      <c r="G91" s="281" t="str">
        <f>IFERROR(VLOOKUP(Table7[[#This Row],[Player No]],Table11[[No]:[Province]],3,0),"")</f>
        <v>UMG</v>
      </c>
      <c r="H91" s="66"/>
      <c r="I91" s="96">
        <v>13</v>
      </c>
      <c r="J91" s="789">
        <f>Table7[[#This Row],[Points 2025]]/2+SUM(Table7[[#This Row],[O1  ADMIN 2026]:[P2           WC         CT Open 2026]])</f>
        <v>6.5</v>
      </c>
      <c r="K91" s="196">
        <f t="shared" si="8"/>
        <v>0</v>
      </c>
      <c r="L91" s="63">
        <f t="shared" si="9"/>
        <v>0</v>
      </c>
      <c r="M91" s="708"/>
      <c r="N91" s="708" t="s">
        <v>6083</v>
      </c>
      <c r="O91" s="708" t="s">
        <v>6083</v>
      </c>
      <c r="P91" s="708"/>
      <c r="Q91" s="63"/>
      <c r="R91" s="63">
        <v>1</v>
      </c>
      <c r="S91" s="114">
        <v>1</v>
      </c>
      <c r="T91" s="114">
        <v>1</v>
      </c>
      <c r="U91" s="63"/>
      <c r="V91" s="114"/>
      <c r="W91" s="63"/>
      <c r="X91" s="636">
        <v>10</v>
      </c>
      <c r="Y91" s="114"/>
      <c r="Z91" s="63"/>
      <c r="AA91" s="63"/>
      <c r="AB91" s="63"/>
      <c r="AC91" s="400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</row>
    <row r="92" spans="1:40" s="83" customFormat="1">
      <c r="A92" s="71"/>
      <c r="B92" s="71"/>
      <c r="C92" s="77">
        <f t="shared" si="11"/>
        <v>-88</v>
      </c>
      <c r="D92" s="63">
        <f t="shared" si="10"/>
        <v>88</v>
      </c>
      <c r="E92" s="63">
        <v>8084</v>
      </c>
      <c r="F92" s="64" t="str">
        <f>IFERROR(VLOOKUP(Table7[[#This Row],[Player No]],Table11[[No]:[Province]],2,0),"")</f>
        <v xml:space="preserve">NDLOVU Khanyisile </v>
      </c>
      <c r="G92" s="65" t="str">
        <f>IFERROR(VLOOKUP(Table7[[#This Row],[Player No]],Table11[[No]:[Province]],3,0),"")</f>
        <v>NW</v>
      </c>
      <c r="H92" s="66">
        <v>25</v>
      </c>
      <c r="I92" s="96">
        <v>12.5</v>
      </c>
      <c r="J92" s="789">
        <f>Table7[[#This Row],[Points 2025]]/2+SUM(Table7[[#This Row],[O1  ADMIN 2026]:[P2           WC         CT Open 2026]])</f>
        <v>6.25</v>
      </c>
      <c r="K92" s="196">
        <f t="shared" si="8"/>
        <v>0</v>
      </c>
      <c r="L92" s="63">
        <f t="shared" si="9"/>
        <v>0</v>
      </c>
      <c r="M92" s="708"/>
      <c r="N92" s="708" t="s">
        <v>6083</v>
      </c>
      <c r="O92" s="708" t="s">
        <v>6083</v>
      </c>
      <c r="P92" s="708"/>
      <c r="Q92" s="63"/>
      <c r="R92" s="63"/>
      <c r="S92" s="114"/>
      <c r="T92" s="114"/>
      <c r="U92" s="63"/>
      <c r="V92" s="114"/>
      <c r="W92" s="63"/>
      <c r="X92" s="636"/>
      <c r="Y92" s="114"/>
      <c r="Z92" s="63"/>
      <c r="AA92" s="63"/>
      <c r="AB92" s="63"/>
      <c r="AC92" s="400"/>
      <c r="AD92" s="63"/>
      <c r="AE92" s="63"/>
      <c r="AF92" s="63"/>
      <c r="AG92" s="63"/>
      <c r="AH92" s="63"/>
      <c r="AI92" s="63">
        <v>25</v>
      </c>
      <c r="AJ92" s="63"/>
      <c r="AK92" s="63"/>
      <c r="AL92" s="63"/>
      <c r="AM92" s="63"/>
      <c r="AN92" s="63"/>
    </row>
    <row r="93" spans="1:40" s="83" customFormat="1">
      <c r="A93" s="72">
        <f>IFERROR(VLOOKUP(Table7[[#This Row],[Player No]],Table11[[#All],[No]:[Age Group]],4,0),"")</f>
        <v>0</v>
      </c>
      <c r="B93" s="71">
        <v>32</v>
      </c>
      <c r="C93" s="77">
        <f t="shared" si="11"/>
        <v>-57</v>
      </c>
      <c r="D93" s="63">
        <f t="shared" si="10"/>
        <v>89</v>
      </c>
      <c r="E93" s="63">
        <v>8163</v>
      </c>
      <c r="F93" s="64" t="str">
        <f>IFERROR(VLOOKUP(Table7[[#This Row],[Player No]],Table11[[No]:[Province]],2,0),"")</f>
        <v xml:space="preserve">GAOTLOPE Dimakatso </v>
      </c>
      <c r="G93" s="65" t="str">
        <f>IFERROR(VLOOKUP(Table7[[#This Row],[Player No]],Table11[[No]:[Province]],3,0),"")</f>
        <v>LIM</v>
      </c>
      <c r="H93" s="66">
        <v>25</v>
      </c>
      <c r="I93" s="96">
        <v>12.5</v>
      </c>
      <c r="J93" s="789">
        <f>Table7[[#This Row],[Points 2025]]/2+SUM(Table7[[#This Row],[O1  ADMIN 2026]:[P2           WC         CT Open 2026]])</f>
        <v>6.25</v>
      </c>
      <c r="K93" s="196">
        <f t="shared" si="8"/>
        <v>0</v>
      </c>
      <c r="L93" s="63">
        <f t="shared" si="9"/>
        <v>0</v>
      </c>
      <c r="M93" s="708"/>
      <c r="N93" s="708" t="s">
        <v>6083</v>
      </c>
      <c r="O93" s="708" t="s">
        <v>6083</v>
      </c>
      <c r="P93" s="708"/>
      <c r="Q93" s="63"/>
      <c r="R93" s="63"/>
      <c r="S93" s="114"/>
      <c r="T93" s="114"/>
      <c r="U93" s="63"/>
      <c r="V93" s="114"/>
      <c r="W93" s="63"/>
      <c r="X93" s="636"/>
      <c r="Y93" s="114"/>
      <c r="Z93" s="63"/>
      <c r="AA93" s="63"/>
      <c r="AB93" s="63"/>
      <c r="AC93" s="400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</row>
    <row r="94" spans="1:40" s="83" customFormat="1">
      <c r="A94" s="71"/>
      <c r="B94" s="71"/>
      <c r="C94" s="77">
        <f t="shared" si="11"/>
        <v>-90</v>
      </c>
      <c r="D94" s="63">
        <f t="shared" si="10"/>
        <v>90</v>
      </c>
      <c r="E94" s="63">
        <v>8291</v>
      </c>
      <c r="F94" s="64" t="str">
        <f>IFERROR(VLOOKUP(Table7[[#This Row],[Player No]],Table11[[No]:[Province]],2,0),"")</f>
        <v>ZALIGOBE Iviwe</v>
      </c>
      <c r="G94" s="65" t="str">
        <f>IFERROR(VLOOKUP(Table7[[#This Row],[Player No]],Table11[[No]:[Province]],3,0),"")</f>
        <v>EC</v>
      </c>
      <c r="H94" s="66">
        <v>25</v>
      </c>
      <c r="I94" s="96">
        <v>12.5</v>
      </c>
      <c r="J94" s="789">
        <f>Table7[[#This Row],[Points 2025]]/2+SUM(Table7[[#This Row],[O1  ADMIN 2026]:[P2           WC         CT Open 2026]])</f>
        <v>6.25</v>
      </c>
      <c r="K94" s="196">
        <f t="shared" si="8"/>
        <v>0</v>
      </c>
      <c r="L94" s="63">
        <f t="shared" si="9"/>
        <v>0</v>
      </c>
      <c r="M94" s="708"/>
      <c r="N94" s="708" t="s">
        <v>6083</v>
      </c>
      <c r="O94" s="708" t="s">
        <v>6083</v>
      </c>
      <c r="P94" s="708"/>
      <c r="Q94" s="63"/>
      <c r="R94" s="63"/>
      <c r="S94" s="114"/>
      <c r="T94" s="114"/>
      <c r="U94" s="63"/>
      <c r="V94" s="114"/>
      <c r="W94" s="63"/>
      <c r="X94" s="636"/>
      <c r="Y94" s="114"/>
      <c r="Z94" s="63"/>
      <c r="AA94" s="63"/>
      <c r="AB94" s="63"/>
      <c r="AC94" s="400"/>
      <c r="AD94" s="63"/>
      <c r="AE94" s="63"/>
      <c r="AF94" s="63"/>
      <c r="AG94" s="63"/>
      <c r="AH94" s="63"/>
      <c r="AI94" s="63">
        <v>25</v>
      </c>
      <c r="AJ94" s="63"/>
      <c r="AK94" s="63"/>
      <c r="AL94" s="63"/>
      <c r="AM94" s="63"/>
      <c r="AN94" s="63"/>
    </row>
    <row r="95" spans="1:40" s="83" customFormat="1">
      <c r="A95" s="71"/>
      <c r="B95" s="71"/>
      <c r="C95" s="77">
        <f t="shared" si="11"/>
        <v>-91</v>
      </c>
      <c r="D95" s="63">
        <f t="shared" si="10"/>
        <v>91</v>
      </c>
      <c r="E95" s="63">
        <v>8432</v>
      </c>
      <c r="F95" s="64" t="str">
        <f>IFERROR(VLOOKUP(Table7[[#This Row],[Player No]],Table11[[No]:[Province]],2,0),"")</f>
        <v>CHOMA Masello</v>
      </c>
      <c r="G95" s="65" t="str">
        <f>IFERROR(VLOOKUP(Table7[[#This Row],[Player No]],Table11[[No]:[Province]],3,0),"")</f>
        <v>LIM</v>
      </c>
      <c r="H95" s="66">
        <v>25</v>
      </c>
      <c r="I95" s="96">
        <v>12.5</v>
      </c>
      <c r="J95" s="789">
        <f>Table7[[#This Row],[Points 2025]]/2+SUM(Table7[[#This Row],[O1  ADMIN 2026]:[P2           WC         CT Open 2026]])</f>
        <v>6.25</v>
      </c>
      <c r="K95" s="196">
        <f t="shared" si="8"/>
        <v>0</v>
      </c>
      <c r="L95" s="63">
        <f t="shared" si="9"/>
        <v>0</v>
      </c>
      <c r="M95" s="708"/>
      <c r="N95" s="708" t="s">
        <v>6083</v>
      </c>
      <c r="O95" s="708" t="s">
        <v>6083</v>
      </c>
      <c r="P95" s="708"/>
      <c r="Q95" s="63"/>
      <c r="R95" s="63"/>
      <c r="S95" s="114"/>
      <c r="T95" s="114"/>
      <c r="U95" s="63"/>
      <c r="V95" s="114"/>
      <c r="W95" s="63"/>
      <c r="X95" s="636"/>
      <c r="Y95" s="114"/>
      <c r="Z95" s="63"/>
      <c r="AA95" s="63"/>
      <c r="AB95" s="63"/>
      <c r="AC95" s="400"/>
      <c r="AD95" s="63"/>
      <c r="AE95" s="63"/>
      <c r="AF95" s="63"/>
      <c r="AG95" s="63"/>
      <c r="AH95" s="63"/>
      <c r="AI95" s="63">
        <v>25</v>
      </c>
      <c r="AJ95" s="63"/>
      <c r="AK95" s="63"/>
      <c r="AL95" s="63"/>
      <c r="AM95" s="63"/>
      <c r="AN95" s="63"/>
    </row>
    <row r="96" spans="1:40" s="83" customFormat="1">
      <c r="A96" s="71"/>
      <c r="B96" s="71"/>
      <c r="C96" s="77">
        <f t="shared" si="11"/>
        <v>-92</v>
      </c>
      <c r="D96" s="63">
        <f t="shared" si="10"/>
        <v>92</v>
      </c>
      <c r="E96" s="63">
        <v>8459</v>
      </c>
      <c r="F96" s="64" t="str">
        <f>IFERROR(VLOOKUP(Table7[[#This Row],[Player No]],Table11[[No]:[Province]],2,0),"")</f>
        <v>MATSOSO Tshegofatso</v>
      </c>
      <c r="G96" s="65" t="str">
        <f>IFERROR(VLOOKUP(Table7[[#This Row],[Player No]],Table11[[No]:[Province]],3,0),"")</f>
        <v>FS</v>
      </c>
      <c r="H96" s="66">
        <v>25</v>
      </c>
      <c r="I96" s="96">
        <v>12.5</v>
      </c>
      <c r="J96" s="789">
        <f>Table7[[#This Row],[Points 2025]]/2+SUM(Table7[[#This Row],[O1  ADMIN 2026]:[P2           WC         CT Open 2026]])</f>
        <v>6.25</v>
      </c>
      <c r="K96" s="196">
        <f t="shared" si="8"/>
        <v>0</v>
      </c>
      <c r="L96" s="63">
        <f t="shared" si="9"/>
        <v>0</v>
      </c>
      <c r="M96" s="708"/>
      <c r="N96" s="708" t="s">
        <v>6083</v>
      </c>
      <c r="O96" s="708" t="s">
        <v>6083</v>
      </c>
      <c r="P96" s="708"/>
      <c r="Q96" s="63"/>
      <c r="R96" s="63"/>
      <c r="S96" s="114"/>
      <c r="T96" s="114"/>
      <c r="U96" s="63"/>
      <c r="V96" s="114"/>
      <c r="W96" s="63"/>
      <c r="X96" s="636"/>
      <c r="Y96" s="114"/>
      <c r="Z96" s="63"/>
      <c r="AA96" s="63"/>
      <c r="AB96" s="63"/>
      <c r="AC96" s="400"/>
      <c r="AD96" s="63"/>
      <c r="AE96" s="63"/>
      <c r="AF96" s="63"/>
      <c r="AG96" s="63"/>
      <c r="AH96" s="63"/>
      <c r="AI96" s="63">
        <v>25</v>
      </c>
      <c r="AJ96" s="63"/>
      <c r="AK96" s="63"/>
      <c r="AL96" s="63"/>
      <c r="AM96" s="63"/>
      <c r="AN96" s="63"/>
    </row>
    <row r="97" spans="1:40" s="83" customFormat="1">
      <c r="A97" s="72">
        <f>IFERROR(VLOOKUP(Table7[[#This Row],[Player No]],Table11[[#All],[No]:[Age Group]],4,0),"")</f>
        <v>0</v>
      </c>
      <c r="B97" s="71">
        <v>35</v>
      </c>
      <c r="C97" s="77">
        <f t="shared" si="11"/>
        <v>-58</v>
      </c>
      <c r="D97" s="63">
        <f t="shared" si="10"/>
        <v>93</v>
      </c>
      <c r="E97" s="63">
        <v>7458</v>
      </c>
      <c r="F97" s="64" t="str">
        <f>IFERROR(VLOOKUP(Table7[[#This Row],[Player No]],Table11[[No]:[Province]],2,0),"")</f>
        <v>ANANDHPURI Khiara</v>
      </c>
      <c r="G97" s="65" t="str">
        <f>IFERROR(VLOOKUP(Table7[[#This Row],[Player No]],Table11[[No]:[Province]],3,0),"")</f>
        <v>UMG</v>
      </c>
      <c r="H97" s="66">
        <v>20.40625</v>
      </c>
      <c r="I97" s="96">
        <v>10.203125</v>
      </c>
      <c r="J97" s="789">
        <f>Table7[[#This Row],[Points 2025]]/2+SUM(Table7[[#This Row],[O1  ADMIN 2026]:[P2           WC         CT Open 2026]])</f>
        <v>5.1015625</v>
      </c>
      <c r="K97" s="196">
        <f t="shared" si="8"/>
        <v>0</v>
      </c>
      <c r="L97" s="63">
        <f t="shared" si="9"/>
        <v>0</v>
      </c>
      <c r="M97" s="708"/>
      <c r="N97" s="708" t="s">
        <v>6083</v>
      </c>
      <c r="O97" s="708" t="s">
        <v>6083</v>
      </c>
      <c r="P97" s="708"/>
      <c r="Q97" s="63"/>
      <c r="R97" s="63"/>
      <c r="S97" s="114"/>
      <c r="T97" s="114"/>
      <c r="U97" s="63"/>
      <c r="V97" s="114"/>
      <c r="W97" s="63"/>
      <c r="X97" s="636"/>
      <c r="Y97" s="114"/>
      <c r="Z97" s="63"/>
      <c r="AA97" s="63"/>
      <c r="AB97" s="63"/>
      <c r="AC97" s="400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</row>
    <row r="98" spans="1:40" s="83" customFormat="1">
      <c r="A98" s="72">
        <f>IFERROR(VLOOKUP(Table7[[#This Row],[Player No]],Table11[[#All],[No]:[Age Group]],4,0),"")</f>
        <v>0</v>
      </c>
      <c r="B98" s="71">
        <v>36</v>
      </c>
      <c r="C98" s="77">
        <f t="shared" si="11"/>
        <v>-58</v>
      </c>
      <c r="D98" s="63">
        <f t="shared" si="10"/>
        <v>94</v>
      </c>
      <c r="E98" s="63">
        <v>8098</v>
      </c>
      <c r="F98" s="64" t="str">
        <f>IFERROR(VLOOKUP(Table7[[#This Row],[Player No]],Table11[[No]:[Province]],2,0),"")</f>
        <v>BHUGWANDEEN Prajna</v>
      </c>
      <c r="G98" s="65" t="str">
        <f>IFERROR(VLOOKUP(Table7[[#This Row],[Player No]],Table11[[No]:[Province]],3,0),"")</f>
        <v>UMG</v>
      </c>
      <c r="H98" s="66">
        <v>20</v>
      </c>
      <c r="I98" s="96">
        <v>10</v>
      </c>
      <c r="J98" s="789">
        <f>Table7[[#This Row],[Points 2025]]/2+SUM(Table7[[#This Row],[O1  ADMIN 2026]:[P2           WC         CT Open 2026]])</f>
        <v>5</v>
      </c>
      <c r="K98" s="196">
        <f t="shared" si="8"/>
        <v>0</v>
      </c>
      <c r="L98" s="63">
        <f t="shared" si="9"/>
        <v>0</v>
      </c>
      <c r="M98" s="708"/>
      <c r="N98" s="708" t="s">
        <v>6083</v>
      </c>
      <c r="O98" s="708" t="s">
        <v>6083</v>
      </c>
      <c r="P98" s="708"/>
      <c r="Q98" s="63"/>
      <c r="R98" s="63"/>
      <c r="S98" s="114"/>
      <c r="T98" s="114"/>
      <c r="U98" s="63"/>
      <c r="V98" s="114"/>
      <c r="W98" s="63"/>
      <c r="X98" s="636"/>
      <c r="Y98" s="114"/>
      <c r="Z98" s="63"/>
      <c r="AA98" s="63"/>
      <c r="AB98" s="63"/>
      <c r="AC98" s="400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</row>
    <row r="99" spans="1:40" s="83" customFormat="1">
      <c r="A99" s="72">
        <f>IFERROR(VLOOKUP(Table7[[#This Row],[Player No]],Table11[[#All],[No]:[Age Group]],4,0),"")</f>
        <v>0</v>
      </c>
      <c r="B99" s="71">
        <v>91</v>
      </c>
      <c r="C99" s="77">
        <f t="shared" si="11"/>
        <v>-4</v>
      </c>
      <c r="D99" s="63">
        <f t="shared" si="10"/>
        <v>95</v>
      </c>
      <c r="E99" s="63">
        <v>8296</v>
      </c>
      <c r="F99" s="64" t="str">
        <f>IFERROR(VLOOKUP(Table7[[#This Row],[Player No]],Table11[[No]:[Province]],2,0),"")</f>
        <v>Mhlongo Sanele</v>
      </c>
      <c r="G99" s="65" t="str">
        <f>IFERROR(VLOOKUP(Table7[[#This Row],[Player No]],Table11[[No]:[Province]],3,0),"")</f>
        <v>ETK</v>
      </c>
      <c r="H99" s="66">
        <v>0</v>
      </c>
      <c r="I99" s="96">
        <v>10</v>
      </c>
      <c r="J99" s="789">
        <f>Table7[[#This Row],[Points 2025]]/2+SUM(Table7[[#This Row],[O1  ADMIN 2026]:[P2           WC         CT Open 2026]])</f>
        <v>5</v>
      </c>
      <c r="K99" s="196">
        <f t="shared" si="8"/>
        <v>0</v>
      </c>
      <c r="L99" s="63">
        <f t="shared" si="9"/>
        <v>0</v>
      </c>
      <c r="M99" s="708"/>
      <c r="N99" s="708" t="s">
        <v>6083</v>
      </c>
      <c r="O99" s="708" t="s">
        <v>6083</v>
      </c>
      <c r="P99" s="708"/>
      <c r="Q99" s="63"/>
      <c r="R99" s="63"/>
      <c r="S99" s="114">
        <v>10</v>
      </c>
      <c r="T99" s="114"/>
      <c r="U99" s="63"/>
      <c r="V99" s="114"/>
      <c r="W99" s="63"/>
      <c r="X99" s="636"/>
      <c r="Y99" s="114"/>
      <c r="Z99" s="63"/>
      <c r="AA99" s="63"/>
      <c r="AB99" s="63"/>
      <c r="AC99" s="400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</row>
    <row r="100" spans="1:40" s="83" customFormat="1">
      <c r="A100" s="715"/>
      <c r="B100" s="716" t="e">
        <f>VLOOKUP(Table7[[#This Row],[Player No]],'[7]u15 girls'!$E$5:$F$68,2,0)</f>
        <v>#N/A</v>
      </c>
      <c r="C100" s="618" t="e">
        <f t="shared" si="11"/>
        <v>#N/A</v>
      </c>
      <c r="D100" s="63">
        <f t="shared" si="10"/>
        <v>96</v>
      </c>
      <c r="E100" s="620">
        <v>8082</v>
      </c>
      <c r="F100" s="717" t="str">
        <f>IFERROR(VLOOKUP(Table7[[#This Row],[Player No]],Table11[[No]:[Province]],2,0),"")</f>
        <v xml:space="preserve">Reabetswe Tiro </v>
      </c>
      <c r="G100" s="720" t="str">
        <f>IFERROR(VLOOKUP(Table7[[#This Row],[Player No]],Table11[[No]:[Province]],3,0),"")</f>
        <v>NW</v>
      </c>
      <c r="H100" s="626"/>
      <c r="I100" s="644">
        <v>10</v>
      </c>
      <c r="J100" s="819">
        <f>Table7[[#This Row],[Points 2025]]/2+SUM(Table7[[#This Row],[O1  ADMIN 2026]:[P2           WC         CT Open 2026]])</f>
        <v>5</v>
      </c>
      <c r="K100" s="724">
        <f t="shared" si="8"/>
        <v>0</v>
      </c>
      <c r="L100" s="63">
        <f t="shared" si="9"/>
        <v>0</v>
      </c>
      <c r="M100" s="708"/>
      <c r="N100" s="781" t="s">
        <v>6083</v>
      </c>
      <c r="O100" s="781" t="s">
        <v>6083</v>
      </c>
      <c r="P100" s="781"/>
      <c r="Q100" s="624"/>
      <c r="R100" s="624"/>
      <c r="S100" s="625"/>
      <c r="T100" s="625"/>
      <c r="U100" s="624"/>
      <c r="V100" s="625"/>
      <c r="W100" s="624"/>
      <c r="X100" s="677">
        <v>10</v>
      </c>
      <c r="Y100" s="625"/>
      <c r="Z100" s="624"/>
      <c r="AA100" s="624"/>
      <c r="AB100" s="624"/>
      <c r="AC100" s="611"/>
      <c r="AD100" s="624"/>
      <c r="AE100" s="624"/>
      <c r="AF100" s="624"/>
      <c r="AG100" s="624"/>
      <c r="AH100" s="624"/>
      <c r="AI100" s="624"/>
      <c r="AJ100" s="624"/>
      <c r="AK100" s="624"/>
      <c r="AL100" s="624"/>
      <c r="AM100" s="624"/>
      <c r="AN100" s="624"/>
    </row>
    <row r="101" spans="1:40" s="83" customFormat="1">
      <c r="A101" s="715"/>
      <c r="B101" s="716" t="e">
        <f>VLOOKUP(Table7[[#This Row],[Player No]],'[7]u15 girls'!$E$5:$F$68,2,0)</f>
        <v>#N/A</v>
      </c>
      <c r="C101" s="618" t="e">
        <f t="shared" si="11"/>
        <v>#N/A</v>
      </c>
      <c r="D101" s="63">
        <f t="shared" si="10"/>
        <v>97</v>
      </c>
      <c r="E101" s="620">
        <v>8159</v>
      </c>
      <c r="F101" s="717" t="str">
        <f>IFERROR(VLOOKUP(Table7[[#This Row],[Player No]],Table11[[No]:[Province]],2,0),"")</f>
        <v>VAN DER SCHYFF Kauthar</v>
      </c>
      <c r="G101" s="720" t="str">
        <f>IFERROR(VLOOKUP(Table7[[#This Row],[Player No]],Table11[[No]:[Province]],3,0),"")</f>
        <v>CT</v>
      </c>
      <c r="H101" s="626"/>
      <c r="I101" s="644">
        <v>10</v>
      </c>
      <c r="J101" s="819">
        <f>Table7[[#This Row],[Points 2025]]/2+SUM(Table7[[#This Row],[O1  ADMIN 2026]:[P2           WC         CT Open 2026]])</f>
        <v>5</v>
      </c>
      <c r="K101" s="724">
        <f t="shared" ref="K101:K132" si="12">COUNTIF(M101:P101,"&gt;0")</f>
        <v>0</v>
      </c>
      <c r="L101" s="63">
        <f t="shared" ref="L101:L132" si="13">COUNTIF(N101:AN101,"&lt;0")</f>
        <v>0</v>
      </c>
      <c r="M101" s="708"/>
      <c r="N101" s="781" t="s">
        <v>6083</v>
      </c>
      <c r="O101" s="781" t="s">
        <v>6083</v>
      </c>
      <c r="P101" s="781"/>
      <c r="Q101" s="624"/>
      <c r="R101" s="624"/>
      <c r="S101" s="625"/>
      <c r="T101" s="625"/>
      <c r="U101" s="624"/>
      <c r="V101" s="625"/>
      <c r="W101" s="624"/>
      <c r="X101" s="677">
        <v>10</v>
      </c>
      <c r="Y101" s="625"/>
      <c r="Z101" s="624"/>
      <c r="AA101" s="624"/>
      <c r="AB101" s="624"/>
      <c r="AC101" s="611"/>
      <c r="AD101" s="624"/>
      <c r="AE101" s="624"/>
      <c r="AF101" s="624"/>
      <c r="AG101" s="624"/>
      <c r="AH101" s="624"/>
      <c r="AI101" s="624"/>
      <c r="AJ101" s="624"/>
      <c r="AK101" s="624"/>
      <c r="AL101" s="624"/>
      <c r="AM101" s="624"/>
      <c r="AN101" s="624"/>
    </row>
    <row r="102" spans="1:40" s="83" customFormat="1" ht="15.75" customHeight="1">
      <c r="A102" s="715"/>
      <c r="B102" s="716" t="e">
        <f>VLOOKUP(Table7[[#This Row],[Player No]],'[7]u15 girls'!$E$5:$F$68,2,0)</f>
        <v>#N/A</v>
      </c>
      <c r="C102" s="618" t="e">
        <f t="shared" si="11"/>
        <v>#N/A</v>
      </c>
      <c r="D102" s="63">
        <f t="shared" si="10"/>
        <v>98</v>
      </c>
      <c r="E102" s="620">
        <v>8366</v>
      </c>
      <c r="F102" s="717" t="str">
        <f>IFERROR(VLOOKUP(Table7[[#This Row],[Player No]],Table11[[No]:[Province]],2,0),"")</f>
        <v>SEBOPEL Keletso</v>
      </c>
      <c r="G102" s="720" t="str">
        <f>IFERROR(VLOOKUP(Table7[[#This Row],[Player No]],Table11[[No]:[Province]],3,0),"")</f>
        <v>NW</v>
      </c>
      <c r="H102" s="626"/>
      <c r="I102" s="644">
        <v>10</v>
      </c>
      <c r="J102" s="819">
        <f>Table7[[#This Row],[Points 2025]]/2+SUM(Table7[[#This Row],[O1  ADMIN 2026]:[P2           WC         CT Open 2026]])</f>
        <v>5</v>
      </c>
      <c r="K102" s="724">
        <f t="shared" si="12"/>
        <v>0</v>
      </c>
      <c r="L102" s="63">
        <f t="shared" si="13"/>
        <v>0</v>
      </c>
      <c r="M102" s="708"/>
      <c r="N102" s="781" t="s">
        <v>6083</v>
      </c>
      <c r="O102" s="781" t="s">
        <v>6083</v>
      </c>
      <c r="P102" s="781"/>
      <c r="Q102" s="624"/>
      <c r="R102" s="624"/>
      <c r="S102" s="625"/>
      <c r="T102" s="625"/>
      <c r="U102" s="624"/>
      <c r="V102" s="625"/>
      <c r="W102" s="624"/>
      <c r="X102" s="677">
        <v>10</v>
      </c>
      <c r="Y102" s="625"/>
      <c r="Z102" s="624"/>
      <c r="AA102" s="624"/>
      <c r="AB102" s="624"/>
      <c r="AC102" s="611"/>
      <c r="AD102" s="624"/>
      <c r="AE102" s="624"/>
      <c r="AF102" s="624"/>
      <c r="AG102" s="624"/>
      <c r="AH102" s="624"/>
      <c r="AI102" s="624"/>
      <c r="AJ102" s="624"/>
      <c r="AK102" s="624"/>
      <c r="AL102" s="624"/>
      <c r="AM102" s="624"/>
      <c r="AN102" s="624"/>
    </row>
    <row r="103" spans="1:40" s="83" customFormat="1">
      <c r="A103" s="715"/>
      <c r="B103" s="716" t="e">
        <f>VLOOKUP(Table7[[#This Row],[Player No]],'[7]u15 girls'!$E$5:$F$68,2,0)</f>
        <v>#N/A</v>
      </c>
      <c r="C103" s="618" t="e">
        <f t="shared" si="11"/>
        <v>#N/A</v>
      </c>
      <c r="D103" s="63">
        <f t="shared" si="10"/>
        <v>99</v>
      </c>
      <c r="E103" s="620">
        <v>8715</v>
      </c>
      <c r="F103" s="717" t="str">
        <f>IFERROR(VLOOKUP(Table7[[#This Row],[Player No]],Table11[[No]:[Province]],2,0),"")</f>
        <v>KHAN Diyanah Bibi</v>
      </c>
      <c r="G103" s="720" t="str">
        <f>IFERROR(VLOOKUP(Table7[[#This Row],[Player No]],Table11[[No]:[Province]],3,0),"")</f>
        <v>JTTA</v>
      </c>
      <c r="H103" s="626"/>
      <c r="I103" s="644">
        <v>10</v>
      </c>
      <c r="J103" s="819">
        <f>Table7[[#This Row],[Points 2025]]/2+SUM(Table7[[#This Row],[O1  ADMIN 2026]:[P2           WC         CT Open 2026]])</f>
        <v>5</v>
      </c>
      <c r="K103" s="724">
        <f t="shared" si="12"/>
        <v>0</v>
      </c>
      <c r="L103" s="63">
        <f t="shared" si="13"/>
        <v>0</v>
      </c>
      <c r="M103" s="708"/>
      <c r="N103" s="781" t="s">
        <v>6083</v>
      </c>
      <c r="O103" s="781" t="s">
        <v>6083</v>
      </c>
      <c r="P103" s="781"/>
      <c r="Q103" s="624"/>
      <c r="R103" s="624"/>
      <c r="S103" s="625"/>
      <c r="T103" s="625"/>
      <c r="U103" s="624"/>
      <c r="V103" s="625"/>
      <c r="W103" s="624"/>
      <c r="X103" s="677">
        <v>10</v>
      </c>
      <c r="Y103" s="625"/>
      <c r="Z103" s="624"/>
      <c r="AA103" s="624"/>
      <c r="AB103" s="624"/>
      <c r="AC103" s="611"/>
      <c r="AD103" s="624"/>
      <c r="AE103" s="624"/>
      <c r="AF103" s="624"/>
      <c r="AG103" s="624"/>
      <c r="AH103" s="624"/>
      <c r="AI103" s="624"/>
      <c r="AJ103" s="624"/>
      <c r="AK103" s="624"/>
      <c r="AL103" s="624"/>
      <c r="AM103" s="624"/>
      <c r="AN103" s="624"/>
    </row>
    <row r="104" spans="1:40" s="83" customFormat="1">
      <c r="A104" s="715"/>
      <c r="B104" s="716" t="e">
        <f>VLOOKUP(Table7[[#This Row],[Player No]],'[7]u15 girls'!$E$5:$F$68,2,0)</f>
        <v>#N/A</v>
      </c>
      <c r="C104" s="618" t="e">
        <f t="shared" si="11"/>
        <v>#N/A</v>
      </c>
      <c r="D104" s="63">
        <f t="shared" si="10"/>
        <v>100</v>
      </c>
      <c r="E104" s="620">
        <v>8773</v>
      </c>
      <c r="F104" s="717" t="str">
        <f>IFERROR(VLOOKUP(Table7[[#This Row],[Player No]],Table11[[No]:[Province]],2,0),"")</f>
        <v>KHANYE Dineo</v>
      </c>
      <c r="G104" s="720" t="str">
        <f>IFERROR(VLOOKUP(Table7[[#This Row],[Player No]],Table11[[No]:[Province]],3,0),"")</f>
        <v>DRRSMTTA</v>
      </c>
      <c r="H104" s="626"/>
      <c r="I104" s="644">
        <v>10</v>
      </c>
      <c r="J104" s="819">
        <f>Table7[[#This Row],[Points 2025]]/2+SUM(Table7[[#This Row],[O1  ADMIN 2026]:[P2           WC         CT Open 2026]])</f>
        <v>5</v>
      </c>
      <c r="K104" s="724">
        <f t="shared" si="12"/>
        <v>0</v>
      </c>
      <c r="L104" s="63">
        <f t="shared" si="13"/>
        <v>0</v>
      </c>
      <c r="M104" s="708"/>
      <c r="N104" s="781" t="s">
        <v>6083</v>
      </c>
      <c r="O104" s="781" t="s">
        <v>6083</v>
      </c>
      <c r="P104" s="781"/>
      <c r="Q104" s="624"/>
      <c r="R104" s="624"/>
      <c r="S104" s="625"/>
      <c r="T104" s="625"/>
      <c r="U104" s="624"/>
      <c r="V104" s="625"/>
      <c r="W104" s="624"/>
      <c r="X104" s="677">
        <v>10</v>
      </c>
      <c r="Y104" s="625"/>
      <c r="Z104" s="624"/>
      <c r="AA104" s="624"/>
      <c r="AB104" s="624"/>
      <c r="AC104" s="611"/>
      <c r="AD104" s="624"/>
      <c r="AE104" s="624"/>
      <c r="AF104" s="624"/>
      <c r="AG104" s="624"/>
      <c r="AH104" s="624"/>
      <c r="AI104" s="624"/>
      <c r="AJ104" s="624"/>
      <c r="AK104" s="624"/>
      <c r="AL104" s="624"/>
      <c r="AM104" s="624"/>
      <c r="AN104" s="624"/>
    </row>
    <row r="105" spans="1:40" s="83" customFormat="1">
      <c r="A105" s="715"/>
      <c r="B105" s="716" t="e">
        <f>VLOOKUP(Table7[[#This Row],[Player No]],'[7]u15 girls'!$E$5:$F$68,2,0)</f>
        <v>#N/A</v>
      </c>
      <c r="C105" s="618" t="e">
        <f t="shared" si="11"/>
        <v>#N/A</v>
      </c>
      <c r="D105" s="63">
        <f t="shared" si="10"/>
        <v>101</v>
      </c>
      <c r="E105" s="620">
        <v>8813</v>
      </c>
      <c r="F105" s="717" t="str">
        <f>IFERROR(VLOOKUP(Table7[[#This Row],[Player No]],Table11[[No]:[Province]],2,0),"")</f>
        <v>MADUMELA Ndango</v>
      </c>
      <c r="G105" s="720" t="str">
        <f>IFERROR(VLOOKUP(Table7[[#This Row],[Player No]],Table11[[No]:[Province]],3,0),"")</f>
        <v>LIM</v>
      </c>
      <c r="H105" s="626"/>
      <c r="I105" s="644">
        <v>10</v>
      </c>
      <c r="J105" s="819">
        <f>Table7[[#This Row],[Points 2025]]/2+SUM(Table7[[#This Row],[O1  ADMIN 2026]:[P2           WC         CT Open 2026]])</f>
        <v>5</v>
      </c>
      <c r="K105" s="724">
        <f t="shared" si="12"/>
        <v>0</v>
      </c>
      <c r="L105" s="63">
        <f t="shared" si="13"/>
        <v>0</v>
      </c>
      <c r="M105" s="708"/>
      <c r="N105" s="781" t="s">
        <v>6083</v>
      </c>
      <c r="O105" s="781" t="s">
        <v>6083</v>
      </c>
      <c r="P105" s="781"/>
      <c r="Q105" s="624"/>
      <c r="R105" s="624"/>
      <c r="S105" s="625"/>
      <c r="T105" s="625"/>
      <c r="U105" s="624"/>
      <c r="V105" s="625"/>
      <c r="W105" s="624"/>
      <c r="X105" s="677">
        <v>10</v>
      </c>
      <c r="Y105" s="625"/>
      <c r="Z105" s="624"/>
      <c r="AA105" s="624"/>
      <c r="AB105" s="624"/>
      <c r="AC105" s="611"/>
      <c r="AD105" s="624"/>
      <c r="AE105" s="624"/>
      <c r="AF105" s="624"/>
      <c r="AG105" s="624"/>
      <c r="AH105" s="624"/>
      <c r="AI105" s="624"/>
      <c r="AJ105" s="624"/>
      <c r="AK105" s="624"/>
      <c r="AL105" s="624"/>
      <c r="AM105" s="624"/>
      <c r="AN105" s="624"/>
    </row>
    <row r="106" spans="1:40" s="83" customFormat="1">
      <c r="A106" s="367"/>
      <c r="B106" s="362" t="e">
        <f>VLOOKUP(Table7[[#This Row],[Player No]],'[7]u15 girls'!$E$5:$F$68,2,0)</f>
        <v>#N/A</v>
      </c>
      <c r="C106" s="360" t="e">
        <f t="shared" si="11"/>
        <v>#N/A</v>
      </c>
      <c r="D106" s="63">
        <f t="shared" si="10"/>
        <v>102</v>
      </c>
      <c r="E106" s="355">
        <v>8661</v>
      </c>
      <c r="F106" s="368" t="str">
        <f>IFERROR(VLOOKUP(Table7[[#This Row],[Player No]],Table11[[No]:[Province]],2,0),"")</f>
        <v>HEERALAL Arya</v>
      </c>
      <c r="G106" s="369" t="str">
        <f>IFERROR(VLOOKUP(Table7[[#This Row],[Player No]],Table11[[No]:[Province]],3,0),"")</f>
        <v>ETTA</v>
      </c>
      <c r="H106" s="370"/>
      <c r="I106" s="363">
        <v>6</v>
      </c>
      <c r="J106" s="831">
        <f>Table7[[#This Row],[Points 2025]]/2+SUM(Table7[[#This Row],[O1  ADMIN 2026]:[P2           WC         CT Open 2026]])</f>
        <v>5</v>
      </c>
      <c r="K106" s="371">
        <f t="shared" si="12"/>
        <v>2</v>
      </c>
      <c r="L106" s="63">
        <f t="shared" si="13"/>
        <v>0</v>
      </c>
      <c r="M106" s="708"/>
      <c r="N106" s="828">
        <v>1</v>
      </c>
      <c r="O106" s="828">
        <v>1</v>
      </c>
      <c r="P106" s="828"/>
      <c r="Q106" s="361"/>
      <c r="R106" s="361"/>
      <c r="S106" s="357"/>
      <c r="T106" s="357">
        <v>1</v>
      </c>
      <c r="U106" s="361"/>
      <c r="V106" s="357"/>
      <c r="W106" s="361"/>
      <c r="X106" s="639">
        <v>5</v>
      </c>
      <c r="Y106" s="357"/>
      <c r="Z106" s="361"/>
      <c r="AA106" s="361"/>
      <c r="AB106" s="361"/>
      <c r="AC106" s="406"/>
      <c r="AD106" s="361"/>
      <c r="AE106" s="361"/>
      <c r="AF106" s="361"/>
      <c r="AG106" s="361"/>
      <c r="AH106" s="361"/>
      <c r="AI106" s="361"/>
      <c r="AJ106" s="361"/>
      <c r="AK106" s="361"/>
      <c r="AL106" s="361"/>
      <c r="AM106" s="361"/>
      <c r="AN106" s="361"/>
    </row>
    <row r="107" spans="1:40" s="83" customFormat="1">
      <c r="A107" s="72">
        <f>IFERROR(VLOOKUP(Table7[[#This Row],[Player No]],Table11[[#All],[No]:[Age Group]],4,0),"")</f>
        <v>0</v>
      </c>
      <c r="B107" s="71">
        <v>37</v>
      </c>
      <c r="C107" s="77">
        <f t="shared" si="11"/>
        <v>-66</v>
      </c>
      <c r="D107" s="63">
        <f t="shared" si="10"/>
        <v>103</v>
      </c>
      <c r="E107" s="63">
        <v>8068</v>
      </c>
      <c r="F107" s="64" t="str">
        <f>IFERROR(VLOOKUP(Table7[[#This Row],[Player No]],Table11[[No]:[Province]],2,0),"")</f>
        <v>DADAKER Sameena</v>
      </c>
      <c r="G107" s="65" t="str">
        <f>IFERROR(VLOOKUP(Table7[[#This Row],[Player No]],Table11[[No]:[Province]],3,0),"")</f>
        <v>CT</v>
      </c>
      <c r="H107" s="66">
        <v>18</v>
      </c>
      <c r="I107" s="96">
        <v>9</v>
      </c>
      <c r="J107" s="789">
        <f>Table7[[#This Row],[Points 2025]]/2+SUM(Table7[[#This Row],[O1  ADMIN 2026]:[P2           WC         CT Open 2026]])</f>
        <v>4.5</v>
      </c>
      <c r="K107" s="196">
        <f t="shared" si="12"/>
        <v>0</v>
      </c>
      <c r="L107" s="63">
        <f t="shared" si="13"/>
        <v>0</v>
      </c>
      <c r="M107" s="708"/>
      <c r="N107" s="708" t="s">
        <v>6083</v>
      </c>
      <c r="O107" s="708" t="s">
        <v>6083</v>
      </c>
      <c r="P107" s="708"/>
      <c r="Q107" s="63"/>
      <c r="R107" s="63"/>
      <c r="S107" s="114"/>
      <c r="T107" s="114"/>
      <c r="U107" s="63"/>
      <c r="V107" s="114"/>
      <c r="W107" s="63"/>
      <c r="X107" s="636"/>
      <c r="Y107" s="114"/>
      <c r="Z107" s="63"/>
      <c r="AA107" s="63"/>
      <c r="AB107" s="63"/>
      <c r="AC107" s="400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</row>
    <row r="108" spans="1:40" s="83" customFormat="1">
      <c r="A108" s="298"/>
      <c r="B108" s="87"/>
      <c r="C108" s="77">
        <f t="shared" si="11"/>
        <v>-104</v>
      </c>
      <c r="D108" s="63">
        <f t="shared" si="10"/>
        <v>104</v>
      </c>
      <c r="E108" s="154">
        <v>8662</v>
      </c>
      <c r="F108" s="280" t="str">
        <f>IFERROR(VLOOKUP(Table7[[#This Row],[Player No]],Table11[[No]:[Province]],2,0),"")</f>
        <v>BAIJNATH Aditi</v>
      </c>
      <c r="G108" s="281" t="str">
        <f>IFERROR(VLOOKUP(Table7[[#This Row],[Player No]],Table11[[No]:[Province]],3,0),"")</f>
        <v>UMG</v>
      </c>
      <c r="H108" s="66"/>
      <c r="I108" s="96">
        <v>8</v>
      </c>
      <c r="J108" s="789">
        <f>Table7[[#This Row],[Points 2025]]/2+SUM(Table7[[#This Row],[O1  ADMIN 2026]:[P2           WC         CT Open 2026]])</f>
        <v>4</v>
      </c>
      <c r="K108" s="196">
        <f t="shared" si="12"/>
        <v>0</v>
      </c>
      <c r="L108" s="63">
        <f t="shared" si="13"/>
        <v>0</v>
      </c>
      <c r="M108" s="708"/>
      <c r="N108" s="708" t="s">
        <v>6083</v>
      </c>
      <c r="O108" s="708" t="s">
        <v>6083</v>
      </c>
      <c r="P108" s="708"/>
      <c r="Q108" s="63"/>
      <c r="R108" s="63">
        <v>1</v>
      </c>
      <c r="S108" s="114">
        <v>1</v>
      </c>
      <c r="T108" s="114">
        <v>1</v>
      </c>
      <c r="U108" s="63"/>
      <c r="V108" s="114"/>
      <c r="W108" s="63"/>
      <c r="X108" s="636">
        <v>5</v>
      </c>
      <c r="Y108" s="114"/>
      <c r="Z108" s="63"/>
      <c r="AA108" s="63"/>
      <c r="AB108" s="63"/>
      <c r="AC108" s="400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</row>
    <row r="109" spans="1:40" s="83" customFormat="1">
      <c r="A109" s="85">
        <f>IFERROR(VLOOKUP(Table7[[#This Row],[Player No]],Table11[[#All],[No]:[Age Group]],4,0),"")</f>
        <v>0</v>
      </c>
      <c r="B109" s="87">
        <v>38</v>
      </c>
      <c r="C109" s="77">
        <f t="shared" si="11"/>
        <v>-67</v>
      </c>
      <c r="D109" s="63">
        <f t="shared" si="10"/>
        <v>105</v>
      </c>
      <c r="E109" s="63">
        <v>7819</v>
      </c>
      <c r="F109" s="64" t="str">
        <f>IFERROR(VLOOKUP(Table7[[#This Row],[Player No]],Table11[[No]:[Province]],2,0),"")</f>
        <v>KOMETSI Khalalelo</v>
      </c>
      <c r="G109" s="65" t="str">
        <f>IFERROR(VLOOKUP(Table7[[#This Row],[Player No]],Table11[[No]:[Province]],3,0),"")</f>
        <v>FS</v>
      </c>
      <c r="H109" s="66">
        <v>15</v>
      </c>
      <c r="I109" s="96">
        <v>7.5</v>
      </c>
      <c r="J109" s="789">
        <f>Table7[[#This Row],[Points 2025]]/2+SUM(Table7[[#This Row],[O1  ADMIN 2026]:[P2           WC         CT Open 2026]])</f>
        <v>3.75</v>
      </c>
      <c r="K109" s="196">
        <f t="shared" si="12"/>
        <v>0</v>
      </c>
      <c r="L109" s="63">
        <f t="shared" si="13"/>
        <v>0</v>
      </c>
      <c r="M109" s="708"/>
      <c r="N109" s="708" t="s">
        <v>6083</v>
      </c>
      <c r="O109" s="708" t="s">
        <v>6083</v>
      </c>
      <c r="P109" s="708"/>
      <c r="Q109" s="63"/>
      <c r="R109" s="63"/>
      <c r="S109" s="114"/>
      <c r="T109" s="114"/>
      <c r="U109" s="63"/>
      <c r="V109" s="114"/>
      <c r="W109" s="63"/>
      <c r="X109" s="636"/>
      <c r="Y109" s="114"/>
      <c r="Z109" s="63"/>
      <c r="AA109" s="63"/>
      <c r="AB109" s="63"/>
      <c r="AC109" s="400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</row>
    <row r="110" spans="1:40" s="83" customFormat="1">
      <c r="A110" s="85">
        <f>IFERROR(VLOOKUP(Table7[[#This Row],[Player No]],Table11[[#All],[No]:[Age Group]],4,0),"")</f>
        <v>0</v>
      </c>
      <c r="B110" s="87">
        <v>39</v>
      </c>
      <c r="C110" s="77">
        <f t="shared" si="11"/>
        <v>-67</v>
      </c>
      <c r="D110" s="63">
        <f t="shared" si="10"/>
        <v>106</v>
      </c>
      <c r="E110" s="63">
        <v>8295</v>
      </c>
      <c r="F110" s="64" t="str">
        <f>IFERROR(VLOOKUP(Table7[[#This Row],[Player No]],Table11[[No]:[Province]],2,0),"")</f>
        <v>Chinanga Mpilo Enhle</v>
      </c>
      <c r="G110" s="65" t="str">
        <f>IFERROR(VLOOKUP(Table7[[#This Row],[Player No]],Table11[[No]:[Province]],3,0),"")</f>
        <v>ETK</v>
      </c>
      <c r="H110" s="66">
        <v>15</v>
      </c>
      <c r="I110" s="96">
        <v>7.5</v>
      </c>
      <c r="J110" s="789">
        <f>Table7[[#This Row],[Points 2025]]/2+SUM(Table7[[#This Row],[O1  ADMIN 2026]:[P2           WC         CT Open 2026]])</f>
        <v>3.75</v>
      </c>
      <c r="K110" s="196">
        <f t="shared" si="12"/>
        <v>0</v>
      </c>
      <c r="L110" s="63">
        <f t="shared" si="13"/>
        <v>0</v>
      </c>
      <c r="M110" s="708"/>
      <c r="N110" s="708" t="s">
        <v>6083</v>
      </c>
      <c r="O110" s="708" t="s">
        <v>6083</v>
      </c>
      <c r="P110" s="708"/>
      <c r="Q110" s="63"/>
      <c r="R110" s="63"/>
      <c r="S110" s="114"/>
      <c r="T110" s="114"/>
      <c r="U110" s="63"/>
      <c r="V110" s="114"/>
      <c r="W110" s="63"/>
      <c r="X110" s="636"/>
      <c r="Y110" s="114"/>
      <c r="Z110" s="63"/>
      <c r="AA110" s="63"/>
      <c r="AB110" s="63"/>
      <c r="AC110" s="400"/>
      <c r="AD110" s="63"/>
      <c r="AE110" s="63"/>
      <c r="AF110" s="63">
        <v>15</v>
      </c>
      <c r="AG110" s="63"/>
      <c r="AH110" s="63"/>
      <c r="AI110" s="63"/>
      <c r="AJ110" s="63"/>
      <c r="AK110" s="63"/>
      <c r="AL110" s="63"/>
      <c r="AM110" s="63"/>
      <c r="AN110" s="63"/>
    </row>
    <row r="111" spans="1:40" s="83" customFormat="1">
      <c r="A111" s="85">
        <f>IFERROR(VLOOKUP(Table7[[#This Row],[Player No]],Table11[[#All],[No]:[Age Group]],4,0),"")</f>
        <v>0</v>
      </c>
      <c r="B111" s="87">
        <v>40</v>
      </c>
      <c r="C111" s="77">
        <f t="shared" si="11"/>
        <v>-67</v>
      </c>
      <c r="D111" s="63">
        <f t="shared" si="10"/>
        <v>107</v>
      </c>
      <c r="E111" s="63">
        <v>8257</v>
      </c>
      <c r="F111" s="64" t="str">
        <f>IFERROR(VLOOKUP(Table7[[#This Row],[Player No]],Table11[[No]:[Province]],2,0),"")</f>
        <v>MADVIRAKARE Lerato</v>
      </c>
      <c r="G111" s="65" t="str">
        <f>IFERROR(VLOOKUP(Table7[[#This Row],[Player No]],Table11[[No]:[Province]],3,0),"")</f>
        <v>JTTA</v>
      </c>
      <c r="H111" s="66">
        <v>14</v>
      </c>
      <c r="I111" s="96">
        <v>7</v>
      </c>
      <c r="J111" s="789">
        <f>Table7[[#This Row],[Points 2025]]/2+SUM(Table7[[#This Row],[O1  ADMIN 2026]:[P2           WC         CT Open 2026]])</f>
        <v>3.5</v>
      </c>
      <c r="K111" s="196">
        <f t="shared" si="12"/>
        <v>0</v>
      </c>
      <c r="L111" s="63">
        <f t="shared" si="13"/>
        <v>0</v>
      </c>
      <c r="M111" s="708"/>
      <c r="N111" s="708" t="s">
        <v>6083</v>
      </c>
      <c r="O111" s="708" t="s">
        <v>6083</v>
      </c>
      <c r="P111" s="708"/>
      <c r="Q111" s="63"/>
      <c r="R111" s="63"/>
      <c r="S111" s="114"/>
      <c r="T111" s="114"/>
      <c r="U111" s="63"/>
      <c r="V111" s="114"/>
      <c r="W111" s="63"/>
      <c r="X111" s="636"/>
      <c r="Y111" s="114"/>
      <c r="Z111" s="63"/>
      <c r="AA111" s="63"/>
      <c r="AB111" s="63"/>
      <c r="AC111" s="400"/>
      <c r="AD111" s="63"/>
      <c r="AE111" s="63"/>
      <c r="AF111" s="63"/>
      <c r="AG111" s="63"/>
      <c r="AH111" s="63"/>
      <c r="AI111" s="63"/>
      <c r="AJ111" s="63">
        <f>25/2</f>
        <v>12.5</v>
      </c>
      <c r="AK111" s="63"/>
      <c r="AL111" s="63"/>
      <c r="AM111" s="63">
        <v>1</v>
      </c>
      <c r="AN111" s="63">
        <f>1/2</f>
        <v>0.5</v>
      </c>
    </row>
    <row r="112" spans="1:40">
      <c r="A112" s="298"/>
      <c r="B112" s="87" t="e">
        <f>VLOOKUP(Table7[[#This Row],[Player No]],'[7]u15 girls'!$E$5:$F$68,2,0)</f>
        <v>#N/A</v>
      </c>
      <c r="C112" s="77" t="e">
        <f t="shared" si="11"/>
        <v>#N/A</v>
      </c>
      <c r="D112" s="63">
        <f t="shared" si="10"/>
        <v>108</v>
      </c>
      <c r="E112" s="154">
        <v>8724</v>
      </c>
      <c r="F112" s="280" t="str">
        <f>IFERROR(VLOOKUP(Table7[[#This Row],[Player No]],Table11[[No]:[Province]],2,0),"")</f>
        <v>Carline RAUTENBACH</v>
      </c>
      <c r="G112" s="281" t="str">
        <f>IFERROR(VLOOKUP(Table7[[#This Row],[Player No]],Table11[[No]:[Province]],3,0),"")</f>
        <v>GN</v>
      </c>
      <c r="H112" s="66"/>
      <c r="I112" s="96">
        <v>6.5</v>
      </c>
      <c r="J112" s="789">
        <f>Table7[[#This Row],[Points 2025]]/2+SUM(Table7[[#This Row],[O1  ADMIN 2026]:[P2           WC         CT Open 2026]])</f>
        <v>3.25</v>
      </c>
      <c r="K112" s="300">
        <f t="shared" si="12"/>
        <v>0</v>
      </c>
      <c r="L112" s="63">
        <f t="shared" si="13"/>
        <v>0</v>
      </c>
      <c r="M112" s="708"/>
      <c r="N112" s="827" t="s">
        <v>6083</v>
      </c>
      <c r="O112" s="827" t="s">
        <v>6083</v>
      </c>
      <c r="P112" s="827"/>
      <c r="Q112" s="63"/>
      <c r="R112" s="63"/>
      <c r="S112" s="114"/>
      <c r="T112" s="114"/>
      <c r="U112" s="63"/>
      <c r="V112" s="114">
        <v>1</v>
      </c>
      <c r="W112" s="63"/>
      <c r="X112" s="636">
        <v>5</v>
      </c>
      <c r="Y112" s="114"/>
      <c r="Z112" s="63"/>
      <c r="AA112" s="63"/>
      <c r="AB112" s="63"/>
      <c r="AC112" s="400">
        <v>0.5</v>
      </c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</row>
    <row r="113" spans="1:40">
      <c r="A113" s="85">
        <f>IFERROR(VLOOKUP(Table7[[#This Row],[Player No]],Table11[[#All],[No]:[Age Group]],4,0),"")</f>
        <v>0</v>
      </c>
      <c r="B113" s="87">
        <v>46</v>
      </c>
      <c r="C113" s="77">
        <f t="shared" si="11"/>
        <v>-63</v>
      </c>
      <c r="D113" s="63">
        <f t="shared" si="10"/>
        <v>109</v>
      </c>
      <c r="E113" s="63">
        <v>7172</v>
      </c>
      <c r="F113" s="64" t="str">
        <f>IFERROR(VLOOKUP(Table7[[#This Row],[Player No]],Table11[[No]:[Province]],2,0),"")</f>
        <v>HLUBI Alwande</v>
      </c>
      <c r="G113" s="65" t="str">
        <f>IFERROR(VLOOKUP(Table7[[#This Row],[Player No]],Table11[[No]:[Province]],3,0),"")</f>
        <v>UTH</v>
      </c>
      <c r="H113" s="66">
        <v>12.5</v>
      </c>
      <c r="I113" s="96">
        <v>6.25</v>
      </c>
      <c r="J113" s="789">
        <f>Table7[[#This Row],[Points 2025]]/2+SUM(Table7[[#This Row],[O1  ADMIN 2026]:[P2           WC         CT Open 2026]])</f>
        <v>3.125</v>
      </c>
      <c r="K113" s="196">
        <f t="shared" si="12"/>
        <v>0</v>
      </c>
      <c r="L113" s="63">
        <f t="shared" si="13"/>
        <v>0</v>
      </c>
      <c r="M113" s="708"/>
      <c r="N113" s="708" t="s">
        <v>6083</v>
      </c>
      <c r="O113" s="708" t="s">
        <v>6083</v>
      </c>
      <c r="P113" s="708"/>
      <c r="Q113" s="63"/>
      <c r="R113" s="63"/>
      <c r="S113" s="114"/>
      <c r="T113" s="114"/>
      <c r="U113" s="63"/>
      <c r="V113" s="114"/>
      <c r="W113" s="63"/>
      <c r="X113" s="636"/>
      <c r="Y113" s="114"/>
      <c r="Z113" s="63"/>
      <c r="AA113" s="63"/>
      <c r="AB113" s="63"/>
      <c r="AC113" s="400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</row>
    <row r="114" spans="1:40">
      <c r="A114" s="85">
        <f>IFERROR(VLOOKUP(Table7[[#This Row],[Player No]],Table11[[#All],[No]:[Age Group]],4,0),"")</f>
        <v>0</v>
      </c>
      <c r="B114" s="87">
        <v>44</v>
      </c>
      <c r="C114" s="77">
        <f t="shared" si="11"/>
        <v>-66</v>
      </c>
      <c r="D114" s="63">
        <f t="shared" si="10"/>
        <v>110</v>
      </c>
      <c r="E114" s="63">
        <v>7856</v>
      </c>
      <c r="F114" s="64" t="str">
        <f>IFERROR(VLOOKUP(Table7[[#This Row],[Player No]],Table11[[No]:[Province]],2,0),"")</f>
        <v>VUKUVUKU Sinesipho</v>
      </c>
      <c r="G114" s="65" t="str">
        <f>IFERROR(VLOOKUP(Table7[[#This Row],[Player No]],Table11[[No]:[Province]],3,0),"")</f>
        <v>EC</v>
      </c>
      <c r="H114" s="66">
        <v>12.5</v>
      </c>
      <c r="I114" s="96">
        <v>6.25</v>
      </c>
      <c r="J114" s="789">
        <f>Table7[[#This Row],[Points 2025]]/2+SUM(Table7[[#This Row],[O1  ADMIN 2026]:[P2           WC         CT Open 2026]])</f>
        <v>3.125</v>
      </c>
      <c r="K114" s="196">
        <f t="shared" si="12"/>
        <v>0</v>
      </c>
      <c r="L114" s="63">
        <f t="shared" si="13"/>
        <v>0</v>
      </c>
      <c r="M114" s="708"/>
      <c r="N114" s="708" t="s">
        <v>6083</v>
      </c>
      <c r="O114" s="708" t="s">
        <v>6083</v>
      </c>
      <c r="P114" s="708"/>
      <c r="Q114" s="63"/>
      <c r="R114" s="63"/>
      <c r="S114" s="114"/>
      <c r="T114" s="114"/>
      <c r="U114" s="63"/>
      <c r="V114" s="114"/>
      <c r="W114" s="63"/>
      <c r="X114" s="636"/>
      <c r="Y114" s="114"/>
      <c r="Z114" s="63"/>
      <c r="AA114" s="63"/>
      <c r="AB114" s="63"/>
      <c r="AC114" s="400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</row>
    <row r="115" spans="1:40">
      <c r="A115" s="85">
        <f>IFERROR(VLOOKUP(Table7[[#This Row],[Player No]],Table11[[#All],[No]:[Age Group]],4,0),"")</f>
        <v>0</v>
      </c>
      <c r="B115" s="87">
        <v>45</v>
      </c>
      <c r="C115" s="77">
        <f t="shared" si="11"/>
        <v>-66</v>
      </c>
      <c r="D115" s="63">
        <f t="shared" si="10"/>
        <v>111</v>
      </c>
      <c r="E115" s="63">
        <v>8156</v>
      </c>
      <c r="F115" s="64" t="str">
        <f>IFERROR(VLOOKUP(Table7[[#This Row],[Player No]],Table11[[No]:[Province]],2,0),"")</f>
        <v>NGAMBU Sibabaliwe</v>
      </c>
      <c r="G115" s="65" t="str">
        <f>IFERROR(VLOOKUP(Table7[[#This Row],[Player No]],Table11[[No]:[Province]],3,0),"")</f>
        <v>EC</v>
      </c>
      <c r="H115" s="66">
        <v>12.5</v>
      </c>
      <c r="I115" s="96">
        <v>6.25</v>
      </c>
      <c r="J115" s="789">
        <f>Table7[[#This Row],[Points 2025]]/2+SUM(Table7[[#This Row],[O1  ADMIN 2026]:[P2           WC         CT Open 2026]])</f>
        <v>3.125</v>
      </c>
      <c r="K115" s="196">
        <f t="shared" si="12"/>
        <v>0</v>
      </c>
      <c r="L115" s="63">
        <f t="shared" si="13"/>
        <v>0</v>
      </c>
      <c r="M115" s="708"/>
      <c r="N115" s="708" t="s">
        <v>6083</v>
      </c>
      <c r="O115" s="708" t="s">
        <v>6083</v>
      </c>
      <c r="P115" s="708"/>
      <c r="Q115" s="63"/>
      <c r="R115" s="63"/>
      <c r="S115" s="114"/>
      <c r="T115" s="114"/>
      <c r="U115" s="63"/>
      <c r="V115" s="114"/>
      <c r="W115" s="63"/>
      <c r="X115" s="636"/>
      <c r="Y115" s="114"/>
      <c r="Z115" s="63"/>
      <c r="AA115" s="63"/>
      <c r="AB115" s="63"/>
      <c r="AC115" s="400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</row>
    <row r="116" spans="1:40">
      <c r="A116" s="85">
        <f>IFERROR(VLOOKUP(Table7[[#This Row],[Player No]],Table11[[#All],[No]:[Age Group]],4,0),"")</f>
        <v>0</v>
      </c>
      <c r="B116" s="87">
        <v>48</v>
      </c>
      <c r="C116" s="77">
        <f t="shared" si="11"/>
        <v>-64</v>
      </c>
      <c r="D116" s="63">
        <f t="shared" si="10"/>
        <v>112</v>
      </c>
      <c r="E116" s="63">
        <v>8287</v>
      </c>
      <c r="F116" s="64" t="str">
        <f>IFERROR(VLOOKUP(Table7[[#This Row],[Player No]],Table11[[No]:[Province]],2,0),"")</f>
        <v>PERRANG Deonay</v>
      </c>
      <c r="G116" s="65" t="str">
        <f>IFERROR(VLOOKUP(Table7[[#This Row],[Player No]],Table11[[No]:[Province]],3,0),"")</f>
        <v>WC</v>
      </c>
      <c r="H116" s="66">
        <v>12.5</v>
      </c>
      <c r="I116" s="96">
        <v>6.25</v>
      </c>
      <c r="J116" s="789">
        <f>Table7[[#This Row],[Points 2025]]/2+SUM(Table7[[#This Row],[O1  ADMIN 2026]:[P2           WC         CT Open 2026]])</f>
        <v>3.125</v>
      </c>
      <c r="K116" s="196">
        <f t="shared" si="12"/>
        <v>0</v>
      </c>
      <c r="L116" s="63">
        <f t="shared" si="13"/>
        <v>0</v>
      </c>
      <c r="M116" s="708"/>
      <c r="N116" s="708" t="s">
        <v>6083</v>
      </c>
      <c r="O116" s="708" t="s">
        <v>6083</v>
      </c>
      <c r="P116" s="708"/>
      <c r="Q116" s="63"/>
      <c r="R116" s="63"/>
      <c r="S116" s="114"/>
      <c r="T116" s="114"/>
      <c r="U116" s="63"/>
      <c r="V116" s="114"/>
      <c r="W116" s="63"/>
      <c r="X116" s="636"/>
      <c r="Y116" s="114"/>
      <c r="Z116" s="63"/>
      <c r="AA116" s="63"/>
      <c r="AB116" s="63"/>
      <c r="AC116" s="400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</row>
    <row r="117" spans="1:40">
      <c r="A117" s="85">
        <f>IFERROR(VLOOKUP(Table7[[#This Row],[Player No]],Table11[[#All],[No]:[Age Group]],4,0),"")</f>
        <v>0</v>
      </c>
      <c r="B117" s="87">
        <v>56</v>
      </c>
      <c r="C117" s="77">
        <f t="shared" si="11"/>
        <v>-57</v>
      </c>
      <c r="D117" s="63">
        <f t="shared" si="10"/>
        <v>113</v>
      </c>
      <c r="E117" s="63">
        <v>7993</v>
      </c>
      <c r="F117" s="64" t="str">
        <f>IFERROR(VLOOKUP(Table7[[#This Row],[Player No]],Table11[[No]:[Province]],2,0),"")</f>
        <v>MOCHABELA Refilwe</v>
      </c>
      <c r="G117" s="65" t="str">
        <f>IFERROR(VLOOKUP(Table7[[#This Row],[Player No]],Table11[[No]:[Province]],3,0),"")</f>
        <v>LIM</v>
      </c>
      <c r="H117" s="66">
        <v>10.9453125</v>
      </c>
      <c r="I117" s="96">
        <v>5.47265625</v>
      </c>
      <c r="J117" s="789">
        <f>Table7[[#This Row],[Points 2025]]/2+SUM(Table7[[#This Row],[O1  ADMIN 2026]:[P2           WC         CT Open 2026]])</f>
        <v>2.736328125</v>
      </c>
      <c r="K117" s="196">
        <f t="shared" si="12"/>
        <v>0</v>
      </c>
      <c r="L117" s="63">
        <f t="shared" si="13"/>
        <v>0</v>
      </c>
      <c r="M117" s="708"/>
      <c r="N117" s="708" t="s">
        <v>6083</v>
      </c>
      <c r="O117" s="708" t="s">
        <v>6083</v>
      </c>
      <c r="P117" s="708"/>
      <c r="Q117" s="63"/>
      <c r="R117" s="63"/>
      <c r="S117" s="114"/>
      <c r="T117" s="114"/>
      <c r="U117" s="63"/>
      <c r="V117" s="114"/>
      <c r="W117" s="63"/>
      <c r="X117" s="636"/>
      <c r="Y117" s="114"/>
      <c r="Z117" s="63"/>
      <c r="AA117" s="63"/>
      <c r="AB117" s="63"/>
      <c r="AC117" s="400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</row>
    <row r="118" spans="1:40">
      <c r="A118" s="633"/>
      <c r="B118" s="634" t="e">
        <f>VLOOKUP(Table7[[#This Row],[Player No]],'[7]u15 girls'!$E$5:$F$68,2,0)</f>
        <v>#N/A</v>
      </c>
      <c r="C118" s="618" t="e">
        <f t="shared" si="11"/>
        <v>#N/A</v>
      </c>
      <c r="D118" s="63">
        <f t="shared" si="10"/>
        <v>114</v>
      </c>
      <c r="E118" s="620">
        <v>8241</v>
      </c>
      <c r="F118" s="717" t="str">
        <f>IFERROR(VLOOKUP(Table7[[#This Row],[Player No]],Table11[[No]:[Province]],2,0),"")</f>
        <v>PEDRO Dalzanthy</v>
      </c>
      <c r="G118" s="720" t="str">
        <f>IFERROR(VLOOKUP(Table7[[#This Row],[Player No]],Table11[[No]:[Province]],3,0),"")</f>
        <v>Eden</v>
      </c>
      <c r="H118" s="626"/>
      <c r="I118" s="644">
        <v>5</v>
      </c>
      <c r="J118" s="819">
        <f>Table7[[#This Row],[Points 2025]]/2+SUM(Table7[[#This Row],[O1  ADMIN 2026]:[P2           WC         CT Open 2026]])</f>
        <v>2.5</v>
      </c>
      <c r="K118" s="724">
        <f t="shared" si="12"/>
        <v>0</v>
      </c>
      <c r="L118" s="63">
        <f t="shared" si="13"/>
        <v>0</v>
      </c>
      <c r="M118" s="708"/>
      <c r="N118" s="781" t="s">
        <v>6083</v>
      </c>
      <c r="O118" s="781" t="s">
        <v>6083</v>
      </c>
      <c r="P118" s="781"/>
      <c r="Q118" s="624"/>
      <c r="R118" s="624"/>
      <c r="S118" s="625"/>
      <c r="T118" s="625"/>
      <c r="U118" s="624"/>
      <c r="V118" s="625"/>
      <c r="W118" s="624"/>
      <c r="X118" s="677">
        <v>5</v>
      </c>
      <c r="Y118" s="625"/>
      <c r="Z118" s="624"/>
      <c r="AA118" s="624"/>
      <c r="AB118" s="624"/>
      <c r="AC118" s="611"/>
      <c r="AD118" s="624"/>
      <c r="AE118" s="624"/>
      <c r="AF118" s="624"/>
      <c r="AG118" s="624"/>
      <c r="AH118" s="624"/>
      <c r="AI118" s="624"/>
      <c r="AJ118" s="624"/>
      <c r="AK118" s="624"/>
      <c r="AL118" s="624"/>
      <c r="AM118" s="624"/>
      <c r="AN118" s="624"/>
    </row>
    <row r="119" spans="1:40">
      <c r="A119" s="633"/>
      <c r="B119" s="634" t="e">
        <f>VLOOKUP(Table7[[#This Row],[Player No]],'[7]u15 girls'!$E$5:$F$68,2,0)</f>
        <v>#N/A</v>
      </c>
      <c r="C119" s="618" t="e">
        <f t="shared" si="11"/>
        <v>#N/A</v>
      </c>
      <c r="D119" s="63">
        <f t="shared" si="10"/>
        <v>115</v>
      </c>
      <c r="E119" s="620">
        <v>8364</v>
      </c>
      <c r="F119" s="717" t="str">
        <f>IFERROR(VLOOKUP(Table7[[#This Row],[Player No]],Table11[[No]:[Province]],2,0),"")</f>
        <v>LEHLOO Tshepiso</v>
      </c>
      <c r="G119" s="720" t="str">
        <f>IFERROR(VLOOKUP(Table7[[#This Row],[Player No]],Table11[[No]:[Province]],3,0),"")</f>
        <v>NW</v>
      </c>
      <c r="H119" s="626"/>
      <c r="I119" s="644">
        <v>5</v>
      </c>
      <c r="J119" s="819">
        <f>Table7[[#This Row],[Points 2025]]/2+SUM(Table7[[#This Row],[O1  ADMIN 2026]:[P2           WC         CT Open 2026]])</f>
        <v>2.5</v>
      </c>
      <c r="K119" s="724">
        <f t="shared" si="12"/>
        <v>0</v>
      </c>
      <c r="L119" s="63">
        <f t="shared" si="13"/>
        <v>0</v>
      </c>
      <c r="M119" s="708"/>
      <c r="N119" s="781" t="s">
        <v>6083</v>
      </c>
      <c r="O119" s="781" t="s">
        <v>6083</v>
      </c>
      <c r="P119" s="781"/>
      <c r="Q119" s="624"/>
      <c r="R119" s="624"/>
      <c r="S119" s="625"/>
      <c r="T119" s="625"/>
      <c r="U119" s="624"/>
      <c r="V119" s="625"/>
      <c r="W119" s="624"/>
      <c r="X119" s="677">
        <v>5</v>
      </c>
      <c r="Y119" s="625"/>
      <c r="Z119" s="624"/>
      <c r="AA119" s="624"/>
      <c r="AB119" s="624"/>
      <c r="AC119" s="611"/>
      <c r="AD119" s="624"/>
      <c r="AE119" s="624"/>
      <c r="AF119" s="624"/>
      <c r="AG119" s="624"/>
      <c r="AH119" s="624"/>
      <c r="AI119" s="624"/>
      <c r="AJ119" s="624"/>
      <c r="AK119" s="624"/>
      <c r="AL119" s="624"/>
      <c r="AM119" s="624"/>
      <c r="AN119" s="624"/>
    </row>
    <row r="120" spans="1:40">
      <c r="A120" s="633"/>
      <c r="B120" s="634" t="e">
        <f>VLOOKUP(Table7[[#This Row],[Player No]],'[7]u15 girls'!$E$5:$F$68,2,0)</f>
        <v>#N/A</v>
      </c>
      <c r="C120" s="618" t="e">
        <f t="shared" si="11"/>
        <v>#N/A</v>
      </c>
      <c r="D120" s="63">
        <f t="shared" si="10"/>
        <v>116</v>
      </c>
      <c r="E120" s="620">
        <v>8536</v>
      </c>
      <c r="F120" s="717" t="str">
        <f>IFERROR(VLOOKUP(Table7[[#This Row],[Player No]],Table11[[No]:[Province]],2,0),"")</f>
        <v>RUITERS Taylor</v>
      </c>
      <c r="G120" s="720" t="str">
        <f>IFERROR(VLOOKUP(Table7[[#This Row],[Player No]],Table11[[No]:[Province]],3,0),"")</f>
        <v>EDEN</v>
      </c>
      <c r="H120" s="626"/>
      <c r="I120" s="644">
        <v>5</v>
      </c>
      <c r="J120" s="819">
        <f>Table7[[#This Row],[Points 2025]]/2+SUM(Table7[[#This Row],[O1  ADMIN 2026]:[P2           WC         CT Open 2026]])</f>
        <v>2.5</v>
      </c>
      <c r="K120" s="724">
        <f t="shared" si="12"/>
        <v>0</v>
      </c>
      <c r="L120" s="63">
        <f t="shared" si="13"/>
        <v>0</v>
      </c>
      <c r="M120" s="708"/>
      <c r="N120" s="781" t="s">
        <v>6083</v>
      </c>
      <c r="O120" s="781" t="s">
        <v>6083</v>
      </c>
      <c r="P120" s="781"/>
      <c r="Q120" s="624"/>
      <c r="R120" s="624"/>
      <c r="S120" s="625"/>
      <c r="T120" s="625"/>
      <c r="U120" s="624"/>
      <c r="V120" s="625"/>
      <c r="W120" s="624"/>
      <c r="X120" s="677">
        <v>5</v>
      </c>
      <c r="Y120" s="625"/>
      <c r="Z120" s="624"/>
      <c r="AA120" s="624"/>
      <c r="AB120" s="624"/>
      <c r="AC120" s="611"/>
      <c r="AD120" s="624"/>
      <c r="AE120" s="624"/>
      <c r="AF120" s="624"/>
      <c r="AG120" s="624"/>
      <c r="AH120" s="624"/>
      <c r="AI120" s="624"/>
      <c r="AJ120" s="624"/>
      <c r="AK120" s="624"/>
      <c r="AL120" s="624"/>
      <c r="AM120" s="624"/>
      <c r="AN120" s="624"/>
    </row>
    <row r="121" spans="1:40">
      <c r="A121" s="633"/>
      <c r="B121" s="634" t="e">
        <f>VLOOKUP(Table7[[#This Row],[Player No]],'[7]u15 girls'!$E$5:$F$68,2,0)</f>
        <v>#N/A</v>
      </c>
      <c r="C121" s="618" t="e">
        <f t="shared" si="11"/>
        <v>#N/A</v>
      </c>
      <c r="D121" s="63">
        <f t="shared" si="10"/>
        <v>117</v>
      </c>
      <c r="E121" s="620">
        <v>8590</v>
      </c>
      <c r="F121" s="717" t="str">
        <f>IFERROR(VLOOKUP(Table7[[#This Row],[Player No]],Table11[[No]:[Province]],2,0),"")</f>
        <v xml:space="preserve">Manhattan  Kholofelo Mokgadi </v>
      </c>
      <c r="G121" s="720" t="str">
        <f>IFERROR(VLOOKUP(Table7[[#This Row],[Player No]],Table11[[No]:[Province]],3,0),"")</f>
        <v>LIM</v>
      </c>
      <c r="H121" s="626"/>
      <c r="I121" s="644">
        <v>5</v>
      </c>
      <c r="J121" s="819">
        <f>Table7[[#This Row],[Points 2025]]/2+SUM(Table7[[#This Row],[O1  ADMIN 2026]:[P2           WC         CT Open 2026]])</f>
        <v>2.5</v>
      </c>
      <c r="K121" s="724">
        <f t="shared" si="12"/>
        <v>0</v>
      </c>
      <c r="L121" s="63">
        <f t="shared" si="13"/>
        <v>0</v>
      </c>
      <c r="M121" s="708"/>
      <c r="N121" s="781" t="s">
        <v>6083</v>
      </c>
      <c r="O121" s="781" t="s">
        <v>6083</v>
      </c>
      <c r="P121" s="781"/>
      <c r="Q121" s="624"/>
      <c r="R121" s="624"/>
      <c r="S121" s="625"/>
      <c r="T121" s="625"/>
      <c r="U121" s="624"/>
      <c r="V121" s="625"/>
      <c r="W121" s="624"/>
      <c r="X121" s="677">
        <v>5</v>
      </c>
      <c r="Y121" s="625"/>
      <c r="Z121" s="624"/>
      <c r="AA121" s="624"/>
      <c r="AB121" s="624"/>
      <c r="AC121" s="611"/>
      <c r="AD121" s="624"/>
      <c r="AE121" s="624"/>
      <c r="AF121" s="624"/>
      <c r="AG121" s="624"/>
      <c r="AH121" s="624"/>
      <c r="AI121" s="624"/>
      <c r="AJ121" s="624"/>
      <c r="AK121" s="624"/>
      <c r="AL121" s="624"/>
      <c r="AM121" s="624"/>
      <c r="AN121" s="624"/>
    </row>
    <row r="122" spans="1:40">
      <c r="A122" s="633"/>
      <c r="B122" s="634" t="e">
        <f>VLOOKUP(Table7[[#This Row],[Player No]],'[7]u15 girls'!$E$5:$F$68,2,0)</f>
        <v>#N/A</v>
      </c>
      <c r="C122" s="618" t="e">
        <f t="shared" si="11"/>
        <v>#N/A</v>
      </c>
      <c r="D122" s="63">
        <f t="shared" si="10"/>
        <v>118</v>
      </c>
      <c r="E122" s="620">
        <v>8634</v>
      </c>
      <c r="F122" s="717" t="str">
        <f>IFERROR(VLOOKUP(Table7[[#This Row],[Player No]],Table11[[No]:[Province]],2,0),"")</f>
        <v>GOVINDSAMY Letai-Shai Anne</v>
      </c>
      <c r="G122" s="720" t="str">
        <f>IFERROR(VLOOKUP(Table7[[#This Row],[Player No]],Table11[[No]:[Province]],3,0),"")</f>
        <v>ETTA</v>
      </c>
      <c r="H122" s="626"/>
      <c r="I122" s="644">
        <v>5</v>
      </c>
      <c r="J122" s="819">
        <f>Table7[[#This Row],[Points 2025]]/2+SUM(Table7[[#This Row],[O1  ADMIN 2026]:[P2           WC         CT Open 2026]])</f>
        <v>2.5</v>
      </c>
      <c r="K122" s="724">
        <f t="shared" si="12"/>
        <v>0</v>
      </c>
      <c r="L122" s="63">
        <f t="shared" si="13"/>
        <v>0</v>
      </c>
      <c r="M122" s="708"/>
      <c r="N122" s="781" t="s">
        <v>6083</v>
      </c>
      <c r="O122" s="781" t="s">
        <v>6083</v>
      </c>
      <c r="P122" s="781"/>
      <c r="Q122" s="624"/>
      <c r="R122" s="624"/>
      <c r="S122" s="625"/>
      <c r="T122" s="625"/>
      <c r="U122" s="624"/>
      <c r="V122" s="625"/>
      <c r="W122" s="624"/>
      <c r="X122" s="677">
        <v>5</v>
      </c>
      <c r="Y122" s="625"/>
      <c r="Z122" s="624"/>
      <c r="AA122" s="624"/>
      <c r="AB122" s="624"/>
      <c r="AC122" s="611"/>
      <c r="AD122" s="624"/>
      <c r="AE122" s="624"/>
      <c r="AF122" s="624"/>
      <c r="AG122" s="624"/>
      <c r="AH122" s="624"/>
      <c r="AI122" s="624"/>
      <c r="AJ122" s="624"/>
      <c r="AK122" s="624"/>
      <c r="AL122" s="624"/>
      <c r="AM122" s="624"/>
      <c r="AN122" s="624"/>
    </row>
    <row r="123" spans="1:40">
      <c r="A123" s="633"/>
      <c r="B123" s="634" t="e">
        <f>VLOOKUP(Table7[[#This Row],[Player No]],'[7]u15 girls'!$E$5:$F$68,2,0)</f>
        <v>#N/A</v>
      </c>
      <c r="C123" s="618" t="e">
        <f t="shared" ref="C123:C145" si="14">+B123-D123</f>
        <v>#N/A</v>
      </c>
      <c r="D123" s="63">
        <f t="shared" si="10"/>
        <v>119</v>
      </c>
      <c r="E123" s="620">
        <v>8823</v>
      </c>
      <c r="F123" s="717" t="str">
        <f>IFERROR(VLOOKUP(Table7[[#This Row],[Player No]],Table11[[No]:[Province]],2,0),"")</f>
        <v>VENTER  Jada</v>
      </c>
      <c r="G123" s="720" t="str">
        <f>IFERROR(VLOOKUP(Table7[[#This Row],[Player No]],Table11[[No]:[Province]],3,0),"")</f>
        <v xml:space="preserve">GN </v>
      </c>
      <c r="H123" s="626"/>
      <c r="I123" s="644">
        <v>5</v>
      </c>
      <c r="J123" s="819">
        <f>Table7[[#This Row],[Points 2025]]/2+SUM(Table7[[#This Row],[O1  ADMIN 2026]:[P2           WC         CT Open 2026]])</f>
        <v>2.5</v>
      </c>
      <c r="K123" s="724">
        <f t="shared" si="12"/>
        <v>0</v>
      </c>
      <c r="L123" s="63">
        <f t="shared" si="13"/>
        <v>0</v>
      </c>
      <c r="M123" s="708"/>
      <c r="N123" s="781" t="s">
        <v>6083</v>
      </c>
      <c r="O123" s="781" t="s">
        <v>6083</v>
      </c>
      <c r="P123" s="781"/>
      <c r="Q123" s="624"/>
      <c r="R123" s="624"/>
      <c r="S123" s="625"/>
      <c r="T123" s="625"/>
      <c r="U123" s="624"/>
      <c r="V123" s="625"/>
      <c r="W123" s="624"/>
      <c r="X123" s="677">
        <v>5</v>
      </c>
      <c r="Y123" s="625"/>
      <c r="Z123" s="624"/>
      <c r="AA123" s="624"/>
      <c r="AB123" s="624"/>
      <c r="AC123" s="611"/>
      <c r="AD123" s="624"/>
      <c r="AE123" s="624"/>
      <c r="AF123" s="624"/>
      <c r="AG123" s="624"/>
      <c r="AH123" s="624"/>
      <c r="AI123" s="624"/>
      <c r="AJ123" s="624"/>
      <c r="AK123" s="624"/>
      <c r="AL123" s="624"/>
      <c r="AM123" s="624"/>
      <c r="AN123" s="624"/>
    </row>
    <row r="124" spans="1:40">
      <c r="A124" s="633"/>
      <c r="B124" s="634" t="e">
        <f>VLOOKUP(Table7[[#This Row],[Player No]],'[7]u15 girls'!$E$5:$F$68,2,0)</f>
        <v>#N/A</v>
      </c>
      <c r="C124" s="618" t="e">
        <f t="shared" si="14"/>
        <v>#N/A</v>
      </c>
      <c r="D124" s="63">
        <f t="shared" si="10"/>
        <v>120</v>
      </c>
      <c r="E124" s="620">
        <v>8829</v>
      </c>
      <c r="F124" s="717" t="str">
        <f>IFERROR(VLOOKUP(Table7[[#This Row],[Player No]],Table11[[No]:[Province]],2,0),"")</f>
        <v>MATILOSE Yonwaba</v>
      </c>
      <c r="G124" s="720" t="str">
        <f>IFERROR(VLOOKUP(Table7[[#This Row],[Player No]],Table11[[No]:[Province]],3,0),"")</f>
        <v xml:space="preserve">EC </v>
      </c>
      <c r="H124" s="626"/>
      <c r="I124" s="644">
        <v>5</v>
      </c>
      <c r="J124" s="819">
        <f>Table7[[#This Row],[Points 2025]]/2+SUM(Table7[[#This Row],[O1  ADMIN 2026]:[P2           WC         CT Open 2026]])</f>
        <v>2.5</v>
      </c>
      <c r="K124" s="724">
        <f t="shared" si="12"/>
        <v>0</v>
      </c>
      <c r="L124" s="63">
        <f t="shared" si="13"/>
        <v>0</v>
      </c>
      <c r="M124" s="708"/>
      <c r="N124" s="781" t="s">
        <v>6083</v>
      </c>
      <c r="O124" s="781" t="s">
        <v>6083</v>
      </c>
      <c r="P124" s="781"/>
      <c r="Q124" s="624"/>
      <c r="R124" s="624"/>
      <c r="S124" s="625"/>
      <c r="T124" s="625"/>
      <c r="U124" s="624"/>
      <c r="V124" s="625"/>
      <c r="W124" s="624"/>
      <c r="X124" s="677">
        <v>5</v>
      </c>
      <c r="Y124" s="625"/>
      <c r="Z124" s="624"/>
      <c r="AA124" s="624"/>
      <c r="AB124" s="624"/>
      <c r="AC124" s="611"/>
      <c r="AD124" s="624"/>
      <c r="AE124" s="624"/>
      <c r="AF124" s="624"/>
      <c r="AG124" s="624"/>
      <c r="AH124" s="624"/>
      <c r="AI124" s="624"/>
      <c r="AJ124" s="624"/>
      <c r="AK124" s="624"/>
      <c r="AL124" s="624"/>
      <c r="AM124" s="624"/>
      <c r="AN124" s="624"/>
    </row>
    <row r="125" spans="1:40">
      <c r="A125" s="633"/>
      <c r="B125" s="634" t="e">
        <f>VLOOKUP(Table7[[#This Row],[Player No]],'[7]u15 girls'!$E$5:$F$68,2,0)</f>
        <v>#N/A</v>
      </c>
      <c r="C125" s="618" t="e">
        <f t="shared" si="14"/>
        <v>#N/A</v>
      </c>
      <c r="D125" s="63">
        <f t="shared" si="10"/>
        <v>121</v>
      </c>
      <c r="E125" s="620">
        <v>8830</v>
      </c>
      <c r="F125" s="717" t="str">
        <f>IFERROR(VLOOKUP(Table7[[#This Row],[Player No]],Table11[[No]:[Province]],2,0),"")</f>
        <v>BONGA Inam</v>
      </c>
      <c r="G125" s="720" t="str">
        <f>IFERROR(VLOOKUP(Table7[[#This Row],[Player No]],Table11[[No]:[Province]],3,0),"")</f>
        <v xml:space="preserve">EC </v>
      </c>
      <c r="H125" s="626"/>
      <c r="I125" s="644">
        <v>5</v>
      </c>
      <c r="J125" s="819">
        <f>Table7[[#This Row],[Points 2025]]/2+SUM(Table7[[#This Row],[O1  ADMIN 2026]:[P2           WC         CT Open 2026]])</f>
        <v>2.5</v>
      </c>
      <c r="K125" s="724">
        <f t="shared" si="12"/>
        <v>0</v>
      </c>
      <c r="L125" s="63">
        <f t="shared" si="13"/>
        <v>0</v>
      </c>
      <c r="M125" s="708"/>
      <c r="N125" s="781" t="s">
        <v>6083</v>
      </c>
      <c r="O125" s="781" t="s">
        <v>6083</v>
      </c>
      <c r="P125" s="781"/>
      <c r="Q125" s="624"/>
      <c r="R125" s="624"/>
      <c r="S125" s="625"/>
      <c r="T125" s="625"/>
      <c r="U125" s="624"/>
      <c r="V125" s="625"/>
      <c r="W125" s="624"/>
      <c r="X125" s="677">
        <v>5</v>
      </c>
      <c r="Y125" s="625"/>
      <c r="Z125" s="624"/>
      <c r="AA125" s="624"/>
      <c r="AB125" s="624"/>
      <c r="AC125" s="611"/>
      <c r="AD125" s="624"/>
      <c r="AE125" s="624"/>
      <c r="AF125" s="624"/>
      <c r="AG125" s="624"/>
      <c r="AH125" s="624"/>
      <c r="AI125" s="624"/>
      <c r="AJ125" s="624"/>
      <c r="AK125" s="624"/>
      <c r="AL125" s="624"/>
      <c r="AM125" s="624"/>
      <c r="AN125" s="624"/>
    </row>
    <row r="126" spans="1:40">
      <c r="A126" s="633"/>
      <c r="B126" s="634" t="e">
        <f>VLOOKUP(Table7[[#This Row],[Player No]],'[7]u15 girls'!$E$5:$F$68,2,0)</f>
        <v>#N/A</v>
      </c>
      <c r="C126" s="618" t="e">
        <f t="shared" si="14"/>
        <v>#N/A</v>
      </c>
      <c r="D126" s="63">
        <f t="shared" si="10"/>
        <v>122</v>
      </c>
      <c r="E126" s="624">
        <v>8840</v>
      </c>
      <c r="F126" s="717" t="str">
        <f>IFERROR(VLOOKUP(Table7[[#This Row],[Player No]],Table11[[No]:[Province]],2,0),"")</f>
        <v>Aphiwe MAKHUBU</v>
      </c>
      <c r="G126" s="720" t="str">
        <f>IFERROR(VLOOKUP(Table7[[#This Row],[Player No]],Table11[[No]:[Province]],3,0),"")</f>
        <v>UMZ</v>
      </c>
      <c r="H126" s="626"/>
      <c r="I126" s="644">
        <v>5</v>
      </c>
      <c r="J126" s="819">
        <f>Table7[[#This Row],[Points 2025]]/2+SUM(Table7[[#This Row],[O1  ADMIN 2026]:[P2           WC         CT Open 2026]])</f>
        <v>2.5</v>
      </c>
      <c r="K126" s="724">
        <f t="shared" si="12"/>
        <v>0</v>
      </c>
      <c r="L126" s="63">
        <f t="shared" si="13"/>
        <v>0</v>
      </c>
      <c r="M126" s="708"/>
      <c r="N126" s="781" t="s">
        <v>6083</v>
      </c>
      <c r="O126" s="781" t="s">
        <v>6083</v>
      </c>
      <c r="P126" s="781"/>
      <c r="Q126" s="624"/>
      <c r="R126" s="624"/>
      <c r="S126" s="625"/>
      <c r="T126" s="625"/>
      <c r="U126" s="624"/>
      <c r="V126" s="625"/>
      <c r="W126" s="624"/>
      <c r="X126" s="677">
        <v>5</v>
      </c>
      <c r="Y126" s="625"/>
      <c r="Z126" s="624"/>
      <c r="AA126" s="624"/>
      <c r="AB126" s="624"/>
      <c r="AC126" s="611"/>
      <c r="AD126" s="624"/>
      <c r="AE126" s="624"/>
      <c r="AF126" s="624"/>
      <c r="AG126" s="624"/>
      <c r="AH126" s="624"/>
      <c r="AI126" s="624"/>
      <c r="AJ126" s="624"/>
      <c r="AK126" s="624"/>
      <c r="AL126" s="624"/>
      <c r="AM126" s="624"/>
      <c r="AN126" s="624"/>
    </row>
    <row r="127" spans="1:40">
      <c r="A127" s="298"/>
      <c r="B127" s="87" t="e">
        <f>VLOOKUP(Table7[[#This Row],[Player No]],'[7]u15 girls'!$E$5:$F$68,2,0)</f>
        <v>#N/A</v>
      </c>
      <c r="C127" s="77" t="e">
        <f t="shared" si="14"/>
        <v>#N/A</v>
      </c>
      <c r="D127" s="63">
        <f t="shared" si="10"/>
        <v>123</v>
      </c>
      <c r="E127" s="154">
        <v>8124</v>
      </c>
      <c r="F127" s="280" t="str">
        <f>IFERROR(VLOOKUP(Table7[[#This Row],[Player No]],Table11[[No]:[Province]],2,0),"")</f>
        <v>GOLOGOLO Milka</v>
      </c>
      <c r="G127" s="281" t="str">
        <f>IFERROR(VLOOKUP(Table7[[#This Row],[Player No]],Table11[[No]:[Province]],3,0),"")</f>
        <v>FS</v>
      </c>
      <c r="H127" s="66"/>
      <c r="I127" s="96">
        <v>0</v>
      </c>
      <c r="J127" s="789">
        <f>Table7[[#This Row],[Points 2025]]/2+SUM(Table7[[#This Row],[O1  ADMIN 2026]:[P2           WC         CT Open 2026]])</f>
        <v>2</v>
      </c>
      <c r="K127" s="300">
        <f t="shared" si="12"/>
        <v>2</v>
      </c>
      <c r="L127" s="154">
        <f t="shared" si="13"/>
        <v>0</v>
      </c>
      <c r="M127" s="827"/>
      <c r="N127" s="827">
        <v>1</v>
      </c>
      <c r="O127" s="827">
        <v>1</v>
      </c>
      <c r="P127" s="827"/>
      <c r="Q127" s="63"/>
      <c r="R127" s="63"/>
      <c r="S127" s="114"/>
      <c r="T127" s="114"/>
      <c r="U127" s="63"/>
      <c r="V127" s="114"/>
      <c r="W127" s="63"/>
      <c r="X127" s="636"/>
      <c r="Y127" s="114"/>
      <c r="Z127" s="63"/>
      <c r="AA127" s="63"/>
      <c r="AB127" s="63"/>
      <c r="AC127" s="400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</row>
    <row r="128" spans="1:40">
      <c r="A128" s="298"/>
      <c r="B128" s="87" t="e">
        <f>VLOOKUP(Table7[[#This Row],[Player No]],'[7]u15 girls'!$E$5:$F$68,2,0)</f>
        <v>#N/A</v>
      </c>
      <c r="C128" s="77" t="e">
        <f t="shared" si="14"/>
        <v>#N/A</v>
      </c>
      <c r="D128" s="63">
        <f t="shared" si="10"/>
        <v>124</v>
      </c>
      <c r="E128" s="154">
        <v>8574</v>
      </c>
      <c r="F128" s="280" t="str">
        <f>IFERROR(VLOOKUP(Table7[[#This Row],[Player No]],Table11[[No]:[Province]],2,0),"")</f>
        <v>Jiya Naidoo</v>
      </c>
      <c r="G128" s="281" t="str">
        <f>IFERROR(VLOOKUP(Table7[[#This Row],[Player No]],Table11[[No]:[Province]],3,0),"")</f>
        <v>UMG</v>
      </c>
      <c r="H128" s="66"/>
      <c r="I128" s="96">
        <v>0</v>
      </c>
      <c r="J128" s="789">
        <f>Table7[[#This Row],[Points 2025]]/2+SUM(Table7[[#This Row],[O1  ADMIN 2026]:[P2           WC         CT Open 2026]])</f>
        <v>2</v>
      </c>
      <c r="K128" s="300">
        <f t="shared" si="12"/>
        <v>2</v>
      </c>
      <c r="L128" s="154">
        <f t="shared" si="13"/>
        <v>0</v>
      </c>
      <c r="M128" s="827"/>
      <c r="N128" s="827">
        <v>1</v>
      </c>
      <c r="O128" s="827">
        <v>1</v>
      </c>
      <c r="P128" s="827"/>
      <c r="Q128" s="63"/>
      <c r="R128" s="63"/>
      <c r="S128" s="114"/>
      <c r="T128" s="114"/>
      <c r="U128" s="63"/>
      <c r="V128" s="114"/>
      <c r="W128" s="63"/>
      <c r="X128" s="636"/>
      <c r="Y128" s="114"/>
      <c r="Z128" s="63"/>
      <c r="AA128" s="63"/>
      <c r="AB128" s="63"/>
      <c r="AC128" s="400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</row>
    <row r="129" spans="1:40">
      <c r="A129" s="85">
        <f>IFERROR(VLOOKUP(Table7[[#This Row],[Player No]],Table11[[#All],[No]:[Age Group]],4,0),"")</f>
        <v>0</v>
      </c>
      <c r="B129" s="87">
        <v>57</v>
      </c>
      <c r="C129" s="77">
        <f t="shared" si="14"/>
        <v>-68</v>
      </c>
      <c r="D129" s="63">
        <f t="shared" si="10"/>
        <v>125</v>
      </c>
      <c r="E129" s="63">
        <v>8254</v>
      </c>
      <c r="F129" s="64" t="str">
        <f>IFERROR(VLOOKUP(Table7[[#This Row],[Player No]],Table11[[No]:[Province]],2,0),"")</f>
        <v>ALI Nuralhuda</v>
      </c>
      <c r="G129" s="65" t="str">
        <f>IFERROR(VLOOKUP(Table7[[#This Row],[Player No]],Table11[[No]:[Province]],3,0),"")</f>
        <v>JTTA</v>
      </c>
      <c r="H129" s="66">
        <v>7.5</v>
      </c>
      <c r="I129" s="96">
        <v>3.75</v>
      </c>
      <c r="J129" s="789">
        <f>Table7[[#This Row],[Points 2025]]/2+SUM(Table7[[#This Row],[O1  ADMIN 2026]:[P2           WC         CT Open 2026]])</f>
        <v>1.875</v>
      </c>
      <c r="K129" s="196">
        <f t="shared" si="12"/>
        <v>0</v>
      </c>
      <c r="L129" s="63">
        <f t="shared" si="13"/>
        <v>0</v>
      </c>
      <c r="M129" s="708"/>
      <c r="N129" s="708" t="s">
        <v>6083</v>
      </c>
      <c r="O129" s="708" t="s">
        <v>6083</v>
      </c>
      <c r="P129" s="708"/>
      <c r="Q129" s="63"/>
      <c r="R129" s="63"/>
      <c r="S129" s="114"/>
      <c r="T129" s="114"/>
      <c r="U129" s="63"/>
      <c r="V129" s="114"/>
      <c r="W129" s="63"/>
      <c r="X129" s="636"/>
      <c r="Y129" s="114"/>
      <c r="Z129" s="63"/>
      <c r="AA129" s="63"/>
      <c r="AB129" s="63"/>
      <c r="AC129" s="400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</row>
    <row r="130" spans="1:40">
      <c r="A130" s="85">
        <f>IFERROR(VLOOKUP(Table7[[#This Row],[Player No]],Table11[[#All],[No]:[Age Group]],4,0),"")</f>
        <v>0</v>
      </c>
      <c r="B130" s="87">
        <v>91</v>
      </c>
      <c r="C130" s="77">
        <f t="shared" si="14"/>
        <v>-35</v>
      </c>
      <c r="D130" s="63">
        <f t="shared" si="10"/>
        <v>126</v>
      </c>
      <c r="E130" s="63">
        <v>8396</v>
      </c>
      <c r="F130" s="64" t="str">
        <f>IFERROR(VLOOKUP(Table7[[#This Row],[Player No]],Table11[[No]:[Province]],2,0),"")</f>
        <v>Cassie Stevens</v>
      </c>
      <c r="G130" s="65" t="str">
        <f>IFERROR(VLOOKUP(Table7[[#This Row],[Player No]],Table11[[No]:[Province]],3,0),"")</f>
        <v>Eden</v>
      </c>
      <c r="H130" s="66">
        <v>7</v>
      </c>
      <c r="I130" s="96">
        <v>3.5</v>
      </c>
      <c r="J130" s="789">
        <f>Table7[[#This Row],[Points 2025]]/2+SUM(Table7[[#This Row],[O1  ADMIN 2026]:[P2           WC         CT Open 2026]])</f>
        <v>1.75</v>
      </c>
      <c r="K130" s="196">
        <f t="shared" si="12"/>
        <v>0</v>
      </c>
      <c r="L130" s="63">
        <f t="shared" si="13"/>
        <v>0</v>
      </c>
      <c r="M130" s="708"/>
      <c r="N130" s="708" t="s">
        <v>6083</v>
      </c>
      <c r="O130" s="708" t="s">
        <v>6083</v>
      </c>
      <c r="P130" s="708"/>
      <c r="Q130" s="63"/>
      <c r="R130" s="63"/>
      <c r="S130" s="114"/>
      <c r="T130" s="114"/>
      <c r="U130" s="63"/>
      <c r="V130" s="114"/>
      <c r="W130" s="63"/>
      <c r="X130" s="636"/>
      <c r="Y130" s="114"/>
      <c r="Z130" s="63"/>
      <c r="AA130" s="63"/>
      <c r="AB130" s="63"/>
      <c r="AC130" s="400"/>
      <c r="AD130" s="63"/>
      <c r="AE130" s="63"/>
      <c r="AF130" s="63"/>
      <c r="AG130" s="63"/>
      <c r="AH130" s="63">
        <v>2</v>
      </c>
      <c r="AI130" s="63">
        <v>5</v>
      </c>
      <c r="AJ130" s="63"/>
      <c r="AK130" s="63"/>
      <c r="AL130" s="63"/>
      <c r="AM130" s="63"/>
      <c r="AN130" s="63"/>
    </row>
    <row r="131" spans="1:40">
      <c r="A131" s="85">
        <f>IFERROR(VLOOKUP(Table7[[#This Row],[Player No]],Table11[[#All],[No]:[Age Group]],4,0),"")</f>
        <v>0</v>
      </c>
      <c r="B131" s="87">
        <v>59</v>
      </c>
      <c r="C131" s="77">
        <f t="shared" si="14"/>
        <v>-68</v>
      </c>
      <c r="D131" s="63">
        <f t="shared" si="10"/>
        <v>127</v>
      </c>
      <c r="E131" s="63">
        <v>7984</v>
      </c>
      <c r="F131" s="64" t="str">
        <f>IFERROR(VLOOKUP(Table7[[#This Row],[Player No]],Table11[[No]:[Province]],2,0),"")</f>
        <v>THEBE KEARABETSWE</v>
      </c>
      <c r="G131" s="65" t="str">
        <f>IFERROR(VLOOKUP(Table7[[#This Row],[Player No]],Table11[[No]:[Province]],3,0),"")</f>
        <v>NW</v>
      </c>
      <c r="H131" s="66">
        <v>6.5625</v>
      </c>
      <c r="I131" s="96">
        <v>3.28125</v>
      </c>
      <c r="J131" s="789">
        <f>Table7[[#This Row],[Points 2025]]/2+SUM(Table7[[#This Row],[O1  ADMIN 2026]:[P2           WC         CT Open 2026]])</f>
        <v>1.640625</v>
      </c>
      <c r="K131" s="196">
        <f t="shared" si="12"/>
        <v>0</v>
      </c>
      <c r="L131" s="63">
        <f t="shared" si="13"/>
        <v>0</v>
      </c>
      <c r="M131" s="708"/>
      <c r="N131" s="708" t="s">
        <v>6083</v>
      </c>
      <c r="O131" s="708" t="s">
        <v>6083</v>
      </c>
      <c r="P131" s="708"/>
      <c r="Q131" s="63"/>
      <c r="R131" s="63"/>
      <c r="S131" s="114"/>
      <c r="T131" s="114"/>
      <c r="U131" s="63"/>
      <c r="V131" s="114"/>
      <c r="W131" s="63"/>
      <c r="X131" s="636"/>
      <c r="Y131" s="114"/>
      <c r="Z131" s="63"/>
      <c r="AA131" s="63"/>
      <c r="AB131" s="63"/>
      <c r="AC131" s="400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</row>
    <row r="132" spans="1:40">
      <c r="A132" s="85">
        <f>IFERROR(VLOOKUP(Table7[[#This Row],[Player No]],Table11[[#All],[No]:[Age Group]],4,0),"")</f>
        <v>0</v>
      </c>
      <c r="B132" s="87">
        <v>58</v>
      </c>
      <c r="C132" s="77">
        <f t="shared" si="14"/>
        <v>-70</v>
      </c>
      <c r="D132" s="63">
        <f t="shared" si="10"/>
        <v>128</v>
      </c>
      <c r="E132" s="63">
        <v>7991</v>
      </c>
      <c r="F132" s="64" t="str">
        <f>IFERROR(VLOOKUP(Table7[[#This Row],[Player No]],Table11[[No]:[Province]],2,0),"")</f>
        <v>NKOMONYE Akhona</v>
      </c>
      <c r="G132" s="65" t="str">
        <f>IFERROR(VLOOKUP(Table7[[#This Row],[Player No]],Table11[[No]:[Province]],3,0),"")</f>
        <v>EC</v>
      </c>
      <c r="H132" s="66">
        <v>6.5625</v>
      </c>
      <c r="I132" s="96">
        <v>3.28125</v>
      </c>
      <c r="J132" s="789">
        <f>Table7[[#This Row],[Points 2025]]/2+SUM(Table7[[#This Row],[O1  ADMIN 2026]:[P2           WC         CT Open 2026]])</f>
        <v>1.640625</v>
      </c>
      <c r="K132" s="196">
        <f t="shared" si="12"/>
        <v>0</v>
      </c>
      <c r="L132" s="63">
        <f t="shared" si="13"/>
        <v>0</v>
      </c>
      <c r="M132" s="708"/>
      <c r="N132" s="708" t="s">
        <v>6083</v>
      </c>
      <c r="O132" s="708" t="s">
        <v>6083</v>
      </c>
      <c r="P132" s="708"/>
      <c r="Q132" s="63"/>
      <c r="R132" s="63"/>
      <c r="S132" s="114"/>
      <c r="T132" s="114"/>
      <c r="U132" s="63"/>
      <c r="V132" s="114"/>
      <c r="W132" s="63"/>
      <c r="X132" s="636"/>
      <c r="Y132" s="114"/>
      <c r="Z132" s="63"/>
      <c r="AA132" s="63"/>
      <c r="AB132" s="63"/>
      <c r="AC132" s="400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</row>
    <row r="133" spans="1:40">
      <c r="A133" s="85">
        <f>IFERROR(VLOOKUP(Table7[[#This Row],[Player No]],Table11[[#All],[No]:[Age Group]],4,0),"")</f>
        <v>0</v>
      </c>
      <c r="B133" s="87">
        <v>64</v>
      </c>
      <c r="C133" s="77">
        <f t="shared" si="14"/>
        <v>-65</v>
      </c>
      <c r="D133" s="63">
        <f t="shared" si="10"/>
        <v>129</v>
      </c>
      <c r="E133" s="63">
        <v>7338</v>
      </c>
      <c r="F133" s="64" t="str">
        <f>IFERROR(VLOOKUP(Table7[[#This Row],[Player No]],Table11[[No]:[Province]],2,0),"")</f>
        <v xml:space="preserve">MOLOINYANA Lebogang </v>
      </c>
      <c r="G133" s="65" t="str">
        <f>IFERROR(VLOOKUP(Table7[[#This Row],[Player No]],Table11[[No]:[Province]],3,0),"")</f>
        <v>NW</v>
      </c>
      <c r="H133" s="66">
        <v>6.25</v>
      </c>
      <c r="I133" s="96">
        <v>3.125</v>
      </c>
      <c r="J133" s="789">
        <f>Table7[[#This Row],[Points 2025]]/2+SUM(Table7[[#This Row],[O1  ADMIN 2026]:[P2           WC         CT Open 2026]])</f>
        <v>1.5625</v>
      </c>
      <c r="K133" s="196">
        <f t="shared" ref="K133:K164" si="15">COUNTIF(M133:P133,"&gt;0")</f>
        <v>0</v>
      </c>
      <c r="L133" s="63">
        <f t="shared" ref="L133:L164" si="16">COUNTIF(N133:AN133,"&lt;0")</f>
        <v>0</v>
      </c>
      <c r="M133" s="708"/>
      <c r="N133" s="708" t="s">
        <v>6083</v>
      </c>
      <c r="O133" s="708" t="s">
        <v>6083</v>
      </c>
      <c r="P133" s="708"/>
      <c r="Q133" s="63"/>
      <c r="R133" s="63"/>
      <c r="S133" s="114"/>
      <c r="T133" s="114"/>
      <c r="U133" s="63"/>
      <c r="V133" s="114"/>
      <c r="W133" s="63"/>
      <c r="X133" s="636"/>
      <c r="Y133" s="114"/>
      <c r="Z133" s="63"/>
      <c r="AA133" s="63"/>
      <c r="AB133" s="63"/>
      <c r="AC133" s="400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</row>
    <row r="134" spans="1:40">
      <c r="A134" s="85">
        <f>IFERROR(VLOOKUP(Table7[[#This Row],[Player No]],Table11[[#All],[No]:[Age Group]],4,0),"")</f>
        <v>0</v>
      </c>
      <c r="B134" s="87">
        <v>62</v>
      </c>
      <c r="C134" s="77">
        <f t="shared" si="14"/>
        <v>-68</v>
      </c>
      <c r="D134" s="63">
        <f t="shared" si="10"/>
        <v>130</v>
      </c>
      <c r="E134" s="63">
        <v>7822</v>
      </c>
      <c r="F134" s="64" t="str">
        <f>IFERROR(VLOOKUP(Table7[[#This Row],[Player No]],Table11[[No]:[Province]],2,0),"")</f>
        <v>MAJANE Rethabile</v>
      </c>
      <c r="G134" s="65" t="str">
        <f>IFERROR(VLOOKUP(Table7[[#This Row],[Player No]],Table11[[No]:[Province]],3,0),"")</f>
        <v>FS</v>
      </c>
      <c r="H134" s="66">
        <v>6.25</v>
      </c>
      <c r="I134" s="96">
        <v>3.125</v>
      </c>
      <c r="J134" s="789">
        <f>Table7[[#This Row],[Points 2025]]/2+SUM(Table7[[#This Row],[O1  ADMIN 2026]:[P2           WC         CT Open 2026]])</f>
        <v>1.5625</v>
      </c>
      <c r="K134" s="196">
        <f t="shared" si="15"/>
        <v>0</v>
      </c>
      <c r="L134" s="63">
        <f t="shared" si="16"/>
        <v>0</v>
      </c>
      <c r="M134" s="708"/>
      <c r="N134" s="708" t="s">
        <v>6083</v>
      </c>
      <c r="O134" s="708" t="s">
        <v>6083</v>
      </c>
      <c r="P134" s="708"/>
      <c r="Q134" s="63"/>
      <c r="R134" s="63"/>
      <c r="S134" s="114"/>
      <c r="T134" s="114"/>
      <c r="U134" s="63"/>
      <c r="V134" s="114"/>
      <c r="W134" s="63"/>
      <c r="X134" s="636"/>
      <c r="Y134" s="114"/>
      <c r="Z134" s="63"/>
      <c r="AA134" s="63"/>
      <c r="AB134" s="63"/>
      <c r="AC134" s="400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</row>
    <row r="135" spans="1:40">
      <c r="A135" s="85">
        <f>IFERROR(VLOOKUP(Table7[[#This Row],[Player No]],Table11[[#All],[No]:[Age Group]],4,0),"")</f>
        <v>0</v>
      </c>
      <c r="B135" s="87">
        <v>63</v>
      </c>
      <c r="C135" s="77">
        <f t="shared" si="14"/>
        <v>-68</v>
      </c>
      <c r="D135" s="63">
        <f t="shared" ref="D135:D193" si="17">+D134+1</f>
        <v>131</v>
      </c>
      <c r="E135" s="63">
        <v>7836</v>
      </c>
      <c r="F135" s="64" t="str">
        <f>IFERROR(VLOOKUP(Table7[[#This Row],[Player No]],Table11[[No]:[Province]],2,0),"")</f>
        <v>WENASE Lisakhanya</v>
      </c>
      <c r="G135" s="65" t="str">
        <f>IFERROR(VLOOKUP(Table7[[#This Row],[Player No]],Table11[[No]:[Province]],3,0),"")</f>
        <v>JTTA</v>
      </c>
      <c r="H135" s="66">
        <v>6.25</v>
      </c>
      <c r="I135" s="96">
        <v>3.125</v>
      </c>
      <c r="J135" s="789">
        <f>Table7[[#This Row],[Points 2025]]/2+SUM(Table7[[#This Row],[O1  ADMIN 2026]:[P2           WC         CT Open 2026]])</f>
        <v>1.5625</v>
      </c>
      <c r="K135" s="196">
        <f t="shared" si="15"/>
        <v>0</v>
      </c>
      <c r="L135" s="63">
        <f t="shared" si="16"/>
        <v>0</v>
      </c>
      <c r="M135" s="708"/>
      <c r="N135" s="708" t="s">
        <v>6083</v>
      </c>
      <c r="O135" s="708" t="s">
        <v>6083</v>
      </c>
      <c r="P135" s="708"/>
      <c r="Q135" s="63"/>
      <c r="R135" s="63"/>
      <c r="S135" s="114"/>
      <c r="T135" s="114"/>
      <c r="U135" s="63"/>
      <c r="V135" s="114"/>
      <c r="W135" s="63"/>
      <c r="X135" s="636"/>
      <c r="Y135" s="114"/>
      <c r="Z135" s="63"/>
      <c r="AA135" s="63"/>
      <c r="AB135" s="63"/>
      <c r="AC135" s="400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</row>
    <row r="136" spans="1:40">
      <c r="A136" s="85">
        <f>IFERROR(VLOOKUP(Table7[[#This Row],[Player No]],Table11[[#All],[No]:[Age Group]],4,0),"")</f>
        <v>0</v>
      </c>
      <c r="B136" s="87">
        <v>61</v>
      </c>
      <c r="C136" s="77">
        <f t="shared" si="14"/>
        <v>-71</v>
      </c>
      <c r="D136" s="63">
        <f t="shared" si="17"/>
        <v>132</v>
      </c>
      <c r="E136" s="63">
        <v>7951</v>
      </c>
      <c r="F136" s="64" t="str">
        <f>IFERROR(VLOOKUP(Table7[[#This Row],[Player No]],Table11[[No]:[Province]],2,0),"")</f>
        <v>MZOLO Thandolwethu</v>
      </c>
      <c r="G136" s="65" t="str">
        <f>IFERROR(VLOOKUP(Table7[[#This Row],[Player No]],Table11[[No]:[Province]],3,0),"")</f>
        <v>UTH</v>
      </c>
      <c r="H136" s="66">
        <v>6.25</v>
      </c>
      <c r="I136" s="96">
        <v>3.125</v>
      </c>
      <c r="J136" s="789">
        <f>Table7[[#This Row],[Points 2025]]/2+SUM(Table7[[#This Row],[O1  ADMIN 2026]:[P2           WC         CT Open 2026]])</f>
        <v>1.5625</v>
      </c>
      <c r="K136" s="196">
        <f t="shared" si="15"/>
        <v>0</v>
      </c>
      <c r="L136" s="63">
        <f t="shared" si="16"/>
        <v>0</v>
      </c>
      <c r="M136" s="708"/>
      <c r="N136" s="708" t="s">
        <v>6083</v>
      </c>
      <c r="O136" s="708" t="s">
        <v>6083</v>
      </c>
      <c r="P136" s="708"/>
      <c r="Q136" s="63"/>
      <c r="R136" s="63"/>
      <c r="S136" s="114"/>
      <c r="T136" s="114"/>
      <c r="U136" s="63"/>
      <c r="V136" s="114"/>
      <c r="W136" s="63"/>
      <c r="X136" s="636"/>
      <c r="Y136" s="114"/>
      <c r="Z136" s="63"/>
      <c r="AA136" s="63"/>
      <c r="AB136" s="63"/>
      <c r="AC136" s="400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</row>
    <row r="137" spans="1:40">
      <c r="A137" s="85">
        <f>IFERROR(VLOOKUP(Table7[[#This Row],[Player No]],Table11[[#All],[No]:[Age Group]],4,0),"")</f>
        <v>0</v>
      </c>
      <c r="B137" s="87">
        <v>65</v>
      </c>
      <c r="C137" s="77">
        <f t="shared" si="14"/>
        <v>-68</v>
      </c>
      <c r="D137" s="63">
        <f t="shared" si="17"/>
        <v>133</v>
      </c>
      <c r="E137" s="63">
        <v>8073</v>
      </c>
      <c r="F137" s="64" t="str">
        <f>IFERROR(VLOOKUP(Table7[[#This Row],[Player No]],Table11[[No]:[Province]],2,0),"")</f>
        <v>NTONDO Inga</v>
      </c>
      <c r="G137" s="65" t="str">
        <f>IFERROR(VLOOKUP(Table7[[#This Row],[Player No]],Table11[[No]:[Province]],3,0),"")</f>
        <v>EDEN</v>
      </c>
      <c r="H137" s="66">
        <v>6.25</v>
      </c>
      <c r="I137" s="96">
        <v>3.125</v>
      </c>
      <c r="J137" s="789">
        <f>Table7[[#This Row],[Points 2025]]/2+SUM(Table7[[#This Row],[O1  ADMIN 2026]:[P2           WC         CT Open 2026]])</f>
        <v>1.5625</v>
      </c>
      <c r="K137" s="196">
        <f t="shared" si="15"/>
        <v>0</v>
      </c>
      <c r="L137" s="63">
        <f t="shared" si="16"/>
        <v>0</v>
      </c>
      <c r="M137" s="708"/>
      <c r="N137" s="708" t="s">
        <v>6083</v>
      </c>
      <c r="O137" s="708" t="s">
        <v>6083</v>
      </c>
      <c r="P137" s="708"/>
      <c r="Q137" s="63"/>
      <c r="R137" s="63"/>
      <c r="S137" s="114"/>
      <c r="T137" s="114"/>
      <c r="U137" s="63"/>
      <c r="V137" s="114"/>
      <c r="W137" s="63"/>
      <c r="X137" s="636"/>
      <c r="Y137" s="114"/>
      <c r="Z137" s="63"/>
      <c r="AA137" s="63"/>
      <c r="AB137" s="63"/>
      <c r="AC137" s="400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</row>
    <row r="138" spans="1:40">
      <c r="A138" s="87"/>
      <c r="B138" s="87"/>
      <c r="C138" s="77">
        <f t="shared" si="14"/>
        <v>-134</v>
      </c>
      <c r="D138" s="63">
        <f t="shared" si="17"/>
        <v>134</v>
      </c>
      <c r="E138" s="63">
        <v>8507</v>
      </c>
      <c r="F138" s="64" t="str">
        <f>IFERROR(VLOOKUP(Table7[[#This Row],[Player No]],Table11[[No]:[Province]],2,0),"")</f>
        <v xml:space="preserve">LEIGH Jamie </v>
      </c>
      <c r="G138" s="65" t="str">
        <f>IFERROR(VLOOKUP(Table7[[#This Row],[Player No]],Table11[[No]:[Province]],3,0),"")</f>
        <v>CW</v>
      </c>
      <c r="H138" s="66">
        <v>1</v>
      </c>
      <c r="I138" s="96">
        <v>3</v>
      </c>
      <c r="J138" s="789">
        <f>Table7[[#This Row],[Points 2025]]/2+SUM(Table7[[#This Row],[O1  ADMIN 2026]:[P2           WC         CT Open 2026]])</f>
        <v>1.5</v>
      </c>
      <c r="K138" s="196">
        <f t="shared" si="15"/>
        <v>0</v>
      </c>
      <c r="L138" s="63">
        <f t="shared" si="16"/>
        <v>0</v>
      </c>
      <c r="M138" s="708"/>
      <c r="N138" s="708" t="s">
        <v>6083</v>
      </c>
      <c r="O138" s="708" t="s">
        <v>6083</v>
      </c>
      <c r="P138" s="708"/>
      <c r="Q138" s="63"/>
      <c r="R138" s="63"/>
      <c r="S138" s="114"/>
      <c r="T138" s="114"/>
      <c r="U138" s="63"/>
      <c r="V138" s="114"/>
      <c r="W138" s="63"/>
      <c r="X138" s="636"/>
      <c r="Y138" s="114">
        <v>0.5</v>
      </c>
      <c r="Z138" s="63">
        <v>2</v>
      </c>
      <c r="AA138" s="63"/>
      <c r="AB138" s="63"/>
      <c r="AC138" s="400"/>
      <c r="AD138" s="63"/>
      <c r="AE138" s="63"/>
      <c r="AF138" s="63"/>
      <c r="AG138" s="63">
        <v>1</v>
      </c>
      <c r="AH138" s="63"/>
      <c r="AI138" s="63"/>
      <c r="AJ138" s="63"/>
      <c r="AK138" s="63"/>
      <c r="AL138" s="63"/>
      <c r="AM138" s="63"/>
      <c r="AN138" s="63"/>
    </row>
    <row r="139" spans="1:40">
      <c r="A139" s="332"/>
      <c r="B139" s="333"/>
      <c r="C139" s="324">
        <f t="shared" si="14"/>
        <v>-135</v>
      </c>
      <c r="D139" s="63">
        <f t="shared" si="17"/>
        <v>135</v>
      </c>
      <c r="E139" s="325">
        <v>8069</v>
      </c>
      <c r="F139" s="326" t="str">
        <f>IFERROR(VLOOKUP(Table7[[#This Row],[Player No]],Table11[[No]:[Province]],2,0),"")</f>
        <v>VOSTER Raquelle</v>
      </c>
      <c r="G139" s="334" t="str">
        <f>IFERROR(VLOOKUP(Table7[[#This Row],[Player No]],Table11[[No]:[Province]],3,0),"")</f>
        <v>CW</v>
      </c>
      <c r="H139" s="335"/>
      <c r="I139" s="331">
        <v>2.5</v>
      </c>
      <c r="J139" s="817">
        <f>Table7[[#This Row],[Points 2025]]/2+SUM(Table7[[#This Row],[O1  ADMIN 2026]:[P2           WC         CT Open 2026]])</f>
        <v>1.25</v>
      </c>
      <c r="K139" s="336">
        <f t="shared" si="15"/>
        <v>0</v>
      </c>
      <c r="L139" s="63">
        <f t="shared" si="16"/>
        <v>0</v>
      </c>
      <c r="M139" s="708"/>
      <c r="N139" s="826" t="s">
        <v>6083</v>
      </c>
      <c r="O139" s="826" t="s">
        <v>6083</v>
      </c>
      <c r="P139" s="826"/>
      <c r="Q139" s="327"/>
      <c r="R139" s="327"/>
      <c r="S139" s="321"/>
      <c r="T139" s="321"/>
      <c r="U139" s="327"/>
      <c r="V139" s="321"/>
      <c r="W139" s="327"/>
      <c r="X139" s="637"/>
      <c r="Y139" s="321">
        <v>0.5</v>
      </c>
      <c r="Z139" s="327">
        <v>2</v>
      </c>
      <c r="AA139" s="327"/>
      <c r="AB139" s="327"/>
      <c r="AC139" s="405"/>
      <c r="AD139" s="327"/>
      <c r="AE139" s="327"/>
      <c r="AF139" s="327"/>
      <c r="AG139" s="327"/>
      <c r="AH139" s="327"/>
      <c r="AI139" s="327"/>
      <c r="AJ139" s="327"/>
      <c r="AK139" s="327"/>
      <c r="AL139" s="327"/>
      <c r="AM139" s="327"/>
      <c r="AN139" s="327"/>
    </row>
    <row r="140" spans="1:40">
      <c r="A140" s="87"/>
      <c r="B140" s="87"/>
      <c r="C140" s="77">
        <f t="shared" si="14"/>
        <v>-136</v>
      </c>
      <c r="D140" s="63">
        <f t="shared" si="17"/>
        <v>136</v>
      </c>
      <c r="E140" s="63">
        <v>8224</v>
      </c>
      <c r="F140" s="64" t="str">
        <f>IFERROR(VLOOKUP(Table7[[#This Row],[Player No]],Table11[[No]:[Province]],2,0),"")</f>
        <v>LEBELO Tshepang</v>
      </c>
      <c r="G140" s="65" t="str">
        <f>IFERROR(VLOOKUP(Table7[[#This Row],[Player No]],Table11[[No]:[Province]],3,0),"")</f>
        <v>NW</v>
      </c>
      <c r="H140" s="66">
        <v>5</v>
      </c>
      <c r="I140" s="96">
        <v>2.5</v>
      </c>
      <c r="J140" s="789">
        <f>Table7[[#This Row],[Points 2025]]/2+SUM(Table7[[#This Row],[O1  ADMIN 2026]:[P2           WC         CT Open 2026]])</f>
        <v>1.25</v>
      </c>
      <c r="K140" s="196">
        <f t="shared" si="15"/>
        <v>0</v>
      </c>
      <c r="L140" s="63">
        <f t="shared" si="16"/>
        <v>0</v>
      </c>
      <c r="M140" s="708"/>
      <c r="N140" s="708" t="s">
        <v>6083</v>
      </c>
      <c r="O140" s="708" t="s">
        <v>6083</v>
      </c>
      <c r="P140" s="708"/>
      <c r="Q140" s="63"/>
      <c r="R140" s="63"/>
      <c r="S140" s="114"/>
      <c r="T140" s="114"/>
      <c r="U140" s="63"/>
      <c r="V140" s="114"/>
      <c r="W140" s="63"/>
      <c r="X140" s="636"/>
      <c r="Y140" s="114"/>
      <c r="Z140" s="63"/>
      <c r="AA140" s="63"/>
      <c r="AB140" s="63"/>
      <c r="AC140" s="400"/>
      <c r="AD140" s="63"/>
      <c r="AE140" s="63"/>
      <c r="AF140" s="63"/>
      <c r="AG140" s="63"/>
      <c r="AH140" s="63"/>
      <c r="AI140" s="63">
        <v>5</v>
      </c>
      <c r="AJ140" s="63"/>
      <c r="AK140" s="63"/>
      <c r="AL140" s="63"/>
      <c r="AM140" s="63"/>
      <c r="AN140" s="63"/>
    </row>
    <row r="141" spans="1:40">
      <c r="A141" s="87"/>
      <c r="B141" s="87"/>
      <c r="C141" s="77">
        <f t="shared" si="14"/>
        <v>-137</v>
      </c>
      <c r="D141" s="63">
        <f t="shared" si="17"/>
        <v>137</v>
      </c>
      <c r="E141" s="63">
        <v>8227</v>
      </c>
      <c r="F141" s="64" t="str">
        <f>IFERROR(VLOOKUP(Table7[[#This Row],[Player No]],Table11[[No]:[Province]],2,0),"")</f>
        <v>KGALANYANE Patricia</v>
      </c>
      <c r="G141" s="65" t="str">
        <f>IFERROR(VLOOKUP(Table7[[#This Row],[Player No]],Table11[[No]:[Province]],3,0),"")</f>
        <v>NW</v>
      </c>
      <c r="H141" s="66">
        <v>5</v>
      </c>
      <c r="I141" s="96">
        <v>2.5</v>
      </c>
      <c r="J141" s="789">
        <f>Table7[[#This Row],[Points 2025]]/2+SUM(Table7[[#This Row],[O1  ADMIN 2026]:[P2           WC         CT Open 2026]])</f>
        <v>1.25</v>
      </c>
      <c r="K141" s="196">
        <f t="shared" si="15"/>
        <v>0</v>
      </c>
      <c r="L141" s="63">
        <f t="shared" si="16"/>
        <v>0</v>
      </c>
      <c r="M141" s="708"/>
      <c r="N141" s="708" t="s">
        <v>6083</v>
      </c>
      <c r="O141" s="708" t="s">
        <v>6083</v>
      </c>
      <c r="P141" s="708"/>
      <c r="Q141" s="63"/>
      <c r="R141" s="63"/>
      <c r="S141" s="114"/>
      <c r="T141" s="114"/>
      <c r="U141" s="63"/>
      <c r="V141" s="114"/>
      <c r="W141" s="63"/>
      <c r="X141" s="636"/>
      <c r="Y141" s="114"/>
      <c r="Z141" s="63"/>
      <c r="AA141" s="63"/>
      <c r="AB141" s="63"/>
      <c r="AC141" s="400"/>
      <c r="AD141" s="63"/>
      <c r="AE141" s="63"/>
      <c r="AF141" s="63"/>
      <c r="AG141" s="63"/>
      <c r="AH141" s="63"/>
      <c r="AI141" s="63">
        <v>5</v>
      </c>
      <c r="AJ141" s="63"/>
      <c r="AK141" s="63"/>
      <c r="AL141" s="63"/>
      <c r="AM141" s="63"/>
      <c r="AN141" s="63"/>
    </row>
    <row r="142" spans="1:40">
      <c r="A142" s="87"/>
      <c r="B142" s="87"/>
      <c r="C142" s="77">
        <f t="shared" si="14"/>
        <v>-138</v>
      </c>
      <c r="D142" s="63">
        <f t="shared" si="17"/>
        <v>138</v>
      </c>
      <c r="E142" s="63">
        <v>8369</v>
      </c>
      <c r="F142" s="64" t="str">
        <f>IFERROR(VLOOKUP(Table7[[#This Row],[Player No]],Table11[[No]:[Province]],2,0),"")</f>
        <v>MOGOFE Lebogang</v>
      </c>
      <c r="G142" s="65" t="str">
        <f>IFERROR(VLOOKUP(Table7[[#This Row],[Player No]],Table11[[No]:[Province]],3,0),"")</f>
        <v>NW</v>
      </c>
      <c r="H142" s="66">
        <v>5</v>
      </c>
      <c r="I142" s="96">
        <v>2.5</v>
      </c>
      <c r="J142" s="789">
        <f>Table7[[#This Row],[Points 2025]]/2+SUM(Table7[[#This Row],[O1  ADMIN 2026]:[P2           WC         CT Open 2026]])</f>
        <v>1.25</v>
      </c>
      <c r="K142" s="196">
        <f t="shared" si="15"/>
        <v>0</v>
      </c>
      <c r="L142" s="63">
        <f t="shared" si="16"/>
        <v>0</v>
      </c>
      <c r="M142" s="708"/>
      <c r="N142" s="708" t="s">
        <v>6083</v>
      </c>
      <c r="O142" s="708" t="s">
        <v>6083</v>
      </c>
      <c r="P142" s="708"/>
      <c r="Q142" s="63"/>
      <c r="R142" s="63"/>
      <c r="S142" s="114"/>
      <c r="T142" s="114"/>
      <c r="U142" s="63"/>
      <c r="V142" s="114"/>
      <c r="W142" s="63"/>
      <c r="X142" s="636"/>
      <c r="Y142" s="114"/>
      <c r="Z142" s="63"/>
      <c r="AA142" s="63"/>
      <c r="AB142" s="63"/>
      <c r="AC142" s="400"/>
      <c r="AD142" s="63"/>
      <c r="AE142" s="63"/>
      <c r="AF142" s="63"/>
      <c r="AG142" s="63"/>
      <c r="AH142" s="63"/>
      <c r="AI142" s="63">
        <v>5</v>
      </c>
      <c r="AJ142" s="63"/>
      <c r="AK142" s="63"/>
      <c r="AL142" s="63"/>
      <c r="AM142" s="63"/>
      <c r="AN142" s="63"/>
    </row>
    <row r="143" spans="1:40">
      <c r="A143" s="87"/>
      <c r="B143" s="87"/>
      <c r="C143" s="77">
        <f t="shared" si="14"/>
        <v>-139</v>
      </c>
      <c r="D143" s="63">
        <f t="shared" si="17"/>
        <v>139</v>
      </c>
      <c r="E143" s="63">
        <v>8425</v>
      </c>
      <c r="F143" s="64" t="str">
        <f>IFERROR(VLOOKUP(Table7[[#This Row],[Player No]],Table11[[No]:[Province]],2,0),"")</f>
        <v>MADUNA  Thandeka</v>
      </c>
      <c r="G143" s="65" t="str">
        <f>IFERROR(VLOOKUP(Table7[[#This Row],[Player No]],Table11[[No]:[Province]],3,0),"")</f>
        <v>GN</v>
      </c>
      <c r="H143" s="66">
        <v>5</v>
      </c>
      <c r="I143" s="96">
        <v>2.5</v>
      </c>
      <c r="J143" s="789">
        <f>Table7[[#This Row],[Points 2025]]/2+SUM(Table7[[#This Row],[O1  ADMIN 2026]:[P2           WC         CT Open 2026]])</f>
        <v>1.25</v>
      </c>
      <c r="K143" s="196">
        <f t="shared" si="15"/>
        <v>0</v>
      </c>
      <c r="L143" s="63">
        <f t="shared" si="16"/>
        <v>0</v>
      </c>
      <c r="M143" s="708"/>
      <c r="N143" s="708" t="s">
        <v>6083</v>
      </c>
      <c r="O143" s="708" t="s">
        <v>6083</v>
      </c>
      <c r="P143" s="708"/>
      <c r="Q143" s="63"/>
      <c r="R143" s="63"/>
      <c r="S143" s="114"/>
      <c r="T143" s="114"/>
      <c r="U143" s="63"/>
      <c r="V143" s="114"/>
      <c r="W143" s="63"/>
      <c r="X143" s="636"/>
      <c r="Y143" s="114"/>
      <c r="Z143" s="63"/>
      <c r="AA143" s="63"/>
      <c r="AB143" s="63"/>
      <c r="AC143" s="400"/>
      <c r="AD143" s="63"/>
      <c r="AE143" s="63"/>
      <c r="AF143" s="63"/>
      <c r="AG143" s="63"/>
      <c r="AH143" s="63"/>
      <c r="AI143" s="63">
        <v>5</v>
      </c>
      <c r="AJ143" s="63"/>
      <c r="AK143" s="63"/>
      <c r="AL143" s="63"/>
      <c r="AM143" s="63"/>
      <c r="AN143" s="63"/>
    </row>
    <row r="144" spans="1:40">
      <c r="A144" s="87"/>
      <c r="B144" s="87"/>
      <c r="C144" s="195">
        <f t="shared" si="14"/>
        <v>-140</v>
      </c>
      <c r="D144" s="63">
        <f t="shared" si="17"/>
        <v>140</v>
      </c>
      <c r="E144" s="189">
        <v>8426</v>
      </c>
      <c r="F144" s="719" t="str">
        <f>IFERROR(VLOOKUP(Table7[[#This Row],[Player No]],Table11[[No]:[Province]],2,0),"")</f>
        <v>MALINGA Princess</v>
      </c>
      <c r="G144" s="342" t="str">
        <f>IFERROR(VLOOKUP(Table7[[#This Row],[Player No]],Table11[[No]:[Province]],3,0),"")</f>
        <v>GN</v>
      </c>
      <c r="H144" s="192">
        <v>5</v>
      </c>
      <c r="I144" s="193">
        <v>2.5</v>
      </c>
      <c r="J144" s="661">
        <f>Table7[[#This Row],[Points 2025]]/2+SUM(Table7[[#This Row],[O1  ADMIN 2026]:[P2           WC         CT Open 2026]])</f>
        <v>1.25</v>
      </c>
      <c r="K144" s="304">
        <f t="shared" si="15"/>
        <v>0</v>
      </c>
      <c r="L144" s="63">
        <f t="shared" si="16"/>
        <v>0</v>
      </c>
      <c r="M144" s="442"/>
      <c r="N144" s="442" t="s">
        <v>6083</v>
      </c>
      <c r="O144" s="442" t="s">
        <v>6083</v>
      </c>
      <c r="P144" s="442"/>
      <c r="Q144" s="189"/>
      <c r="R144" s="189"/>
      <c r="S144" s="189"/>
      <c r="T144" s="189"/>
      <c r="U144" s="189"/>
      <c r="V144" s="189"/>
      <c r="W144" s="189"/>
      <c r="X144" s="442"/>
      <c r="Y144" s="189"/>
      <c r="Z144" s="189"/>
      <c r="AA144" s="189"/>
      <c r="AB144" s="189"/>
      <c r="AC144" s="401"/>
      <c r="AD144" s="189"/>
      <c r="AE144" s="189"/>
      <c r="AF144" s="189"/>
      <c r="AG144" s="189"/>
      <c r="AH144" s="189"/>
      <c r="AI144" s="189">
        <v>5</v>
      </c>
      <c r="AJ144" s="189"/>
      <c r="AK144" s="189"/>
      <c r="AL144" s="189"/>
      <c r="AM144" s="189"/>
      <c r="AN144" s="189"/>
    </row>
    <row r="145" spans="1:40">
      <c r="A145" s="87"/>
      <c r="B145" s="87"/>
      <c r="C145" s="195">
        <f t="shared" si="14"/>
        <v>-141</v>
      </c>
      <c r="D145" s="63">
        <f t="shared" si="17"/>
        <v>141</v>
      </c>
      <c r="E145" s="189">
        <v>8444</v>
      </c>
      <c r="F145" s="719" t="str">
        <f>IFERROR(VLOOKUP(Table7[[#This Row],[Player No]],Table11[[No]:[Province]],2,0),"")</f>
        <v>WILLEMSE Kelly</v>
      </c>
      <c r="G145" s="342" t="str">
        <f>IFERROR(VLOOKUP(Table7[[#This Row],[Player No]],Table11[[No]:[Province]],3,0),"")</f>
        <v>GN</v>
      </c>
      <c r="H145" s="192">
        <v>5</v>
      </c>
      <c r="I145" s="193">
        <v>2.5</v>
      </c>
      <c r="J145" s="661">
        <f>Table7[[#This Row],[Points 2025]]/2+SUM(Table7[[#This Row],[O1  ADMIN 2026]:[P2           WC         CT Open 2026]])</f>
        <v>1.25</v>
      </c>
      <c r="K145" s="304">
        <f t="shared" si="15"/>
        <v>0</v>
      </c>
      <c r="L145" s="63">
        <f t="shared" si="16"/>
        <v>0</v>
      </c>
      <c r="M145" s="442"/>
      <c r="N145" s="442" t="s">
        <v>6083</v>
      </c>
      <c r="O145" s="442" t="s">
        <v>6083</v>
      </c>
      <c r="P145" s="442"/>
      <c r="Q145" s="189"/>
      <c r="R145" s="189"/>
      <c r="S145" s="189"/>
      <c r="T145" s="189"/>
      <c r="U145" s="189"/>
      <c r="V145" s="189"/>
      <c r="W145" s="189"/>
      <c r="X145" s="442"/>
      <c r="Y145" s="189"/>
      <c r="Z145" s="189"/>
      <c r="AA145" s="189"/>
      <c r="AB145" s="189"/>
      <c r="AC145" s="401"/>
      <c r="AD145" s="189"/>
      <c r="AE145" s="189"/>
      <c r="AF145" s="189"/>
      <c r="AG145" s="189"/>
      <c r="AH145" s="189"/>
      <c r="AI145" s="189">
        <v>5</v>
      </c>
      <c r="AJ145" s="189"/>
      <c r="AK145" s="189"/>
      <c r="AL145" s="189"/>
      <c r="AM145" s="189"/>
      <c r="AN145" s="189"/>
    </row>
    <row r="146" spans="1:40">
      <c r="A146" s="85">
        <f>IFERROR(VLOOKUP(Table7[[#This Row],[Player No]],Table11[[#All],[No]:[Age Group]],4,0),"")</f>
        <v>0</v>
      </c>
      <c r="B146" s="87"/>
      <c r="C146" s="195"/>
      <c r="D146" s="63">
        <f t="shared" si="17"/>
        <v>142</v>
      </c>
      <c r="E146" s="189">
        <v>8487</v>
      </c>
      <c r="F146" s="719" t="str">
        <f>IFERROR(VLOOKUP(Table7[[#This Row],[Player No]],Table11[[No]:[Province]],2,0),"")</f>
        <v>Nomcebo SIKHOKHANE</v>
      </c>
      <c r="G146" s="342" t="str">
        <f>IFERROR(VLOOKUP(Table7[[#This Row],[Player No]],Table11[[No]:[Province]],3,0),"")</f>
        <v>UMZ</v>
      </c>
      <c r="H146" s="192">
        <v>5</v>
      </c>
      <c r="I146" s="193">
        <v>2.5</v>
      </c>
      <c r="J146" s="661">
        <f>Table7[[#This Row],[Points 2025]]/2+SUM(Table7[[#This Row],[O1  ADMIN 2026]:[P2           WC         CT Open 2026]])</f>
        <v>1.25</v>
      </c>
      <c r="K146" s="304">
        <f t="shared" si="15"/>
        <v>0</v>
      </c>
      <c r="L146" s="63">
        <f t="shared" si="16"/>
        <v>0</v>
      </c>
      <c r="M146" s="442"/>
      <c r="N146" s="442" t="s">
        <v>6083</v>
      </c>
      <c r="O146" s="442" t="s">
        <v>6083</v>
      </c>
      <c r="P146" s="442"/>
      <c r="Q146" s="189"/>
      <c r="R146" s="189"/>
      <c r="S146" s="189"/>
      <c r="T146" s="189"/>
      <c r="U146" s="189"/>
      <c r="V146" s="189"/>
      <c r="W146" s="189"/>
      <c r="X146" s="442"/>
      <c r="Y146" s="189"/>
      <c r="Z146" s="189"/>
      <c r="AA146" s="189"/>
      <c r="AB146" s="189"/>
      <c r="AC146" s="401"/>
      <c r="AD146" s="189"/>
      <c r="AE146" s="189"/>
      <c r="AF146" s="189"/>
      <c r="AG146" s="189"/>
      <c r="AH146" s="189"/>
      <c r="AI146" s="189">
        <v>5</v>
      </c>
      <c r="AJ146" s="189"/>
      <c r="AK146" s="189"/>
      <c r="AL146" s="189"/>
      <c r="AM146" s="189"/>
      <c r="AN146" s="189"/>
    </row>
    <row r="147" spans="1:40">
      <c r="A147" s="85" t="str">
        <f>IFERROR(VLOOKUP(Table7[[#This Row],[Player No]],Table11[[#All],[No]:[Age Group]],4,0),"")</f>
        <v>U15</v>
      </c>
      <c r="B147" s="87"/>
      <c r="C147" s="195"/>
      <c r="D147" s="63">
        <f t="shared" si="17"/>
        <v>143</v>
      </c>
      <c r="E147" s="189">
        <v>8488</v>
      </c>
      <c r="F147" s="719" t="str">
        <f>IFERROR(VLOOKUP(Table7[[#This Row],[Player No]],Table11[[No]:[Province]],2,0),"")</f>
        <v>Humaira KAKA</v>
      </c>
      <c r="G147" s="342" t="str">
        <f>IFERROR(VLOOKUP(Table7[[#This Row],[Player No]],Table11[[No]:[Province]],3,0),"")</f>
        <v>JTTA</v>
      </c>
      <c r="H147" s="192">
        <v>5</v>
      </c>
      <c r="I147" s="193">
        <v>2.5</v>
      </c>
      <c r="J147" s="661">
        <f>Table7[[#This Row],[Points 2025]]/2+SUM(Table7[[#This Row],[O1  ADMIN 2026]:[P2           WC         CT Open 2026]])</f>
        <v>1.25</v>
      </c>
      <c r="K147" s="304">
        <f t="shared" si="15"/>
        <v>0</v>
      </c>
      <c r="L147" s="63">
        <f t="shared" si="16"/>
        <v>0</v>
      </c>
      <c r="M147" s="442"/>
      <c r="N147" s="442" t="s">
        <v>6083</v>
      </c>
      <c r="O147" s="442" t="s">
        <v>6083</v>
      </c>
      <c r="P147" s="442"/>
      <c r="Q147" s="189"/>
      <c r="R147" s="189"/>
      <c r="S147" s="189"/>
      <c r="T147" s="189"/>
      <c r="U147" s="189"/>
      <c r="V147" s="189"/>
      <c r="W147" s="189"/>
      <c r="X147" s="442"/>
      <c r="Y147" s="189"/>
      <c r="Z147" s="189"/>
      <c r="AA147" s="189"/>
      <c r="AB147" s="189"/>
      <c r="AC147" s="401"/>
      <c r="AD147" s="189"/>
      <c r="AE147" s="189"/>
      <c r="AF147" s="189"/>
      <c r="AG147" s="189"/>
      <c r="AH147" s="189"/>
      <c r="AI147" s="189">
        <v>5</v>
      </c>
      <c r="AJ147" s="189"/>
      <c r="AK147" s="189"/>
      <c r="AL147" s="189"/>
      <c r="AM147" s="189"/>
      <c r="AN147" s="189"/>
    </row>
    <row r="148" spans="1:40">
      <c r="A148" s="85">
        <f>IFERROR(VLOOKUP(Table7[[#This Row],[Player No]],Table11[[#All],[No]:[Age Group]],4,0),"")</f>
        <v>0</v>
      </c>
      <c r="B148" s="87"/>
      <c r="C148" s="195">
        <f t="shared" ref="C148:C193" si="18">+B148-D148</f>
        <v>-144</v>
      </c>
      <c r="D148" s="63">
        <f t="shared" si="17"/>
        <v>144</v>
      </c>
      <c r="E148" s="189">
        <v>8489</v>
      </c>
      <c r="F148" s="719" t="str">
        <f>IFERROR(VLOOKUP(Table7[[#This Row],[Player No]],Table11[[No]:[Province]],2,0),"")</f>
        <v>Meetay PARAG</v>
      </c>
      <c r="G148" s="342" t="str">
        <f>IFERROR(VLOOKUP(Table7[[#This Row],[Player No]],Table11[[No]:[Province]],3,0),"")</f>
        <v>UMZ</v>
      </c>
      <c r="H148" s="192">
        <v>5</v>
      </c>
      <c r="I148" s="193">
        <v>2.5</v>
      </c>
      <c r="J148" s="661">
        <f>Table7[[#This Row],[Points 2025]]/2+SUM(Table7[[#This Row],[O1  ADMIN 2026]:[P2           WC         CT Open 2026]])</f>
        <v>1.25</v>
      </c>
      <c r="K148" s="304">
        <f t="shared" si="15"/>
        <v>0</v>
      </c>
      <c r="L148" s="63">
        <f t="shared" si="16"/>
        <v>0</v>
      </c>
      <c r="M148" s="442"/>
      <c r="N148" s="442" t="s">
        <v>6083</v>
      </c>
      <c r="O148" s="442" t="s">
        <v>6083</v>
      </c>
      <c r="P148" s="442"/>
      <c r="Q148" s="189"/>
      <c r="R148" s="189"/>
      <c r="S148" s="189"/>
      <c r="T148" s="189"/>
      <c r="U148" s="189"/>
      <c r="V148" s="189"/>
      <c r="W148" s="189"/>
      <c r="X148" s="442"/>
      <c r="Y148" s="189"/>
      <c r="Z148" s="189"/>
      <c r="AA148" s="189"/>
      <c r="AB148" s="189"/>
      <c r="AC148" s="401"/>
      <c r="AD148" s="189"/>
      <c r="AE148" s="189"/>
      <c r="AF148" s="189"/>
      <c r="AG148" s="189"/>
      <c r="AH148" s="189"/>
      <c r="AI148" s="189">
        <v>5</v>
      </c>
      <c r="AJ148" s="189"/>
      <c r="AK148" s="189"/>
      <c r="AL148" s="189"/>
      <c r="AM148" s="189"/>
      <c r="AN148" s="189"/>
    </row>
    <row r="149" spans="1:40">
      <c r="A149" s="85">
        <f>IFERROR(VLOOKUP(Table7[[#This Row],[Player No]],Table11[[#All],[No]:[Age Group]],4,0),"")</f>
        <v>0</v>
      </c>
      <c r="B149" s="87"/>
      <c r="C149" s="195">
        <f t="shared" si="18"/>
        <v>-145</v>
      </c>
      <c r="D149" s="63">
        <f t="shared" si="17"/>
        <v>145</v>
      </c>
      <c r="E149" s="189">
        <v>8490</v>
      </c>
      <c r="F149" s="719" t="str">
        <f>IFERROR(VLOOKUP(Table7[[#This Row],[Player No]],Table11[[No]:[Province]],2,0),"")</f>
        <v>Mayeni NJOKO</v>
      </c>
      <c r="G149" s="342" t="str">
        <f>IFERROR(VLOOKUP(Table7[[#This Row],[Player No]],Table11[[No]:[Province]],3,0),"")</f>
        <v>UMZ</v>
      </c>
      <c r="H149" s="192">
        <v>5</v>
      </c>
      <c r="I149" s="193">
        <v>2.5</v>
      </c>
      <c r="J149" s="661">
        <f>Table7[[#This Row],[Points 2025]]/2+SUM(Table7[[#This Row],[O1  ADMIN 2026]:[P2           WC         CT Open 2026]])</f>
        <v>1.25</v>
      </c>
      <c r="K149" s="304">
        <f t="shared" si="15"/>
        <v>0</v>
      </c>
      <c r="L149" s="63">
        <f t="shared" si="16"/>
        <v>0</v>
      </c>
      <c r="M149" s="442"/>
      <c r="N149" s="442" t="s">
        <v>6083</v>
      </c>
      <c r="O149" s="442" t="s">
        <v>6083</v>
      </c>
      <c r="P149" s="442"/>
      <c r="Q149" s="189"/>
      <c r="R149" s="189"/>
      <c r="S149" s="189"/>
      <c r="T149" s="189"/>
      <c r="U149" s="189"/>
      <c r="V149" s="189"/>
      <c r="W149" s="189"/>
      <c r="X149" s="442"/>
      <c r="Y149" s="189"/>
      <c r="Z149" s="189"/>
      <c r="AA149" s="189"/>
      <c r="AB149" s="189"/>
      <c r="AC149" s="401"/>
      <c r="AD149" s="189"/>
      <c r="AE149" s="189"/>
      <c r="AF149" s="189"/>
      <c r="AG149" s="189"/>
      <c r="AH149" s="189"/>
      <c r="AI149" s="189">
        <v>5</v>
      </c>
      <c r="AJ149" s="189"/>
      <c r="AK149" s="189"/>
      <c r="AL149" s="189"/>
      <c r="AM149" s="189"/>
      <c r="AN149" s="189"/>
    </row>
    <row r="150" spans="1:40">
      <c r="A150" s="298"/>
      <c r="B150" s="87" t="e">
        <f>VLOOKUP(Table7[[#This Row],[Player No]],'[7]u15 girls'!$E$5:$F$68,2,0)</f>
        <v>#N/A</v>
      </c>
      <c r="C150" s="195" t="e">
        <f t="shared" si="18"/>
        <v>#N/A</v>
      </c>
      <c r="D150" s="63">
        <f t="shared" si="17"/>
        <v>146</v>
      </c>
      <c r="E150" s="293">
        <v>8194</v>
      </c>
      <c r="F150" s="301" t="str">
        <f>IFERROR(VLOOKUP(Table7[[#This Row],[Player No]],Table11[[No]:[Province]],2,0),"")</f>
        <v>DANIELS Zaitoon</v>
      </c>
      <c r="G150" s="302" t="str">
        <f>IFERROR(VLOOKUP(Table7[[#This Row],[Player No]],Table11[[No]:[Province]],3,0),"")</f>
        <v>CW</v>
      </c>
      <c r="H150" s="192"/>
      <c r="I150" s="193">
        <v>2</v>
      </c>
      <c r="J150" s="661">
        <f>Table7[[#This Row],[Points 2025]]/2+SUM(Table7[[#This Row],[O1  ADMIN 2026]:[P2           WC         CT Open 2026]])</f>
        <v>1</v>
      </c>
      <c r="K150" s="303">
        <f t="shared" si="15"/>
        <v>0</v>
      </c>
      <c r="L150" s="63">
        <f t="shared" si="16"/>
        <v>0</v>
      </c>
      <c r="M150" s="442"/>
      <c r="N150" s="736" t="s">
        <v>6083</v>
      </c>
      <c r="O150" s="736" t="s">
        <v>6083</v>
      </c>
      <c r="P150" s="736"/>
      <c r="Q150" s="189"/>
      <c r="R150" s="189"/>
      <c r="S150" s="189"/>
      <c r="T150" s="189"/>
      <c r="U150" s="189"/>
      <c r="V150" s="189"/>
      <c r="W150" s="189"/>
      <c r="X150" s="442"/>
      <c r="Y150" s="189"/>
      <c r="Z150" s="189">
        <v>2</v>
      </c>
      <c r="AA150" s="189"/>
      <c r="AB150" s="189"/>
      <c r="AC150" s="401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</row>
    <row r="151" spans="1:40">
      <c r="A151" s="298"/>
      <c r="B151" s="87" t="e">
        <f>VLOOKUP(Table7[[#This Row],[Player No]],'[7]u15 girls'!$E$5:$F$68,2,0)</f>
        <v>#N/A</v>
      </c>
      <c r="C151" s="195" t="e">
        <f t="shared" si="18"/>
        <v>#N/A</v>
      </c>
      <c r="D151" s="63">
        <f t="shared" si="17"/>
        <v>147</v>
      </c>
      <c r="E151" s="293">
        <v>8762</v>
      </c>
      <c r="F151" s="301" t="str">
        <f>IFERROR(VLOOKUP(Table7[[#This Row],[Player No]],Table11[[No]:[Province]],2,0),"")</f>
        <v xml:space="preserve">BLOM Robin </v>
      </c>
      <c r="G151" s="302" t="str">
        <f>IFERROR(VLOOKUP(Table7[[#This Row],[Player No]],Table11[[No]:[Province]],3,0),"")</f>
        <v>CW</v>
      </c>
      <c r="H151" s="192"/>
      <c r="I151" s="193">
        <v>2</v>
      </c>
      <c r="J151" s="661">
        <f>Table7[[#This Row],[Points 2025]]/2+SUM(Table7[[#This Row],[O1  ADMIN 2026]:[P2           WC         CT Open 2026]])</f>
        <v>1</v>
      </c>
      <c r="K151" s="303">
        <f t="shared" si="15"/>
        <v>0</v>
      </c>
      <c r="L151" s="63">
        <f t="shared" si="16"/>
        <v>0</v>
      </c>
      <c r="M151" s="442"/>
      <c r="N151" s="736" t="s">
        <v>6083</v>
      </c>
      <c r="O151" s="736" t="s">
        <v>6083</v>
      </c>
      <c r="P151" s="736"/>
      <c r="Q151" s="189"/>
      <c r="R151" s="189"/>
      <c r="S151" s="189"/>
      <c r="T151" s="189"/>
      <c r="U151" s="189"/>
      <c r="V151" s="189"/>
      <c r="W151" s="189"/>
      <c r="X151" s="442"/>
      <c r="Y151" s="189"/>
      <c r="Z151" s="189">
        <v>2</v>
      </c>
      <c r="AA151" s="189"/>
      <c r="AB151" s="189"/>
      <c r="AC151" s="401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</row>
    <row r="152" spans="1:40">
      <c r="A152" s="298"/>
      <c r="B152" s="87" t="e">
        <f>VLOOKUP(Table7[[#This Row],[Player No]],'[7]u15 girls'!$E$5:$F$68,2,0)</f>
        <v>#N/A</v>
      </c>
      <c r="C152" s="195" t="e">
        <f t="shared" si="18"/>
        <v>#N/A</v>
      </c>
      <c r="D152" s="63">
        <f t="shared" si="17"/>
        <v>148</v>
      </c>
      <c r="E152" s="293">
        <v>8764</v>
      </c>
      <c r="F152" s="301" t="str">
        <f>IFERROR(VLOOKUP(Table7[[#This Row],[Player No]],Table11[[No]:[Province]],2,0),"")</f>
        <v xml:space="preserve">FORTUIN Tamlin </v>
      </c>
      <c r="G152" s="302" t="str">
        <f>IFERROR(VLOOKUP(Table7[[#This Row],[Player No]],Table11[[No]:[Province]],3,0),"")</f>
        <v>CW</v>
      </c>
      <c r="H152" s="192"/>
      <c r="I152" s="193">
        <v>2</v>
      </c>
      <c r="J152" s="661">
        <f>Table7[[#This Row],[Points 2025]]/2+SUM(Table7[[#This Row],[O1  ADMIN 2026]:[P2           WC         CT Open 2026]])</f>
        <v>1</v>
      </c>
      <c r="K152" s="303">
        <f t="shared" si="15"/>
        <v>0</v>
      </c>
      <c r="L152" s="63">
        <f t="shared" si="16"/>
        <v>0</v>
      </c>
      <c r="M152" s="442"/>
      <c r="N152" s="736" t="s">
        <v>6083</v>
      </c>
      <c r="O152" s="736" t="s">
        <v>6083</v>
      </c>
      <c r="P152" s="736"/>
      <c r="Q152" s="189"/>
      <c r="R152" s="189"/>
      <c r="S152" s="189"/>
      <c r="T152" s="189"/>
      <c r="U152" s="189"/>
      <c r="V152" s="189"/>
      <c r="W152" s="189"/>
      <c r="X152" s="442"/>
      <c r="Y152" s="189"/>
      <c r="Z152" s="189">
        <v>2</v>
      </c>
      <c r="AA152" s="189"/>
      <c r="AB152" s="189"/>
      <c r="AC152" s="401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</row>
    <row r="153" spans="1:40">
      <c r="A153" s="298"/>
      <c r="B153" s="87" t="e">
        <f>VLOOKUP(Table7[[#This Row],[Player No]],'[7]u15 girls'!$E$5:$F$68,2,0)</f>
        <v>#N/A</v>
      </c>
      <c r="C153" s="195" t="e">
        <f t="shared" si="18"/>
        <v>#N/A</v>
      </c>
      <c r="D153" s="63">
        <f t="shared" si="17"/>
        <v>149</v>
      </c>
      <c r="E153" s="293">
        <v>8730</v>
      </c>
      <c r="F153" s="301" t="str">
        <f>IFERROR(VLOOKUP(Table7[[#This Row],[Player No]],Table11[[No]:[Province]],2,0),"")</f>
        <v>NAIDOO Isabella Rose</v>
      </c>
      <c r="G153" s="302" t="str">
        <f>IFERROR(VLOOKUP(Table7[[#This Row],[Player No]],Table11[[No]:[Province]],3,0),"")</f>
        <v>ETTA</v>
      </c>
      <c r="H153" s="192"/>
      <c r="I153" s="193">
        <v>0</v>
      </c>
      <c r="J153" s="661">
        <f>Table7[[#This Row],[Points 2025]]/2+SUM(Table7[[#This Row],[O1  ADMIN 2026]:[P2           WC         CT Open 2026]])</f>
        <v>1</v>
      </c>
      <c r="K153" s="303">
        <f t="shared" si="15"/>
        <v>1</v>
      </c>
      <c r="L153" s="154">
        <f t="shared" si="16"/>
        <v>0</v>
      </c>
      <c r="M153" s="736"/>
      <c r="N153" s="736" t="s">
        <v>6083</v>
      </c>
      <c r="O153" s="736">
        <v>1</v>
      </c>
      <c r="P153" s="736"/>
      <c r="Q153" s="189"/>
      <c r="R153" s="189"/>
      <c r="S153" s="189"/>
      <c r="T153" s="189"/>
      <c r="U153" s="189"/>
      <c r="V153" s="189"/>
      <c r="W153" s="189"/>
      <c r="X153" s="442"/>
      <c r="Y153" s="189"/>
      <c r="Z153" s="189"/>
      <c r="AA153" s="189"/>
      <c r="AB153" s="189"/>
      <c r="AC153" s="401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</row>
    <row r="154" spans="1:40">
      <c r="A154" s="976"/>
      <c r="B154" s="977" t="e">
        <f>VLOOKUP(Table7[[#This Row],[Player No]],'[7]u15 girls'!$E$5:$F$68,2,0)</f>
        <v>#N/A</v>
      </c>
      <c r="C154" s="1068" t="e">
        <f t="shared" si="18"/>
        <v>#N/A</v>
      </c>
      <c r="D154" s="63">
        <f t="shared" si="17"/>
        <v>150</v>
      </c>
      <c r="E154" s="1086">
        <v>8953</v>
      </c>
      <c r="F154" s="1087" t="str">
        <f>IFERROR(VLOOKUP(Table7[[#This Row],[Player No]],Table11[[No]:[Province]],2,0),"")</f>
        <v>NAIDOO Kimiya</v>
      </c>
      <c r="G154" s="1089" t="str">
        <f>IFERROR(VLOOKUP(Table7[[#This Row],[Player No]],Table11[[No]:[Province]],3,0),"")</f>
        <v>UMG</v>
      </c>
      <c r="H154" s="1091"/>
      <c r="I154" s="1092">
        <v>0</v>
      </c>
      <c r="J154" s="970">
        <f>Table7[[#This Row],[Points 2025]]/2+SUM(Table7[[#This Row],[O1  ADMIN 2026]:[P2           WC         CT Open 2026]])</f>
        <v>1</v>
      </c>
      <c r="K154" s="1094">
        <f t="shared" si="15"/>
        <v>1</v>
      </c>
      <c r="L154" s="1079">
        <f t="shared" si="16"/>
        <v>0</v>
      </c>
      <c r="M154" s="973"/>
      <c r="N154" s="973">
        <v>1</v>
      </c>
      <c r="O154" s="973"/>
      <c r="P154" s="973"/>
      <c r="Q154" s="1069"/>
      <c r="R154" s="1069"/>
      <c r="S154" s="1069"/>
      <c r="T154" s="1069"/>
      <c r="U154" s="1069"/>
      <c r="V154" s="1069"/>
      <c r="W154" s="1069"/>
      <c r="X154" s="969"/>
      <c r="Y154" s="1069"/>
      <c r="Z154" s="1069"/>
      <c r="AA154" s="1069"/>
      <c r="AB154" s="1069"/>
      <c r="AC154" s="1072"/>
      <c r="AD154" s="1069"/>
      <c r="AE154" s="1069"/>
      <c r="AF154" s="1069"/>
      <c r="AG154" s="1069"/>
      <c r="AH154" s="1069"/>
      <c r="AI154" s="1069"/>
      <c r="AJ154" s="1069"/>
      <c r="AK154" s="1069"/>
      <c r="AL154" s="1069"/>
      <c r="AM154" s="1069"/>
      <c r="AN154" s="1069"/>
    </row>
    <row r="155" spans="1:40">
      <c r="A155" s="976"/>
      <c r="B155" s="977" t="e">
        <f>VLOOKUP(Table7[[#This Row],[Player No]],'[7]u15 girls'!$E$5:$F$68,2,0)</f>
        <v>#N/A</v>
      </c>
      <c r="C155" s="1068" t="e">
        <f t="shared" si="18"/>
        <v>#N/A</v>
      </c>
      <c r="D155" s="63">
        <f t="shared" si="17"/>
        <v>151</v>
      </c>
      <c r="E155" s="1086">
        <v>8952</v>
      </c>
      <c r="F155" s="1088" t="str">
        <f>IFERROR(VLOOKUP(Table7[[#This Row],[Player No]],Table11[[No]:[Province]],2,0),"")</f>
        <v>INCE Skylar</v>
      </c>
      <c r="G155" s="1090" t="str">
        <f>IFERROR(VLOOKUP(Table7[[#This Row],[Player No]],Table11[[No]:[Province]],3,0),"")</f>
        <v>UMG</v>
      </c>
      <c r="H155" s="1070"/>
      <c r="I155" s="1092">
        <v>0</v>
      </c>
      <c r="J155" s="970">
        <f>Table7[[#This Row],[Points 2025]]/2+SUM(Table7[[#This Row],[O1  ADMIN 2026]:[P2           WC         CT Open 2026]])</f>
        <v>1</v>
      </c>
      <c r="K155" s="1094">
        <f t="shared" si="15"/>
        <v>1</v>
      </c>
      <c r="L155" s="1079">
        <f t="shared" si="16"/>
        <v>0</v>
      </c>
      <c r="M155" s="973"/>
      <c r="N155" s="973">
        <v>1</v>
      </c>
      <c r="O155" s="973"/>
      <c r="P155" s="973"/>
      <c r="Q155" s="1069"/>
      <c r="R155" s="1069"/>
      <c r="S155" s="1069"/>
      <c r="T155" s="1069"/>
      <c r="U155" s="1069"/>
      <c r="V155" s="1069"/>
      <c r="W155" s="1069"/>
      <c r="X155" s="969"/>
      <c r="Y155" s="1069"/>
      <c r="Z155" s="1069"/>
      <c r="AA155" s="1069"/>
      <c r="AB155" s="1069"/>
      <c r="AC155" s="1072"/>
      <c r="AD155" s="1069"/>
      <c r="AE155" s="1069"/>
      <c r="AF155" s="1069"/>
      <c r="AG155" s="1069"/>
      <c r="AH155" s="1069"/>
      <c r="AI155" s="1069"/>
      <c r="AJ155" s="1069"/>
      <c r="AK155" s="1069"/>
      <c r="AL155" s="1069"/>
      <c r="AM155" s="1069"/>
      <c r="AN155" s="1069"/>
    </row>
    <row r="156" spans="1:40">
      <c r="A156" s="976"/>
      <c r="B156" s="977" t="e">
        <f>VLOOKUP(Table7[[#This Row],[Player No]],'[7]u15 girls'!$E$5:$F$68,2,0)</f>
        <v>#N/A</v>
      </c>
      <c r="C156" s="1068" t="e">
        <f t="shared" si="18"/>
        <v>#N/A</v>
      </c>
      <c r="D156" s="63">
        <f t="shared" si="17"/>
        <v>152</v>
      </c>
      <c r="E156" s="1086">
        <v>8708</v>
      </c>
      <c r="F156" s="1088" t="str">
        <f>IFERROR(VLOOKUP(Table7[[#This Row],[Player No]],Table11[[No]:[Province]],2,0),"")</f>
        <v xml:space="preserve">KADOO Arya </v>
      </c>
      <c r="G156" s="1090" t="str">
        <f>IFERROR(VLOOKUP(Table7[[#This Row],[Player No]],Table11[[No]:[Province]],3,0),"")</f>
        <v>UMG</v>
      </c>
      <c r="H156" s="1070"/>
      <c r="I156" s="1093"/>
      <c r="J156" s="970">
        <f>Table7[[#This Row],[Points 2025]]/2+SUM(Table7[[#This Row],[O1  ADMIN 2026]:[P2           WC         CT Open 2026]])</f>
        <v>1</v>
      </c>
      <c r="K156" s="1094">
        <f t="shared" si="15"/>
        <v>1</v>
      </c>
      <c r="L156" s="1079">
        <f t="shared" si="16"/>
        <v>0</v>
      </c>
      <c r="M156" s="973"/>
      <c r="N156" s="973">
        <v>1</v>
      </c>
      <c r="O156" s="973"/>
      <c r="P156" s="973"/>
      <c r="Q156" s="1069"/>
      <c r="R156" s="1069"/>
      <c r="S156" s="1069"/>
      <c r="T156" s="1069"/>
      <c r="U156" s="1069"/>
      <c r="V156" s="1069"/>
      <c r="W156" s="1069"/>
      <c r="X156" s="969"/>
      <c r="Y156" s="1069"/>
      <c r="Z156" s="1069"/>
      <c r="AA156" s="1069"/>
      <c r="AB156" s="1069"/>
      <c r="AC156" s="1072"/>
      <c r="AD156" s="1069"/>
      <c r="AE156" s="1069"/>
      <c r="AF156" s="1069"/>
      <c r="AG156" s="1069"/>
      <c r="AH156" s="1069"/>
      <c r="AI156" s="1069"/>
      <c r="AJ156" s="1069"/>
      <c r="AK156" s="1069"/>
      <c r="AL156" s="1069"/>
      <c r="AM156" s="1069"/>
      <c r="AN156" s="1069"/>
    </row>
    <row r="157" spans="1:40">
      <c r="A157" s="85">
        <f>IFERROR(VLOOKUP(Table7[[#This Row],[Player No]],Table11[[#All],[No]:[Age Group]],4,0),"")</f>
        <v>0</v>
      </c>
      <c r="B157" s="87">
        <v>67</v>
      </c>
      <c r="C157" s="195">
        <f t="shared" si="18"/>
        <v>-86</v>
      </c>
      <c r="D157" s="63">
        <f t="shared" si="17"/>
        <v>153</v>
      </c>
      <c r="E157" s="189">
        <v>7608</v>
      </c>
      <c r="F157" s="719" t="str">
        <f>IFERROR(VLOOKUP(Table7[[#This Row],[Player No]],Table11[[No]:[Province]],2,0),"")</f>
        <v>SANDOVANA Sinamandla</v>
      </c>
      <c r="G157" s="342" t="str">
        <f>IFERROR(VLOOKUP(Table7[[#This Row],[Player No]],Table11[[No]:[Province]],3,0),"")</f>
        <v>EC</v>
      </c>
      <c r="H157" s="192">
        <v>3.125</v>
      </c>
      <c r="I157" s="193">
        <v>1.5625</v>
      </c>
      <c r="J157" s="661">
        <f>Table7[[#This Row],[Points 2025]]/2+SUM(Table7[[#This Row],[O1  ADMIN 2026]:[P2           WC         CT Open 2026]])</f>
        <v>0.78125</v>
      </c>
      <c r="K157" s="304">
        <f t="shared" si="15"/>
        <v>0</v>
      </c>
      <c r="L157" s="63">
        <f t="shared" si="16"/>
        <v>0</v>
      </c>
      <c r="M157" s="442"/>
      <c r="N157" s="442" t="s">
        <v>6083</v>
      </c>
      <c r="O157" s="442" t="s">
        <v>6083</v>
      </c>
      <c r="P157" s="442"/>
      <c r="Q157" s="189"/>
      <c r="R157" s="189"/>
      <c r="S157" s="189"/>
      <c r="T157" s="189"/>
      <c r="U157" s="189"/>
      <c r="V157" s="189"/>
      <c r="W157" s="189"/>
      <c r="X157" s="442"/>
      <c r="Y157" s="189"/>
      <c r="Z157" s="189"/>
      <c r="AA157" s="189"/>
      <c r="AB157" s="189"/>
      <c r="AC157" s="401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</row>
    <row r="158" spans="1:40">
      <c r="A158" s="85">
        <f>IFERROR(VLOOKUP(Table7[[#This Row],[Player No]],Table11[[#All],[No]:[Age Group]],4,0),"")</f>
        <v>0</v>
      </c>
      <c r="B158" s="87">
        <v>91</v>
      </c>
      <c r="C158" s="195">
        <f t="shared" si="18"/>
        <v>-63</v>
      </c>
      <c r="D158" s="63">
        <f t="shared" si="17"/>
        <v>154</v>
      </c>
      <c r="E158" s="189">
        <v>8356</v>
      </c>
      <c r="F158" s="719" t="str">
        <f>IFERROR(VLOOKUP(Table7[[#This Row],[Player No]],Table11[[No]:[Province]],2,0),"")</f>
        <v>VERMAAK Marcelle</v>
      </c>
      <c r="G158" s="342" t="str">
        <f>IFERROR(VLOOKUP(Table7[[#This Row],[Player No]],Table11[[No]:[Province]],3,0),"")</f>
        <v>CW</v>
      </c>
      <c r="H158" s="192">
        <v>3</v>
      </c>
      <c r="I158" s="193">
        <v>1.5</v>
      </c>
      <c r="J158" s="661">
        <f>Table7[[#This Row],[Points 2025]]/2+SUM(Table7[[#This Row],[O1  ADMIN 2026]:[P2           WC         CT Open 2026]])</f>
        <v>0.75</v>
      </c>
      <c r="K158" s="304">
        <f t="shared" si="15"/>
        <v>0</v>
      </c>
      <c r="L158" s="63">
        <f t="shared" si="16"/>
        <v>0</v>
      </c>
      <c r="M158" s="442"/>
      <c r="N158" s="442" t="s">
        <v>6083</v>
      </c>
      <c r="O158" s="442" t="s">
        <v>6083</v>
      </c>
      <c r="P158" s="442"/>
      <c r="Q158" s="189"/>
      <c r="R158" s="189"/>
      <c r="S158" s="189"/>
      <c r="T158" s="189"/>
      <c r="U158" s="189"/>
      <c r="V158" s="189"/>
      <c r="W158" s="189"/>
      <c r="X158" s="442"/>
      <c r="Y158" s="189"/>
      <c r="Z158" s="189"/>
      <c r="AA158" s="189"/>
      <c r="AB158" s="189"/>
      <c r="AC158" s="401"/>
      <c r="AD158" s="189"/>
      <c r="AE158" s="189"/>
      <c r="AF158" s="189"/>
      <c r="AG158" s="189">
        <v>1</v>
      </c>
      <c r="AH158" s="189">
        <v>2</v>
      </c>
      <c r="AI158" s="189"/>
      <c r="AJ158" s="189"/>
      <c r="AK158" s="189"/>
      <c r="AL158" s="189"/>
      <c r="AM158" s="189"/>
      <c r="AN158" s="189"/>
    </row>
    <row r="159" spans="1:40">
      <c r="A159" s="85">
        <f>IFERROR(VLOOKUP(Table7[[#This Row],[Player No]],Table11[[#All],[No]:[Age Group]],4,0),"")</f>
        <v>0</v>
      </c>
      <c r="B159" s="87">
        <v>69</v>
      </c>
      <c r="C159" s="195">
        <f t="shared" si="18"/>
        <v>-86</v>
      </c>
      <c r="D159" s="63">
        <f t="shared" si="17"/>
        <v>155</v>
      </c>
      <c r="E159" s="189">
        <v>7782</v>
      </c>
      <c r="F159" s="719" t="str">
        <f>IFERROR(VLOOKUP(Table7[[#This Row],[Player No]],Table11[[No]:[Province]],2,0),"")</f>
        <v>MODISENYANI Rhetabile</v>
      </c>
      <c r="G159" s="342" t="str">
        <f>IFERROR(VLOOKUP(Table7[[#This Row],[Player No]],Table11[[No]:[Province]],3,0),"")</f>
        <v>FS</v>
      </c>
      <c r="H159" s="192">
        <v>2.8125</v>
      </c>
      <c r="I159" s="193">
        <v>1.40625</v>
      </c>
      <c r="J159" s="661">
        <f>Table7[[#This Row],[Points 2025]]/2+SUM(Table7[[#This Row],[O1  ADMIN 2026]:[P2           WC         CT Open 2026]])</f>
        <v>0.703125</v>
      </c>
      <c r="K159" s="304">
        <f t="shared" si="15"/>
        <v>0</v>
      </c>
      <c r="L159" s="63">
        <f t="shared" si="16"/>
        <v>0</v>
      </c>
      <c r="M159" s="442"/>
      <c r="N159" s="442" t="s">
        <v>6083</v>
      </c>
      <c r="O159" s="442" t="s">
        <v>6083</v>
      </c>
      <c r="P159" s="442"/>
      <c r="Q159" s="189"/>
      <c r="R159" s="189"/>
      <c r="S159" s="189"/>
      <c r="T159" s="189"/>
      <c r="U159" s="189"/>
      <c r="V159" s="189"/>
      <c r="W159" s="189"/>
      <c r="X159" s="442"/>
      <c r="Y159" s="189"/>
      <c r="Z159" s="189"/>
      <c r="AA159" s="189"/>
      <c r="AB159" s="189"/>
      <c r="AC159" s="401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</row>
    <row r="160" spans="1:40">
      <c r="A160" s="85">
        <f>IFERROR(VLOOKUP(Table7[[#This Row],[Player No]],Table11[[#All],[No]:[Age Group]],4,0),"")</f>
        <v>0</v>
      </c>
      <c r="B160" s="87">
        <v>70</v>
      </c>
      <c r="C160" s="195">
        <f t="shared" si="18"/>
        <v>-86</v>
      </c>
      <c r="D160" s="63">
        <f t="shared" si="17"/>
        <v>156</v>
      </c>
      <c r="E160" s="189">
        <v>8118</v>
      </c>
      <c r="F160" s="719" t="str">
        <f>IFERROR(VLOOKUP(Table7[[#This Row],[Player No]],Table11[[No]:[Province]],2,0),"")</f>
        <v>NYOKONG Keabetswe</v>
      </c>
      <c r="G160" s="342" t="str">
        <f>IFERROR(VLOOKUP(Table7[[#This Row],[Player No]],Table11[[No]:[Province]],3,0),"")</f>
        <v>FS</v>
      </c>
      <c r="H160" s="192">
        <v>2.75</v>
      </c>
      <c r="I160" s="193">
        <v>1.375</v>
      </c>
      <c r="J160" s="661">
        <f>Table7[[#This Row],[Points 2025]]/2+SUM(Table7[[#This Row],[O1  ADMIN 2026]:[P2           WC         CT Open 2026]])</f>
        <v>0.6875</v>
      </c>
      <c r="K160" s="304">
        <f t="shared" si="15"/>
        <v>0</v>
      </c>
      <c r="L160" s="63">
        <f t="shared" si="16"/>
        <v>0</v>
      </c>
      <c r="M160" s="442"/>
      <c r="N160" s="442" t="s">
        <v>6083</v>
      </c>
      <c r="O160" s="442" t="s">
        <v>6083</v>
      </c>
      <c r="P160" s="442"/>
      <c r="Q160" s="189"/>
      <c r="R160" s="189"/>
      <c r="S160" s="189"/>
      <c r="T160" s="189"/>
      <c r="U160" s="189"/>
      <c r="V160" s="189"/>
      <c r="W160" s="189"/>
      <c r="X160" s="442"/>
      <c r="Y160" s="189"/>
      <c r="Z160" s="189"/>
      <c r="AA160" s="189"/>
      <c r="AB160" s="189"/>
      <c r="AC160" s="401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</row>
    <row r="161" spans="1:40">
      <c r="A161" s="85">
        <f>IFERROR(VLOOKUP(Table7[[#This Row],[Player No]],Table11[[#All],[No]:[Age Group]],4,0),"")</f>
        <v>0</v>
      </c>
      <c r="B161" s="87">
        <v>74</v>
      </c>
      <c r="C161" s="195">
        <f t="shared" si="18"/>
        <v>-83</v>
      </c>
      <c r="D161" s="63">
        <f t="shared" si="17"/>
        <v>157</v>
      </c>
      <c r="E161" s="189">
        <v>8300</v>
      </c>
      <c r="F161" s="719" t="str">
        <f>IFERROR(VLOOKUP(Table7[[#This Row],[Player No]],Table11[[No]:[Province]],2,0),"")</f>
        <v>Dumisa Elihle</v>
      </c>
      <c r="G161" s="342" t="str">
        <f>IFERROR(VLOOKUP(Table7[[#This Row],[Player No]],Table11[[No]:[Province]],3,0),"")</f>
        <v>ETK</v>
      </c>
      <c r="H161" s="192">
        <v>2</v>
      </c>
      <c r="I161" s="193">
        <v>1</v>
      </c>
      <c r="J161" s="661">
        <f>Table7[[#This Row],[Points 2025]]/2+SUM(Table7[[#This Row],[O1  ADMIN 2026]:[P2           WC         CT Open 2026]])</f>
        <v>0.5</v>
      </c>
      <c r="K161" s="304">
        <f t="shared" si="15"/>
        <v>0</v>
      </c>
      <c r="L161" s="63">
        <f t="shared" si="16"/>
        <v>0</v>
      </c>
      <c r="M161" s="442"/>
      <c r="N161" s="442" t="s">
        <v>6083</v>
      </c>
      <c r="O161" s="442" t="s">
        <v>6083</v>
      </c>
      <c r="P161" s="442"/>
      <c r="Q161" s="189"/>
      <c r="R161" s="189"/>
      <c r="S161" s="189"/>
      <c r="T161" s="189"/>
      <c r="U161" s="189"/>
      <c r="V161" s="189"/>
      <c r="W161" s="189"/>
      <c r="X161" s="442"/>
      <c r="Y161" s="189"/>
      <c r="Z161" s="189"/>
      <c r="AA161" s="189"/>
      <c r="AB161" s="189"/>
      <c r="AC161" s="401"/>
      <c r="AD161" s="189"/>
      <c r="AE161" s="189">
        <v>2</v>
      </c>
      <c r="AF161" s="189"/>
      <c r="AG161" s="189"/>
      <c r="AH161" s="189"/>
      <c r="AI161" s="189"/>
      <c r="AJ161" s="189"/>
      <c r="AK161" s="189"/>
      <c r="AL161" s="189"/>
      <c r="AM161" s="189"/>
      <c r="AN161" s="189"/>
    </row>
    <row r="162" spans="1:40">
      <c r="A162" s="85" t="str">
        <f>IFERROR(VLOOKUP(Table7[[#This Row],[Player No]],Table11[[#All],[No]:[Age Group]],4,0),"")</f>
        <v>U15</v>
      </c>
      <c r="B162" s="87">
        <v>73</v>
      </c>
      <c r="C162" s="195">
        <f t="shared" si="18"/>
        <v>-85</v>
      </c>
      <c r="D162" s="63">
        <f t="shared" si="17"/>
        <v>158</v>
      </c>
      <c r="E162" s="189">
        <v>8315</v>
      </c>
      <c r="F162" s="719" t="str">
        <f>IFERROR(VLOOKUP(Table7[[#This Row],[Player No]],Table11[[No]:[Province]],2,0),"")</f>
        <v xml:space="preserve">BATYO Yolanda </v>
      </c>
      <c r="G162" s="342" t="str">
        <f>IFERROR(VLOOKUP(Table7[[#This Row],[Player No]],Table11[[No]:[Province]],3,0),"")</f>
        <v>ETK</v>
      </c>
      <c r="H162" s="192">
        <v>2</v>
      </c>
      <c r="I162" s="193">
        <v>1</v>
      </c>
      <c r="J162" s="661">
        <f>Table7[[#This Row],[Points 2025]]/2+SUM(Table7[[#This Row],[O1  ADMIN 2026]:[P2           WC         CT Open 2026]])</f>
        <v>0.5</v>
      </c>
      <c r="K162" s="304">
        <f t="shared" si="15"/>
        <v>0</v>
      </c>
      <c r="L162" s="63">
        <f t="shared" si="16"/>
        <v>0</v>
      </c>
      <c r="M162" s="442"/>
      <c r="N162" s="442" t="s">
        <v>6083</v>
      </c>
      <c r="O162" s="442" t="s">
        <v>6083</v>
      </c>
      <c r="P162" s="442"/>
      <c r="Q162" s="189"/>
      <c r="R162" s="189"/>
      <c r="S162" s="189"/>
      <c r="T162" s="189"/>
      <c r="U162" s="189"/>
      <c r="V162" s="189"/>
      <c r="W162" s="189"/>
      <c r="X162" s="442"/>
      <c r="Y162" s="189"/>
      <c r="Z162" s="189"/>
      <c r="AA162" s="189"/>
      <c r="AB162" s="189"/>
      <c r="AC162" s="401"/>
      <c r="AD162" s="189"/>
      <c r="AE162" s="189">
        <v>2</v>
      </c>
      <c r="AF162" s="189"/>
      <c r="AG162" s="189"/>
      <c r="AH162" s="189"/>
      <c r="AI162" s="189"/>
      <c r="AJ162" s="189"/>
      <c r="AK162" s="189"/>
      <c r="AL162" s="189"/>
      <c r="AM162" s="189"/>
      <c r="AN162" s="189"/>
    </row>
    <row r="163" spans="1:40">
      <c r="A163" s="298"/>
      <c r="B163" s="87" t="e">
        <f>VLOOKUP(Table7[[#This Row],[Player No]],'[7]u15 girls'!$E$5:$F$68,2,0)</f>
        <v>#N/A</v>
      </c>
      <c r="C163" s="195" t="e">
        <f t="shared" si="18"/>
        <v>#N/A</v>
      </c>
      <c r="D163" s="63">
        <f t="shared" si="17"/>
        <v>159</v>
      </c>
      <c r="E163" s="293">
        <v>8334</v>
      </c>
      <c r="F163" s="301" t="str">
        <f>IFERROR(VLOOKUP(Table7[[#This Row],[Player No]],Table11[[No]:[Province]],2,0),"")</f>
        <v>ZWANE Ziyanda</v>
      </c>
      <c r="G163" s="302" t="str">
        <f>IFERROR(VLOOKUP(Table7[[#This Row],[Player No]],Table11[[No]:[Province]],3,0),"")</f>
        <v>ETK</v>
      </c>
      <c r="H163" s="192"/>
      <c r="I163" s="193">
        <v>1</v>
      </c>
      <c r="J163" s="661">
        <f>Table7[[#This Row],[Points 2025]]/2+SUM(Table7[[#This Row],[O1  ADMIN 2026]:[P2           WC         CT Open 2026]])</f>
        <v>0.5</v>
      </c>
      <c r="K163" s="303">
        <f t="shared" si="15"/>
        <v>0</v>
      </c>
      <c r="L163" s="63">
        <f t="shared" si="16"/>
        <v>0</v>
      </c>
      <c r="M163" s="442"/>
      <c r="N163" s="736" t="s">
        <v>6083</v>
      </c>
      <c r="O163" s="736" t="s">
        <v>6083</v>
      </c>
      <c r="P163" s="736"/>
      <c r="Q163" s="189"/>
      <c r="R163" s="189"/>
      <c r="S163" s="189"/>
      <c r="T163" s="189">
        <v>1</v>
      </c>
      <c r="U163" s="189"/>
      <c r="V163" s="189"/>
      <c r="W163" s="189"/>
      <c r="X163" s="442"/>
      <c r="Y163" s="189"/>
      <c r="Z163" s="189"/>
      <c r="AA163" s="189"/>
      <c r="AB163" s="189"/>
      <c r="AC163" s="401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</row>
    <row r="164" spans="1:40">
      <c r="A164" s="85">
        <f>IFERROR(VLOOKUP(Table7[[#This Row],[Player No]],Table11[[#All],[No]:[Age Group]],4,0),"")</f>
        <v>0</v>
      </c>
      <c r="B164" s="87">
        <v>78</v>
      </c>
      <c r="C164" s="399">
        <f t="shared" si="18"/>
        <v>-82</v>
      </c>
      <c r="D164" s="63">
        <f t="shared" si="17"/>
        <v>160</v>
      </c>
      <c r="E164" s="401">
        <v>8350</v>
      </c>
      <c r="F164" s="672" t="str">
        <f>IFERROR(VLOOKUP(Table7[[#This Row],[Player No]],Table11[[No]:[Province]],2,0),"")</f>
        <v>PARBHOODEEN Tarika Amber</v>
      </c>
      <c r="G164" s="414" t="str">
        <f>IFERROR(VLOOKUP(Table7[[#This Row],[Player No]],Table11[[No]:[Province]],3,0),"")</f>
        <v>UMG</v>
      </c>
      <c r="H164" s="410">
        <v>2</v>
      </c>
      <c r="I164" s="404">
        <v>1</v>
      </c>
      <c r="J164" s="661">
        <f>Table7[[#This Row],[Points 2025]]/2+SUM(Table7[[#This Row],[O1  ADMIN 2026]:[P2           WC         CT Open 2026]])</f>
        <v>0.5</v>
      </c>
      <c r="K164" s="727">
        <f t="shared" si="15"/>
        <v>0</v>
      </c>
      <c r="L164" s="63">
        <f t="shared" si="16"/>
        <v>0</v>
      </c>
      <c r="M164" s="442"/>
      <c r="N164" s="442" t="s">
        <v>6083</v>
      </c>
      <c r="O164" s="442" t="s">
        <v>6083</v>
      </c>
      <c r="P164" s="442"/>
      <c r="Q164" s="401"/>
      <c r="R164" s="401"/>
      <c r="S164" s="401"/>
      <c r="T164" s="401"/>
      <c r="U164" s="401"/>
      <c r="V164" s="401"/>
      <c r="W164" s="401"/>
      <c r="X164" s="442"/>
      <c r="Y164" s="401"/>
      <c r="Z164" s="401"/>
      <c r="AA164" s="401"/>
      <c r="AB164" s="401"/>
      <c r="AC164" s="401"/>
      <c r="AD164" s="401"/>
      <c r="AE164" s="401" t="s">
        <v>4722</v>
      </c>
      <c r="AF164" s="401">
        <v>1</v>
      </c>
      <c r="AG164" s="401"/>
      <c r="AH164" s="401"/>
      <c r="AI164" s="401"/>
      <c r="AJ164" s="401"/>
      <c r="AK164" s="401"/>
      <c r="AL164" s="401">
        <v>1</v>
      </c>
      <c r="AM164" s="401"/>
      <c r="AN164" s="401"/>
    </row>
    <row r="165" spans="1:40">
      <c r="A165" s="85">
        <f>IFERROR(VLOOKUP(Table7[[#This Row],[Player No]],Table11[[#All],[No]:[Age Group]],4,0),"")</f>
        <v>0</v>
      </c>
      <c r="B165" s="87">
        <v>91</v>
      </c>
      <c r="C165" s="399">
        <f t="shared" si="18"/>
        <v>-70</v>
      </c>
      <c r="D165" s="63">
        <f t="shared" si="17"/>
        <v>161</v>
      </c>
      <c r="E165" s="401">
        <v>8355</v>
      </c>
      <c r="F165" s="672" t="str">
        <f>IFERROR(VLOOKUP(Table7[[#This Row],[Player No]],Table11[[No]:[Province]],2,0),"")</f>
        <v>SWARTS Ledinia</v>
      </c>
      <c r="G165" s="414" t="str">
        <f>IFERROR(VLOOKUP(Table7[[#This Row],[Player No]],Table11[[No]:[Province]],3,0),"")</f>
        <v>CW</v>
      </c>
      <c r="H165" s="410">
        <v>2</v>
      </c>
      <c r="I165" s="404">
        <v>1</v>
      </c>
      <c r="J165" s="661">
        <f>Table7[[#This Row],[Points 2025]]/2+SUM(Table7[[#This Row],[O1  ADMIN 2026]:[P2           WC         CT Open 2026]])</f>
        <v>0.5</v>
      </c>
      <c r="K165" s="727">
        <f t="shared" ref="K165:K193" si="19">COUNTIF(M165:P165,"&gt;0")</f>
        <v>0</v>
      </c>
      <c r="L165" s="63">
        <f t="shared" ref="L165:L193" si="20">COUNTIF(N165:AN165,"&lt;0")</f>
        <v>0</v>
      </c>
      <c r="M165" s="442"/>
      <c r="N165" s="442" t="s">
        <v>6083</v>
      </c>
      <c r="O165" s="442" t="s">
        <v>6083</v>
      </c>
      <c r="P165" s="442"/>
      <c r="Q165" s="401"/>
      <c r="R165" s="401"/>
      <c r="S165" s="401"/>
      <c r="T165" s="401"/>
      <c r="U165" s="401"/>
      <c r="V165" s="401"/>
      <c r="W165" s="401"/>
      <c r="X165" s="442"/>
      <c r="Y165" s="401"/>
      <c r="Z165" s="401"/>
      <c r="AA165" s="401"/>
      <c r="AB165" s="401"/>
      <c r="AC165" s="401"/>
      <c r="AD165" s="401"/>
      <c r="AE165" s="401"/>
      <c r="AF165" s="401"/>
      <c r="AG165" s="401"/>
      <c r="AH165" s="401">
        <v>2</v>
      </c>
      <c r="AI165" s="401"/>
      <c r="AJ165" s="401"/>
      <c r="AK165" s="401"/>
      <c r="AL165" s="401"/>
      <c r="AM165" s="401"/>
      <c r="AN165" s="401"/>
    </row>
    <row r="166" spans="1:40">
      <c r="A166" s="85">
        <f>IFERROR(VLOOKUP(Table7[[#This Row],[Player No]],Table11[[#All],[No]:[Age Group]],4,0),"")</f>
        <v>0</v>
      </c>
      <c r="B166" s="87">
        <v>91</v>
      </c>
      <c r="C166" s="115">
        <f t="shared" si="18"/>
        <v>-71</v>
      </c>
      <c r="D166" s="63">
        <f t="shared" si="17"/>
        <v>162</v>
      </c>
      <c r="E166" s="114">
        <v>8394</v>
      </c>
      <c r="F166" s="151" t="str">
        <f>IFERROR(VLOOKUP(Table7[[#This Row],[Player No]],Table11[[No]:[Province]],2,0),"")</f>
        <v>Rashieda Abrahams</v>
      </c>
      <c r="G166" s="316" t="str">
        <f>IFERROR(VLOOKUP(Table7[[#This Row],[Player No]],Table11[[No]:[Province]],3,0),"")</f>
        <v>Eden</v>
      </c>
      <c r="H166" s="116">
        <v>2</v>
      </c>
      <c r="I166" s="124">
        <v>1</v>
      </c>
      <c r="J166" s="789">
        <f>Table7[[#This Row],[Points 2025]]/2+SUM(Table7[[#This Row],[O1  ADMIN 2026]:[P2           WC         CT Open 2026]])</f>
        <v>0.5</v>
      </c>
      <c r="K166" s="725">
        <f t="shared" si="19"/>
        <v>0</v>
      </c>
      <c r="L166" s="63">
        <f t="shared" si="20"/>
        <v>0</v>
      </c>
      <c r="M166" s="708"/>
      <c r="N166" s="708" t="s">
        <v>6083</v>
      </c>
      <c r="O166" s="708" t="s">
        <v>6083</v>
      </c>
      <c r="P166" s="708"/>
      <c r="Q166" s="114"/>
      <c r="R166" s="114"/>
      <c r="S166" s="189"/>
      <c r="T166" s="189"/>
      <c r="U166" s="114"/>
      <c r="V166" s="189"/>
      <c r="W166" s="114"/>
      <c r="X166" s="189"/>
      <c r="Y166" s="189"/>
      <c r="Z166" s="114"/>
      <c r="AA166" s="114"/>
      <c r="AB166" s="114"/>
      <c r="AC166" s="189"/>
      <c r="AD166" s="114"/>
      <c r="AE166" s="114"/>
      <c r="AF166" s="114"/>
      <c r="AG166" s="114"/>
      <c r="AH166" s="114">
        <v>2</v>
      </c>
      <c r="AI166" s="114"/>
      <c r="AJ166" s="114"/>
      <c r="AK166" s="114"/>
      <c r="AL166" s="114"/>
      <c r="AM166" s="114"/>
      <c r="AN166" s="114"/>
    </row>
    <row r="167" spans="1:40">
      <c r="A167" s="298"/>
      <c r="B167" s="87"/>
      <c r="C167" s="115">
        <f t="shared" si="18"/>
        <v>-163</v>
      </c>
      <c r="D167" s="63">
        <f t="shared" si="17"/>
        <v>163</v>
      </c>
      <c r="E167" s="330">
        <v>8465</v>
      </c>
      <c r="F167" s="718" t="str">
        <f>IFERROR(VLOOKUP(Table7[[#This Row],[Player No]],Table11[[No]:[Province]],2,0),"")</f>
        <v>MOJATAU Bokamoso</v>
      </c>
      <c r="G167" s="721" t="str">
        <f>IFERROR(VLOOKUP(Table7[[#This Row],[Player No]],Table11[[No]:[Province]],3,0),"")</f>
        <v>FS</v>
      </c>
      <c r="H167" s="116"/>
      <c r="I167" s="124">
        <v>1</v>
      </c>
      <c r="J167" s="789">
        <f>Table7[[#This Row],[Points 2025]]/2+SUM(Table7[[#This Row],[O1  ADMIN 2026]:[P2           WC         CT Open 2026]])</f>
        <v>0.5</v>
      </c>
      <c r="K167" s="726">
        <f t="shared" si="19"/>
        <v>0</v>
      </c>
      <c r="L167" s="63">
        <f t="shared" si="20"/>
        <v>0</v>
      </c>
      <c r="M167" s="708"/>
      <c r="N167" s="827" t="s">
        <v>6083</v>
      </c>
      <c r="O167" s="827" t="s">
        <v>6083</v>
      </c>
      <c r="P167" s="827"/>
      <c r="Q167" s="114"/>
      <c r="R167" s="114"/>
      <c r="S167" s="189"/>
      <c r="T167" s="189"/>
      <c r="U167" s="114"/>
      <c r="V167" s="189">
        <v>1</v>
      </c>
      <c r="W167" s="114"/>
      <c r="X167" s="189"/>
      <c r="Y167" s="189"/>
      <c r="Z167" s="114"/>
      <c r="AA167" s="114"/>
      <c r="AB167" s="114"/>
      <c r="AC167" s="189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</row>
    <row r="168" spans="1:40">
      <c r="A168" s="298"/>
      <c r="B168" s="87"/>
      <c r="C168" s="115">
        <f t="shared" si="18"/>
        <v>-164</v>
      </c>
      <c r="D168" s="63">
        <f t="shared" si="17"/>
        <v>164</v>
      </c>
      <c r="E168" s="330">
        <v>8606</v>
      </c>
      <c r="F168" s="718" t="str">
        <f>IFERROR(VLOOKUP(Table7[[#This Row],[Player No]],Table11[[No]:[Province]],2,0),"")</f>
        <v xml:space="preserve">S Jameson </v>
      </c>
      <c r="G168" s="721" t="str">
        <f>IFERROR(VLOOKUP(Table7[[#This Row],[Player No]],Table11[[No]:[Province]],3,0),"")</f>
        <v>FS</v>
      </c>
      <c r="H168" s="116">
        <v>0</v>
      </c>
      <c r="I168" s="124">
        <v>1</v>
      </c>
      <c r="J168" s="789">
        <f>Table7[[#This Row],[Points 2025]]/2+SUM(Table7[[#This Row],[O1  ADMIN 2026]:[P2           WC         CT Open 2026]])</f>
        <v>0.5</v>
      </c>
      <c r="K168" s="725">
        <f t="shared" si="19"/>
        <v>0</v>
      </c>
      <c r="L168" s="63">
        <f t="shared" si="20"/>
        <v>0</v>
      </c>
      <c r="M168" s="708"/>
      <c r="N168" s="708" t="s">
        <v>6083</v>
      </c>
      <c r="O168" s="708" t="s">
        <v>6083</v>
      </c>
      <c r="P168" s="708"/>
      <c r="Q168" s="114"/>
      <c r="R168" s="114"/>
      <c r="S168" s="189"/>
      <c r="T168" s="189"/>
      <c r="U168" s="114"/>
      <c r="V168" s="189"/>
      <c r="W168" s="114">
        <v>1</v>
      </c>
      <c r="X168" s="189"/>
      <c r="Y168" s="189"/>
      <c r="Z168" s="114"/>
      <c r="AA168" s="114"/>
      <c r="AB168" s="114"/>
      <c r="AC168" s="189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</row>
    <row r="169" spans="1:40">
      <c r="A169" s="298"/>
      <c r="B169" s="87"/>
      <c r="C169" s="115">
        <f t="shared" si="18"/>
        <v>-165</v>
      </c>
      <c r="D169" s="63">
        <f t="shared" si="17"/>
        <v>165</v>
      </c>
      <c r="E169" s="330">
        <v>8607</v>
      </c>
      <c r="F169" s="718" t="str">
        <f>IFERROR(VLOOKUP(Table7[[#This Row],[Player No]],Table11[[No]:[Province]],2,0),"")</f>
        <v xml:space="preserve">B Motshabi </v>
      </c>
      <c r="G169" s="721" t="str">
        <f>IFERROR(VLOOKUP(Table7[[#This Row],[Player No]],Table11[[No]:[Province]],3,0),"")</f>
        <v>FS</v>
      </c>
      <c r="H169" s="116">
        <v>0</v>
      </c>
      <c r="I169" s="124">
        <v>1</v>
      </c>
      <c r="J169" s="789">
        <f>Table7[[#This Row],[Points 2025]]/2+SUM(Table7[[#This Row],[O1  ADMIN 2026]:[P2           WC         CT Open 2026]])</f>
        <v>0.5</v>
      </c>
      <c r="K169" s="725">
        <f t="shared" si="19"/>
        <v>0</v>
      </c>
      <c r="L169" s="63">
        <f t="shared" si="20"/>
        <v>0</v>
      </c>
      <c r="M169" s="708"/>
      <c r="N169" s="708" t="s">
        <v>6083</v>
      </c>
      <c r="O169" s="708" t="s">
        <v>6083</v>
      </c>
      <c r="P169" s="708"/>
      <c r="Q169" s="114"/>
      <c r="R169" s="114"/>
      <c r="S169" s="189"/>
      <c r="T169" s="189"/>
      <c r="U169" s="114"/>
      <c r="V169" s="189"/>
      <c r="W169" s="114">
        <v>1</v>
      </c>
      <c r="X169" s="189"/>
      <c r="Y169" s="189"/>
      <c r="Z169" s="114"/>
      <c r="AA169" s="114"/>
      <c r="AB169" s="114"/>
      <c r="AC169" s="189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</row>
    <row r="170" spans="1:40">
      <c r="A170" s="298"/>
      <c r="B170" s="87"/>
      <c r="C170" s="115">
        <f t="shared" si="18"/>
        <v>-166</v>
      </c>
      <c r="D170" s="63">
        <f t="shared" si="17"/>
        <v>166</v>
      </c>
      <c r="E170" s="330">
        <v>8608</v>
      </c>
      <c r="F170" s="718" t="str">
        <f>IFERROR(VLOOKUP(Table7[[#This Row],[Player No]],Table11[[No]:[Province]],2,0),"")</f>
        <v xml:space="preserve">G Masopa </v>
      </c>
      <c r="G170" s="721" t="str">
        <f>IFERROR(VLOOKUP(Table7[[#This Row],[Player No]],Table11[[No]:[Province]],3,0),"")</f>
        <v>FS</v>
      </c>
      <c r="H170" s="116">
        <v>0</v>
      </c>
      <c r="I170" s="124">
        <v>1</v>
      </c>
      <c r="J170" s="789">
        <f>Table7[[#This Row],[Points 2025]]/2+SUM(Table7[[#This Row],[O1  ADMIN 2026]:[P2           WC         CT Open 2026]])</f>
        <v>0.5</v>
      </c>
      <c r="K170" s="725">
        <f t="shared" si="19"/>
        <v>0</v>
      </c>
      <c r="L170" s="63">
        <f t="shared" si="20"/>
        <v>0</v>
      </c>
      <c r="M170" s="708"/>
      <c r="N170" s="708" t="s">
        <v>6083</v>
      </c>
      <c r="O170" s="708" t="s">
        <v>6083</v>
      </c>
      <c r="P170" s="708"/>
      <c r="Q170" s="114"/>
      <c r="R170" s="114"/>
      <c r="S170" s="189"/>
      <c r="T170" s="189"/>
      <c r="U170" s="114"/>
      <c r="V170" s="189"/>
      <c r="W170" s="114">
        <v>1</v>
      </c>
      <c r="X170" s="189"/>
      <c r="Y170" s="189"/>
      <c r="Z170" s="114"/>
      <c r="AA170" s="114"/>
      <c r="AB170" s="114"/>
      <c r="AC170" s="189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</row>
    <row r="171" spans="1:40">
      <c r="A171" s="298"/>
      <c r="B171" s="87"/>
      <c r="C171" s="115">
        <f t="shared" si="18"/>
        <v>-167</v>
      </c>
      <c r="D171" s="63">
        <f t="shared" si="17"/>
        <v>167</v>
      </c>
      <c r="E171" s="330">
        <v>8609</v>
      </c>
      <c r="F171" s="718" t="str">
        <f>IFERROR(VLOOKUP(Table7[[#This Row],[Player No]],Table11[[No]:[Province]],2,0),"")</f>
        <v xml:space="preserve">B Letsokodi </v>
      </c>
      <c r="G171" s="721" t="str">
        <f>IFERROR(VLOOKUP(Table7[[#This Row],[Player No]],Table11[[No]:[Province]],3,0),"")</f>
        <v>FS</v>
      </c>
      <c r="H171" s="116">
        <v>0</v>
      </c>
      <c r="I171" s="124">
        <v>1</v>
      </c>
      <c r="J171" s="789">
        <f>Table7[[#This Row],[Points 2025]]/2+SUM(Table7[[#This Row],[O1  ADMIN 2026]:[P2           WC         CT Open 2026]])</f>
        <v>0.5</v>
      </c>
      <c r="K171" s="725">
        <f t="shared" si="19"/>
        <v>0</v>
      </c>
      <c r="L171" s="63">
        <f t="shared" si="20"/>
        <v>0</v>
      </c>
      <c r="M171" s="708"/>
      <c r="N171" s="708" t="s">
        <v>6083</v>
      </c>
      <c r="O171" s="708" t="s">
        <v>6083</v>
      </c>
      <c r="P171" s="708"/>
      <c r="Q171" s="114"/>
      <c r="R171" s="114"/>
      <c r="S171" s="189"/>
      <c r="T171" s="189"/>
      <c r="U171" s="114"/>
      <c r="V171" s="189"/>
      <c r="W171" s="114">
        <v>1</v>
      </c>
      <c r="X171" s="189"/>
      <c r="Y171" s="189"/>
      <c r="Z171" s="114"/>
      <c r="AA171" s="114"/>
      <c r="AB171" s="114"/>
      <c r="AC171" s="189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</row>
    <row r="172" spans="1:40">
      <c r="A172" s="297"/>
      <c r="B172" s="299"/>
      <c r="C172" s="380">
        <f t="shared" si="18"/>
        <v>-168</v>
      </c>
      <c r="D172" s="63">
        <f t="shared" si="17"/>
        <v>168</v>
      </c>
      <c r="E172" s="621">
        <v>8672</v>
      </c>
      <c r="F172" s="959" t="str">
        <f>IFERROR(VLOOKUP(Table7[[#This Row],[Player No]],Table11[[No]:[Province]],2,0),"")</f>
        <v>RANGATA Terriwoki</v>
      </c>
      <c r="G172" s="962" t="str">
        <f>IFERROR(VLOOKUP(Table7[[#This Row],[Player No]],Table11[[No]:[Province]],3,0),"")</f>
        <v>JTTA</v>
      </c>
      <c r="H172" s="317"/>
      <c r="I172" s="381">
        <v>1</v>
      </c>
      <c r="J172" s="821">
        <f>Table7[[#This Row],[Points 2025]]/2+SUM(Table7[[#This Row],[O1  ADMIN 2026]:[P2           WC         CT Open 2026]])</f>
        <v>0.5</v>
      </c>
      <c r="K172" s="725">
        <f t="shared" si="19"/>
        <v>0</v>
      </c>
      <c r="L172" s="63">
        <f t="shared" si="20"/>
        <v>0</v>
      </c>
      <c r="M172" s="708"/>
      <c r="N172" s="708" t="s">
        <v>6083</v>
      </c>
      <c r="O172" s="708" t="s">
        <v>6083</v>
      </c>
      <c r="P172" s="708"/>
      <c r="Q172" s="318"/>
      <c r="R172" s="318"/>
      <c r="S172" s="294"/>
      <c r="T172" s="294"/>
      <c r="U172" s="318"/>
      <c r="V172" s="294"/>
      <c r="W172" s="318"/>
      <c r="X172" s="294">
        <v>0</v>
      </c>
      <c r="Y172" s="294"/>
      <c r="Z172" s="318"/>
      <c r="AA172" s="318"/>
      <c r="AB172" s="318"/>
      <c r="AC172" s="294"/>
      <c r="AD172" s="318">
        <v>1</v>
      </c>
      <c r="AE172" s="318"/>
      <c r="AF172" s="318"/>
      <c r="AG172" s="318"/>
      <c r="AH172" s="318"/>
      <c r="AI172" s="318"/>
      <c r="AJ172" s="318"/>
      <c r="AK172" s="318"/>
      <c r="AL172" s="318"/>
      <c r="AM172" s="318"/>
      <c r="AN172" s="318"/>
    </row>
    <row r="173" spans="1:40">
      <c r="A173" s="332"/>
      <c r="B173" s="333"/>
      <c r="C173" s="338">
        <f t="shared" si="18"/>
        <v>-169</v>
      </c>
      <c r="D173" s="63">
        <f t="shared" si="17"/>
        <v>169</v>
      </c>
      <c r="E173" s="348">
        <v>8725</v>
      </c>
      <c r="F173" s="349" t="str">
        <f>IFERROR(VLOOKUP(Table7[[#This Row],[Player No]],Table11[[No]:[Province]],2,0),"")</f>
        <v>Thabeka NTSOLLOANE</v>
      </c>
      <c r="G173" s="722" t="str">
        <f>IFERROR(VLOOKUP(Table7[[#This Row],[Player No]],Table11[[No]:[Province]],3,0),"")</f>
        <v>FS</v>
      </c>
      <c r="H173" s="723"/>
      <c r="I173" s="383">
        <v>1</v>
      </c>
      <c r="J173" s="817">
        <f>Table7[[#This Row],[Points 2025]]/2+SUM(Table7[[#This Row],[O1  ADMIN 2026]:[P2           WC         CT Open 2026]])</f>
        <v>0.5</v>
      </c>
      <c r="K173" s="728">
        <f t="shared" si="19"/>
        <v>0</v>
      </c>
      <c r="L173" s="63">
        <f t="shared" si="20"/>
        <v>0</v>
      </c>
      <c r="M173" s="708"/>
      <c r="N173" s="826" t="s">
        <v>6083</v>
      </c>
      <c r="O173" s="826" t="s">
        <v>6083</v>
      </c>
      <c r="P173" s="826"/>
      <c r="Q173" s="321"/>
      <c r="R173" s="321"/>
      <c r="S173" s="329"/>
      <c r="T173" s="329"/>
      <c r="U173" s="321"/>
      <c r="V173" s="329">
        <v>1</v>
      </c>
      <c r="W173" s="321"/>
      <c r="X173" s="329"/>
      <c r="Y173" s="329"/>
      <c r="Z173" s="321"/>
      <c r="AA173" s="321"/>
      <c r="AB173" s="321"/>
      <c r="AC173" s="329"/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</row>
    <row r="174" spans="1:40">
      <c r="A174" s="85">
        <f>IFERROR(VLOOKUP(Table7[[#This Row],[Player No]],Table11[[#All],[No]:[Age Group]],4,0),"")</f>
        <v>0</v>
      </c>
      <c r="B174" s="87">
        <v>84</v>
      </c>
      <c r="C174" s="115">
        <f t="shared" si="18"/>
        <v>-86</v>
      </c>
      <c r="D174" s="63">
        <f t="shared" si="17"/>
        <v>170</v>
      </c>
      <c r="E174" s="114">
        <v>8348</v>
      </c>
      <c r="F174" s="151" t="str">
        <f>IFERROR(VLOOKUP(Table7[[#This Row],[Player No]],Table11[[No]:[Province]],2,0),"")</f>
        <v>ABRAHAMS Zuri</v>
      </c>
      <c r="G174" s="316" t="str">
        <f>IFERROR(VLOOKUP(Table7[[#This Row],[Player No]],Table11[[No]:[Province]],3,0),"")</f>
        <v>JTTA</v>
      </c>
      <c r="H174" s="116">
        <v>0.5</v>
      </c>
      <c r="I174" s="124">
        <v>0.75</v>
      </c>
      <c r="J174" s="789">
        <f>Table7[[#This Row],[Points 2025]]/2+SUM(Table7[[#This Row],[O1  ADMIN 2026]:[P2           WC         CT Open 2026]])</f>
        <v>0.375</v>
      </c>
      <c r="K174" s="725">
        <f t="shared" si="19"/>
        <v>0</v>
      </c>
      <c r="L174" s="63">
        <f t="shared" si="20"/>
        <v>0</v>
      </c>
      <c r="M174" s="708"/>
      <c r="N174" s="708" t="s">
        <v>6083</v>
      </c>
      <c r="O174" s="708" t="s">
        <v>6083</v>
      </c>
      <c r="P174" s="708"/>
      <c r="Q174" s="114"/>
      <c r="R174" s="114"/>
      <c r="S174" s="189"/>
      <c r="T174" s="189"/>
      <c r="U174" s="114"/>
      <c r="V174" s="189"/>
      <c r="W174" s="114"/>
      <c r="X174" s="189"/>
      <c r="Y174" s="189"/>
      <c r="Z174" s="114"/>
      <c r="AA174" s="114"/>
      <c r="AB174" s="114">
        <v>0.5</v>
      </c>
      <c r="AC174" s="189"/>
      <c r="AD174" s="114"/>
      <c r="AE174" s="114"/>
      <c r="AF174" s="114"/>
      <c r="AG174" s="114"/>
      <c r="AH174" s="114"/>
      <c r="AI174" s="114"/>
      <c r="AJ174" s="114">
        <f>1/2</f>
        <v>0.5</v>
      </c>
      <c r="AK174" s="114"/>
      <c r="AL174" s="114"/>
      <c r="AM174" s="114"/>
      <c r="AN174" s="114"/>
    </row>
    <row r="175" spans="1:40">
      <c r="A175" s="85">
        <f>IFERROR(VLOOKUP(Table7[[#This Row],[Player No]],Table11[[#All],[No]:[Age Group]],4,0),"")</f>
        <v>0</v>
      </c>
      <c r="B175" s="87">
        <v>76</v>
      </c>
      <c r="C175" s="115">
        <f t="shared" si="18"/>
        <v>-95</v>
      </c>
      <c r="D175" s="63">
        <f t="shared" si="17"/>
        <v>171</v>
      </c>
      <c r="E175" s="114">
        <v>7927</v>
      </c>
      <c r="F175" s="151" t="str">
        <f>IFERROR(VLOOKUP(Table7[[#This Row],[Player No]],Table11[[No]:[Province]],2,0),"")</f>
        <v>KHOSANA Khanyisile</v>
      </c>
      <c r="G175" s="316" t="str">
        <f>IFERROR(VLOOKUP(Table7[[#This Row],[Player No]],Table11[[No]:[Province]],3,0),"")</f>
        <v>NC</v>
      </c>
      <c r="H175" s="116">
        <v>1.09375</v>
      </c>
      <c r="I175" s="124">
        <v>0.546875</v>
      </c>
      <c r="J175" s="789">
        <f>Table7[[#This Row],[Points 2025]]/2+SUM(Table7[[#This Row],[O1  ADMIN 2026]:[P2           WC         CT Open 2026]])</f>
        <v>0.2734375</v>
      </c>
      <c r="K175" s="725">
        <f t="shared" si="19"/>
        <v>0</v>
      </c>
      <c r="L175" s="63">
        <f t="shared" si="20"/>
        <v>0</v>
      </c>
      <c r="M175" s="708"/>
      <c r="N175" s="708" t="s">
        <v>6083</v>
      </c>
      <c r="O175" s="708" t="s">
        <v>6083</v>
      </c>
      <c r="P175" s="708"/>
      <c r="Q175" s="114"/>
      <c r="R175" s="114"/>
      <c r="S175" s="189"/>
      <c r="T175" s="189"/>
      <c r="U175" s="114"/>
      <c r="V175" s="189"/>
      <c r="W175" s="114"/>
      <c r="X175" s="189"/>
      <c r="Y175" s="189"/>
      <c r="Z175" s="114"/>
      <c r="AA175" s="114"/>
      <c r="AB175" s="114"/>
      <c r="AC175" s="189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</row>
    <row r="176" spans="1:40">
      <c r="A176" s="87"/>
      <c r="B176" s="87"/>
      <c r="C176" s="115">
        <f t="shared" si="18"/>
        <v>-172</v>
      </c>
      <c r="D176" s="63">
        <f t="shared" si="17"/>
        <v>172</v>
      </c>
      <c r="E176" s="114">
        <v>8071</v>
      </c>
      <c r="F176" s="151" t="str">
        <f>IFERROR(VLOOKUP(Table7[[#This Row],[Player No]],Table11[[No]:[Province]],2,0),"")</f>
        <v>DEDZA Kimberly</v>
      </c>
      <c r="G176" s="316" t="str">
        <f>IFERROR(VLOOKUP(Table7[[#This Row],[Player No]],Table11[[No]:[Province]],3,0),"")</f>
        <v>CT</v>
      </c>
      <c r="H176" s="116">
        <v>1</v>
      </c>
      <c r="I176" s="124">
        <v>0.5</v>
      </c>
      <c r="J176" s="789">
        <f>Table7[[#This Row],[Points 2025]]/2+SUM(Table7[[#This Row],[O1  ADMIN 2026]:[P2           WC         CT Open 2026]])</f>
        <v>0.25</v>
      </c>
      <c r="K176" s="725">
        <f t="shared" si="19"/>
        <v>0</v>
      </c>
      <c r="L176" s="63">
        <f t="shared" si="20"/>
        <v>0</v>
      </c>
      <c r="M176" s="708"/>
      <c r="N176" s="708" t="s">
        <v>6083</v>
      </c>
      <c r="O176" s="708" t="s">
        <v>6083</v>
      </c>
      <c r="P176" s="708"/>
      <c r="Q176" s="114"/>
      <c r="R176" s="114"/>
      <c r="S176" s="189"/>
      <c r="T176" s="189"/>
      <c r="U176" s="114"/>
      <c r="V176" s="189"/>
      <c r="W176" s="114"/>
      <c r="X176" s="189"/>
      <c r="Y176" s="189"/>
      <c r="Z176" s="114"/>
      <c r="AA176" s="114"/>
      <c r="AB176" s="114"/>
      <c r="AC176" s="189"/>
      <c r="AD176" s="114"/>
      <c r="AE176" s="114"/>
      <c r="AF176" s="114"/>
      <c r="AG176" s="114">
        <v>1</v>
      </c>
      <c r="AH176" s="114"/>
      <c r="AI176" s="114"/>
      <c r="AJ176" s="114"/>
      <c r="AK176" s="114"/>
      <c r="AL176" s="114"/>
      <c r="AM176" s="114"/>
      <c r="AN176" s="114"/>
    </row>
    <row r="177" spans="1:40">
      <c r="A177" s="85">
        <f>IFERROR(VLOOKUP(Table7[[#This Row],[Player No]],Table11[[#All],[No]:[Age Group]],4,0),"")</f>
        <v>0</v>
      </c>
      <c r="B177" s="87">
        <v>77</v>
      </c>
      <c r="C177" s="115">
        <f t="shared" si="18"/>
        <v>-96</v>
      </c>
      <c r="D177" s="63">
        <f t="shared" si="17"/>
        <v>173</v>
      </c>
      <c r="E177" s="114">
        <v>8339</v>
      </c>
      <c r="F177" s="151" t="str">
        <f>IFERROR(VLOOKUP(Table7[[#This Row],[Player No]],Table11[[No]:[Province]],2,0),"")</f>
        <v>HECHTER Natalie</v>
      </c>
      <c r="G177" s="316" t="str">
        <f>IFERROR(VLOOKUP(Table7[[#This Row],[Player No]],Table11[[No]:[Province]],3,0),"")</f>
        <v>JTTA</v>
      </c>
      <c r="H177" s="116">
        <v>1</v>
      </c>
      <c r="I177" s="124">
        <v>0.5</v>
      </c>
      <c r="J177" s="789">
        <f>Table7[[#This Row],[Points 2025]]/2+SUM(Table7[[#This Row],[O1  ADMIN 2026]:[P2           WC         CT Open 2026]])</f>
        <v>0.25</v>
      </c>
      <c r="K177" s="725">
        <f t="shared" si="19"/>
        <v>0</v>
      </c>
      <c r="L177" s="63">
        <f t="shared" si="20"/>
        <v>0</v>
      </c>
      <c r="M177" s="708"/>
      <c r="N177" s="708" t="s">
        <v>6083</v>
      </c>
      <c r="O177" s="708" t="s">
        <v>6083</v>
      </c>
      <c r="P177" s="708"/>
      <c r="Q177" s="114"/>
      <c r="R177" s="114"/>
      <c r="S177" s="189"/>
      <c r="T177" s="189"/>
      <c r="U177" s="114"/>
      <c r="V177" s="189"/>
      <c r="W177" s="114"/>
      <c r="X177" s="189"/>
      <c r="Y177" s="189"/>
      <c r="Z177" s="114"/>
      <c r="AA177" s="114"/>
      <c r="AB177" s="114"/>
      <c r="AC177" s="189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>
        <v>1</v>
      </c>
      <c r="AN177" s="114"/>
    </row>
    <row r="178" spans="1:40">
      <c r="A178" s="298"/>
      <c r="B178" s="87"/>
      <c r="C178" s="115">
        <f t="shared" si="18"/>
        <v>-174</v>
      </c>
      <c r="D178" s="63">
        <f t="shared" si="17"/>
        <v>174</v>
      </c>
      <c r="E178" s="330">
        <v>8405</v>
      </c>
      <c r="F178" s="718" t="str">
        <f>IFERROR(VLOOKUP(Table7[[#This Row],[Player No]],Table11[[No]:[Province]],2,0),"")</f>
        <v>LETSABA Oratile</v>
      </c>
      <c r="G178" s="721" t="str">
        <f>IFERROR(VLOOKUP(Table7[[#This Row],[Player No]],Table11[[No]:[Province]],3,0),"")</f>
        <v>EKU</v>
      </c>
      <c r="H178" s="116"/>
      <c r="I178" s="124">
        <v>0.5</v>
      </c>
      <c r="J178" s="789">
        <f>Table7[[#This Row],[Points 2025]]/2+SUM(Table7[[#This Row],[O1  ADMIN 2026]:[P2           WC         CT Open 2026]])</f>
        <v>0.25</v>
      </c>
      <c r="K178" s="726">
        <f t="shared" si="19"/>
        <v>0</v>
      </c>
      <c r="L178" s="63">
        <f t="shared" si="20"/>
        <v>0</v>
      </c>
      <c r="M178" s="708"/>
      <c r="N178" s="827" t="s">
        <v>6083</v>
      </c>
      <c r="O178" s="827" t="s">
        <v>6083</v>
      </c>
      <c r="P178" s="827"/>
      <c r="Q178" s="114"/>
      <c r="R178" s="114"/>
      <c r="S178" s="189"/>
      <c r="T178" s="189"/>
      <c r="U178" s="114"/>
      <c r="V178" s="189"/>
      <c r="W178" s="114"/>
      <c r="X178" s="189"/>
      <c r="Y178" s="189"/>
      <c r="Z178" s="114"/>
      <c r="AA178" s="114">
        <v>0.5</v>
      </c>
      <c r="AB178" s="114"/>
      <c r="AC178" s="189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</row>
    <row r="179" spans="1:40">
      <c r="A179" s="298"/>
      <c r="B179" s="87" t="e">
        <f>VLOOKUP(Table7[[#This Row],[Player No]],'[7]u15 girls'!$E$5:$F$68,2,0)</f>
        <v>#N/A</v>
      </c>
      <c r="C179" s="115" t="e">
        <f t="shared" si="18"/>
        <v>#N/A</v>
      </c>
      <c r="D179" s="63">
        <f t="shared" si="17"/>
        <v>175</v>
      </c>
      <c r="E179" s="330">
        <v>8583</v>
      </c>
      <c r="F179" s="718" t="str">
        <f>IFERROR(VLOOKUP(Table7[[#This Row],[Player No]],Table11[[No]:[Province]],2,0),"")</f>
        <v>Annika STANDER</v>
      </c>
      <c r="G179" s="721" t="str">
        <f>IFERROR(VLOOKUP(Table7[[#This Row],[Player No]],Table11[[No]:[Province]],3,0),"")</f>
        <v>GN</v>
      </c>
      <c r="H179" s="116"/>
      <c r="I179" s="124">
        <v>0.5</v>
      </c>
      <c r="J179" s="789">
        <f>Table7[[#This Row],[Points 2025]]/2+SUM(Table7[[#This Row],[O1  ADMIN 2026]:[P2           WC         CT Open 2026]])</f>
        <v>0.25</v>
      </c>
      <c r="K179" s="726">
        <f t="shared" si="19"/>
        <v>0</v>
      </c>
      <c r="L179" s="63">
        <f t="shared" si="20"/>
        <v>0</v>
      </c>
      <c r="M179" s="708"/>
      <c r="N179" s="827" t="s">
        <v>6083</v>
      </c>
      <c r="O179" s="827" t="s">
        <v>6083</v>
      </c>
      <c r="P179" s="827"/>
      <c r="Q179" s="114"/>
      <c r="R179" s="114"/>
      <c r="S179" s="189"/>
      <c r="T179" s="189"/>
      <c r="U179" s="114"/>
      <c r="V179" s="189"/>
      <c r="W179" s="114"/>
      <c r="X179" s="189"/>
      <c r="Y179" s="189"/>
      <c r="Z179" s="114"/>
      <c r="AA179" s="114"/>
      <c r="AB179" s="114"/>
      <c r="AC179" s="189">
        <v>0.5</v>
      </c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</row>
    <row r="180" spans="1:40">
      <c r="A180" s="298"/>
      <c r="B180" s="87"/>
      <c r="C180" s="115">
        <f t="shared" si="18"/>
        <v>-176</v>
      </c>
      <c r="D180" s="63">
        <f t="shared" si="17"/>
        <v>176</v>
      </c>
      <c r="E180" s="330">
        <v>8675</v>
      </c>
      <c r="F180" s="718" t="str">
        <f>IFERROR(VLOOKUP(Table7[[#This Row],[Player No]],Table11[[No]:[Province]],2,0),"")</f>
        <v>MOHANLAL Narisha</v>
      </c>
      <c r="G180" s="721" t="str">
        <f>IFERROR(VLOOKUP(Table7[[#This Row],[Player No]],Table11[[No]:[Province]],3,0),"")</f>
        <v>UMG</v>
      </c>
      <c r="H180" s="116"/>
      <c r="I180" s="124">
        <v>0.5</v>
      </c>
      <c r="J180" s="789">
        <f>Table7[[#This Row],[Points 2025]]/2+SUM(Table7[[#This Row],[O1  ADMIN 2026]:[P2           WC         CT Open 2026]])</f>
        <v>0.25</v>
      </c>
      <c r="K180" s="725">
        <f t="shared" si="19"/>
        <v>0</v>
      </c>
      <c r="L180" s="63">
        <f t="shared" si="20"/>
        <v>0</v>
      </c>
      <c r="M180" s="708"/>
      <c r="N180" s="708" t="s">
        <v>6083</v>
      </c>
      <c r="O180" s="708" t="s">
        <v>6083</v>
      </c>
      <c r="P180" s="708"/>
      <c r="Q180" s="114"/>
      <c r="R180" s="114"/>
      <c r="S180" s="189"/>
      <c r="T180" s="189"/>
      <c r="U180" s="114"/>
      <c r="V180" s="189"/>
      <c r="W180" s="114"/>
      <c r="X180" s="189"/>
      <c r="Y180" s="189"/>
      <c r="Z180" s="114"/>
      <c r="AA180" s="114"/>
      <c r="AB180" s="114">
        <v>0.5</v>
      </c>
      <c r="AC180" s="189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</row>
    <row r="181" spans="1:40">
      <c r="A181" s="332"/>
      <c r="B181" s="333"/>
      <c r="C181" s="338">
        <f t="shared" si="18"/>
        <v>-177</v>
      </c>
      <c r="D181" s="63">
        <f t="shared" si="17"/>
        <v>177</v>
      </c>
      <c r="E181" s="348">
        <v>8737</v>
      </c>
      <c r="F181" s="349" t="str">
        <f>IFERROR(VLOOKUP(Table7[[#This Row],[Player No]],Table11[[No]:[Province]],2,0),"")</f>
        <v xml:space="preserve">RAJCOOMAR Sairah </v>
      </c>
      <c r="G181" s="722" t="str">
        <f>IFERROR(VLOOKUP(Table7[[#This Row],[Player No]],Table11[[No]:[Province]],3,0),"")</f>
        <v>UMG</v>
      </c>
      <c r="H181" s="723"/>
      <c r="I181" s="383">
        <v>0.5</v>
      </c>
      <c r="J181" s="817">
        <f>Table7[[#This Row],[Points 2025]]/2+SUM(Table7[[#This Row],[O1  ADMIN 2026]:[P2           WC         CT Open 2026]])</f>
        <v>0.25</v>
      </c>
      <c r="K181" s="728">
        <f t="shared" si="19"/>
        <v>0</v>
      </c>
      <c r="L181" s="63">
        <f t="shared" si="20"/>
        <v>0</v>
      </c>
      <c r="M181" s="708"/>
      <c r="N181" s="826" t="s">
        <v>6083</v>
      </c>
      <c r="O181" s="826" t="s">
        <v>6083</v>
      </c>
      <c r="P181" s="826"/>
      <c r="Q181" s="321"/>
      <c r="R181" s="321"/>
      <c r="S181" s="329"/>
      <c r="T181" s="329"/>
      <c r="U181" s="321"/>
      <c r="V181" s="329"/>
      <c r="W181" s="321"/>
      <c r="X181" s="329"/>
      <c r="Y181" s="329">
        <v>0.5</v>
      </c>
      <c r="Z181" s="321"/>
      <c r="AA181" s="321"/>
      <c r="AB181" s="321"/>
      <c r="AC181" s="329"/>
      <c r="AD181" s="321"/>
      <c r="AE181" s="321"/>
      <c r="AF181" s="321"/>
      <c r="AG181" s="321"/>
      <c r="AH181" s="321"/>
      <c r="AI181" s="321"/>
      <c r="AJ181" s="321"/>
      <c r="AK181" s="321"/>
      <c r="AL181" s="321"/>
      <c r="AM181" s="321"/>
      <c r="AN181" s="321"/>
    </row>
    <row r="182" spans="1:40">
      <c r="A182" s="85">
        <f>IFERROR(VLOOKUP(Table7[[#This Row],[Player No]],Table11[[#All],[No]:[Age Group]],4,0),"")</f>
        <v>0</v>
      </c>
      <c r="B182" s="87">
        <v>79</v>
      </c>
      <c r="C182" s="115">
        <f t="shared" si="18"/>
        <v>-99</v>
      </c>
      <c r="D182" s="63">
        <f t="shared" si="17"/>
        <v>178</v>
      </c>
      <c r="E182" s="114">
        <v>8066</v>
      </c>
      <c r="F182" s="151" t="str">
        <f>IFERROR(VLOOKUP(Table7[[#This Row],[Player No]],Table11[[No]:[Province]],2,0),"")</f>
        <v>ESACK Shazia</v>
      </c>
      <c r="G182" s="316" t="str">
        <f>IFERROR(VLOOKUP(Table7[[#This Row],[Player No]],Table11[[No]:[Province]],3,0),"")</f>
        <v>CT</v>
      </c>
      <c r="H182" s="116">
        <v>0.5</v>
      </c>
      <c r="I182" s="124">
        <v>0.25</v>
      </c>
      <c r="J182" s="789">
        <f>Table7[[#This Row],[Points 2025]]/2+SUM(Table7[[#This Row],[O1  ADMIN 2026]:[P2           WC         CT Open 2026]])</f>
        <v>0.125</v>
      </c>
      <c r="K182" s="725">
        <f t="shared" si="19"/>
        <v>0</v>
      </c>
      <c r="L182" s="63">
        <f t="shared" si="20"/>
        <v>0</v>
      </c>
      <c r="M182" s="708"/>
      <c r="N182" s="708" t="s">
        <v>6083</v>
      </c>
      <c r="O182" s="708" t="s">
        <v>6083</v>
      </c>
      <c r="P182" s="708"/>
      <c r="Q182" s="114"/>
      <c r="R182" s="114"/>
      <c r="S182" s="189"/>
      <c r="T182" s="189"/>
      <c r="U182" s="114"/>
      <c r="V182" s="189"/>
      <c r="W182" s="114"/>
      <c r="X182" s="189"/>
      <c r="Y182" s="189"/>
      <c r="Z182" s="114"/>
      <c r="AA182" s="114"/>
      <c r="AB182" s="114"/>
      <c r="AC182" s="189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</row>
    <row r="183" spans="1:40">
      <c r="A183" s="85">
        <f>IFERROR(VLOOKUP(Table7[[#This Row],[Player No]],Table11[[#All],[No]:[Age Group]],4,0),"")</f>
        <v>0</v>
      </c>
      <c r="B183" s="87">
        <v>80</v>
      </c>
      <c r="C183" s="115">
        <f t="shared" si="18"/>
        <v>-99</v>
      </c>
      <c r="D183" s="63">
        <f t="shared" si="17"/>
        <v>179</v>
      </c>
      <c r="E183" s="114">
        <v>8070</v>
      </c>
      <c r="F183" s="151" t="str">
        <f>IFERROR(VLOOKUP(Table7[[#This Row],[Player No]],Table11[[No]:[Province]],2,0),"")</f>
        <v>DE KLERK Amore</v>
      </c>
      <c r="G183" s="316" t="str">
        <f>IFERROR(VLOOKUP(Table7[[#This Row],[Player No]],Table11[[No]:[Province]],3,0),"")</f>
        <v>WC</v>
      </c>
      <c r="H183" s="116">
        <v>0.5</v>
      </c>
      <c r="I183" s="124">
        <v>0.25</v>
      </c>
      <c r="J183" s="789">
        <f>Table7[[#This Row],[Points 2025]]/2+SUM(Table7[[#This Row],[O1  ADMIN 2026]:[P2           WC         CT Open 2026]])</f>
        <v>0.125</v>
      </c>
      <c r="K183" s="725">
        <f t="shared" si="19"/>
        <v>0</v>
      </c>
      <c r="L183" s="63">
        <f t="shared" si="20"/>
        <v>0</v>
      </c>
      <c r="M183" s="708"/>
      <c r="N183" s="708" t="s">
        <v>6083</v>
      </c>
      <c r="O183" s="708" t="s">
        <v>6083</v>
      </c>
      <c r="P183" s="708"/>
      <c r="Q183" s="114"/>
      <c r="R183" s="114"/>
      <c r="S183" s="189"/>
      <c r="T183" s="189"/>
      <c r="U183" s="114"/>
      <c r="V183" s="189"/>
      <c r="W183" s="114"/>
      <c r="X183" s="189"/>
      <c r="Y183" s="189"/>
      <c r="Z183" s="114"/>
      <c r="AA183" s="114"/>
      <c r="AB183" s="114"/>
      <c r="AC183" s="189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</row>
    <row r="184" spans="1:40">
      <c r="A184" s="85">
        <f>IFERROR(VLOOKUP(Table7[[#This Row],[Player No]],Table11[[#All],[No]:[Age Group]],4,0),"")</f>
        <v>0</v>
      </c>
      <c r="B184" s="87">
        <v>81</v>
      </c>
      <c r="C184" s="115">
        <f t="shared" si="18"/>
        <v>-99</v>
      </c>
      <c r="D184" s="63">
        <f t="shared" si="17"/>
        <v>180</v>
      </c>
      <c r="E184" s="114">
        <v>8087</v>
      </c>
      <c r="F184" s="151" t="str">
        <f>IFERROR(VLOOKUP(Table7[[#This Row],[Player No]],Table11[[No]:[Province]],2,0),"")</f>
        <v>MATHABATHE Tshiamo</v>
      </c>
      <c r="G184" s="316">
        <f>IFERROR(VLOOKUP(Table7[[#This Row],[Player No]],Table11[[No]:[Province]],3,0),"")</f>
        <v>0</v>
      </c>
      <c r="H184" s="116">
        <v>0.5</v>
      </c>
      <c r="I184" s="124">
        <v>0.25</v>
      </c>
      <c r="J184" s="789">
        <f>Table7[[#This Row],[Points 2025]]/2+SUM(Table7[[#This Row],[O1  ADMIN 2026]:[P2           WC         CT Open 2026]])</f>
        <v>0.125</v>
      </c>
      <c r="K184" s="725">
        <f t="shared" si="19"/>
        <v>0</v>
      </c>
      <c r="L184" s="63">
        <f t="shared" si="20"/>
        <v>0</v>
      </c>
      <c r="M184" s="708"/>
      <c r="N184" s="708" t="s">
        <v>6083</v>
      </c>
      <c r="O184" s="708" t="s">
        <v>6083</v>
      </c>
      <c r="P184" s="708"/>
      <c r="Q184" s="114"/>
      <c r="R184" s="114"/>
      <c r="S184" s="189"/>
      <c r="T184" s="189"/>
      <c r="U184" s="114"/>
      <c r="V184" s="189"/>
      <c r="W184" s="114"/>
      <c r="X184" s="189"/>
      <c r="Y184" s="189"/>
      <c r="Z184" s="114"/>
      <c r="AA184" s="114"/>
      <c r="AB184" s="114"/>
      <c r="AC184" s="189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</row>
    <row r="185" spans="1:40">
      <c r="A185" s="85">
        <f>IFERROR(VLOOKUP(Table7[[#This Row],[Player No]],Table11[[#All],[No]:[Age Group]],4,0),"")</f>
        <v>0</v>
      </c>
      <c r="B185" s="87">
        <v>82</v>
      </c>
      <c r="C185" s="195">
        <f t="shared" si="18"/>
        <v>-99</v>
      </c>
      <c r="D185" s="63">
        <f t="shared" si="17"/>
        <v>181</v>
      </c>
      <c r="E185" s="189">
        <v>8100</v>
      </c>
      <c r="F185" s="719" t="str">
        <f>IFERROR(VLOOKUP(Table7[[#This Row],[Player No]],Table11[[No]:[Province]],2,0),"")</f>
        <v xml:space="preserve">GOVENDER Kirsten </v>
      </c>
      <c r="G185" s="342" t="str">
        <f>IFERROR(VLOOKUP(Table7[[#This Row],[Player No]],Table11[[No]:[Province]],3,0),"")</f>
        <v>UMG</v>
      </c>
      <c r="H185" s="192">
        <v>0.5</v>
      </c>
      <c r="I185" s="193">
        <v>0.25</v>
      </c>
      <c r="J185" s="661">
        <f>Table7[[#This Row],[Points 2025]]/2+SUM(Table7[[#This Row],[O1  ADMIN 2026]:[P2           WC         CT Open 2026]])</f>
        <v>0.125</v>
      </c>
      <c r="K185" s="304">
        <f t="shared" si="19"/>
        <v>0</v>
      </c>
      <c r="L185" s="63">
        <f t="shared" si="20"/>
        <v>0</v>
      </c>
      <c r="M185" s="442"/>
      <c r="N185" s="442" t="s">
        <v>6083</v>
      </c>
      <c r="O185" s="442" t="s">
        <v>6083</v>
      </c>
      <c r="P185" s="442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</row>
    <row r="186" spans="1:40">
      <c r="A186" s="85">
        <f>IFERROR(VLOOKUP(Table7[[#This Row],[Player No]],Table11[[#All],[No]:[Age Group]],4,0),"")</f>
        <v>0</v>
      </c>
      <c r="B186" s="87">
        <v>87</v>
      </c>
      <c r="C186" s="659">
        <f t="shared" si="18"/>
        <v>-95</v>
      </c>
      <c r="D186" s="63">
        <f t="shared" si="17"/>
        <v>182</v>
      </c>
      <c r="E186" s="442">
        <v>8120</v>
      </c>
      <c r="F186" s="657" t="str">
        <f>IFERROR(VLOOKUP(Table7[[#This Row],[Player No]],Table11[[No]:[Province]],2,0),"")</f>
        <v>KOMETSI Khauhelo</v>
      </c>
      <c r="G186" s="1005" t="str">
        <f>IFERROR(VLOOKUP(Table7[[#This Row],[Player No]],Table11[[No]:[Province]],3,0),"")</f>
        <v>FS</v>
      </c>
      <c r="H186" s="660">
        <v>0.25</v>
      </c>
      <c r="I186" s="661">
        <v>0.125</v>
      </c>
      <c r="J186" s="661">
        <f>Table7[[#This Row],[Points 2025]]/2+SUM(Table7[[#This Row],[O1  ADMIN 2026]:[P2           WC         CT Open 2026]])</f>
        <v>6.25E-2</v>
      </c>
      <c r="K186" s="1095">
        <f t="shared" si="19"/>
        <v>0</v>
      </c>
      <c r="L186" s="442">
        <f t="shared" si="20"/>
        <v>0</v>
      </c>
      <c r="M186" s="442"/>
      <c r="N186" s="442" t="s">
        <v>6083</v>
      </c>
      <c r="O186" s="442" t="s">
        <v>6083</v>
      </c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442"/>
      <c r="AE186" s="442"/>
      <c r="AF186" s="442"/>
      <c r="AG186" s="442"/>
      <c r="AH186" s="442"/>
      <c r="AI186" s="442"/>
      <c r="AJ186" s="442"/>
      <c r="AK186" s="442"/>
      <c r="AL186" s="442"/>
      <c r="AM186" s="442"/>
      <c r="AN186" s="442"/>
    </row>
    <row r="187" spans="1:40">
      <c r="A187" s="85">
        <f>IFERROR(VLOOKUP(Table7[[#This Row],[Player No]],Table11[[#All],[No]:[Age Group]],4,0),"")</f>
        <v>0</v>
      </c>
      <c r="B187" s="87">
        <v>88</v>
      </c>
      <c r="C187" s="659">
        <f t="shared" si="18"/>
        <v>-95</v>
      </c>
      <c r="D187" s="63">
        <f t="shared" si="17"/>
        <v>183</v>
      </c>
      <c r="E187" s="442">
        <v>8121</v>
      </c>
      <c r="F187" s="657" t="str">
        <f>IFERROR(VLOOKUP(Table7[[#This Row],[Player No]],Table11[[No]:[Province]],2,0),"")</f>
        <v>FOURIE Daleen</v>
      </c>
      <c r="G187" s="1005" t="str">
        <f>IFERROR(VLOOKUP(Table7[[#This Row],[Player No]],Table11[[No]:[Province]],3,0),"")</f>
        <v>FS</v>
      </c>
      <c r="H187" s="660">
        <v>0.25</v>
      </c>
      <c r="I187" s="661">
        <v>0.125</v>
      </c>
      <c r="J187" s="661">
        <f>Table7[[#This Row],[Points 2025]]/2+SUM(Table7[[#This Row],[O1  ADMIN 2026]:[P2           WC         CT Open 2026]])</f>
        <v>6.25E-2</v>
      </c>
      <c r="K187" s="1095">
        <f t="shared" si="19"/>
        <v>0</v>
      </c>
      <c r="L187" s="442">
        <f t="shared" si="20"/>
        <v>0</v>
      </c>
      <c r="M187" s="442"/>
      <c r="N187" s="442" t="s">
        <v>6083</v>
      </c>
      <c r="O187" s="442" t="s">
        <v>6083</v>
      </c>
      <c r="P187" s="442"/>
      <c r="Q187" s="442"/>
      <c r="R187" s="442"/>
      <c r="S187" s="442"/>
      <c r="T187" s="442"/>
      <c r="U187" s="442"/>
      <c r="V187" s="442"/>
      <c r="W187" s="442"/>
      <c r="X187" s="442"/>
      <c r="Y187" s="442"/>
      <c r="Z187" s="442"/>
      <c r="AA187" s="442"/>
      <c r="AB187" s="442"/>
      <c r="AC187" s="442"/>
      <c r="AD187" s="442"/>
      <c r="AE187" s="442"/>
      <c r="AF187" s="442"/>
      <c r="AG187" s="442"/>
      <c r="AH187" s="442"/>
      <c r="AI187" s="442"/>
      <c r="AJ187" s="442"/>
      <c r="AK187" s="442"/>
      <c r="AL187" s="442"/>
      <c r="AM187" s="442"/>
      <c r="AN187" s="442"/>
    </row>
    <row r="188" spans="1:40">
      <c r="A188" s="85">
        <f>IFERROR(VLOOKUP(Table7[[#This Row],[Player No]],Table11[[#All],[No]:[Age Group]],4,0),"")</f>
        <v>0</v>
      </c>
      <c r="B188" s="87">
        <v>89</v>
      </c>
      <c r="C188" s="659">
        <f t="shared" si="18"/>
        <v>-95</v>
      </c>
      <c r="D188" s="63">
        <f t="shared" si="17"/>
        <v>184</v>
      </c>
      <c r="E188" s="442">
        <v>8122</v>
      </c>
      <c r="F188" s="657" t="str">
        <f>IFERROR(VLOOKUP(Table7[[#This Row],[Player No]],Table11[[No]:[Province]],2,0),"")</f>
        <v>KOKETSO Gaba</v>
      </c>
      <c r="G188" s="1005" t="str">
        <f>IFERROR(VLOOKUP(Table7[[#This Row],[Player No]],Table11[[No]:[Province]],3,0),"")</f>
        <v>FS</v>
      </c>
      <c r="H188" s="660">
        <v>0.25</v>
      </c>
      <c r="I188" s="661">
        <v>0.125</v>
      </c>
      <c r="J188" s="661">
        <f>Table7[[#This Row],[Points 2025]]/2+SUM(Table7[[#This Row],[O1  ADMIN 2026]:[P2           WC         CT Open 2026]])</f>
        <v>6.25E-2</v>
      </c>
      <c r="K188" s="1095">
        <f t="shared" si="19"/>
        <v>0</v>
      </c>
      <c r="L188" s="442">
        <f t="shared" si="20"/>
        <v>0</v>
      </c>
      <c r="M188" s="442"/>
      <c r="N188" s="442" t="s">
        <v>6083</v>
      </c>
      <c r="O188" s="442" t="s">
        <v>6083</v>
      </c>
      <c r="P188" s="442"/>
      <c r="Q188" s="442"/>
      <c r="R188" s="442"/>
      <c r="S188" s="442"/>
      <c r="T188" s="442"/>
      <c r="U188" s="442"/>
      <c r="V188" s="442"/>
      <c r="W188" s="442"/>
      <c r="X188" s="442"/>
      <c r="Y188" s="442"/>
      <c r="Z188" s="442"/>
      <c r="AA188" s="442"/>
      <c r="AB188" s="442"/>
      <c r="AC188" s="442"/>
      <c r="AD188" s="442"/>
      <c r="AE188" s="442"/>
      <c r="AF188" s="442"/>
      <c r="AG188" s="442"/>
      <c r="AH188" s="442"/>
      <c r="AI188" s="442"/>
      <c r="AJ188" s="442"/>
      <c r="AK188" s="442"/>
      <c r="AL188" s="442"/>
      <c r="AM188" s="442"/>
      <c r="AN188" s="442"/>
    </row>
    <row r="189" spans="1:40">
      <c r="A189" s="298"/>
      <c r="B189" s="87"/>
      <c r="C189" s="659">
        <f t="shared" si="18"/>
        <v>-185</v>
      </c>
      <c r="D189" s="63">
        <f t="shared" si="17"/>
        <v>185</v>
      </c>
      <c r="E189" s="736">
        <v>8232</v>
      </c>
      <c r="F189" s="957" t="str">
        <f>IFERROR(VLOOKUP(Table7[[#This Row],[Player No]],Table11[[No]:[Province]],2,0),"")</f>
        <v>TSHANE T</v>
      </c>
      <c r="G189" s="960" t="str">
        <f>IFERROR(VLOOKUP(Table7[[#This Row],[Player No]],Table11[[No]:[Province]],3,0),"")</f>
        <v>NW</v>
      </c>
      <c r="H189" s="660">
        <v>0</v>
      </c>
      <c r="I189" s="661">
        <v>0</v>
      </c>
      <c r="J189" s="661">
        <f>Table7[[#This Row],[Points 2025]]/2+SUM(Table7[[#This Row],[O1  ADMIN 2026]:[P2           WC         CT Open 2026]])</f>
        <v>0</v>
      </c>
      <c r="K189" s="963">
        <f t="shared" si="19"/>
        <v>0</v>
      </c>
      <c r="L189" s="442">
        <f t="shared" si="20"/>
        <v>0</v>
      </c>
      <c r="M189" s="442"/>
      <c r="N189" s="736" t="s">
        <v>6083</v>
      </c>
      <c r="O189" s="736" t="s">
        <v>6083</v>
      </c>
      <c r="P189" s="736"/>
      <c r="Q189" s="442"/>
      <c r="R189" s="442"/>
      <c r="S189" s="442"/>
      <c r="T189" s="442"/>
      <c r="U189" s="442"/>
      <c r="V189" s="442"/>
      <c r="W189" s="442"/>
      <c r="X189" s="442"/>
      <c r="Y189" s="442"/>
      <c r="Z189" s="442"/>
      <c r="AA189" s="442"/>
      <c r="AB189" s="442"/>
      <c r="AC189" s="442"/>
      <c r="AD189" s="442"/>
      <c r="AE189" s="442"/>
      <c r="AF189" s="442"/>
      <c r="AG189" s="442"/>
      <c r="AH189" s="442"/>
      <c r="AI189" s="442"/>
      <c r="AJ189" s="442"/>
      <c r="AK189" s="442"/>
      <c r="AL189" s="442"/>
      <c r="AM189" s="442"/>
      <c r="AN189" s="442"/>
    </row>
    <row r="190" spans="1:40">
      <c r="A190" s="298"/>
      <c r="B190" s="87"/>
      <c r="C190" s="659">
        <f t="shared" si="18"/>
        <v>-186</v>
      </c>
      <c r="D190" s="63">
        <f t="shared" si="17"/>
        <v>186</v>
      </c>
      <c r="E190" s="736">
        <v>8699</v>
      </c>
      <c r="F190" s="957" t="str">
        <f>IFERROR(VLOOKUP(Table7[[#This Row],[Player No]],Table11[[No]:[Province]],2,0),"")</f>
        <v>Thandolwethu TSHAWE</v>
      </c>
      <c r="G190" s="960" t="str">
        <f>IFERROR(VLOOKUP(Table7[[#This Row],[Player No]],Table11[[No]:[Province]],3,0),"")</f>
        <v>EKU</v>
      </c>
      <c r="H190" s="660"/>
      <c r="I190" s="661">
        <v>0</v>
      </c>
      <c r="J190" s="661">
        <f>Table7[[#This Row],[Points 2025]]/2+SUM(Table7[[#This Row],[O1  ADMIN 2026]:[P2           WC         CT Open 2026]])</f>
        <v>0</v>
      </c>
      <c r="K190" s="963">
        <f t="shared" si="19"/>
        <v>0</v>
      </c>
      <c r="L190" s="442">
        <f t="shared" si="20"/>
        <v>0</v>
      </c>
      <c r="M190" s="442"/>
      <c r="N190" s="736" t="s">
        <v>6083</v>
      </c>
      <c r="O190" s="736" t="s">
        <v>6083</v>
      </c>
      <c r="P190" s="736"/>
      <c r="Q190" s="442"/>
      <c r="R190" s="442"/>
      <c r="S190" s="442"/>
      <c r="T190" s="442"/>
      <c r="U190" s="442"/>
      <c r="V190" s="442"/>
      <c r="W190" s="442"/>
      <c r="X190" s="442"/>
      <c r="Y190" s="442"/>
      <c r="Z190" s="442"/>
      <c r="AA190" s="442">
        <v>0</v>
      </c>
      <c r="AB190" s="442"/>
      <c r="AC190" s="442"/>
      <c r="AD190" s="442"/>
      <c r="AE190" s="442"/>
      <c r="AF190" s="442"/>
      <c r="AG190" s="442"/>
      <c r="AH190" s="442"/>
      <c r="AI190" s="442"/>
      <c r="AJ190" s="442"/>
      <c r="AK190" s="442"/>
      <c r="AL190" s="442"/>
      <c r="AM190" s="442"/>
      <c r="AN190" s="442"/>
    </row>
    <row r="191" spans="1:40">
      <c r="A191" s="298"/>
      <c r="B191" s="87"/>
      <c r="C191" s="115">
        <f t="shared" si="18"/>
        <v>-187</v>
      </c>
      <c r="D191" s="63">
        <f t="shared" si="17"/>
        <v>187</v>
      </c>
      <c r="E191" s="330">
        <v>8726</v>
      </c>
      <c r="F191" s="957" t="str">
        <f>IFERROR(VLOOKUP(Table7[[#This Row],[Player No]],Table11[[No]:[Province]],2,0),"")</f>
        <v>PHEKONYANE Letshego</v>
      </c>
      <c r="G191" s="960" t="str">
        <f>IFERROR(VLOOKUP(Table7[[#This Row],[Player No]],Table11[[No]:[Province]],3,0),"")</f>
        <v>FS</v>
      </c>
      <c r="H191" s="660"/>
      <c r="I191" s="661">
        <v>0</v>
      </c>
      <c r="J191" s="124">
        <f>Table7[[#This Row],[Points 2025]]/2+SUM(Table7[[#This Row],[O1  ADMIN 2026]:[P2           WC         CT Open 2026]])</f>
        <v>0</v>
      </c>
      <c r="K191" s="726">
        <f t="shared" si="19"/>
        <v>0</v>
      </c>
      <c r="L191" s="114">
        <f t="shared" si="20"/>
        <v>0</v>
      </c>
      <c r="M191" s="708"/>
      <c r="N191" s="330" t="s">
        <v>6083</v>
      </c>
      <c r="O191" s="330" t="s">
        <v>6083</v>
      </c>
      <c r="P191" s="330"/>
      <c r="Q191" s="114"/>
      <c r="R191" s="114"/>
      <c r="S191" s="442"/>
      <c r="T191" s="442"/>
      <c r="U191" s="114"/>
      <c r="V191" s="442"/>
      <c r="W191" s="114"/>
      <c r="X191" s="442"/>
      <c r="Y191" s="442"/>
      <c r="Z191" s="114"/>
      <c r="AA191" s="114"/>
      <c r="AB191" s="114"/>
      <c r="AC191" s="442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</row>
    <row r="192" spans="1:40">
      <c r="A192" s="633"/>
      <c r="B192" s="634" t="e">
        <f>VLOOKUP(Table7[[#This Row],[Player No]],'[7]u15 girls'!$E$5:$F$68,2,0)</f>
        <v>#N/A</v>
      </c>
      <c r="C192" s="753" t="e">
        <f t="shared" si="18"/>
        <v>#N/A</v>
      </c>
      <c r="D192" s="63">
        <f t="shared" si="17"/>
        <v>188</v>
      </c>
      <c r="E192" s="780">
        <v>7043</v>
      </c>
      <c r="F192" s="958" t="str">
        <f>IFERROR(VLOOKUP(Table7[[#This Row],[Player No]],Table11[[No]:[Province]],2,0),"")</f>
        <v>NKOBANG Lindela</v>
      </c>
      <c r="G192" s="961" t="str">
        <f>IFERROR(VLOOKUP(Table7[[#This Row],[Player No]],Table11[[No]:[Province]],3,0),"")</f>
        <v>NC</v>
      </c>
      <c r="H192" s="754"/>
      <c r="I192" s="766">
        <v>0</v>
      </c>
      <c r="J192" s="766">
        <f>Table7[[#This Row],[Points 2025]]/2+SUM(Table7[[#This Row],[O1  ADMIN 2026]:[P2           WC         CT Open 2026]])</f>
        <v>0</v>
      </c>
      <c r="K192" s="964">
        <f t="shared" si="19"/>
        <v>0</v>
      </c>
      <c r="L192" s="442">
        <f t="shared" si="20"/>
        <v>0</v>
      </c>
      <c r="M192" s="442"/>
      <c r="N192" s="780" t="s">
        <v>6083</v>
      </c>
      <c r="O192" s="780" t="s">
        <v>6083</v>
      </c>
      <c r="P192" s="780"/>
      <c r="Q192" s="678"/>
      <c r="R192" s="678"/>
      <c r="S192" s="678"/>
      <c r="T192" s="678"/>
      <c r="U192" s="678"/>
      <c r="V192" s="678"/>
      <c r="W192" s="678"/>
      <c r="X192" s="678">
        <v>0</v>
      </c>
      <c r="Y192" s="678"/>
      <c r="Z192" s="678"/>
      <c r="AA192" s="678"/>
      <c r="AB192" s="678"/>
      <c r="AC192" s="678"/>
      <c r="AD192" s="678"/>
      <c r="AE192" s="678"/>
      <c r="AF192" s="678"/>
      <c r="AG192" s="678"/>
      <c r="AH192" s="678"/>
      <c r="AI192" s="678"/>
      <c r="AJ192" s="678"/>
      <c r="AK192" s="678"/>
      <c r="AL192" s="678"/>
      <c r="AM192" s="678"/>
      <c r="AN192" s="678"/>
    </row>
    <row r="193" spans="1:40">
      <c r="A193" s="633"/>
      <c r="B193" s="634" t="e">
        <f>VLOOKUP(Table7[[#This Row],[Player No]],'[7]u15 girls'!$E$5:$F$68,2,0)</f>
        <v>#N/A</v>
      </c>
      <c r="C193" s="753" t="e">
        <f t="shared" si="18"/>
        <v>#N/A</v>
      </c>
      <c r="D193" s="63">
        <f t="shared" si="17"/>
        <v>189</v>
      </c>
      <c r="E193" s="678">
        <v>8839</v>
      </c>
      <c r="F193" s="958" t="str">
        <f>IFERROR(VLOOKUP(Table7[[#This Row],[Player No]],Table11[[No]:[Province]],2,0),"")</f>
        <v>Laaibah KHAN</v>
      </c>
      <c r="G193" s="961" t="str">
        <f>IFERROR(VLOOKUP(Table7[[#This Row],[Player No]],Table11[[No]:[Province]],3,0),"")</f>
        <v>UMZ</v>
      </c>
      <c r="H193" s="754"/>
      <c r="I193" s="766">
        <v>0</v>
      </c>
      <c r="J193" s="766">
        <f>Table7[[#This Row],[Points 2025]]/2+SUM(Table7[[#This Row],[O1  ADMIN 2026]:[P2           WC         CT Open 2026]])</f>
        <v>0</v>
      </c>
      <c r="K193" s="964">
        <f t="shared" si="19"/>
        <v>0</v>
      </c>
      <c r="L193" s="442">
        <f t="shared" si="20"/>
        <v>0</v>
      </c>
      <c r="M193" s="442"/>
      <c r="N193" s="780" t="s">
        <v>6083</v>
      </c>
      <c r="O193" s="780" t="s">
        <v>6083</v>
      </c>
      <c r="P193" s="780"/>
      <c r="Q193" s="678"/>
      <c r="R193" s="678"/>
      <c r="S193" s="678"/>
      <c r="T193" s="678"/>
      <c r="U193" s="678"/>
      <c r="V193" s="678"/>
      <c r="W193" s="678"/>
      <c r="X193" s="678">
        <v>0</v>
      </c>
      <c r="Y193" s="678"/>
      <c r="Z193" s="678"/>
      <c r="AA193" s="678"/>
      <c r="AB193" s="678"/>
      <c r="AC193" s="678"/>
      <c r="AD193" s="678"/>
      <c r="AE193" s="678"/>
      <c r="AF193" s="678"/>
      <c r="AG193" s="678"/>
      <c r="AH193" s="678"/>
      <c r="AI193" s="678"/>
      <c r="AJ193" s="678"/>
      <c r="AK193" s="678"/>
      <c r="AL193" s="678"/>
      <c r="AM193" s="678"/>
      <c r="AN193" s="678"/>
    </row>
    <row r="196" spans="1:40">
      <c r="F196" s="81" t="s">
        <v>4722</v>
      </c>
    </row>
  </sheetData>
  <sheetProtection algorithmName="SHA-512" hashValue="27w759rRrca4xdge7Iar0Q1vLAZxCeq96d9rRgwH5Xvad/WiYN0JRn0xeYTvHC8Yk5crSznPI9prUblW4l7TlA==" saltValue="D1QKzfg086Y+Bb/gXfO20A==" spinCount="100000" sheet="1" selectLockedCells="1" sort="0" autoFilter="0" selectUnlockedCells="1"/>
  <sortState xmlns:xlrd2="http://schemas.microsoft.com/office/spreadsheetml/2017/richdata2" ref="A5:AY36">
    <sortCondition ref="E5:E36"/>
  </sortState>
  <mergeCells count="13">
    <mergeCell ref="C2:G2"/>
    <mergeCell ref="C3:H3"/>
    <mergeCell ref="AE2:AN2"/>
    <mergeCell ref="AE3:AF3"/>
    <mergeCell ref="AG3:AH3"/>
    <mergeCell ref="AJ3:AN3"/>
    <mergeCell ref="Q3:U3"/>
    <mergeCell ref="AB3:AD3"/>
    <mergeCell ref="Q2:AD2"/>
    <mergeCell ref="Y3:Z3"/>
    <mergeCell ref="V3:W3"/>
    <mergeCell ref="N3:O3"/>
    <mergeCell ref="M2:P2"/>
  </mergeCells>
  <phoneticPr fontId="33" type="noConversion"/>
  <conditionalFormatting sqref="F1:F1048576">
    <cfRule type="duplicateValues" dxfId="269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 2 0 2 5 - 0 6 - 2 2 T 1 4 : 3 7 : 3 9 . 4 9 0 1 6 3 6 + 0 2 : 0 0 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 P r e v i o u s   R a n k < / s t r i n g > < / k e y > < v a l u e > < i n t > 1 2 3 < / i n t > < / v a l u e > < / i t e m > < i t e m > < k e y > < s t r i n g > C h a n g e   i n   R a n k < / s t r i n g > < / k e y > < v a l u e > < i n t > 1 3 0 < / i n t > < / v a l u e > < / i t e m > < i t e m > < k e y > < s t r i n g > R a n k < / s t r i n g > < / k e y > < v a l u e > < i n t > 6 6 < / i n t > < / v a l u e > < / i t e m > < i t e m > < k e y > < s t r i n g > P l a y e r   N o < / s t r i n g > < / k e y > < v a l u e > < i n t > 9 6 < / i n t > < / v a l u e > < / i t e m > < i t e m > < k e y > < s t r i n g > S u r n a m e ,   N a m e < / s t r i n g > < / k e y > < v a l u e > < i n t > 1 3 5 < / i n t > < / v a l u e > < / i t e m > < i t e m > < k e y > < s t r i n g > R e g i o n < / s t r i n g > < / k e y > < v a l u e > < i n t > 7 9 < / i n t > < / v a l u e > < / i t e m > < i t e m > < k e y > < s t r i n g > P o i n t s   2 0 2 4 < / s t r i n g > < / k e y > < v a l u e > < i n t > 1 0 6 < / i n t > < / v a l u e > < / i t e m > < i t e m > < k e y > < s t r i n g > P o i n t s   2 0 2 5 < / s t r i n g > < / k e y > < v a l u e > < i n t > 1 0 6 < / i n t > < / v a l u e > < / i t e m > < i t e m > < k e y > < s t r i n g > T o u r n a m e n t s   P l a y e d   I n < / s t r i n g > < / k e y > < v a l u e > < i n t > 1 7 7 < / i n t > < / v a l u e > < / i t e m > < i t e m > < k e y > < s t r i n g > T o t a l           N o   S h o w s < / s t r i n g > < / k e y > < v a l u e > < i n t > 1 4 2 < / i n t > < / v a l u e > < / i t e m > < i t e m > < k e y > < s t r i n g > P 1               U M G   O P E N   2 0 2 5 < / s t r i n g > < / k e y > < v a l u e > < i n t > 1 7 1 < / i n t > < / v a l u e > < / i t e m > < i t e m > < k e y > < s t r i n g > 0 1               E D D E L S   O P E N   2 0 2 5 < / s t r i n g > < / k e y > < v a l u e > < i n t > 1 8 5 < / i n t > < / v a l u e > < / i t e m > < i t e m > < k e y > < s t r i n g > 0 1               T I T A N S   O P E N   2 0 2 5 < / s t r i n g > < / k e y > < v a l u e > < i n t > 1 8 3 < / i n t > < / v a l u e > < / i t e m > < i t e m > < k e y > < s t r i n g > 0 1               C M C T T C   O P E N   2 0 2 5 < / s t r i n g > < / k e y > < v a l u e > < i n t > 1 9 0 < / i n t > < / v a l u e > < / i t e m > < i t e m > < k e y > < s t r i n g > J T T A       O P E N   2 0 2 5 < / s t r i n g > < / k e y > < v a l u e > < i n t > 1 3 8 < / i n t > < / v a l u e > < / i t e m > < i t e m > < k e y > < s t r i n g > M T T C       O P E N   2 0 2 5 < / s t r i n g > < / k e y > < v a l u e > < i n t > 1 4 5 < / i n t > < / v a l u e > < / i t e m > < i t e m > < k e y > < s t r i n g > C A P E   T O W N   O P E N   2 0 2 5 < / s t r i n g > < / k e y > < v a l u e > < i n t > 1 8 0 < / i n t > < / v a l u e > < / i t e m > < i t e m > < k e y > < s t r i n g > P 1                   K Z N     O p e n       2 0 2 4 < / s t r i n g > < / k e y > < v a l u e > < i n t > 1 8 0 < / i n t > < / v a l u e > < / i t e m > < i t e m > < k e y > < s t r i n g > O 1                   K Z N   E d d e l s   O p e n       2 0 2 4 < / s t r i n g > < / k e y > < v a l u e > < i n t > 2 2 3 < / i n t > < / v a l u e > < / i t e m > < i t e m > < k e y > < s t r i n g > P 2                       W C                   C T   O p e n   2 0 2 4 < / s t r i n g > < / k e y > < v a l u e > < i n t > 2 1 5 < / i n t > < / v a l u e > < / i t e m > < i t e m > < k e y > < s t r i n g > P 1                       W C                   E d e n   O p e n   2 0 2 4 < / s t r i n g > < / k e y > < v a l u e > < i n t > 2 3 1 < / i n t > < / v a l u e > < / i t e m > < i t e m > < k e y > < s t r i n g > A 1                       N A T                   S A   O p e n   2 0 2 4 < / s t r i n g > < / k e y > < v a l u e > < i n t > 2 2 1 < / i n t > < / v a l u e > < / i t e m > < i t e m > < k e y > < s t r i n g > O 1                       G A U                   K H E L O   / R A I D E R S   2 0 2 4 < / s t r i n g > < / k e y > < v a l u e > < i n t > 2 7 2 < / i n t > < / v a l u e > < / i t e m > < i t e m > < k e y > < s t r i n g > P 1                 G A U   J T T A   O p e n     2 0 2 4 < / s t r i n g > < / k e y > < v a l u e > < i n t > 2 0 3 < / i n t > < / v a l u e > < / i t e m > < i t e m > < k e y > < s t r i n g > P 2                       G A U                     G a u   N o r t h   O p e n                           2 0 2 4 < / s t r i n g > < / k e y > < v a l u e > < i n t > 3 0 8 < / i n t > < / v a l u e > < / i t e m > < i t e m > < k e y > < s t r i n g > O 1                 G A U   M T T C   O p e n     2 0 2 4 < / s t r i n g > < / k e y > < v a l u e > < i n t > 2 1 2 < / i n t > < / v a l u e > < / i t e m > < / C o l u m n W i d t h s > < C o l u m n D i s p l a y I n d e x > < i t e m > < k e y > < s t r i n g > P r e v i o u s   R a n k < / s t r i n g > < / k e y > < v a l u e > < i n t > 0 < / i n t > < / v a l u e > < / i t e m > < i t e m > < k e y > < s t r i n g > C h a n g e   i n   R a n k < / s t r i n g > < / k e y > < v a l u e > < i n t > 1 < / i n t > < / v a l u e > < / i t e m > < i t e m > < k e y > < s t r i n g > R a n k < / s t r i n g > < / k e y > < v a l u e > < i n t > 2 < / i n t > < / v a l u e > < / i t e m > < i t e m > < k e y > < s t r i n g > P l a y e r   N o < / s t r i n g > < / k e y > < v a l u e > < i n t > 3 < / i n t > < / v a l u e > < / i t e m > < i t e m > < k e y > < s t r i n g > S u r n a m e ,   N a m e < / s t r i n g > < / k e y > < v a l u e > < i n t > 4 < / i n t > < / v a l u e > < / i t e m > < i t e m > < k e y > < s t r i n g > R e g i o n < / s t r i n g > < / k e y > < v a l u e > < i n t > 5 < / i n t > < / v a l u e > < / i t e m > < i t e m > < k e y > < s t r i n g > P o i n t s   2 0 2 4 < / s t r i n g > < / k e y > < v a l u e > < i n t > 6 < / i n t > < / v a l u e > < / i t e m > < i t e m > < k e y > < s t r i n g > P o i n t s   2 0 2 5 < / s t r i n g > < / k e y > < v a l u e > < i n t > 7 < / i n t > < / v a l u e > < / i t e m > < i t e m > < k e y > < s t r i n g > T o u r n a m e n t s   P l a y e d   I n < / s t r i n g > < / k e y > < v a l u e > < i n t > 8 < / i n t > < / v a l u e > < / i t e m > < i t e m > < k e y > < s t r i n g > T o t a l           N o   S h o w s < / s t r i n g > < / k e y > < v a l u e > < i n t > 9 < / i n t > < / v a l u e > < / i t e m > < i t e m > < k e y > < s t r i n g > P 1               U M G   O P E N   2 0 2 5 < / s t r i n g > < / k e y > < v a l u e > < i n t > 1 0 < / i n t > < / v a l u e > < / i t e m > < i t e m > < k e y > < s t r i n g > 0 1               E D D E L S   O P E N   2 0 2 5 < / s t r i n g > < / k e y > < v a l u e > < i n t > 1 1 < / i n t > < / v a l u e > < / i t e m > < i t e m > < k e y > < s t r i n g > 0 1               T I T A N S   O P E N   2 0 2 5 < / s t r i n g > < / k e y > < v a l u e > < i n t > 1 2 < / i n t > < / v a l u e > < / i t e m > < i t e m > < k e y > < s t r i n g > 0 1               C M C T T C   O P E N   2 0 2 5 < / s t r i n g > < / k e y > < v a l u e > < i n t > 1 3 < / i n t > < / v a l u e > < / i t e m > < i t e m > < k e y > < s t r i n g > J T T A       O P E N   2 0 2 5 < / s t r i n g > < / k e y > < v a l u e > < i n t > 1 4 < / i n t > < / v a l u e > < / i t e m > < i t e m > < k e y > < s t r i n g > M T T C       O P E N   2 0 2 5 < / s t r i n g > < / k e y > < v a l u e > < i n t > 1 5 < / i n t > < / v a l u e > < / i t e m > < i t e m > < k e y > < s t r i n g > C A P E   T O W N   O P E N   2 0 2 5 < / s t r i n g > < / k e y > < v a l u e > < i n t > 1 6 < / i n t > < / v a l u e > < / i t e m > < i t e m > < k e y > < s t r i n g > P 1                   K Z N     O p e n       2 0 2 4 < / s t r i n g > < / k e y > < v a l u e > < i n t > 1 7 < / i n t > < / v a l u e > < / i t e m > < i t e m > < k e y > < s t r i n g > O 1                   K Z N   E d d e l s   O p e n       2 0 2 4 < / s t r i n g > < / k e y > < v a l u e > < i n t > 1 8 < / i n t > < / v a l u e > < / i t e m > < i t e m > < k e y > < s t r i n g > P 2                       W C                   C T   O p e n   2 0 2 4 < / s t r i n g > < / k e y > < v a l u e > < i n t > 1 9 < / i n t > < / v a l u e > < / i t e m > < i t e m > < k e y > < s t r i n g > P 1                       W C                   E d e n   O p e n   2 0 2 4 < / s t r i n g > < / k e y > < v a l u e > < i n t > 2 0 < / i n t > < / v a l u e > < / i t e m > < i t e m > < k e y > < s t r i n g > A 1                       N A T                   S A   O p e n   2 0 2 4 < / s t r i n g > < / k e y > < v a l u e > < i n t > 2 1 < / i n t > < / v a l u e > < / i t e m > < i t e m > < k e y > < s t r i n g > O 1                       G A U                   K H E L O   / R A I D E R S   2 0 2 4 < / s t r i n g > < / k e y > < v a l u e > < i n t > 2 2 < / i n t > < / v a l u e > < / i t e m > < i t e m > < k e y > < s t r i n g > P 1                 G A U   J T T A   O p e n     2 0 2 4 < / s t r i n g > < / k e y > < v a l u e > < i n t > 2 3 < / i n t > < / v a l u e > < / i t e m > < i t e m > < k e y > < s t r i n g > P 2                       G A U                     G a u   N o r t h   O p e n                           2 0 2 4 < / s t r i n g > < / k e y > < v a l u e > < i n t > 2 4 < / i n t > < / v a l u e > < / i t e m > < i t e m > < k e y > < s t r i n g > O 1                 G A U   M T T C   O p e n     2 0 2 4 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T a b l e 3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 C o l u m n s \ P r e v i o u s   R a n k < / K e y > < / D i a g r a m O b j e c t K e y > < D i a g r a m O b j e c t K e y > < K e y > C o l u m n s \ C h a n g e   i n   R a n k < / K e y > < / D i a g r a m O b j e c t K e y > < D i a g r a m O b j e c t K e y > < K e y > C o l u m n s \ R a n k < / K e y > < / D i a g r a m O b j e c t K e y > < D i a g r a m O b j e c t K e y > < K e y > C o l u m n s \ P l a y e r   N o < / K e y > < / D i a g r a m O b j e c t K e y > < D i a g r a m O b j e c t K e y > < K e y > C o l u m n s \ S u r n a m e ,   N a m e < / K e y > < / D i a g r a m O b j e c t K e y > < D i a g r a m O b j e c t K e y > < K e y > C o l u m n s \ R e g i o n < / K e y > < / D i a g r a m O b j e c t K e y > < D i a g r a m O b j e c t K e y > < K e y > C o l u m n s \ P o i n t s   2 0 2 4 < / K e y > < / D i a g r a m O b j e c t K e y > < D i a g r a m O b j e c t K e y > < K e y > C o l u m n s \ P o i n t s   2 0 2 5 < / K e y > < / D i a g r a m O b j e c t K e y > < D i a g r a m O b j e c t K e y > < K e y > C o l u m n s \ T o u r n a m e n t s   P l a y e d   I n < / K e y > < / D i a g r a m O b j e c t K e y > < D i a g r a m O b j e c t K e y > < K e y > C o l u m n s \ T o t a l           N o   S h o w s < / K e y > < / D i a g r a m O b j e c t K e y > < D i a g r a m O b j e c t K e y > < K e y > C o l u m n s \ P 1               U M G   O P E N   2 0 2 5 < / K e y > < / D i a g r a m O b j e c t K e y > < D i a g r a m O b j e c t K e y > < K e y > C o l u m n s \ 0 1               E D D E L S   O P E N   2 0 2 5 < / K e y > < / D i a g r a m O b j e c t K e y > < D i a g r a m O b j e c t K e y > < K e y > C o l u m n s \ 0 1               T I T A N S   O P E N   2 0 2 5 < / K e y > < / D i a g r a m O b j e c t K e y > < D i a g r a m O b j e c t K e y > < K e y > C o l u m n s \ 0 1               C M C T T C   O P E N   2 0 2 5 < / K e y > < / D i a g r a m O b j e c t K e y > < D i a g r a m O b j e c t K e y > < K e y > C o l u m n s \ J T T A       O P E N   2 0 2 5 < / K e y > < / D i a g r a m O b j e c t K e y > < D i a g r a m O b j e c t K e y > < K e y > C o l u m n s \ M T T C       O P E N   2 0 2 5 < / K e y > < / D i a g r a m O b j e c t K e y > < D i a g r a m O b j e c t K e y > < K e y > C o l u m n s \ C A P E   T O W N   O P E N   2 0 2 5 < / K e y > < / D i a g r a m O b j e c t K e y > < D i a g r a m O b j e c t K e y > < K e y > C o l u m n s \ P 1                   K Z N     O p e n       2 0 2 4 < / K e y > < / D i a g r a m O b j e c t K e y > < D i a g r a m O b j e c t K e y > < K e y > C o l u m n s \ O 1                   K Z N   E d d e l s   O p e n       2 0 2 4 < / K e y > < / D i a g r a m O b j e c t K e y > < D i a g r a m O b j e c t K e y > < K e y > C o l u m n s \ P 2                       W C                   C T   O p e n   2 0 2 4 < / K e y > < / D i a g r a m O b j e c t K e y > < D i a g r a m O b j e c t K e y > < K e y > C o l u m n s \ P 1                       W C                   E d e n   O p e n   2 0 2 4 < / K e y > < / D i a g r a m O b j e c t K e y > < D i a g r a m O b j e c t K e y > < K e y > C o l u m n s \ A 1                       N A T                   S A   O p e n   2 0 2 4 < / K e y > < / D i a g r a m O b j e c t K e y > < D i a g r a m O b j e c t K e y > < K e y > C o l u m n s \ O 1                       G A U                   K H E L O   / R A I D E R S   2 0 2 4 < / K e y > < / D i a g r a m O b j e c t K e y > < D i a g r a m O b j e c t K e y > < K e y > C o l u m n s \ P 1                 G A U   J T T A   O p e n     2 0 2 4 < / K e y > < / D i a g r a m O b j e c t K e y > < D i a g r a m O b j e c t K e y > < K e y > C o l u m n s \ P 2                       G A U                     G a u   N o r t h   O p e n                           2 0 2 4 < / K e y > < / D i a g r a m O b j e c t K e y > < D i a g r a m O b j e c t K e y > < K e y > C o l u m n s \ O 1                 G A U   M T T C   O p e n     2 0 2 4 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T a b l e 3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 T a b l e 3 < / E x c e l T a b l e N a m e > < G e m i n i T a b l e I d > T a b l e 3 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Props1.xml><?xml version="1.0" encoding="utf-8"?>
<ds:datastoreItem xmlns:ds="http://schemas.openxmlformats.org/officeDocument/2006/customXml" ds:itemID="{FA7CAEB6-A835-4244-B8C6-0C9F8C1A0544}">
  <ds:schemaRefs/>
</ds:datastoreItem>
</file>

<file path=customXml/itemProps10.xml><?xml version="1.0" encoding="utf-8"?>
<ds:datastoreItem xmlns:ds="http://schemas.openxmlformats.org/officeDocument/2006/customXml" ds:itemID="{A2A146EA-2A4D-4867-82EC-00FE8C55C381}">
  <ds:schemaRefs/>
</ds:datastoreItem>
</file>

<file path=customXml/itemProps11.xml><?xml version="1.0" encoding="utf-8"?>
<ds:datastoreItem xmlns:ds="http://schemas.openxmlformats.org/officeDocument/2006/customXml" ds:itemID="{37342BC3-A758-4E87-9E36-9FF135F95E23}">
  <ds:schemaRefs/>
</ds:datastoreItem>
</file>

<file path=customXml/itemProps12.xml><?xml version="1.0" encoding="utf-8"?>
<ds:datastoreItem xmlns:ds="http://schemas.openxmlformats.org/officeDocument/2006/customXml" ds:itemID="{6D0E17FF-3970-4706-B777-6ED8465907A3}">
  <ds:schemaRefs/>
</ds:datastoreItem>
</file>

<file path=customXml/itemProps13.xml><?xml version="1.0" encoding="utf-8"?>
<ds:datastoreItem xmlns:ds="http://schemas.openxmlformats.org/officeDocument/2006/customXml" ds:itemID="{279148FE-4CBC-4D10-933D-4E6C3A5AA6DE}">
  <ds:schemaRefs/>
</ds:datastoreItem>
</file>

<file path=customXml/itemProps14.xml><?xml version="1.0" encoding="utf-8"?>
<ds:datastoreItem xmlns:ds="http://schemas.openxmlformats.org/officeDocument/2006/customXml" ds:itemID="{3C69F468-78A3-4D27-BCCD-815F325B2E87}">
  <ds:schemaRefs/>
</ds:datastoreItem>
</file>

<file path=customXml/itemProps15.xml><?xml version="1.0" encoding="utf-8"?>
<ds:datastoreItem xmlns:ds="http://schemas.openxmlformats.org/officeDocument/2006/customXml" ds:itemID="{CD5E468D-1D28-4FC1-9A9C-33FD62476E78}">
  <ds:schemaRefs/>
</ds:datastoreItem>
</file>

<file path=customXml/itemProps16.xml><?xml version="1.0" encoding="utf-8"?>
<ds:datastoreItem xmlns:ds="http://schemas.openxmlformats.org/officeDocument/2006/customXml" ds:itemID="{16A5B80A-A6A7-4D13-99B6-6F863B7DC103}">
  <ds:schemaRefs/>
</ds:datastoreItem>
</file>

<file path=customXml/itemProps17.xml><?xml version="1.0" encoding="utf-8"?>
<ds:datastoreItem xmlns:ds="http://schemas.openxmlformats.org/officeDocument/2006/customXml" ds:itemID="{DF28ACAB-921B-4984-84C1-B30B2BF5167D}">
  <ds:schemaRefs/>
</ds:datastoreItem>
</file>

<file path=customXml/itemProps18.xml><?xml version="1.0" encoding="utf-8"?>
<ds:datastoreItem xmlns:ds="http://schemas.openxmlformats.org/officeDocument/2006/customXml" ds:itemID="{28CBC47F-F9D2-49A1-8990-54BC0224E412}">
  <ds:schemaRefs/>
</ds:datastoreItem>
</file>

<file path=customXml/itemProps19.xml><?xml version="1.0" encoding="utf-8"?>
<ds:datastoreItem xmlns:ds="http://schemas.openxmlformats.org/officeDocument/2006/customXml" ds:itemID="{A4714D54-74D7-4068-916F-83B95A7EE240}">
  <ds:schemaRefs/>
</ds:datastoreItem>
</file>

<file path=customXml/itemProps2.xml><?xml version="1.0" encoding="utf-8"?>
<ds:datastoreItem xmlns:ds="http://schemas.openxmlformats.org/officeDocument/2006/customXml" ds:itemID="{BC26F4E1-3468-461D-A7FC-C628C10F606F}">
  <ds:schemaRefs/>
</ds:datastoreItem>
</file>

<file path=customXml/itemProps3.xml><?xml version="1.0" encoding="utf-8"?>
<ds:datastoreItem xmlns:ds="http://schemas.openxmlformats.org/officeDocument/2006/customXml" ds:itemID="{D4AE63BA-8744-466E-B187-D6B25492D330}">
  <ds:schemaRefs/>
</ds:datastoreItem>
</file>

<file path=customXml/itemProps4.xml><?xml version="1.0" encoding="utf-8"?>
<ds:datastoreItem xmlns:ds="http://schemas.openxmlformats.org/officeDocument/2006/customXml" ds:itemID="{42303113-4B99-48E5-BCCD-23153B9EFDC0}">
  <ds:schemaRefs/>
</ds:datastoreItem>
</file>

<file path=customXml/itemProps5.xml><?xml version="1.0" encoding="utf-8"?>
<ds:datastoreItem xmlns:ds="http://schemas.openxmlformats.org/officeDocument/2006/customXml" ds:itemID="{3DB716EA-A5E6-496C-BF1A-D6B7835347EA}">
  <ds:schemaRefs/>
</ds:datastoreItem>
</file>

<file path=customXml/itemProps6.xml><?xml version="1.0" encoding="utf-8"?>
<ds:datastoreItem xmlns:ds="http://schemas.openxmlformats.org/officeDocument/2006/customXml" ds:itemID="{84B7194F-3C46-4DF4-BA8C-407B82CAD362}">
  <ds:schemaRefs/>
</ds:datastoreItem>
</file>

<file path=customXml/itemProps7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14BB62BC-7DE6-48DA-94A0-7391FC7BC1F2}">
  <ds:schemaRefs/>
</ds:datastoreItem>
</file>

<file path=customXml/itemProps9.xml><?xml version="1.0" encoding="utf-8"?>
<ds:datastoreItem xmlns:ds="http://schemas.openxmlformats.org/officeDocument/2006/customXml" ds:itemID="{1E2A8C53-183C-4E4F-9F50-1D7E5D3B961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All Rankings</vt:lpstr>
      <vt:lpstr>Tournaments</vt:lpstr>
      <vt:lpstr>Men</vt:lpstr>
      <vt:lpstr>Women</vt:lpstr>
      <vt:lpstr>Sheet2</vt:lpstr>
      <vt:lpstr>u19 boys</vt:lpstr>
      <vt:lpstr>u19 girls</vt:lpstr>
      <vt:lpstr>u15 boys</vt:lpstr>
      <vt:lpstr>u15 girls</vt:lpstr>
      <vt:lpstr>u13 boys</vt:lpstr>
      <vt:lpstr>u13 girls</vt:lpstr>
      <vt:lpstr>u11 boys</vt:lpstr>
      <vt:lpstr>u11 girls</vt:lpstr>
      <vt:lpstr>Male Players</vt:lpstr>
      <vt:lpstr>Female Players</vt:lpstr>
      <vt:lpstr>Rules</vt:lpstr>
      <vt:lpstr>Point Allocation</vt:lpstr>
      <vt:lpstr>'u19 boys'!Database</vt:lpstr>
      <vt:lpstr>'All Rankings'!Print_Area</vt:lpstr>
      <vt:lpstr>Men!Print_Area</vt:lpstr>
      <vt:lpstr>'u11 boys'!Print_Area</vt:lpstr>
      <vt:lpstr>'u11 girls'!Print_Area</vt:lpstr>
      <vt:lpstr>'u13 boys'!Print_Area</vt:lpstr>
      <vt:lpstr>'u13 girls'!Print_Area</vt:lpstr>
      <vt:lpstr>'u15 boys'!Print_Area</vt:lpstr>
      <vt:lpstr>'u15 girls'!Print_Area</vt:lpstr>
      <vt:lpstr>'u19 boys'!Print_Area</vt:lpstr>
      <vt:lpstr>'u19 girls'!Print_Area</vt:lpstr>
      <vt:lpstr>Women!Print_Area</vt:lpstr>
      <vt:lpstr>'All Rankings'!Print_Titles</vt:lpstr>
      <vt:lpstr>Men!Print_Titles</vt:lpstr>
      <vt:lpstr>'u15 boys'!Print_Titles</vt:lpstr>
      <vt:lpstr>'u19 boys'!Print_Titles</vt:lpstr>
      <vt:lpstr>'u19 girls'!Print_Titles</vt:lpstr>
      <vt:lpstr>Women!Print_Titles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Gavin</cp:lastModifiedBy>
  <cp:lastPrinted>2024-08-30T18:29:47Z</cp:lastPrinted>
  <dcterms:created xsi:type="dcterms:W3CDTF">2015-03-30T05:56:19Z</dcterms:created>
  <dcterms:modified xsi:type="dcterms:W3CDTF">2026-04-14T20:26:50Z</dcterms:modified>
</cp:coreProperties>
</file>